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media/image20.png" ContentType="image/png"/>
  <Override PartName="/xl/media/image19.png" ContentType="image/png"/>
  <Override PartName="/xl/media/image18.png" ContentType="image/png"/>
  <Override PartName="/xl/media/image17.png" ContentType="image/png"/>
  <Override PartName="/xl/media/image16.png" ContentType="image/png"/>
  <Override PartName="/xl/media/image15.png" ContentType="image/png"/>
  <Override PartName="/xl/media/image14.png" ContentType="image/png"/>
  <Override PartName="/xl/media/image13.png" ContentType="image/png"/>
  <Override PartName="/xl/media/image12.png" ContentType="image/png"/>
  <Override PartName="/xl/media/image11.png" ContentType="image/png"/>
  <Override PartName="/xl/media/image4.png" ContentType="image/png"/>
  <Override PartName="/xl/media/image3.png" ContentType="image/png"/>
  <Override PartName="/xl/media/image2.png" ContentType="image/png"/>
  <Override PartName="/xl/media/image1.png" ContentType="image/png"/>
  <Override PartName="/xl/media/image5.png" ContentType="image/png"/>
  <Override PartName="/xl/media/image6.png" ContentType="image/png"/>
  <Override PartName="/xl/media/image7.png" ContentType="image/png"/>
  <Override PartName="/xl/media/image8.png" ContentType="image/png"/>
  <Override PartName="/xl/media/image10.png" ContentType="image/png"/>
  <Override PartName="/xl/media/image9.png" ContentType="image/png"/>
  <Override PartName="/xl/comments64.xml" ContentType="application/vnd.openxmlformats-officedocument.spreadsheetml.comments+xml"/>
  <Override PartName="/xl/comments5.xml" ContentType="application/vnd.openxmlformats-officedocument.spreadsheetml.comments+xml"/>
  <Override PartName="/xl/comments4.xml" ContentType="application/vnd.openxmlformats-officedocument.spreadsheetml.comments+xml"/>
  <Override PartName="/xl/comments42.xml" ContentType="application/vnd.openxmlformats-officedocument.spreadsheetml.comments+xml"/>
  <Override PartName="/xl/comments2.xml" ContentType="application/vnd.openxmlformats-officedocument.spreadsheetml.comments+xml"/>
  <Override PartName="/xl/drawings/_rels/drawing11.xml.rels" ContentType="application/vnd.openxmlformats-package.relationships+xml"/>
  <Override PartName="/xl/drawings/_rels/drawing12.xml.rels" ContentType="application/vnd.openxmlformats-package.relationships+xml"/>
  <Override PartName="/xl/drawings/_rels/drawing4.xml.rels" ContentType="application/vnd.openxmlformats-package.relationships+xml"/>
  <Override PartName="/xl/drawings/_rels/drawing3.xml.rels" ContentType="application/vnd.openxmlformats-package.relationships+xml"/>
  <Override PartName="/xl/drawings/_rels/drawing13.xml.rels" ContentType="application/vnd.openxmlformats-package.relationships+xml"/>
  <Override PartName="/xl/drawings/_rels/drawing5.xml.rels" ContentType="application/vnd.openxmlformats-package.relationships+xml"/>
  <Override PartName="/xl/drawings/_rels/drawing14.xml.rels" ContentType="application/vnd.openxmlformats-package.relationships+xml"/>
  <Override PartName="/xl/drawings/_rels/drawing6.xml.rels" ContentType="application/vnd.openxmlformats-package.relationships+xml"/>
  <Override PartName="/xl/drawings/_rels/drawing15.xml.rels" ContentType="application/vnd.openxmlformats-package.relationships+xml"/>
  <Override PartName="/xl/drawings/_rels/drawing7.xml.rels" ContentType="application/vnd.openxmlformats-package.relationships+xml"/>
  <Override PartName="/xl/drawings/_rels/drawing8.xml.rels" ContentType="application/vnd.openxmlformats-package.relationships+xml"/>
  <Override PartName="/xl/drawings/_rels/drawing1.xml.rels" ContentType="application/vnd.openxmlformats-package.relationships+xml"/>
  <Override PartName="/xl/drawings/_rels/drawing9.xml.rels" ContentType="application/vnd.openxmlformats-package.relationships+xml"/>
  <Override PartName="/xl/drawings/_rels/drawing2.xml.rels" ContentType="application/vnd.openxmlformats-package.relationships+xml"/>
  <Override PartName="/xl/drawings/_rels/drawing10.xml.rels" ContentType="application/vnd.openxmlformats-package.relationships+xml"/>
  <Override PartName="/xl/drawings/vmlDrawing15.vml" ContentType="application/vnd.openxmlformats-officedocument.vmlDrawing"/>
  <Override PartName="/xl/drawings/drawing15.xml" ContentType="application/vnd.openxmlformats-officedocument.drawing+xml"/>
  <Override PartName="/xl/drawings/vmlDrawing14.vml" ContentType="application/vnd.openxmlformats-officedocument.vmlDrawing"/>
  <Override PartName="/xl/drawings/vmlDrawing13.vml" ContentType="application/vnd.openxmlformats-officedocument.vmlDrawing"/>
  <Override PartName="/xl/drawings/drawing14.xml" ContentType="application/vnd.openxmlformats-officedocument.drawing+xml"/>
  <Override PartName="/xl/drawings/vmlDrawing12.vml" ContentType="application/vnd.openxmlformats-officedocument.vmlDrawing"/>
  <Override PartName="/xl/drawings/drawing13.xml" ContentType="application/vnd.openxmlformats-officedocument.drawing+xml"/>
  <Override PartName="/xl/drawings/vmlDrawing11.vml" ContentType="application/vnd.openxmlformats-officedocument.vmlDrawing"/>
  <Override PartName="/xl/drawings/vmlDrawing5.vml" ContentType="application/vnd.openxmlformats-officedocument.vmlDrawing"/>
  <Override PartName="/xl/drawings/drawing3.xml" ContentType="application/vnd.openxmlformats-officedocument.drawing+xml"/>
  <Override PartName="/xl/drawings/drawing2.xml" ContentType="application/vnd.openxmlformats-officedocument.drawing+xml"/>
  <Override PartName="/xl/drawings/vmlDrawing4.vml" ContentType="application/vnd.openxmlformats-officedocument.vmlDrawing"/>
  <Override PartName="/xl/drawings/drawing1.xml" ContentType="application/vnd.openxmlformats-officedocument.drawing+xml"/>
  <Override PartName="/xl/drawings/vmlDrawing3.vml" ContentType="application/vnd.openxmlformats-officedocument.vmlDrawing"/>
  <Override PartName="/xl/drawings/drawing4.xml" ContentType="application/vnd.openxmlformats-officedocument.drawing+xml"/>
  <Override PartName="/xl/drawings/vmlDrawing6.vml" ContentType="application/vnd.openxmlformats-officedocument.vmlDrawing"/>
  <Override PartName="/xl/drawings/vmlDrawing1.vml" ContentType="application/vnd.openxmlformats-officedocument.vmlDrawing"/>
  <Override PartName="/xl/drawings/drawing5.xml" ContentType="application/vnd.openxmlformats-officedocument.drawing+xml"/>
  <Override PartName="/xl/drawings/vmlDrawing7.vml" ContentType="application/vnd.openxmlformats-officedocument.vmlDrawing"/>
  <Override PartName="/xl/drawings/vmlDrawing2.vml" ContentType="application/vnd.openxmlformats-officedocument.vmlDrawing"/>
  <Override PartName="/xl/drawings/drawing6.xml" ContentType="application/vnd.openxmlformats-officedocument.drawing+xml"/>
  <Override PartName="/xl/drawings/vmlDrawing8.vml" ContentType="application/vnd.openxmlformats-officedocument.vmlDrawing"/>
  <Override PartName="/xl/drawings/drawing7.xml" ContentType="application/vnd.openxmlformats-officedocument.drawing+xml"/>
  <Override PartName="/xl/drawings/vmlDrawing9.vml" ContentType="application/vnd.openxmlformats-officedocument.vmlDrawing"/>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vmlDrawing10.vml" ContentType="application/vnd.openxmlformats-officedocument.vmlDrawing"/>
  <Override PartName="/xl/drawings/drawing12.xml" ContentType="application/vnd.openxmlformats-officedocument.drawing+xml"/>
  <Override PartName="/xl/comments3.xml" ContentType="application/vnd.openxmlformats-officedocument.spreadsheetml.comments+xml"/>
  <Override PartName="/xl/_rels/workbook.xml.rels" ContentType="application/vnd.openxmlformats-package.relationships+xml"/>
  <Override PartName="/xl/comments75.xml" ContentType="application/vnd.openxmlformats-officedocument.spreadsheetml.comments+xml"/>
  <Override PartName="/xl/workbook.xml" ContentType="application/vnd.openxmlformats-officedocument.spreadsheetml.sheet.main+xml"/>
  <Override PartName="/xl/worksheets/sheet78.xml" ContentType="application/vnd.openxmlformats-officedocument.spreadsheetml.worksheet+xml"/>
  <Override PartName="/xl/worksheets/sheet77.xml" ContentType="application/vnd.openxmlformats-officedocument.spreadsheetml.worksheet+xml"/>
  <Override PartName="/xl/worksheets/sheet76.xml" ContentType="application/vnd.openxmlformats-officedocument.spreadsheetml.worksheet+xml"/>
  <Override PartName="/xl/worksheets/sheet75.xml" ContentType="application/vnd.openxmlformats-officedocument.spreadsheetml.worksheet+xml"/>
  <Override PartName="/xl/worksheets/sheet74.xml" ContentType="application/vnd.openxmlformats-officedocument.spreadsheetml.worksheet+xml"/>
  <Override PartName="/xl/worksheets/sheet73.xml" ContentType="application/vnd.openxmlformats-officedocument.spreadsheetml.worksheet+xml"/>
  <Override PartName="/xl/worksheets/sheet72.xml" ContentType="application/vnd.openxmlformats-officedocument.spreadsheetml.worksheet+xml"/>
  <Override PartName="/xl/worksheets/sheet71.xml" ContentType="application/vnd.openxmlformats-officedocument.spreadsheetml.worksheet+xml"/>
  <Override PartName="/xl/worksheets/sheet70.xml" ContentType="application/vnd.openxmlformats-officedocument.spreadsheetml.worksheet+xml"/>
  <Override PartName="/xl/worksheets/sheet68.xml" ContentType="application/vnd.openxmlformats-officedocument.spreadsheetml.worksheet+xml"/>
  <Override PartName="/xl/worksheets/sheet67.xml" ContentType="application/vnd.openxmlformats-officedocument.spreadsheetml.worksheet+xml"/>
  <Override PartName="/xl/worksheets/sheet66.xml" ContentType="application/vnd.openxmlformats-officedocument.spreadsheetml.worksheet+xml"/>
  <Override PartName="/xl/worksheets/sheet65.xml" ContentType="application/vnd.openxmlformats-officedocument.spreadsheetml.worksheet+xml"/>
  <Override PartName="/xl/worksheets/sheet64.xml" ContentType="application/vnd.openxmlformats-officedocument.spreadsheetml.worksheet+xml"/>
  <Override PartName="/xl/worksheets/sheet63.xml" ContentType="application/vnd.openxmlformats-officedocument.spreadsheetml.worksheet+xml"/>
  <Override PartName="/xl/worksheets/sheet62.xml" ContentType="application/vnd.openxmlformats-officedocument.spreadsheetml.worksheet+xml"/>
  <Override PartName="/xl/worksheets/sheet61.xml" ContentType="application/vnd.openxmlformats-officedocument.spreadsheetml.worksheet+xml"/>
  <Override PartName="/xl/worksheets/sheet60.xml" ContentType="application/vnd.openxmlformats-officedocument.spreadsheetml.worksheet+xml"/>
  <Override PartName="/xl/worksheets/sheet56.xml" ContentType="application/vnd.openxmlformats-officedocument.spreadsheetml.worksheet+xml"/>
  <Override PartName="/xl/worksheets/sheet55.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51.xml" ContentType="application/vnd.openxmlformats-officedocument.spreadsheetml.worksheet+xml"/>
  <Override PartName="/xl/worksheets/sheet50.xml" ContentType="application/vnd.openxmlformats-officedocument.spreadsheetml.worksheet+xml"/>
  <Override PartName="/xl/worksheets/sheet49.xml" ContentType="application/vnd.openxmlformats-officedocument.spreadsheetml.worksheet+xml"/>
  <Override PartName="/xl/worksheets/sheet48.xml" ContentType="application/vnd.openxmlformats-officedocument.spreadsheetml.worksheet+xml"/>
  <Override PartName="/xl/worksheets/sheet47.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79.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_rels/sheet79.xml.rels" ContentType="application/vnd.openxmlformats-package.relationships+xml"/>
  <Override PartName="/xl/worksheets/_rels/sheet76.xml.rels" ContentType="application/vnd.openxmlformats-package.relationships+xml"/>
  <Override PartName="/xl/worksheets/_rels/sheet75.xml.rels" ContentType="application/vnd.openxmlformats-package.relationships+xml"/>
  <Override PartName="/xl/worksheets/_rels/sheet72.xml.rels" ContentType="application/vnd.openxmlformats-package.relationships+xml"/>
  <Override PartName="/xl/worksheets/_rels/sheet69.xml.rels" ContentType="application/vnd.openxmlformats-package.relationships+xml"/>
  <Override PartName="/xl/worksheets/_rels/sheet51.xml.rels" ContentType="application/vnd.openxmlformats-package.relationships+xml"/>
  <Override PartName="/xl/worksheets/_rels/sheet64.xml.rels" ContentType="application/vnd.openxmlformats-package.relationships+xml"/>
  <Override PartName="/xl/worksheets/_rels/sheet50.xml.rels" ContentType="application/vnd.openxmlformats-package.relationships+xml"/>
  <Override PartName="/xl/worksheets/_rels/sheet18.xml.rels" ContentType="application/vnd.openxmlformats-package.relationships+xml"/>
  <Override PartName="/xl/worksheets/_rels/sheet26.xml.rels" ContentType="application/vnd.openxmlformats-package.relationships+xml"/>
  <Override PartName="/xl/worksheets/_rels/sheet14.xml.rels" ContentType="application/vnd.openxmlformats-package.relationships+xml"/>
  <Override PartName="/xl/worksheets/_rels/sheet70.xml.rels" ContentType="application/vnd.openxmlformats-package.relationships+xml"/>
  <Override PartName="/xl/worksheets/_rels/sheet22.xml.rels" ContentType="application/vnd.openxmlformats-package.relationships+xml"/>
  <Override PartName="/xl/worksheets/_rels/sheet30.xml.rels" ContentType="application/vnd.openxmlformats-package.relationships+xml"/>
  <Override PartName="/xl/worksheets/_rels/sheet19.xml.rels" ContentType="application/vnd.openxmlformats-package.relationships+xml"/>
  <Override PartName="/xl/worksheets/_rels/sheet9.xml.rels" ContentType="application/vnd.openxmlformats-package.relationships+xml"/>
  <Override PartName="/xl/worksheets/_rels/sheet60.xml.rels" ContentType="application/vnd.openxmlformats-package.relationships+xml"/>
  <Override PartName="/xl/worksheets/_rels/sheet2.xml.rels" ContentType="application/vnd.openxmlformats-package.relationships+xml"/>
  <Override PartName="/xl/worksheets/_rels/sheet10.xml.rels" ContentType="application/vnd.openxmlformats-package.relationships+xml"/>
  <Override PartName="/xl/worksheets/_rels/sheet13.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63.xml.rels" ContentType="application/vnd.openxmlformats-package.relationships+xml"/>
  <Override PartName="/xl/worksheets/_rels/sheet29.xml.rels" ContentType="application/vnd.openxmlformats-package.relationships+xml"/>
  <Override PartName="/xl/worksheets/_rels/sheet5.xml.rels" ContentType="application/vnd.openxmlformats-package.relationships+xml"/>
  <Override PartName="/xl/worksheets/_rels/sheet20.xml.rels" ContentType="application/vnd.openxmlformats-package.relationships+xml"/>
  <Override PartName="/xl/worksheets/_rels/sheet43.xml.rels" ContentType="application/vnd.openxmlformats-package.relationships+xml"/>
  <Override PartName="/xl/worksheets/_rels/sheet71.xml.rels" ContentType="application/vnd.openxmlformats-package.relationships+xml"/>
  <Override PartName="/xl/worksheets/_rels/sheet23.xml.rels" ContentType="application/vnd.openxmlformats-package.relationships+xml"/>
  <Override PartName="/xl/worksheets/_rels/sheet38.xml.rels" ContentType="application/vnd.openxmlformats-package.relationships+xml"/>
  <Override PartName="/xl/worksheets/_rels/sheet32.xml.rels" ContentType="application/vnd.openxmlformats-package.relationships+xml"/>
  <Override PartName="/xl/worksheets/_rels/sheet36.xml.rels" ContentType="application/vnd.openxmlformats-package.relationships+xml"/>
  <Override PartName="/xl/worksheets/_rels/sheet42.xml.rels" ContentType="application/vnd.openxmlformats-package.relationships+xml"/>
  <Override PartName="/xl/worksheets/_rels/sheet49.xml.rels" ContentType="application/vnd.openxmlformats-package.relationships+xml"/>
  <Override PartName="/xl/worksheets/sheet59.xml" ContentType="application/vnd.openxmlformats-officedocument.spreadsheetml.worksheet+xml"/>
  <Override PartName="/xl/worksheets/sheet3.xml" ContentType="application/vnd.openxmlformats-officedocument.spreadsheetml.worksheet+xml"/>
  <Override PartName="/xl/worksheets/sheet18.xml" ContentType="application/vnd.openxmlformats-officedocument.spreadsheetml.worksheet+xml"/>
  <Override PartName="/xl/worksheets/sheet58.xml" ContentType="application/vnd.openxmlformats-officedocument.spreadsheetml.worksheet+xml"/>
  <Override PartName="/xl/worksheets/sheet2.xml" ContentType="application/vnd.openxmlformats-officedocument.spreadsheetml.worksheet+xml"/>
  <Override PartName="/xl/worksheets/sheet17.xml" ContentType="application/vnd.openxmlformats-officedocument.spreadsheetml.worksheet+xml"/>
  <Override PartName="/xl/worksheets/sheet57.xml" ContentType="application/vnd.openxmlformats-officedocument.spreadsheetml.worksheet+xml"/>
  <Override PartName="/xl/worksheets/sheet1.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6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comments19.xml" ContentType="application/vnd.openxmlformats-officedocument.spreadsheetml.comments+xml"/>
  <Override PartName="/xl/styles.xml" ContentType="application/vnd.openxmlformats-officedocument.spreadsheetml.styles+xml"/>
  <Override PartName="/xl/charts/chart2.xml" ContentType="application/vnd.openxmlformats-officedocument.drawingml.chart+xml"/>
  <Override PartName="/xl/charts/chart1.xml" ContentType="application/vnd.openxmlformats-officedocument.drawingml.chart+xml"/>
  <Override PartName="/xl/comments63.xml" ContentType="application/vnd.openxmlformats-officedocument.spreadsheetml.comments+xml"/>
  <Override PartName="/xl/comments20.xml" ContentType="application/vnd.openxmlformats-officedocument.spreadsheetml.comments+xml"/>
  <Override PartName="/xl/comments76.xml" ContentType="application/vnd.openxmlformats-officedocument.spreadsheetml.comments+xml"/>
  <Override PartName="/xl/comments23.xml" ContentType="application/vnd.openxmlformats-officedocument.spreadsheetml.comments+xml"/>
  <Override PartName="/xl/sharedStrings.xml" ContentType="application/vnd.openxmlformats-officedocument.spreadsheetml.sharedStrings+xml"/>
  <Override PartName="/xl/comments71.xml" ContentType="application/vnd.openxmlformats-officedocument.spreadsheetml.comments+xml"/>
  <Override PartName="/xl/comments26.xml" ContentType="application/vnd.openxmlformats-officedocument.spreadsheetml.comments+xml"/>
  <Override PartName="/xl/comments79.xml" ContentType="application/vnd.openxmlformats-officedocument.spreadsheetml.comment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2"/>
  </bookViews>
  <sheets>
    <sheet name="modèle" sheetId="1" state="visible" r:id="rId2"/>
    <sheet name="302644_BREDA" sheetId="2" state="visible" r:id="rId3"/>
    <sheet name="302644_BULBE" sheetId="3" state="visible" r:id="rId4"/>
    <sheet name="302644_MOULINS" sheetId="4" state="visible" r:id="rId5"/>
    <sheet name="302644_VEYTON" sheetId="5" state="visible" r:id="rId6"/>
    <sheet name="20094" sheetId="6" state="visible" r:id="rId7"/>
    <sheet name="20129" sheetId="7" state="visible" r:id="rId8"/>
    <sheet name="30335" sheetId="8" state="visible" r:id="rId9"/>
    <sheet name="30428" sheetId="9" state="visible" r:id="rId10"/>
    <sheet name="30463" sheetId="10" state="visible" r:id="rId11"/>
    <sheet name="31108" sheetId="11" state="visible" r:id="rId12"/>
    <sheet name="31115" sheetId="12" state="visible" r:id="rId13"/>
    <sheet name="32535" sheetId="13" state="visible" r:id="rId14"/>
    <sheet name="40304" sheetId="14" state="visible" r:id="rId15"/>
    <sheet name="40310" sheetId="15" state="visible" r:id="rId16"/>
    <sheet name="40319" sheetId="16" state="visible" r:id="rId17"/>
    <sheet name="40522" sheetId="17" state="visible" r:id="rId18"/>
    <sheet name="40587" sheetId="18" state="visible" r:id="rId19"/>
    <sheet name="40603" sheetId="19" state="visible" r:id="rId20"/>
    <sheet name="40663" sheetId="20" state="visible" r:id="rId21"/>
    <sheet name="40811" sheetId="21" state="visible" r:id="rId22"/>
    <sheet name="40817" sheetId="22" state="visible" r:id="rId23"/>
    <sheet name="40818" sheetId="23" state="visible" r:id="rId24"/>
    <sheet name="40821" sheetId="24" state="visible" r:id="rId25"/>
    <sheet name="51167" sheetId="25" state="visible" r:id="rId26"/>
    <sheet name="51204" sheetId="26" state="visible" r:id="rId27"/>
    <sheet name="51205" sheetId="27" state="visible" r:id="rId28"/>
    <sheet name="51208" sheetId="28" state="visible" r:id="rId29"/>
    <sheet name="51211" sheetId="29" state="visible" r:id="rId30"/>
    <sheet name="51216" sheetId="30" state="visible" r:id="rId31"/>
    <sheet name="51217" sheetId="31" state="visible" r:id="rId32"/>
    <sheet name="51526" sheetId="32" state="visible" r:id="rId33"/>
    <sheet name="51785" sheetId="33" state="visible" r:id="rId34"/>
    <sheet name="51787" sheetId="34" state="visible" r:id="rId35"/>
    <sheet name="51788" sheetId="35" state="visible" r:id="rId36"/>
    <sheet name="51789" sheetId="36" state="visible" r:id="rId37"/>
    <sheet name="61553" sheetId="37" state="visible" r:id="rId38"/>
    <sheet name="61554" sheetId="38" state="visible" r:id="rId39"/>
    <sheet name="61891" sheetId="39" state="visible" r:id="rId40"/>
    <sheet name="61901" sheetId="40" state="visible" r:id="rId41"/>
    <sheet name="61904" sheetId="41" state="visible" r:id="rId42"/>
    <sheet name="61967" sheetId="42" state="visible" r:id="rId43"/>
    <sheet name="61972" sheetId="43" state="visible" r:id="rId44"/>
    <sheet name="62038" sheetId="44" state="visible" r:id="rId45"/>
    <sheet name="62046" sheetId="45" state="visible" r:id="rId46"/>
    <sheet name="62084" sheetId="46" state="visible" r:id="rId47"/>
    <sheet name="62099" sheetId="47" state="visible" r:id="rId48"/>
    <sheet name="62150" sheetId="48" state="visible" r:id="rId49"/>
    <sheet name="62185" sheetId="49" state="visible" r:id="rId50"/>
    <sheet name="62204" sheetId="50" state="visible" r:id="rId51"/>
    <sheet name="62210" sheetId="51" state="visible" r:id="rId52"/>
    <sheet name="62221" sheetId="52" state="visible" r:id="rId53"/>
    <sheet name="62242" sheetId="53" state="visible" r:id="rId54"/>
    <sheet name="62262" sheetId="54" state="visible" r:id="rId55"/>
    <sheet name="62278" sheetId="55" state="visible" r:id="rId56"/>
    <sheet name="62299" sheetId="56" state="visible" r:id="rId57"/>
    <sheet name="62302" sheetId="57" state="visible" r:id="rId58"/>
    <sheet name="62315" sheetId="58" state="visible" r:id="rId59"/>
    <sheet name="71662" sheetId="59" state="visible" r:id="rId60"/>
    <sheet name="71665" sheetId="60" state="visible" r:id="rId61"/>
    <sheet name="71716" sheetId="61" state="visible" r:id="rId62"/>
    <sheet name="71718" sheetId="62" state="visible" r:id="rId63"/>
    <sheet name="80744" sheetId="63" state="visible" r:id="rId64"/>
    <sheet name="80759" sheetId="64" state="visible" r:id="rId65"/>
    <sheet name="80774" sheetId="65" state="visible" r:id="rId66"/>
    <sheet name="101091" sheetId="66" state="visible" r:id="rId67"/>
    <sheet name="129745" sheetId="67" state="visible" r:id="rId68"/>
    <sheet name="418043&#9;" sheetId="68" state="visible" r:id="rId69"/>
    <sheet name="435176" sheetId="69" state="visible" r:id="rId70"/>
    <sheet name="436860" sheetId="70" state="visible" r:id="rId71"/>
    <sheet name="436301" sheetId="71" state="visible" r:id="rId72"/>
    <sheet name="437159" sheetId="72" state="visible" r:id="rId73"/>
    <sheet name="438926" sheetId="73" state="visible" r:id="rId74"/>
    <sheet name="473054" sheetId="74" state="visible" r:id="rId75"/>
    <sheet name="473437" sheetId="75" state="visible" r:id="rId76"/>
    <sheet name="504708" sheetId="76" state="visible" r:id="rId77"/>
    <sheet name="529289" sheetId="77" state="visible" r:id="rId78"/>
    <sheet name="529291" sheetId="78" state="visible" r:id="rId79"/>
    <sheet name="40788-595463" sheetId="79" state="visible" r:id="rId80"/>
  </sheets>
  <calcPr iterateCount="100" refMode="A1" iterate="false" iterateDelta="0.0001"/>
  <extLst>
    <ext xmlns:loext="http://schemas.libreoffice.org/" uri="{7626C862-2A13-11E5-B345-FEFF819CDC9F}">
      <loext:extCalcPr stringRefSyntax="CalcA1ExcelA1"/>
    </ext>
  </extLst>
</workbook>
</file>

<file path=xl/comments2.xml><?xml version="1.0" encoding="utf-8"?>
<comments xmlns="http://schemas.openxmlformats.org/spreadsheetml/2006/main" xmlns:xdr="http://schemas.openxmlformats.org/drawingml/2006/spreadsheetDrawing">
  <authors>
    <author> </author>
  </authors>
  <commentList>
    <comment ref="C4" authorId="0">
      <text>
        <r>
          <rPr>
            <sz val="10"/>
            <rFont val="Arial"/>
            <family val="2"/>
            <charset val="1"/>
          </rPr>
          <t xml:space="preserve">N° de CART (commentaire du fichier ‘Producteurs.ods’)</t>
        </r>
      </text>
    </comment>
  </commentList>
</comments>
</file>

<file path=xl/comments3.xml><?xml version="1.0" encoding="utf-8"?>
<comments xmlns="http://schemas.openxmlformats.org/spreadsheetml/2006/main" xmlns:xdr="http://schemas.openxmlformats.org/drawingml/2006/spreadsheetDrawing">
  <authors>
    <author> </author>
  </authors>
  <commentList>
    <comment ref="C4" authorId="0">
      <text>
        <r>
          <rPr>
            <sz val="10"/>
            <rFont val="Arial"/>
            <family val="2"/>
            <charset val="1"/>
          </rPr>
          <t xml:space="preserve">N° de CART (commentaire du fichier ‘Producteurs.ods’)</t>
        </r>
      </text>
    </comment>
  </commentList>
</comments>
</file>

<file path=xl/comments4.xml><?xml version="1.0" encoding="utf-8"?>
<comments xmlns="http://schemas.openxmlformats.org/spreadsheetml/2006/main" xmlns:xdr="http://schemas.openxmlformats.org/drawingml/2006/spreadsheetDrawing">
  <authors>
    <author> </author>
  </authors>
  <commentList>
    <comment ref="C4" authorId="0">
      <text>
        <r>
          <rPr>
            <sz val="10"/>
            <rFont val="Arial"/>
            <family val="2"/>
            <charset val="1"/>
          </rPr>
          <t xml:space="preserve">N° de CART (commentaire du fichier ‘Producteurs.ods’)</t>
        </r>
      </text>
    </comment>
  </commentList>
</comments>
</file>

<file path=xl/comments5.xml><?xml version="1.0" encoding="utf-8"?>
<comments xmlns="http://schemas.openxmlformats.org/spreadsheetml/2006/main" xmlns:xdr="http://schemas.openxmlformats.org/drawingml/2006/spreadsheetDrawing">
  <authors>
    <author> </author>
  </authors>
  <commentList>
    <comment ref="C4" authorId="0">
      <text>
        <r>
          <rPr>
            <sz val="10"/>
            <rFont val="Arial"/>
            <family val="2"/>
            <charset val="1"/>
          </rPr>
          <t xml:space="preserve">N° de CART (commentaire du fichier ‘Producteurs.ods’)</t>
        </r>
      </text>
    </comment>
  </commentList>
</comments>
</file>

<file path=xl/comments19.xml><?xml version="1.0" encoding="utf-8"?>
<comments xmlns="http://schemas.openxmlformats.org/spreadsheetml/2006/main" xmlns:xdr="http://schemas.openxmlformats.org/drawingml/2006/spreadsheetDrawing">
  <authors>
    <author> </author>
  </authors>
  <commentList>
    <comment ref="I4" authorId="0">
      <text>
        <r>
          <rPr>
            <sz val="10"/>
            <rFont val="Arial"/>
            <family val="2"/>
            <charset val="1"/>
          </rPr>
          <t xml:space="preserve">400 + 600 selon le CPA</t>
        </r>
      </text>
    </comment>
  </commentList>
</comments>
</file>

<file path=xl/comments20.xml><?xml version="1.0" encoding="utf-8"?>
<comments xmlns="http://schemas.openxmlformats.org/spreadsheetml/2006/main" xmlns:xdr="http://schemas.openxmlformats.org/drawingml/2006/spreadsheetDrawing">
  <authors>
    <author> </author>
  </authors>
  <commentList>
    <comment ref="G4" authorId="0">
      <text>
        <r>
          <rPr>
            <sz val="10"/>
            <rFont val="Arial"/>
            <family val="2"/>
            <charset val="1"/>
          </rPr>
          <t xml:space="preserve">13550 dans le CPA et 1200 dans le card-i. Seulement 2 génératrices dans le card-i !</t>
        </r>
      </text>
    </comment>
  </commentList>
</comments>
</file>

<file path=xl/comments23.xml><?xml version="1.0" encoding="utf-8"?>
<comments xmlns="http://schemas.openxmlformats.org/spreadsheetml/2006/main" xmlns:xdr="http://schemas.openxmlformats.org/drawingml/2006/spreadsheetDrawing">
  <authors>
    <author> </author>
  </authors>
  <commentList>
    <comment ref="I154" authorId="0">
      <text>
        <r>
          <rPr>
            <sz val="10"/>
            <rFont val="Arial"/>
            <family val="2"/>
            <charset val="1"/>
          </rPr>
          <t xml:space="preserve">Le producteur a confirmé qu’il connaît pas cette donnée</t>
        </r>
      </text>
    </comment>
  </commentList>
</comments>
</file>

<file path=xl/comments26.xml><?xml version="1.0" encoding="utf-8"?>
<comments xmlns="http://schemas.openxmlformats.org/spreadsheetml/2006/main" xmlns:xdr="http://schemas.openxmlformats.org/drawingml/2006/spreadsheetDrawing">
  <authors>
    <author> </author>
  </authors>
  <commentList>
    <comment ref="G4" authorId="0">
      <text>
        <r>
          <rPr>
            <sz val="10"/>
            <rFont val="Arial"/>
            <family val="2"/>
            <charset val="1"/>
          </rPr>
          <t xml:space="preserve">497 dans le card-i. Demande d’augmenter la puissance max d’injection de 497 à 595 kWc</t>
        </r>
      </text>
    </comment>
  </commentList>
</comments>
</file>

<file path=xl/comments42.xml><?xml version="1.0" encoding="utf-8"?>
<comments xmlns="http://schemas.openxmlformats.org/spreadsheetml/2006/main" xmlns:xdr="http://schemas.openxmlformats.org/drawingml/2006/spreadsheetDrawing">
  <authors>
    <author> </author>
  </authors>
  <commentList>
    <comment ref="G6" authorId="0">
      <text>
        <r>
          <rPr>
            <sz val="14"/>
            <rFont val="Arial"/>
            <family val="2"/>
            <charset val="1"/>
          </rPr>
          <t xml:space="preserve">Info du fichier prod par prod PRODUCTIONS MENSUELLES
CENTRALE de SALIES du SALAT
4200 kW / 400 en H07 / 3800 sur le marché</t>
        </r>
      </text>
    </comment>
    <comment ref="I4" authorId="0">
      <text>
        <r>
          <rPr>
            <sz val="10"/>
            <rFont val="Arial"/>
            <family val="2"/>
            <charset val="1"/>
          </rPr>
          <t xml:space="preserve">card-i</t>
        </r>
      </text>
    </comment>
  </commentList>
</comments>
</file>

<file path=xl/comments63.xml><?xml version="1.0" encoding="utf-8"?>
<comments xmlns="http://schemas.openxmlformats.org/spreadsheetml/2006/main" xmlns:xdr="http://schemas.openxmlformats.org/drawingml/2006/spreadsheetDrawing">
  <authors>
    <author> </author>
  </authors>
  <commentList>
    <comment ref="F3" authorId="0">
      <text>
        <r>
          <rPr>
            <sz val="10"/>
            <rFont val="Arial"/>
            <family val="2"/>
            <charset val="1"/>
          </rPr>
          <t xml:space="preserve">Selon le CPA</t>
        </r>
      </text>
    </comment>
    <comment ref="J11" authorId="0">
      <text>
        <r>
          <rPr>
            <sz val="10"/>
            <rFont val="Arial"/>
            <family val="2"/>
            <charset val="1"/>
          </rPr>
          <t xml:space="preserve">Fichier producteur par prod
</t>
        </r>
      </text>
    </comment>
  </commentList>
</comments>
</file>

<file path=xl/comments64.xml><?xml version="1.0" encoding="utf-8"?>
<comments xmlns="http://schemas.openxmlformats.org/spreadsheetml/2006/main" xmlns:xdr="http://schemas.openxmlformats.org/drawingml/2006/spreadsheetDrawing">
  <authors>
    <author> </author>
  </authors>
  <commentList>
    <comment ref="C4" authorId="0">
      <text>
        <r>
          <rPr>
            <sz val="10"/>
            <rFont val="Arial"/>
            <family val="2"/>
            <charset val="1"/>
          </rPr>
          <t xml:space="preserve">438668 card ancien</t>
        </r>
      </text>
    </comment>
  </commentList>
</comments>
</file>

<file path=xl/comments71.xml><?xml version="1.0" encoding="utf-8"?>
<comments xmlns="http://schemas.openxmlformats.org/spreadsheetml/2006/main" xmlns:xdr="http://schemas.openxmlformats.org/drawingml/2006/spreadsheetDrawing">
  <authors>
    <author> </author>
  </authors>
  <commentList>
    <comment ref="J4" authorId="0">
      <text>
        <r>
          <rPr>
            <sz val="10"/>
            <rFont val="Arial"/>
            <family val="2"/>
            <charset val="1"/>
          </rPr>
          <t xml:space="preserve">P EN 2000
</t>
        </r>
      </text>
    </comment>
  </commentList>
</comments>
</file>

<file path=xl/comments75.xml><?xml version="1.0" encoding="utf-8"?>
<comments xmlns="http://schemas.openxmlformats.org/spreadsheetml/2006/main" xmlns:xdr="http://schemas.openxmlformats.org/drawingml/2006/spreadsheetDrawing">
  <authors>
    <author> </author>
  </authors>
  <commentList>
    <comment ref="G4" authorId="0">
      <text>
        <r>
          <rPr>
            <sz val="10"/>
            <rFont val="Arial"/>
            <family val="2"/>
            <charset val="1"/>
          </rPr>
          <t xml:space="preserve">Puissance de racc maximale = 1900 kW ou puissance maximale active injectée dans le réseau 1854 kW</t>
        </r>
      </text>
    </comment>
  </commentList>
</comments>
</file>

<file path=xl/comments76.xml><?xml version="1.0" encoding="utf-8"?>
<comments xmlns="http://schemas.openxmlformats.org/spreadsheetml/2006/main" xmlns:xdr="http://schemas.openxmlformats.org/drawingml/2006/spreadsheetDrawing">
  <authors>
    <author> </author>
  </authors>
  <commentList>
    <comment ref="C199" authorId="0">
      <text>
        <r>
          <rPr>
            <sz val="10"/>
            <rFont val="Arial"/>
            <family val="2"/>
            <charset val="1"/>
          </rPr>
          <t xml:space="preserve">Donnés de l’ancien card-i 10328</t>
        </r>
      </text>
    </comment>
  </commentList>
</comments>
</file>

<file path=xl/comments79.xml><?xml version="1.0" encoding="utf-8"?>
<comments xmlns="http://schemas.openxmlformats.org/spreadsheetml/2006/main" xmlns:xdr="http://schemas.openxmlformats.org/drawingml/2006/spreadsheetDrawing">
  <authors>
    <author> </author>
  </authors>
  <commentList>
    <comment ref="F70" authorId="0">
      <text>
        <r>
          <rPr>
            <sz val="10"/>
            <rFont val="Arial"/>
            <family val="2"/>
            <charset val="1"/>
          </rPr>
          <t xml:space="preserve">755 dans le card-i mais délivre pas cette puissance</t>
        </r>
      </text>
    </comment>
    <comment ref="G70" authorId="0">
      <text>
        <r>
          <rPr>
            <sz val="10"/>
            <rFont val="Arial"/>
            <family val="2"/>
            <charset val="1"/>
          </rPr>
          <t xml:space="preserve">180 normalement </t>
        </r>
      </text>
    </comment>
  </commentList>
</comments>
</file>

<file path=xl/sharedStrings.xml><?xml version="1.0" encoding="utf-8"?>
<sst xmlns="http://schemas.openxmlformats.org/spreadsheetml/2006/main" count="21629" uniqueCount="1259">
  <si>
    <t xml:space="preserve">Infos centrale</t>
  </si>
  <si>
    <t xml:space="preserve">Infos puissance (en kW)</t>
  </si>
  <si>
    <t xml:space="preserve">CPA</t>
  </si>
  <si>
    <t xml:space="preserve">Producteurs.ods</t>
  </si>
  <si>
    <t xml:space="preserve">Suivi des centrales signées – depuis sept 2014.ods</t>
  </si>
  <si>
    <t xml:space="preserve">TVB ?</t>
  </si>
  <si>
    <t xml:space="preserve">tout correspond</t>
  </si>
  <si>
    <t xml:space="preserve">COMPLET</t>
  </si>
  <si>
    <t xml:space="preserve">(dans le sens où on est au clair sur les puissances)</t>
  </si>
  <si>
    <t xml:space="preserve">n° contrat</t>
  </si>
  <si>
    <t xml:space="preserve">CARD</t>
  </si>
  <si>
    <t xml:space="preserve">Nom centrale</t>
  </si>
  <si>
    <t xml:space="preserve">Nom producteur</t>
  </si>
  <si>
    <t xml:space="preserve">totale installée</t>
  </si>
  <si>
    <t xml:space="preserve">souscrite dans le CARD-I</t>
  </si>
  <si>
    <t xml:space="preserve">active max de livraison à EnC</t>
  </si>
  <si>
    <t xml:space="preserve">infos installation</t>
  </si>
  <si>
    <t xml:space="preserve">puissance</t>
  </si>
  <si>
    <t xml:space="preserve">détails intallation</t>
  </si>
  <si>
    <t xml:space="preserve">OA</t>
  </si>
  <si>
    <t xml:space="preserve">pb de données avec Komi</t>
  </si>
  <si>
    <t xml:space="preserve">INCOMPLET</t>
  </si>
  <si>
    <t xml:space="preserve">CT_HYDRO_XXX</t>
  </si>
  <si>
    <t xml:space="preserve">pas clair / manque données / …</t>
  </si>
  <si>
    <t xml:space="preserve">La puissance prise en compte dans le calcul du facteur de charge n’est pas celle du fichier ‘Producteurs.ods’</t>
  </si>
  <si>
    <t xml:space="preserve">Identifiant unique</t>
  </si>
  <si>
    <t xml:space="preserve">Commentaires généraux</t>
  </si>
  <si>
    <t xml:space="preserve">début du contrat</t>
  </si>
  <si>
    <t xml:space="preserve">facteur de charge &gt; 0,8</t>
  </si>
  <si>
    <t xml:space="preserve">Problème avec les données de Komi</t>
  </si>
  <si>
    <t xml:space="preserve">facteur de charge &lt; 0,2</t>
  </si>
  <si>
    <t xml:space="preserve">facteur de charge = 0</t>
  </si>
  <si>
    <t xml:space="preserve">Date</t>
  </si>
  <si>
    <t xml:space="preserve">Prod par prod et bilan mensuel</t>
  </si>
  <si>
    <t xml:space="preserve">totale/marché libre</t>
  </si>
  <si>
    <t xml:space="preserve">Facteur de charge (par rapport à la puissance en ML)</t>
  </si>
  <si>
    <t xml:space="preserve">Total puissance</t>
  </si>
  <si>
    <t xml:space="preserve">Total ML</t>
  </si>
  <si>
    <t xml:space="preserve">Total OA</t>
  </si>
  <si>
    <t xml:space="preserve">Événement</t>
  </si>
  <si>
    <t xml:space="preserve">Commentaire</t>
  </si>
  <si>
    <t xml:space="preserve">totale</t>
  </si>
  <si>
    <t xml:space="preserve">marché libre</t>
  </si>
  <si>
    <t xml:space="preserve">CT_HYDRO_124</t>
  </si>
  <si>
    <t xml:space="preserve">Asco Energie</t>
  </si>
  <si>
    <t xml:space="preserve">ADISSON</t>
  </si>
  <si>
    <t xml:space="preserve">2 x 2400</t>
  </si>
  <si>
    <t xml:space="preserve">4 centrales : Les Moulins, Pinsot, Veyton, Chinfert</t>
  </si>
  <si>
    <t xml:space="preserve">oui</t>
  </si>
  <si>
    <t xml:space="preserve">Dans le suivi des centrales signées, problème sur l’identifiant unique qui est : HY_999999_ADISSON !
Contrat signé avec Enercoop : 29 550 kW – pas d’OA (la demande d’offre concerne l’ensemble des génératrices de l’installation)
Passages en OA bientôt → cf mes notes
Mandat GO : puissance livrée à EnC : 28 000 kW
Courriel du producteur : Pmax Chute = 4 300 KW</t>
  </si>
  <si>
    <t xml:space="preserve">HY_302644_ASCOENERGIE</t>
  </si>
  <si>
    <t xml:space="preserve">Historique de production / factures RE</t>
  </si>
  <si>
    <t xml:space="preserve">bilan mensuel</t>
  </si>
  <si>
    <t xml:space="preserve">arrêt partiel de la chute</t>
  </si>
  <si>
    <t xml:space="preserve">arrêt total de la chute</t>
  </si>
  <si>
    <t xml:space="preserve">perte de production liée à un incident sur la ligne 63000 Volts</t>
  </si>
  <si>
    <t xml:space="preserve">Dans le suivi des centrales signées, problème sur l’identifiant unique qui est : HY_999999_ADISSON !
Contrat signé avec Enercoop : 29 550 kW – pas d’OA (la demande d’offre concerne l’ensemble des génératrices de l’installation)
Passages en OA bientôt → cf mes notes
Mandat GO : puissance livrée à EnC : 28 000 kW
Courriel du producteur : Pmax Chute = 730 KW</t>
  </si>
  <si>
    <t xml:space="preserve">2 x 7000</t>
  </si>
  <si>
    <t xml:space="preserve">Dans le suivi des centrales signées, problème sur l’identifiant unique qui est : HY_999999_ADISSON !
Contrat signé avec Enercoop : 29 550 kW – pas d’OA (la demande d’offre concerne l’ensemble des génératrices de l’installation)
Passages en OA bientôt → cf mes notes
Mandat GO : puissance livrée à EnC : 28 000 kW
Courriel du producteur : Pmax Chute = 13600 KW</t>
  </si>
  <si>
    <t xml:space="preserve">3 x 4000</t>
  </si>
  <si>
    <t xml:space="preserve">Dans le suivi des centrales signées, problème sur l’identifiant unique qui est : HY_999999_ADISSON !
Contrat signé avec Enercoop : 29 550 kW – pas d’OA (la demande d’offre concerne l’ensemble des génératrices de l’installation)
Passages en OA bientôt → cf mes notes
Mandat GO : puissance livrée à EnC : 28 000 kW
Courriel du producteur : Pmax Chute = 10 300 KW</t>
  </si>
  <si>
    <t xml:space="preserve">CT_HYDRO_066</t>
  </si>
  <si>
    <t xml:space="preserve">La Courbe</t>
  </si>
  <si>
    <t xml:space="preserve">CHARMY</t>
  </si>
  <si>
    <t xml:space="preserve">580 ML + (380+320) OA (KVA!!! dans le CPA))</t>
  </si>
  <si>
    <t xml:space="preserve">rénovation oui, surplus oui, 600 OA + 650 EN</t>
  </si>
  <si>
    <t xml:space="preserve">NS</t>
  </si>
  <si>
    <t xml:space="preserve">Pb mineure de puissance 1000 dans le CPA et 1050 dans le card-i.  Conversion du kVA en kW  700 kVA en OA  soit  560 kW avec un cosphi 0,8</t>
  </si>
  <si>
    <t xml:space="preserve">HY_20094_LACOURBE</t>
  </si>
  <si>
    <t xml:space="preserve">PRODUCTION 2013</t>
  </si>
  <si>
    <t xml:space="preserve">passage OA 1</t>
  </si>
  <si>
    <t xml:space="preserve">Transforrmation 560 kW=700kVA</t>
  </si>
  <si>
    <t xml:space="preserve">Marché Libre</t>
  </si>
  <si>
    <t xml:space="preserve">EDF OA</t>
  </si>
  <si>
    <t xml:space="preserve">PRODUCTION</t>
  </si>
  <si>
    <t xml:space="preserve">KWH</t>
  </si>
  <si>
    <t xml:space="preserve">H.T.en €</t>
  </si>
  <si>
    <t xml:space="preserve">JANVIER.</t>
  </si>
  <si>
    <t xml:space="preserve">FEVRIER</t>
  </si>
  <si>
    <t xml:space="preserve">MARS.</t>
  </si>
  <si>
    <t xml:space="preserve">AVRIL.</t>
  </si>
  <si>
    <t xml:space="preserve">MAI.</t>
  </si>
  <si>
    <t xml:space="preserve">JUIN.</t>
  </si>
  <si>
    <t xml:space="preserve">JUILLET.</t>
  </si>
  <si>
    <t xml:space="preserve">AOUT.</t>
  </si>
  <si>
    <t xml:space="preserve">SEPTEMBRE.</t>
  </si>
  <si>
    <t xml:space="preserve">OCTOBRE.</t>
  </si>
  <si>
    <t xml:space="preserve">NOVEMBRE.</t>
  </si>
  <si>
    <t xml:space="preserve">DECEMBRE.</t>
  </si>
  <si>
    <t xml:space="preserve">TOTAL</t>
  </si>
  <si>
    <t xml:space="preserve">PRODUCTION 2014</t>
  </si>
  <si>
    <t xml:space="preserve">puissance inscrite</t>
  </si>
  <si>
    <t xml:space="preserve">CT_HYDRO_035</t>
  </si>
  <si>
    <t xml:space="preserve">Moulin de Pontséricourt</t>
  </si>
  <si>
    <t xml:space="preserve">LORENT / ASTIER</t>
  </si>
  <si>
    <t xml:space="preserve">Générateur de 125kW</t>
  </si>
  <si>
    <t xml:space="preserve">HY_20129_PONTSERICOURT</t>
  </si>
  <si>
    <t xml:space="preserve">Total puissance souscrite</t>
  </si>
  <si>
    <t xml:space="preserve">arret</t>
  </si>
  <si>
    <t xml:space="preserve">centrale à l'abandon jusqu'au changement de propriétaire</t>
  </si>
  <si>
    <t xml:space="preserve">chute d’un poteau</t>
  </si>
  <si>
    <t xml:space="preserve">propriétaire malade ?  </t>
  </si>
  <si>
    <t xml:space="preserve">propriétaire malade </t>
  </si>
  <si>
    <t xml:space="preserve">Octobre 2012 – mars 2013</t>
  </si>
  <si>
    <t xml:space="preserve">Bonjour,voici la production des mois demandés :octobre 2012 : 11110 KWHnovembre 2012 : 13534décembre 2012 : 20181janvier 2013 : 40904février 2013 : 33083mars 2013 : 38550</t>
  </si>
  <si>
    <t xml:space="preserve">panne </t>
  </si>
  <si>
    <t xml:space="preserve">changement de turbine</t>
  </si>
  <si>
    <t xml:space="preserve">baisse de puissance</t>
  </si>
  <si>
    <t xml:space="preserve">OR</t>
  </si>
  <si>
    <t xml:space="preserve">CT_HYDRO_142</t>
  </si>
  <si>
    <t xml:space="preserve">Freland</t>
  </si>
  <si>
    <t xml:space="preserve">DENNINGER</t>
  </si>
  <si>
    <t xml:space="preserve">120 – card non dispo</t>
  </si>
  <si>
    <t xml:space="preserve">non</t>
  </si>
  <si>
    <t xml:space="preserve">HY_30335_FRELAND</t>
  </si>
  <si>
    <t xml:space="preserve">CT_HYDRO_157</t>
  </si>
  <si>
    <t xml:space="preserve">Fouys</t>
  </si>
  <si>
    <t xml:space="preserve">REMY</t>
  </si>
  <si>
    <t xml:space="preserve">dans synt</t>
  </si>
  <si>
    <t xml:space="preserve">CT_HYDRO_126</t>
  </si>
  <si>
    <t xml:space="preserve">Humbert</t>
  </si>
  <si>
    <t xml:space="preserve">HUMBERT</t>
  </si>
  <si>
    <t xml:space="preserve">HY_30463_CHATENOIS</t>
  </si>
  <si>
    <t xml:space="preserve">HC</t>
  </si>
  <si>
    <t xml:space="preserve">Mail 13 11 2018 </t>
  </si>
  <si>
    <t xml:space="preserve">Bonjour, </t>
  </si>
  <si>
    <t xml:space="preserve">Veuillez trouver ci joint le tableau de productions de 2001 à 2010, en 2011 nous avons produit 14 246 kwh sur les mois de janvier et février. En 2012 il n'y a pas eu de production par suite de travaux par la COMCOM pour l'installation d'une passe à poissons. </t>
  </si>
  <si>
    <t xml:space="preserve">La puissance installée est de 34kwh, mais pour des raisons que nous ne connaissons pas le CARD a été établi avec une puissance de 37Kwh. Nous avons demandé à plusieurs reprises à être ramené à moins de 36kwh, mais cela est soit disant impossible !!!! Cordialement Brigitte HUMBERT</t>
  </si>
  <si>
    <t xml:space="preserve">Arrêt installation passe poissons</t>
  </si>
  <si>
    <t xml:space="preserve">infos installation 
(en kVA)</t>
  </si>
  <si>
    <t xml:space="preserve">puissance actualisée</t>
  </si>
  <si>
    <t xml:space="preserve">CT_HYDRO_109</t>
  </si>
  <si>
    <t xml:space="preserve">Audincourt</t>
  </si>
  <si>
    <t xml:space="preserve">SIGNORI</t>
  </si>
  <si>
    <t xml:space="preserve">5 turbines chez EnC : 170 + 400 + 380 + 330 + 185 = 1465</t>
  </si>
  <si>
    <t xml:space="preserve">170 + 400 + 380 + 330 + 185 kW = 1465 kW</t>
  </si>
  <si>
    <t xml:space="preserve">non ?</t>
  </si>
  <si>
    <t xml:space="preserve">
Cpa en accord avec le CARD-I et Mandat GO ne donne que la puissance installée de 1465 kW (ici kW = kVA ?!)
Par contre la valeur de 1390 se retrouve souvent… mais pour moi c’est 1350 → après examen de la manière d’écrire du producteur… d’autant plus que la valeur tapée dans le CARD-I est 1350 et 1390 c’est écrit à la main !
D’après le Kanboard, devait entrer en rénovation partielle entre Déc 2016 et Mars 2017 pour passage à l’OA (400 kW) mais ç’a été retardé</t>
  </si>
  <si>
    <t xml:space="preserve">HY_31108_AUDINCOURT</t>
  </si>
  <si>
    <t xml:space="preserve">170 + 400 + 380 + 330 + 185 kW</t>
  </si>
  <si>
    <t xml:space="preserve">données bilan mensuel</t>
  </si>
  <si>
    <t xml:space="preserve">CT_hydro_048</t>
  </si>
  <si>
    <t xml:space="preserve">Deluz</t>
  </si>
  <si>
    <t xml:space="preserve">BESSON</t>
  </si>
  <si>
    <t xml:space="preserve">5 turbines : 3 x 320 (en 2015) et 0 ensuite + 380 + 1600 = 2940 puis 1980</t>
  </si>
  <si>
    <t xml:space="preserve">pas d’info</t>
  </si>
  <si>
    <r>
      <rPr>
        <sz val="10"/>
        <rFont val="Arial"/>
        <family val="2"/>
        <charset val="1"/>
      </rPr>
      <t xml:space="preserve">Problème sur la date de début du contrat : 2014 dans producteurs.ods et 2015 dans suivi des centrales
Semble être en OA mais écrit nulle part… 
Dans ‘Conv de raccordement-31115-GEG-Deluz.pdf’ : puissance installée max = 2340 kW et puissance de raccordement = 2338 kW – dans le même fichier, page 26 : « Arrêt OA – 9 Octobre 2012 – continuité production sur marché libre à cette date sans modifications techniques »
Dans un doc plus récent de 02/17 : 5 générateurs dont 3 x 469 kVA + 436 kVA + 1875 kVA = 3182 kVA et puissance injectée = 2338 kW
Dans ‘GEGENeR-ENERCOOP offre de prix signée.pdf’ : puissance souscrite = 2340 kW et puissance pour EnC = 2340 kW et il est clairement dit que la demande de tarif concerne l’ensemble des génératrice de l’installation ! =&gt; pas OA </t>
    </r>
    <r>
      <rPr>
        <sz val="10"/>
        <color rgb="FFCC0000"/>
        <rFont val="Arial"/>
        <family val="2"/>
        <charset val="1"/>
      </rPr>
      <t xml:space="preserve">ET POURTANT : Août 2016 = « mail producteur : absence de surplus de production, seulent OA »
</t>
    </r>
    <r>
      <rPr>
        <sz val="10"/>
        <rFont val="Arial"/>
        <family val="2"/>
        <charset val="1"/>
      </rPr>
      <t xml:space="preserve">Enfin dans le Mandat Go : 2338 kW = 2340 
</t>
    </r>
    <r>
      <rPr>
        <sz val="10"/>
        <color rgb="FFCC0000"/>
        <rFont val="Arial"/>
        <family val="2"/>
        <charset val="1"/>
      </rPr>
      <t xml:space="preserve">Problème : cette centrale EST en OA mais ce n’est dit nulle part…
</t>
    </r>
    <r>
      <rPr>
        <b val="true"/>
        <sz val="10"/>
        <color rgb="FFCC0000"/>
        <rFont val="Arial"/>
        <family val="2"/>
        <charset val="1"/>
      </rPr>
      <t xml:space="preserve">Courriel envoyé au producteur le 16/03/2018 pour lui demander des informations. Intégration des informations partielles du 1</t>
    </r>
    <r>
      <rPr>
        <b val="true"/>
        <vertAlign val="superscript"/>
        <sz val="10"/>
        <color rgb="FFCC0000"/>
        <rFont val="Arial"/>
        <family val="2"/>
        <charset val="1"/>
      </rPr>
      <t xml:space="preserve">er</t>
    </r>
    <r>
      <rPr>
        <b val="true"/>
        <sz val="10"/>
        <color rgb="FFCC0000"/>
        <rFont val="Arial"/>
        <family val="2"/>
        <charset val="1"/>
      </rPr>
      <t xml:space="preserve"> mail. Attente des infos supp.</t>
    </r>
  </si>
  <si>
    <t xml:space="preserve">HY_31115_DELUZE</t>
  </si>
  <si>
    <t xml:space="preserve">Données 2015 /2016 manquantes.</t>
  </si>
  <si>
    <t xml:space="preserve">mail producteur :</t>
  </si>
  <si>
    <t xml:space="preserve">Le changement de bénéficiaire au profit de GEG ENeR s’est effectué le 30/08/2010.</t>
  </si>
  <si>
    <t xml:space="preserve">-La rive droite : Installation en 1991 Centrale fondée en titre pour 500 kw + arrêté préfectoral renouvelé en 1994</t>
  </si>
  <si>
    <t xml:space="preserve">-La rive gauche : Installation en 1996  arrêté préfectoral  en 2000 pour 30 ans</t>
  </si>
  <si>
    <t xml:space="preserve">contrat EDF  type  OA 97   P= 2340 kW conclu en  1997  pour 15 ans ( fin en 2012 )</t>
  </si>
  <si>
    <t xml:space="preserve">Ensemble turbine :</t>
  </si>
  <si>
    <t xml:space="preserve">-Rive droite : 4 groupes turbine Kaplan  dont 2 à pales variables + 4 génératrices ( 3*315 + 380 kW )</t>
  </si>
  <si>
    <t xml:space="preserve">-Rive gauche : 1 groupe turbine Kaplan à pales variables + génératrice 1600 kVA</t>
  </si>
  <si>
    <t xml:space="preserve">La sortie du contrat d’obligation, programmée pour le 8/10/2012  s’est effectuée le 14/09/2012.</t>
  </si>
  <si>
    <t xml:space="preserve">Problème : facteurs de charge &gt; 1 (disparaissent presque tous si la puissance est 2340 kW mais pour moi ce n’est qu’un arrondi, la vraie puissance dans le CARD-I est 2338 kW)</t>
  </si>
  <si>
    <t xml:space="preserve">-&gt; comme c'est faible, le producteur a peut-être "triché un peu"</t>
  </si>
  <si>
    <t xml:space="preserve">cos(phi)</t>
  </si>
  <si>
    <t xml:space="preserve">kVA</t>
  </si>
  <si>
    <t xml:space="preserve">kW</t>
  </si>
  <si>
    <t xml:space="preserve">date</t>
  </si>
  <si>
    <t xml:space="preserve">source</t>
  </si>
  <si>
    <t xml:space="preserve">3 x 425</t>
  </si>
  <si>
    <t xml:space="preserve">3 x 320</t>
  </si>
  <si>
    <t xml:space="preserve">‘Conv de raccordement-31115-GEG-Deluz.pdf’</t>
  </si>
  <si>
    <t xml:space="preserve">3 x 469</t>
  </si>
  <si>
    <t xml:space="preserve">4 x 380</t>
  </si>
  <si>
    <t xml:space="preserve">'DELUZ - CARDI n° 31115 et Convention Service Comptage n° 559089.pdf’</t>
  </si>
  <si>
    <t xml:space="preserve">panne multiplicateur 1450 kW (source : données du producteur)</t>
  </si>
  <si>
    <t xml:space="preserve">pourtant la production correspond à plus que seulement 890 = 2340 – 1450 kW</t>
  </si>
  <si>
    <t xml:space="preserve">production vraiment basse ensuite…</t>
  </si>
  <si>
    <t xml:space="preserve">sortie d’OA</t>
  </si>
  <si>
    <t xml:space="preserve">Quelle puissance en OA avant ?</t>
  </si>
  <si>
    <t xml:space="preserve">entrée périmètre EN</t>
  </si>
  <si>
    <t xml:space="preserve">arrét G5 du 22/02 </t>
  </si>
  <si>
    <t xml:space="preserve">obligation d’achat a pris effet le 11/07/2016.</t>
  </si>
  <si>
    <t xml:space="preserve">au 11/03</t>
  </si>
  <si>
    <t xml:space="preserve">confirmation mail</t>
  </si>
  <si>
    <t xml:space="preserve">en attente des précisions sur les dates d’entrée sous OA des 3 centrales </t>
  </si>
  <si>
    <t xml:space="preserve">Pendant les travaux de Deluz, les consignes étaient, sur l’année 2016 :</t>
  </si>
  <si>
    <t xml:space="preserve">rénovation patielle</t>
  </si>
  <si>
    <t xml:space="preserve">et du 17/05 au 30/05</t>
  </si>
  <si>
    <t xml:space="preserve">sans arrêt de la centrale, supposition pour les dates</t>
  </si>
  <si>
    <t xml:space="preserve">rénovation partielle</t>
  </si>
  <si>
    <t xml:space="preserve">passage en OA</t>
  </si>
  <si>
    <t xml:space="preserve">début de la facturation avec une partie sous OA</t>
  </si>
  <si>
    <t xml:space="preserve"> </t>
  </si>
  <si>
    <t xml:space="preserve">mail producteur : absence de production de surplus, seulement OA</t>
  </si>
  <si>
    <t xml:space="preserve">- arrêt du G5 (groupe sous contrat ENERCOOP) du 22/2 au 11/3, puis du 17/05 au 30/05</t>
  </si>
  <si>
    <t xml:space="preserve">- arrêt du G1, G3 et G4 (ENERCOOP devenus H07) du 14/03 au 24/06</t>
  </si>
  <si>
    <t xml:space="preserve">manque d’eau récurrent</t>
  </si>
  <si>
    <t xml:space="preserve">- arrêt du G2 (ENERCOOP) du 14/03 à 24/06</t>
  </si>
  <si>
    <t xml:space="preserve">- (source planning project dernière version du 31/05/2016)</t>
  </si>
  <si>
    <t xml:space="preserve">Attention l’hydrologie très faible n’a sans doute pas permis de redémarrer les groupes aux dates prévues, notamment le G5 et G2 qui sont les moins prioritaires dans l’ordre des démarrages.</t>
  </si>
  <si>
    <t xml:space="preserve">CT_HYDRO_118</t>
  </si>
  <si>
    <t xml:space="preserve">Travexin</t>
  </si>
  <si>
    <t xml:space="preserve">PETITJEAN</t>
  </si>
  <si>
    <t xml:space="preserve">450 + 100 + 80</t>
  </si>
  <si>
    <t xml:space="preserve">HY_32535_TRAVEXIN</t>
  </si>
  <si>
    <t xml:space="preserve">CT_HYDRO_136</t>
  </si>
  <si>
    <t xml:space="preserve">Centrale de l’Echaillon (Champa)</t>
  </si>
  <si>
    <t xml:space="preserve">PERRIN</t>
  </si>
  <si>
    <t xml:space="preserve">Nous avons les données mais c’est compliqué à exploiter de 2000 à 2012 (écriture à la main…) 
</t>
  </si>
  <si>
    <t xml:space="preserve">13/09/2012 (nouveau-01/12/2017)</t>
  </si>
  <si>
    <t xml:space="preserve">HY_40304_CHAMPA</t>
  </si>
  <si>
    <t xml:space="preserve">donnée manquante</t>
  </si>
  <si>
    <t xml:space="preserve">CT_HYDRO_069</t>
  </si>
  <si>
    <t xml:space="preserve">Micro_centrale de Pont-Massette</t>
  </si>
  <si>
    <t xml:space="preserve">PAQUET</t>
  </si>
  <si>
    <t xml:space="preserve">1 turbine de 2650 chez EnC</t>
  </si>
  <si>
    <t xml:space="preserve">Surplus ?</t>
  </si>
  <si>
    <t xml:space="preserve">Pas en OA d’après CPA mais commentaire dans Producteurs laisse suggérer que peut-être oui… mais de toute façon une turbine ne peut être à motité en OA ? Donc pas OA !
Dans le CARD-I : 1 générateur de 2650 kVA, puissance injectée : 2200 kW
Mandat GO : 2200 kW
Données producteur dans le fichier : ‘Guilaume – Blanc – ERA.xls’
Attention dans ‘Calendrier prods.ods’, le renouvellement du contrat n’a pas été pris en compte</t>
  </si>
  <si>
    <t xml:space="preserve">HY_40310_PONTMASSETTE</t>
  </si>
  <si>
    <t xml:space="preserve">Données du producteur remontent à 1986</t>
  </si>
  <si>
    <t xml:space="preserve">Semble qu’il n’y ait jamais de production l’été ! (Mois de Juillet et Août n’apparaissement pas dans le fichier producteur !!)</t>
  </si>
  <si>
    <t xml:space="preserve">CD 13/04/18 : (suite à demande CNR) bref arrêt de la centrale pour travaux le 12/04, redémarrage 13/04 dans l’aprem 
CD 04/06/18 (suite demande CNR) : Des petits travaux (changement d'un fin de course entraînant des problèmes sur l'automate) ont du être effectués en urgence sur la centrale de Pont Massette, des tests sont en cours, redémarrage prévu dans la journée.
CD 11/07/18 (suite demande CNR) : La centrale est arrêtée pour révision jusqu'au 14/07 mais le redémarrage est incertain car les niveaux d'eau sont faibles.
CD 16/07/18 (suite demande CNR) : niveau d’eau trop faible pour redémarrer, va dépendre de la météo mais a priori pas avant septembre</t>
  </si>
  <si>
    <t xml:space="preserve">CT_HYDRO_110</t>
  </si>
  <si>
    <t xml:space="preserve">La Jonche</t>
  </si>
  <si>
    <t xml:space="preserve">Ghironi</t>
  </si>
  <si>
    <t xml:space="preserve">2200 en ML + 400 en OA</t>
  </si>
  <si>
    <t xml:space="preserve">OA : 400 kW
Marché libre 1800 kW</t>
  </si>
  <si>
    <t xml:space="preserve">HY_40319_LAJONCHE</t>
  </si>
  <si>
    <t xml:space="preserve">CARD 40319 </t>
  </si>
  <si>
    <t xml:space="preserve">Je déduis des facteurs de charge que l’OA est une</t>
  </si>
  <si>
    <t xml:space="preserve">Puissance totale du site (CARD) : 2200 kW </t>
  </si>
  <si>
    <t xml:space="preserve">rénovation et non un ajout car sinon par moments</t>
  </si>
  <si>
    <t xml:space="preserve">Puissance en rénovation : 400 kW </t>
  </si>
  <si>
    <t xml:space="preserve">on a un facteur de charge bien supérieur à 1 !</t>
  </si>
  <si>
    <t xml:space="preserve">Puissance hors obligation d'achat : 1800 kW </t>
  </si>
  <si>
    <t xml:space="preserve">Date d'effet de rénovation : sous OA depuis le 1/11/2016 </t>
  </si>
  <si>
    <t xml:space="preserve">travaux partiels </t>
  </si>
  <si>
    <t xml:space="preserve">arret total </t>
  </si>
  <si>
    <t xml:space="preserve">supposition travaux rénovation</t>
  </si>
  <si>
    <t xml:space="preserve">CARD-I</t>
  </si>
  <si>
    <t xml:space="preserve">CT_HYDRO_73, renouvellement de CT_HYDRO_40</t>
  </si>
  <si>
    <t xml:space="preserve">Métral</t>
  </si>
  <si>
    <t xml:space="preserve">SAIGNE</t>
  </si>
  <si>
    <t xml:space="preserve">4 X 400 kW</t>
  </si>
  <si>
    <t xml:space="preserve">4 groupes de 400 kW</t>
  </si>
  <si>
    <t xml:space="preserve">pas dinfo</t>
  </si>
  <si>
    <t xml:space="preserve">Dossier CT_HYDRO_073 vide
Historique de prod se trouve dans les Documents Producteurs</t>
  </si>
  <si>
    <t xml:space="preserve">01/10/2013 pour le premier</t>
  </si>
  <si>
    <t xml:space="preserve">HY_40522_METRAL</t>
  </si>
  <si>
    <t xml:space="preserve">Données de production correspondent à la</t>
  </si>
  <si>
    <t xml:space="preserve">production totale vendue à EDF</t>
  </si>
  <si>
    <t xml:space="preserve">Projet de rénovation partielle en 2014
12/02/2016 : Tél. : SCAHE remise en route semaine prochaine. Renovation partielle (1 turbine sur 4) été 2016.
30/03/17 : AD : tél : rénovation d'un groupe de 400 kW à 405 kW en OA sur les 4 groupes de 400 kW de la centrale (3 resteront donc sur le marché libre) à l'été 2017, prévision de remise en route à l'automne 2017 quand il y aura de l'eau
01/06/17 : AD : tél : producteur a envoyé convention de raccordement à Enedis, doit nous la faire suivre quand finalisée</t>
  </si>
  <si>
    <t xml:space="preserve">Saigne : 3 centrales arrếtées...</t>
  </si>
  <si>
    <t xml:space="preserve">FR: Tél du 25/11</t>
  </si>
  <si>
    <t xml:space="preserve">21/01/2016 : Mail : En panne</t>
  </si>
  <si>
    <t xml:space="preserve">Mail du producteur du 01/02/2016 : Panne mécanique</t>
  </si>
  <si>
    <t xml:space="preserve">Mail du du 29/02 d'AM : Pour information, nous avons remis en route SCAHE (contrat ERDF N° 40522) le vendredi 19 février à 16h30.</t>
  </si>
  <si>
    <t xml:space="preserve">toujours en panne, a priori jusque fin 2016 (info du 24/10/16)</t>
  </si>
  <si>
    <t xml:space="preserve">AD : 28/11 : courriel du producteur du 17/11 : centrale pas remise en route</t>
  </si>
  <si>
    <t xml:space="preserve">AD : 28/11 : courriel du producteur du 17/11 : centrale pas remise en route puis travaux de rénovation H07 début décembre pour une durée de 6 à 8 semaines</t>
  </si>
  <si>
    <t xml:space="preserve">AD : 4/5/17 : suite à appel du producteur le 30/3/17 centrale à l'arrêt jusqu'à l'automne 2017 (pas d'eau puis travaux de rénovation partielle à l'été 2017)</t>
  </si>
  <si>
    <t xml:space="preserve">Projet de rénovation partielle en 2014</t>
  </si>
  <si>
    <t xml:space="preserve">12/02/2016 : Tél. : SCAHE remise en route semaine prochaine. Renovation partielle (1 turbine sur 4) été 2016.</t>
  </si>
  <si>
    <t xml:space="preserve">30/03/17 : AD : tél : rénovation d'un groupe de 400 kW à 405 kW en OA sur les 4 groupes de 400 kW de la centrale (3 resteront donc sur le marché libre) à l'été 2017, prévision de remise en route à l'automne 2017 quand il y aura de l'eau</t>
  </si>
  <si>
    <t xml:space="preserve">01/06/17 : AD : tél : producteur a envoyé convention de raccordement à Enedis, doit nous la faire suivre quand finalisée</t>
  </si>
  <si>
    <t xml:space="preserve">25/10/2017 : FR : Tél du producteur : CARD-I doit être OK vers mi-novembre ⇒ Documents pour dossier EDF-OA (CODOA+DCC+CARD-I) seront OK et envoyés vers 20/11 ⇒ 2 mois de délais pour obtenir la réponse ⇒ Démarrage de la centrale mi ou fin janvier 2018. &lt;N&gt; Impossible de redémarrer uniquement la partie marché libre. &lt;N&gt; Travaux presque terminés.</t>
  </si>
  <si>
    <t xml:space="preserve">11/12/2017 : AD : prodcuteur appelé : toujours pas reçu le CARD-I : la personne d'Enedis qui s'en occupe s'est faite opéré et M. Saigne s'est coupé un doigt donc pas la priorité du moment mais M. Saigne nous envoie les documents dès que reçus</t>
  </si>
  <si>
    <t xml:space="preserve">12/01/2018 : AD : producteur appelé : doit recevoir le CARDI aujourd'hui 12/01/18, problème de ligne téléphonique analogique impossible à avoir pour DEIE et compteur, a deux compteurs ML et OA, conservera le même CARD, va redémarrer quand aura ligne téléphonique et régler ses problèmes mécaniques, espère redémarrer sous 2 mois</t>
  </si>
  <si>
    <t xml:space="preserve">22/01/2018 : FR : Tél de Enedis (rédacteur du CARD) : Qui voulait connaître le RE. J'en ai profité pour demander date prévue de mise en service du contrat : Objetif au 01/02/2018.</t>
  </si>
  <si>
    <t xml:space="preserve">30/05/18 : (suite demande CNR) encore des gros problèmes de raccordements au réseau téléphonique, puis devra faire des essais, nous recontacte quand la remise en service sera préue (pas à court terme)</t>
  </si>
  <si>
    <t xml:space="preserve">24/07/18 : AD : tél au producteur : problème de raccordements au réseau téléphonique toujours pas résolu mais ne devrait pas tarder normalement; en cours de discussion avec EDF OA pour la rédaction du contrat OA H07 ; mise en service visée le 1/11/18 pour la partie OA et marché libre, d'ici là pas de production =&gt; le rappeler courant octobre 2018 pour faire le point</t>
  </si>
  <si>
    <t xml:space="preserve">travaux</t>
  </si>
  <si>
    <t xml:space="preserve">OA H07 ; mise en service visée le 1/11/18 pour la partie OA et marché libre, d'ici là pas de production =&gt; le rappeler courant octobre 2018 pour faire le point</t>
  </si>
  <si>
    <t xml:space="preserve">CT_HYDRO_072</t>
  </si>
  <si>
    <t xml:space="preserve">Gelon</t>
  </si>
  <si>
    <t xml:space="preserve">CONVERT</t>
  </si>
  <si>
    <t xml:space="preserve">2000 avant rénovation / 1560</t>
  </si>
  <si>
    <t xml:space="preserve">1560 en ML </t>
  </si>
  <si>
    <r>
      <rPr>
        <sz val="10"/>
        <rFont val="Arial"/>
        <family val="2"/>
        <charset val="1"/>
      </rPr>
      <t xml:space="preserve">CARD-I (fin Nov – début Déc 2012) : 2000 kW + 1200 kW = 3200 kVA (ça commence… je suis sure que ce sont des kVA et pas des kW, cf les autres docs) - puissance max dans le réseau : 2000 kW
2è CARD-I (Nov 2015) : rénovation du groupe G2 (celui de 1200 kW qui fait maintenant 1111 kVA d’ailleurs sur le schéma unifilaire) – 2000 kVA ML + 1111 kVA OA
Par contre il manque 2 pages dans le PDF, qui sont justement celles où doivent se trouver les infos de puissance...
Doc ‘CODOA FMG’ → puissance en OA = 670 kW
Mandat GO : puissance installée = 2330 kW
Dans ‘40587 &amp; 543449 Avenant 001 CARDI CENTRALE LE GELON.pdf’ → G1 = 1330 kW et G2 = 1000 kW pour un total de 3 111 kVA et une puissance injectée au réseau de 2000 kW ou de 2330 kW 3 lignes en-dessous !!
</t>
    </r>
    <r>
      <rPr>
        <sz val="10"/>
        <color rgb="FFCC0000"/>
        <rFont val="Arial"/>
        <family val="2"/>
        <charset val="1"/>
      </rPr>
      <t xml:space="preserve">2 infos différentes et contradictoires pour le passage en OA + intérêt de mettre les différents travaux mentionnés sur la synthèse ?</t>
    </r>
  </si>
  <si>
    <t xml:space="preserve">HY_40587_GELON</t>
  </si>
  <si>
    <t xml:space="preserve">Données du fichier de Komi sont le surplus pour 468 kW → je ne suis pas d’accord !</t>
  </si>
  <si>
    <t xml:space="preserve">J’ai donc remplacé par les données de prévision d’OA pour 670 kW</t>
  </si>
  <si>
    <t xml:space="preserve">Mais finalement, il semble que ce soit 1000 kW</t>
  </si>
  <si>
    <t xml:space="preserve">CARD I et nom de la centrale : 40587 LA CENTRALE DU GELON </t>
  </si>
  <si>
    <t xml:space="preserve">Puissance totale du site : 2400 kW </t>
  </si>
  <si>
    <t xml:space="preserve">Puissance en rénovation : 1000 kW </t>
  </si>
  <si>
    <t xml:space="preserve">Puissance Hors obligation d'achat : 1400 kW </t>
  </si>
  <si>
    <t xml:space="preserve">Date d'effet de rénovation : sous OA 18/12/2015 </t>
  </si>
  <si>
    <t xml:space="preserve">CARD 40587 </t>
  </si>
  <si>
    <t xml:space="preserve">Puissance totale du site (CARD) : 2330 kW </t>
  </si>
  <si>
    <t xml:space="preserve">Puissance hors obligation d'achat : 1330 kW </t>
  </si>
  <si>
    <t xml:space="preserve">Date d'effet de rénovation : 18/12/2015 </t>
  </si>
  <si>
    <t xml:space="preserve">arrêt rupture CF le 14/07 (CF = ???)</t>
  </si>
  <si>
    <t xml:space="preserve">arrêt travaux 6 jours</t>
  </si>
  <si>
    <t xml:space="preserve">arrêt travaux CF du 4/09 au 4/10</t>
  </si>
  <si>
    <t xml:space="preserve">travaux du 12/09 au 15/10</t>
  </si>
  <si>
    <t xml:space="preserve">travaux rénovation</t>
  </si>
  <si>
    <t xml:space="preserve">Mail facture de novembre signale remise en service</t>
  </si>
  <si>
    <t xml:space="preserve">Remise en service</t>
  </si>
  <si>
    <t xml:space="preserve">Surplus</t>
  </si>
  <si>
    <t xml:space="preserve">Card-i </t>
  </si>
  <si>
    <t xml:space="preserve">codoa</t>
  </si>
  <si>
    <r>
      <rPr>
        <sz val="10"/>
        <rFont val="Arial"/>
        <family val="2"/>
        <charset val="1"/>
      </rPr>
      <t xml:space="preserve">demande  1</t>
    </r>
    <r>
      <rPr>
        <vertAlign val="superscript"/>
        <sz val="10"/>
        <rFont val="Arial"/>
        <family val="2"/>
        <charset val="1"/>
      </rPr>
      <t xml:space="preserve">er</t>
    </r>
    <r>
      <rPr>
        <sz val="10"/>
        <rFont val="Arial"/>
        <family val="2"/>
        <charset val="1"/>
      </rPr>
      <t xml:space="preserve"> juillet 2013</t>
    </r>
  </si>
  <si>
    <t xml:space="preserve">échanges producteur Alex :</t>
  </si>
  <si>
    <t xml:space="preserve">sous OA 18/12/2015</t>
  </si>
  <si>
    <t xml:space="preserve">Puissance totale du site : 2400 kW</t>
  </si>
  <si>
    <t xml:space="preserve">Puissance en rénovation : 1000 kW</t>
  </si>
  <si>
    <t xml:space="preserve">Puissance Hors obligation d'achat : 1400 kW</t>
  </si>
  <si>
    <t xml:space="preserve">CPA/CARD-I</t>
  </si>
  <si>
    <t xml:space="preserve">CT_HYDRO_061</t>
  </si>
  <si>
    <t xml:space="preserve">Saint-Léger</t>
  </si>
  <si>
    <t xml:space="preserve">CAYROL</t>
  </si>
  <si>
    <t xml:space="preserve">1 x 600 kW pour EN + 1 x 400 kW</t>
  </si>
  <si>
    <t xml:space="preserve">Surplus d'OA
1 génératrice sur les 2</t>
  </si>
  <si>
    <t xml:space="preserve">600 EN / 400 OA</t>
  </si>
  <si>
    <t xml:space="preserve">ND</t>
  </si>
  <si>
    <t xml:space="preserve">Incohérence - dans le card-i :  G1 800 kW et G2 500 kW, Pmax de 1000 kW. Dans le CPA 600 pour EN et  400 en OA. Dans le producteurs.ods, il y a l’info d’une rénovation.  l'historique de production mensuelle de 01/11/2014 au 31/12/2014
    Productions 11/2014  et 12/2014 jointes
les dates de passage/sortie d'Obligation d'Achat et les puissances sous OA et sur le marché libre.
    ML - 600 kW sur marché libre
    OA - 400 kW , mis en service le 01/11/2014
    Pas d’évolution à prévoir
les caractéristiques des turbines sous OA et marché libre et l'historique (rajout des nouvelles turbines...)
    OA -  1 turbine -  1 alternateur de 400 kW mise en service le 01/11/2014
    ML – 1 turbine – 1 alternateur de 600 kW  </t>
  </si>
  <si>
    <t xml:space="preserve">HY_40603_SAINTLEGER</t>
  </si>
  <si>
    <t xml:space="preserve">passage en OA à</t>
  </si>
  <si>
    <t xml:space="preserve">CT_HYDRO_097</t>
  </si>
  <si>
    <t xml:space="preserve">La Scie A Brun</t>
  </si>
  <si>
    <t xml:space="preserve">CHABALIER</t>
  </si>
  <si>
    <t xml:space="preserve">1x400(OA) + 1x1000(EN) + 100 (OA?)</t>
  </si>
  <si>
    <t xml:space="preserve">1000 + 500 OA</t>
  </si>
  <si>
    <t xml:space="preserve">Surplus OUI</t>
  </si>
  <si>
    <t xml:space="preserve">1000 kW EN</t>
  </si>
  <si>
    <r>
      <rPr>
        <sz val="10"/>
        <rFont val="Arial"/>
        <family val="2"/>
        <charset val="1"/>
      </rPr>
      <t xml:space="preserve">Info dans le doc prod par prod. Puissance totale : 1500 kW
Rénovation 2014 (avril?)
</t>
    </r>
    <r>
      <rPr>
        <sz val="10"/>
        <color rgb="FF800000"/>
        <rFont val="Arial"/>
        <family val="2"/>
        <charset val="1"/>
      </rPr>
      <t xml:space="preserve">- 500 kW en OA (le passage en OA quand ?)
</t>
    </r>
    <r>
      <rPr>
        <sz val="10"/>
        <rFont val="Arial"/>
        <family val="2"/>
        <charset val="1"/>
      </rPr>
      <t xml:space="preserve">- 1000 kW sur le marché + 500 OA
</t>
    </r>
  </si>
  <si>
    <t xml:space="preserve">HY_40663_LASCIEABRUN</t>
  </si>
  <si>
    <t xml:space="preserve">Pourriez-vous nous fournir les informations suivantes : </t>
  </si>
  <si>
    <t xml:space="preserve">la production totale mensuelle d'octobre 2015 à décembre 2015  451462</t>
  </si>
  <si>
    <t xml:space="preserve">la puissance totale avant et après le passage à l'OA 1200 et 1340 KW</t>
  </si>
  <si>
    <t xml:space="preserve">la date de passage à l'OA 01/11/2015 </t>
  </si>
  <si>
    <t xml:space="preserve">les dates et la durée des travaux et les puissances impactées par ces travaux mai à octobre 2015 Installation arrêtée</t>
  </si>
  <si>
    <t xml:space="preserve">Dans l'attente de votre retour, je vous remercie d'avance.</t>
  </si>
  <si>
    <t xml:space="preserve">Arrêt travaux</t>
  </si>
  <si>
    <t xml:space="preserve">Nous connaissons que la prod totale des 3 mois avant l’entrée chez EN donc j’ai divisé ce total par 3 pour ne pas envoyer encore un mail… </t>
  </si>
  <si>
    <t xml:space="preserve">passage OA</t>
  </si>
  <si>
    <t xml:space="preserve">CT_HYDRO_020</t>
  </si>
  <si>
    <t xml:space="preserve">Claps</t>
  </si>
  <si>
    <t xml:space="preserve">COMMUNE DE LUC EN DIOIS</t>
  </si>
  <si>
    <t xml:space="preserve">données ok – estce qu’on demande des données d’avant 2012</t>
  </si>
  <si>
    <t xml:space="preserve">HY_40811_CLAPS</t>
  </si>
  <si>
    <t xml:space="preserve">CT_HYDRO_134</t>
  </si>
  <si>
    <t xml:space="preserve">Usine Rivoire</t>
  </si>
  <si>
    <t xml:space="preserve">GUYOT</t>
  </si>
  <si>
    <t xml:space="preserve">Données demandées d’avant 2012 - ph.guyot@adest.fr</t>
  </si>
  <si>
    <t xml:space="preserve">HY_40817_RIVOIRE</t>
  </si>
  <si>
    <t xml:space="preserve">CT_HYDRO_051</t>
  </si>
  <si>
    <t xml:space="preserve">Usine de Taulignan</t>
  </si>
  <si>
    <t xml:space="preserve">BAY</t>
  </si>
  <si>
    <t xml:space="preserve">HY_40818_TAULIGNAN</t>
  </si>
  <si>
    <t xml:space="preserve">vu avec Komi ok pour l’écrire comme ça dans synthèse </t>
  </si>
  <si>
    <t xml:space="preserve"> https://kanboard.enercoop.org/project/70/task/3797</t>
  </si>
  <si>
    <t xml:space="preserve">Pas de production jusqu'en février 2018.</t>
  </si>
  <si>
    <t xml:space="preserve">Détails :</t>
  </si>
  <si>
    <t xml:space="preserve">    - Ne produit plus depuis juillet à cause de la sécheresse.</t>
  </si>
  <si>
    <t xml:space="preserve">    - Ne pense pas que la centrale va tourner cet hiver à cause du déficit d'eau. Du coup il prend 1 mois de congés en février : Absent du 23/01/2018 au 07/03/2018.</t>
  </si>
  <si>
    <t xml:space="preserve">    - Actuellement le débit de la rivière est juste au débit réservé, préfère ne pas tourner car l'ONEMA surveille.</t>
  </si>
  <si>
    <t xml:space="preserve">    - Les pluies récentes ne restaurent pas le débit de façon durable.</t>
  </si>
  <si>
    <t xml:space="preserve">   -  Un voisin a essayé de faire tourner sa centrale, elle n'a tourné que 2 jours.</t>
  </si>
  <si>
    <t xml:space="preserve">CT_HYDRO_090</t>
  </si>
  <si>
    <t xml:space="preserve">Malfondu</t>
  </si>
  <si>
    <t xml:space="preserve">JOUVE</t>
  </si>
  <si>
    <t xml:space="preserve">400 kVA (350 kW)</t>
  </si>
  <si>
    <t xml:space="preserve">Volonté de partir à l’OA bientôt – je le classerais comme non prioritaire. S’il reste longtemps mail à envoyer pour demander l’historique de prod d’avant 2016</t>
  </si>
  <si>
    <t xml:space="preserve">HY_40821_MALFONDU</t>
  </si>
  <si>
    <t xml:space="preserve">CT_HYDRO_132</t>
  </si>
  <si>
    <t xml:space="preserve">Pont de Lacroix</t>
  </si>
  <si>
    <t xml:space="preserve">PINAUT</t>
  </si>
  <si>
    <t xml:space="preserve">HY_51167_CROIX</t>
  </si>
  <si>
    <t xml:space="preserve">CT_HYDRO_133</t>
  </si>
  <si>
    <t xml:space="preserve">Chateau Ville Vieille</t>
  </si>
  <si>
    <t xml:space="preserve">GIORGI</t>
  </si>
  <si>
    <t xml:space="preserve">400 OA + 195 EN</t>
  </si>
  <si>
    <t xml:space="preserve">400 en OA + 195 EN</t>
  </si>
  <si>
    <t xml:space="preserve">non spécifié</t>
  </si>
  <si>
    <t xml:space="preserve">Marqué dans le fichier : 197 ? kW surplus </t>
  </si>
  <si>
    <t xml:space="preserve">Dépassement du facteur de charge avant et après la demande d’augmentation de la puissance d’injection. Date de passage en OA ? </t>
  </si>
  <si>
    <t xml:space="preserve">HY_51204_VILLEVIEILLE</t>
  </si>
  <si>
    <t xml:space="preserve">CARD 51204 </t>
  </si>
  <si>
    <t xml:space="preserve">Puissance totale du site : 595 kW </t>
  </si>
  <si>
    <t xml:space="preserve">Puissance Hors obligation d'achat : 195 kW </t>
  </si>
  <si>
    <t xml:space="preserve">Date d'effet de rénovation : sous OA depuis le 21/12/2012 </t>
  </si>
  <si>
    <t xml:space="preserve">demande d’augmentation de puissance enedis</t>
  </si>
  <si>
    <t xml:space="preserve">Madame Monsieur,</t>
  </si>
  <si>
    <t xml:space="preserve">Toutes ces informations sont déjà connues par Enercoop.</t>
  </si>
  <si>
    <t xml:space="preserve">Ce ci est une perte de temps en ce qui me concerne, l’accès à mon dossier existant depuis 2012 vous permettrons de consolider ma réponse :</t>
  </si>
  <si>
    <t xml:space="preserve">2 groupes au totale</t>
  </si>
  <si>
    <t xml:space="preserve">1 groupe depuis 12/12/2012 puissance maximale de 400 kWh en contrat H 07 EDF.</t>
  </si>
  <si>
    <t xml:space="preserve">1 groupe de puissance pouvant atteindre 600 kWh vous est destiné.</t>
  </si>
  <si>
    <t xml:space="preserve">Merci d’en m’informer dans les plus brefs délais.</t>
  </si>
  <si>
    <t xml:space="preserve">panne turbine OA</t>
  </si>
  <si>
    <t xml:space="preserve">Pour des raisons administrative je produis en mode BRIDE car mon autorisation préfectorale du 15 12 2016 me autorise a produite la puissance maximale de 595 kWh.</t>
  </si>
  <si>
    <t xml:space="preserve">Je sais qu’actuellement je produis plus que ce autorisé.</t>
  </si>
  <si>
    <t xml:space="preserve">Si cela vous pose un problème je peux à tout moment réduire ou interrompre la production.</t>
  </si>
  <si>
    <t xml:space="preserve">CT_hydro_021
Renouvelé : CT_HYDRO_127</t>
  </si>
  <si>
    <t xml:space="preserve">Champanastais</t>
  </si>
  <si>
    <t xml:space="preserve">HATAT</t>
  </si>
  <si>
    <t xml:space="preserve">1 générateur</t>
  </si>
  <si>
    <t xml:space="preserve">2 groupes :
- OA : 400kW
- Surplus : 890kW</t>
  </si>
  <si>
    <t xml:space="preserve">Oui : 400 mais pas au début !! (info dans renouvellement 2017)</t>
  </si>
  <si>
    <r>
      <rPr>
        <sz val="10"/>
        <rFont val="Arial"/>
        <family val="2"/>
        <charset val="1"/>
      </rPr>
      <t xml:space="preserve">Producteur ancien mais infos claires !
CARD-I : installée = 1500 kVA ; souscrite = 1290 kW
Mandat GO : installée = 1290 kW
9/07/14 → autre CARD-I donne 1 génératrice de 1500 kVA et une de 444 kVA =&gt; passage OA ! 
</t>
    </r>
    <r>
      <rPr>
        <sz val="10"/>
        <color rgb="FFCC0000"/>
        <rFont val="Arial"/>
        <family val="2"/>
        <charset val="1"/>
      </rPr>
      <t xml:space="preserve">que s'est-il passé de Mai 2011 à Fév 2012 ?</t>
    </r>
  </si>
  <si>
    <t xml:space="preserve">HY_51205_CHAMPANASTAIS</t>
  </si>
  <si>
    <t xml:space="preserve">Ci-après les renseignements demandés pour le passage du groupe 400 kw en OA à la centrale de Champanastaïs :</t>
  </si>
  <si>
    <t xml:space="preserve">arrêt panne alternateur</t>
  </si>
  <si>
    <t xml:space="preserve">Production totale de mai 2011 à février 2012 : 0 kw ( arrêt suite à une casse de l’alternateur )</t>
  </si>
  <si>
    <t xml:space="preserve">Production totale mensuelle d’avril 2012 à septembre 2012 :    avril : 339 200 kw</t>
  </si>
  <si>
    <t xml:space="preserve">               Mai : 589 600 kw</t>
  </si>
  <si>
    <t xml:space="preserve">               Juin : 377 600 kw</t>
  </si>
  <si>
    <t xml:space="preserve">            Juillet : 160 200 kw</t>
  </si>
  <si>
    <t xml:space="preserve">              Août :  75 200 kw</t>
  </si>
  <si>
    <t xml:space="preserve">   Septembre :  38 746 kw</t>
  </si>
  <si>
    <t xml:space="preserve">Un groupe 400 kw a été installé et mis en service en juillet 2014 en OA et représente une partie de la puissance totale</t>
  </si>
  <si>
    <t xml:space="preserve">Les travaux impactants la production se sont déroulés en juin et juillet 2014. La production concernée est d’environ 750 000 kw</t>
  </si>
  <si>
    <t xml:space="preserve">Arrêt travaux rénovation partielle (ajout d’un générateur)</t>
  </si>
  <si>
    <t xml:space="preserve">CT_HYDRO_116</t>
  </si>
  <si>
    <t xml:space="preserve">Le Cristillan</t>
  </si>
  <si>
    <t xml:space="preserve">FOURNIER</t>
  </si>
  <si>
    <t xml:space="preserve">3372 + 400 OA</t>
  </si>
  <si>
    <t xml:space="preserve">HY_51208_GUILLESTRE</t>
  </si>
  <si>
    <t xml:space="preserve">Bonjour,</t>
  </si>
  <si>
    <t xml:space="preserve">La centrale valorisait sa production via un contrat H97 jusqu’au 31 octobre 2013.</t>
  </si>
  <si>
    <t xml:space="preserve">La vente sur le marché libre a débuté le 01 novembre 2013.</t>
  </si>
  <si>
    <t xml:space="preserve">Les travaux de rénovation portent sur une période de plusieurs mois cependant, le groupe n°1 a  pu produire durant une partie des travaux.</t>
  </si>
  <si>
    <t xml:space="preserve">Le groupe de production G1 a été arrêté de la semaine n°43 à la semaine n°47 (année 2017)</t>
  </si>
  <si>
    <t xml:space="preserve">Vous trouverez en pièce jointe les factures de production de l’année 2013 et 2014.</t>
  </si>
  <si>
    <t xml:space="preserve">Nous restons à votre disposition pour tout renseignement </t>
  </si>
  <si>
    <t xml:space="preserve">Cordialement</t>
  </si>
  <si>
    <t xml:space="preserve">passage à l’OA</t>
  </si>
  <si>
    <t xml:space="preserve">30/01/2018 : FR : Vu avec la facture de décembre et confirmé par (appel à puis) mail de SERHY/Stephan ALLINI : Passage à l'OA partiel le 07/12/2017, avec CODOA et avenant au CARD-I.</t>
  </si>
  <si>
    <t xml:space="preserve">CT_HYDRO_028</t>
  </si>
  <si>
    <t xml:space="preserve">Centrale de Bénévent et Charbillac</t>
  </si>
  <si>
    <t xml:space="preserve">COMMUNE DE BÉNÉVENT ET CHARBILLAC</t>
  </si>
  <si>
    <t xml:space="preserve">Données demandées d’avant 2012 – info@mairie-saint-bonnet.net et direction@mairie-saint-bonnet.net
(adresse obsolète benevent-charbillac@wanadoo.fr)</t>
  </si>
  <si>
    <t xml:space="preserve">HY_51211_BENEVENT</t>
  </si>
  <si>
    <t xml:space="preserve">Pendant les mois de juin à octobre, la microcentrale peut être mise à l'arrêt afin de permettre au réseau d'irrigation par aspersion de fonctionner si le niveau de l'eau n'est plus suffisant pour faire fonctionner les deux installations.</t>
  </si>
  <si>
    <t xml:space="preserve">changement de la turbine et de la génératrice</t>
  </si>
  <si>
    <t xml:space="preserve">arrêt administratif</t>
  </si>
  <si>
    <t xml:space="preserve">retrait de l'autorisation préfectorale par le tribunal administratif</t>
  </si>
  <si>
    <t xml:space="preserve">incident</t>
  </si>
  <si>
    <t xml:space="preserve">CT_HYDRO_172</t>
  </si>
  <si>
    <t xml:space="preserve">Nevache</t>
  </si>
  <si>
    <t xml:space="preserve">ROUX</t>
  </si>
  <si>
    <t xml:space="preserve">HY_51216_NEVACHE</t>
  </si>
  <si>
    <t xml:space="preserve">ok</t>
  </si>
  <si>
    <t xml:space="preserve">CT_HYDRO_113</t>
  </si>
  <si>
    <t xml:space="preserve">Les Traverses</t>
  </si>
  <si>
    <t xml:space="preserve">ESCANDE</t>
  </si>
  <si>
    <t xml:space="preserve">1 génératrice de 1800 kW chez EnC, et 1 de 400 kW en OA.</t>
  </si>
  <si>
    <t xml:space="preserve">1800 EN + 400 OA</t>
  </si>
  <si>
    <t xml:space="preserve">HY_51217_TRAVERSE</t>
  </si>
  <si>
    <t xml:space="preserve">D’après le facteur de charge, la puissance totale ne peut pas être moins de 1850 kW (puissance souscrite dans le CARD-I d’après le CPA)</t>
  </si>
  <si>
    <t xml:space="preserve">Suite à votre demande, veuillez ci-joint les informations demandées :</t>
  </si>
  <si>
    <t xml:space="preserve">·         Historique de production mensuelle (en pièce jointe),</t>
  </si>
  <si>
    <t xml:space="preserve">·         Date de sortie de l’obligation d’achat : 08/10/2012 (totalité de l’installation – puissance 1850 kW). Date de prise d’effet du contrat H07R : 06/10/2014 (puissance 400 kW), puissance maximale sur le marché libre : 1800 kW. </t>
  </si>
  <si>
    <t xml:space="preserve">·         Caractéristiques de la turbine sous OA : 1 turbine PELTON de puissance 400 kW mise en service pour la première fois le 06/10/2014. Caractéristique de la turbine sur le marché libre : 1 turbine PELTON de puissance 1800 kW mise en service pour la première fois en 1982,</t>
  </si>
  <si>
    <t xml:space="preserve">·         Date de réalisation de l’ajout du groupe n°2 impactant totalement et partiellement la production de la centrale : de juillet à octobre 2014. </t>
  </si>
  <si>
    <t xml:space="preserve">Nous vous remercions et restons à votre disposition pour tout renseignement complémentaire.</t>
  </si>
  <si>
    <t xml:space="preserve">Données de production correspondent à la production TOTALE</t>
  </si>
  <si>
    <t xml:space="preserve">Date de sortie de l’obligation d’achat : 08/10/2012 (totalité de l’installation – puissance 1850 kW).</t>
  </si>
  <si>
    <t xml:space="preserve">Date de prise d’effet du contrat H07R : 06/10/2014 (puissance 400 kW), </t>
  </si>
  <si>
    <t xml:space="preserve">MOIS</t>
  </si>
  <si>
    <t xml:space="preserve">Janvier</t>
  </si>
  <si>
    <t xml:space="preserve">Février</t>
  </si>
  <si>
    <t xml:space="preserve">Mars</t>
  </si>
  <si>
    <t xml:space="preserve">Avril</t>
  </si>
  <si>
    <t xml:space="preserve">Mai</t>
  </si>
  <si>
    <t xml:space="preserve">Juin</t>
  </si>
  <si>
    <t xml:space="preserve">Juillet</t>
  </si>
  <si>
    <t xml:space="preserve">Août</t>
  </si>
  <si>
    <t xml:space="preserve">Septembre</t>
  </si>
  <si>
    <t xml:space="preserve">Octobre</t>
  </si>
  <si>
    <t xml:space="preserve">Novembre</t>
  </si>
  <si>
    <t xml:space="preserve">Décembre</t>
  </si>
  <si>
    <t xml:space="preserve">03/02/2017 : FR : Tél du producteur → Pas de production en janvier 2017.</t>
  </si>
  <si>
    <t xml:space="preserve">FR : 12/04 : Mail de SERHY avec relevé et notification abs de prod.</t>
  </si>
  <si>
    <t xml:space="preserve">CT_HYDRO_063</t>
  </si>
  <si>
    <t xml:space="preserve">Saint-Thibéry</t>
  </si>
  <si>
    <t xml:space="preserve">400 en OA</t>
  </si>
  <si>
    <t xml:space="preserve">Surplus d'OA 400</t>
  </si>
  <si>
    <t xml:space="preserve">400 OA </t>
  </si>
  <si>
    <t xml:space="preserve">Selon le producteur c’est 400 OA + 400 marché libre et selon producteurs.ods c’est 400 OA et 600 ML ! </t>
  </si>
  <si>
    <t xml:space="preserve">HY_51526_THIBERY</t>
  </si>
  <si>
    <t xml:space="preserve">ST THIBERY</t>
  </si>
  <si>
    <t xml:space="preserve">Ci-joint les éléments concernant St-Thibery.</t>
  </si>
  <si>
    <t xml:space="preserve">Il s’agit de la production globale de la centrale.</t>
  </si>
  <si>
    <t xml:space="preserve">Elle est arrêtée administrativement durant les mois de juillet et aout.</t>
  </si>
  <si>
    <t xml:space="preserve">La production totale mensuelle de septembre 2014 à août 2015 et la durée des travaux</t>
  </si>
  <si>
    <t xml:space="preserve">    Les travaux ont démarré en juillet 2014. Une crue à empêcher la fin du chantier qui n’a pas se terminer qu’en juillet 2015.</t>
  </si>
  <si>
    <t xml:space="preserve">    Cette période n’est pas très représentative.</t>
  </si>
  <si>
    <t xml:space="preserve">La date et la puissance de passage sous Obligation d'Achat EDF OA d'une partie de la centrale.</t>
  </si>
  <si>
    <t xml:space="preserve">    La centrale a 2 alternateur de 400 kW, soit 800 kW.</t>
  </si>
  <si>
    <t xml:space="preserve">    400 kW sous OA, mis en service le 01/09/2015</t>
  </si>
  <si>
    <t xml:space="preserve">    400 kW sous marché libre</t>
  </si>
  <si>
    <t xml:space="preserve">Les chiffres sont… incertains !</t>
  </si>
  <si>
    <t xml:space="preserve">travaux centrale </t>
  </si>
  <si>
    <t xml:space="preserve">MES OA 400 kWc (01/09)</t>
  </si>
  <si>
    <t xml:space="preserve">Fichier "CARDI La Balme 10 2015 - signé SHAC.pdf" mentionnant l'ajout d'un groupe sous OA de 400 kW signé le 28/10/2015.</t>
  </si>
  <si>
    <t xml:space="preserve">Un CARD-I (celui là prend effet le 1/11/2015) est resigné quand il y a modification de l'installation :</t>
  </si>
  <si>
    <t xml:space="preserve">on peut donc supposer que les travaux de rénovation ont été fait courant 2015, à l'été pendant le creux de production</t>
  </si>
  <si>
    <t xml:space="preserve">(on a pas les historiques de 2015 pour confirmer). Pas plus d'infos sans contacter le producteur.</t>
  </si>
  <si>
    <t xml:space="preserve">Il semble que ce soit 3360 et non 4090 même si la puissance souscrite est de 4490</t>
  </si>
  <si>
    <t xml:space="preserve">CT_HYDRO_197</t>
  </si>
  <si>
    <t xml:space="preserve">La Roya</t>
  </si>
  <si>
    <t xml:space="preserve">Hubau</t>
  </si>
  <si>
    <t xml:space="preserve">HY_51785_ROYA</t>
  </si>
  <si>
    <t xml:space="preserve">6 attente</t>
  </si>
  <si>
    <t xml:space="preserve">CT_HYDRO_085</t>
  </si>
  <si>
    <t xml:space="preserve">La Guerche
(Isola 1)</t>
  </si>
  <si>
    <t xml:space="preserve">BOGINI</t>
  </si>
  <si>
    <t xml:space="preserve">2 turbines : 2983 chez EnC et 400 en OA</t>
  </si>
  <si>
    <t xml:space="preserve">OA : 400kW
Surplus : 2983kW</t>
  </si>
  <si>
    <t xml:space="preserve">RAS
Dans le pdf sur le CARDI : 1 turbine de 3615 kVA + 1 de 600 kVA = 4215 kVA pour une puissance souscrite de 3400 kW
Dans le Mandat GO : puissance installée = 2900 kW
D’autres infos dans ‘CdC ISOLA 08-2014.pdf’ mais qui ne confirment pas vraiment le reste : il y a est question d’une génératrice de 2983 kW uniquement
On ne sait pas si le groupe en OA est un ajout ou une rénovation, donc on ne sait pas la puissance avant le passage en OA…
Données de production dans le fichier ‘CdC ISOLA 08-2014.pdf’</t>
  </si>
  <si>
    <t xml:space="preserve">HY_51787_LAGUERCHE</t>
  </si>
  <si>
    <t xml:space="preserve">Mise en service en Septembre 1983</t>
  </si>
  <si>
    <t xml:space="preserve">???</t>
  </si>
  <si>
    <t xml:space="preserve">manque d’eau ?</t>
  </si>
  <si>
    <t xml:space="preserve">travaux n'affactant pas la production</t>
  </si>
  <si>
    <t xml:space="preserve">mail prod : </t>
  </si>
  <si>
    <t xml:space="preserve">passage OA </t>
  </si>
  <si>
    <t xml:space="preserve"> 2 - Les travaux de rénovation ont débutés en 2015 pour se terminer en 2015.</t>
  </si>
  <si>
    <t xml:space="preserve"> 3 - Dates de contrats EDF OA - Micro GUERCHE le 22/10/2015</t>
  </si>
  <si>
    <t xml:space="preserve">7 attente</t>
  </si>
  <si>
    <t xml:space="preserve">CT_HYDRO_086</t>
  </si>
  <si>
    <t xml:space="preserve">Chastillon
(Isola 2)</t>
  </si>
  <si>
    <t xml:space="preserve">2 turbines : 2422 pour EnC et 400 en OA</t>
  </si>
  <si>
    <t xml:space="preserve">OA : 400kW
Surplus : 2422kW</t>
  </si>
  <si>
    <r>
      <rPr>
        <sz val="10"/>
        <rFont val="Arial"/>
        <family val="2"/>
        <charset val="1"/>
      </rPr>
      <t xml:space="preserve">Désaccords de puissances dans le CPA mais globalement, la puissance livrée à EnC est 2422 kW
Dans le CARDI, problème : 2816 kVA + 600 kVa pour une puissance totale de 2494 kVA → pb !! puissance injectée : 2494 kW donc ça c’est bon
Dans le Mandat GO, puissance installée : 2900 kW et aucune info sur OA ou pas (semble être des kVA en fait…)
2422 kW confirmé par ‘CdC ISOLA 008-2014.pdf’
=&gt; plutôt envie de faire confiance au CPA !! Parce que 2422 pour EnC et puissane souscrite de 2494 : pas d’OA ! Or manifestement en OA d’après production
Pb avec les données de Komi = facteur de charge &gt; 1
Données de production dans le fichier ‘CdC ISOLA 08-2014.pdf’
</t>
    </r>
    <r>
      <rPr>
        <sz val="10"/>
        <color rgb="FFCC0000"/>
        <rFont val="Arial"/>
        <family val="2"/>
        <charset val="1"/>
      </rPr>
      <t xml:space="preserve">Ajout ou rénovation =&gt; supposition ajout turbine ? Précisions sur la date ?</t>
    </r>
  </si>
  <si>
    <t xml:space="preserve">HY_51788_CHASTILLON</t>
  </si>
  <si>
    <t xml:space="preserve">Mise en service en Juin 1987</t>
  </si>
  <si>
    <t xml:space="preserve">Pour la puissance, je me fie au CARD-I qui est cené être le document officiel.</t>
  </si>
  <si>
    <t xml:space="preserve">Il annonce une puissance souscrite  2494 kW (= aux 2494 kVA de puissance installée, ce qui est un peu bizarre mais pas impossible)</t>
  </si>
  <si>
    <t xml:space="preserve">Cela est confirmé par le CPA, et à mon avis, la génératrice à 2422 kW est bridée à 2094 pour avoir les 400 kW d’OA.</t>
  </si>
  <si>
    <t xml:space="preserve">De plus, en prenant 2494 kW, je n’ai plus qu’un seul facteur de charge &gt; 1 </t>
  </si>
  <si>
    <t xml:space="preserve">PRODUCTION MICROCENTRALE</t>
  </si>
  <si>
    <t xml:space="preserve">Les travaux de rénovation ont débutés en 2015 pour se terminer en 2015.</t>
  </si>
  <si>
    <t xml:space="preserve"> 3 - Dates de contrats EDF OA – Micro CHASTILLON le  01/10/2015</t>
  </si>
  <si>
    <t xml:space="preserve">CT_HYDRO_174</t>
  </si>
  <si>
    <t xml:space="preserve">Pierre Blanche / Saint Sauveur</t>
  </si>
  <si>
    <t xml:space="preserve">HY_51789_PIERREBLANCHE </t>
  </si>
  <si>
    <t xml:space="preserve">CT_HYDRO_207</t>
  </si>
  <si>
    <t xml:space="preserve">Claux et Corbarieu</t>
  </si>
  <si>
    <t xml:space="preserve">SOCIETE D'EXPLOITATION DE CENTRALE HYDROELECTRIQUE</t>
  </si>
  <si>
    <t xml:space="preserve">HY_61553_CORBARIEU</t>
  </si>
  <si>
    <t xml:space="preserve">CT_hydro_023</t>
  </si>
  <si>
    <t xml:space="preserve">Centrale de Sarnarié</t>
  </si>
  <si>
    <t xml:space="preserve">COMMUNE DU PONT DE L'ARN</t>
  </si>
  <si>
    <t xml:space="preserve">1 moteur asynchrone fonctionnant en « gene hypersyn » (c’est ce que je lis)</t>
  </si>
  <si>
    <t xml:space="preserve">1600 kW au total dont 400 kW en H07 sous OA</t>
  </si>
  <si>
    <t xml:space="preserve">Vieille centrale donc peu d’infos
Mandat GO (11/01/2017) : puissance totale = 1600 kW dont 1200 kW Enercoop
CARD-I du 10/10/2014 : 1200 kVA soit 1200 kW + 506 kVA soit 400 kW = 1706 kVA soit 1600 kW et puissance active max injectée : 1600 kW =&gt; perfect !
CPA du 15/10/2014 : 1200 EN + 400 OA
Quelques doutes sur la puissance avant le passage à l’OA. A vérifier avec AD les données du producteur dans le fichier prod par prod !! En 2012 pas des données ! par contre 2013 oui ! Ce n’est pas une erreur ? Données de production demandée au producteurs
Avant OA : 1600 kW (file:///media/partage_enercoop/APPRO/01_Producteurs/Producteurs/HYDRO/Documents%20producteurs/CT_HYDRO_023%20-%20Pont%20de%20l'Arn/passage%20%C3%A0%20l'OA%20partielle%20-%20novembre%202014/Implantation%20groupe%20Pont%20de%20l%20Arn%20La%20Sarnari%C3%A9.pdf), ajout turbine de 400 kW donc 1600 + 400 maintenant ?</t>
  </si>
  <si>
    <t xml:space="preserve">HY_61554_SARNARIE</t>
  </si>
  <si>
    <t xml:space="preserve">Les données de prod ne semblent pas être le surplus</t>
  </si>
  <si>
    <t xml:space="preserve">Dans ce cas le facteur de charge me paraît faible et il se peut que l’OA soit un ajout</t>
  </si>
  <si>
    <t xml:space="preserve">(il n’y a qu’en Fév 2013 où ça poserait un pb)</t>
  </si>
  <si>
    <t xml:space="preserve">fin contrat EDF OA</t>
  </si>
  <si>
    <t xml:space="preserve">d'après RE, non nul! </t>
  </si>
  <si>
    <t xml:space="preserve"> Rép mail : </t>
  </si>
  <si>
    <t xml:space="preserve">travaux de rénovation partielle</t>
  </si>
  <si>
    <t xml:space="preserve">CARD-I 10/10/2014</t>
  </si>
  <si>
    <t xml:space="preserve">Centrale de La SARNARIE</t>
  </si>
  <si>
    <t xml:space="preserve">centrale arrêtée en nov</t>
  </si>
  <si>
    <t xml:space="preserve">Turbine 1: 1200 KW en contrat avec Enercoop</t>
  </si>
  <si>
    <t xml:space="preserve">Turbine 2: 400 KW en contrat avec EDF OA</t>
  </si>
  <si>
    <t xml:space="preserve">CT_HYDRO_043</t>
  </si>
  <si>
    <t xml:space="preserve">Montel</t>
  </si>
  <si>
    <t xml:space="preserve">HEBRARD</t>
  </si>
  <si>
    <t xml:space="preserve">720 kWc EN</t>
  </si>
  <si>
    <t xml:space="preserve">HY_61891_MONTEL</t>
  </si>
  <si>
    <t xml:space="preserve">CT_HYDRO_019</t>
  </si>
  <si>
    <t xml:space="preserve">Malamort</t>
  </si>
  <si>
    <t xml:space="preserve">HY_61901_MALAMORT</t>
  </si>
  <si>
    <t xml:space="preserve">CT_HYDRO_198</t>
  </si>
  <si>
    <t xml:space="preserve">Caussanus</t>
  </si>
  <si>
    <t xml:space="preserve">passage à l’OA au 01/11/2019</t>
  </si>
  <si>
    <t xml:space="preserve">HY_61904_CAUSSANUS</t>
  </si>
  <si>
    <t xml:space="preserve">CPA / OFFRE TOP SIGNÉE / CARD-I</t>
  </si>
  <si>
    <t xml:space="preserve">TVB</t>
  </si>
  <si>
    <t xml:space="preserve">totale installée card-i</t>
  </si>
  <si>
    <t xml:space="preserve"> P maximale d’injection card-i</t>
  </si>
  <si>
    <t xml:space="preserve">Puissance pour EnC / CPA</t>
  </si>
  <si>
    <t xml:space="preserve">puissance </t>
  </si>
  <si>
    <t xml:space="preserve">CT_HYDRO_111</t>
  </si>
  <si>
    <t xml:space="preserve">Salies du Salat</t>
  </si>
  <si>
    <t xml:space="preserve">GRONCHI</t>
  </si>
  <si>
    <t xml:space="preserve">5 G de 390 kVA + 1 G de 444kVA + 1 G de 2500 kVA</t>
  </si>
  <si>
    <t xml:space="preserve">2200 EN + 2160 OA</t>
  </si>
  <si>
    <t xml:space="preserve">Puissance raccordement (CARD) : 4390 kW
G1 : 350 kW en OA
G2 : 350 kW en OA
G3 : 350 kW en OA
G4 : 350 kW en OA
G5 : 360 kW en OA
G6 : 400 kW en OA
G7 : 2200 kW sur marché libre</t>
  </si>
  <si>
    <r>
      <rPr>
        <sz val="10"/>
        <rFont val="Arial"/>
        <family val="2"/>
        <charset val="1"/>
      </rPr>
      <t xml:space="preserve">
CODOA P max installée de 4360 kW, P active maximale de fourniture de 2160 kW –  signature du contrat CODOA 15 mars 2016 dans le cadre d’une rénovation
</t>
    </r>
    <r>
      <rPr>
        <sz val="10"/>
        <color rgb="FFCC0000"/>
        <rFont val="Arial"/>
        <family val="2"/>
        <charset val="1"/>
      </rPr>
      <t xml:space="preserve">Données 2015 /2016 manquantes.
</t>
    </r>
    <r>
      <rPr>
        <b val="true"/>
        <sz val="10"/>
        <color rgb="FFCC0000"/>
        <rFont val="Arial"/>
        <family val="2"/>
        <charset val="1"/>
      </rPr>
      <t xml:space="preserve">Courriel envoyé au producteur le 16/03/2018 pour lui demander des informations</t>
    </r>
  </si>
  <si>
    <t xml:space="preserve">HY_61967_SEECE</t>
  </si>
  <si>
    <t xml:space="preserve">Retour mail : </t>
  </si>
  <si>
    <t xml:space="preserve">La centrale de Salies du Salat  comporte 2 équipements . :</t>
  </si>
  <si>
    <t xml:space="preserve">6 Groupes de 360 kw soit 2160 kw qui sont en contrat H07 et fonctionnent en priorité .</t>
  </si>
  <si>
    <t xml:space="preserve">1 Groupe de 2200 kw qui prend le relai lorsque la puissance dépasse 2000.kw.</t>
  </si>
  <si>
    <t xml:space="preserve">Comme les périodes de hautes eaux sont totalement imprévisibles et très variables , je ne suis pas en mesure de vous donner des dates .</t>
  </si>
  <si>
    <t xml:space="preserve">Je vous adresse les fiches de production sur 39 années , vous pourrez juger vous-même de la moyenne des pé</t>
  </si>
  <si>
    <t xml:space="preserve">Données de prod depuis Janvier 1978</t>
  </si>
  <si>
    <t xml:space="preserve">Dans le doc du producteur :</t>
  </si>
  <si>
    <t xml:space="preserve">J’ai mis dans la première colonne les données de</t>
  </si>
  <si>
    <t xml:space="preserve">Pdispo marché 2016 (KW)</t>
  </si>
  <si>
    <t xml:space="preserve">Pdispo 2016-2017 (travaux à venir)</t>
  </si>
  <si>
    <t xml:space="preserve">production TOTALE du fichier du producteur</t>
  </si>
  <si>
    <t xml:space="preserve">4200 KW DONT 1200 À L'OA (400 À CE JOUR)</t>
  </si>
  <si>
    <t xml:space="preserve">J’ai pris la puissance dispo du producteur en Total puissance et ça semble cohérent d’un point de vue facteur de charge</t>
  </si>
  <si>
    <t xml:space="preserve">Dates des mises en fonctionnement des H 07.</t>
  </si>
  <si>
    <t xml:space="preserve">25 Septembre 2013        400 KW.</t>
  </si>
  <si>
    <t xml:space="preserve">07 Novembre 2014.     1.110 KW.</t>
  </si>
  <si>
    <t xml:space="preserve">01 Septembre 2017.    2.160 KW.</t>
  </si>
  <si>
    <t xml:space="preserve">CT_HYDRO_033</t>
  </si>
  <si>
    <t xml:space="preserve">Centrale Saint-Laurent de Neste</t>
  </si>
  <si>
    <t xml:space="preserve">PEYRES</t>
  </si>
  <si>
    <t xml:space="preserve">Données demandées de décembre 2013 / janvier 2014 et d’avant 2012.  christian.peyres@sfr.fr</t>
  </si>
  <si>
    <t xml:space="preserve">01/11/2012 Date de prise d’effet 01/02/2013 date de signature 21/05/2006
Offre coopérative : 15/01/2013</t>
  </si>
  <si>
    <t xml:space="preserve">HY_61972_NESTE</t>
  </si>
  <si>
    <t xml:space="preserve">Travaux sur réseau, centrale déconnectée</t>
  </si>
  <si>
    <t xml:space="preserve">8 attente</t>
  </si>
  <si>
    <t xml:space="preserve">CT_HYDRO_107</t>
  </si>
  <si>
    <t xml:space="preserve">Centrale Hydroélectrique de Château Verdun</t>
  </si>
  <si>
    <t xml:space="preserve">FLIPO</t>
  </si>
  <si>
    <t xml:space="preserve">2500 en ML + 2500 en OA = 5000</t>
  </si>
  <si>
    <t xml:space="preserve">OA : 2500 kW
Surplus : 2500 kW</t>
  </si>
  <si>
    <t xml:space="preserve">Contrat actif : ?</t>
  </si>
  <si>
    <r>
      <rPr>
        <sz val="10"/>
        <rFont val="Arial"/>
        <family val="2"/>
        <charset val="1"/>
      </rPr>
      <t xml:space="preserve">Dans le fichier d’historique de production, OA calculée pour 1950 kW… d’où ?!
CARD-I : 2 générateurs de 2750 kVA chacun ; puissance de l’installation = 5500 kW ; puissance active max injectée = 3800 kW
Mandat GO : 5000 kW en tout / 3800 kW en injection / 2500 kW pour EN
</t>
    </r>
    <r>
      <rPr>
        <sz val="10"/>
        <color rgb="FFCC0000"/>
        <rFont val="Arial"/>
        <family val="2"/>
        <charset val="1"/>
      </rPr>
      <t xml:space="preserve">Pas d'info sur la puissance réellement produite en OA (seulement sur les installations). Passage en OA selon le fichier prod par prod en 01/02/2015</t>
    </r>
  </si>
  <si>
    <t xml:space="preserve">HY_62038_CHATEAUVERDUN</t>
  </si>
  <si>
    <t xml:space="preserve">début travaux</t>
  </si>
  <si>
    <t xml:space="preserve">Mi-juillet</t>
  </si>
  <si>
    <t xml:space="preserve">Rép Mail 2 prod :</t>
  </si>
  <si>
    <t xml:space="preserve">la date des travaux de rénovation 1ère phase finie en 01/2015</t>
  </si>
  <si>
    <t xml:space="preserve">Les travaux ont débuté mi-juillet 2014 pour se terminer vers la fin janvier 2015.</t>
  </si>
  <si>
    <t xml:space="preserve">la puissance totale sous Obligation d'Achat 2500 kW</t>
  </si>
  <si>
    <t xml:space="preserve">Le contrat en marché libre n’a débuté qu’au 01/02/2015</t>
  </si>
  <si>
    <t xml:space="preserve">la date de début du contrat d'obligation d'Achat 01/02/2015</t>
  </si>
  <si>
    <t xml:space="preserve">fin travaux</t>
  </si>
  <si>
    <t xml:space="preserve">fin janv 2015</t>
  </si>
  <si>
    <t xml:space="preserve">G1 en OA depuis le 01/02/2015 (info producteur)</t>
  </si>
  <si>
    <t xml:space="preserve">CARD-I : 12/01/2015</t>
  </si>
  <si>
    <t xml:space="preserve">janvier</t>
  </si>
  <si>
    <t xml:space="preserve">février</t>
  </si>
  <si>
    <t xml:space="preserve">mars</t>
  </si>
  <si>
    <t xml:space="preserve">avril</t>
  </si>
  <si>
    <t xml:space="preserve">mai</t>
  </si>
  <si>
    <t xml:space="preserve">juin</t>
  </si>
  <si>
    <t xml:space="preserve">juillet</t>
  </si>
  <si>
    <t xml:space="preserve">août</t>
  </si>
  <si>
    <t xml:space="preserve">septembre</t>
  </si>
  <si>
    <t xml:space="preserve">octobre</t>
  </si>
  <si>
    <t xml:space="preserve">novembre</t>
  </si>
  <si>
    <t xml:space="preserve">décembre</t>
  </si>
  <si>
    <t xml:space="preserve">H07</t>
  </si>
  <si>
    <t xml:space="preserve">total</t>
  </si>
  <si>
    <t xml:space="preserve">travaux EDF en amont</t>
  </si>
  <si>
    <t xml:space="preserve">travaux EDF en maont</t>
  </si>
  <si>
    <t xml:space="preserve">CT_HYDRO_158</t>
  </si>
  <si>
    <t xml:space="preserve">Usine du Pont de Bert</t>
  </si>
  <si>
    <t xml:space="preserve">Cédric Alran</t>
  </si>
  <si>
    <t xml:space="preserve">Info prod totale jusque juin 2012 + info prod ML 09/2013 à 08/18
</t>
  </si>
  <si>
    <t xml:space="preserve">HY_62046_BERT</t>
  </si>
  <si>
    <t xml:space="preserve">14ème prio</t>
  </si>
  <si>
    <t xml:space="preserve">CT_HYDRO_094</t>
  </si>
  <si>
    <t xml:space="preserve">Eths Inherts</t>
  </si>
  <si>
    <t xml:space="preserve">3 turbines : 1060 + 787 chez EnC + 400 OA = 2247</t>
  </si>
  <si>
    <t xml:space="preserve">OA : 400kW
Surplus : 1847kW</t>
  </si>
  <si>
    <t xml:space="preserve">RAS (Centrale Gazost)
D’après le CARD-I (Octobre 2012) : 1060 + 787 kVA pour 62084 et 500 kVA pour 435477 (CARD-I 2) = 2347 kVA pour une puissance injectée max de 2450 kW.
Le Mandat GO donne : puissance active de livraison à EnC = 2050 kW
Semble y avoir une grosse confusion kVA / kW. Après déchiffrage du schéma unifilaire dans 'Convention service de comptage.pdf', on voit que ce sont des kVA avec  le cos(phi) de conversion en kW : 1060 : 0,88 – 787 : 0,83 – 500 : 0,8. Ça explique le 400 kW d’OA, mais ça pose des questions pour le 1847kW… 
Courriel du producteur du 29/03/18 : « 1 turbine de 400 kW en OA (H07), c'est une rénovation début du contrat : 01/10/2012, elle n'a pas occasionné d'arrêt significatif, 1 turbine de 660 kW au marché (correspond surement à 787 kVA), 1 turbine de 1050 kW au marché »
Appel (Alex) producteur le 19/04/18 : « avant octobre 2012, 3 turbines en H97
avant H07 : turbine de 500 kW
1/10/2012, une turbine de 400 kW changée »</t>
  </si>
  <si>
    <t xml:space="preserve">HY_62084_ETHS</t>
  </si>
  <si>
    <t xml:space="preserve">janv. 2005</t>
  </si>
  <si>
    <t xml:space="preserve">févr. 2005</t>
  </si>
  <si>
    <t xml:space="preserve">mars 2005</t>
  </si>
  <si>
    <t xml:space="preserve">Après quelques calculs :</t>
  </si>
  <si>
    <t xml:space="preserve">avril 2005</t>
  </si>
  <si>
    <t xml:space="preserve">mai 2005</t>
  </si>
  <si>
    <t xml:space="preserve">juin 2005</t>
  </si>
  <si>
    <t xml:space="preserve">juil. 2005</t>
  </si>
  <si>
    <t xml:space="preserve">'= 2347</t>
  </si>
  <si>
    <t xml:space="preserve">'=1986</t>
  </si>
  <si>
    <t xml:space="preserve">août 2005</t>
  </si>
  <si>
    <t xml:space="preserve">sept. 2005</t>
  </si>
  <si>
    <t xml:space="preserve">oct. 2005</t>
  </si>
  <si>
    <t xml:space="preserve">nov. 2005</t>
  </si>
  <si>
    <t xml:space="preserve">déc. 2005</t>
  </si>
  <si>
    <t xml:space="preserve">janv. 2006</t>
  </si>
  <si>
    <t xml:space="preserve">févr. 2006</t>
  </si>
  <si>
    <t xml:space="preserve">mars 2006</t>
  </si>
  <si>
    <t xml:space="preserve">avril 2006</t>
  </si>
  <si>
    <t xml:space="preserve">mai 2006</t>
  </si>
  <si>
    <t xml:space="preserve">juin 2006</t>
  </si>
  <si>
    <t xml:space="preserve">juil. 2006</t>
  </si>
  <si>
    <t xml:space="preserve">août 2006</t>
  </si>
  <si>
    <t xml:space="preserve">sept. 2006</t>
  </si>
  <si>
    <t xml:space="preserve">oct. 2006</t>
  </si>
  <si>
    <t xml:space="preserve">nov. 2006</t>
  </si>
  <si>
    <t xml:space="preserve">déc. 2006</t>
  </si>
  <si>
    <t xml:space="preserve">janv. 2007</t>
  </si>
  <si>
    <t xml:space="preserve">févr. 2007</t>
  </si>
  <si>
    <t xml:space="preserve">mars 2007</t>
  </si>
  <si>
    <t xml:space="preserve">avril 2007</t>
  </si>
  <si>
    <t xml:space="preserve">mai 2007</t>
  </si>
  <si>
    <t xml:space="preserve">juin 2007</t>
  </si>
  <si>
    <t xml:space="preserve">juil. 2007</t>
  </si>
  <si>
    <t xml:space="preserve">août 2007</t>
  </si>
  <si>
    <t xml:space="preserve">sept. 2007</t>
  </si>
  <si>
    <t xml:space="preserve">oct. 2007</t>
  </si>
  <si>
    <t xml:space="preserve">nov. 2007</t>
  </si>
  <si>
    <t xml:space="preserve">déc. 2007</t>
  </si>
  <si>
    <t xml:space="preserve">janv. 2008</t>
  </si>
  <si>
    <t xml:space="preserve">févr. 2008</t>
  </si>
  <si>
    <t xml:space="preserve">mars 2008</t>
  </si>
  <si>
    <t xml:space="preserve">avril 2008</t>
  </si>
  <si>
    <t xml:space="preserve">mai 2008</t>
  </si>
  <si>
    <t xml:space="preserve">juin 2008</t>
  </si>
  <si>
    <t xml:space="preserve">juil. 2008</t>
  </si>
  <si>
    <t xml:space="preserve">août 2008</t>
  </si>
  <si>
    <t xml:space="preserve">sept. 2008</t>
  </si>
  <si>
    <t xml:space="preserve">oct. 2008</t>
  </si>
  <si>
    <t xml:space="preserve">nov. 2008</t>
  </si>
  <si>
    <t xml:space="preserve">déc. 2008</t>
  </si>
  <si>
    <t xml:space="preserve">janv. 2009</t>
  </si>
  <si>
    <t xml:space="preserve">févr. 2009</t>
  </si>
  <si>
    <t xml:space="preserve">mars 2009</t>
  </si>
  <si>
    <t xml:space="preserve">avril 2009</t>
  </si>
  <si>
    <t xml:space="preserve">mai 2009</t>
  </si>
  <si>
    <t xml:space="preserve">juin 2009</t>
  </si>
  <si>
    <t xml:space="preserve">juil. 2009</t>
  </si>
  <si>
    <t xml:space="preserve">août 2009</t>
  </si>
  <si>
    <t xml:space="preserve">sept. 2009</t>
  </si>
  <si>
    <t xml:space="preserve">oct. 2009</t>
  </si>
  <si>
    <t xml:space="preserve">nov. 2009</t>
  </si>
  <si>
    <t xml:space="preserve">déc. 2009</t>
  </si>
  <si>
    <t xml:space="preserve">janv. 2010</t>
  </si>
  <si>
    <t xml:space="preserve">févr. 2010</t>
  </si>
  <si>
    <t xml:space="preserve">mars 2010</t>
  </si>
  <si>
    <t xml:space="preserve">avril 2010</t>
  </si>
  <si>
    <t xml:space="preserve">mai 2010</t>
  </si>
  <si>
    <t xml:space="preserve">juin 2010</t>
  </si>
  <si>
    <t xml:space="preserve">juil. 2010</t>
  </si>
  <si>
    <t xml:space="preserve">août 2010</t>
  </si>
  <si>
    <t xml:space="preserve">sept. 2010</t>
  </si>
  <si>
    <t xml:space="preserve">oct. 2010</t>
  </si>
  <si>
    <t xml:space="preserve">nov. 2010</t>
  </si>
  <si>
    <t xml:space="preserve">déc. 2010</t>
  </si>
  <si>
    <t xml:space="preserve">janv. 2011</t>
  </si>
  <si>
    <t xml:space="preserve">févr. 2011</t>
  </si>
  <si>
    <t xml:space="preserve">mars 2011</t>
  </si>
  <si>
    <t xml:space="preserve">avril 2011</t>
  </si>
  <si>
    <t xml:space="preserve">mai 2011</t>
  </si>
  <si>
    <t xml:space="preserve">juin 2011</t>
  </si>
  <si>
    <t xml:space="preserve">juil. 2011</t>
  </si>
  <si>
    <t xml:space="preserve">août 2011</t>
  </si>
  <si>
    <t xml:space="preserve">sept. 2011</t>
  </si>
  <si>
    <t xml:space="preserve">oct. 2011</t>
  </si>
  <si>
    <t xml:space="preserve">nov. 2011</t>
  </si>
  <si>
    <t xml:space="preserve">déc. 2011</t>
  </si>
  <si>
    <t xml:space="preserve">janv. 2012</t>
  </si>
  <si>
    <t xml:space="preserve">févr. 2012</t>
  </si>
  <si>
    <t xml:space="preserve">mars 2012</t>
  </si>
  <si>
    <t xml:space="preserve">avril 2012</t>
  </si>
  <si>
    <t xml:space="preserve">mai 2012</t>
  </si>
  <si>
    <t xml:space="preserve">juin 2012</t>
  </si>
  <si>
    <t xml:space="preserve">juil. 2012</t>
  </si>
  <si>
    <t xml:space="preserve">août 2012</t>
  </si>
  <si>
    <t xml:space="preserve">sept. 2012</t>
  </si>
  <si>
    <t xml:space="preserve">travaux d'ajout d'une turbine en OA pas d'arrêt de la centrale
Fin des contrats (3) H97 pour 3 turbines</t>
  </si>
  <si>
    <t xml:space="preserve">oct. 2012</t>
  </si>
  <si>
    <t xml:space="preserve">début contrat OA : 01/10/12</t>
  </si>
  <si>
    <t xml:space="preserve">nov. 2012</t>
  </si>
  <si>
    <t xml:space="preserve">déc. 2012</t>
  </si>
  <si>
    <t xml:space="preserve">janv. 2013</t>
  </si>
  <si>
    <t xml:space="preserve">févr. 2013</t>
  </si>
  <si>
    <t xml:space="preserve">mars 2013</t>
  </si>
  <si>
    <t xml:space="preserve">avril 2013</t>
  </si>
  <si>
    <t xml:space="preserve">mai 2013</t>
  </si>
  <si>
    <t xml:space="preserve">juin 2013</t>
  </si>
  <si>
    <t xml:space="preserve">juil. 2013</t>
  </si>
  <si>
    <t xml:space="preserve">août 2013</t>
  </si>
  <si>
    <t xml:space="preserve">sept. 2013</t>
  </si>
  <si>
    <t xml:space="preserve">oct. 2013</t>
  </si>
  <si>
    <t xml:space="preserve">nov. 2013</t>
  </si>
  <si>
    <t xml:space="preserve">déc. 2013</t>
  </si>
  <si>
    <t xml:space="preserve">janv. 2014</t>
  </si>
  <si>
    <t xml:space="preserve">févr. 2014</t>
  </si>
  <si>
    <t xml:space="preserve">mars 2014</t>
  </si>
  <si>
    <t xml:space="preserve">avril 2014</t>
  </si>
  <si>
    <t xml:space="preserve">mai 2014</t>
  </si>
  <si>
    <t xml:space="preserve">juin 2014</t>
  </si>
  <si>
    <t xml:space="preserve">juil. 2014</t>
  </si>
  <si>
    <t xml:space="preserve">août 2014</t>
  </si>
  <si>
    <t xml:space="preserve">sept. 2014</t>
  </si>
  <si>
    <t xml:space="preserve">oct. 2014</t>
  </si>
  <si>
    <t xml:space="preserve">nov. 2014</t>
  </si>
  <si>
    <t xml:space="preserve">déc. 2014</t>
  </si>
  <si>
    <t xml:space="preserve">janv. 2015</t>
  </si>
  <si>
    <t xml:space="preserve">févr. 2015</t>
  </si>
  <si>
    <t xml:space="preserve">mars 2015</t>
  </si>
  <si>
    <t xml:space="preserve">avril 2015</t>
  </si>
  <si>
    <t xml:space="preserve">mai 2015</t>
  </si>
  <si>
    <t xml:space="preserve">juin 2015</t>
  </si>
  <si>
    <t xml:space="preserve">juil. 2015</t>
  </si>
  <si>
    <t xml:space="preserve">août 2015</t>
  </si>
  <si>
    <t xml:space="preserve">sept. 2015</t>
  </si>
  <si>
    <t xml:space="preserve">oct. 2015</t>
  </si>
  <si>
    <t xml:space="preserve">nov. 2015</t>
  </si>
  <si>
    <t xml:space="preserve">déc. 2015</t>
  </si>
  <si>
    <t xml:space="preserve">janv. 2016</t>
  </si>
  <si>
    <t xml:space="preserve">févr. 2016</t>
  </si>
  <si>
    <t xml:space="preserve">mars 2016</t>
  </si>
  <si>
    <t xml:space="preserve">avril 2016</t>
  </si>
  <si>
    <t xml:space="preserve">mai 2016</t>
  </si>
  <si>
    <t xml:space="preserve">juin 2016</t>
  </si>
  <si>
    <t xml:space="preserve">juil. 2016</t>
  </si>
  <si>
    <t xml:space="preserve">août 2016</t>
  </si>
  <si>
    <t xml:space="preserve">sept. 2016</t>
  </si>
  <si>
    <t xml:space="preserve">oct. 2016</t>
  </si>
  <si>
    <t xml:space="preserve">nov. 2016</t>
  </si>
  <si>
    <t xml:space="preserve">déc. 2016</t>
  </si>
  <si>
    <t xml:space="preserve">CT_HYDRO_128</t>
  </si>
  <si>
    <t xml:space="preserve">Microcentrale Curie</t>
  </si>
  <si>
    <t xml:space="preserve">CARRERE</t>
  </si>
  <si>
    <t xml:space="preserve">3 groupes :
- 65 kW
- 35 kW
- 15 kW</t>
  </si>
  <si>
    <t xml:space="preserve">HY_62099_CURIE</t>
  </si>
  <si>
    <t xml:space="preserve">J=38957        F=33097          M=32635     A=41702  Mai=51532    J=38251     Juillet=41263     A=38738       Sept=18169</t>
  </si>
  <si>
    <t xml:space="preserve">CT_HYDRO_199</t>
  </si>
  <si>
    <t xml:space="preserve">Biron</t>
  </si>
  <si>
    <t xml:space="preserve">HY_62150_BIRON</t>
  </si>
  <si>
    <t xml:space="preserve">CT_HYDRO_102</t>
  </si>
  <si>
    <t xml:space="preserve">Chutes de Galessie</t>
  </si>
  <si>
    <t xml:space="preserve">LESPIAU</t>
  </si>
  <si>
    <t xml:space="preserve">2 turbines : 900 kW + 350 kW = 1250 kW</t>
  </si>
  <si>
    <t xml:space="preserve">2 Turbines : 900kW et 350kW</t>
  </si>
  <si>
    <t xml:space="preserve">Mail propducteur : « je mentionne que toute la production des 2 turbines sont sur le marché libre , il n’y a pas de contrat EDF OA »</t>
  </si>
  <si>
    <t xml:space="preserve">Entre 01/01/2016 et 31 décembre 2017</t>
  </si>
  <si>
    <t xml:space="preserve">HY_62185_GALESSI</t>
  </si>
  <si>
    <t xml:space="preserve">chez nous</t>
  </si>
  <si>
    <t xml:space="preserve">j’ai rempli des documents que j’ai fait parvenir à Mr Alary olivier ou je mentionne que toute la production des 2 turbines sont sur le marché libre , il n’y a pas de contrat EDF OA.</t>
  </si>
  <si>
    <t xml:space="preserve">pas chez nous</t>
  </si>
  <si>
    <t xml:space="preserve">CT_HYDRO_056</t>
  </si>
  <si>
    <t xml:space="preserve">Moulin de Vialère</t>
  </si>
  <si>
    <t xml:space="preserve">DEGRAEVE</t>
  </si>
  <si>
    <t xml:space="preserve">- une turbine de 125 kW
- une turbine de 253 kW</t>
  </si>
  <si>
    <t xml:space="preserve">HY_62204_VIALERE</t>
  </si>
  <si>
    <t xml:space="preserve">Monsieur,</t>
  </si>
  <si>
    <t xml:space="preserve">manque d'eau (sécheresse)</t>
  </si>
  <si>
    <t xml:space="preserve">Suite à votre demande, je vous transmets les renseignements suivants:</t>
  </si>
  <si>
    <t xml:space="preserve">Productions mesuelles :</t>
  </si>
  <si>
    <t xml:space="preserve">panne grave et non prévisible à lourdement impacté la production de la centrale du   31 décembre 2014 au 6  mars 2015</t>
  </si>
  <si>
    <t xml:space="preserve">panne grave et non prévisible à lourdement impacté la production de la centrale du   31 décembre 2014 au 6  mars 2016</t>
  </si>
  <si>
    <t xml:space="preserve">CT_HYDRO_173</t>
  </si>
  <si>
    <t xml:space="preserve">Aiguillon</t>
  </si>
  <si>
    <t xml:space="preserve">HY_62210_AIGUILLON </t>
  </si>
  <si>
    <t xml:space="preserve">CT_HYDRO_141</t>
  </si>
  <si>
    <t xml:space="preserve">Centrale de Saint-Aulaye Puymangou</t>
  </si>
  <si>
    <t xml:space="preserve">LAGRENAUDIE</t>
  </si>
  <si>
    <t xml:space="preserve">01/03/2016 : FR : Tél du maire :
- Passage à l'OA retardé pour cause de pbs de traitement du dossier par EDF-OA et ERDF.
- Cabine spécialisé sollicité.
- Lui ai rappelé obligation de nous notifier en avance.</t>
  </si>
  <si>
    <t xml:space="preserve">HY_62221_SAINT-AULAYE</t>
  </si>
  <si>
    <t xml:space="preserve">CT_HYDRO_087</t>
  </si>
  <si>
    <t xml:space="preserve">Assier</t>
  </si>
  <si>
    <t xml:space="preserve">2 x 600 en OA + 1000 en surplus = 2200</t>
  </si>
  <si>
    <t xml:space="preserve">OA : 1200kW
Surplus : 1000kW</t>
  </si>
  <si>
    <r>
      <rPr>
        <sz val="10"/>
        <rFont val="Arial"/>
        <family val="2"/>
        <charset val="1"/>
      </rPr>
      <t xml:space="preserve">Tout concorde, du jamais vu !
CARD-I (Octobre 2013) : puissance installée 3823 kVA, puissance injectée au réseau : 2400 kW – installation : 2 x 976 kVA + 1871 kVA
Fichier avec données de production : ‘PRODUCTIONS_GRONCHI.ods’ (il y en a un autre en .xls mais qui ne semble pas avoir tout à fait les mêmes données…)
</t>
    </r>
    <r>
      <rPr>
        <sz val="10"/>
        <color rgb="FFCC0000"/>
        <rFont val="Arial"/>
        <family val="2"/>
        <charset val="1"/>
      </rPr>
      <t xml:space="preserve">2 passages OA ?! Date du 2ème ? Puissance avant, totale ?</t>
    </r>
  </si>
  <si>
    <t xml:space="preserve">HY_62242_ASSIER</t>
  </si>
  <si>
    <t xml:space="preserve">Compteur OA pris comme production??? Appeler</t>
  </si>
  <si>
    <t xml:space="preserve">20/04 : NOK pour temporiser suite au pb de février</t>
  </si>
  <si>
    <t xml:space="preserve">À partir de OCTOBRE 2013, ce sont les prévisions de surplus pour une OA de 1200 kW</t>
  </si>
  <si>
    <t xml:space="preserve">CARD-I date du 18-10-13</t>
  </si>
  <si>
    <t xml:space="preserve">pas d’arrêt ni de diminution significative de la production donc travaux pas très visibles…</t>
  </si>
  <si>
    <t xml:space="preserve">(sur le fichier du producteur, sans prévision d’OA)</t>
  </si>
  <si>
    <t xml:space="preserve">prise d’effet de la rénovation : 01/12/13</t>
  </si>
  <si>
    <t xml:space="preserve">Rép mail – L’avenant pour les 2 groupes en H 07 date du 23 Février 2016.</t>
  </si>
  <si>
    <t xml:space="preserve">sinistre</t>
  </si>
  <si>
    <t xml:space="preserve">rép producteur : </t>
  </si>
  <si>
    <t xml:space="preserve">Sur centrale d’ASSIER nous avons eu sinistre sur les batteries de condensateurs </t>
  </si>
  <si>
    <t xml:space="preserve"> ( Alpes Technologie , incendie ) qui a perturbé notre production de Mars à Aout  2017.</t>
  </si>
  <si>
    <t xml:space="preserve">CT_HYDRO_131</t>
  </si>
  <si>
    <t xml:space="preserve">Centrale des Salhens</t>
  </si>
  <si>
    <t xml:space="preserve">RUBIO</t>
  </si>
  <si>
    <t xml:space="preserve">630 + 180</t>
  </si>
  <si>
    <t xml:space="preserve">données d’avant 2012 demandées</t>
  </si>
  <si>
    <t xml:space="preserve">01/10/2012 ou le plus récent 01/10/2017</t>
  </si>
  <si>
    <t xml:space="preserve">HY_62262_SALHENS</t>
  </si>
  <si>
    <t xml:space="preserve">secheresse</t>
  </si>
  <si>
    <t xml:space="preserve">CT_HYDRO_067</t>
  </si>
  <si>
    <t xml:space="preserve">470202 – 62278 dans facturation</t>
  </si>
  <si>
    <t xml:space="preserve">Les Salelles</t>
  </si>
  <si>
    <t xml:space="preserve">900 + 400OA</t>
  </si>
  <si>
    <t xml:space="preserve"> Surplus oui. 900 ML + 400 OA</t>
  </si>
  <si>
    <t xml:space="preserve">Est-ce que c’est bien 1300 avant  2012 (date card-i ? ) j’ai considéré que oui</t>
  </si>
  <si>
    <t xml:space="preserve">HY_62278_LESSALELLES</t>
  </si>
  <si>
    <t xml:space="preserve">JANVIER</t>
  </si>
  <si>
    <t xml:space="preserve">MARS</t>
  </si>
  <si>
    <t xml:space="preserve">AVRIL</t>
  </si>
  <si>
    <t xml:space="preserve">MAI</t>
  </si>
  <si>
    <t xml:space="preserve">JUIN</t>
  </si>
  <si>
    <t xml:space="preserve">JUILLET</t>
  </si>
  <si>
    <t xml:space="preserve">AOUT</t>
  </si>
  <si>
    <t xml:space="preserve">SEPTEMBRE</t>
  </si>
  <si>
    <t xml:space="preserve">OCTOBRE</t>
  </si>
  <si>
    <t xml:space="preserve">NOVEMBRE</t>
  </si>
  <si>
    <t xml:space="preserve">DECEMBRE</t>
  </si>
  <si>
    <t xml:space="preserve">CT_HYDRO_095</t>
  </si>
  <si>
    <t xml:space="preserve">Minoterie de Coudoustrines</t>
  </si>
  <si>
    <t xml:space="preserve">BURGUIÈRE</t>
  </si>
  <si>
    <t xml:space="preserve">HY_62299_COUDOUSTRINE</t>
  </si>
  <si>
    <t xml:space="preserve">CT_HYDRO_103</t>
  </si>
  <si>
    <t xml:space="preserve">Moulin d'Olt</t>
  </si>
  <si>
    <t xml:space="preserve">GIL</t>
  </si>
  <si>
    <t xml:space="preserve">,</t>
  </si>
  <si>
    <t xml:space="preserve">2 Turbines G1 et G3 de 600 kW chacune sur le marché libre
G2 400 kW sous OA</t>
  </si>
  <si>
    <t xml:space="preserve">RAS
À une conversion kVA / kW près, le CARD-I est en accord avec le reste, notamment puissance injectée dans le réseau de 1400 kW
De même le Mandat GO est parfaitement en accord avec le CPA</t>
  </si>
  <si>
    <t xml:space="preserve">HY_62302_OLT</t>
  </si>
  <si>
    <t xml:space="preserve">Pourquoi sur internet je trouve que la centrale a une puissance totale de 2490 kW ?!</t>
  </si>
  <si>
    <t xml:space="preserve">http://www.france-hydro-electricite.fr/dossiers/la-certification-iso/centrale-certifiee/39-centrale-certifiee-du-moulin-d-olt</t>
  </si>
  <si>
    <t xml:space="preserve">La centrale a été construite en 1981 mais semble être mise en service un peu plus tard.</t>
  </si>
  <si>
    <t xml:space="preserve">?</t>
  </si>
  <si>
    <t xml:space="preserve">janvier </t>
  </si>
  <si>
    <t xml:space="preserve">février </t>
  </si>
  <si>
    <t xml:space="preserve">avril </t>
  </si>
  <si>
    <t xml:space="preserve">mai </t>
  </si>
  <si>
    <t xml:space="preserve">aout </t>
  </si>
  <si>
    <t xml:space="preserve">sept </t>
  </si>
  <si>
    <t xml:space="preserve">oct </t>
  </si>
  <si>
    <t xml:space="preserve">nov</t>
  </si>
  <si>
    <t xml:space="preserve">déc</t>
  </si>
  <si>
    <t xml:space="preserve">Marché</t>
  </si>
  <si>
    <t xml:space="preserve">Enercoop</t>
  </si>
  <si>
    <t xml:space="preserve">Total</t>
  </si>
  <si>
    <t xml:space="preserve">Les date et la durée des travaux et les puissances impactées par ces travaux </t>
  </si>
  <si>
    <t xml:space="preserve">travaux de rénovation de juin 2017 au 11 janvier 2018 – l’intégralité de la puissance a été impactée </t>
  </si>
  <si>
    <t xml:space="preserve">11 janvier 2018 mise en service du groupe H07 400kW</t>
  </si>
  <si>
    <t xml:space="preserve">16 et 17 janvier mise en service des groupes sous marché libre</t>
  </si>
  <si>
    <t xml:space="preserve">Nous avons remarqué dans le CARD-i une puissance d'injection maximale de 1400 kWc. Sous marché libre il s'agit donc d'une puissance de 1000 kW. Pourriez-vous nous confirmer ce point ? oui</t>
  </si>
  <si>
    <t xml:space="preserve">arrêt prod pour travaux</t>
  </si>
  <si>
    <t xml:space="preserve">AD : 12/7/17 : centrale à l'arrêt pour rénovation partielle, redémarrage prévu le 1er octobre 2017 avec une partie sous OA et une partie marché libre</t>
  </si>
  <si>
    <t xml:space="preserve">redémarrage avec partie sous OA le 01/01/2018</t>
  </si>
  <si>
    <t xml:space="preserve">CT_HYDRO_101</t>
  </si>
  <si>
    <t xml:space="preserve">Centrale d’Orthez (SUO) </t>
  </si>
  <si>
    <t xml:space="preserve">CANTOS-PRINGUET</t>
  </si>
  <si>
    <t xml:space="preserve">3256 KVA ! </t>
  </si>
  <si>
    <t xml:space="preserve">2 Turbines de 1628kW chacune</t>
  </si>
  <si>
    <t xml:space="preserve">C’est des KVA dans le product.ods !!!  La production mensuelle de juin 2015(inclus) à décembre 2015(inclus) manquante non trouvée par le producteur</t>
  </si>
  <si>
    <t xml:space="preserve">HY_62315_SUOENERGIE</t>
  </si>
  <si>
    <t xml:space="preserve">Nous n’avons pas ces données, nous n’avons pris possession de cette installation qu’en fin d’année…</t>
  </si>
  <si>
    <t xml:space="preserve">L'Épine</t>
  </si>
  <si>
    <t xml:space="preserve">GENDRON</t>
  </si>
  <si>
    <t xml:space="preserve">HY_71662_EPINE</t>
  </si>
  <si>
    <t xml:space="preserve">CT_HYDRO_125</t>
  </si>
  <si>
    <t xml:space="preserve">Chute de Chateauneuf</t>
  </si>
  <si>
    <t xml:space="preserve">DEPRAT</t>
  </si>
  <si>
    <t xml:space="preserve">à intégrer dans synthèse </t>
  </si>
  <si>
    <t xml:space="preserve">05/09/2012 (CPA-06/09/2019)</t>
  </si>
  <si>
    <t xml:space="preserve">HY_71665_CHATEAUNEUF</t>
  </si>
  <si>
    <t xml:space="preserve">doc de 2014 concernant la puissance de la centrale dans le prod par prod</t>
  </si>
  <si>
    <t xml:space="preserve">Kw Produit par notre :</t>
  </si>
  <si>
    <t xml:space="preserve">CENTRALE DE GREPIAC sise :</t>
  </si>
  <si>
    <t xml:space="preserve">SNC ARIEGE PRODUCTION Le Castelet – Rte de Castres 31280 Drémil Lafage</t>
  </si>
  <si>
    <t xml:space="preserve">Et à mettre sur le Marché</t>
  </si>
  <si>
    <t xml:space="preserve">Janvier 2014 150.000kw</t>
  </si>
  <si>
    <t xml:space="preserve">Février 2014 180.000kw</t>
  </si>
  <si>
    <t xml:space="preserve">Mars 2014176.000kw</t>
  </si>
  <si>
    <t xml:space="preserve">Avril 2014160.000kw</t>
  </si>
  <si>
    <t xml:space="preserve">Mai  2014190.000kw</t>
  </si>
  <si>
    <t xml:space="preserve">Juin 2014209.000kw</t>
  </si>
  <si>
    <t xml:space="preserve">Juillet 2014  145.000kw</t>
  </si>
  <si>
    <t xml:space="preserve">Août  2014  25.000kw</t>
  </si>
  <si>
    <t xml:space="preserve">Octobre 2014  50.000kw   Prévision</t>
  </si>
  <si>
    <t xml:space="preserve">Novembre 2014150.000kw   Prévision</t>
  </si>
  <si>
    <t xml:space="preserve">Décembre 2014180.000kw   Prévision</t>
  </si>
  <si>
    <t xml:space="preserve">CT_HYDRO_139</t>
  </si>
  <si>
    <t xml:space="preserve">Centrale du Gouët</t>
  </si>
  <si>
    <t xml:space="preserve">CAVILLA</t>
  </si>
  <si>
    <t xml:space="preserve">2 turbines :
1168kW et 350kW</t>
  </si>
  <si>
    <t xml:space="preserve">1518 kWc EN</t>
  </si>
  <si>
    <t xml:space="preserve">HY_71716_BARTHELEMY</t>
  </si>
  <si>
    <t xml:space="preserve">CT_HYDRO_140</t>
  </si>
  <si>
    <t xml:space="preserve">Centrale de Kerné Uhel</t>
  </si>
  <si>
    <t xml:space="preserve">HY_71718_KERNEUHEL</t>
  </si>
  <si>
    <t xml:space="preserve">Kerné-Uhel</t>
  </si>
  <si>
    <t xml:space="preserve">Hiver</t>
  </si>
  <si>
    <t xml:space="preserve">Eté</t>
  </si>
  <si>
    <t xml:space="preserve">Gouet</t>
  </si>
  <si>
    <t xml:space="preserve">CT_HYDRO_137</t>
  </si>
  <si>
    <t xml:space="preserve">Micro centrale de Sault</t>
  </si>
  <si>
    <t xml:space="preserve">ETELLIN</t>
  </si>
  <si>
    <t xml:space="preserve">3 génératrices : 1x320 kW + 1x150 en OA + 320 kW Enercoop</t>
  </si>
  <si>
    <t xml:space="preserve">320 kWc Eercoop + 400 kWc en OA</t>
  </si>
  <si>
    <t xml:space="preserve">Oui</t>
  </si>
  <si>
    <r>
      <rPr>
        <sz val="10"/>
        <rFont val="Arial"/>
        <family val="2"/>
        <charset val="1"/>
      </rPr>
      <t xml:space="preserve">- La puissance maximale souscrite dans le CARD-I ne correspond pas à la puissance dans le CPA ;</t>
    </r>
    <r>
      <rPr>
        <b val="true"/>
        <sz val="10"/>
        <rFont val="Arial"/>
        <family val="2"/>
        <charset val="1"/>
      </rPr>
      <t xml:space="preserve">I241</t>
    </r>
  </si>
  <si>
    <t xml:space="preserve">HY_80744_SAULT</t>
  </si>
  <si>
    <t xml:space="preserve">Type de Contrat actuel : EDF H97-07</t>
  </si>
  <si>
    <t xml:space="preserve">Date d’obtention du Contrat : Octobre 1997</t>
  </si>
  <si>
    <t xml:space="preserve">Bonjour</t>
  </si>
  <si>
    <t xml:space="preserve">Durée du Contrat : 15 ans</t>
  </si>
  <si>
    <t xml:space="preserve">Date d’expiration du Contrat : Octobre 2012</t>
  </si>
  <si>
    <t xml:space="preserve">Je viens de m'entretenir avec Monsieur Etellin au sujet de votre mail :</t>
  </si>
  <si>
    <t xml:space="preserve">2 Tarifs : Hiver et Eté</t>
  </si>
  <si>
    <t xml:space="preserve">La puissance installée :  320 kW (Sault),</t>
  </si>
  <si>
    <t xml:space="preserve">Puissance apparente maximale installée : 1 025 kVA</t>
  </si>
  <si>
    <t xml:space="preserve">Le détail de la puissance des génératrices injectant en marché libre :</t>
  </si>
  <si>
    <t xml:space="preserve">Puissance active maximale délivrée au réseau EDF : 820 KWh </t>
  </si>
  <si>
    <t xml:space="preserve"> - Génératrice Sault : Asynchrone 324 kVA  La génératrice est dédiée à 100% pour la turbine.</t>
  </si>
  <si>
    <t xml:space="preserve">arrêt -production 0</t>
  </si>
  <si>
    <t xml:space="preserve">CT_HYDRO_138</t>
  </si>
  <si>
    <t xml:space="preserve">Mazoires – La Plagne de Chalassogne</t>
  </si>
  <si>
    <t xml:space="preserve">2 x 330 + 150</t>
  </si>
  <si>
    <t xml:space="preserve">OA : 400 kW
Marché libre : 330 kW</t>
  </si>
  <si>
    <t xml:space="preserve">surplus à confirmer</t>
  </si>
  <si>
    <t xml:space="preserve">- mail envoyé le 26/04</t>
  </si>
  <si>
    <t xml:space="preserve">HY_80759_MAZOIRES</t>
  </si>
  <si>
    <t xml:space="preserve">La puissance installée : 310 kW (Mazoires) et 320 kW (Sault),</t>
  </si>
  <si>
    <t xml:space="preserve">Année</t>
  </si>
  <si>
    <t xml:space="preserve">Production en kWh</t>
  </si>
  <si>
    <t xml:space="preserve">Le détail de la puissance des génératrices injectant en marché libre : </t>
  </si>
  <si>
    <t xml:space="preserve">SEPT</t>
  </si>
  <si>
    <t xml:space="preserve">OCT</t>
  </si>
  <si>
    <t xml:space="preserve">NOV</t>
  </si>
  <si>
    <t xml:space="preserve">DEC</t>
  </si>
  <si>
    <t xml:space="preserve">JANV</t>
  </si>
  <si>
    <t xml:space="preserve">FEV</t>
  </si>
  <si>
    <t xml:space="preserve">AVR</t>
  </si>
  <si>
    <t xml:space="preserve">JUIL</t>
  </si>
  <si>
    <t xml:space="preserve"> - Génératrice Mazoires : Asynchrone PNO 334 kVA  La génératrice est dédiée à 100% pour la turbine.</t>
  </si>
  <si>
    <t xml:space="preserve"> - Génératrice Sault : Asynchrone 324 kVA  La génératrice est dédiée à 100% pour la turbine.</t>
  </si>
  <si>
    <t xml:space="preserve">Moyenne 2002/03 à 2010/11</t>
  </si>
  <si>
    <t xml:space="preserve">Pour faire suite à vos nombreuses demandes d'informations :</t>
  </si>
  <si>
    <t xml:space="preserve">- Micro-centrale la Plagne : Date contrat EDFOA 01/11/2012 Puissance d'injection totale du site 710 kW</t>
  </si>
  <si>
    <t xml:space="preserve">- Centrale de Sault : Date contrat EDFOA 22/11/2012  Puissance d'injection totale du site 720 kW</t>
  </si>
  <si>
    <t xml:space="preserve">Arrêt-production 0</t>
  </si>
  <si>
    <t xml:space="preserve">Arrêt-production 1</t>
  </si>
  <si>
    <t xml:space="preserve">Arrêt-production 2</t>
  </si>
  <si>
    <t xml:space="preserve">Arrêt-production 3</t>
  </si>
  <si>
    <t xml:space="preserve">Arrêt-production 4</t>
  </si>
  <si>
    <t xml:space="preserve">La fin de période de rénovation(CODOA) déclarée le</t>
  </si>
  <si>
    <t xml:space="preserve">Date contrat EDFOA 01/11/2012 </t>
  </si>
  <si>
    <t xml:space="preserve">CT_HYDRO_050</t>
  </si>
  <si>
    <t xml:space="preserve">Barrage de Chantegrelle</t>
  </si>
  <si>
    <t xml:space="preserve">Charles</t>
  </si>
  <si>
    <t xml:space="preserve">2 x 260 + 117 kW pour EnC + 280 + 315 kW en OA = 1232 kW</t>
  </si>
  <si>
    <t xml:space="preserve">685 EN+ 595 en OA</t>
  </si>
  <si>
    <t xml:space="preserve">1280kW installé, 685kW pour ENERCOOP</t>
  </si>
  <si>
    <t xml:space="preserve">Il y a sûrement des erreurs dans le CARD-I (16/10/2012) : 5 x 1600 kW pour une puissance totale installée de 1600 kVA et une puissance max injectée de 1280 kW
Un autre CARD-I (15/11/2014) donne : 2 x 350 kW + 366 kW + 402 kW + 150 kW = 1618 kW (ce sont sûrement des kVA) – puissance installée : 1280 kVA – puissance active max : 1280 kW → là au moins tout le monde est d’accord ! Si je lis bien le schéma unifilaire, il confirme les infos du CPA, confirmées aussi par infos en jaune.</t>
  </si>
  <si>
    <t xml:space="preserve">HY_80774_CHANTEGRELLE</t>
  </si>
  <si>
    <t xml:space="preserve">CARD 80774 </t>
  </si>
  <si>
    <t xml:space="preserve">Puissance totale du site (CARD) : 1280 kW </t>
  </si>
  <si>
    <t xml:space="preserve">Puissance en rénovation : 595 kW </t>
  </si>
  <si>
    <t xml:space="preserve">Puissance hors obligation d'achat : 685 kW </t>
  </si>
  <si>
    <t xml:space="preserve">Date d'effet de rénovation : sous OA depuis le 1/12/2014 </t>
  </si>
  <si>
    <t xml:space="preserve">CARD I et nom de la centrale : 80774 - Barrage de Chantegrelle </t>
  </si>
  <si>
    <t xml:space="preserve">Puissance totale du site : 1280 kW </t>
  </si>
  <si>
    <t xml:space="preserve">Puissance Hors obligation d'achat : 685 kW </t>
  </si>
  <si>
    <t xml:space="preserve">Date d'effet de rénovation : sous OA 28/06/2014 </t>
  </si>
  <si>
    <t xml:space="preserve">pas bon car le CARD-I date de 11/2014</t>
  </si>
  <si>
    <t xml:space="preserve">Le CARDI qui prend en compte la rénovation date de novembre 2014</t>
  </si>
  <si>
    <t xml:space="preserve">CT_HYDRO_119</t>
  </si>
  <si>
    <t xml:space="preserve">Le Goulier</t>
  </si>
  <si>
    <t xml:space="preserve">Régie Vicdessos</t>
  </si>
  <si>
    <t xml:space="preserve"> Cas particulier : SURPLUS d’ELD</t>
  </si>
  <si>
    <t xml:space="preserve">HY_101091_GOULIER</t>
  </si>
  <si>
    <t xml:space="preserve">CT_HYDRO_062</t>
  </si>
  <si>
    <t xml:space="preserve">La Christine A</t>
  </si>
  <si>
    <t xml:space="preserve">2 turbines : 1300 chez EnC + 400 en OA</t>
  </si>
  <si>
    <t xml:space="preserve">
Daprès le CARD-I : 1 générateur de 1600 kVA + 1 générateur de 400 kVA pour un total de 2000 kVA et une puissance souscrite de 1700 kW
Mandat Go donne : 1300 kW EnC + 400 kW en OA = 1700 kW → parfait !</t>
  </si>
  <si>
    <t xml:space="preserve">HY_129745_LACHRISTINEA</t>
  </si>
  <si>
    <t xml:space="preserve">travaux centrale barrage et vanne (pas précisé quand)</t>
  </si>
  <si>
    <t xml:space="preserve">CARD-I date de fin Novembre / début Décembre et signale le passage en OA d’un générateur de 400kW</t>
  </si>
  <si>
    <t xml:space="preserve">démarrage du groupe rénové sur H07 : groupe en OA - 400kW</t>
  </si>
  <si>
    <t xml:space="preserve">    la production totale (EDF OA + marché libre) de janvier 2009 à décembre 2011 ainsi que la production de novembre et décembre 2014 et le mois de septembre 2016.</t>
  </si>
  <si>
    <t xml:space="preserve">        Productions 2009 à 2011 jointes</t>
  </si>
  <si>
    <t xml:space="preserve">        Productions de 12/2014 et 09/2016 jointes</t>
  </si>
  <si>
    <t xml:space="preserve">·         la date de début du contrat EDF OA ainsi que les puissances associées (nous avons l'information suivante concernant la puissance -  1300 kW en marché libre et 400kW sous OA).</t>
  </si>
  <si>
    <t xml:space="preserve">o    ML – 1 alternateur de 1300 kW sur marché libre</t>
  </si>
  <si>
    <t xml:space="preserve">        OA – 1 alternateur de 400 kW , mis en service le 01/12/2014</t>
  </si>
  <si>
    <t xml:space="preserve">        Pas d’évolution à prévoir</t>
  </si>
  <si>
    <t xml:space="preserve">CT_HYDRO_108</t>
  </si>
  <si>
    <t xml:space="preserve">Pompe Turbine de l'usine AEP de la Boissonnade</t>
  </si>
  <si>
    <t xml:space="preserve">TEYSSEDRE</t>
  </si>
  <si>
    <t xml:space="preserve">HY_418043_BOISSONNADE</t>
  </si>
  <si>
    <t xml:space="preserve">CT_HYDRO_144</t>
  </si>
  <si>
    <t xml:space="preserve">Chapitre</t>
  </si>
  <si>
    <t xml:space="preserve">DELPOUX</t>
  </si>
  <si>
    <t xml:space="preserve">3 groupes en OA de 400, 400 et 450 KW =&gt; 1250 kW en OA
Surplus d'OA 520 kW (pour Enercoop donc)
Le surplus d'OA n'a pas turbiné depuis 2015 car casse machine</t>
  </si>
  <si>
    <t xml:space="preserve">Courriel du producteur (via OlivierA le 08/01/2017)
-          Eté 1989 : installation du groupe bulbe de 520 kW dans écluse
-          01/11/2012 : passage du groupe 1 en H07 ( 400 kW )
-          01/03/2012 : passage des groupes 2 et 3 en H07 ( total de 1250 kW)
-          Du 15/06/2016 au 15/12/2017 : arrêt du groupe bulbe suite casse </t>
  </si>
  <si>
    <t xml:space="preserve">520 EN</t>
  </si>
  <si>
    <r>
      <rPr>
        <sz val="10"/>
        <rFont val="Arial"/>
        <family val="2"/>
        <charset val="1"/>
      </rPr>
      <t xml:space="preserve">Card-i pas trouvé. A vérifier le mail suivant !!! Producteurs.ods - Courriel du producteur (via OlivierA le 08/01/2017)
-          Eté 1989 : installation du groupe bulbe de 520 kW dans écluse
-          01/11/2012 : passage du groupe 1 en H07 ( 400 kW )
-          01/03/2012 : passage des groupes 2 et 3 en H07 ( total de 1250 kW)
-          Du 15/06/2016 au 15/12/2017 : arrêt du groupe bulbe suite casse. Pb F</t>
    </r>
    <r>
      <rPr>
        <b val="true"/>
        <sz val="10"/>
        <color rgb="FFFF3333"/>
        <rFont val="Arial"/>
        <family val="2"/>
        <charset val="1"/>
      </rPr>
      <t xml:space="preserve">acteur de charge  ! A vérifier.  </t>
    </r>
  </si>
  <si>
    <t xml:space="preserve">HY_435176_CHAPITRE</t>
  </si>
  <si>
    <t xml:space="preserve">travaux </t>
  </si>
  <si>
    <t xml:space="preserve">-          Eté 1989 : installation du groupe bulbe de 520 kW dans écluse</t>
  </si>
  <si>
    <t xml:space="preserve">  01/03/2012 : passage des groupes 2 et 3 en H07 ( total de 1250 kW)</t>
  </si>
  <si>
    <t xml:space="preserve">    01/11/2012 : passage du groupe 1 en H07 ( 400 kW )</t>
  </si>
  <si>
    <t xml:space="preserve">Courriel du producteur (via OlivierA le 08/01/2017)</t>
  </si>
  <si>
    <t xml:space="preserve">-          01/11/2012 : passage du groupe 1 en H07 ( 400 kW )</t>
  </si>
  <si>
    <t xml:space="preserve">-          01/03/2012 : passage des groupes 2 et 3 en H07 ( total de 1250 kW)</t>
  </si>
  <si>
    <t xml:space="preserve">-          Du 15/06/2016 au 15/12/2017 : arrêt du groupe bulbe suite casse </t>
  </si>
  <si>
    <t xml:space="preserve">Courriel d'OlivierA le 28/05/18 :</t>
  </si>
  <si>
    <t xml:space="preserve">- le producteur abandonne son projet de rénovation pour la turbine de 520 kW (volonté de signer un contrat plus long avec Enercoop)</t>
  </si>
  <si>
    <t xml:space="preserve">- il a eu un incendie de ses condensateurs vendredi dernier. Il pense remettre en route cet aprem ou du moins cette semaine. donc il y a eu un arrêt de la production pendant quelques jours ce </t>
  </si>
  <si>
    <t xml:space="preserve">panne</t>
  </si>
  <si>
    <t xml:space="preserve"> Du 15/06/2016 au 15/12/2017 : arrêt du groupe bulbe suite casse </t>
  </si>
  <si>
    <t xml:space="preserve">CT_HYDRO_164</t>
  </si>
  <si>
    <t xml:space="preserve">Vaulmier</t>
  </si>
  <si>
    <t xml:space="preserve">CALVET</t>
  </si>
  <si>
    <t xml:space="preserve">HY_81342_VAULMIER </t>
  </si>
  <si>
    <t xml:space="preserve">CT_HYDRO_080</t>
  </si>
  <si>
    <t xml:space="preserve">Pardies</t>
  </si>
  <si>
    <t xml:space="preserve">LESTRADE</t>
  </si>
  <si>
    <t xml:space="preserve">3 turbines : 2400 EnC ; (2400 + 100) OA = 4900 kVA</t>
  </si>
  <si>
    <t xml:space="preserve">OA : 2500kW
Surplus : 2400kW</t>
  </si>
  <si>
    <r>
      <rPr>
        <sz val="10"/>
        <rFont val="Arial"/>
        <family val="2"/>
        <charset val="1"/>
      </rPr>
      <t xml:space="preserve">Encore des pb sur la puissance livrée à EnC
Dans le CARDI (18/12/2013) : puissance installée = 5666 kVA, puissance injectée au réseau : 4336 kW
Dans Mandat GO : puissance est de 2225 kW
ARPE-I : puissance max installation = 2400 kW 
Puissance en OA ? Je l’ai déduite de la différence entre la puissance totale et ML mais bon…
</t>
    </r>
    <r>
      <rPr>
        <sz val="10"/>
        <color rgb="FFCC0000"/>
        <rFont val="Arial"/>
        <family val="2"/>
        <charset val="1"/>
      </rPr>
      <t xml:space="preserve">Mail producteur du 08/08/2017 enregistré dans ‘infos_mail_producteur_08-08-2017.txt’ donne détails et précisions. 
Alex : 28/03/18, ça ne serait pas plutôt 2400 en OA et le reste sur marché libre car priorité à l'OA (2400 kW + 400 kW (plutôt 50 que 400 d'après le producteur) ?</t>
    </r>
  </si>
  <si>
    <t xml:space="preserve">HY_436301_PARDIES</t>
  </si>
  <si>
    <t xml:space="preserve">Les données ne remontent pas plus tôt</t>
  </si>
  <si>
    <t xml:space="preserve">Déjà un peu d’OA mais… imprécis</t>
  </si>
  <si>
    <t xml:space="preserve">rénovation d’un groupe de 2400 kW</t>
  </si>
  <si>
    <t xml:space="preserve">arrêt pour travaux « rénovation » (contrat H07)</t>
  </si>
  <si>
    <t xml:space="preserve">en théorie en OA : 2400 + 50 = 2450 kW mais c’est trop, donc j’ai pris puissance totale – puissance ML</t>
  </si>
  <si>
    <r>
      <rPr>
        <i val="true"/>
        <sz val="18"/>
        <rFont val="Times New Roman"/>
        <family val="1"/>
        <charset val="1"/>
      </rPr>
      <t xml:space="preserve">  - puissance installée totale : 5621,5 kVA </t>
    </r>
    <r>
      <rPr>
        <i val="true"/>
        <sz val="18"/>
        <color rgb="FF800000"/>
        <rFont val="Times New Roman"/>
        <family val="1"/>
        <charset val="1"/>
      </rPr>
      <t xml:space="preserve">(cette valeur ne représente pas grand-chose, car 1- en KVA, 2- ne prend pas en compte le bridage des machines et l’écrêtement de EDF pour ne pas dépasser les 4336 KW)                                                                                                           </t>
    </r>
    <r>
      <rPr>
        <i val="true"/>
        <sz val="18"/>
        <rFont val="Times New Roman"/>
        <family val="1"/>
        <charset val="1"/>
      </rPr>
      <t xml:space="preserve">          - puissance active maximale injectée sur le réseau : 4336 kW </t>
    </r>
    <r>
      <rPr>
        <i val="true"/>
        <sz val="18"/>
        <color rgb="FF800000"/>
        <rFont val="Times New Roman"/>
        <family val="1"/>
        <charset val="1"/>
      </rPr>
      <t xml:space="preserve">oui centrale constituée de 3 groupes : groupe G2 sur marché libre vendant à Enercoop de (2633 kVA) soit 2400 kW (valeur max que peut produire le groupe. Mais par bridage de cette machine pour ne pas dépasser les 4336 kW au total, sa valeur max est, sauf très rares exceptions, toujours à 2000 kW.</t>
    </r>
    <r>
      <rPr>
        <i val="true"/>
        <sz val="18"/>
        <rFont val="Times New Roman"/>
        <family val="1"/>
        <charset val="1"/>
      </rPr>
      <t xml:space="preserve">                                     - - groupe G (appelé Pardies II) sous OA de 355,5 kVA soit 400 kW </t>
    </r>
    <r>
      <rPr>
        <i val="true"/>
        <sz val="18"/>
        <color rgb="FF800000"/>
        <rFont val="Times New Roman"/>
        <family val="1"/>
        <charset val="1"/>
      </rPr>
      <t xml:space="preserve">(oui, mais plutôt à 50 kW max depuis quelques années)</t>
    </r>
    <r>
      <rPr>
        <i val="true"/>
        <sz val="18"/>
        <rFont val="Times New Roman"/>
        <family val="1"/>
        <charset val="1"/>
      </rPr>
      <t xml:space="preserve">                                                                                                                  - groupe G1 sous OA de 2633 kVA soit 2400 kW (oui)                                                                      - le groupe G1 a été rénové de juin 2013 à septembre 2013 </t>
    </r>
    <r>
      <rPr>
        <i val="true"/>
        <sz val="18"/>
        <color rgb="FF800000"/>
        <rFont val="Times New Roman"/>
        <family val="1"/>
        <charset val="1"/>
      </rPr>
      <t xml:space="preserve">(oui)                                                     - </t>
    </r>
    <r>
      <rPr>
        <i val="true"/>
        <sz val="18"/>
        <rFont val="Times New Roman"/>
        <family val="1"/>
        <charset val="1"/>
      </rPr>
      <t xml:space="preserve">pourriez-vous me confirmer que les historiques de production, ci-dessous, que vous nous avez envoyés le 10/07/2015 concernent uniquement le groupe G2 sur marché libre </t>
    </r>
    <r>
      <rPr>
        <i val="true"/>
        <sz val="18"/>
        <color rgb="FF800000"/>
        <rFont val="Times New Roman"/>
        <family val="1"/>
        <charset val="1"/>
      </rPr>
      <t xml:space="preserve">? (oui, les historiques envoyés le 10/07/2015 sont ceux du groupe en Marché Libre. Il est vrai que depuis le début du contrat (2016 et 2017), les productions ne sont pas en adéquation avec les prévisions par baisse de l’hydraulicité. Déficit d’eau en janvier-mai-juin 2016, (courbe bleue), novembre-décembre 2016 et année 2017 entière (courbe orange). Les années précédentes 2013-2014-2015 étaient au contraire exceptionnellement favorables (courbes rouge, verte et violette).</t>
    </r>
  </si>
  <si>
    <t xml:space="preserve">S.H.I.S.</t>
  </si>
  <si>
    <t xml:space="preserve">9, rue Maransin</t>
  </si>
  <si>
    <t xml:space="preserve">65000 TARBES</t>
  </si>
  <si>
    <t xml:space="preserve">Centrale hydroélectrique de Pardies</t>
  </si>
  <si>
    <t xml:space="preserve">Bonjour Monsieur ROIB,</t>
  </si>
  <si>
    <t xml:space="preserve">Vous trouverez ci-dessous les valeurs de la production du groupe en contrat sur le marché libre, de juillet à décembre 2015.</t>
  </si>
  <si>
    <t xml:space="preserve">juil-15</t>
  </si>
  <si>
    <t xml:space="preserve">kWh</t>
  </si>
  <si>
    <t xml:space="preserve">août-15</t>
  </si>
  <si>
    <t xml:space="preserve">sept-15</t>
  </si>
  <si>
    <t xml:space="preserve">oct-15</t>
  </si>
  <si>
    <t xml:space="preserve">nov-15</t>
  </si>
  <si>
    <t xml:space="preserve">déc-15</t>
  </si>
  <si>
    <t xml:space="preserve">Pour information, je vous transmets également en PJ le mail envoyé à Monsieur DEVOS le 08/08/2017, traitant de ce même sujet.</t>
  </si>
  <si>
    <t xml:space="preserve">Recevez nos sincères salutations,</t>
  </si>
  <si>
    <t xml:space="preserve">Nicolas LESTRADE</t>
  </si>
  <si>
    <t xml:space="preserve">06-46-75-47-44</t>
  </si>
  <si>
    <t xml:space="preserve">-&gt; donc passée en OA ?</t>
  </si>
  <si>
    <t xml:space="preserve">CT_HYDRO_143</t>
  </si>
  <si>
    <t xml:space="preserve">Vaxoncourt</t>
  </si>
  <si>
    <t xml:space="preserve">LORIN DE REURE</t>
  </si>
  <si>
    <t xml:space="preserve">Convention de comptage pour surplus. 700 EN + 400 OA</t>
  </si>
  <si>
    <t xml:space="preserve">700 kWc en surplus</t>
  </si>
  <si>
    <t xml:space="preserve">CARD-I introuvable ! Convention de comptage pour surplus. OA : 400kW
Surplus : 700kW (turbine de 955 kW bridée)
CARDI : 1180kW
CPA : 1665kW au total.  </t>
  </si>
  <si>
    <t xml:space="preserve">HY_437159_VAXONCOURT</t>
  </si>
  <si>
    <t xml:space="preserve">CT_HYDRO_093</t>
  </si>
  <si>
    <t xml:space="preserve">Arbéost</t>
  </si>
  <si>
    <t xml:space="preserve">2 turbines : 2000 en OA et 1500 chez EnC = 3500</t>
  </si>
  <si>
    <t xml:space="preserve">OA : 2000kW
Surplus : 1500kW</t>
  </si>
  <si>
    <r>
      <rPr>
        <sz val="10"/>
        <rFont val="Arial"/>
        <family val="2"/>
        <charset val="1"/>
      </rPr>
      <t xml:space="preserve">1500 + 2000 = 3504 → arrondis !! 
Attention dans suivi des centrales, elle est sous le CARD-I 2 : 62156, et le CARD-I réel apparaît uniquement dans l’identifiant unique. Idem dans le fichier de Komi, elle n’existe que sous l’identifiant CARD-I 2
Dans le CARD-I (23/12/2015) : 2 génératrices de 1200 kVA et une de 1630 kVA = 4030 kVA totaux et une puissance injectée de 4030 kVA soit 3504 kW
Mandat GO : 1507 kW pour EnC
Problème : facteurs de charge &gt; 1 =&gt; j’ai « réglé » le problème en recalculant le surplus avec comme valeur 2000kW en OA et là il n’y a plus de facteur de charge &gt; 1 !!
Courriel du producteur 29/03/18 : « 1 turbine de 2000 kW en OA (H01), 1 turbine au marché 1500 kW, Il n'y a pas eu de travaux de rénovation sur cette centrale, le contrat H01 date </t>
    </r>
    <r>
      <rPr>
        <sz val="10"/>
        <color rgb="FF000000"/>
        <rFont val="Arial"/>
        <family val="2"/>
        <charset val="1"/>
      </rPr>
      <t xml:space="preserve">de 2008. »
Appel (Alex) producteur le 19/4/18 : « 2 turbines existaient déjà : pas eu de travaux
H97 + H01 avant pas attribué à des turbines mais en % de la production
octobre 2012 fin du H97 : H01 à T1 de 2000 kW (T1 prioritaire) »</t>
    </r>
  </si>
  <si>
    <t xml:space="preserve">HY_438926_ARBEOST</t>
  </si>
  <si>
    <t xml:space="preserve">2003 : entrée en fonction de la prise des baudés → what’s that ? (une rivière apparemment…)</t>
  </si>
  <si>
    <t xml:space="preserve">juil 2003</t>
  </si>
  <si>
    <t xml:space="preserve">travaux conduite</t>
  </si>
  <si>
    <t xml:space="preserve">sept. 20004</t>
  </si>
  <si>
    <t xml:space="preserve">2005 a été affectée par les travaux d’extension (pas précisé quelle période de l’année)</t>
  </si>
  <si>
    <t xml:space="preserve">2006 : entrée en fonction de la T2 (pas plus de précision)</t>
  </si>
  <si>
    <t xml:space="preserve">fin du contrat H97 sur une turbine, contrat H01 continue</t>
  </si>
  <si>
    <t xml:space="preserve">CT_HYDRO_065</t>
  </si>
  <si>
    <t xml:space="preserve">Blainville</t>
  </si>
  <si>
    <t xml:space="preserve">400 OA ? + (450 +150)EN</t>
  </si>
  <si>
    <t xml:space="preserve">473054 et ancien card
31366
</t>
  </si>
  <si>
    <t xml:space="preserve">HY_473054_BLAINVILLE</t>
  </si>
  <si>
    <t xml:space="preserve">Suite à votre demande du 18/06/2018, veuillez trouver ci-dessous les renseignements demandés :</t>
  </si>
  <si>
    <t xml:space="preserve">·         Production totale novembre 2014 : 318 297 kW,</t>
  </si>
  <si>
    <t xml:space="preserve">·         Production totale décembre 2015 : 224 282 kW,</t>
  </si>
  <si>
    <t xml:space="preserve">·         La date de début du contrat d’achat EDF OA est le 01/08/2013, pour une puissance max de 400 kW.</t>
  </si>
  <si>
    <t xml:space="preserve">Cordialement.</t>
  </si>
  <si>
    <t xml:space="preserve">La date de début du contrat d’achat EDF OA est le 01/08/2013, pour une puissance max de 400 kW.</t>
  </si>
  <si>
    <t xml:space="preserve">historiques : file:///media/partage_enercoop/APPRO/01_Producteurs/Producteurs/Historiques_de_production/fichiers%20producteurs%20par%20producteurs/Productions%20centrales%202004-2014%20-%20SNC%20Saint%20Laurent.ods
</t>
  </si>
  <si>
    <t xml:space="preserve">totale installée CPA</t>
  </si>
  <si>
    <t xml:space="preserve">CT_HYDRO_064</t>
  </si>
  <si>
    <t xml:space="preserve">Saint-Laurent</t>
  </si>
  <si>
    <t xml:space="preserve">1x 900 en surplus + 1 x 920 en OA  = 1820</t>
  </si>
  <si>
    <t xml:space="preserve">900 kW pour EN + 920 kW en OA = 1820</t>
  </si>
  <si>
    <t xml:space="preserve"> a</t>
  </si>
  <si>
    <t xml:space="preserve">- La puissance maximale souscrite dans le CARD-I ne correspond pas à la puissance dans le CPA ; </t>
  </si>
  <si>
    <t xml:space="preserve">HY_473437_SAINTLAURENT</t>
  </si>
  <si>
    <t xml:space="preserve">- passage en OA de 920 kW</t>
  </si>
  <si>
    <t xml:space="preserve">donnés producteur </t>
  </si>
  <si>
    <t xml:space="preserve">- demander au producteur les données de prod de ces deux mois</t>
  </si>
  <si>
    <t xml:space="preserve">entrée EN</t>
  </si>
  <si>
    <t xml:space="preserve">CART</t>
  </si>
  <si>
    <t xml:space="preserve">CT_HYDRO_076 (renouvellement de CT_HYDRO_039)</t>
  </si>
  <si>
    <t xml:space="preserve">504708
(ancien CARD-I : 10328)</t>
  </si>
  <si>
    <t xml:space="preserve">La Perriere</t>
  </si>
  <si>
    <t xml:space="preserve">DA SILVA
(avant : REILLER)</t>
  </si>
  <si>
    <t xml:space="preserve">2805 avant rénovation partielle H07 – 1610 après</t>
  </si>
  <si>
    <t xml:space="preserve">1800 kW</t>
  </si>
  <si>
    <t xml:space="preserve">1100 + 330 avant rénovation + 1375 qui reste en ML = 2805</t>
  </si>
  <si>
    <t xml:space="preserve">G1 : 1610
G2 : 1210
(surplus)</t>
  </si>
  <si>
    <t xml:space="preserve">Surplus
Renovation en 2015</t>
  </si>
  <si>
    <t xml:space="preserve">1210 EN + 400 OA</t>
  </si>
  <si>
    <r>
      <rPr>
        <sz val="10"/>
        <rFont val="Arial"/>
        <family val="2"/>
        <charset val="1"/>
      </rPr>
      <t xml:space="preserve">Les chiffres 1610 kW et 1210 kW proviennent de l’offre d’achat signée
Pas de CART dans le dossier du contrat renouvelé
Dans le CART de l’ancien contrat (au plus 16/09/2013) : G1 = 730 kVA ; G2 = 1370 kVA ; G3 = 320 kVA ; total = 2420 kVA ; puissance max d’injection = 2100 kW
</t>
    </r>
    <r>
      <rPr>
        <sz val="10"/>
        <color rgb="FFCC0000"/>
        <rFont val="Arial"/>
        <family val="2"/>
        <charset val="1"/>
      </rPr>
      <t xml:space="preserve">infos assez claires mais étranges en terme de puissances… + fichier d’historique de production pas pratique car au format PDF non « copiable-collable »</t>
    </r>
  </si>
  <si>
    <t xml:space="preserve">01/10/2013 puis 01/04/2015</t>
  </si>
  <si>
    <t xml:space="preserve">HY_504708_PERRIERE</t>
  </si>
  <si>
    <t xml:space="preserve">Les historiques de production sont sur pdf et non « copiables-collables »</t>
  </si>
  <si>
    <t xml:space="preserve">Projet de rénovation partielle en 2014
Nouveau CARD-I d'après facture</t>
  </si>
  <si>
    <t xml:space="preserve">Dossier CT_HYDRO_077 avec documents signés par Nicolas DA SILVA vs Jean-Philippe REILLER pour CT_HYDRO_039</t>
  </si>
  <si>
    <t xml:space="preserve">CARD I et nom de la centrale : 504708 CENTRALE DE LA PERRIERE </t>
  </si>
  <si>
    <t xml:space="preserve">Puissance totale du site : 1610 kW </t>
  </si>
  <si>
    <t xml:space="preserve">Puissance Hors obligation d'achat : 1210 kW </t>
  </si>
  <si>
    <t xml:space="preserve">Date d'effet de rénovation : sous Marché Libre 01/04/2015 </t>
  </si>
  <si>
    <t xml:space="preserve">oct</t>
  </si>
  <si>
    <t xml:space="preserve">Travaux – remise en service en nov</t>
  </si>
  <si>
    <t xml:space="preserve">Travaux – passage en OA</t>
  </si>
  <si>
    <t xml:space="preserve">remise en service le 22 mai 2015</t>
  </si>
  <si>
    <t xml:space="preserve">CARD-I : 01/04/2015</t>
  </si>
  <si>
    <t xml:space="preserve">(info du fichier ‘Producteurs.ods’)</t>
  </si>
  <si>
    <t xml:space="preserve">Je me fie à l’encadré jaune qui correspond à ce qui est dit pour la puissance totale dans le CPA</t>
  </si>
  <si>
    <t xml:space="preserve">TOTAL-OA=456482-279482=177000</t>
  </si>
  <si>
    <t xml:space="preserve">&lt;N&gt; Relevé index donne 508308-262283=246025</t>
  </si>
  <si>
    <t xml:space="preserve">&lt;N&gt; Relevé index donne 320836-283010=37829</t>
  </si>
  <si>
    <t xml:space="preserve">CDC G2 : 69603</t>
  </si>
  <si>
    <t xml:space="preserve">FR:26/10:Méthode Total-OA donne 171157-171034=123</t>
  </si>
  <si>
    <t xml:space="preserve">10/11:Méthode Total-OA donne 64528-64827 &lt; 0</t>
  </si>
  <si>
    <t xml:space="preserve">86685 – 86640 = 45</t>
  </si>
  <si>
    <t xml:space="preserve">CT_HYDRO_104</t>
  </si>
  <si>
    <t xml:space="preserve">Balme</t>
  </si>
  <si>
    <t xml:space="preserve">2 turbines de 1680 chacune = 3360 chez EnC</t>
  </si>
  <si>
    <t xml:space="preserve">Surplus d'OA 2 turbines de 1680 kW chacune = 3360 kW</t>
  </si>
  <si>
    <t xml:space="preserve">400 OA + 3360 EN</t>
  </si>
  <si>
    <r>
      <rPr>
        <sz val="10"/>
        <rFont val="Arial"/>
        <family val="2"/>
        <charset val="1"/>
      </rPr>
      <t xml:space="preserve">Manifestement, la centrale n’est pas en surplus d’OA sur le CPA… mais notée en surplus dans le fichier ‘Suivi des centrales signées – depuis sept 2014.ods’ et la puissance dans ce dernier fichier ne correspond pas aux 2 autres
D’après le fichier ‘InscriptionBalmeMontartier-20160630’ → en OA
Dans le fichier ‘CARDI La Balme 10 2015 – signé SHAC.pdf’ : 1 turbine de 444 kVA, 2 turbines de 1680 kVA, 1 turbine de 2000 kVA = 5804 kVA installés, 4490 kW souscrits au réseau
Dans le fichier ‘Mandat GO V6.pdf’ : 4090 + 400 (OA) = 4490 kW
</t>
    </r>
    <r>
      <rPr>
        <sz val="10"/>
        <color rgb="FFCC0000"/>
        <rFont val="Arial"/>
        <family val="2"/>
        <charset val="1"/>
      </rPr>
      <t xml:space="preserve">L’ARPE-I donne 3360 kW de puissance en injection.</t>
    </r>
  </si>
  <si>
    <t xml:space="preserve">HY_529289_BALME</t>
  </si>
  <si>
    <t xml:space="preserve">données non connue</t>
  </si>
  <si>
    <t xml:space="preserve"> OA -  1 alternateur de 400 kW mise en service le 1er février 2016</t>
  </si>
  <si>
    <t xml:space="preserve">ML – 3360 kW -  2 génératrices de 1680 kW</t>
  </si>
  <si>
    <t xml:space="preserve">CT_HYDRO_105</t>
  </si>
  <si>
    <t xml:space="preserve">Montartier</t>
  </si>
  <si>
    <t xml:space="preserve">4 turbines de 1680 chacune = 6720 chez EnC</t>
  </si>
  <si>
    <t xml:space="preserve">Surplus d'OA 4 turbines de 1680 kW chacune = 6720 kW</t>
  </si>
  <si>
    <r>
      <rPr>
        <sz val="10"/>
        <rFont val="Arial"/>
        <family val="2"/>
        <charset val="1"/>
      </rPr>
      <t xml:space="preserve">Manifestement, la centrale n’est pas en surplus d’OA sur le CPA pour les génératrices mais l’est dans les chiffres… de plus la puissance totale installée ne correspond pas à la somme des 4 turbines !
Probablement une faute de frappe dans le fichier ‘Suivi des centrales signées – depuis sept 2014.ods’ sur la puissance
D’après le fichier ‘InscriptionBalmeMontartier-20160630’ → en OA 
Dans ‘CARDI PDL MONTARTIER – 52926.pdf’ : la centrale aurait 5 turbines, 4 de 1680 kVA et 1 de 444 kVA, pour une puissance totale de 7164 kVA et une puissance active injectée dans le réseau de 4335 kW (là au moins tout le monde est d’accord)
Dans ‘Mandat GO V6.pdf’, il est précisé que la puissance installée est de 3935kW pour EnC et 400kW en OA pour un total de 4335 kW (enfin une info claire !)
</t>
    </r>
    <r>
      <rPr>
        <sz val="10"/>
        <color rgb="FFCC0000"/>
        <rFont val="Arial"/>
        <family val="2"/>
        <charset val="1"/>
      </rPr>
      <t xml:space="preserve">Problème de facteurs de charge &gt; 1</t>
    </r>
  </si>
  <si>
    <t xml:space="preserve">HY_529291_MONTARTIER</t>
  </si>
  <si>
    <t xml:space="preserve">    Courbe de charge 2016</t>
  </si>
  <si>
    <t xml:space="preserve">        CdC 2016 jointes pour le groupe H07.</t>
  </si>
  <si>
    <t xml:space="preserve">        Les productions 2016 sont données en index (problème de comptage sur l’année 2016 ne permettant pas d’avoir les CDC globales).</t>
  </si>
  <si>
    <t xml:space="preserve">Fichier "CARDI PDL MONTARTIER - 52929.pdf" mentionnant le groupe sous OA de 400 kW signé le 28/10/2015.  </t>
  </si>
  <si>
    <t xml:space="preserve">Un CARD-I (celui là prend effet le 1/11/2015) est resigné quand il y a modification de l'installation : on peut donc supposer que les travaux</t>
  </si>
  <si>
    <t xml:space="preserve">de rénovation ont été fait courant 2015, à l'été pendant le creux de production</t>
  </si>
  <si>
    <t xml:space="preserve">il s’agit d’un AJOUT !!</t>
  </si>
  <si>
    <t xml:space="preserve">passage en OA selon le mail du producteur</t>
  </si>
  <si>
    <t xml:space="preserve">mail producteur : </t>
  </si>
  <si>
    <t xml:space="preserve">la production de janvier 2014 à décembre 2015 </t>
  </si>
  <si>
    <t xml:space="preserve">vous trouverez les index de production en pièce jointe. Ils concernent l’ensemble de l’installation pour l’année 2014 et 2015.</t>
  </si>
  <si>
    <t xml:space="preserve">la confirmation que la puissance sous Obligation d'Achat est bien de 400 kW. </t>
  </si>
  <si>
    <t xml:space="preserve">Depuis le 1er février 2016, la centrale bénéficie d’un contrat OA de 400 kW.</t>
  </si>
  <si>
    <t xml:space="preserve">Une rénovation de la centrale est en cours en vue de bénéficier d’un contrat OA pour une puissance de 2500 kW.</t>
  </si>
  <si>
    <t xml:space="preserve">La date prévisionnelle d’entrée en vigueur de ce futur contrat est novembre 2019.</t>
  </si>
  <si>
    <t xml:space="preserve">la date des travaux de rénovation </t>
  </si>
  <si>
    <t xml:space="preserve">2014 et 2015</t>
  </si>
  <si>
    <t xml:space="preserve">la date de début du contrat d'Obligation d'Achat </t>
  </si>
  <si>
    <t xml:space="preserve">1er février 2016</t>
  </si>
  <si>
    <t xml:space="preserve">Index total – index OA : 289323 - 289098 = 225</t>
  </si>
  <si>
    <t xml:space="preserve">Prévision pour le prochain contrat OA 2500 kW : novembre 2019</t>
  </si>
  <si>
    <t xml:space="preserve">je ne dispose pas de l’index pour le mois de mai 2014.</t>
  </si>
  <si>
    <t xml:space="preserve">La production relevé aux bornes des machines a été d’environ 1 900 000 kWh.</t>
  </si>
  <si>
    <t xml:space="preserve">Il s’agit d’un relevé de l’équipe exploitante sur site.</t>
  </si>
  <si>
    <t xml:space="preserve">Concernant l’apparition du second compteur en novembre 2015, il s’agit de sa mise en place. </t>
  </si>
  <si>
    <t xml:space="preserve">Même s’il est visible sur l’index, il n’est entré en service qu’avec le contrat d’OA au mois de février 2016.</t>
  </si>
  <si>
    <t xml:space="preserve">L’entrée en vigueur d’un contrat est toujours postérieure à la mise en place des comptages.</t>
  </si>
  <si>
    <t xml:space="preserve">CT_HYDRO_130</t>
  </si>
  <si>
    <t xml:space="preserve">40788-595463</t>
  </si>
  <si>
    <t xml:space="preserve">Barrage du Pont de Talaron</t>
  </si>
  <si>
    <t xml:space="preserve">PAYS</t>
  </si>
  <si>
    <t xml:space="preserve">Passage de 530 à 755 </t>
  </si>
  <si>
    <t xml:space="preserve">180 EN + 460 OA</t>
  </si>
  <si>
    <t xml:space="preserve">Les puissances des génératrices sont 360, 220 et 180kW. En l'état la puissance maximale délivrée est 300, 200 et 150 kW soit 650
</t>
  </si>
  <si>
    <t xml:space="preserve">HY_595463_TALARON</t>
  </si>
  <si>
    <t xml:space="preserve"> passage à l’OA + pas d'eau</t>
  </si>
  <si>
    <t xml:space="preserve">retour producteur : </t>
  </si>
  <si>
    <t xml:space="preserve">pas d'eau</t>
  </si>
  <si>
    <t xml:space="preserve">Les puissances des génératrices   sont 360, 220 et 180kW. En l'état la puissance maximale délivrée est 300, 200 et 150 kW.</t>
  </si>
</sst>
</file>

<file path=xl/styles.xml><?xml version="1.0" encoding="utf-8"?>
<styleSheet xmlns="http://schemas.openxmlformats.org/spreadsheetml/2006/main">
  <numFmts count="21">
    <numFmt numFmtId="164" formatCode="General"/>
    <numFmt numFmtId="165" formatCode="\ * #,##0.00&quot;    &quot;;\-* #,##0.00&quot;    &quot;;\ * \-#&quot;    &quot;;\ @\ "/>
    <numFmt numFmtId="166" formatCode="#,##0.00\ [$€-40C];[RED]\-#,##0.00\ [$€-40C]"/>
    <numFmt numFmtId="167" formatCode="#,##0"/>
    <numFmt numFmtId="168" formatCode="DD/MM/YYYY"/>
    <numFmt numFmtId="169" formatCode="MMMM\ YYYY"/>
    <numFmt numFmtId="170" formatCode="0.0%"/>
    <numFmt numFmtId="171" formatCode="MMMM"/>
    <numFmt numFmtId="172" formatCode="0.0"/>
    <numFmt numFmtId="173" formatCode="0"/>
    <numFmt numFmtId="174" formatCode="* #,##0.00,&quot;   &quot;;* #,##0.00,&quot;   &quot;;* \-#&quot;    &quot;;@\ "/>
    <numFmt numFmtId="175" formatCode="DD/MM/YY"/>
    <numFmt numFmtId="176" formatCode="0.000"/>
    <numFmt numFmtId="177" formatCode="#,##0&quot;    &quot;;#,##0&quot;    &quot;;\-#&quot;    &quot;;@\ "/>
    <numFmt numFmtId="178" formatCode="* #,##0,&quot;   &quot;;* #,##0,&quot;   &quot;;* \-#&quot;    &quot;;@\ "/>
    <numFmt numFmtId="179" formatCode="* #,##0&quot;    &quot;;* #,##0&quot;    &quot;;* \-#&quot;    &quot;;@\ "/>
    <numFmt numFmtId="180" formatCode="MMM\ YYYY"/>
    <numFmt numFmtId="181" formatCode="#,##0,&quot;   &quot;;#,##0,&quot;   &quot;;\-#&quot;    &quot;;@\ "/>
    <numFmt numFmtId="182" formatCode="@"/>
    <numFmt numFmtId="183" formatCode="YYYY\-MM\-DD"/>
    <numFmt numFmtId="184" formatCode="0.00\ %"/>
  </numFmts>
  <fonts count="76">
    <font>
      <sz val="10"/>
      <name val="Arial"/>
      <family val="2"/>
      <charset val="1"/>
    </font>
    <font>
      <sz val="10"/>
      <name val="Arial"/>
      <family val="0"/>
    </font>
    <font>
      <sz val="10"/>
      <name val="Arial"/>
      <family val="0"/>
    </font>
    <font>
      <sz val="10"/>
      <name val="Arial"/>
      <family val="0"/>
    </font>
    <font>
      <sz val="10"/>
      <name val="FreeSans"/>
      <family val="2"/>
      <charset val="1"/>
    </font>
    <font>
      <sz val="10"/>
      <name val="Arial"/>
      <family val="0"/>
      <charset val="1"/>
    </font>
    <font>
      <sz val="12"/>
      <name val="Times New Roman"/>
      <family val="1"/>
      <charset val="1"/>
    </font>
    <font>
      <u val="single"/>
      <sz val="10"/>
      <name val="FreeSans"/>
      <family val="2"/>
      <charset val="1"/>
    </font>
    <font>
      <b val="true"/>
      <sz val="12"/>
      <name val="Arial"/>
      <family val="2"/>
      <charset val="1"/>
    </font>
    <font>
      <b val="true"/>
      <sz val="10"/>
      <name val="Arial"/>
      <family val="2"/>
      <charset val="1"/>
    </font>
    <font>
      <i val="true"/>
      <sz val="10"/>
      <name val="Arial"/>
      <family val="2"/>
      <charset val="1"/>
    </font>
    <font>
      <sz val="11"/>
      <color rgb="FF000000"/>
      <name val="Calibri"/>
      <family val="2"/>
      <charset val="1"/>
    </font>
    <font>
      <b val="true"/>
      <u val="single"/>
      <sz val="10"/>
      <name val="Arial"/>
      <family val="2"/>
      <charset val="1"/>
    </font>
    <font>
      <b val="true"/>
      <i val="true"/>
      <sz val="10"/>
      <name val="Arial"/>
      <family val="2"/>
      <charset val="1"/>
    </font>
    <font>
      <sz val="10"/>
      <color rgb="FF800000"/>
      <name val="Arial"/>
      <family val="2"/>
      <charset val="1"/>
    </font>
    <font>
      <b val="true"/>
      <u val="single"/>
      <sz val="10"/>
      <color rgb="FF000000"/>
      <name val="Arial"/>
      <family val="2"/>
      <charset val="1"/>
    </font>
    <font>
      <i val="true"/>
      <sz val="10"/>
      <color rgb="FFCC0000"/>
      <name val="Arial"/>
      <family val="2"/>
      <charset val="1"/>
    </font>
    <font>
      <i val="true"/>
      <sz val="10"/>
      <name val="Times New Roman"/>
      <family val="1"/>
      <charset val="1"/>
    </font>
    <font>
      <i val="true"/>
      <sz val="10"/>
      <color rgb="FF000000"/>
      <name val="Times New Roman"/>
      <family val="1"/>
      <charset val="1"/>
    </font>
    <font>
      <sz val="12"/>
      <color rgb="FF000000"/>
      <name val="Calibri"/>
      <family val="2"/>
      <charset val="1"/>
    </font>
    <font>
      <b val="true"/>
      <sz val="10"/>
      <color rgb="FF800000"/>
      <name val="Arial"/>
      <family val="2"/>
      <charset val="1"/>
    </font>
    <font>
      <b val="true"/>
      <sz val="13"/>
      <color rgb="FFFF3333"/>
      <name val="Arial"/>
      <family val="2"/>
      <charset val="1"/>
    </font>
    <font>
      <b val="true"/>
      <sz val="14"/>
      <name val="Arial"/>
      <family val="2"/>
      <charset val="1"/>
    </font>
    <font>
      <sz val="10"/>
      <color rgb="FF0000FF"/>
      <name val="Arial"/>
      <family val="2"/>
      <charset val="1"/>
    </font>
    <font>
      <sz val="14"/>
      <name val="Times New Roman"/>
      <family val="1"/>
      <charset val="1"/>
    </font>
    <font>
      <i val="true"/>
      <sz val="8"/>
      <name val="Arial"/>
      <family val="2"/>
      <charset val="1"/>
    </font>
    <font>
      <sz val="10"/>
      <color rgb="FFCC0000"/>
      <name val="Arial"/>
      <family val="2"/>
      <charset val="1"/>
    </font>
    <font>
      <b val="true"/>
      <sz val="10"/>
      <color rgb="FFCC0000"/>
      <name val="Arial"/>
      <family val="2"/>
      <charset val="1"/>
    </font>
    <font>
      <b val="true"/>
      <vertAlign val="superscript"/>
      <sz val="10"/>
      <color rgb="FFCC0000"/>
      <name val="Arial"/>
      <family val="2"/>
      <charset val="1"/>
    </font>
    <font>
      <i val="true"/>
      <sz val="12"/>
      <name val="Arial"/>
      <family val="2"/>
      <charset val="1"/>
    </font>
    <font>
      <sz val="10"/>
      <name val="Times New Roman"/>
      <family val="1"/>
      <charset val="1"/>
    </font>
    <font>
      <b val="true"/>
      <sz val="7"/>
      <color rgb="FF800000"/>
      <name val="Century Gothic"/>
      <family val="0"/>
      <charset val="1"/>
    </font>
    <font>
      <i val="true"/>
      <sz val="10"/>
      <color rgb="FF800000"/>
      <name val="Arial"/>
      <family val="2"/>
      <charset val="1"/>
    </font>
    <font>
      <sz val="12"/>
      <name val="Times New Roman"/>
      <family val="0"/>
    </font>
    <font>
      <sz val="9"/>
      <name val="Arial"/>
      <family val="2"/>
      <charset val="1"/>
    </font>
    <font>
      <b val="true"/>
      <i val="true"/>
      <sz val="15"/>
      <name val="Arial"/>
      <family val="2"/>
      <charset val="1"/>
    </font>
    <font>
      <sz val="15"/>
      <name val="Arial"/>
      <family val="2"/>
      <charset val="1"/>
    </font>
    <font>
      <b val="true"/>
      <i val="true"/>
      <sz val="10"/>
      <color rgb="FF800000"/>
      <name val="Arial"/>
      <family val="2"/>
      <charset val="1"/>
    </font>
    <font>
      <vertAlign val="superscript"/>
      <sz val="10"/>
      <name val="Arial"/>
      <family val="2"/>
      <charset val="1"/>
    </font>
    <font>
      <b val="true"/>
      <sz val="10"/>
      <color rgb="FF3366FF"/>
      <name val="Arial"/>
      <family val="2"/>
      <charset val="1"/>
    </font>
    <font>
      <sz val="10"/>
      <name val="Arial"/>
      <family val="2"/>
    </font>
    <font>
      <sz val="14"/>
      <name val="Arial"/>
      <family val="2"/>
      <charset val="1"/>
    </font>
    <font>
      <b val="true"/>
      <sz val="10"/>
      <color rgb="FF000000"/>
      <name val="Arial"/>
      <family val="2"/>
      <charset val="1"/>
    </font>
    <font>
      <sz val="12"/>
      <name val="Arial"/>
      <family val="2"/>
      <charset val="1"/>
    </font>
    <font>
      <b val="true"/>
      <sz val="10"/>
      <color rgb="FFFF3333"/>
      <name val="Arial"/>
      <family val="2"/>
      <charset val="1"/>
    </font>
    <font>
      <b val="true"/>
      <sz val="14"/>
      <name val="Times New Roman"/>
      <family val="1"/>
      <charset val="1"/>
    </font>
    <font>
      <sz val="8"/>
      <name val="Arial"/>
      <family val="2"/>
      <charset val="1"/>
    </font>
    <font>
      <i val="true"/>
      <sz val="14"/>
      <name val="Times New Roman"/>
      <family val="1"/>
      <charset val="1"/>
    </font>
    <font>
      <b val="true"/>
      <sz val="11"/>
      <color rgb="FF000000"/>
      <name val="Calibri"/>
      <family val="2"/>
      <charset val="1"/>
    </font>
    <font>
      <sz val="11"/>
      <name val="Calibri"/>
      <family val="2"/>
      <charset val="1"/>
    </font>
    <font>
      <i val="true"/>
      <sz val="10"/>
      <color rgb="FF800000"/>
      <name val="Times New Roman"/>
      <family val="1"/>
      <charset val="1"/>
    </font>
    <font>
      <b val="true"/>
      <sz val="12"/>
      <name val="MS Sans Serif"/>
      <family val="2"/>
      <charset val="1"/>
    </font>
    <font>
      <b val="true"/>
      <sz val="10"/>
      <name val="Times New Roman"/>
      <family val="1"/>
      <charset val="1"/>
    </font>
    <font>
      <b val="true"/>
      <sz val="12"/>
      <name val="MS Reference Sans Serif"/>
      <family val="2"/>
      <charset val="1"/>
    </font>
    <font>
      <sz val="10"/>
      <color rgb="FF800000"/>
      <name val="Times New Roman"/>
      <family val="1"/>
      <charset val="1"/>
    </font>
    <font>
      <sz val="10"/>
      <color rgb="FFCE181E"/>
      <name val="Arial"/>
      <family val="2"/>
      <charset val="1"/>
    </font>
    <font>
      <i val="true"/>
      <sz val="10"/>
      <color rgb="FFCE181E"/>
      <name val="Arial"/>
      <family val="2"/>
      <charset val="1"/>
    </font>
    <font>
      <sz val="10"/>
      <color rgb="FF000000"/>
      <name val="Arial"/>
      <family val="2"/>
      <charset val="1"/>
    </font>
    <font>
      <b val="true"/>
      <sz val="14"/>
      <color rgb="FF800000"/>
      <name val="Arial"/>
      <family val="2"/>
      <charset val="1"/>
    </font>
    <font>
      <sz val="14"/>
      <color rgb="FF800000"/>
      <name val="Times New Roman"/>
      <family val="1"/>
      <charset val="1"/>
    </font>
    <font>
      <b val="true"/>
      <sz val="12"/>
      <name val="Times New Roman"/>
      <family val="1"/>
      <charset val="1"/>
    </font>
    <font>
      <b val="true"/>
      <i val="true"/>
      <sz val="11"/>
      <color rgb="FF000000"/>
      <name val="Calibri"/>
      <family val="2"/>
      <charset val="1"/>
    </font>
    <font>
      <b val="true"/>
      <i val="true"/>
      <sz val="10"/>
      <name val="Times New Roman"/>
      <family val="1"/>
      <charset val="1"/>
    </font>
    <font>
      <b val="true"/>
      <i val="true"/>
      <sz val="12"/>
      <name val="Times New Roman"/>
      <family val="1"/>
      <charset val="1"/>
    </font>
    <font>
      <sz val="9"/>
      <color rgb="FF000000"/>
      <name val="Arial Narrow"/>
      <family val="1"/>
      <charset val="1"/>
    </font>
    <font>
      <sz val="10"/>
      <color rgb="FFCC0000"/>
      <name val="Times New Roman"/>
      <family val="1"/>
      <charset val="1"/>
    </font>
    <font>
      <i val="true"/>
      <sz val="18"/>
      <name val="Times New Roman"/>
      <family val="1"/>
      <charset val="1"/>
    </font>
    <font>
      <i val="true"/>
      <sz val="18"/>
      <color rgb="FF800000"/>
      <name val="Times New Roman"/>
      <family val="1"/>
      <charset val="1"/>
    </font>
    <font>
      <i val="true"/>
      <u val="single"/>
      <sz val="10"/>
      <name val="Times New Roman"/>
      <family val="1"/>
      <charset val="1"/>
    </font>
    <font>
      <b val="true"/>
      <i val="true"/>
      <sz val="13"/>
      <name val="Times New Roman"/>
      <family val="1"/>
      <charset val="1"/>
    </font>
    <font>
      <sz val="10"/>
      <color rgb="FF3333FF"/>
      <name val="Arial"/>
      <family val="2"/>
      <charset val="1"/>
    </font>
    <font>
      <i val="true"/>
      <strike val="true"/>
      <sz val="10"/>
      <name val="Arial"/>
      <family val="2"/>
      <charset val="1"/>
    </font>
    <font>
      <b val="true"/>
      <sz val="12"/>
      <color rgb="FF800000"/>
      <name val="Arial"/>
      <family val="2"/>
      <charset val="1"/>
    </font>
    <font>
      <sz val="13"/>
      <name val="Times New Roman"/>
      <family val="1"/>
      <charset val="1"/>
    </font>
    <font>
      <i val="true"/>
      <sz val="13"/>
      <color rgb="FF800000"/>
      <name val="Times New Roman"/>
      <family val="1"/>
      <charset val="1"/>
    </font>
    <font>
      <i val="true"/>
      <sz val="14"/>
      <color rgb="FF800000"/>
      <name val="Arial"/>
      <family val="2"/>
      <charset val="1"/>
    </font>
  </fonts>
  <fills count="49">
    <fill>
      <patternFill patternType="none"/>
    </fill>
    <fill>
      <patternFill patternType="gray125"/>
    </fill>
    <fill>
      <patternFill patternType="solid">
        <fgColor rgb="FFFFCC99"/>
        <bgColor rgb="FFD4CACE"/>
      </patternFill>
    </fill>
    <fill>
      <patternFill patternType="solid">
        <fgColor rgb="FFC5000B"/>
        <bgColor rgb="FFCC0000"/>
      </patternFill>
    </fill>
    <fill>
      <patternFill patternType="solid">
        <fgColor rgb="FFCCFF99"/>
        <bgColor rgb="FFC2FF66"/>
      </patternFill>
    </fill>
    <fill>
      <patternFill patternType="solid">
        <fgColor rgb="FFFF8080"/>
        <bgColor rgb="FFFF9999"/>
      </patternFill>
    </fill>
    <fill>
      <patternFill patternType="solid">
        <fgColor rgb="FFD3180F"/>
        <bgColor rgb="FFCC0000"/>
      </patternFill>
    </fill>
    <fill>
      <patternFill patternType="solid">
        <fgColor rgb="FFC2FF66"/>
        <bgColor rgb="FFCCFF99"/>
      </patternFill>
    </fill>
    <fill>
      <patternFill patternType="solid">
        <fgColor rgb="FF66FFFF"/>
        <bgColor rgb="FF66FF99"/>
      </patternFill>
    </fill>
    <fill>
      <patternFill patternType="solid">
        <fgColor rgb="FFFFFF00"/>
        <bgColor rgb="FFFFF200"/>
      </patternFill>
    </fill>
    <fill>
      <patternFill patternType="solid">
        <fgColor rgb="FFD4CACE"/>
        <bgColor rgb="FFFFCCFF"/>
      </patternFill>
    </fill>
    <fill>
      <patternFill patternType="solid">
        <fgColor rgb="FFFF3333"/>
        <bgColor rgb="FFD3180F"/>
      </patternFill>
    </fill>
    <fill>
      <patternFill patternType="darkGray">
        <fgColor rgb="FFF0F0FD"/>
        <bgColor rgb="FFCCFFFF"/>
      </patternFill>
    </fill>
    <fill>
      <patternFill patternType="solid">
        <fgColor rgb="FFCC99FF"/>
        <bgColor rgb="FF9999FF"/>
      </patternFill>
    </fill>
    <fill>
      <patternFill patternType="solid">
        <fgColor rgb="FFFFCCFF"/>
        <bgColor rgb="FFD4CACE"/>
      </patternFill>
    </fill>
    <fill>
      <patternFill patternType="solid">
        <fgColor rgb="FF66CCFF"/>
        <bgColor rgb="FF66FFFF"/>
      </patternFill>
    </fill>
    <fill>
      <patternFill patternType="solid">
        <fgColor rgb="FF00FFFF"/>
        <bgColor rgb="FF00FF66"/>
      </patternFill>
    </fill>
    <fill>
      <patternFill patternType="solid">
        <fgColor rgb="FFCC66FF"/>
        <bgColor rgb="FFFF66FF"/>
      </patternFill>
    </fill>
    <fill>
      <patternFill patternType="solid">
        <fgColor rgb="FFFF33FF"/>
        <bgColor rgb="FFE327FF"/>
      </patternFill>
    </fill>
    <fill>
      <patternFill patternType="solid">
        <fgColor rgb="FF901B78"/>
        <bgColor rgb="FFA1467E"/>
      </patternFill>
    </fill>
    <fill>
      <patternFill patternType="solid">
        <fgColor rgb="FF9999FF"/>
        <bgColor rgb="FFCC99FF"/>
      </patternFill>
    </fill>
    <fill>
      <patternFill patternType="solid">
        <fgColor rgb="FFFF0000"/>
        <bgColor rgb="FFCC0000"/>
      </patternFill>
    </fill>
    <fill>
      <patternFill patternType="solid">
        <fgColor rgb="FF9933FF"/>
        <bgColor rgb="FF9900FF"/>
      </patternFill>
    </fill>
    <fill>
      <patternFill patternType="solid">
        <fgColor rgb="FFFFFF99"/>
        <bgColor rgb="FFFFFF66"/>
      </patternFill>
    </fill>
    <fill>
      <patternFill patternType="darkGray">
        <fgColor rgb="FFD4CACE"/>
        <bgColor rgb="FFFFCCFF"/>
      </patternFill>
    </fill>
    <fill>
      <patternFill patternType="solid">
        <fgColor rgb="FFCCFFFF"/>
        <bgColor rgb="FFF0F0FD"/>
      </patternFill>
    </fill>
    <fill>
      <patternFill patternType="solid">
        <fgColor rgb="FF000000"/>
        <bgColor rgb="FF111111"/>
      </patternFill>
    </fill>
    <fill>
      <patternFill patternType="solid">
        <fgColor rgb="FFA1467E"/>
        <bgColor rgb="FF996666"/>
      </patternFill>
    </fill>
    <fill>
      <patternFill patternType="solid">
        <fgColor rgb="FF535EFF"/>
        <bgColor rgb="FF6B5E9B"/>
      </patternFill>
    </fill>
    <fill>
      <patternFill patternType="solid">
        <fgColor rgb="FF9900FF"/>
        <bgColor rgb="FF9933FF"/>
      </patternFill>
    </fill>
    <fill>
      <patternFill patternType="solid">
        <fgColor rgb="FFBF819E"/>
        <bgColor rgb="FFCC9966"/>
      </patternFill>
    </fill>
    <fill>
      <patternFill patternType="solid">
        <fgColor rgb="FFE327FF"/>
        <bgColor rgb="FFFF33FF"/>
      </patternFill>
    </fill>
    <fill>
      <patternFill patternType="solid">
        <fgColor rgb="FFFFF200"/>
        <bgColor rgb="FFFFFF00"/>
      </patternFill>
    </fill>
    <fill>
      <patternFill patternType="solid">
        <fgColor rgb="FFFFFF66"/>
        <bgColor rgb="FFFFFF99"/>
      </patternFill>
    </fill>
    <fill>
      <patternFill patternType="solid">
        <fgColor rgb="FFFF00CC"/>
        <bgColor rgb="FFE327FF"/>
      </patternFill>
    </fill>
    <fill>
      <patternFill patternType="solid">
        <fgColor rgb="FFFF99FF"/>
        <bgColor rgb="FFCC99FF"/>
      </patternFill>
    </fill>
    <fill>
      <patternFill patternType="solid">
        <fgColor rgb="FFFFCC00"/>
        <bgColor rgb="FFFFF200"/>
      </patternFill>
    </fill>
    <fill>
      <patternFill patternType="darkGray">
        <fgColor rgb="FFF0F0FD"/>
        <bgColor rgb="FFFFCCFF"/>
      </patternFill>
    </fill>
    <fill>
      <patternFill patternType="solid">
        <fgColor rgb="FF66FF99"/>
        <bgColor rgb="FF66FFFF"/>
      </patternFill>
    </fill>
    <fill>
      <patternFill patternType="solid">
        <fgColor rgb="FFFF9999"/>
        <bgColor rgb="FFFF8080"/>
      </patternFill>
    </fill>
    <fill>
      <patternFill patternType="solid">
        <fgColor rgb="FFFF6666"/>
        <bgColor rgb="FFFF8080"/>
      </patternFill>
    </fill>
    <fill>
      <patternFill patternType="solid">
        <fgColor rgb="FFCC9966"/>
        <bgColor rgb="FFBF819E"/>
      </patternFill>
    </fill>
    <fill>
      <patternFill patternType="solid">
        <fgColor rgb="FF996666"/>
        <bgColor rgb="FFA1467E"/>
      </patternFill>
    </fill>
    <fill>
      <patternFill patternType="solid">
        <fgColor rgb="FF666699"/>
        <bgColor rgb="FF6B5E9B"/>
      </patternFill>
    </fill>
    <fill>
      <patternFill patternType="solid">
        <fgColor rgb="FF6699CC"/>
        <bgColor rgb="FF9999FF"/>
      </patternFill>
    </fill>
    <fill>
      <patternFill patternType="solid">
        <fgColor rgb="FF6B5E9B"/>
        <bgColor rgb="FF666699"/>
      </patternFill>
    </fill>
    <fill>
      <patternFill patternType="solid">
        <fgColor rgb="FFFF66FF"/>
        <bgColor rgb="FFCC66FF"/>
      </patternFill>
    </fill>
    <fill>
      <patternFill patternType="solid">
        <fgColor rgb="FFFF6600"/>
        <bgColor rgb="FFFF6666"/>
      </patternFill>
    </fill>
    <fill>
      <patternFill patternType="darkGray">
        <fgColor rgb="FF00FFFF"/>
        <bgColor rgb="FF66FFFF"/>
      </patternFill>
    </fill>
  </fills>
  <borders count="45">
    <border diagonalUp="false" diagonalDown="false">
      <left/>
      <right/>
      <top/>
      <bottom/>
      <diagonal/>
    </border>
    <border diagonalUp="false" diagonalDown="false">
      <left style="thin"/>
      <right style="medium"/>
      <top style="thin"/>
      <bottom style="thin"/>
      <diagonal/>
    </border>
    <border diagonalUp="false" diagonalDown="false">
      <left style="thin"/>
      <right style="thin"/>
      <top style="thin"/>
      <bottom style="thin"/>
      <diagonal/>
    </border>
    <border diagonalUp="false" diagonalDown="false">
      <left style="hair"/>
      <right style="hair"/>
      <top style="hair"/>
      <bottom style="hair"/>
      <diagonal/>
    </border>
    <border diagonalUp="false" diagonalDown="false">
      <left style="thin"/>
      <right/>
      <top style="thin"/>
      <bottom/>
      <diagonal/>
    </border>
    <border diagonalUp="false" diagonalDown="false">
      <left style="thin"/>
      <right style="thin"/>
      <top style="thin"/>
      <bottom/>
      <diagonal/>
    </border>
    <border diagonalUp="false" diagonalDown="false">
      <left/>
      <right style="thin"/>
      <top style="thin"/>
      <bottom/>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style="thin"/>
      <right style="thin"/>
      <top/>
      <bottom/>
      <diagonal/>
    </border>
    <border diagonalUp="false" diagonalDown="false">
      <left style="medium">
        <color rgb="FF111111"/>
      </left>
      <right style="medium">
        <color rgb="FF111111"/>
      </right>
      <top/>
      <bottom/>
      <diagonal/>
    </border>
    <border diagonalUp="false" diagonalDown="false">
      <left/>
      <right style="medium">
        <color rgb="FF111111"/>
      </right>
      <top/>
      <bottom/>
      <diagonal/>
    </border>
    <border diagonalUp="false" diagonalDown="false">
      <left style="medium">
        <color rgb="FF111111"/>
      </left>
      <right style="medium">
        <color rgb="FF111111"/>
      </right>
      <top/>
      <bottom style="medium">
        <color rgb="FF111111"/>
      </bottom>
      <diagonal/>
    </border>
    <border diagonalUp="false" diagonalDown="false">
      <left/>
      <right style="medium">
        <color rgb="FF111111"/>
      </right>
      <top/>
      <bottom style="medium">
        <color rgb="FF111111"/>
      </bottom>
      <diagonal/>
    </border>
    <border diagonalUp="false" diagonalDown="false">
      <left style="medium">
        <color rgb="FF111111"/>
      </left>
      <right/>
      <top style="medium">
        <color rgb="FF111111"/>
      </top>
      <bottom style="medium">
        <color rgb="FF111111"/>
      </bottom>
      <diagonal/>
    </border>
    <border diagonalUp="false" diagonalDown="false">
      <left style="medium">
        <color rgb="FF111111"/>
      </left>
      <right style="medium">
        <color rgb="FF111111"/>
      </right>
      <top style="medium">
        <color rgb="FF111111"/>
      </top>
      <bottom style="medium">
        <color rgb="FF111111"/>
      </bottom>
      <diagonal/>
    </border>
    <border diagonalUp="false" diagonalDown="false">
      <left/>
      <right style="medium">
        <color rgb="FF111111"/>
      </right>
      <top style="medium">
        <color rgb="FF111111"/>
      </top>
      <bottom style="medium">
        <color rgb="FF111111"/>
      </bottom>
      <diagonal/>
    </border>
    <border diagonalUp="false" diagonalDown="false">
      <left/>
      <right/>
      <top style="hair"/>
      <bottom/>
      <diagonal/>
    </border>
    <border diagonalUp="false" diagonalDown="false">
      <left/>
      <right style="thin"/>
      <top/>
      <bottom/>
      <diagonal/>
    </border>
    <border diagonalUp="false" diagonalDown="false">
      <left style="thin"/>
      <right/>
      <top/>
      <bottom/>
      <diagonal/>
    </border>
    <border diagonalUp="false" diagonalDown="false">
      <left style="medium"/>
      <right style="thin"/>
      <top style="medium"/>
      <bottom style="medium"/>
      <diagonal/>
    </border>
    <border diagonalUp="false" diagonalDown="false">
      <left style="medium"/>
      <right style="medium"/>
      <top style="medium"/>
      <bottom/>
      <diagonal/>
    </border>
    <border diagonalUp="false" diagonalDown="false">
      <left style="medium"/>
      <right style="thin"/>
      <top style="medium"/>
      <bottom/>
      <diagonal/>
    </border>
    <border diagonalUp="false" diagonalDown="false">
      <left style="thin"/>
      <right/>
      <top style="medium"/>
      <bottom/>
      <diagonal/>
    </border>
    <border diagonalUp="false" diagonalDown="false">
      <left style="thin"/>
      <right style="medium"/>
      <top style="medium"/>
      <bottom/>
      <diagonal/>
    </border>
    <border diagonalUp="false" diagonalDown="false">
      <left style="medium"/>
      <right style="thin"/>
      <top/>
      <bottom/>
      <diagonal/>
    </border>
    <border diagonalUp="false" diagonalDown="false">
      <left style="thin"/>
      <right style="medium"/>
      <top/>
      <bottom/>
      <diagonal/>
    </border>
    <border diagonalUp="false" diagonalDown="false">
      <left style="medium"/>
      <right style="thin"/>
      <top/>
      <bottom style="medium"/>
      <diagonal/>
    </border>
    <border diagonalUp="false" diagonalDown="false">
      <left style="thin"/>
      <right/>
      <top/>
      <bottom style="medium"/>
      <diagonal/>
    </border>
    <border diagonalUp="false" diagonalDown="false">
      <left style="thin"/>
      <right style="medium"/>
      <top/>
      <bottom style="medium"/>
      <diagonal/>
    </border>
    <border diagonalUp="false" diagonalDown="false">
      <left style="thin">
        <color rgb="FF111111"/>
      </left>
      <right style="thin">
        <color rgb="FF111111"/>
      </right>
      <top style="thin">
        <color rgb="FF111111"/>
      </top>
      <bottom style="thin">
        <color rgb="FF111111"/>
      </bottom>
      <diagonal/>
    </border>
    <border diagonalUp="false" diagonalDown="false">
      <left style="medium"/>
      <right style="medium"/>
      <top style="medium"/>
      <bottom style="thin"/>
      <diagonal/>
    </border>
    <border diagonalUp="false" diagonalDown="false">
      <left style="medium"/>
      <right style="thin"/>
      <top style="thin"/>
      <bottom/>
      <diagonal/>
    </border>
    <border diagonalUp="false" diagonalDown="false">
      <left style="medium"/>
      <right style="thin"/>
      <top style="medium"/>
      <bottom style="thin"/>
      <diagonal/>
    </border>
    <border diagonalUp="false" diagonalDown="false">
      <left style="thin"/>
      <right/>
      <top style="medium"/>
      <bottom style="thin"/>
      <diagonal/>
    </border>
    <border diagonalUp="false" diagonalDown="false">
      <left style="thin"/>
      <right style="thin"/>
      <top style="medium"/>
      <bottom style="thin"/>
      <diagonal/>
    </border>
    <border diagonalUp="false" diagonalDown="false">
      <left style="medium"/>
      <right style="thin"/>
      <top style="thin"/>
      <bottom style="thin"/>
      <diagonal/>
    </border>
    <border diagonalUp="false" diagonalDown="false">
      <left style="medium"/>
      <right style="medium"/>
      <top style="medium"/>
      <bottom style="medium"/>
      <diagonal/>
    </border>
    <border diagonalUp="false" diagonalDown="false">
      <left/>
      <right style="thin"/>
      <top style="medium"/>
      <bottom style="medium"/>
      <diagonal/>
    </border>
    <border diagonalUp="false" diagonalDown="false">
      <left style="thin"/>
      <right style="thin"/>
      <top style="medium"/>
      <bottom style="medium"/>
      <diagonal/>
    </border>
    <border diagonalUp="false" diagonalDown="false">
      <left style="thin"/>
      <right/>
      <top style="medium"/>
      <bottom style="medium"/>
      <diagonal/>
    </border>
    <border diagonalUp="false" diagonalDown="false">
      <left style="medium"/>
      <right/>
      <top/>
      <bottom/>
      <diagonal/>
    </border>
    <border diagonalUp="false" diagonalDown="false">
      <left/>
      <right style="medium"/>
      <top/>
      <bottom/>
      <diagonal/>
    </border>
    <border diagonalUp="false" diagonalDown="false">
      <left style="thin"/>
      <right/>
      <top/>
      <bottom style="thin"/>
      <diagonal/>
    </border>
    <border diagonalUp="false" diagonalDown="false">
      <left style="hair"/>
      <right style="hair"/>
      <top style="hair"/>
      <bottom style="thin"/>
      <diagonal/>
    </border>
  </borders>
  <cellStyleXfs count="4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4" fontId="19"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center"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5" fontId="4" fillId="0" borderId="0" applyFont="true" applyBorder="false" applyAlignment="true" applyProtection="false">
      <alignment horizontal="general" vertical="bottom" textRotation="0" wrapText="false" indent="0" shrinkToFit="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false" applyAlignment="true" applyProtection="false">
      <alignment horizontal="general" vertical="bottom" textRotation="0" wrapText="false" indent="0" shrinkToFit="false"/>
    </xf>
    <xf numFmtId="166" fontId="7" fillId="0" borderId="0" applyFont="true" applyBorder="false" applyAlignment="true" applyProtection="false">
      <alignment horizontal="general" vertical="bottom" textRotation="0" wrapText="false" indent="0" shrinkToFit="false"/>
    </xf>
    <xf numFmtId="164" fontId="4" fillId="5"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center" vertical="bottom" textRotation="90" wrapText="false" indent="0" shrinkToFit="false"/>
    </xf>
    <xf numFmtId="164" fontId="11" fillId="0" borderId="0" applyFont="true" applyBorder="true" applyAlignment="true" applyProtection="true">
      <alignment horizontal="general" vertical="bottom" textRotation="0" wrapText="false" indent="0" shrinkToFit="false"/>
      <protection locked="true" hidden="false"/>
    </xf>
  </cellStyleXfs>
  <cellXfs count="72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8" fillId="0" borderId="1" xfId="0" applyFont="true" applyBorder="true" applyAlignment="true" applyProtection="false">
      <alignment horizontal="center" vertical="center" textRotation="0" wrapText="true" indent="0" shrinkToFit="false"/>
      <protection locked="true" hidden="false"/>
    </xf>
    <xf numFmtId="164" fontId="8" fillId="0" borderId="2" xfId="0" applyFont="true" applyBorder="true" applyAlignment="true" applyProtection="false">
      <alignment horizontal="center" vertical="center" textRotation="0" wrapText="true" indent="0" shrinkToFit="false"/>
      <protection locked="true" hidden="false"/>
    </xf>
    <xf numFmtId="164" fontId="0" fillId="7" borderId="2" xfId="0" applyFont="false" applyBorder="true" applyAlignment="true" applyProtection="false">
      <alignment horizontal="center" vertical="center" textRotation="0" wrapText="true" indent="0" shrinkToFit="false"/>
      <protection locked="true" hidden="false"/>
    </xf>
    <xf numFmtId="164" fontId="0" fillId="0" borderId="2" xfId="0" applyFont="true" applyBorder="true" applyAlignment="true" applyProtection="false">
      <alignment horizontal="center" vertical="center" textRotation="0" wrapText="true" indent="0" shrinkToFit="false"/>
      <protection locked="true" hidden="false"/>
    </xf>
    <xf numFmtId="164" fontId="0" fillId="8" borderId="2" xfId="0" applyFont="false" applyBorder="true" applyAlignment="true" applyProtection="false">
      <alignment horizontal="center" vertical="center" textRotation="0" wrapText="false" indent="0" shrinkToFit="false"/>
      <protection locked="true" hidden="false"/>
    </xf>
    <xf numFmtId="164" fontId="0" fillId="0" borderId="2" xfId="0" applyFont="true" applyBorder="true" applyAlignment="true" applyProtection="false">
      <alignment horizontal="center" vertical="center" textRotation="0" wrapText="false" indent="0" shrinkToFit="false"/>
      <protection locked="true" hidden="false"/>
    </xf>
    <xf numFmtId="167" fontId="0" fillId="0" borderId="0" xfId="0" applyFont="true" applyBorder="true" applyAlignment="true" applyProtection="false">
      <alignment horizontal="center" vertical="center" textRotation="0" wrapText="true" indent="0" shrinkToFit="false"/>
      <protection locked="true" hidden="false"/>
    </xf>
    <xf numFmtId="167" fontId="0" fillId="0" borderId="0" xfId="0" applyFont="false" applyBorder="false" applyAlignment="true" applyProtection="false">
      <alignment horizontal="center" vertical="center" textRotation="0" wrapText="true" indent="0" shrinkToFit="false"/>
      <protection locked="true" hidden="false"/>
    </xf>
    <xf numFmtId="164" fontId="9" fillId="0" borderId="2" xfId="0" applyFont="true" applyBorder="true" applyAlignment="true" applyProtection="false">
      <alignment horizontal="center" vertical="center" textRotation="0" wrapText="true" indent="0" shrinkToFit="false"/>
      <protection locked="true" hidden="false"/>
    </xf>
    <xf numFmtId="164" fontId="9" fillId="0" borderId="1" xfId="0" applyFont="true" applyBorder="true" applyAlignment="true" applyProtection="false">
      <alignment horizontal="center" vertical="center" textRotation="0" wrapText="true" indent="0" shrinkToFit="false"/>
      <protection locked="true" hidden="false"/>
    </xf>
    <xf numFmtId="164" fontId="0" fillId="9" borderId="2" xfId="0" applyFont="false" applyBorder="true" applyAlignment="false" applyProtection="false">
      <alignment horizontal="general" vertical="bottom" textRotation="0" wrapText="false" indent="0" shrinkToFit="false"/>
      <protection locked="true" hidden="false"/>
    </xf>
    <xf numFmtId="164" fontId="0" fillId="10" borderId="2" xfId="0" applyFont="fals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center" vertical="center" textRotation="0" wrapText="true" indent="0" shrinkToFit="false"/>
      <protection locked="true" hidden="false"/>
    </xf>
    <xf numFmtId="167" fontId="0" fillId="0" borderId="2" xfId="0" applyFont="false" applyBorder="true" applyAlignment="true" applyProtection="false">
      <alignment horizontal="center" vertical="center" textRotation="0" wrapText="true" indent="0" shrinkToFit="false"/>
      <protection locked="true" hidden="false"/>
    </xf>
    <xf numFmtId="164" fontId="0" fillId="0" borderId="2" xfId="0" applyFont="false" applyBorder="true" applyAlignment="true" applyProtection="false">
      <alignment horizontal="center" vertical="center" textRotation="0" wrapText="true" indent="0" shrinkToFit="false"/>
      <protection locked="true" hidden="false"/>
    </xf>
    <xf numFmtId="164" fontId="0" fillId="11" borderId="2" xfId="0" applyFont="false" applyBorder="true" applyAlignment="true" applyProtection="false">
      <alignment horizontal="center" vertical="center" textRotation="0" wrapText="true" indent="0" shrinkToFit="false"/>
      <protection locked="true" hidden="false"/>
    </xf>
    <xf numFmtId="167" fontId="0" fillId="12" borderId="2" xfId="0" applyFont="false" applyBorder="true" applyAlignment="true" applyProtection="false">
      <alignment horizontal="center" vertical="center" textRotation="0" wrapText="true" indent="0" shrinkToFit="false"/>
      <protection locked="true" hidden="false"/>
    </xf>
    <xf numFmtId="167" fontId="0" fillId="0" borderId="2" xfId="0" applyFont="true" applyBorder="true" applyAlignment="true" applyProtection="false">
      <alignment horizontal="center" vertical="center" textRotation="0" wrapText="true" indent="0" shrinkToFit="false"/>
      <protection locked="true" hidden="false"/>
    </xf>
    <xf numFmtId="167" fontId="9" fillId="0" borderId="2" xfId="0" applyFont="true" applyBorder="true" applyAlignment="true" applyProtection="false">
      <alignment horizontal="center" vertical="center" textRotation="0" wrapText="true" indent="0" shrinkToFit="false"/>
      <protection locked="true" hidden="false"/>
    </xf>
    <xf numFmtId="168" fontId="0" fillId="13" borderId="2" xfId="0" applyFont="false" applyBorder="true" applyAlignment="true" applyProtection="false">
      <alignment horizontal="center" vertical="center" textRotation="0" wrapText="true" indent="0" shrinkToFit="false"/>
      <protection locked="true" hidden="false"/>
    </xf>
    <xf numFmtId="164" fontId="0" fillId="4" borderId="2" xfId="0" applyFont="false" applyBorder="true" applyAlignment="true" applyProtection="false">
      <alignment horizontal="center" vertical="center" textRotation="0" wrapText="true" indent="0" shrinkToFit="false"/>
      <protection locked="true" hidden="false"/>
    </xf>
    <xf numFmtId="164" fontId="0" fillId="10" borderId="2" xfId="0" applyFont="true" applyBorder="true" applyAlignment="true" applyProtection="false">
      <alignment horizontal="center" vertical="center" textRotation="0" wrapText="false" indent="0" shrinkToFit="false"/>
      <protection locked="true" hidden="false"/>
    </xf>
    <xf numFmtId="164" fontId="0" fillId="14" borderId="2" xfId="0" applyFont="false" applyBorder="true" applyAlignment="true" applyProtection="false">
      <alignment horizontal="center" vertical="center" textRotation="0" wrapText="true" indent="0" shrinkToFit="false"/>
      <protection locked="true" hidden="false"/>
    </xf>
    <xf numFmtId="164" fontId="0" fillId="2" borderId="2" xfId="0" applyFont="fals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5" borderId="2" xfId="0" applyFont="false" applyBorder="true" applyAlignment="true" applyProtection="false">
      <alignment horizontal="center" vertical="center" textRotation="0" wrapText="true" indent="0" shrinkToFit="false"/>
      <protection locked="true" hidden="false"/>
    </xf>
    <xf numFmtId="167" fontId="0"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center" vertical="center" textRotation="0" wrapText="true" indent="0" shrinkToFit="false"/>
      <protection locked="true" hidden="false"/>
    </xf>
    <xf numFmtId="169" fontId="0" fillId="15" borderId="0" xfId="0" applyFont="false" applyBorder="false" applyAlignment="true" applyProtection="false">
      <alignment horizontal="center" vertical="bottom" textRotation="0" wrapText="false" indent="0" shrinkToFit="false"/>
      <protection locked="true" hidden="false"/>
    </xf>
    <xf numFmtId="167" fontId="0" fillId="0" borderId="3" xfId="28" applyFont="true" applyBorder="true" applyAlignment="true" applyProtection="true">
      <alignment horizontal="center" vertical="center" textRotation="0" wrapText="false" indent="0" shrinkToFit="false"/>
      <protection locked="true" hidden="false"/>
    </xf>
    <xf numFmtId="170" fontId="10" fillId="0" borderId="0" xfId="0" applyFont="true" applyBorder="false" applyAlignment="true" applyProtection="false">
      <alignment horizontal="center" vertical="center" textRotation="0" wrapText="false" indent="0" shrinkToFit="false"/>
      <protection locked="true" hidden="false"/>
    </xf>
    <xf numFmtId="169" fontId="0" fillId="16" borderId="0" xfId="0" applyFont="false" applyBorder="false" applyAlignment="true" applyProtection="false">
      <alignment horizontal="center" vertical="bottom" textRotation="0" wrapText="false" indent="0" shrinkToFit="false"/>
      <protection locked="true" hidden="false"/>
    </xf>
    <xf numFmtId="164" fontId="12" fillId="0" borderId="0" xfId="41" applyFont="true" applyBorder="true" applyAlignment="true" applyProtection="true">
      <alignment horizontal="center" vertical="bottom" textRotation="0" wrapText="false" indent="0" shrinkToFit="false"/>
      <protection locked="true" hidden="false"/>
    </xf>
    <xf numFmtId="164" fontId="11" fillId="0" borderId="0" xfId="41" applyFont="false" applyBorder="false" applyAlignment="false" applyProtection="false">
      <alignment horizontal="general" vertical="bottom" textRotation="0" wrapText="false" indent="0" shrinkToFit="false"/>
      <protection locked="true" hidden="false"/>
    </xf>
    <xf numFmtId="169" fontId="9" fillId="15" borderId="0" xfId="0" applyFont="true" applyBorder="fals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center" vertical="center" textRotation="0" wrapText="true" indent="0" shrinkToFit="false"/>
      <protection locked="true" hidden="false"/>
    </xf>
    <xf numFmtId="164" fontId="9" fillId="0" borderId="0" xfId="0" applyFont="true" applyBorder="false" applyAlignment="true" applyProtection="false">
      <alignment horizontal="center" vertical="center" textRotation="0" wrapText="false" indent="0" shrinkToFit="false"/>
      <protection locked="true" hidden="false"/>
    </xf>
    <xf numFmtId="170" fontId="13" fillId="0" borderId="0" xfId="0" applyFont="true" applyBorder="false" applyAlignment="true" applyProtection="false">
      <alignment horizontal="center" vertical="center" textRotation="0" wrapText="false" indent="0" shrinkToFit="false"/>
      <protection locked="true" hidden="false"/>
    </xf>
    <xf numFmtId="167" fontId="9" fillId="0" borderId="0" xfId="0" applyFont="true" applyBorder="false" applyAlignment="true" applyProtection="false">
      <alignment horizontal="center" vertical="center" textRotation="0" wrapText="true" indent="0" shrinkToFit="false"/>
      <protection locked="true" hidden="false"/>
    </xf>
    <xf numFmtId="167" fontId="14" fillId="0" borderId="0" xfId="0" applyFont="true" applyBorder="false" applyAlignment="true" applyProtection="false">
      <alignment horizontal="center" vertical="center" textRotation="0" wrapText="true" indent="0" shrinkToFit="false"/>
      <protection locked="true" hidden="false"/>
    </xf>
    <xf numFmtId="164" fontId="0" fillId="0" borderId="0" xfId="41" applyFont="true" applyBorder="true" applyAlignment="true" applyProtection="true">
      <alignment horizontal="general" vertical="bottom" textRotation="0" wrapText="false" indent="0" shrinkToFit="false"/>
      <protection locked="true" hidden="false"/>
    </xf>
    <xf numFmtId="164" fontId="9" fillId="0" borderId="0" xfId="41" applyFont="true" applyBorder="true" applyAlignment="true" applyProtection="true">
      <alignment horizontal="center" vertical="center" textRotation="0" wrapText="false" indent="0" shrinkToFit="false"/>
      <protection locked="true" hidden="false"/>
    </xf>
    <xf numFmtId="164" fontId="9" fillId="0" borderId="0" xfId="41" applyFont="true" applyBorder="false" applyAlignment="false" applyProtection="false">
      <alignment horizontal="general" vertical="bottom" textRotation="0" wrapText="false" indent="0" shrinkToFit="false"/>
      <protection locked="true" hidden="false"/>
    </xf>
    <xf numFmtId="164" fontId="9" fillId="0" borderId="0" xfId="41" applyFont="true" applyBorder="true" applyAlignment="true" applyProtection="false">
      <alignment horizontal="center" vertical="center" textRotation="0" wrapText="false" indent="0" shrinkToFit="false"/>
      <protection locked="true" hidden="false"/>
    </xf>
    <xf numFmtId="164" fontId="0" fillId="0" borderId="0" xfId="41" applyFont="true" applyBorder="true" applyAlignment="true" applyProtection="true">
      <alignment horizontal="center" vertical="center" textRotation="0" wrapText="false" indent="0" shrinkToFit="false"/>
      <protection locked="true" hidden="false"/>
    </xf>
    <xf numFmtId="164" fontId="0" fillId="0" borderId="0" xfId="41" applyFont="true" applyBorder="true" applyAlignment="true" applyProtection="true">
      <alignment horizontal="general" vertical="center" textRotation="0" wrapText="false" indent="0" shrinkToFit="false"/>
      <protection locked="true" hidden="false"/>
    </xf>
    <xf numFmtId="167" fontId="0" fillId="0" borderId="0" xfId="41" applyFont="true" applyBorder="true" applyAlignment="true" applyProtection="true">
      <alignment horizontal="center" vertical="center" textRotation="0" wrapText="false" indent="0" shrinkToFit="false"/>
      <protection locked="true" hidden="false"/>
    </xf>
    <xf numFmtId="167" fontId="11" fillId="0" borderId="0" xfId="41" applyFont="false" applyBorder="true" applyAlignment="true" applyProtection="false">
      <alignment horizontal="center" vertical="bottom" textRotation="0" wrapText="false" indent="0" shrinkToFit="false"/>
      <protection locked="true" hidden="false"/>
    </xf>
    <xf numFmtId="171" fontId="0" fillId="0" borderId="0" xfId="41" applyFont="true" applyBorder="true" applyAlignment="true" applyProtection="true">
      <alignment horizontal="general" vertical="center" textRotation="0" wrapText="false" indent="0" shrinkToFit="false"/>
      <protection locked="true" hidden="false"/>
    </xf>
    <xf numFmtId="164" fontId="9" fillId="0" borderId="0" xfId="41" applyFont="true" applyBorder="true" applyAlignment="true" applyProtection="true">
      <alignment horizontal="general" vertical="center" textRotation="0" wrapText="false" indent="0" shrinkToFit="false"/>
      <protection locked="true" hidden="false"/>
    </xf>
    <xf numFmtId="167" fontId="9" fillId="0" borderId="0" xfId="41" applyFont="true" applyBorder="true" applyAlignment="true" applyProtection="true">
      <alignment horizontal="center" vertical="center" textRotation="0" wrapText="false" indent="0" shrinkToFit="false"/>
      <protection locked="true" hidden="false"/>
    </xf>
    <xf numFmtId="164" fontId="15" fillId="0" borderId="0" xfId="41"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false" indent="0" shrinkToFit="false"/>
      <protection locked="true" hidden="false"/>
    </xf>
    <xf numFmtId="167"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7" fontId="0" fillId="0" borderId="0" xfId="0" applyFont="false" applyBorder="fals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center" vertical="bottom" textRotation="0" wrapText="false" indent="0" shrinkToFit="false"/>
      <protection locked="true" hidden="false"/>
    </xf>
    <xf numFmtId="164" fontId="0" fillId="9" borderId="2" xfId="0" applyFont="true" applyBorder="true" applyAlignment="true" applyProtection="false">
      <alignment horizontal="center" vertical="center" textRotation="0" wrapText="true" indent="0" shrinkToFit="false"/>
      <protection locked="true" hidden="false"/>
    </xf>
    <xf numFmtId="172" fontId="0" fillId="0"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67" fontId="0" fillId="17" borderId="0" xfId="0" applyFont="false" applyBorder="false" applyAlignment="true" applyProtection="false">
      <alignment horizontal="center" vertical="bottom" textRotation="0" wrapText="false" indent="0" shrinkToFit="false"/>
      <protection locked="true" hidden="false"/>
    </xf>
    <xf numFmtId="164" fontId="0" fillId="17" borderId="0" xfId="0" applyFont="true" applyBorder="false" applyAlignment="true" applyProtection="false">
      <alignment horizontal="center" vertical="center" textRotation="0" wrapText="false" indent="0" shrinkToFit="false"/>
      <protection locked="true" hidden="false"/>
    </xf>
    <xf numFmtId="170" fontId="10" fillId="17" borderId="0" xfId="0" applyFont="true" applyBorder="false" applyAlignment="true" applyProtection="false">
      <alignment horizontal="center" vertical="center" textRotation="0" wrapText="false" indent="0" shrinkToFit="false"/>
      <protection locked="true" hidden="false"/>
    </xf>
    <xf numFmtId="167" fontId="0" fillId="17" borderId="0" xfId="0" applyFont="false" applyBorder="false" applyAlignment="true" applyProtection="false">
      <alignment horizontal="center" vertical="center" textRotation="0" wrapText="false" indent="0" shrinkToFit="false"/>
      <protection locked="true" hidden="false"/>
    </xf>
    <xf numFmtId="164" fontId="0" fillId="17" borderId="0" xfId="0" applyFont="false" applyBorder="false" applyAlignment="true" applyProtection="false">
      <alignment horizontal="center" vertical="center" textRotation="0" wrapText="false" indent="0" shrinkToFit="false"/>
      <protection locked="true" hidden="false"/>
    </xf>
    <xf numFmtId="167" fontId="0" fillId="10" borderId="2" xfId="0" applyFont="true" applyBorder="true" applyAlignment="true" applyProtection="false">
      <alignment horizontal="center" vertical="center" textRotation="0" wrapText="false" indent="0" shrinkToFit="false"/>
      <protection locked="true" hidden="false"/>
    </xf>
    <xf numFmtId="167" fontId="10" fillId="0" borderId="0" xfId="0" applyFont="true" applyBorder="false" applyAlignment="true" applyProtection="false">
      <alignment horizontal="general" vertical="bottom" textRotation="0" wrapText="false" indent="0" shrinkToFit="false"/>
      <protection locked="true" hidden="false"/>
    </xf>
    <xf numFmtId="173" fontId="0" fillId="0" borderId="0" xfId="0" applyFont="false" applyBorder="false" applyAlignment="true" applyProtection="false">
      <alignment horizontal="left" vertical="center" textRotation="0" wrapText="true" indent="4" shrinkToFit="false"/>
      <protection locked="true" hidden="false"/>
    </xf>
    <xf numFmtId="173" fontId="0" fillId="0" borderId="0" xfId="0" applyFont="false" applyBorder="false" applyAlignment="true" applyProtection="false">
      <alignment horizontal="left" vertical="center" textRotation="0" wrapText="true" indent="1" shrinkToFit="false"/>
      <protection locked="true" hidden="false"/>
    </xf>
    <xf numFmtId="164" fontId="16" fillId="0" borderId="0" xfId="0" applyFont="true" applyBorder="false" applyAlignment="true" applyProtection="false">
      <alignment horizontal="general" vertical="bottom" textRotation="0" wrapText="false" indent="0" shrinkToFit="false"/>
      <protection locked="true" hidden="false"/>
    </xf>
    <xf numFmtId="169"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0" applyFont="true" applyBorder="false" applyAlignment="true" applyProtection="false">
      <alignment horizontal="center" vertical="bottom" textRotation="0" wrapText="false" indent="0" shrinkToFit="false"/>
      <protection locked="true" hidden="false"/>
    </xf>
    <xf numFmtId="167" fontId="0" fillId="17" borderId="0" xfId="0" applyFont="true" applyBorder="false" applyAlignment="true" applyProtection="false">
      <alignment horizontal="center" vertical="center" textRotation="0" wrapText="true" indent="0" shrinkToFit="false"/>
      <protection locked="true" hidden="false"/>
    </xf>
    <xf numFmtId="164" fontId="9" fillId="0" borderId="2" xfId="41" applyFont="true" applyBorder="true" applyAlignment="true" applyProtection="true">
      <alignment horizontal="center" vertical="center" textRotation="0" wrapText="false" indent="0" shrinkToFit="false"/>
      <protection locked="true" hidden="false"/>
    </xf>
    <xf numFmtId="164" fontId="9" fillId="0" borderId="2" xfId="41" applyFont="true" applyBorder="true" applyAlignment="true" applyProtection="false">
      <alignment horizontal="center" vertical="center" textRotation="0" wrapText="false" indent="0" shrinkToFit="false"/>
      <protection locked="true" hidden="false"/>
    </xf>
    <xf numFmtId="164" fontId="0" fillId="0" borderId="4" xfId="41" applyFont="true" applyBorder="true" applyAlignment="true" applyProtection="true">
      <alignment horizontal="center" vertical="center" textRotation="0" wrapText="false" indent="0" shrinkToFit="false"/>
      <protection locked="true" hidden="false"/>
    </xf>
    <xf numFmtId="164" fontId="0" fillId="0" borderId="5" xfId="41" applyFont="true" applyBorder="true" applyAlignment="true" applyProtection="true">
      <alignment horizontal="center" vertical="center" textRotation="0" wrapText="false" indent="0" shrinkToFit="false"/>
      <protection locked="true" hidden="false"/>
    </xf>
    <xf numFmtId="164" fontId="0" fillId="0" borderId="6" xfId="41" applyFont="true" applyBorder="true" applyAlignment="true" applyProtection="true">
      <alignment horizontal="center" vertical="center" textRotation="0" wrapText="false" indent="0" shrinkToFit="false"/>
      <protection locked="true" hidden="false"/>
    </xf>
    <xf numFmtId="164" fontId="0" fillId="0" borderId="7" xfId="41" applyFont="true" applyBorder="true" applyAlignment="true" applyProtection="true">
      <alignment horizontal="general" vertical="bottom" textRotation="0" wrapText="false" indent="0" shrinkToFit="false"/>
      <protection locked="true" hidden="false"/>
    </xf>
    <xf numFmtId="164" fontId="0" fillId="0" borderId="2" xfId="41" applyFont="true" applyBorder="true" applyAlignment="true" applyProtection="true">
      <alignment horizontal="general" vertical="bottom" textRotation="0" wrapText="false" indent="0" shrinkToFit="false"/>
      <protection locked="true" hidden="false"/>
    </xf>
    <xf numFmtId="164" fontId="0" fillId="0" borderId="8" xfId="41" applyFont="true" applyBorder="true" applyAlignment="true" applyProtection="true">
      <alignment horizontal="general" vertical="bottom" textRotation="0" wrapText="false" indent="0" shrinkToFit="false"/>
      <protection locked="true" hidden="false"/>
    </xf>
    <xf numFmtId="164" fontId="0" fillId="0" borderId="2" xfId="41" applyFont="true" applyBorder="true" applyAlignment="true" applyProtection="true">
      <alignment horizontal="general" vertical="center" textRotation="0" wrapText="false" indent="0" shrinkToFit="false"/>
      <protection locked="true" hidden="false"/>
    </xf>
    <xf numFmtId="167" fontId="0" fillId="0" borderId="2" xfId="41" applyFont="true" applyBorder="true" applyAlignment="true" applyProtection="true">
      <alignment horizontal="center" vertical="center" textRotation="0" wrapText="false" indent="0" shrinkToFit="false"/>
      <protection locked="true" hidden="false"/>
    </xf>
    <xf numFmtId="167" fontId="11" fillId="0" borderId="2" xfId="41" applyFont="false" applyBorder="true" applyAlignment="true" applyProtection="false">
      <alignment horizontal="center" vertical="bottom" textRotation="0" wrapText="false" indent="0" shrinkToFit="false"/>
      <protection locked="true" hidden="false"/>
    </xf>
    <xf numFmtId="171" fontId="0" fillId="0" borderId="2" xfId="41" applyFont="true" applyBorder="true" applyAlignment="true" applyProtection="true">
      <alignment horizontal="general" vertical="center" textRotation="0" wrapText="false" indent="0" shrinkToFit="false"/>
      <protection locked="true" hidden="false"/>
    </xf>
    <xf numFmtId="164" fontId="9" fillId="0" borderId="2" xfId="41" applyFont="true" applyBorder="true" applyAlignment="true" applyProtection="true">
      <alignment horizontal="general" vertical="center" textRotation="0" wrapText="false" indent="0" shrinkToFit="false"/>
      <protection locked="true" hidden="false"/>
    </xf>
    <xf numFmtId="167" fontId="9" fillId="0" borderId="2" xfId="41" applyFont="true" applyBorder="true" applyAlignment="true" applyProtection="true">
      <alignment horizontal="center" vertical="center" textRotation="0" wrapText="false" indent="0" shrinkToFit="false"/>
      <protection locked="true" hidden="false"/>
    </xf>
    <xf numFmtId="169" fontId="0" fillId="18" borderId="0" xfId="0" applyFont="false" applyBorder="false" applyAlignment="true" applyProtection="false">
      <alignment horizontal="center" vertical="bottom" textRotation="0" wrapText="false" indent="0" shrinkToFit="false"/>
      <protection locked="true" hidden="false"/>
    </xf>
    <xf numFmtId="164" fontId="0" fillId="18" borderId="0" xfId="0" applyFont="false" applyBorder="false" applyAlignment="true" applyProtection="false">
      <alignment horizontal="center" vertical="center" textRotation="0" wrapText="true" indent="0" shrinkToFit="false"/>
      <protection locked="true" hidden="false"/>
    </xf>
    <xf numFmtId="167" fontId="0" fillId="18" borderId="0" xfId="0" applyFont="true" applyBorder="false" applyAlignment="true" applyProtection="false">
      <alignment horizontal="center" vertical="center" textRotation="0" wrapText="false" indent="0" shrinkToFit="false"/>
      <protection locked="true" hidden="false"/>
    </xf>
    <xf numFmtId="170" fontId="10" fillId="18" borderId="0" xfId="0" applyFont="true" applyBorder="false" applyAlignment="true" applyProtection="false">
      <alignment horizontal="center" vertical="center" textRotation="0" wrapText="false" indent="0" shrinkToFit="false"/>
      <protection locked="true" hidden="false"/>
    </xf>
    <xf numFmtId="167" fontId="0" fillId="18" borderId="0" xfId="0" applyFont="false" applyBorder="false" applyAlignment="true" applyProtection="false">
      <alignment horizontal="center" vertical="center" textRotation="0" wrapText="true" indent="0" shrinkToFit="false"/>
      <protection locked="true" hidden="false"/>
    </xf>
    <xf numFmtId="167" fontId="8" fillId="0" borderId="1" xfId="0" applyFont="true" applyBorder="true" applyAlignment="true" applyProtection="false">
      <alignment horizontal="center" vertical="center" textRotation="0" wrapText="true" indent="0" shrinkToFit="false"/>
      <protection locked="true" hidden="false"/>
    </xf>
    <xf numFmtId="167" fontId="8" fillId="0" borderId="2" xfId="0" applyFont="true" applyBorder="true" applyAlignment="true" applyProtection="false">
      <alignment horizontal="center" vertical="center" textRotation="0" wrapText="true" indent="0" shrinkToFit="false"/>
      <protection locked="true" hidden="false"/>
    </xf>
    <xf numFmtId="167" fontId="9" fillId="0" borderId="1" xfId="0" applyFont="true" applyBorder="true" applyAlignment="true" applyProtection="false">
      <alignment horizontal="center" vertical="center" textRotation="0" wrapText="true" indent="0" shrinkToFit="false"/>
      <protection locked="true" hidden="false"/>
    </xf>
    <xf numFmtId="167" fontId="10" fillId="0" borderId="2" xfId="0" applyFont="true" applyBorder="true" applyAlignment="true" applyProtection="false">
      <alignment horizontal="center" vertical="center" textRotation="0" wrapText="true" indent="0" shrinkToFit="false"/>
      <protection locked="true" hidden="false"/>
    </xf>
    <xf numFmtId="167" fontId="10" fillId="0" borderId="1" xfId="0" applyFont="true" applyBorder="true" applyAlignment="true" applyProtection="false">
      <alignment horizontal="center" vertical="center" textRotation="0" wrapText="true" indent="0" shrinkToFit="false"/>
      <protection locked="true" hidden="false"/>
    </xf>
    <xf numFmtId="167" fontId="0" fillId="11" borderId="2" xfId="0" applyFont="false" applyBorder="true" applyAlignment="true" applyProtection="false">
      <alignment horizontal="center" vertical="center" textRotation="0" wrapText="true" indent="0" shrinkToFit="false"/>
      <protection locked="true" hidden="false"/>
    </xf>
    <xf numFmtId="164" fontId="10" fillId="8" borderId="2" xfId="0" applyFont="true" applyBorder="true" applyAlignment="true" applyProtection="false">
      <alignment horizontal="center" vertical="center" textRotation="0" wrapText="false" indent="0" shrinkToFit="false"/>
      <protection locked="true" hidden="false"/>
    </xf>
    <xf numFmtId="167" fontId="10" fillId="0" borderId="0" xfId="0" applyFont="true" applyBorder="false" applyAlignment="true" applyProtection="false">
      <alignment horizontal="center" vertical="center" textRotation="0" wrapText="true" indent="0" shrinkToFit="false"/>
      <protection locked="true" hidden="false"/>
    </xf>
    <xf numFmtId="164" fontId="11" fillId="0" borderId="0" xfId="41" applyFont="false" applyBorder="false" applyAlignment="true" applyProtection="false">
      <alignment horizontal="center" vertical="bottom" textRotation="0" wrapText="false" indent="0" shrinkToFit="false"/>
      <protection locked="true" hidden="false"/>
    </xf>
    <xf numFmtId="164" fontId="11" fillId="0" borderId="0" xfId="41" applyFont="false" applyBorder="false" applyAlignment="true" applyProtection="false">
      <alignment horizontal="left" vertical="bottom" textRotation="0" wrapText="false" indent="0" shrinkToFit="false"/>
      <protection locked="true" hidden="false"/>
    </xf>
    <xf numFmtId="164" fontId="17" fillId="0" borderId="0" xfId="0" applyFont="true" applyBorder="false" applyAlignment="true" applyProtection="false">
      <alignment horizontal="center" vertical="bottom" textRotation="0" wrapText="true" indent="0" shrinkToFit="false"/>
      <protection locked="true" hidden="false"/>
    </xf>
    <xf numFmtId="167" fontId="11" fillId="0" borderId="0" xfId="0" applyFont="true" applyBorder="false" applyAlignment="true" applyProtection="false">
      <alignment horizontal="left" vertical="center" textRotation="0" wrapText="false" indent="0" shrinkToFit="false"/>
      <protection locked="true" hidden="false"/>
    </xf>
    <xf numFmtId="164" fontId="18" fillId="0" borderId="0" xfId="41" applyFont="true" applyBorder="false" applyAlignment="true" applyProtection="false">
      <alignment horizontal="center" vertical="bottom" textRotation="0" wrapText="false" indent="0" shrinkToFit="false"/>
      <protection locked="true" hidden="false"/>
    </xf>
    <xf numFmtId="164" fontId="17" fillId="0" borderId="0" xfId="0" applyFont="true" applyBorder="false" applyAlignment="true" applyProtection="false">
      <alignment horizontal="left" vertical="bottom" textRotation="0" wrapText="false" indent="0" shrinkToFit="false"/>
      <protection locked="true" hidden="false"/>
    </xf>
    <xf numFmtId="167" fontId="18" fillId="0" borderId="0" xfId="15" applyFont="true" applyBorder="true" applyAlignment="true" applyProtection="true">
      <alignment horizontal="center" vertical="bottom" textRotation="0" wrapText="false" indent="0" shrinkToFit="false"/>
      <protection locked="true" hidden="false"/>
    </xf>
    <xf numFmtId="169" fontId="0" fillId="19" borderId="0" xfId="0" applyFont="false" applyBorder="false" applyAlignment="true" applyProtection="false">
      <alignment horizontal="center" vertical="bottom" textRotation="0" wrapText="false" indent="0" shrinkToFit="false"/>
      <protection locked="true" hidden="false"/>
    </xf>
    <xf numFmtId="167" fontId="11" fillId="19" borderId="0" xfId="15" applyFont="true" applyBorder="true" applyAlignment="true" applyProtection="true">
      <alignment horizontal="center" vertical="bottom" textRotation="0" wrapText="false" indent="0" shrinkToFit="false"/>
      <protection locked="true" hidden="false"/>
    </xf>
    <xf numFmtId="164" fontId="0" fillId="19" borderId="0" xfId="0" applyFont="true" applyBorder="false" applyAlignment="true" applyProtection="false">
      <alignment horizontal="center" vertical="center" textRotation="0" wrapText="false" indent="0" shrinkToFit="false"/>
      <protection locked="true" hidden="false"/>
    </xf>
    <xf numFmtId="170" fontId="10" fillId="19" borderId="0" xfId="0" applyFont="true" applyBorder="false" applyAlignment="true" applyProtection="false">
      <alignment horizontal="center" vertical="center" textRotation="0" wrapText="false" indent="0" shrinkToFit="false"/>
      <protection locked="true" hidden="false"/>
    </xf>
    <xf numFmtId="167" fontId="0" fillId="19" borderId="0" xfId="0" applyFont="false" applyBorder="false" applyAlignment="true" applyProtection="false">
      <alignment horizontal="center" vertical="center" textRotation="0" wrapText="true" indent="0" shrinkToFit="false"/>
      <protection locked="true" hidden="false"/>
    </xf>
    <xf numFmtId="167" fontId="11" fillId="0" borderId="0" xfId="15" applyFont="true" applyBorder="true" applyAlignment="true" applyProtection="true">
      <alignment horizontal="center" vertical="bottom"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70" fontId="10" fillId="20" borderId="0" xfId="0" applyFont="true" applyBorder="false" applyAlignment="true" applyProtection="false">
      <alignment horizontal="center" vertical="center" textRotation="0" wrapText="false" indent="0" shrinkToFit="false"/>
      <protection locked="true" hidden="false"/>
    </xf>
    <xf numFmtId="167" fontId="0" fillId="21" borderId="0" xfId="0" applyFont="true" applyBorder="true" applyAlignment="true" applyProtection="false">
      <alignment horizontal="center" vertical="bottom" textRotation="0" wrapText="false" indent="0" shrinkToFit="false"/>
      <protection locked="true" hidden="false"/>
    </xf>
    <xf numFmtId="167" fontId="0" fillId="21" borderId="0" xfId="0" applyFont="false" applyBorder="true" applyAlignment="true" applyProtection="false">
      <alignment horizontal="center" vertical="bottom" textRotation="0" wrapText="false" indent="0" shrinkToFit="false"/>
      <protection locked="true" hidden="false"/>
    </xf>
    <xf numFmtId="167" fontId="0" fillId="0" borderId="0" xfId="0" applyFont="false" applyBorder="true" applyAlignment="true" applyProtection="false">
      <alignment horizontal="center" vertical="bottom" textRotation="0" wrapText="false" indent="0" shrinkToFit="false"/>
      <protection locked="true" hidden="false"/>
    </xf>
    <xf numFmtId="164" fontId="20" fillId="9" borderId="0" xfId="0" applyFont="true" applyBorder="false" applyAlignment="fals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center" vertical="center" textRotation="0" wrapText="false" indent="0" shrinkToFit="false"/>
      <protection locked="true" hidden="false"/>
    </xf>
    <xf numFmtId="167" fontId="21" fillId="0" borderId="2" xfId="0" applyFont="true" applyBorder="true" applyAlignment="true" applyProtection="false">
      <alignment horizontal="center" vertical="center" textRotation="0" wrapText="true" indent="0" shrinkToFit="false"/>
      <protection locked="true" hidden="false"/>
    </xf>
    <xf numFmtId="168" fontId="0" fillId="13" borderId="2" xfId="0" applyFont="true" applyBorder="true" applyAlignment="true" applyProtection="false">
      <alignment horizontal="center" vertical="center" textRotation="0" wrapText="true" indent="0" shrinkToFit="false"/>
      <protection locked="true" hidden="false"/>
    </xf>
    <xf numFmtId="164" fontId="0" fillId="8" borderId="2" xfId="0" applyFont="true" applyBorder="true" applyAlignment="true" applyProtection="false">
      <alignment horizontal="center" vertical="center" textRotation="0" wrapText="false" indent="0" shrinkToFit="false"/>
      <protection locked="true" hidden="false"/>
    </xf>
    <xf numFmtId="175" fontId="1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11" fillId="0" borderId="0" xfId="41" applyFont="false" applyBorder="false" applyAlignment="true" applyProtection="false">
      <alignment horizontal="right" vertical="bottom" textRotation="0" wrapText="false" indent="0" shrinkToFit="false"/>
      <protection locked="true" hidden="false"/>
    </xf>
    <xf numFmtId="170" fontId="10" fillId="22" borderId="0" xfId="0" applyFont="true" applyBorder="false" applyAlignment="true" applyProtection="false">
      <alignment horizontal="center" vertical="center" textRotation="0" wrapText="false" indent="0" shrinkToFit="false"/>
      <protection locked="true" hidden="false"/>
    </xf>
    <xf numFmtId="164" fontId="22" fillId="0" borderId="0" xfId="0" applyFont="true" applyBorder="false" applyAlignment="true" applyProtection="false">
      <alignment horizontal="general" vertical="center" textRotation="0" wrapText="false" indent="0" shrinkToFit="false"/>
      <protection locked="true" hidden="false"/>
    </xf>
    <xf numFmtId="167"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center" textRotation="0" wrapText="true" indent="0" shrinkToFit="false"/>
      <protection locked="true" hidden="false"/>
    </xf>
    <xf numFmtId="173" fontId="0" fillId="0" borderId="0" xfId="0" applyFont="false" applyBorder="false" applyAlignment="true" applyProtection="false">
      <alignment horizontal="right" vertical="center" textRotation="0" wrapText="true" indent="0" shrinkToFit="false"/>
      <protection locked="true" hidden="false"/>
    </xf>
    <xf numFmtId="164" fontId="23" fillId="0" borderId="0" xfId="0" applyFont="true" applyBorder="false" applyAlignment="true" applyProtection="false">
      <alignment horizontal="center" vertical="center" textRotation="0" wrapText="true" indent="0" shrinkToFit="false"/>
      <protection locked="true" hidden="false"/>
    </xf>
    <xf numFmtId="167" fontId="0" fillId="0" borderId="1" xfId="0" applyFont="true" applyBorder="true" applyAlignment="true" applyProtection="false">
      <alignment horizontal="center" vertical="center" textRotation="0" wrapText="tru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7" fontId="0" fillId="0" borderId="0" xfId="0" applyFont="true" applyBorder="false" applyAlignment="true" applyProtection="false">
      <alignment horizontal="left" vertical="center" textRotation="0" wrapText="true" indent="0" shrinkToFit="false"/>
      <protection locked="true" hidden="false"/>
    </xf>
    <xf numFmtId="164" fontId="24" fillId="0" borderId="0" xfId="0" applyFont="true" applyBorder="false" applyAlignment="true" applyProtection="false">
      <alignment horizontal="general" vertical="bottom" textRotation="0" wrapText="false" indent="0" shrinkToFit="false"/>
      <protection locked="true" hidden="false"/>
    </xf>
    <xf numFmtId="167" fontId="0" fillId="0" borderId="0" xfId="0" applyFont="false" applyBorder="false" applyAlignment="true" applyProtection="false">
      <alignment horizontal="left" vertical="center"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7" fontId="0" fillId="0" borderId="0" xfId="0" applyFont="false" applyBorder="true" applyAlignment="false" applyProtection="false">
      <alignment horizontal="general" vertical="bottom" textRotation="0" wrapText="false" indent="0" shrinkToFit="false"/>
      <protection locked="true" hidden="false"/>
    </xf>
    <xf numFmtId="167" fontId="9" fillId="0" borderId="0"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true" applyAlignment="true" applyProtection="false">
      <alignment horizontal="center"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7" fontId="0" fillId="0" borderId="10" xfId="0" applyFont="false" applyBorder="true" applyAlignment="false" applyProtection="false">
      <alignment horizontal="general" vertical="bottom" textRotation="0" wrapText="false" indent="0" shrinkToFit="false"/>
      <protection locked="true" hidden="false"/>
    </xf>
    <xf numFmtId="167" fontId="9" fillId="23" borderId="11" xfId="0" applyFont="true" applyBorder="true" applyAlignment="false" applyProtection="false">
      <alignment horizontal="general" vertical="bottom" textRotation="0" wrapText="false" indent="0" shrinkToFit="false"/>
      <protection locked="true" hidden="false"/>
    </xf>
    <xf numFmtId="167" fontId="0" fillId="0" borderId="12" xfId="0" applyFont="false" applyBorder="true" applyAlignment="false" applyProtection="false">
      <alignment horizontal="general" vertical="bottom" textRotation="0" wrapText="false" indent="0" shrinkToFit="false"/>
      <protection locked="true" hidden="false"/>
    </xf>
    <xf numFmtId="167" fontId="9" fillId="23" borderId="13" xfId="0" applyFont="true" applyBorder="true" applyAlignment="false" applyProtection="false">
      <alignment horizontal="general" vertical="bottom" textRotation="0" wrapText="false" indent="0" shrinkToFit="false"/>
      <protection locked="true" hidden="false"/>
    </xf>
    <xf numFmtId="167" fontId="9" fillId="24" borderId="0" xfId="0" applyFont="true" applyBorder="false" applyAlignment="true" applyProtection="false">
      <alignment horizontal="center" vertical="center" textRotation="0" wrapText="true" indent="0" shrinkToFit="false"/>
      <protection locked="true" hidden="false"/>
    </xf>
    <xf numFmtId="167" fontId="9" fillId="0" borderId="14" xfId="0" applyFont="true" applyBorder="true" applyAlignment="false" applyProtection="false">
      <alignment horizontal="general" vertical="bottom" textRotation="0" wrapText="false" indent="0" shrinkToFit="false"/>
      <protection locked="true" hidden="false"/>
    </xf>
    <xf numFmtId="167" fontId="9" fillId="23" borderId="15" xfId="0" applyFont="true" applyBorder="true" applyAlignment="false" applyProtection="false">
      <alignment horizontal="general" vertical="bottom" textRotation="0" wrapText="false" indent="0" shrinkToFit="false"/>
      <protection locked="true" hidden="false"/>
    </xf>
    <xf numFmtId="164" fontId="9" fillId="0" borderId="15" xfId="0" applyFont="true" applyBorder="true" applyAlignment="true" applyProtection="false">
      <alignment horizontal="center" vertical="bottom" textRotation="0" wrapText="false" indent="0" shrinkToFit="false"/>
      <protection locked="true" hidden="false"/>
    </xf>
    <xf numFmtId="164" fontId="9" fillId="25" borderId="16" xfId="0" applyFont="true" applyBorder="true" applyAlignment="true" applyProtection="false">
      <alignment horizontal="center" vertical="bottom" textRotation="0" wrapText="false" indent="0" shrinkToFit="false"/>
      <protection locked="true" hidden="false"/>
    </xf>
    <xf numFmtId="167" fontId="9" fillId="25" borderId="11" xfId="0" applyFont="true" applyBorder="true" applyAlignment="false" applyProtection="false">
      <alignment horizontal="general" vertical="bottom" textRotation="0" wrapText="false" indent="0" shrinkToFit="false"/>
      <protection locked="true" hidden="false"/>
    </xf>
    <xf numFmtId="167" fontId="9" fillId="26" borderId="0" xfId="0" applyFont="true" applyBorder="false" applyAlignment="true" applyProtection="false">
      <alignment horizontal="center" vertical="center" textRotation="0" wrapText="true" indent="0" shrinkToFit="false"/>
      <protection locked="true" hidden="false"/>
    </xf>
    <xf numFmtId="167" fontId="9" fillId="25" borderId="13" xfId="0" applyFont="true" applyBorder="true" applyAlignment="false" applyProtection="false">
      <alignment horizontal="general" vertical="bottom" textRotation="0" wrapText="false" indent="0" shrinkToFit="false"/>
      <protection locked="true" hidden="false"/>
    </xf>
    <xf numFmtId="167" fontId="9" fillId="25" borderId="15" xfId="0" applyFont="true" applyBorder="true" applyAlignment="false" applyProtection="false">
      <alignment horizontal="general" vertical="bottom" textRotation="0" wrapText="false" indent="0" shrinkToFit="false"/>
      <protection locked="true" hidden="false"/>
    </xf>
    <xf numFmtId="167" fontId="0" fillId="21" borderId="0" xfId="0" applyFont="false" applyBorder="false" applyAlignment="true" applyProtection="false">
      <alignment horizontal="center" vertical="center" textRotation="0" wrapText="true" indent="0" shrinkToFit="false"/>
      <protection locked="true" hidden="false"/>
    </xf>
    <xf numFmtId="169" fontId="0" fillId="27" borderId="0" xfId="0" applyFont="false" applyBorder="false" applyAlignment="true" applyProtection="false">
      <alignment horizontal="center" vertical="bottom" textRotation="0" wrapText="false" indent="0" shrinkToFit="false"/>
      <protection locked="true" hidden="false"/>
    </xf>
    <xf numFmtId="167" fontId="0" fillId="27" borderId="0" xfId="0" applyFont="false" applyBorder="false" applyAlignment="true" applyProtection="false">
      <alignment horizontal="center" vertical="center" textRotation="0" wrapText="true" indent="0" shrinkToFit="false"/>
      <protection locked="true" hidden="false"/>
    </xf>
    <xf numFmtId="164" fontId="0" fillId="27" borderId="0" xfId="0" applyFont="true" applyBorder="false" applyAlignment="true" applyProtection="false">
      <alignment horizontal="center" vertical="center" textRotation="0" wrapText="false" indent="0" shrinkToFit="false"/>
      <protection locked="true" hidden="false"/>
    </xf>
    <xf numFmtId="170" fontId="10" fillId="27" borderId="0" xfId="0" applyFont="true" applyBorder="false" applyAlignment="true" applyProtection="false">
      <alignment horizontal="center" vertical="center" textRotation="0" wrapText="false" indent="0" shrinkToFit="false"/>
      <protection locked="true" hidden="false"/>
    </xf>
    <xf numFmtId="167" fontId="0" fillId="0" borderId="0" xfId="0" applyFont="true" applyBorder="true" applyAlignment="true" applyProtection="false">
      <alignment horizontal="center" vertical="bottom" textRotation="0" wrapText="false" indent="0" shrinkToFit="false"/>
      <protection locked="true" hidden="false"/>
    </xf>
    <xf numFmtId="167" fontId="0" fillId="0" borderId="2" xfId="0" applyFont="false" applyBorder="true" applyAlignment="true" applyProtection="false">
      <alignment horizontal="center" vertical="bottom" textRotation="0" wrapText="false" indent="0" shrinkToFit="false"/>
      <protection locked="true" hidden="false"/>
    </xf>
    <xf numFmtId="164" fontId="25"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false">
      <alignment horizontal="center" vertical="bottom" textRotation="0" wrapText="false" indent="0" shrinkToFit="false"/>
      <protection locked="true" hidden="false"/>
    </xf>
    <xf numFmtId="164" fontId="0" fillId="28" borderId="0" xfId="0" applyFont="false" applyBorder="false" applyAlignment="true" applyProtection="false">
      <alignment horizontal="center" vertical="center" textRotation="0" wrapText="true" indent="0" shrinkToFit="false"/>
      <protection locked="true" hidden="false"/>
    </xf>
    <xf numFmtId="169" fontId="0" fillId="28" borderId="0" xfId="0" applyFont="false" applyBorder="false" applyAlignment="true" applyProtection="false">
      <alignment horizontal="center" vertical="bottom" textRotation="0" wrapText="false" indent="0" shrinkToFit="false"/>
      <protection locked="true" hidden="false"/>
    </xf>
    <xf numFmtId="167" fontId="0" fillId="28" borderId="0" xfId="0" applyFont="false" applyBorder="false" applyAlignment="true" applyProtection="false">
      <alignment horizontal="center" vertical="bottom" textRotation="0" wrapText="false" indent="0" shrinkToFit="false"/>
      <protection locked="true" hidden="false"/>
    </xf>
    <xf numFmtId="167" fontId="0" fillId="28" borderId="0" xfId="0" applyFont="true" applyBorder="false" applyAlignment="true" applyProtection="false">
      <alignment horizontal="center" vertical="center" textRotation="0" wrapText="false" indent="0" shrinkToFit="false"/>
      <protection locked="true" hidden="false"/>
    </xf>
    <xf numFmtId="170" fontId="10" fillId="28" borderId="0" xfId="0" applyFont="true" applyBorder="false" applyAlignment="true" applyProtection="false">
      <alignment horizontal="center" vertical="center" textRotation="0" wrapText="false" indent="0" shrinkToFit="false"/>
      <protection locked="true" hidden="false"/>
    </xf>
    <xf numFmtId="167" fontId="10" fillId="0" borderId="0" xfId="0" applyFont="true" applyBorder="false" applyAlignment="true" applyProtection="false">
      <alignment horizontal="center" vertical="center" textRotation="0" wrapText="false" indent="0" shrinkToFit="false"/>
      <protection locked="true" hidden="false"/>
    </xf>
    <xf numFmtId="169" fontId="0" fillId="16" borderId="17" xfId="0" applyFont="false" applyBorder="true" applyAlignment="true" applyProtection="false">
      <alignment horizontal="center" vertical="bottom" textRotation="0" wrapText="false" indent="0" shrinkToFit="false"/>
      <protection locked="true" hidden="false"/>
    </xf>
    <xf numFmtId="167" fontId="9" fillId="12" borderId="2" xfId="0" applyFont="true" applyBorder="true" applyAlignment="true" applyProtection="false">
      <alignment horizontal="center" vertical="center" textRotation="0" wrapText="tru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29" fillId="0" borderId="0" xfId="0" applyFont="true" applyBorder="false" applyAlignment="true" applyProtection="false">
      <alignment horizontal="left" vertical="center" textRotation="0" wrapText="false" indent="0" shrinkToFit="false"/>
      <protection locked="true" hidden="false"/>
    </xf>
    <xf numFmtId="167" fontId="10" fillId="0" borderId="0" xfId="0" applyFont="true" applyBorder="false" applyAlignment="true" applyProtection="false">
      <alignment horizontal="general" vertical="center" textRotation="0" wrapText="false" indent="0" shrinkToFit="false"/>
      <protection locked="true" hidden="false"/>
    </xf>
    <xf numFmtId="175" fontId="0" fillId="0" borderId="0" xfId="0" applyFont="fals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75" fontId="0" fillId="0" borderId="0" xfId="0" applyFont="false" applyBorder="tru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general" vertical="center" textRotation="0" wrapText="false" indent="0" shrinkToFit="false"/>
      <protection locked="true" hidden="false"/>
    </xf>
    <xf numFmtId="167" fontId="30" fillId="0" borderId="9" xfId="28" applyFont="true" applyBorder="true" applyAlignment="true" applyProtection="false">
      <alignment horizontal="right" vertical="center" textRotation="0" wrapText="false" indent="0" shrinkToFit="false"/>
      <protection locked="true" hidden="false"/>
    </xf>
    <xf numFmtId="164" fontId="16" fillId="0" borderId="0" xfId="0" applyFont="true" applyBorder="false" applyAlignment="true" applyProtection="false">
      <alignment horizontal="general" vertical="center" textRotation="0" wrapText="false" indent="0" shrinkToFit="false"/>
      <protection locked="true" hidden="false"/>
    </xf>
    <xf numFmtId="175" fontId="13" fillId="0" borderId="0" xfId="0" applyFont="true" applyBorder="false" applyAlignment="true" applyProtection="false">
      <alignment horizontal="center" vertical="center" textRotation="0" wrapText="false" indent="0" shrinkToFit="false"/>
      <protection locked="true" hidden="false"/>
    </xf>
    <xf numFmtId="167" fontId="0" fillId="13" borderId="0" xfId="0" applyFont="true" applyBorder="false" applyAlignment="true" applyProtection="false">
      <alignment horizontal="center" vertical="center" textRotation="0" wrapText="false" indent="0" shrinkToFit="false"/>
      <protection locked="true" hidden="false"/>
    </xf>
    <xf numFmtId="170" fontId="10" fillId="29" borderId="0" xfId="0" applyFont="true" applyBorder="false" applyAlignment="true" applyProtection="false">
      <alignment horizontal="center" vertical="center" textRotation="0" wrapText="false" indent="0" shrinkToFit="false"/>
      <protection locked="true" hidden="false"/>
    </xf>
    <xf numFmtId="167" fontId="0" fillId="29" borderId="0" xfId="0" applyFont="false" applyBorder="false" applyAlignment="true" applyProtection="false">
      <alignment horizontal="center" vertical="center" textRotation="0" wrapText="false" indent="0" shrinkToFit="false"/>
      <protection locked="true" hidden="false"/>
    </xf>
    <xf numFmtId="167" fontId="0" fillId="29" borderId="0" xfId="0" applyFont="true" applyBorder="false" applyAlignment="true" applyProtection="false">
      <alignment horizontal="center" vertical="center" textRotation="0" wrapText="false" indent="0" shrinkToFit="false"/>
      <protection locked="true" hidden="false"/>
    </xf>
    <xf numFmtId="164" fontId="13" fillId="9" borderId="0" xfId="0" applyFont="true" applyBorder="false" applyAlignment="true" applyProtection="false">
      <alignment horizontal="general" vertical="center" textRotation="0" wrapText="false" indent="0" shrinkToFit="false"/>
      <protection locked="true" hidden="false"/>
    </xf>
    <xf numFmtId="164" fontId="31" fillId="9" borderId="0" xfId="0" applyFont="true" applyBorder="false" applyAlignment="true" applyProtection="false">
      <alignment horizontal="general" vertical="top" textRotation="0" wrapText="true" indent="0" shrinkToFit="false"/>
      <protection locked="true" hidden="false"/>
    </xf>
    <xf numFmtId="164" fontId="9" fillId="9" borderId="0" xfId="0" applyFont="true" applyBorder="false" applyAlignment="false" applyProtection="false">
      <alignment horizontal="general" vertical="bottom" textRotation="0" wrapText="false" indent="0" shrinkToFit="false"/>
      <protection locked="true" hidden="false"/>
    </xf>
    <xf numFmtId="164" fontId="31" fillId="9" borderId="0" xfId="0" applyFont="true" applyBorder="false" applyAlignment="true" applyProtection="false">
      <alignment horizontal="center" vertical="top" textRotation="0" wrapText="true" indent="0" shrinkToFit="false"/>
      <protection locked="true" hidden="false"/>
    </xf>
    <xf numFmtId="164" fontId="32" fillId="9" borderId="0" xfId="0" applyFont="true" applyBorder="false" applyAlignment="true" applyProtection="false">
      <alignment horizontal="general" vertical="center" textRotation="0" wrapText="false" indent="0" shrinkToFit="false"/>
      <protection locked="true" hidden="false"/>
    </xf>
    <xf numFmtId="164" fontId="14" fillId="9" borderId="0" xfId="0" applyFont="true" applyBorder="false" applyAlignment="true" applyProtection="false">
      <alignment horizontal="center" vertical="center" textRotation="0" wrapText="true" indent="0" shrinkToFit="false"/>
      <protection locked="true" hidden="false"/>
    </xf>
    <xf numFmtId="164" fontId="14" fillId="9" borderId="0" xfId="0" applyFont="true" applyBorder="false" applyAlignment="false" applyProtection="false">
      <alignment horizontal="general" vertical="bottom" textRotation="0" wrapText="false" indent="0" shrinkToFit="false"/>
      <protection locked="true" hidden="false"/>
    </xf>
    <xf numFmtId="164" fontId="9" fillId="9" borderId="0" xfId="0" applyFont="true" applyBorder="true" applyAlignment="true" applyProtection="false">
      <alignment horizontal="center" vertical="center" textRotation="0" wrapText="true" indent="0" shrinkToFit="false"/>
      <protection locked="true" hidden="false"/>
    </xf>
    <xf numFmtId="164" fontId="0" fillId="9" borderId="0" xfId="0" applyFont="false" applyBorder="false" applyAlignment="true" applyProtection="false">
      <alignment horizontal="center" vertical="center" textRotation="0" wrapText="true" indent="0" shrinkToFit="false"/>
      <protection locked="true" hidden="false"/>
    </xf>
    <xf numFmtId="164" fontId="0" fillId="9" borderId="0" xfId="0" applyFont="false" applyBorder="false" applyAlignment="false" applyProtection="false">
      <alignment horizontal="general" vertical="bottom" textRotation="0" wrapText="false" indent="0" shrinkToFit="false"/>
      <protection locked="true" hidden="false"/>
    </xf>
    <xf numFmtId="167" fontId="9" fillId="0" borderId="0" xfId="0" applyFont="true" applyBorder="false" applyAlignment="true" applyProtection="false">
      <alignment horizontal="center" vertical="center" textRotation="0" wrapText="false" indent="0" shrinkToFit="false"/>
      <protection locked="true" hidden="false"/>
    </xf>
    <xf numFmtId="164" fontId="30" fillId="0" borderId="0" xfId="0" applyFont="true" applyBorder="false" applyAlignment="true" applyProtection="false">
      <alignment horizontal="general" vertical="bottom" textRotation="0" wrapText="true" indent="0" shrinkToFit="false"/>
      <protection locked="true" hidden="false"/>
    </xf>
    <xf numFmtId="164" fontId="0" fillId="9" borderId="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bottom" textRotation="0" wrapText="true" indent="0" shrinkToFit="false"/>
      <protection locked="true" hidden="false"/>
    </xf>
    <xf numFmtId="164" fontId="10"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4" fontId="16" fillId="0" borderId="0" xfId="0" applyFont="true" applyBorder="false" applyAlignment="true" applyProtection="false">
      <alignment horizontal="left" vertical="bottom" textRotation="0" wrapText="false" indent="0" shrinkToFit="false"/>
      <protection locked="true" hidden="false"/>
    </xf>
    <xf numFmtId="164" fontId="0" fillId="30" borderId="0" xfId="0" applyFont="false" applyBorder="false" applyAlignment="false" applyProtection="false">
      <alignment horizontal="general" vertical="bottom" textRotation="0" wrapText="false" indent="0" shrinkToFit="false"/>
      <protection locked="true" hidden="false"/>
    </xf>
    <xf numFmtId="169" fontId="0" fillId="30" borderId="0" xfId="0" applyFont="false" applyBorder="false" applyAlignment="true" applyProtection="false">
      <alignment horizontal="center" vertical="bottom" textRotation="0" wrapText="false" indent="0" shrinkToFit="false"/>
      <protection locked="true" hidden="false"/>
    </xf>
    <xf numFmtId="167" fontId="0" fillId="30" borderId="3" xfId="0" applyFont="false" applyBorder="true" applyAlignment="true" applyProtection="false">
      <alignment horizontal="center" vertical="bottom" textRotation="0" wrapText="false" indent="0" shrinkToFit="false"/>
      <protection locked="true" hidden="false"/>
    </xf>
    <xf numFmtId="164" fontId="0" fillId="30" borderId="0" xfId="0" applyFont="true" applyBorder="false" applyAlignment="true" applyProtection="false">
      <alignment horizontal="center" vertical="center" textRotation="0" wrapText="true" indent="0" shrinkToFit="false"/>
      <protection locked="true" hidden="false"/>
    </xf>
    <xf numFmtId="170" fontId="10" fillId="30" borderId="0" xfId="0" applyFont="true" applyBorder="false" applyAlignment="true" applyProtection="false">
      <alignment horizontal="center" vertical="center" textRotation="0" wrapText="false" indent="0" shrinkToFit="false"/>
      <protection locked="true" hidden="false"/>
    </xf>
    <xf numFmtId="167" fontId="0" fillId="30" borderId="0" xfId="0" applyFont="false" applyBorder="fals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left" vertical="center" textRotation="0" wrapText="false" indent="0" shrinkToFit="false"/>
      <protection locked="true" hidden="false"/>
    </xf>
    <xf numFmtId="167" fontId="0" fillId="0" borderId="3" xfId="0" applyFont="false" applyBorder="true" applyAlignment="true" applyProtection="false">
      <alignment horizontal="center" vertical="bottom" textRotation="0" wrapText="false" indent="0" shrinkToFit="false"/>
      <protection locked="true" hidden="false"/>
    </xf>
    <xf numFmtId="164" fontId="0" fillId="0" borderId="3" xfId="0" applyFont="true" applyBorder="true" applyAlignment="true" applyProtection="false">
      <alignment horizontal="general" vertical="center" textRotation="0" wrapText="false" indent="0" shrinkToFit="false"/>
      <protection locked="true" hidden="false"/>
    </xf>
    <xf numFmtId="164" fontId="0" fillId="0" borderId="3" xfId="0" applyFont="false" applyBorder="true" applyAlignment="true" applyProtection="false">
      <alignment horizontal="center" vertical="center" textRotation="0" wrapText="false" indent="0" shrinkToFit="false"/>
      <protection locked="true" hidden="false"/>
    </xf>
    <xf numFmtId="167" fontId="23" fillId="0" borderId="2" xfId="0" applyFont="true" applyBorder="true" applyAlignment="true" applyProtection="false">
      <alignment horizontal="center" vertical="center" textRotation="0" wrapText="true" indent="0" shrinkToFit="false"/>
      <protection locked="true" hidden="false"/>
    </xf>
    <xf numFmtId="167" fontId="0" fillId="21"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7" fontId="0" fillId="31" borderId="0" xfId="0" applyFont="false" applyBorder="false" applyAlignment="true" applyProtection="false">
      <alignment horizontal="center" vertical="bottom" textRotation="0" wrapText="false" indent="0" shrinkToFit="false"/>
      <protection locked="true" hidden="false"/>
    </xf>
    <xf numFmtId="164" fontId="0" fillId="31" borderId="0" xfId="0" applyFont="true" applyBorder="false" applyAlignment="true" applyProtection="false">
      <alignment horizontal="center" vertical="center" textRotation="0" wrapText="false" indent="0" shrinkToFit="false"/>
      <protection locked="true" hidden="false"/>
    </xf>
    <xf numFmtId="170" fontId="10" fillId="31" borderId="0" xfId="0" applyFont="true" applyBorder="false" applyAlignment="true" applyProtection="false">
      <alignment horizontal="center" vertical="center" textRotation="0" wrapText="false" indent="0" shrinkToFit="false"/>
      <protection locked="true" hidden="false"/>
    </xf>
    <xf numFmtId="167" fontId="0" fillId="31" borderId="0" xfId="0" applyFont="false" applyBorder="false" applyAlignment="true" applyProtection="false">
      <alignment horizontal="center" vertical="center" textRotation="0" wrapText="false" indent="0" shrinkToFit="false"/>
      <protection locked="true" hidden="false"/>
    </xf>
    <xf numFmtId="167" fontId="0" fillId="0" borderId="3" xfId="0" applyFont="true" applyBorder="true" applyAlignment="true" applyProtection="false">
      <alignment horizontal="center" vertical="bottom" textRotation="0" wrapText="false" indent="0" shrinkToFit="false"/>
      <protection locked="true" hidden="false"/>
    </xf>
    <xf numFmtId="167" fontId="0" fillId="13" borderId="0" xfId="0" applyFont="false" applyBorder="false" applyAlignment="true" applyProtection="false">
      <alignment horizontal="center" vertical="center" textRotation="0" wrapText="false" indent="0" shrinkToFit="false"/>
      <protection locked="true" hidden="false"/>
    </xf>
    <xf numFmtId="169" fontId="0" fillId="20" borderId="0" xfId="0" applyFont="false" applyBorder="false" applyAlignment="true" applyProtection="false">
      <alignment horizontal="center" vertical="bottom" textRotation="0" wrapText="false" indent="0" shrinkToFit="false"/>
      <protection locked="true" hidden="false"/>
    </xf>
    <xf numFmtId="164" fontId="0" fillId="20" borderId="0" xfId="0" applyFont="false" applyBorder="false" applyAlignment="true" applyProtection="false">
      <alignment horizontal="center" vertical="center" textRotation="0" wrapText="true" indent="0" shrinkToFit="false"/>
      <protection locked="true" hidden="false"/>
    </xf>
    <xf numFmtId="164" fontId="0" fillId="20" borderId="0" xfId="0" applyFont="true" applyBorder="false" applyAlignment="true" applyProtection="false">
      <alignment horizontal="center" vertical="bottom" textRotation="0" wrapText="false" indent="0" shrinkToFit="false"/>
      <protection locked="true" hidden="false"/>
    </xf>
    <xf numFmtId="167" fontId="0" fillId="20" borderId="0" xfId="0" applyFont="false" applyBorder="false" applyAlignment="true" applyProtection="false">
      <alignment horizontal="center" vertical="center" textRotation="0" wrapText="false" indent="0" shrinkToFit="false"/>
      <protection locked="true" hidden="false"/>
    </xf>
    <xf numFmtId="164" fontId="0" fillId="28" borderId="0" xfId="0" applyFont="true" applyBorder="false" applyAlignment="true" applyProtection="false">
      <alignment horizontal="center" vertical="bottom" textRotation="0" wrapText="false" indent="0" shrinkToFit="false"/>
      <protection locked="true" hidden="false"/>
    </xf>
    <xf numFmtId="164" fontId="30" fillId="23" borderId="0" xfId="0" applyFont="true" applyBorder="false" applyAlignment="true" applyProtection="false">
      <alignment horizontal="general" vertical="bottom" textRotation="0" wrapText="false" indent="0" shrinkToFit="false"/>
      <protection locked="true" hidden="false"/>
    </xf>
    <xf numFmtId="164" fontId="0" fillId="23" borderId="0" xfId="0" applyFont="false" applyBorder="false" applyAlignment="true" applyProtection="false">
      <alignment horizontal="center" vertical="center" textRotation="0" wrapText="true" indent="0" shrinkToFit="false"/>
      <protection locked="true" hidden="false"/>
    </xf>
    <xf numFmtId="167" fontId="13" fillId="0" borderId="0" xfId="0" applyFont="true" applyBorder="false" applyAlignment="true" applyProtection="false">
      <alignment horizontal="general" vertical="bottom" textRotation="0" wrapText="false" indent="0" shrinkToFit="false"/>
      <protection locked="true" hidden="false"/>
    </xf>
    <xf numFmtId="167" fontId="16" fillId="0" borderId="0" xfId="0" applyFont="true" applyBorder="false" applyAlignment="true" applyProtection="false">
      <alignment horizontal="general" vertical="bottom" textRotation="0" wrapText="false" indent="0" shrinkToFit="false"/>
      <protection locked="true" hidden="false"/>
    </xf>
    <xf numFmtId="164" fontId="34" fillId="0" borderId="0" xfId="0" applyFont="true" applyBorder="false" applyAlignment="true" applyProtection="false">
      <alignment horizontal="center" vertical="bottom" textRotation="0" wrapText="false" indent="0" shrinkToFit="false"/>
      <protection locked="true" hidden="false"/>
    </xf>
    <xf numFmtId="167" fontId="0" fillId="9" borderId="0" xfId="0" applyFont="false" applyBorder="false" applyAlignment="true" applyProtection="false">
      <alignment horizontal="center" vertical="center" textRotation="0" wrapText="false" indent="0" shrinkToFit="false"/>
      <protection locked="true" hidden="false"/>
    </xf>
    <xf numFmtId="164" fontId="0" fillId="13" borderId="0" xfId="0" applyFont="false" applyBorder="false" applyAlignment="true" applyProtection="false">
      <alignment horizontal="center" vertical="center" textRotation="0" wrapText="false" indent="0" shrinkToFit="false"/>
      <protection locked="true" hidden="false"/>
    </xf>
    <xf numFmtId="167" fontId="10" fillId="0" borderId="0" xfId="0" applyFont="true" applyBorder="false" applyAlignment="true" applyProtection="false">
      <alignment horizontal="left" vertical="bottom" textRotation="0" wrapText="false" indent="0" shrinkToFit="false"/>
      <protection locked="true" hidden="false"/>
    </xf>
    <xf numFmtId="164" fontId="35" fillId="0" borderId="0" xfId="0" applyFont="true" applyBorder="false" applyAlignment="true" applyProtection="false">
      <alignment horizontal="left" vertical="center" textRotation="0" wrapText="false" indent="0" shrinkToFit="false"/>
      <protection locked="true" hidden="false"/>
    </xf>
    <xf numFmtId="164" fontId="36" fillId="0" borderId="0" xfId="0" applyFont="true" applyBorder="false" applyAlignment="true" applyProtection="false">
      <alignment horizontal="left" vertical="center" textRotation="0" wrapText="false" indent="0" shrinkToFit="false"/>
      <protection locked="true" hidden="false"/>
    </xf>
    <xf numFmtId="164" fontId="0" fillId="20" borderId="0" xfId="0" applyFont="false" applyBorder="false" applyAlignment="false" applyProtection="false">
      <alignment horizontal="general" vertical="bottom" textRotation="0" wrapText="false" indent="0" shrinkToFit="false"/>
      <protection locked="true" hidden="false"/>
    </xf>
    <xf numFmtId="164" fontId="0" fillId="20" borderId="0" xfId="0" applyFont="false" applyBorder="false" applyAlignment="true" applyProtection="false">
      <alignment horizontal="center" vertical="center" textRotation="0" wrapText="false" indent="0" shrinkToFit="false"/>
      <protection locked="true" hidden="false"/>
    </xf>
    <xf numFmtId="164" fontId="0" fillId="20" borderId="0" xfId="0" applyFont="true" applyBorder="false" applyAlignment="true" applyProtection="false">
      <alignment horizontal="center" vertical="center" textRotation="0" wrapText="false" indent="0" shrinkToFit="false"/>
      <protection locked="true" hidden="false"/>
    </xf>
    <xf numFmtId="164" fontId="20" fillId="0" borderId="0" xfId="0" applyFont="true" applyBorder="false" applyAlignment="true" applyProtection="false">
      <alignment horizontal="left" vertical="bottom" textRotation="0" wrapText="false" indent="0" shrinkToFit="false"/>
      <protection locked="true" hidden="false"/>
    </xf>
    <xf numFmtId="164" fontId="37" fillId="0" borderId="0" xfId="0" applyFont="true" applyBorder="false" applyAlignment="true" applyProtection="false">
      <alignment horizontal="left" vertical="bottom" textRotation="0" wrapText="false" indent="0" shrinkToFit="false"/>
      <protection locked="true" hidden="false"/>
    </xf>
    <xf numFmtId="164" fontId="30" fillId="9" borderId="0" xfId="0" applyFont="true" applyBorder="false" applyAlignment="true" applyProtection="false">
      <alignment horizontal="general" vertical="bottom" textRotation="0" wrapText="false" indent="0" shrinkToFit="false"/>
      <protection locked="true" hidden="false"/>
    </xf>
    <xf numFmtId="167" fontId="0" fillId="13"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right" vertical="center" textRotation="0" wrapText="false" indent="0" shrinkToFit="false"/>
      <protection locked="true" hidden="false"/>
    </xf>
    <xf numFmtId="164" fontId="0" fillId="0" borderId="0" xfId="0"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center" vertical="top" textRotation="0" wrapText="false" indent="0" shrinkToFit="false"/>
      <protection locked="true" hidden="false"/>
    </xf>
    <xf numFmtId="164" fontId="30" fillId="0" borderId="0" xfId="0" applyFont="true" applyBorder="false" applyAlignment="true" applyProtection="false">
      <alignment horizontal="general" vertical="top" textRotation="0" wrapText="false" indent="0" shrinkToFit="false"/>
      <protection locked="true" hidden="false"/>
    </xf>
    <xf numFmtId="176" fontId="0" fillId="0"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76" fontId="9" fillId="0" borderId="2" xfId="0" applyFont="true" applyBorder="true" applyAlignment="true" applyProtection="false">
      <alignment horizontal="center" vertical="center" textRotation="0" wrapText="true" indent="0" shrinkToFit="false"/>
      <protection locked="true" hidden="false"/>
    </xf>
    <xf numFmtId="173" fontId="0" fillId="0" borderId="2" xfId="0" applyFont="true" applyBorder="true" applyAlignment="true" applyProtection="false">
      <alignment horizontal="center" vertical="center" textRotation="0" wrapText="true" indent="0" shrinkToFit="false"/>
      <protection locked="true" hidden="false"/>
    </xf>
    <xf numFmtId="176" fontId="0" fillId="0" borderId="2" xfId="0" applyFont="true" applyBorder="true" applyAlignment="true" applyProtection="false">
      <alignment horizontal="center" vertical="center" textRotation="0" wrapText="false" indent="0" shrinkToFit="false"/>
      <protection locked="true" hidden="false"/>
    </xf>
    <xf numFmtId="167" fontId="0" fillId="0" borderId="0" xfId="0" applyFont="true" applyBorder="false" applyAlignment="true" applyProtection="false">
      <alignment horizontal="left" vertical="center" textRotation="0" wrapText="false" indent="0" shrinkToFit="false"/>
      <protection locked="true" hidden="false"/>
    </xf>
    <xf numFmtId="164" fontId="39" fillId="0" borderId="0" xfId="0" applyFont="true" applyBorder="false" applyAlignment="false" applyProtection="false">
      <alignment horizontal="general" vertical="bottom" textRotation="0" wrapText="false" indent="0" shrinkToFit="false"/>
      <protection locked="true" hidden="false"/>
    </xf>
    <xf numFmtId="173" fontId="14" fillId="0" borderId="0" xfId="0" applyFont="true" applyBorder="false" applyAlignment="true" applyProtection="false">
      <alignment horizontal="right" vertical="center" textRotation="0" wrapText="true" indent="0" shrinkToFit="false"/>
      <protection locked="true" hidden="false"/>
    </xf>
    <xf numFmtId="173" fontId="14" fillId="0" borderId="0" xfId="0" applyFont="true" applyBorder="false" applyAlignment="true" applyProtection="false">
      <alignment horizontal="right" vertical="bottom" textRotation="0" wrapText="false" indent="0" shrinkToFit="false"/>
      <protection locked="true" hidden="false"/>
    </xf>
    <xf numFmtId="173" fontId="0" fillId="0" borderId="0" xfId="0" applyFont="false" applyBorder="false" applyAlignment="true" applyProtection="false">
      <alignment horizontal="right" vertical="bottom" textRotation="0" wrapText="false" indent="0" shrinkToFit="false"/>
      <protection locked="true" hidden="false"/>
    </xf>
    <xf numFmtId="164" fontId="10" fillId="9" borderId="0" xfId="0" applyFont="true" applyBorder="false" applyAlignment="true" applyProtection="false">
      <alignment horizontal="general" vertical="bottom" textRotation="0" wrapText="false" indent="0" shrinkToFit="false"/>
      <protection locked="true" hidden="false"/>
    </xf>
    <xf numFmtId="164" fontId="0" fillId="17" borderId="0" xfId="0" applyFont="false" applyBorder="false" applyAlignment="false" applyProtection="false">
      <alignment horizontal="general" vertical="bottom" textRotation="0" wrapText="false" indent="0" shrinkToFit="false"/>
      <protection locked="true" hidden="false"/>
    </xf>
    <xf numFmtId="169" fontId="0" fillId="17" borderId="0" xfId="0" applyFont="false" applyBorder="false" applyAlignment="true" applyProtection="false">
      <alignment horizontal="center" vertical="bottom" textRotation="0" wrapText="false" indent="0" shrinkToFit="false"/>
      <protection locked="true" hidden="false"/>
    </xf>
    <xf numFmtId="167" fontId="0" fillId="0" borderId="2" xfId="0" applyFont="true" applyBorder="true" applyAlignment="true" applyProtection="false">
      <alignment horizontal="center" vertical="top" textRotation="0" wrapText="true" indent="0" shrinkToFit="false"/>
      <protection locked="true" hidden="false"/>
    </xf>
    <xf numFmtId="164" fontId="0" fillId="0" borderId="0" xfId="0" applyFont="false" applyBorder="false" applyAlignment="true" applyProtection="false">
      <alignment horizontal="left" vertical="center" textRotation="0" wrapText="true" indent="0" shrinkToFit="false"/>
      <protection locked="true" hidden="false"/>
    </xf>
    <xf numFmtId="164" fontId="24" fillId="0" borderId="0" xfId="0" applyFont="true" applyBorder="false" applyAlignment="true" applyProtection="false">
      <alignment horizontal="left" vertical="bottom" textRotation="0" wrapText="false" indent="0" shrinkToFit="false"/>
      <protection locked="true" hidden="false"/>
    </xf>
    <xf numFmtId="164" fontId="41" fillId="0" borderId="0" xfId="0" applyFont="true" applyBorder="false" applyAlignment="true" applyProtection="false">
      <alignment horizontal="general" vertical="bottom" textRotation="0" wrapText="false" indent="0" shrinkToFit="false"/>
      <protection locked="true" hidden="false"/>
    </xf>
    <xf numFmtId="173" fontId="0" fillId="0" borderId="0" xfId="0" applyFont="false" applyBorder="false" applyAlignment="true" applyProtection="false">
      <alignment horizontal="center" vertical="bottom" textRotation="0" wrapText="false" indent="0" shrinkToFit="false"/>
      <protection locked="true" hidden="false"/>
    </xf>
    <xf numFmtId="164" fontId="0" fillId="0" borderId="3" xfId="0" applyFont="true" applyBorder="true" applyAlignment="true" applyProtection="false">
      <alignment horizontal="center" vertical="center" textRotation="0" wrapText="true" indent="0" shrinkToFit="false"/>
      <protection locked="true" hidden="false"/>
    </xf>
    <xf numFmtId="164" fontId="10" fillId="0" borderId="3" xfId="0" applyFont="true" applyBorder="true" applyAlignment="true" applyProtection="false">
      <alignment horizontal="center" vertical="center" textRotation="0" wrapText="false" indent="0" shrinkToFit="false"/>
      <protection locked="true" hidden="false"/>
    </xf>
    <xf numFmtId="164" fontId="10" fillId="0" borderId="3" xfId="0" applyFont="true" applyBorder="true" applyAlignment="true" applyProtection="false">
      <alignment horizontal="center" vertical="center" textRotation="0" wrapText="tru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7" fontId="0" fillId="19" borderId="0" xfId="0" applyFont="false" applyBorder="false" applyAlignment="true" applyProtection="false">
      <alignment horizontal="center" vertical="center" textRotation="0" wrapText="false" indent="0" shrinkToFit="false"/>
      <protection locked="true" hidden="false"/>
    </xf>
    <xf numFmtId="164" fontId="0" fillId="17" borderId="0" xfId="0" applyFont="false" applyBorder="false" applyAlignment="true" applyProtection="false">
      <alignment horizontal="center" vertical="center" textRotation="0" wrapText="true" indent="0" shrinkToFit="false"/>
      <protection locked="true" hidden="false"/>
    </xf>
    <xf numFmtId="167" fontId="23" fillId="32" borderId="2" xfId="0" applyFont="true" applyBorder="true" applyAlignment="true" applyProtection="false">
      <alignment horizontal="center" vertical="center" textRotation="0" wrapText="true" indent="0" shrinkToFit="false"/>
      <protection locked="true" hidden="false"/>
    </xf>
    <xf numFmtId="164" fontId="0" fillId="27" borderId="0" xfId="0" applyFont="false" applyBorder="false" applyAlignment="false" applyProtection="false">
      <alignment horizontal="general" vertical="bottom" textRotation="0" wrapText="false" indent="0" shrinkToFit="false"/>
      <protection locked="true" hidden="false"/>
    </xf>
    <xf numFmtId="167" fontId="0" fillId="27" borderId="3" xfId="0" applyFont="false" applyBorder="true" applyAlignment="true" applyProtection="false">
      <alignment horizontal="center" vertical="bottom" textRotation="0" wrapText="false" indent="0" shrinkToFit="false"/>
      <protection locked="true" hidden="false"/>
    </xf>
    <xf numFmtId="164" fontId="0" fillId="27" borderId="0" xfId="0" applyFont="true" applyBorder="false" applyAlignment="true" applyProtection="false">
      <alignment horizontal="center" vertical="center" textRotation="0" wrapText="true" indent="0" shrinkToFit="false"/>
      <protection locked="true" hidden="false"/>
    </xf>
    <xf numFmtId="167" fontId="0" fillId="27" borderId="0" xfId="0" applyFont="false" applyBorder="false" applyAlignment="true" applyProtection="false">
      <alignment horizontal="center" vertical="center" textRotation="0" wrapText="false" indent="0" shrinkToFit="false"/>
      <protection locked="true" hidden="false"/>
    </xf>
    <xf numFmtId="167" fontId="42" fillId="21" borderId="0" xfId="0" applyFont="true" applyBorder="false" applyAlignment="true" applyProtection="false">
      <alignment horizontal="center" vertical="center" textRotation="0" wrapText="false" indent="0" shrinkToFit="false"/>
      <protection locked="true" hidden="false"/>
    </xf>
    <xf numFmtId="164" fontId="13" fillId="0" borderId="0" xfId="0" applyFont="true" applyBorder="false" applyAlignment="true" applyProtection="false">
      <alignment horizontal="center" vertical="center" textRotation="0" wrapText="false" indent="0" shrinkToFit="false"/>
      <protection locked="true" hidden="false"/>
    </xf>
    <xf numFmtId="167" fontId="30" fillId="0" borderId="0" xfId="0" applyFont="true" applyBorder="false" applyAlignment="true" applyProtection="false">
      <alignment horizontal="center" vertical="bottom" textRotation="0" wrapText="false" indent="0" shrinkToFit="false"/>
      <protection locked="true" hidden="false"/>
    </xf>
    <xf numFmtId="167" fontId="30" fillId="27" borderId="0" xfId="0" applyFont="true" applyBorder="false" applyAlignment="true" applyProtection="false">
      <alignment horizontal="center"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43" fillId="0" borderId="0" xfId="0" applyFont="true" applyBorder="false" applyAlignment="false" applyProtection="false">
      <alignment horizontal="general" vertical="bottom" textRotation="0" wrapText="false" indent="0" shrinkToFit="false"/>
      <protection locked="true" hidden="false"/>
    </xf>
    <xf numFmtId="167" fontId="0" fillId="32" borderId="2" xfId="0" applyFont="true" applyBorder="true" applyAlignment="true" applyProtection="false">
      <alignment horizontal="center" vertical="center" textRotation="0" wrapText="true" indent="0" shrinkToFit="false"/>
      <protection locked="true" hidden="false"/>
    </xf>
    <xf numFmtId="173" fontId="0" fillId="0" borderId="0" xfId="0" applyFont="false" applyBorder="false" applyAlignment="true" applyProtection="false">
      <alignment horizontal="center" vertical="center" textRotation="0" wrapText="true" indent="0" shrinkToFit="false"/>
      <protection locked="true" hidden="false"/>
    </xf>
    <xf numFmtId="173" fontId="0" fillId="0" borderId="0" xfId="0" applyFont="false" applyBorder="false" applyAlignment="true" applyProtection="false">
      <alignment horizontal="left" vertical="bottom" textRotation="0" wrapText="false" indent="0" shrinkToFit="false"/>
      <protection locked="true" hidden="false"/>
    </xf>
    <xf numFmtId="170" fontId="10" fillId="32"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true" applyAlignment="true" applyProtection="false">
      <alignment horizontal="right" vertical="center" textRotation="0" wrapText="false" indent="0" shrinkToFit="false"/>
      <protection locked="true" hidden="false"/>
    </xf>
    <xf numFmtId="167" fontId="0" fillId="0" borderId="0" xfId="0" applyFont="false" applyBorder="true" applyAlignment="true" applyProtection="false">
      <alignment horizontal="right" vertical="bottom" textRotation="0" wrapText="false" indent="0" shrinkToFit="false"/>
      <protection locked="true" hidden="false"/>
    </xf>
    <xf numFmtId="167" fontId="44" fillId="0" borderId="2" xfId="0" applyFont="true" applyBorder="true" applyAlignment="true" applyProtection="false">
      <alignment horizontal="center" vertical="center" textRotation="0" wrapText="true" indent="0" shrinkToFit="false"/>
      <protection locked="true" hidden="false"/>
    </xf>
    <xf numFmtId="168" fontId="0" fillId="0" borderId="0" xfId="0" applyFont="false" applyBorder="false" applyAlignment="true" applyProtection="false">
      <alignment horizontal="center" vertical="bottom" textRotation="0" wrapText="false" indent="0" shrinkToFit="false"/>
      <protection locked="true" hidden="false"/>
    </xf>
    <xf numFmtId="164" fontId="45" fillId="0" borderId="0" xfId="0" applyFont="true" applyBorder="false" applyAlignment="true" applyProtection="false">
      <alignment horizontal="general" vertical="bottom" textRotation="0" wrapText="false" indent="0" shrinkToFit="false"/>
      <protection locked="true" hidden="false"/>
    </xf>
    <xf numFmtId="164" fontId="0" fillId="11" borderId="0" xfId="0" applyFont="true" applyBorder="false" applyAlignment="true" applyProtection="false">
      <alignment horizontal="center" vertical="center" textRotation="0" wrapText="true" indent="0" shrinkToFit="false"/>
      <protection locked="true" hidden="false"/>
    </xf>
    <xf numFmtId="164" fontId="32" fillId="0" borderId="0" xfId="0" applyFont="true" applyBorder="false" applyAlignment="true" applyProtection="false">
      <alignment horizontal="center" vertical="bottom" textRotation="0" wrapText="false" indent="0" shrinkToFit="false"/>
      <protection locked="true" hidden="false"/>
    </xf>
    <xf numFmtId="167" fontId="46" fillId="0" borderId="9" xfId="0" applyFont="true" applyBorder="true" applyAlignment="true" applyProtection="true">
      <alignment horizontal="center" vertical="bottom" textRotation="0" wrapText="false" indent="0" shrinkToFit="false"/>
      <protection locked="true" hidden="false"/>
    </xf>
    <xf numFmtId="167" fontId="46" fillId="0" borderId="18" xfId="0" applyFont="true" applyBorder="true" applyAlignment="true" applyProtection="true">
      <alignment horizontal="center" vertical="bottom" textRotation="0" wrapText="false" indent="0" shrinkToFit="false"/>
      <protection locked="true" hidden="false"/>
    </xf>
    <xf numFmtId="167" fontId="46" fillId="0" borderId="0" xfId="0" applyFont="true" applyBorder="true" applyAlignment="true" applyProtection="true">
      <alignment horizontal="center" vertical="bottom" textRotation="0" wrapText="false" indent="0" shrinkToFit="false"/>
      <protection locked="true" hidden="false"/>
    </xf>
    <xf numFmtId="167" fontId="46" fillId="0" borderId="19" xfId="0" applyFont="true" applyBorder="true" applyAlignment="true" applyProtection="true">
      <alignment horizontal="center" vertical="bottom" textRotation="0" wrapText="false" indent="0" shrinkToFit="false"/>
      <protection locked="true" hidden="false"/>
    </xf>
    <xf numFmtId="164" fontId="47" fillId="0" borderId="0" xfId="0" applyFont="true" applyBorder="false" applyAlignment="true" applyProtection="false">
      <alignment horizontal="general" vertical="bottom" textRotation="0" wrapText="false" indent="0" shrinkToFit="false"/>
      <protection locked="true" hidden="false"/>
    </xf>
    <xf numFmtId="164" fontId="13" fillId="0" borderId="0" xfId="0" applyFont="true" applyBorder="false" applyAlignment="true" applyProtection="false">
      <alignment horizontal="center" vertical="center" textRotation="0" wrapText="true" indent="0" shrinkToFit="false"/>
      <protection locked="true" hidden="false"/>
    </xf>
    <xf numFmtId="175" fontId="0" fillId="0" borderId="0" xfId="0" applyFont="false" applyBorder="false" applyAlignment="true" applyProtection="false">
      <alignment horizontal="center" vertical="center" textRotation="0" wrapText="true" indent="0" shrinkToFit="false"/>
      <protection locked="true" hidden="false"/>
    </xf>
    <xf numFmtId="167" fontId="0" fillId="20" borderId="0" xfId="0" applyFont="false" applyBorder="false" applyAlignment="true" applyProtection="false">
      <alignment horizontal="center" vertical="bottom" textRotation="0" wrapText="false" indent="0" shrinkToFit="false"/>
      <protection locked="true" hidden="false"/>
    </xf>
    <xf numFmtId="167" fontId="0" fillId="0" borderId="0" xfId="0" applyFont="false" applyBorder="false" applyAlignment="true" applyProtection="false">
      <alignment horizontal="center" vertical="bottom" textRotation="0" wrapText="true" indent="0" shrinkToFit="false"/>
      <protection locked="true" hidden="false"/>
    </xf>
    <xf numFmtId="164" fontId="47" fillId="0"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false" applyAlignment="true" applyProtection="false">
      <alignment horizontal="center" vertical="center" textRotation="0" wrapText="true" indent="0" shrinkToFit="false"/>
      <protection locked="true" hidden="false"/>
    </xf>
    <xf numFmtId="164" fontId="9" fillId="23" borderId="0" xfId="0" applyFont="true" applyBorder="false" applyAlignment="true" applyProtection="false">
      <alignment horizontal="center" vertical="center" textRotation="0" wrapText="true" indent="0" shrinkToFit="false"/>
      <protection locked="true" hidden="false"/>
    </xf>
    <xf numFmtId="164" fontId="0" fillId="0" borderId="3" xfId="0" applyFont="true" applyBorder="true" applyAlignment="true" applyProtection="false">
      <alignment horizontal="center" vertical="bottom" textRotation="0" wrapText="true" indent="0" shrinkToFit="false"/>
      <protection locked="true" hidden="false"/>
    </xf>
    <xf numFmtId="164" fontId="0" fillId="0" borderId="3" xfId="0" applyFont="true" applyBorder="true" applyAlignment="true" applyProtection="false">
      <alignment horizontal="general" vertical="bottom" textRotation="0" wrapText="true" indent="0" shrinkToFit="false"/>
      <protection locked="true" hidden="false"/>
    </xf>
    <xf numFmtId="167" fontId="48" fillId="0" borderId="0" xfId="0" applyFont="true" applyBorder="false" applyAlignment="true" applyProtection="false">
      <alignment horizontal="center" vertical="center" textRotation="0" wrapText="true" indent="0" shrinkToFit="false"/>
      <protection locked="true" hidden="false"/>
    </xf>
    <xf numFmtId="167" fontId="49" fillId="30" borderId="0" xfId="15" applyFont="true" applyBorder="true" applyAlignment="true" applyProtection="true">
      <alignment horizontal="center" vertical="bottom" textRotation="0" wrapText="false" indent="0" shrinkToFit="false"/>
      <protection locked="true" hidden="false"/>
    </xf>
    <xf numFmtId="164" fontId="0" fillId="30" borderId="0" xfId="0" applyFont="true" applyBorder="false" applyAlignment="true" applyProtection="false">
      <alignment horizontal="center" vertical="center" textRotation="0" wrapText="false" indent="0" shrinkToFit="false"/>
      <protection locked="true" hidden="false"/>
    </xf>
    <xf numFmtId="167" fontId="0" fillId="30" borderId="0" xfId="0" applyFont="false" applyBorder="false" applyAlignment="true" applyProtection="false">
      <alignment horizontal="center" vertical="center" textRotation="0" wrapText="true" indent="0" shrinkToFit="false"/>
      <protection locked="true" hidden="false"/>
    </xf>
    <xf numFmtId="167" fontId="49" fillId="0" borderId="0" xfId="15" applyFont="true" applyBorder="true" applyAlignment="true" applyProtection="true">
      <alignment horizontal="center"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4" fontId="17" fillId="0" borderId="0" xfId="0" applyFont="true" applyBorder="false" applyAlignment="true" applyProtection="false">
      <alignment horizontal="general" vertical="bottom" textRotation="0" wrapText="false" indent="0" shrinkToFit="false"/>
      <protection locked="true" hidden="false"/>
    </xf>
    <xf numFmtId="169" fontId="9" fillId="16" borderId="0" xfId="0" applyFont="true" applyBorder="false" applyAlignment="true" applyProtection="false">
      <alignment horizontal="center" vertical="bottom" textRotation="0" wrapText="false" indent="0" shrinkToFit="false"/>
      <protection locked="true" hidden="false"/>
    </xf>
    <xf numFmtId="167" fontId="9" fillId="0" borderId="0" xfId="0" applyFont="true" applyBorder="false" applyAlignment="true" applyProtection="false">
      <alignment horizontal="center" vertical="bottom" textRotation="0" wrapText="false" indent="0" shrinkToFit="false"/>
      <protection locked="true" hidden="false"/>
    </xf>
    <xf numFmtId="164" fontId="50" fillId="0" borderId="0" xfId="0" applyFont="true" applyBorder="false" applyAlignment="true" applyProtection="false">
      <alignment horizontal="left" vertical="center" textRotation="0" wrapText="false" indent="0" shrinkToFit="false"/>
      <protection locked="true" hidden="false"/>
    </xf>
    <xf numFmtId="164" fontId="20" fillId="0" borderId="0" xfId="0" applyFont="true" applyBorder="false" applyAlignment="true" applyProtection="false">
      <alignment horizontal="center" vertical="center" textRotation="0" wrapText="true" indent="0" shrinkToFit="false"/>
      <protection locked="true" hidden="false"/>
    </xf>
    <xf numFmtId="164" fontId="0" fillId="0" borderId="20" xfId="0" applyFont="true" applyBorder="true" applyAlignment="true" applyProtection="false">
      <alignment horizontal="center" vertical="bottom" textRotation="0" wrapText="false" indent="0" shrinkToFit="false"/>
      <protection locked="true" hidden="false"/>
    </xf>
    <xf numFmtId="164" fontId="0" fillId="0" borderId="21" xfId="0" applyFont="false" applyBorder="true" applyAlignment="true" applyProtection="false">
      <alignment horizontal="center" vertical="bottom" textRotation="0" wrapText="false" indent="0" shrinkToFit="false"/>
      <protection locked="true" hidden="false"/>
    </xf>
    <xf numFmtId="164" fontId="0" fillId="0" borderId="22" xfId="0" applyFont="true" applyBorder="true" applyAlignment="true" applyProtection="false">
      <alignment horizontal="center" vertical="bottom" textRotation="0" wrapText="false" indent="0" shrinkToFit="false"/>
      <protection locked="true" hidden="false"/>
    </xf>
    <xf numFmtId="177" fontId="5" fillId="0" borderId="23" xfId="15" applyFont="true" applyBorder="true" applyAlignment="true" applyProtection="true">
      <alignment horizontal="general" vertical="bottom" textRotation="0" wrapText="false" indent="0" shrinkToFit="false"/>
      <protection locked="true" hidden="false"/>
    </xf>
    <xf numFmtId="177" fontId="5" fillId="0" borderId="24" xfId="15" applyFont="true" applyBorder="true" applyAlignment="true" applyProtection="true">
      <alignment horizontal="general" vertical="bottom" textRotation="0" wrapText="false" indent="0" shrinkToFit="false"/>
      <protection locked="true" hidden="false"/>
    </xf>
    <xf numFmtId="164" fontId="0" fillId="0" borderId="25" xfId="0" applyFont="true" applyBorder="true" applyAlignment="true" applyProtection="false">
      <alignment horizontal="center" vertical="bottom" textRotation="0" wrapText="false" indent="0" shrinkToFit="false"/>
      <protection locked="true" hidden="false"/>
    </xf>
    <xf numFmtId="177" fontId="5" fillId="0" borderId="19" xfId="15" applyFont="true" applyBorder="true" applyAlignment="true" applyProtection="true">
      <alignment horizontal="general" vertical="bottom" textRotation="0" wrapText="false" indent="0" shrinkToFit="false"/>
      <protection locked="true" hidden="false"/>
    </xf>
    <xf numFmtId="177" fontId="5" fillId="0" borderId="26" xfId="15" applyFont="true" applyBorder="true" applyAlignment="true" applyProtection="true">
      <alignment horizontal="general" vertical="bottom" textRotation="0" wrapText="false" indent="0" shrinkToFit="false"/>
      <protection locked="true" hidden="false"/>
    </xf>
    <xf numFmtId="164" fontId="0" fillId="0" borderId="27" xfId="0" applyFont="true" applyBorder="true" applyAlignment="true" applyProtection="false">
      <alignment horizontal="center" vertical="bottom" textRotation="0" wrapText="false" indent="0" shrinkToFit="false"/>
      <protection locked="true" hidden="false"/>
    </xf>
    <xf numFmtId="177" fontId="5" fillId="0" borderId="28" xfId="15" applyFont="true" applyBorder="true" applyAlignment="true" applyProtection="true">
      <alignment horizontal="general" vertical="bottom" textRotation="0" wrapText="false" indent="0" shrinkToFit="false"/>
      <protection locked="true" hidden="false"/>
    </xf>
    <xf numFmtId="177" fontId="5" fillId="0" borderId="29" xfId="15" applyFont="true" applyBorder="true" applyAlignment="true" applyProtection="true">
      <alignment horizontal="general" vertical="bottom" textRotation="0" wrapText="false" indent="0" shrinkToFit="false"/>
      <protection locked="true" hidden="false"/>
    </xf>
    <xf numFmtId="167" fontId="0" fillId="28" borderId="3" xfId="0" applyFont="false" applyBorder="true" applyAlignment="true" applyProtection="false">
      <alignment horizontal="center" vertical="bottom" textRotation="0" wrapText="false" indent="0" shrinkToFit="false"/>
      <protection locked="true" hidden="false"/>
    </xf>
    <xf numFmtId="167" fontId="0" fillId="20" borderId="0" xfId="0" applyFont="true" applyBorder="false" applyAlignment="true" applyProtection="false">
      <alignment horizontal="center" vertical="center" textRotation="0" wrapText="true" indent="0" shrinkToFit="false"/>
      <protection locked="true" hidden="false"/>
    </xf>
    <xf numFmtId="164" fontId="8" fillId="0" borderId="2" xfId="0" applyFont="true" applyBorder="true" applyAlignment="true" applyProtection="false">
      <alignment horizontal="center" vertical="center" textRotation="0" wrapText="false" indent="0" shrinkToFit="false"/>
      <protection locked="true" hidden="false"/>
    </xf>
    <xf numFmtId="164" fontId="9" fillId="0" borderId="2" xfId="0" applyFont="true" applyBorder="true" applyAlignment="true" applyProtection="false">
      <alignment horizontal="center" vertical="center" textRotation="0" wrapText="false" indent="0" shrinkToFit="false"/>
      <protection locked="true" hidden="false"/>
    </xf>
    <xf numFmtId="167" fontId="0" fillId="0" borderId="2" xfId="0" applyFont="false" applyBorder="tru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left" vertical="center" textRotation="0" wrapText="true" indent="0" shrinkToFit="false"/>
      <protection locked="true" hidden="false"/>
    </xf>
    <xf numFmtId="167" fontId="10" fillId="0" borderId="0" xfId="0" applyFont="true" applyBorder="false" applyAlignment="true" applyProtection="false">
      <alignment horizontal="left" vertical="center" textRotation="0" wrapText="false" indent="0" shrinkToFit="false"/>
      <protection locked="true" hidden="false"/>
    </xf>
    <xf numFmtId="164" fontId="0" fillId="33" borderId="0" xfId="0" applyFont="fals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51" fillId="0" borderId="0" xfId="0" applyFont="true" applyBorder="false" applyAlignment="false" applyProtection="false">
      <alignment horizontal="general" vertical="bottom" textRotation="0" wrapText="false" indent="0" shrinkToFit="false"/>
      <protection locked="true" hidden="false"/>
    </xf>
    <xf numFmtId="164" fontId="0" fillId="9" borderId="0" xfId="0" applyFont="true" applyBorder="false" applyAlignment="true" applyProtection="false">
      <alignment horizontal="left" vertical="bottom" textRotation="0" wrapText="false" indent="0" shrinkToFit="false"/>
      <protection locked="true" hidden="false"/>
    </xf>
    <xf numFmtId="167" fontId="0" fillId="0" borderId="17" xfId="0" applyFont="false" applyBorder="true" applyAlignment="true" applyProtection="false">
      <alignment horizontal="center" vertical="bottom" textRotation="0" wrapText="false" indent="0" shrinkToFit="false"/>
      <protection locked="true" hidden="false"/>
    </xf>
    <xf numFmtId="167" fontId="14" fillId="9" borderId="0" xfId="0" applyFont="true" applyBorder="false" applyAlignment="true" applyProtection="false">
      <alignment horizontal="center" vertical="center" textRotation="0" wrapText="true" indent="0" shrinkToFit="false"/>
      <protection locked="true" hidden="false"/>
    </xf>
    <xf numFmtId="175" fontId="0" fillId="9" borderId="0" xfId="0" applyFont="false" applyBorder="false" applyAlignment="true" applyProtection="false">
      <alignment horizontal="left" vertical="center" textRotation="0" wrapText="true" indent="0" shrinkToFit="false"/>
      <protection locked="true" hidden="false"/>
    </xf>
    <xf numFmtId="167" fontId="10" fillId="9" borderId="0" xfId="0" applyFont="true" applyBorder="false" applyAlignment="true" applyProtection="false">
      <alignment horizontal="left" vertical="center" textRotation="0" wrapText="false" indent="0" shrinkToFit="false"/>
      <protection locked="true" hidden="false"/>
    </xf>
    <xf numFmtId="167" fontId="0" fillId="9" borderId="0" xfId="0" applyFont="false" applyBorder="false" applyAlignment="true" applyProtection="false">
      <alignment horizontal="left" vertical="center" textRotation="0" wrapText="true" indent="0" shrinkToFit="false"/>
      <protection locked="true" hidden="false"/>
    </xf>
    <xf numFmtId="164" fontId="17" fillId="9" borderId="0" xfId="0" applyFont="true" applyBorder="true" applyAlignment="true" applyProtection="false">
      <alignment horizontal="left" vertical="center" textRotation="0" wrapText="true" indent="0" shrinkToFit="false"/>
      <protection locked="true" hidden="false"/>
    </xf>
    <xf numFmtId="167" fontId="0" fillId="34" borderId="0" xfId="0" applyFont="false" applyBorder="false" applyAlignment="true" applyProtection="false">
      <alignment horizontal="center" vertical="bottom" textRotation="0" wrapText="false" indent="0" shrinkToFit="false"/>
      <protection locked="true" hidden="false"/>
    </xf>
    <xf numFmtId="167" fontId="0" fillId="34" borderId="0" xfId="0" applyFont="true" applyBorder="false" applyAlignment="true" applyProtection="false">
      <alignment horizontal="center" vertical="center" textRotation="0" wrapText="true" indent="0" shrinkToFit="false"/>
      <protection locked="true" hidden="false"/>
    </xf>
    <xf numFmtId="170" fontId="10" fillId="34" borderId="0" xfId="0" applyFont="true" applyBorder="false" applyAlignment="true" applyProtection="false">
      <alignment horizontal="center" vertical="center" textRotation="0" wrapText="false" indent="0" shrinkToFit="false"/>
      <protection locked="true" hidden="false"/>
    </xf>
    <xf numFmtId="167"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2" fillId="0" borderId="0" xfId="0" applyFont="true" applyBorder="false" applyAlignment="true" applyProtection="false">
      <alignment horizontal="general" vertical="bottom" textRotation="0" wrapText="true" indent="0" shrinkToFit="false"/>
      <protection locked="true" hidden="false"/>
    </xf>
    <xf numFmtId="164" fontId="51" fillId="0" borderId="0" xfId="0" applyFont="true" applyBorder="true" applyAlignment="true" applyProtection="false">
      <alignment horizontal="center" vertical="bottom" textRotation="0" wrapText="false" indent="0" shrinkToFit="false"/>
      <protection locked="true" hidden="false"/>
    </xf>
    <xf numFmtId="164" fontId="53" fillId="0" borderId="0" xfId="0" applyFont="true" applyBorder="true" applyAlignment="true" applyProtection="false">
      <alignment horizontal="center" vertical="bottom" textRotation="0" wrapText="false" indent="0" shrinkToFit="false"/>
      <protection locked="true" hidden="false"/>
    </xf>
    <xf numFmtId="164" fontId="30" fillId="9" borderId="0" xfId="0" applyFont="true" applyBorder="true" applyAlignment="true" applyProtection="false">
      <alignment horizontal="left" vertical="center" textRotation="0" wrapText="true" indent="0" shrinkToFit="false"/>
      <protection locked="true" hidden="false"/>
    </xf>
    <xf numFmtId="167" fontId="0" fillId="33" borderId="0" xfId="0" applyFont="true" applyBorder="false" applyAlignment="true" applyProtection="false">
      <alignment horizontal="center" vertical="center" textRotation="0" wrapText="false" indent="0" shrinkToFit="false"/>
      <protection locked="true" hidden="false"/>
    </xf>
    <xf numFmtId="175" fontId="10" fillId="0" borderId="0" xfId="0" applyFont="true" applyBorder="false" applyAlignment="true" applyProtection="false">
      <alignment horizontal="center" vertical="center" textRotation="0" wrapText="false" indent="0" shrinkToFit="false"/>
      <protection locked="true" hidden="false"/>
    </xf>
    <xf numFmtId="167" fontId="0" fillId="0" borderId="0" xfId="0" applyFont="true" applyBorder="true" applyAlignment="true" applyProtection="false">
      <alignment horizontal="center" vertical="center" textRotation="0" wrapText="false" indent="0" shrinkToFit="false"/>
      <protection locked="true" hidden="false"/>
    </xf>
    <xf numFmtId="164" fontId="14" fillId="0" borderId="0" xfId="0" applyFont="true" applyBorder="false" applyAlignment="true" applyProtection="false">
      <alignment horizontal="center" vertical="center" textRotation="0" wrapText="true" indent="0" shrinkToFit="false"/>
      <protection locked="true" hidden="false"/>
    </xf>
    <xf numFmtId="164" fontId="20" fillId="9" borderId="0" xfId="0" applyFont="true" applyBorder="false" applyAlignment="true" applyProtection="false">
      <alignment horizontal="left" vertical="center" textRotation="0" wrapText="true" indent="0" shrinkToFit="false"/>
      <protection locked="true" hidden="false"/>
    </xf>
    <xf numFmtId="164" fontId="0" fillId="9" borderId="0" xfId="0" applyFont="false" applyBorder="false" applyAlignment="true" applyProtection="false">
      <alignment horizontal="center" vertical="bottom" textRotation="0" wrapText="false" indent="0" shrinkToFit="false"/>
      <protection locked="true" hidden="false"/>
    </xf>
    <xf numFmtId="164" fontId="0" fillId="9" borderId="0" xfId="0" applyFont="true" applyBorder="false" applyAlignment="true" applyProtection="false">
      <alignment horizontal="center" vertical="center" textRotation="0" wrapText="false" indent="0" shrinkToFit="false"/>
      <protection locked="true" hidden="false"/>
    </xf>
    <xf numFmtId="170" fontId="10" fillId="9" borderId="0" xfId="0" applyFont="true" applyBorder="false" applyAlignment="true" applyProtection="false">
      <alignment horizontal="center" vertical="center" textRotation="0" wrapText="false" indent="0" shrinkToFit="false"/>
      <protection locked="true" hidden="false"/>
    </xf>
    <xf numFmtId="164" fontId="54" fillId="9" borderId="0" xfId="0" applyFont="true" applyBorder="false" applyAlignment="true" applyProtection="false">
      <alignment horizontal="left" vertical="bottom" textRotation="0" wrapText="true" indent="0" shrinkToFit="false"/>
      <protection locked="true" hidden="false"/>
    </xf>
    <xf numFmtId="164" fontId="0" fillId="28" borderId="0" xfId="0" applyFont="false" applyBorder="false" applyAlignment="true" applyProtection="false">
      <alignment horizontal="center" vertical="center" textRotation="0" wrapText="false" indent="0" shrinkToFit="false"/>
      <protection locked="true" hidden="false"/>
    </xf>
    <xf numFmtId="169" fontId="0" fillId="35" borderId="0" xfId="0" applyFont="false" applyBorder="false" applyAlignment="true" applyProtection="false">
      <alignment horizontal="center" vertical="bottom" textRotation="0" wrapText="false" indent="0" shrinkToFit="false"/>
      <protection locked="true" hidden="false"/>
    </xf>
    <xf numFmtId="167" fontId="0" fillId="35" borderId="0" xfId="0" applyFont="false" applyBorder="false" applyAlignment="true" applyProtection="false">
      <alignment horizontal="center" vertical="bottom" textRotation="0" wrapText="false" indent="0" shrinkToFit="false"/>
      <protection locked="true" hidden="false"/>
    </xf>
    <xf numFmtId="167" fontId="0" fillId="35" borderId="0" xfId="0" applyFont="true" applyBorder="false" applyAlignment="true" applyProtection="false">
      <alignment horizontal="left" vertical="center" textRotation="0" wrapText="false" indent="0" shrinkToFit="false"/>
      <protection locked="true" hidden="false"/>
    </xf>
    <xf numFmtId="170" fontId="10" fillId="35" borderId="0" xfId="0" applyFont="true" applyBorder="false" applyAlignment="true" applyProtection="false">
      <alignment horizontal="center" vertical="center" textRotation="0" wrapText="false" indent="0" shrinkToFit="false"/>
      <protection locked="true" hidden="false"/>
    </xf>
    <xf numFmtId="167" fontId="0" fillId="35" borderId="0" xfId="0" applyFont="false" applyBorder="false" applyAlignment="true" applyProtection="false">
      <alignment horizontal="center" vertical="center" textRotation="0" wrapText="false" indent="0" shrinkToFit="false"/>
      <protection locked="true" hidden="false"/>
    </xf>
    <xf numFmtId="164" fontId="0" fillId="35" borderId="0" xfId="0" applyFont="false" applyBorder="false" applyAlignment="true" applyProtection="false">
      <alignment horizontal="center" vertical="center" textRotation="0" wrapText="false" indent="0" shrinkToFit="false"/>
      <protection locked="true" hidden="false"/>
    </xf>
    <xf numFmtId="164" fontId="0" fillId="35" borderId="0" xfId="0" applyFont="false" applyBorder="false" applyAlignment="true" applyProtection="false">
      <alignment horizontal="center" vertical="center" textRotation="0" wrapText="true" indent="0" shrinkToFit="false"/>
      <protection locked="true" hidden="false"/>
    </xf>
    <xf numFmtId="164" fontId="10" fillId="35" borderId="0" xfId="0" applyFont="true" applyBorder="false" applyAlignment="tru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top" textRotation="0" wrapText="true" indent="0" shrinkToFit="false"/>
      <protection locked="true" hidden="false"/>
    </xf>
    <xf numFmtId="164" fontId="32" fillId="0" borderId="0" xfId="0" applyFont="true" applyBorder="false" applyAlignment="true" applyProtection="false">
      <alignment horizontal="center" vertical="center" textRotation="0" wrapText="true" indent="0" shrinkToFit="false"/>
      <protection locked="true" hidden="false"/>
    </xf>
    <xf numFmtId="164" fontId="17" fillId="0" borderId="0" xfId="0" applyFont="true" applyBorder="false" applyAlignment="true" applyProtection="false">
      <alignment horizontal="general" vertical="bottom" textRotation="0" wrapText="true" indent="0" shrinkToFit="false"/>
      <protection locked="true" hidden="false"/>
    </xf>
    <xf numFmtId="164" fontId="50" fillId="0" borderId="0" xfId="0" applyFont="true" applyBorder="false" applyAlignment="true" applyProtection="false">
      <alignment horizontal="center" vertical="center" textRotation="0" wrapText="true" indent="0" shrinkToFit="false"/>
      <protection locked="true" hidden="false"/>
    </xf>
    <xf numFmtId="175" fontId="10" fillId="0" borderId="0" xfId="0" applyFont="true" applyBorder="false" applyAlignment="true" applyProtection="false">
      <alignment horizontal="center" vertical="bottom" textRotation="0" wrapText="false" indent="0" shrinkToFit="false"/>
      <protection locked="true" hidden="false"/>
    </xf>
    <xf numFmtId="167" fontId="0" fillId="29" borderId="0" xfId="0" applyFont="true" applyBorder="false" applyAlignment="true" applyProtection="false">
      <alignment horizontal="center" vertical="center" textRotation="0" wrapText="true" indent="0" shrinkToFit="false"/>
      <protection locked="true" hidden="false"/>
    </xf>
    <xf numFmtId="164" fontId="50" fillId="0" borderId="0" xfId="0" applyFont="true" applyBorder="false" applyAlignment="true" applyProtection="false">
      <alignment horizontal="general" vertical="bottom" textRotation="0" wrapText="true" indent="0" shrinkToFit="false"/>
      <protection locked="true" hidden="false"/>
    </xf>
    <xf numFmtId="168" fontId="0" fillId="13" borderId="2" xfId="0" applyFont="true" applyBorder="true" applyAlignment="true" applyProtection="false">
      <alignment horizontal="center" vertical="top" textRotation="0" wrapText="true" indent="0" shrinkToFit="false"/>
      <protection locked="true" hidden="false"/>
    </xf>
    <xf numFmtId="167" fontId="0" fillId="30" borderId="0" xfId="0" applyFont="false" applyBorder="false" applyAlignment="true" applyProtection="false">
      <alignment horizontal="center" vertical="bottom" textRotation="0" wrapText="false" indent="0" shrinkToFit="false"/>
      <protection locked="true" hidden="false"/>
    </xf>
    <xf numFmtId="167" fontId="55" fillId="0" borderId="0" xfId="0" applyFont="true" applyBorder="false" applyAlignment="true" applyProtection="false">
      <alignment horizontal="center" vertical="bottom" textRotation="0" wrapText="false" indent="0" shrinkToFit="false"/>
      <protection locked="true" hidden="false"/>
    </xf>
    <xf numFmtId="164" fontId="55" fillId="0" borderId="0" xfId="0" applyFont="true" applyBorder="false" applyAlignment="true" applyProtection="false">
      <alignment horizontal="center" vertical="center" textRotation="0" wrapText="true" indent="0" shrinkToFit="false"/>
      <protection locked="true" hidden="false"/>
    </xf>
    <xf numFmtId="170" fontId="56" fillId="0" borderId="0" xfId="0" applyFont="true" applyBorder="false" applyAlignment="true" applyProtection="false">
      <alignment horizontal="center" vertical="center" textRotation="0" wrapText="false" indent="0" shrinkToFit="false"/>
      <protection locked="true" hidden="false"/>
    </xf>
    <xf numFmtId="167" fontId="55" fillId="0" borderId="0" xfId="0" applyFont="true" applyBorder="false" applyAlignment="true" applyProtection="false">
      <alignment horizontal="center" vertical="center" textRotation="0" wrapText="false" indent="0" shrinkToFit="false"/>
      <protection locked="true" hidden="false"/>
    </xf>
    <xf numFmtId="164" fontId="55" fillId="0" borderId="0" xfId="0" applyFont="true" applyBorder="false" applyAlignment="true" applyProtection="false">
      <alignment horizontal="center" vertical="bottom" textRotation="0" wrapText="false" indent="0" shrinkToFit="false"/>
      <protection locked="true" hidden="false"/>
    </xf>
    <xf numFmtId="167" fontId="57" fillId="0" borderId="0" xfId="0" applyFont="true" applyBorder="false" applyAlignment="true" applyProtection="false">
      <alignment horizontal="center" vertical="center" textRotation="0" wrapText="true" indent="0" shrinkToFit="false"/>
      <protection locked="true" hidden="false"/>
    </xf>
    <xf numFmtId="178" fontId="19" fillId="0" borderId="2" xfId="15" applyFont="true" applyBorder="true" applyAlignment="true" applyProtection="true">
      <alignment horizontal="general" vertical="bottom" textRotation="0" wrapText="false" indent="0" shrinkToFit="false"/>
      <protection locked="true" hidden="false"/>
    </xf>
    <xf numFmtId="164" fontId="58" fillId="0" borderId="0" xfId="0" applyFont="true" applyBorder="false" applyAlignment="true" applyProtection="false">
      <alignment horizontal="general" vertical="bottom" textRotation="0" wrapText="false" indent="0" shrinkToFit="false"/>
      <protection locked="true" hidden="false"/>
    </xf>
    <xf numFmtId="164" fontId="59" fillId="0" borderId="0" xfId="0" applyFont="true" applyBorder="false" applyAlignment="true" applyProtection="false">
      <alignment horizontal="general" vertical="bottom" textRotation="0" wrapText="false" indent="0" shrinkToFit="false"/>
      <protection locked="true" hidden="false"/>
    </xf>
    <xf numFmtId="164" fontId="52" fillId="36" borderId="0" xfId="0" applyFont="true" applyBorder="true" applyAlignment="true" applyProtection="false">
      <alignment horizontal="center" vertical="center" textRotation="0" wrapText="true" indent="0" shrinkToFit="false"/>
      <protection locked="true" hidden="false"/>
    </xf>
    <xf numFmtId="169" fontId="0" fillId="9" borderId="0" xfId="0" applyFont="false" applyBorder="false" applyAlignment="true" applyProtection="false">
      <alignment horizontal="center" vertical="bottom" textRotation="0" wrapText="false" indent="0" shrinkToFit="false"/>
      <protection locked="true" hidden="false"/>
    </xf>
    <xf numFmtId="167" fontId="0" fillId="36" borderId="0" xfId="0" applyFont="false" applyBorder="false" applyAlignment="true" applyProtection="false">
      <alignment horizontal="center" vertical="center" textRotation="0" wrapText="false" indent="0" shrinkToFit="false"/>
      <protection locked="true" hidden="false"/>
    </xf>
    <xf numFmtId="164" fontId="0" fillId="36" borderId="0" xfId="0" applyFont="false" applyBorder="false" applyAlignment="true" applyProtection="false">
      <alignment horizontal="center" vertical="center" textRotation="0" wrapText="false" indent="0" shrinkToFit="false"/>
      <protection locked="true" hidden="false"/>
    </xf>
    <xf numFmtId="164" fontId="0" fillId="36" borderId="0" xfId="0" applyFont="true" applyBorder="false" applyAlignment="true" applyProtection="false">
      <alignment horizontal="center" vertical="center" textRotation="0" wrapText="true" indent="0" shrinkToFit="false"/>
      <protection locked="true" hidden="false"/>
    </xf>
    <xf numFmtId="164" fontId="10" fillId="36" borderId="0" xfId="0" applyFont="true" applyBorder="false" applyAlignment="true" applyProtection="false">
      <alignment horizontal="general" vertical="bottom" textRotation="0" wrapText="false" indent="0" shrinkToFit="false"/>
      <protection locked="true" hidden="false"/>
    </xf>
    <xf numFmtId="164" fontId="48" fillId="37" borderId="0" xfId="0" applyFont="true" applyBorder="false" applyAlignment="false" applyProtection="false">
      <alignment horizontal="general" vertical="bottom" textRotation="0" wrapText="false" indent="0" shrinkToFit="false"/>
      <protection locked="true" hidden="false"/>
    </xf>
    <xf numFmtId="164" fontId="48" fillId="0" borderId="2" xfId="0" applyFont="true" applyBorder="true" applyAlignment="true" applyProtection="false">
      <alignment horizontal="center"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79" fontId="11" fillId="0" borderId="2" xfId="15" applyFont="true" applyBorder="true" applyAlignment="true" applyProtection="true">
      <alignment horizontal="general" vertical="bottom" textRotation="0" wrapText="false" indent="0" shrinkToFit="false"/>
      <protection locked="true" hidden="false"/>
    </xf>
    <xf numFmtId="164" fontId="0" fillId="18" borderId="0" xfId="0" applyFont="false" applyBorder="false" applyAlignment="true" applyProtection="false">
      <alignment horizontal="center" vertical="bottom" textRotation="0" wrapText="false" indent="0" shrinkToFit="false"/>
      <protection locked="true" hidden="false"/>
    </xf>
    <xf numFmtId="164" fontId="0" fillId="18" borderId="0" xfId="0" applyFont="true" applyBorder="false" applyAlignment="true" applyProtection="false">
      <alignment horizontal="center" vertical="center" textRotation="0" wrapText="false" indent="0" shrinkToFit="false"/>
      <protection locked="true" hidden="false"/>
    </xf>
    <xf numFmtId="164" fontId="10" fillId="18" borderId="0" xfId="0" applyFont="true" applyBorder="false" applyAlignment="true" applyProtection="false">
      <alignment horizontal="general" vertical="bottom" textRotation="0" wrapText="false" indent="0" shrinkToFit="false"/>
      <protection locked="true" hidden="false"/>
    </xf>
    <xf numFmtId="167" fontId="0" fillId="15" borderId="0" xfId="0" applyFont="true" applyBorder="false" applyAlignment="true" applyProtection="false">
      <alignment horizontal="center" vertical="bottom" textRotation="0" wrapText="false" indent="0" shrinkToFit="false"/>
      <protection locked="true" hidden="false"/>
    </xf>
    <xf numFmtId="167" fontId="16" fillId="0" borderId="0" xfId="0" applyFont="true" applyBorder="false" applyAlignment="true" applyProtection="false">
      <alignment horizontal="general" vertical="center" textRotation="0" wrapText="false" indent="0" shrinkToFit="false"/>
      <protection locked="true" hidden="false"/>
    </xf>
    <xf numFmtId="167" fontId="0" fillId="16" borderId="0" xfId="0" applyFont="true" applyBorder="false" applyAlignment="true" applyProtection="false">
      <alignment horizontal="center" vertical="bottom" textRotation="0" wrapText="false" indent="0" shrinkToFit="false"/>
      <protection locked="true" hidden="false"/>
    </xf>
    <xf numFmtId="167" fontId="0" fillId="38" borderId="0" xfId="0" applyFont="true" applyBorder="false" applyAlignment="true" applyProtection="false">
      <alignment horizontal="center" vertical="bottom" textRotation="0" wrapText="false" indent="0" shrinkToFit="false"/>
      <protection locked="true" hidden="false"/>
    </xf>
    <xf numFmtId="167" fontId="0" fillId="7" borderId="0" xfId="0" applyFont="true" applyBorder="false" applyAlignment="true" applyProtection="false">
      <alignment horizontal="center" vertical="bottom" textRotation="0" wrapText="false" indent="0" shrinkToFit="false"/>
      <protection locked="true" hidden="false"/>
    </xf>
    <xf numFmtId="167" fontId="0" fillId="33" borderId="0" xfId="0" applyFont="true" applyBorder="false" applyAlignment="true" applyProtection="false">
      <alignment horizontal="center" vertical="bottom" textRotation="0" wrapText="false" indent="0" shrinkToFit="false"/>
      <protection locked="true" hidden="false"/>
    </xf>
    <xf numFmtId="167" fontId="0" fillId="36" borderId="0" xfId="0" applyFont="true" applyBorder="false" applyAlignment="true" applyProtection="false">
      <alignment horizontal="center" vertical="bottom" textRotation="0" wrapText="false" indent="0" shrinkToFit="false"/>
      <protection locked="true" hidden="false"/>
    </xf>
    <xf numFmtId="167" fontId="0" fillId="39" borderId="0" xfId="0" applyFont="true" applyBorder="false" applyAlignment="true" applyProtection="false">
      <alignment horizontal="center" vertical="bottom" textRotation="0" wrapText="false" indent="0" shrinkToFit="false"/>
      <protection locked="true" hidden="false"/>
    </xf>
    <xf numFmtId="167" fontId="0" fillId="40" borderId="0" xfId="0" applyFont="true" applyBorder="false" applyAlignment="true" applyProtection="false">
      <alignment horizontal="center" vertical="bottom" textRotation="0" wrapText="false" indent="0" shrinkToFit="false"/>
      <protection locked="true" hidden="false"/>
    </xf>
    <xf numFmtId="167" fontId="0" fillId="41" borderId="0" xfId="0" applyFont="true" applyBorder="false" applyAlignment="true" applyProtection="false">
      <alignment horizontal="center" vertical="bottom" textRotation="0" wrapText="false" indent="0" shrinkToFit="false"/>
      <protection locked="true" hidden="false"/>
    </xf>
    <xf numFmtId="167" fontId="0" fillId="42" borderId="0" xfId="0" applyFont="true" applyBorder="false" applyAlignment="true" applyProtection="false">
      <alignment horizontal="center" vertical="bottom" textRotation="0" wrapText="false" indent="0" shrinkToFit="false"/>
      <protection locked="true" hidden="false"/>
    </xf>
    <xf numFmtId="167" fontId="0" fillId="43" borderId="0" xfId="0" applyFont="true" applyBorder="false" applyAlignment="true" applyProtection="false">
      <alignment horizontal="center" vertical="bottom" textRotation="0" wrapText="false" indent="0" shrinkToFit="false"/>
      <protection locked="true" hidden="false"/>
    </xf>
    <xf numFmtId="167" fontId="0" fillId="44" borderId="0" xfId="0" applyFont="true" applyBorder="false" applyAlignment="true" applyProtection="false">
      <alignment horizontal="center" vertical="bottom" textRotation="0" wrapText="false" indent="0" shrinkToFit="false"/>
      <protection locked="true" hidden="false"/>
    </xf>
    <xf numFmtId="170" fontId="0" fillId="0" borderId="0" xfId="0" applyFont="false" applyBorder="false" applyAlignment="true" applyProtection="false">
      <alignment horizontal="center" vertical="center" textRotation="0" wrapText="false" indent="0" shrinkToFit="false"/>
      <protection locked="true" hidden="false"/>
    </xf>
    <xf numFmtId="164" fontId="16" fillId="0" borderId="0" xfId="0" applyFont="true" applyBorder="false" applyAlignment="true" applyProtection="false">
      <alignment horizontal="general" vertical="center" textRotation="0" wrapText="true" indent="0" shrinkToFit="false"/>
      <protection locked="true" hidden="false"/>
    </xf>
    <xf numFmtId="167" fontId="0" fillId="13" borderId="0" xfId="0" applyFont="false" applyBorder="false" applyAlignment="true" applyProtection="false">
      <alignment horizontal="center" vertical="bottom" textRotation="0" wrapText="false" indent="0" shrinkToFit="false"/>
      <protection locked="true" hidden="false"/>
    </xf>
    <xf numFmtId="180" fontId="0" fillId="15" borderId="0" xfId="0" applyFont="false" applyBorder="false" applyAlignment="true" applyProtection="false">
      <alignment horizontal="center" vertical="bottom" textRotation="0" wrapText="false" indent="0" shrinkToFit="false"/>
      <protection locked="true" hidden="false"/>
    </xf>
    <xf numFmtId="180" fontId="0" fillId="16" borderId="0" xfId="0" applyFont="false" applyBorder="false" applyAlignment="true" applyProtection="false">
      <alignment horizontal="center" vertical="bottom" textRotation="0" wrapText="false" indent="0" shrinkToFit="false"/>
      <protection locked="true" hidden="false"/>
    </xf>
    <xf numFmtId="180" fontId="0" fillId="38" borderId="0" xfId="0" applyFont="false" applyBorder="false" applyAlignment="true" applyProtection="false">
      <alignment horizontal="center" vertical="bottom" textRotation="0" wrapText="false" indent="0" shrinkToFit="false"/>
      <protection locked="true" hidden="false"/>
    </xf>
    <xf numFmtId="180" fontId="0" fillId="7" borderId="0" xfId="0" applyFont="false" applyBorder="false" applyAlignment="true" applyProtection="false">
      <alignment horizontal="center" vertical="bottom" textRotation="0" wrapText="false" indent="0" shrinkToFit="false"/>
      <protection locked="true" hidden="false"/>
    </xf>
    <xf numFmtId="180" fontId="0" fillId="33" borderId="0" xfId="0" applyFont="false" applyBorder="false" applyAlignment="true" applyProtection="false">
      <alignment horizontal="center" vertical="bottom" textRotation="0" wrapText="false" indent="0" shrinkToFit="false"/>
      <protection locked="true" hidden="false"/>
    </xf>
    <xf numFmtId="180" fontId="0" fillId="36" borderId="0" xfId="0" applyFont="false" applyBorder="false" applyAlignment="true" applyProtection="false">
      <alignment horizontal="center" vertical="bottom" textRotation="0" wrapText="false" indent="0" shrinkToFit="false"/>
      <protection locked="true" hidden="false"/>
    </xf>
    <xf numFmtId="180" fontId="0" fillId="39" borderId="0" xfId="0" applyFont="false" applyBorder="false" applyAlignment="true" applyProtection="false">
      <alignment horizontal="center" vertical="bottom" textRotation="0" wrapText="false" indent="0" shrinkToFit="false"/>
      <protection locked="true" hidden="false"/>
    </xf>
    <xf numFmtId="180" fontId="0" fillId="40" borderId="0" xfId="0" applyFont="false" applyBorder="false" applyAlignment="true" applyProtection="false">
      <alignment horizontal="center" vertical="bottom" textRotation="0" wrapText="false" indent="0" shrinkToFit="false"/>
      <protection locked="true" hidden="false"/>
    </xf>
    <xf numFmtId="180" fontId="0" fillId="41" borderId="0" xfId="0" applyFont="false" applyBorder="false" applyAlignment="true" applyProtection="false">
      <alignment horizontal="center" vertical="bottom" textRotation="0" wrapText="false" indent="0" shrinkToFit="false"/>
      <protection locked="true" hidden="false"/>
    </xf>
    <xf numFmtId="180" fontId="0" fillId="42" borderId="0" xfId="0" applyFont="false" applyBorder="false" applyAlignment="true" applyProtection="false">
      <alignment horizontal="center" vertical="bottom" textRotation="0" wrapText="false" indent="0" shrinkToFit="false"/>
      <protection locked="true" hidden="false"/>
    </xf>
    <xf numFmtId="180" fontId="0" fillId="43" borderId="0" xfId="0" applyFont="false" applyBorder="false" applyAlignment="true" applyProtection="false">
      <alignment horizontal="center" vertical="bottom" textRotation="0" wrapText="false" indent="0" shrinkToFit="false"/>
      <protection locked="true" hidden="false"/>
    </xf>
    <xf numFmtId="180" fontId="0" fillId="44" borderId="0" xfId="0" applyFont="false" applyBorder="false" applyAlignment="true" applyProtection="false">
      <alignment horizontal="center" vertical="bottom" textRotation="0" wrapText="false" indent="0" shrinkToFit="false"/>
      <protection locked="true" hidden="false"/>
    </xf>
    <xf numFmtId="167" fontId="0" fillId="0" borderId="30" xfId="0" applyFont="false" applyBorder="true" applyAlignment="false" applyProtection="false">
      <alignment horizontal="general" vertical="bottom" textRotation="0" wrapText="false" indent="0" shrinkToFit="false"/>
      <protection locked="true" hidden="false"/>
    </xf>
    <xf numFmtId="164" fontId="60" fillId="0" borderId="0" xfId="0" applyFont="true" applyBorder="false" applyAlignment="true" applyProtection="false">
      <alignment horizontal="general" vertical="bottom" textRotation="0" wrapText="false" indent="0" shrinkToFit="false"/>
      <protection locked="true" hidden="false"/>
    </xf>
    <xf numFmtId="173" fontId="0" fillId="27"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left" vertical="center" textRotation="0" wrapText="false" indent="0" shrinkToFit="false"/>
      <protection locked="true" hidden="false"/>
    </xf>
    <xf numFmtId="164" fontId="0" fillId="0" borderId="0" xfId="0" applyFont="false" applyBorder="true" applyAlignment="true" applyProtection="false">
      <alignment horizontal="center" vertical="center" textRotation="0" wrapText="false" indent="0" shrinkToFit="false"/>
      <protection locked="true" hidden="false"/>
    </xf>
    <xf numFmtId="168" fontId="0" fillId="13" borderId="2" xfId="0" applyFont="true" applyBorder="true" applyAlignment="true" applyProtection="false">
      <alignment horizontal="left" vertical="top" textRotation="0" wrapText="true" indent="0" shrinkToFit="false"/>
      <protection locked="true" hidden="false"/>
    </xf>
    <xf numFmtId="164" fontId="0" fillId="30" borderId="0" xfId="0" applyFont="false" applyBorder="false" applyAlignment="true" applyProtection="false">
      <alignment horizontal="center" vertical="center" textRotation="0" wrapText="false" indent="0" shrinkToFit="false"/>
      <protection locked="true" hidden="false"/>
    </xf>
    <xf numFmtId="164" fontId="45" fillId="0" borderId="0" xfId="0" applyFont="true" applyBorder="false" applyAlignment="true" applyProtection="false">
      <alignment horizontal="left" vertical="bottom" textRotation="0" wrapText="false" indent="0" shrinkToFit="false"/>
      <protection locked="true" hidden="false"/>
    </xf>
    <xf numFmtId="169" fontId="0" fillId="10" borderId="0" xfId="0" applyFont="false" applyBorder="false" applyAlignment="true" applyProtection="false">
      <alignment horizontal="center" vertical="bottom" textRotation="0" wrapText="false" indent="0" shrinkToFit="false"/>
      <protection locked="true" hidden="false"/>
    </xf>
    <xf numFmtId="164" fontId="0" fillId="10" borderId="0" xfId="0" applyFont="false" applyBorder="false" applyAlignment="true" applyProtection="false">
      <alignment horizontal="center" vertical="center" textRotation="0" wrapText="true" indent="0" shrinkToFit="false"/>
      <protection locked="true" hidden="false"/>
    </xf>
    <xf numFmtId="167" fontId="0" fillId="10" borderId="0" xfId="0" applyFont="true" applyBorder="false" applyAlignment="true" applyProtection="false">
      <alignment horizontal="center" vertical="center" textRotation="0" wrapText="true" indent="0" shrinkToFit="false"/>
      <protection locked="true" hidden="false"/>
    </xf>
    <xf numFmtId="170" fontId="10" fillId="10" borderId="0" xfId="0" applyFont="true" applyBorder="false" applyAlignment="true" applyProtection="false">
      <alignment horizontal="center" vertical="center" textRotation="0" wrapText="false" indent="0" shrinkToFit="false"/>
      <protection locked="true" hidden="false"/>
    </xf>
    <xf numFmtId="164" fontId="0" fillId="10" borderId="0" xfId="0" applyFont="false" applyBorder="false" applyAlignment="true" applyProtection="false">
      <alignment horizontal="center" vertical="center" textRotation="0" wrapText="false" indent="0" shrinkToFit="false"/>
      <protection locked="true" hidden="false"/>
    </xf>
    <xf numFmtId="167" fontId="30" fillId="0" borderId="0" xfId="0" applyFont="true" applyBorder="false" applyAlignment="true" applyProtection="false">
      <alignment horizontal="center" vertical="center" textRotation="0" wrapText="true" indent="0" shrinkToFit="false"/>
      <protection locked="true" hidden="false"/>
    </xf>
    <xf numFmtId="164" fontId="30" fillId="0" borderId="0" xfId="0" applyFont="true" applyBorder="true" applyAlignment="true" applyProtection="false">
      <alignment horizontal="right" vertical="center" textRotation="0" wrapText="false" indent="0" shrinkToFit="false"/>
      <protection locked="true" hidden="false"/>
    </xf>
    <xf numFmtId="164" fontId="30" fillId="27" borderId="0" xfId="0" applyFont="true" applyBorder="true" applyAlignment="true" applyProtection="false">
      <alignment horizontal="right" vertical="center" textRotation="0" wrapText="false" indent="0" shrinkToFit="false"/>
      <protection locked="true" hidden="false"/>
    </xf>
    <xf numFmtId="167" fontId="0" fillId="21" borderId="0" xfId="0" applyFont="false" applyBorder="true" applyAlignment="true" applyProtection="false">
      <alignment horizontal="right" vertical="bottom" textRotation="0" wrapText="false" indent="0" shrinkToFit="false"/>
      <protection locked="true" hidden="false"/>
    </xf>
    <xf numFmtId="164" fontId="0" fillId="21" borderId="0" xfId="0" applyFont="true" applyBorder="false" applyAlignment="true" applyProtection="false">
      <alignment horizontal="center" vertical="center" textRotation="0" wrapText="true" indent="0" shrinkToFit="false"/>
      <protection locked="true" hidden="false"/>
    </xf>
    <xf numFmtId="170" fontId="10" fillId="21" borderId="0" xfId="0" applyFont="true" applyBorder="false" applyAlignment="true" applyProtection="false">
      <alignment horizontal="center" vertical="center" textRotation="0" wrapText="false" indent="0" shrinkToFit="false"/>
      <protection locked="true" hidden="false"/>
    </xf>
    <xf numFmtId="167" fontId="0" fillId="21" borderId="0" xfId="0" applyFont="false" applyBorder="false" applyAlignment="true" applyProtection="false">
      <alignment horizontal="center" vertical="center" textRotation="0" wrapText="false" indent="0" shrinkToFit="false"/>
      <protection locked="true" hidden="false"/>
    </xf>
    <xf numFmtId="167" fontId="30" fillId="0" borderId="0" xfId="0" applyFont="true" applyBorder="false" applyAlignment="true" applyProtection="false">
      <alignment horizontal="left" vertical="center" textRotation="0" wrapText="false" indent="0" shrinkToFit="false"/>
      <protection locked="true" hidden="false"/>
    </xf>
    <xf numFmtId="164" fontId="0" fillId="32" borderId="0" xfId="0" applyFont="false" applyBorder="false" applyAlignment="fals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left" vertical="center" textRotation="0" wrapText="false" indent="0" shrinkToFit="false"/>
      <protection locked="true" hidden="false"/>
    </xf>
    <xf numFmtId="164" fontId="0" fillId="27" borderId="0" xfId="0" applyFont="false" applyBorder="false" applyAlignment="true" applyProtection="false">
      <alignment horizontal="center" vertical="bottom" textRotation="0" wrapText="false" indent="0" shrinkToFit="false"/>
      <protection locked="true" hidden="false"/>
    </xf>
    <xf numFmtId="167" fontId="14" fillId="17" borderId="0" xfId="0" applyFont="true" applyBorder="false" applyAlignment="true" applyProtection="false">
      <alignment horizontal="center" vertical="center" textRotation="0" wrapText="false" indent="0" shrinkToFit="false"/>
      <protection locked="true" hidden="false"/>
    </xf>
    <xf numFmtId="164" fontId="32" fillId="0" borderId="0" xfId="0" applyFont="true" applyBorder="false" applyAlignment="true" applyProtection="false">
      <alignment horizontal="general" vertical="bottom" textRotation="0" wrapText="false" indent="0" shrinkToFit="false"/>
      <protection locked="true" hidden="false"/>
    </xf>
    <xf numFmtId="167" fontId="14" fillId="9" borderId="0" xfId="0" applyFont="true" applyBorder="false" applyAlignment="true" applyProtection="false">
      <alignment horizontal="center" vertical="center" textRotation="0" wrapText="false" indent="0" shrinkToFit="false"/>
      <protection locked="true" hidden="false"/>
    </xf>
    <xf numFmtId="168" fontId="0" fillId="13" borderId="2" xfId="0" applyFont="true" applyBorder="true" applyAlignment="true" applyProtection="false">
      <alignment horizontal="left" vertical="top" textRotation="0" wrapText="true" indent="1" shrinkToFit="false"/>
      <protection locked="true" hidden="false"/>
    </xf>
    <xf numFmtId="167" fontId="20" fillId="0" borderId="2" xfId="0" applyFont="true" applyBorder="true" applyAlignment="true" applyProtection="false">
      <alignment horizontal="center" vertical="center" textRotation="0" wrapText="true" indent="0" shrinkToFit="false"/>
      <protection locked="true" hidden="false"/>
    </xf>
    <xf numFmtId="175" fontId="9" fillId="0" borderId="0" xfId="0" applyFont="true" applyBorder="false" applyAlignment="true" applyProtection="false">
      <alignment horizontal="center" vertical="center" textRotation="0" wrapText="true" indent="0" shrinkToFit="false"/>
      <protection locked="true" hidden="false"/>
    </xf>
    <xf numFmtId="164" fontId="9" fillId="0" borderId="0" xfId="41" applyFont="true" applyBorder="true" applyAlignment="true" applyProtection="true">
      <alignment horizontal="general" vertical="bottom" textRotation="0" wrapText="false" indent="0" shrinkToFit="false"/>
      <protection locked="true" hidden="false"/>
    </xf>
    <xf numFmtId="164" fontId="11" fillId="0" borderId="2" xfId="41" applyFont="true" applyBorder="true" applyAlignment="true" applyProtection="true">
      <alignment horizontal="general" vertical="center" textRotation="0" wrapText="false" indent="0" shrinkToFit="false"/>
      <protection locked="true" hidden="false"/>
    </xf>
    <xf numFmtId="171" fontId="11" fillId="0" borderId="2" xfId="41" applyFont="true" applyBorder="true" applyAlignment="true" applyProtection="true">
      <alignment horizontal="general" vertical="center" textRotation="0" wrapText="false" indent="0" shrinkToFit="false"/>
      <protection locked="true" hidden="false"/>
    </xf>
    <xf numFmtId="164" fontId="11" fillId="0" borderId="3" xfId="41" applyFont="false" applyBorder="true" applyAlignment="false" applyProtection="false">
      <alignment horizontal="general" vertical="bottom" textRotation="0" wrapText="false" indent="0" shrinkToFit="false"/>
      <protection locked="true" hidden="false"/>
    </xf>
    <xf numFmtId="164" fontId="48" fillId="0" borderId="3" xfId="41" applyFont="true" applyBorder="true" applyAlignment="true" applyProtection="false">
      <alignment horizontal="center" vertical="bottom" textRotation="0" wrapText="false" indent="0" shrinkToFit="false"/>
      <protection locked="true" hidden="false"/>
    </xf>
    <xf numFmtId="164" fontId="9" fillId="0" borderId="3" xfId="28" applyFont="true" applyBorder="true" applyAlignment="true" applyProtection="true">
      <alignment horizontal="general" vertical="center" textRotation="0" wrapText="false" indent="0" shrinkToFit="false"/>
      <protection locked="true" hidden="false"/>
    </xf>
    <xf numFmtId="167" fontId="0" fillId="0" borderId="2" xfId="25" applyFont="true" applyBorder="true" applyAlignment="true" applyProtection="true">
      <alignment horizontal="center" vertical="center" textRotation="0" wrapText="false" indent="0" shrinkToFit="false"/>
      <protection locked="true" hidden="false"/>
    </xf>
    <xf numFmtId="171" fontId="9" fillId="0" borderId="3" xfId="28" applyFont="true" applyBorder="true" applyAlignment="true" applyProtection="true">
      <alignment horizontal="general" vertical="center" textRotation="0" wrapText="fals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4" fontId="0" fillId="45" borderId="0" xfId="0" applyFont="false" applyBorder="false" applyAlignment="false" applyProtection="false">
      <alignment horizontal="general" vertical="bottom" textRotation="0" wrapText="false" indent="0" shrinkToFit="false"/>
      <protection locked="true" hidden="false"/>
    </xf>
    <xf numFmtId="169" fontId="0" fillId="45" borderId="0" xfId="0" applyFont="false" applyBorder="false" applyAlignment="true" applyProtection="false">
      <alignment horizontal="center" vertical="bottom" textRotation="0" wrapText="false" indent="0" shrinkToFit="false"/>
      <protection locked="true" hidden="false"/>
    </xf>
    <xf numFmtId="164" fontId="0" fillId="45" borderId="0" xfId="0" applyFont="false" applyBorder="false" applyAlignment="true" applyProtection="false">
      <alignment horizontal="center" vertical="center" textRotation="0" wrapText="true" indent="0" shrinkToFit="false"/>
      <protection locked="true" hidden="false"/>
    </xf>
    <xf numFmtId="164" fontId="0" fillId="45" borderId="0" xfId="0" applyFont="true" applyBorder="false" applyAlignment="true" applyProtection="false">
      <alignment horizontal="center" vertical="center" textRotation="0" wrapText="true" indent="0" shrinkToFit="false"/>
      <protection locked="true" hidden="false"/>
    </xf>
    <xf numFmtId="170" fontId="10" fillId="45" borderId="0" xfId="0" applyFont="true" applyBorder="false" applyAlignment="true" applyProtection="false">
      <alignment horizontal="center" vertical="center" textRotation="0" wrapText="false" indent="0" shrinkToFit="false"/>
      <protection locked="true" hidden="false"/>
    </xf>
    <xf numFmtId="167" fontId="0" fillId="45" borderId="0" xfId="0" applyFont="false" applyBorder="false" applyAlignment="true" applyProtection="false">
      <alignment horizontal="center" vertical="center" textRotation="0" wrapText="false" indent="0" shrinkToFit="false"/>
      <protection locked="true" hidden="false"/>
    </xf>
    <xf numFmtId="167" fontId="49" fillId="0" borderId="2" xfId="15" applyFont="true" applyBorder="true" applyAlignment="true" applyProtection="true">
      <alignment horizontal="center" vertical="bottom" textRotation="0" wrapText="false" indent="0" shrinkToFit="false"/>
      <protection locked="true" hidden="false"/>
    </xf>
    <xf numFmtId="164" fontId="61" fillId="0" borderId="0" xfId="0" applyFont="true" applyBorder="false" applyAlignment="true" applyProtection="false">
      <alignment horizontal="center" vertical="bottom" textRotation="0" wrapText="false" indent="0" shrinkToFit="false"/>
      <protection locked="true" hidden="false"/>
    </xf>
    <xf numFmtId="181" fontId="49" fillId="0" borderId="2" xfId="15" applyFont="true" applyBorder="true" applyAlignment="true" applyProtection="true">
      <alignment horizontal="right" vertical="bottom" textRotation="0" wrapText="false" indent="0" shrinkToFit="false"/>
      <protection locked="true" hidden="false"/>
    </xf>
    <xf numFmtId="181" fontId="49" fillId="9" borderId="2" xfId="15" applyFont="true" applyBorder="true" applyAlignment="true" applyProtection="true">
      <alignment horizontal="center" vertical="bottom" textRotation="0" wrapText="false" indent="0" shrinkToFit="false"/>
      <protection locked="true" hidden="false"/>
    </xf>
    <xf numFmtId="164" fontId="62" fillId="0" borderId="0" xfId="0" applyFont="true" applyBorder="false" applyAlignment="true" applyProtection="false">
      <alignment horizontal="center" vertical="bottom" textRotation="0" wrapText="true" indent="0" shrinkToFit="false"/>
      <protection locked="true" hidden="false"/>
    </xf>
    <xf numFmtId="164" fontId="62" fillId="0" borderId="0" xfId="0" applyFont="true" applyBorder="true" applyAlignment="true" applyProtection="false">
      <alignment horizontal="center" vertical="bottom" textRotation="0" wrapText="true" indent="0" shrinkToFit="false"/>
      <protection locked="true" hidden="false"/>
    </xf>
    <xf numFmtId="164" fontId="63" fillId="0" borderId="0" xfId="0" applyFont="true" applyBorder="false" applyAlignment="true" applyProtection="false">
      <alignment horizontal="left" vertical="bottom" textRotation="0" wrapText="false" indent="0" shrinkToFit="false"/>
      <protection locked="true" hidden="false"/>
    </xf>
    <xf numFmtId="164" fontId="63" fillId="0" borderId="0" xfId="0" applyFont="true" applyBorder="false" applyAlignment="true" applyProtection="false">
      <alignment horizontal="general" vertical="bottom" textRotation="0" wrapText="false" indent="0" shrinkToFit="false"/>
      <protection locked="true" hidden="false"/>
    </xf>
    <xf numFmtId="167" fontId="0" fillId="32" borderId="2" xfId="0" applyFont="false" applyBorder="tru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false">
      <alignment horizontal="right" vertical="bottom" textRotation="0" wrapText="false" indent="0" shrinkToFit="false"/>
      <protection locked="true" hidden="false"/>
    </xf>
    <xf numFmtId="167" fontId="0" fillId="0" borderId="0" xfId="0" applyFont="true" applyBorder="true" applyAlignment="false" applyProtection="false">
      <alignment horizontal="general" vertical="bottom" textRotation="0" wrapText="false" indent="0" shrinkToFit="false"/>
      <protection locked="true" hidden="false"/>
    </xf>
    <xf numFmtId="164" fontId="55" fillId="3" borderId="0" xfId="0" applyFont="true" applyBorder="false" applyAlignment="true" applyProtection="false">
      <alignment horizontal="center" vertical="center" textRotation="0" wrapText="true" indent="0" shrinkToFit="false"/>
      <protection locked="true" hidden="false"/>
    </xf>
    <xf numFmtId="164" fontId="30" fillId="0" borderId="0" xfId="0" applyFont="true" applyBorder="false" applyAlignment="true" applyProtection="false">
      <alignment horizontal="general" vertical="bottom" textRotation="0" wrapText="false" indent="0" shrinkToFit="false"/>
      <protection locked="true" hidden="false"/>
    </xf>
    <xf numFmtId="167" fontId="0" fillId="27" borderId="0" xfId="0" applyFont="true" applyBorder="true" applyAlignment="true" applyProtection="false">
      <alignment horizontal="right" vertical="bottom" textRotation="0" wrapText="false" indent="0" shrinkToFit="false"/>
      <protection locked="true" hidden="false"/>
    </xf>
    <xf numFmtId="167" fontId="0" fillId="0" borderId="0" xfId="0" applyFont="true" applyBorder="true" applyAlignment="true" applyProtection="false">
      <alignment horizontal="right" vertical="bottom" textRotation="0" wrapText="false" indent="0" shrinkToFit="false"/>
      <protection locked="true" hidden="false"/>
    </xf>
    <xf numFmtId="164" fontId="0" fillId="29" borderId="0" xfId="0" applyFont="false" applyBorder="false" applyAlignment="true" applyProtection="false">
      <alignment horizontal="center" vertical="center" textRotation="0" wrapText="true" indent="0" shrinkToFit="false"/>
      <protection locked="true" hidden="false"/>
    </xf>
    <xf numFmtId="164" fontId="0" fillId="29" borderId="0" xfId="0" applyFont="true" applyBorder="false" applyAlignment="true" applyProtection="false">
      <alignment horizontal="center" vertical="bottom" textRotation="0" wrapText="false" indent="0" shrinkToFit="false"/>
      <protection locked="true" hidden="false"/>
    </xf>
    <xf numFmtId="164" fontId="0" fillId="22" borderId="0" xfId="0" applyFont="true" applyBorder="false" applyAlignment="true" applyProtection="false">
      <alignment horizontal="center" vertical="bottom" textRotation="0" wrapText="false" indent="0" shrinkToFit="false"/>
      <protection locked="true" hidden="false"/>
    </xf>
    <xf numFmtId="164" fontId="30" fillId="0" borderId="0" xfId="0" applyFont="true" applyBorder="false" applyAlignment="true" applyProtection="false">
      <alignment horizontal="center" vertical="bottom" textRotation="0" wrapText="true" indent="0" shrinkToFit="false"/>
      <protection locked="true" hidden="false"/>
    </xf>
    <xf numFmtId="167" fontId="0" fillId="0" borderId="0" xfId="0" applyFont="false" applyBorder="false" applyAlignment="true" applyProtection="false">
      <alignment horizontal="right" vertical="center" textRotation="0" wrapText="false" indent="0" shrinkToFit="false"/>
      <protection locked="true" hidden="false"/>
    </xf>
    <xf numFmtId="164" fontId="0" fillId="31" borderId="0" xfId="0" applyFont="true" applyBorder="false" applyAlignment="true" applyProtection="false">
      <alignment horizontal="center" vertical="bottom" textRotation="0" wrapText="false" indent="0" shrinkToFit="false"/>
      <protection locked="true" hidden="false"/>
    </xf>
    <xf numFmtId="167" fontId="0" fillId="46" borderId="0" xfId="0" applyFont="false" applyBorder="false" applyAlignment="true" applyProtection="false">
      <alignment horizontal="center" vertical="bottom" textRotation="0" wrapText="false" indent="0" shrinkToFit="false"/>
      <protection locked="true" hidden="false"/>
    </xf>
    <xf numFmtId="167" fontId="0" fillId="46" borderId="0" xfId="0" applyFont="true" applyBorder="false" applyAlignment="true" applyProtection="false">
      <alignment horizontal="center" vertical="center" textRotation="0" wrapText="false" indent="0" shrinkToFit="false"/>
      <protection locked="true" hidden="false"/>
    </xf>
    <xf numFmtId="170" fontId="10" fillId="46" borderId="0" xfId="0" applyFont="true" applyBorder="false" applyAlignment="true" applyProtection="false">
      <alignment horizontal="center" vertical="center" textRotation="0" wrapText="false" indent="0" shrinkToFit="false"/>
      <protection locked="true" hidden="false"/>
    </xf>
    <xf numFmtId="164" fontId="0" fillId="46" borderId="0" xfId="0" applyFont="false" applyBorder="false" applyAlignment="true" applyProtection="false">
      <alignment horizontal="center" vertical="center" textRotation="0" wrapText="false" indent="0" shrinkToFit="false"/>
      <protection locked="true" hidden="false"/>
    </xf>
    <xf numFmtId="164" fontId="0" fillId="46" borderId="0" xfId="0" applyFont="false" applyBorder="false" applyAlignment="true" applyProtection="false">
      <alignment horizontal="center" vertical="center" textRotation="0" wrapText="true" indent="0" shrinkToFit="false"/>
      <protection locked="true" hidden="false"/>
    </xf>
    <xf numFmtId="164" fontId="30" fillId="0" borderId="0" xfId="0" applyFont="true" applyBorder="true" applyAlignment="true" applyProtection="false">
      <alignment horizontal="general" vertical="bottom" textRotation="0" wrapText="true" indent="0" shrinkToFit="false"/>
      <protection locked="true" hidden="false"/>
    </xf>
    <xf numFmtId="164" fontId="64" fillId="0" borderId="0" xfId="0" applyFont="true" applyBorder="false" applyAlignment="true" applyProtection="false">
      <alignment horizontal="left" vertical="bottom" textRotation="0" wrapText="true" indent="0" shrinkToFit="false"/>
      <protection locked="true" hidden="false"/>
    </xf>
    <xf numFmtId="164" fontId="64" fillId="0" borderId="0" xfId="0" applyFont="true" applyBorder="false" applyAlignment="true" applyProtection="false">
      <alignment horizontal="left" vertical="top" textRotation="0" wrapText="true" indent="0" shrinkToFit="false"/>
      <protection locked="true" hidden="false"/>
    </xf>
    <xf numFmtId="167" fontId="0" fillId="9" borderId="0" xfId="0" applyFont="true" applyBorder="false" applyAlignment="true" applyProtection="false">
      <alignment horizontal="left"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14" fillId="10" borderId="2" xfId="0" applyFont="true" applyBorder="true" applyAlignment="true" applyProtection="false">
      <alignment horizontal="center" vertical="center" textRotation="0" wrapText="false" indent="0" shrinkToFit="false"/>
      <protection locked="true" hidden="false"/>
    </xf>
    <xf numFmtId="164" fontId="0" fillId="0" borderId="21" xfId="0" applyFont="true" applyBorder="true" applyAlignment="true" applyProtection="false">
      <alignment horizontal="center" vertical="bottom" textRotation="0" wrapText="false" indent="0" shrinkToFit="false"/>
      <protection locked="true" hidden="false"/>
    </xf>
    <xf numFmtId="164" fontId="0" fillId="0" borderId="31" xfId="0" applyFont="true" applyBorder="true" applyAlignment="true" applyProtection="false">
      <alignment horizontal="center" vertical="bottom" textRotation="0" wrapText="false" indent="0" shrinkToFit="false"/>
      <protection locked="true" hidden="false"/>
    </xf>
    <xf numFmtId="164" fontId="0" fillId="0" borderId="32" xfId="0" applyFont="true" applyBorder="true" applyAlignment="true" applyProtection="false">
      <alignment horizontal="center" vertical="bottom" textRotation="0" wrapText="false" indent="0" shrinkToFit="false"/>
      <protection locked="true" hidden="false"/>
    </xf>
    <xf numFmtId="164" fontId="0" fillId="0" borderId="5" xfId="0" applyFont="true" applyBorder="true" applyAlignment="true" applyProtection="false">
      <alignment horizontal="center" vertical="bottom" textRotation="0" wrapText="false" indent="0" shrinkToFit="false"/>
      <protection locked="true" hidden="false"/>
    </xf>
    <xf numFmtId="164" fontId="0" fillId="0" borderId="33" xfId="0" applyFont="false" applyBorder="true" applyAlignment="true" applyProtection="false">
      <alignment horizontal="center" vertical="bottom" textRotation="0" wrapText="false" indent="0" shrinkToFit="false"/>
      <protection locked="true" hidden="false"/>
    </xf>
    <xf numFmtId="164" fontId="0" fillId="0" borderId="34" xfId="0" applyFont="false" applyBorder="true" applyAlignment="true" applyProtection="false">
      <alignment horizontal="center" vertical="bottom" textRotation="0" wrapText="false" indent="0" shrinkToFit="false"/>
      <protection locked="true" hidden="false"/>
    </xf>
    <xf numFmtId="167" fontId="0" fillId="0" borderId="33" xfId="0" applyFont="false" applyBorder="true" applyAlignment="false" applyProtection="false">
      <alignment horizontal="general" vertical="bottom" textRotation="0" wrapText="false" indent="0" shrinkToFit="false"/>
      <protection locked="true" hidden="false"/>
    </xf>
    <xf numFmtId="167" fontId="0" fillId="0" borderId="35" xfId="0" applyFont="false" applyBorder="true" applyAlignment="false" applyProtection="false">
      <alignment horizontal="general" vertical="bottom" textRotation="0" wrapText="false" indent="0" shrinkToFit="false"/>
      <protection locked="true" hidden="false"/>
    </xf>
    <xf numFmtId="164" fontId="0" fillId="0" borderId="36" xfId="0" applyFont="false" applyBorder="true" applyAlignment="true" applyProtection="false">
      <alignment horizontal="center" vertical="bottom" textRotation="0" wrapText="false" indent="0" shrinkToFit="false"/>
      <protection locked="true" hidden="false"/>
    </xf>
    <xf numFmtId="164" fontId="0" fillId="0" borderId="7" xfId="0" applyFont="false" applyBorder="true" applyAlignment="true" applyProtection="false">
      <alignment horizontal="center" vertical="bottom" textRotation="0" wrapText="false" indent="0" shrinkToFit="false"/>
      <protection locked="true" hidden="false"/>
    </xf>
    <xf numFmtId="167" fontId="0" fillId="0" borderId="36" xfId="0" applyFont="false" applyBorder="true" applyAlignment="false" applyProtection="false">
      <alignment horizontal="general" vertical="bottom" textRotation="0" wrapText="false" indent="0" shrinkToFit="false"/>
      <protection locked="true" hidden="false"/>
    </xf>
    <xf numFmtId="164" fontId="30" fillId="0" borderId="0" xfId="0" applyFont="true" applyBorder="false" applyAlignment="false" applyProtection="false">
      <alignment horizontal="general" vertical="bottom" textRotation="0" wrapText="false" indent="0" shrinkToFit="false"/>
      <protection locked="true" hidden="false"/>
    </xf>
    <xf numFmtId="164" fontId="0" fillId="0" borderId="4" xfId="0" applyFont="false" applyBorder="true" applyAlignment="true" applyProtection="false">
      <alignment horizontal="center" vertical="bottom" textRotation="0" wrapText="false" indent="0" shrinkToFit="false"/>
      <protection locked="true" hidden="false"/>
    </xf>
    <xf numFmtId="167" fontId="0" fillId="0" borderId="32" xfId="0" applyFont="false" applyBorder="true" applyAlignment="false" applyProtection="false">
      <alignment horizontal="general" vertical="bottom" textRotation="0" wrapText="false" indent="0" shrinkToFit="false"/>
      <protection locked="true" hidden="false"/>
    </xf>
    <xf numFmtId="167" fontId="0" fillId="0" borderId="5" xfId="0" applyFont="false" applyBorder="true" applyAlignment="false" applyProtection="false">
      <alignment horizontal="general" vertical="bottom" textRotation="0" wrapText="false" indent="0" shrinkToFit="false"/>
      <protection locked="true" hidden="false"/>
    </xf>
    <xf numFmtId="164" fontId="0" fillId="0" borderId="37" xfId="0" applyFont="true" applyBorder="true" applyAlignment="true" applyProtection="false">
      <alignment horizontal="center" vertical="bottom" textRotation="0" wrapText="false" indent="0" shrinkToFit="false"/>
      <protection locked="true" hidden="false"/>
    </xf>
    <xf numFmtId="167" fontId="0" fillId="0" borderId="38" xfId="0" applyFont="false" applyBorder="true" applyAlignment="false" applyProtection="false">
      <alignment horizontal="general" vertical="bottom" textRotation="0" wrapText="false" indent="0" shrinkToFit="false"/>
      <protection locked="true" hidden="false"/>
    </xf>
    <xf numFmtId="167" fontId="0" fillId="0" borderId="39" xfId="0" applyFont="false" applyBorder="true" applyAlignment="false" applyProtection="false">
      <alignment horizontal="general" vertical="bottom" textRotation="0" wrapText="false" indent="0" shrinkToFit="false"/>
      <protection locked="true" hidden="false"/>
    </xf>
    <xf numFmtId="167" fontId="0" fillId="0" borderId="40" xfId="0" applyFont="false" applyBorder="true" applyAlignment="false" applyProtection="false">
      <alignment horizontal="general" vertical="bottom" textRotation="0" wrapText="false" indent="0" shrinkToFit="false"/>
      <protection locked="true" hidden="false"/>
    </xf>
    <xf numFmtId="164" fontId="0" fillId="0" borderId="41" xfId="0" applyFont="false" applyBorder="true" applyAlignment="true" applyProtection="false">
      <alignment horizontal="center" vertical="bottom" textRotation="0" wrapText="false" indent="0" shrinkToFit="false"/>
      <protection locked="true" hidden="false"/>
    </xf>
    <xf numFmtId="164" fontId="0" fillId="0" borderId="42" xfId="0" applyFont="false" applyBorder="true" applyAlignment="true" applyProtection="false">
      <alignment horizontal="center" vertical="bottom" textRotation="0" wrapText="false" indent="0" shrinkToFit="false"/>
      <protection locked="true" hidden="false"/>
    </xf>
    <xf numFmtId="167" fontId="0" fillId="9"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4" fontId="10" fillId="29" borderId="0" xfId="0" applyFont="true" applyBorder="false" applyAlignment="true" applyProtection="false">
      <alignment horizontal="center" vertical="bottom" textRotation="0" wrapText="false" indent="0" shrinkToFit="false"/>
      <protection locked="true" hidden="false"/>
    </xf>
    <xf numFmtId="164" fontId="0" fillId="29" borderId="0" xfId="0" applyFont="false" applyBorder="false" applyAlignment="true" applyProtection="false">
      <alignment horizontal="center" vertical="center" textRotation="0" wrapText="false" indent="0" shrinkToFit="false"/>
      <protection locked="true" hidden="false"/>
    </xf>
    <xf numFmtId="164" fontId="65" fillId="23" borderId="0" xfId="0" applyFont="true" applyBorder="false" applyAlignment="tru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right" vertical="center" textRotation="0" wrapText="true" indent="0" shrinkToFit="false"/>
      <protection locked="true" hidden="false"/>
    </xf>
    <xf numFmtId="167" fontId="0" fillId="17" borderId="3" xfId="0" applyFont="true" applyBorder="true" applyAlignment="true" applyProtection="false">
      <alignment horizontal="center" vertical="bottom" textRotation="0" wrapText="false" indent="0" shrinkToFit="false"/>
      <protection locked="true" hidden="false"/>
    </xf>
    <xf numFmtId="164" fontId="0" fillId="17" borderId="0" xfId="0" applyFont="true" applyBorder="false" applyAlignment="true" applyProtection="false">
      <alignment horizontal="center" vertical="bottom" textRotation="0" wrapText="false" indent="0" shrinkToFit="false"/>
      <protection locked="true" hidden="false"/>
    </xf>
    <xf numFmtId="164" fontId="20" fillId="0" borderId="0" xfId="0" applyFont="true" applyBorder="false" applyAlignment="true" applyProtection="false">
      <alignment horizontal="left" vertical="center" textRotation="0" wrapText="false" indent="0" shrinkToFit="false"/>
      <protection locked="true" hidden="false"/>
    </xf>
    <xf numFmtId="164" fontId="0" fillId="0" borderId="3" xfId="0" applyFont="false" applyBorder="true" applyAlignment="true" applyProtection="false">
      <alignment horizontal="center" vertical="center" textRotation="0" wrapText="true" indent="0" shrinkToFit="false"/>
      <protection locked="true" hidden="false"/>
    </xf>
    <xf numFmtId="167" fontId="9" fillId="9" borderId="2" xfId="0" applyFont="true" applyBorder="true" applyAlignment="true" applyProtection="false">
      <alignment horizontal="center" vertical="center" textRotation="0" wrapText="true" indent="0" shrinkToFit="false"/>
      <protection locked="true" hidden="false"/>
    </xf>
    <xf numFmtId="169" fontId="0" fillId="15" borderId="0" xfId="0" applyFont="true" applyBorder="false" applyAlignment="true" applyProtection="false">
      <alignment horizontal="center" vertical="bottom" textRotation="0" wrapText="false" indent="0" shrinkToFit="false"/>
      <protection locked="true" hidden="false"/>
    </xf>
    <xf numFmtId="164" fontId="11" fillId="0" borderId="0" xfId="41" applyFont="true" applyBorder="false" applyAlignment="false" applyProtection="false">
      <alignment horizontal="general" vertical="bottom" textRotation="0" wrapText="false" indent="0" shrinkToFit="false"/>
      <protection locked="true" hidden="false"/>
    </xf>
    <xf numFmtId="164" fontId="32" fillId="9" borderId="0" xfId="0" applyFont="true" applyBorder="false" applyAlignment="true" applyProtection="false">
      <alignment horizontal="general" vertical="bottom" textRotation="0" wrapText="false" indent="0" shrinkToFit="false"/>
      <protection locked="true" hidden="false"/>
    </xf>
    <xf numFmtId="164" fontId="17" fillId="8" borderId="2" xfId="0" applyFont="true" applyBorder="true" applyAlignment="true" applyProtection="false">
      <alignment horizontal="center" vertical="center" textRotation="0" wrapText="false" indent="0" shrinkToFit="false"/>
      <protection locked="true" hidden="false"/>
    </xf>
    <xf numFmtId="164" fontId="0" fillId="19" borderId="0" xfId="0" applyFont="false" applyBorder="false" applyAlignment="false" applyProtection="false">
      <alignment horizontal="general" vertical="bottom" textRotation="0" wrapText="false" indent="0" shrinkToFit="false"/>
      <protection locked="true" hidden="false"/>
    </xf>
    <xf numFmtId="164" fontId="0" fillId="19" borderId="0" xfId="0" applyFont="false" applyBorder="false" applyAlignment="true" applyProtection="false">
      <alignment horizontal="center" vertical="bottom" textRotation="0" wrapText="false" indent="0" shrinkToFit="false"/>
      <protection locked="true" hidden="false"/>
    </xf>
    <xf numFmtId="167" fontId="0" fillId="9" borderId="2" xfId="0" applyFont="false" applyBorder="true" applyAlignment="true" applyProtection="false">
      <alignment horizontal="center" vertical="center" textRotation="0" wrapText="true" indent="0" shrinkToFit="false"/>
      <protection locked="true" hidden="false"/>
    </xf>
    <xf numFmtId="167" fontId="0" fillId="9" borderId="0" xfId="0" applyFont="true" applyBorder="false" applyAlignment="true" applyProtection="false">
      <alignment horizontal="center" vertical="center" textRotation="0" wrapText="true" indent="0" shrinkToFit="false"/>
      <protection locked="true" hidden="false"/>
    </xf>
    <xf numFmtId="164" fontId="0" fillId="9" borderId="0" xfId="0" applyFont="true" applyBorder="false" applyAlignment="false" applyProtection="false">
      <alignment horizontal="general" vertical="bottom" textRotation="0" wrapText="false" indent="0" shrinkToFit="false"/>
      <protection locked="true" hidden="false"/>
    </xf>
    <xf numFmtId="164" fontId="20" fillId="9" borderId="0" xfId="0" applyFont="true" applyBorder="false" applyAlignment="true" applyProtection="false">
      <alignment horizontal="left" vertical="center" textRotation="0" wrapText="false" indent="0" shrinkToFit="false"/>
      <protection locked="true" hidden="false"/>
    </xf>
    <xf numFmtId="164" fontId="41" fillId="0" borderId="0" xfId="0" applyFont="true" applyBorder="false" applyAlignment="false" applyProtection="false">
      <alignment horizontal="general" vertical="bottom" textRotation="0" wrapText="false" indent="0" shrinkToFit="false"/>
      <protection locked="true" hidden="false"/>
    </xf>
    <xf numFmtId="164" fontId="41" fillId="0" borderId="0" xfId="0" applyFont="true" applyBorder="false" applyAlignment="true" applyProtection="false">
      <alignment horizontal="center" vertical="center" textRotation="0" wrapText="true" indent="0" shrinkToFit="false"/>
      <protection locked="true" hidden="false"/>
    </xf>
    <xf numFmtId="164" fontId="0" fillId="47" borderId="0" xfId="0" applyFont="false" applyBorder="false" applyAlignment="false" applyProtection="false">
      <alignment horizontal="general" vertical="bottom" textRotation="0" wrapText="false" indent="0" shrinkToFit="false"/>
      <protection locked="true" hidden="false"/>
    </xf>
    <xf numFmtId="164" fontId="0" fillId="47" borderId="0" xfId="0" applyFont="false" applyBorder="false" applyAlignment="true" applyProtection="false">
      <alignment horizontal="center" vertical="center" textRotation="0" wrapText="true" indent="0" shrinkToFit="false"/>
      <protection locked="true" hidden="false"/>
    </xf>
    <xf numFmtId="164" fontId="0" fillId="47" borderId="0" xfId="0" applyFont="false" applyBorder="false" applyAlignment="true" applyProtection="false">
      <alignment horizontal="center" vertical="center" textRotation="0" wrapText="false" indent="0" shrinkToFit="false"/>
      <protection locked="true" hidden="false"/>
    </xf>
    <xf numFmtId="167" fontId="0" fillId="47" borderId="0" xfId="0" applyFont="false" applyBorder="false" applyAlignment="true" applyProtection="false">
      <alignment horizontal="center" vertical="center" textRotation="0" wrapText="false" indent="0" shrinkToFit="false"/>
      <protection locked="true" hidden="false"/>
    </xf>
    <xf numFmtId="169" fontId="0" fillId="29" borderId="0" xfId="0" applyFont="false" applyBorder="false" applyAlignment="true" applyProtection="false">
      <alignment horizontal="center" vertical="bottom" textRotation="0" wrapText="false" indent="0" shrinkToFit="false"/>
      <protection locked="true" hidden="false"/>
    </xf>
    <xf numFmtId="164" fontId="10" fillId="29" borderId="0" xfId="0" applyFont="true" applyBorder="false" applyAlignment="true" applyProtection="false">
      <alignment horizontal="center" vertical="center" textRotation="0" wrapText="true" indent="0" shrinkToFit="false"/>
      <protection locked="true" hidden="false"/>
    </xf>
    <xf numFmtId="164" fontId="10" fillId="0" borderId="0"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false" applyAlignment="true" applyProtection="false">
      <alignment horizontal="general" vertical="center" textRotation="0" wrapText="true" indent="0" shrinkToFit="false"/>
      <protection locked="true" hidden="false"/>
    </xf>
    <xf numFmtId="164" fontId="66" fillId="0" borderId="0" xfId="0" applyFont="true" applyBorder="true" applyAlignment="true" applyProtection="false">
      <alignment horizontal="left" vertical="center" textRotation="0" wrapText="true" indent="0" shrinkToFit="false"/>
      <protection locked="true" hidden="false"/>
    </xf>
    <xf numFmtId="164" fontId="62" fillId="9" borderId="0" xfId="0" applyFont="true" applyBorder="false" applyAlignment="true" applyProtection="false">
      <alignment horizontal="general" vertical="bottom" textRotation="0" wrapText="true" indent="0" shrinkToFit="false"/>
      <protection locked="true" hidden="false"/>
    </xf>
    <xf numFmtId="164" fontId="17" fillId="9" borderId="0" xfId="0" applyFont="true" applyBorder="false" applyAlignment="true" applyProtection="false">
      <alignment horizontal="general" vertical="bottom" textRotation="0" wrapText="true" indent="0" shrinkToFit="false"/>
      <protection locked="true" hidden="false"/>
    </xf>
    <xf numFmtId="164" fontId="68" fillId="9" borderId="0" xfId="0" applyFont="true" applyBorder="false" applyAlignment="true" applyProtection="false">
      <alignment horizontal="general" vertical="bottom" textRotation="0" wrapText="true" indent="0" shrinkToFit="false"/>
      <protection locked="true" hidden="false"/>
    </xf>
    <xf numFmtId="164" fontId="17" fillId="9" borderId="0" xfId="0" applyFont="true" applyBorder="false" applyAlignment="true" applyProtection="false">
      <alignment horizontal="right" vertical="bottom" textRotation="0" wrapText="true" indent="0" shrinkToFit="false"/>
      <protection locked="true" hidden="false"/>
    </xf>
    <xf numFmtId="182" fontId="17" fillId="9" borderId="0" xfId="0" applyFont="true" applyBorder="false" applyAlignment="true" applyProtection="false">
      <alignment horizontal="right" vertical="bottom" textRotation="0" wrapText="true" indent="0" shrinkToFit="false"/>
      <protection locked="true" hidden="false"/>
    </xf>
    <xf numFmtId="183" fontId="0" fillId="0" borderId="0" xfId="0" applyFont="false" applyBorder="false" applyAlignment="true" applyProtection="false">
      <alignment horizontal="center" vertical="center" textRotation="0" wrapText="true" indent="0" shrinkToFit="false"/>
      <protection locked="true" hidden="false"/>
    </xf>
    <xf numFmtId="164" fontId="14" fillId="0" borderId="2" xfId="0" applyFont="true" applyBorder="true" applyAlignment="true" applyProtection="false">
      <alignment horizontal="center" vertical="center" textRotation="0" wrapText="true" indent="0" shrinkToFit="false"/>
      <protection locked="true" hidden="false"/>
    </xf>
    <xf numFmtId="167" fontId="14" fillId="0" borderId="2" xfId="0" applyFont="true" applyBorder="true" applyAlignment="true" applyProtection="false">
      <alignment horizontal="center" vertical="center" textRotation="0" wrapText="true" indent="0" shrinkToFit="false"/>
      <protection locked="true" hidden="false"/>
    </xf>
    <xf numFmtId="184" fontId="10" fillId="0" borderId="0" xfId="0" applyFont="true" applyBorder="false" applyAlignment="true" applyProtection="false">
      <alignment horizontal="center" vertical="center" textRotation="0" wrapText="true" indent="0" shrinkToFit="false"/>
      <protection locked="true" hidden="false"/>
    </xf>
    <xf numFmtId="184" fontId="10" fillId="20" borderId="0" xfId="0" applyFont="true" applyBorder="false" applyAlignment="true" applyProtection="false">
      <alignment horizontal="center" vertical="center" textRotation="0" wrapText="true" indent="0" shrinkToFit="false"/>
      <protection locked="true" hidden="false"/>
    </xf>
    <xf numFmtId="167" fontId="43" fillId="0" borderId="2" xfId="0" applyFont="true" applyBorder="true" applyAlignment="true" applyProtection="false">
      <alignment horizontal="center" vertical="center" textRotation="0" wrapText="true" indent="0" shrinkToFit="false"/>
      <protection locked="true" hidden="false"/>
    </xf>
    <xf numFmtId="184" fontId="0" fillId="0" borderId="0" xfId="0" applyFont="false" applyBorder="false" applyAlignment="true" applyProtection="false">
      <alignment horizontal="center" vertical="center" textRotation="0" wrapText="true" indent="0" shrinkToFit="false"/>
      <protection locked="true" hidden="false"/>
    </xf>
    <xf numFmtId="164" fontId="69" fillId="0" borderId="0" xfId="0" applyFont="true" applyBorder="false" applyAlignment="true" applyProtection="false">
      <alignment horizontal="left" vertical="bottom" textRotation="0" wrapText="false" indent="0" shrinkToFit="false"/>
      <protection locked="true" hidden="false"/>
    </xf>
    <xf numFmtId="164" fontId="0" fillId="28" borderId="0" xfId="0" applyFont="true" applyBorder="false" applyAlignment="true" applyProtection="false">
      <alignment horizontal="center" vertical="center" textRotation="0" wrapText="false" indent="0" shrinkToFit="false"/>
      <protection locked="true" hidden="false"/>
    </xf>
    <xf numFmtId="184" fontId="70" fillId="0" borderId="0" xfId="0" applyFont="true" applyBorder="false" applyAlignment="true" applyProtection="false">
      <alignment horizontal="center" vertical="center" textRotation="0" wrapText="true" indent="0" shrinkToFit="false"/>
      <protection locked="true" hidden="false"/>
    </xf>
    <xf numFmtId="167" fontId="70" fillId="28" borderId="0" xfId="0" applyFont="true" applyBorder="false" applyAlignment="true" applyProtection="false">
      <alignment horizontal="center" vertical="center" textRotation="0" wrapText="false" indent="0" shrinkToFit="false"/>
      <protection locked="true" hidden="false"/>
    </xf>
    <xf numFmtId="167" fontId="70" fillId="0" borderId="0" xfId="0" applyFont="true" applyBorder="false" applyAlignment="true" applyProtection="false">
      <alignment horizontal="center" vertical="center" textRotation="0" wrapText="false" indent="0" shrinkToFit="false"/>
      <protection locked="true" hidden="false"/>
    </xf>
    <xf numFmtId="167" fontId="70" fillId="0" borderId="0" xfId="0" applyFont="true" applyBorder="false" applyAlignment="true" applyProtection="false">
      <alignment horizontal="center" vertical="center" textRotation="0" wrapText="true" indent="0" shrinkToFit="false"/>
      <protection locked="true" hidden="false"/>
    </xf>
    <xf numFmtId="164" fontId="0" fillId="11" borderId="0" xfId="0" applyFont="true" applyBorder="false" applyAlignment="true" applyProtection="false">
      <alignment horizontal="left" vertical="center" textRotation="0" wrapText="true" indent="0" shrinkToFit="false"/>
      <protection locked="true" hidden="false"/>
    </xf>
    <xf numFmtId="167" fontId="0" fillId="0" borderId="2" xfId="0" applyFont="true" applyBorder="true" applyAlignment="true" applyProtection="false">
      <alignment horizontal="center" vertical="center" textRotation="0" wrapText="false" indent="0" shrinkToFit="false"/>
      <protection locked="true" hidden="false"/>
    </xf>
    <xf numFmtId="167" fontId="0" fillId="0" borderId="0" xfId="28" applyFont="true" applyBorder="true" applyAlignment="true" applyProtection="true">
      <alignment horizontal="center" vertical="center" textRotation="0" wrapText="false" indent="0" shrinkToFit="false"/>
      <protection locked="true" hidden="false"/>
    </xf>
    <xf numFmtId="164" fontId="0" fillId="0" borderId="0" xfId="28" applyFont="true" applyBorder="true" applyAlignment="true" applyProtection="true">
      <alignment horizontal="center" vertical="center" textRotation="0" wrapText="false" indent="0" shrinkToFit="false"/>
      <protection locked="true" hidden="false"/>
    </xf>
    <xf numFmtId="164" fontId="0" fillId="0" borderId="0" xfId="28" applyFont="true" applyBorder="true" applyAlignment="true" applyProtection="true">
      <alignment horizontal="center" vertical="bottom" textRotation="0" wrapText="false" indent="0" shrinkToFit="false"/>
      <protection locked="true" hidden="false"/>
    </xf>
    <xf numFmtId="164" fontId="0" fillId="0" borderId="0" xfId="28" applyFont="true" applyBorder="true" applyAlignment="true" applyProtection="true">
      <alignment horizontal="general" vertical="bottom" textRotation="0" wrapText="false" indent="0" shrinkToFit="false"/>
      <protection locked="true" hidden="false"/>
    </xf>
    <xf numFmtId="167" fontId="9" fillId="0" borderId="0" xfId="28" applyFont="true" applyBorder="true" applyAlignment="true" applyProtection="true">
      <alignment horizontal="center" vertical="center" textRotation="0" wrapText="false" indent="0" shrinkToFit="false"/>
      <protection locked="true" hidden="false"/>
    </xf>
    <xf numFmtId="164" fontId="0" fillId="0" borderId="0" xfId="29" applyFont="true" applyBorder="true" applyAlignment="true" applyProtection="true">
      <alignment horizontal="center" vertical="bottom" textRotation="0" wrapText="false" indent="0" shrinkToFit="false"/>
      <protection locked="true" hidden="false"/>
    </xf>
    <xf numFmtId="164" fontId="0" fillId="0" borderId="0" xfId="29" applyFont="true" applyBorder="true" applyAlignment="true" applyProtection="true">
      <alignment horizontal="general" vertical="bottom" textRotation="0" wrapText="false" indent="0" shrinkToFit="false"/>
      <protection locked="true" hidden="false"/>
    </xf>
    <xf numFmtId="164" fontId="0" fillId="0" borderId="0" xfId="29" applyFont="true" applyBorder="true" applyAlignment="true" applyProtection="true">
      <alignment horizontal="center" vertical="center" textRotation="0" wrapText="false" indent="0" shrinkToFit="false"/>
      <protection locked="true" hidden="false"/>
    </xf>
    <xf numFmtId="167" fontId="0" fillId="0" borderId="0" xfId="29" applyFont="true" applyBorder="true" applyAlignment="true" applyProtection="true">
      <alignment horizontal="center" vertical="center" textRotation="0" wrapText="false" indent="0" shrinkToFit="false"/>
      <protection locked="true" hidden="false"/>
    </xf>
    <xf numFmtId="167" fontId="9" fillId="0" borderId="0" xfId="29" applyFont="true" applyBorder="true" applyAlignment="true" applyProtection="true">
      <alignment horizontal="center" vertical="center" textRotation="0" wrapText="false" indent="0" shrinkToFit="false"/>
      <protection locked="true" hidden="false"/>
    </xf>
    <xf numFmtId="164" fontId="0" fillId="0" borderId="0" xfId="30" applyFont="true" applyBorder="true" applyAlignment="true" applyProtection="true">
      <alignment horizontal="center" vertical="bottom" textRotation="0" wrapText="false" indent="0" shrinkToFit="false"/>
      <protection locked="true" hidden="false"/>
    </xf>
    <xf numFmtId="164" fontId="0" fillId="0" borderId="0" xfId="30" applyFont="true" applyBorder="true" applyAlignment="true" applyProtection="true">
      <alignment horizontal="general" vertical="bottom" textRotation="0" wrapText="false" indent="0" shrinkToFit="false"/>
      <protection locked="true" hidden="false"/>
    </xf>
    <xf numFmtId="164" fontId="0" fillId="0" borderId="0" xfId="30" applyFont="true" applyBorder="true" applyAlignment="true" applyProtection="true">
      <alignment horizontal="center" vertical="center" textRotation="0" wrapText="false" indent="0" shrinkToFit="false"/>
      <protection locked="true" hidden="false"/>
    </xf>
    <xf numFmtId="167" fontId="0" fillId="0" borderId="0" xfId="30" applyFont="true" applyBorder="true" applyAlignment="true" applyProtection="true">
      <alignment horizontal="center" vertical="center" textRotation="0" wrapText="false" indent="0" shrinkToFit="false"/>
      <protection locked="true" hidden="false"/>
    </xf>
    <xf numFmtId="167" fontId="9" fillId="0" borderId="0" xfId="30" applyFont="true" applyBorder="true" applyAlignment="true" applyProtection="true">
      <alignment horizontal="center" vertical="center" textRotation="0" wrapText="false" indent="0" shrinkToFit="false"/>
      <protection locked="true" hidden="false"/>
    </xf>
    <xf numFmtId="164" fontId="0" fillId="0" borderId="0" xfId="31" applyFont="true" applyBorder="true" applyAlignment="true" applyProtection="true">
      <alignment horizontal="center" vertical="bottom" textRotation="0" wrapText="false" indent="0" shrinkToFit="false"/>
      <protection locked="true" hidden="false"/>
    </xf>
    <xf numFmtId="164" fontId="0" fillId="0" borderId="0" xfId="31" applyFont="true" applyBorder="true" applyAlignment="true" applyProtection="true">
      <alignment horizontal="general" vertical="bottom" textRotation="0" wrapText="false" indent="0" shrinkToFit="false"/>
      <protection locked="true" hidden="false"/>
    </xf>
    <xf numFmtId="164" fontId="0" fillId="0" borderId="0" xfId="31" applyFont="true" applyBorder="true" applyAlignment="true" applyProtection="true">
      <alignment horizontal="center" vertical="center" textRotation="0" wrapText="false" indent="0" shrinkToFit="false"/>
      <protection locked="true" hidden="false"/>
    </xf>
    <xf numFmtId="167" fontId="0" fillId="0" borderId="0" xfId="31" applyFont="true" applyBorder="true" applyAlignment="true" applyProtection="true">
      <alignment horizontal="center" vertical="center" textRotation="0" wrapText="false" indent="0" shrinkToFit="false"/>
      <protection locked="true" hidden="false"/>
    </xf>
    <xf numFmtId="167" fontId="9" fillId="0" borderId="0" xfId="31" applyFont="true" applyBorder="true" applyAlignment="true" applyProtection="true">
      <alignment horizontal="center" vertical="center" textRotation="0" wrapText="false" indent="0" shrinkToFit="false"/>
      <protection locked="true" hidden="false"/>
    </xf>
    <xf numFmtId="164" fontId="0" fillId="0" borderId="0" xfId="32" applyFont="true" applyBorder="true" applyAlignment="true" applyProtection="true">
      <alignment horizontal="center" vertical="bottom" textRotation="0" wrapText="false" indent="0" shrinkToFit="false"/>
      <protection locked="true" hidden="false"/>
    </xf>
    <xf numFmtId="164" fontId="0" fillId="0" borderId="0" xfId="32" applyFont="true" applyBorder="true" applyAlignment="true" applyProtection="true">
      <alignment horizontal="general" vertical="bottom" textRotation="0" wrapText="false" indent="0" shrinkToFit="false"/>
      <protection locked="true" hidden="false"/>
    </xf>
    <xf numFmtId="164" fontId="0" fillId="0" borderId="0" xfId="32" applyFont="true" applyBorder="true" applyAlignment="true" applyProtection="true">
      <alignment horizontal="center" vertical="center" textRotation="0" wrapText="false" indent="0" shrinkToFit="false"/>
      <protection locked="true" hidden="false"/>
    </xf>
    <xf numFmtId="167" fontId="0" fillId="0" borderId="0" xfId="32" applyFont="true" applyBorder="true" applyAlignment="true" applyProtection="true">
      <alignment horizontal="center" vertical="center" textRotation="0" wrapText="false" indent="0" shrinkToFit="false"/>
      <protection locked="true" hidden="false"/>
    </xf>
    <xf numFmtId="167" fontId="9" fillId="0" borderId="0" xfId="32" applyFont="true" applyBorder="true" applyAlignment="true" applyProtection="true">
      <alignment horizontal="center" vertical="center" textRotation="0" wrapText="false" indent="0" shrinkToFit="false"/>
      <protection locked="true" hidden="false"/>
    </xf>
    <xf numFmtId="164" fontId="0" fillId="0" borderId="0" xfId="33" applyFont="true" applyBorder="true" applyAlignment="true" applyProtection="true">
      <alignment horizontal="center" vertical="bottom" textRotation="0" wrapText="false" indent="0" shrinkToFit="false"/>
      <protection locked="true" hidden="false"/>
    </xf>
    <xf numFmtId="164" fontId="0" fillId="0" borderId="0" xfId="33" applyFont="true" applyBorder="true" applyAlignment="true" applyProtection="true">
      <alignment horizontal="general" vertical="bottom" textRotation="0" wrapText="false" indent="0" shrinkToFit="false"/>
      <protection locked="true" hidden="false"/>
    </xf>
    <xf numFmtId="164" fontId="0" fillId="0" borderId="0" xfId="33" applyFont="true" applyBorder="true" applyAlignment="true" applyProtection="true">
      <alignment horizontal="center" vertical="center" textRotation="0" wrapText="false" indent="0" shrinkToFit="false"/>
      <protection locked="true" hidden="false"/>
    </xf>
    <xf numFmtId="167" fontId="0" fillId="0" borderId="0" xfId="33" applyFont="true" applyBorder="true" applyAlignment="true" applyProtection="true">
      <alignment horizontal="center" vertical="center" textRotation="0" wrapText="false" indent="0" shrinkToFit="false"/>
      <protection locked="true" hidden="false"/>
    </xf>
    <xf numFmtId="167" fontId="0" fillId="0" borderId="0" xfId="33" applyFont="true" applyBorder="true" applyAlignment="true" applyProtection="true">
      <alignment horizontal="left" vertical="center" textRotation="0" wrapText="false" indent="0" shrinkToFit="false"/>
      <protection locked="true" hidden="false"/>
    </xf>
    <xf numFmtId="167" fontId="9" fillId="0" borderId="0" xfId="33" applyFont="true" applyBorder="true" applyAlignment="true" applyProtection="true">
      <alignment horizontal="left" vertical="center" textRotation="0" wrapText="false" indent="0" shrinkToFit="false"/>
      <protection locked="true" hidden="false"/>
    </xf>
    <xf numFmtId="164" fontId="0" fillId="0" borderId="0" xfId="34" applyFont="true" applyBorder="true" applyAlignment="true" applyProtection="true">
      <alignment horizontal="left" vertical="bottom" textRotation="0" wrapText="false" indent="0" shrinkToFit="false"/>
      <protection locked="true" hidden="false"/>
    </xf>
    <xf numFmtId="164" fontId="12" fillId="0" borderId="0" xfId="26" applyFont="true" applyBorder="true" applyAlignment="true" applyProtection="true">
      <alignment horizontal="center" vertical="bottom" textRotation="0" wrapText="false" indent="0" shrinkToFit="false"/>
      <protection locked="true" hidden="false"/>
    </xf>
    <xf numFmtId="164" fontId="5" fillId="0" borderId="0" xfId="26" applyFont="false" applyBorder="false" applyAlignment="false" applyProtection="false">
      <alignment horizontal="general" vertical="bottom" textRotation="0" wrapText="false" indent="0" shrinkToFit="false"/>
      <protection locked="true" hidden="false"/>
    </xf>
    <xf numFmtId="164" fontId="0" fillId="0" borderId="0" xfId="34" applyFont="true" applyBorder="true" applyAlignment="true" applyProtection="true">
      <alignment horizontal="left" vertical="center" textRotation="0" wrapText="false" indent="0" shrinkToFit="false"/>
      <protection locked="true" hidden="false"/>
    </xf>
    <xf numFmtId="164" fontId="0" fillId="0" borderId="0" xfId="26" applyFont="true" applyBorder="true" applyAlignment="true" applyProtection="true">
      <alignment horizontal="general" vertical="bottom" textRotation="0" wrapText="false" indent="0" shrinkToFit="false"/>
      <protection locked="true" hidden="false"/>
    </xf>
    <xf numFmtId="164" fontId="9" fillId="0" borderId="2" xfId="26" applyFont="true" applyBorder="true" applyAlignment="true" applyProtection="true">
      <alignment horizontal="center" vertical="center" textRotation="0" wrapText="false" indent="0" shrinkToFit="false"/>
      <protection locked="true" hidden="false"/>
    </xf>
    <xf numFmtId="164" fontId="9" fillId="0" borderId="0" xfId="26" applyFont="true" applyBorder="false" applyAlignment="false" applyProtection="false">
      <alignment horizontal="general" vertical="bottom" textRotation="0" wrapText="false" indent="0" shrinkToFit="false"/>
      <protection locked="true" hidden="false"/>
    </xf>
    <xf numFmtId="164" fontId="9" fillId="0" borderId="2" xfId="26" applyFont="true" applyBorder="true" applyAlignment="true" applyProtection="false">
      <alignment horizontal="center" vertical="center" textRotation="0" wrapText="false" indent="0" shrinkToFit="false"/>
      <protection locked="true" hidden="false"/>
    </xf>
    <xf numFmtId="167" fontId="0" fillId="0" borderId="0" xfId="34" applyFont="true" applyBorder="true" applyAlignment="true" applyProtection="true">
      <alignment horizontal="left" vertical="center" textRotation="0" wrapText="false" indent="0" shrinkToFit="false"/>
      <protection locked="true" hidden="false"/>
    </xf>
    <xf numFmtId="164" fontId="0" fillId="0" borderId="4" xfId="26" applyFont="true" applyBorder="true" applyAlignment="true" applyProtection="true">
      <alignment horizontal="center" vertical="center" textRotation="0" wrapText="false" indent="0" shrinkToFit="false"/>
      <protection locked="true" hidden="false"/>
    </xf>
    <xf numFmtId="164" fontId="0" fillId="0" borderId="5" xfId="26" applyFont="true" applyBorder="true" applyAlignment="true" applyProtection="true">
      <alignment horizontal="center" vertical="center" textRotation="0" wrapText="false" indent="0" shrinkToFit="false"/>
      <protection locked="true" hidden="false"/>
    </xf>
    <xf numFmtId="164" fontId="0" fillId="0" borderId="6" xfId="26" applyFont="true" applyBorder="true" applyAlignment="true" applyProtection="true">
      <alignment horizontal="center" vertical="center" textRotation="0" wrapText="false" indent="0" shrinkToFit="false"/>
      <protection locked="true" hidden="false"/>
    </xf>
    <xf numFmtId="164" fontId="0" fillId="0" borderId="7" xfId="26" applyFont="true" applyBorder="true" applyAlignment="true" applyProtection="true">
      <alignment horizontal="general" vertical="bottom" textRotation="0" wrapText="false" indent="0" shrinkToFit="false"/>
      <protection locked="true" hidden="false"/>
    </xf>
    <xf numFmtId="164" fontId="0" fillId="0" borderId="2" xfId="26" applyFont="true" applyBorder="true" applyAlignment="true" applyProtection="true">
      <alignment horizontal="general" vertical="bottom" textRotation="0" wrapText="false" indent="0" shrinkToFit="false"/>
      <protection locked="true" hidden="false"/>
    </xf>
    <xf numFmtId="164" fontId="0" fillId="0" borderId="8" xfId="26" applyFont="true" applyBorder="true" applyAlignment="true" applyProtection="true">
      <alignment horizontal="general" vertical="bottom" textRotation="0" wrapText="false" indent="0" shrinkToFit="false"/>
      <protection locked="true" hidden="false"/>
    </xf>
    <xf numFmtId="164" fontId="0" fillId="0" borderId="19" xfId="26" applyFont="true" applyBorder="true" applyAlignment="true" applyProtection="true">
      <alignment horizontal="general" vertical="center" textRotation="0" wrapText="false" indent="0" shrinkToFit="false"/>
      <protection locked="true" hidden="false"/>
    </xf>
    <xf numFmtId="167" fontId="0" fillId="0" borderId="2" xfId="26" applyFont="true" applyBorder="true" applyAlignment="true" applyProtection="true">
      <alignment horizontal="center" vertical="center" textRotation="0" wrapText="false" indent="0" shrinkToFit="false"/>
      <protection locked="true" hidden="false"/>
    </xf>
    <xf numFmtId="164" fontId="0" fillId="0" borderId="7" xfId="26" applyFont="true" applyBorder="true" applyAlignment="true" applyProtection="true">
      <alignment horizontal="general" vertical="center" textRotation="0" wrapText="false" indent="0" shrinkToFit="false"/>
      <protection locked="true" hidden="false"/>
    </xf>
    <xf numFmtId="171" fontId="0" fillId="0" borderId="19" xfId="26" applyFont="true" applyBorder="true" applyAlignment="true" applyProtection="true">
      <alignment horizontal="general" vertical="center" textRotation="0" wrapText="false" indent="0" shrinkToFit="false"/>
      <protection locked="true" hidden="false"/>
    </xf>
    <xf numFmtId="169" fontId="0" fillId="48" borderId="0" xfId="0" applyFont="false" applyBorder="false" applyAlignment="true" applyProtection="false">
      <alignment horizontal="center" vertical="bottom" textRotation="0" wrapText="false" indent="0" shrinkToFit="false"/>
      <protection locked="true" hidden="false"/>
    </xf>
    <xf numFmtId="171" fontId="0" fillId="0" borderId="7" xfId="26" applyFont="true" applyBorder="true" applyAlignment="true" applyProtection="true">
      <alignment horizontal="general" vertical="center" textRotation="0" wrapText="false" indent="0" shrinkToFit="false"/>
      <protection locked="true" hidden="false"/>
    </xf>
    <xf numFmtId="167" fontId="5" fillId="0" borderId="2" xfId="26" applyFont="false" applyBorder="true" applyAlignment="true" applyProtection="false">
      <alignment horizontal="center" vertical="bottom" textRotation="0" wrapText="false" indent="0" shrinkToFit="false"/>
      <protection locked="true" hidden="false"/>
    </xf>
    <xf numFmtId="167" fontId="9" fillId="0" borderId="0" xfId="34" applyFont="true" applyBorder="true" applyAlignment="true" applyProtection="true">
      <alignment horizontal="left" vertical="center" textRotation="0" wrapText="false" indent="0" shrinkToFit="false"/>
      <protection locked="true" hidden="false"/>
    </xf>
    <xf numFmtId="164" fontId="5" fillId="0" borderId="2" xfId="26" applyFont="false" applyBorder="true" applyAlignment="false" applyProtection="false">
      <alignment horizontal="general" vertical="bottom" textRotation="0" wrapText="false" indent="0" shrinkToFit="false"/>
      <protection locked="true" hidden="false"/>
    </xf>
    <xf numFmtId="164" fontId="71" fillId="0" borderId="0" xfId="0" applyFont="true" applyBorder="false" applyAlignment="true" applyProtection="false">
      <alignment horizontal="general" vertical="bottom" textRotation="0" wrapText="false" indent="0" shrinkToFit="false"/>
      <protection locked="true" hidden="false"/>
    </xf>
    <xf numFmtId="164" fontId="0" fillId="0" borderId="0" xfId="35" applyFont="true" applyBorder="true" applyAlignment="true" applyProtection="true">
      <alignment horizontal="left" vertical="bottom" textRotation="0" wrapText="false" indent="0" shrinkToFit="false"/>
      <protection locked="true" hidden="false"/>
    </xf>
    <xf numFmtId="164" fontId="9" fillId="0" borderId="43" xfId="26" applyFont="true" applyBorder="true" applyAlignment="true" applyProtection="true">
      <alignment horizontal="general" vertical="center" textRotation="0" wrapText="false" indent="0" shrinkToFit="false"/>
      <protection locked="true" hidden="false"/>
    </xf>
    <xf numFmtId="167" fontId="9" fillId="0" borderId="2" xfId="26" applyFont="true" applyBorder="true" applyAlignment="true" applyProtection="true">
      <alignment horizontal="center" vertical="center" textRotation="0" wrapText="false" indent="0" shrinkToFit="false"/>
      <protection locked="true" hidden="false"/>
    </xf>
    <xf numFmtId="164" fontId="0" fillId="22" borderId="0" xfId="0" applyFont="false" applyBorder="false" applyAlignment="false" applyProtection="false">
      <alignment horizontal="general" vertical="bottom" textRotation="0" wrapText="false" indent="0" shrinkToFit="false"/>
      <protection locked="true" hidden="false"/>
    </xf>
    <xf numFmtId="169" fontId="0" fillId="22" borderId="0" xfId="0" applyFont="false" applyBorder="false" applyAlignment="true" applyProtection="false">
      <alignment horizontal="center" vertical="bottom" textRotation="0" wrapText="false" indent="0" shrinkToFit="false"/>
      <protection locked="true" hidden="false"/>
    </xf>
    <xf numFmtId="167" fontId="0" fillId="22" borderId="0" xfId="28" applyFont="true" applyBorder="true" applyAlignment="true" applyProtection="true">
      <alignment horizontal="center" vertical="center" textRotation="0" wrapText="false" indent="0" shrinkToFit="false"/>
      <protection locked="true" hidden="false"/>
    </xf>
    <xf numFmtId="164" fontId="0" fillId="22" borderId="0" xfId="0" applyFont="true" applyBorder="false" applyAlignment="true" applyProtection="false">
      <alignment horizontal="center" vertical="center" textRotation="0" wrapText="false" indent="0" shrinkToFit="false"/>
      <protection locked="true" hidden="false"/>
    </xf>
    <xf numFmtId="167" fontId="0" fillId="22" borderId="0" xfId="0" applyFont="false" applyBorder="false" applyAlignment="true" applyProtection="false">
      <alignment horizontal="center" vertical="center" textRotation="0" wrapText="false" indent="0" shrinkToFit="false"/>
      <protection locked="true" hidden="false"/>
    </xf>
    <xf numFmtId="164" fontId="0" fillId="22" borderId="0" xfId="0" applyFont="false" applyBorder="false" applyAlignment="true" applyProtection="false">
      <alignment horizontal="left" vertical="bottom" textRotation="0" wrapText="false" indent="0" shrinkToFit="false"/>
      <protection locked="true" hidden="false"/>
    </xf>
    <xf numFmtId="164" fontId="0" fillId="0" borderId="0" xfId="35" applyFont="true" applyBorder="true" applyAlignment="true" applyProtection="true">
      <alignment horizontal="left" vertical="center" textRotation="0" wrapText="false" indent="0" shrinkToFit="false"/>
      <protection locked="true" hidden="false"/>
    </xf>
    <xf numFmtId="167" fontId="0" fillId="0" borderId="0" xfId="35" applyFont="true" applyBorder="true" applyAlignment="true" applyProtection="true">
      <alignment horizontal="left" vertical="center" textRotation="0" wrapText="false" indent="0" shrinkToFit="false"/>
      <protection locked="true" hidden="false"/>
    </xf>
    <xf numFmtId="164" fontId="0" fillId="0" borderId="0" xfId="27" applyFont="true" applyBorder="true" applyAlignment="true" applyProtection="true">
      <alignment horizontal="general" vertical="bottom" textRotation="0" wrapText="false" indent="0" shrinkToFit="false"/>
      <protection locked="true" hidden="false"/>
    </xf>
    <xf numFmtId="164" fontId="9" fillId="0" borderId="2" xfId="27" applyFont="true" applyBorder="true" applyAlignment="true" applyProtection="true">
      <alignment horizontal="center" vertical="center" textRotation="0" wrapText="false" indent="0" shrinkToFit="false"/>
      <protection locked="true" hidden="false"/>
    </xf>
    <xf numFmtId="164" fontId="9" fillId="0" borderId="0" xfId="27" applyFont="true" applyBorder="false" applyAlignment="false" applyProtection="false">
      <alignment horizontal="general" vertical="bottom" textRotation="0" wrapText="false" indent="0" shrinkToFit="false"/>
      <protection locked="true" hidden="false"/>
    </xf>
    <xf numFmtId="164" fontId="9" fillId="0" borderId="2" xfId="27" applyFont="true" applyBorder="true" applyAlignment="true" applyProtection="false">
      <alignment horizontal="center" vertical="center" textRotation="0" wrapText="false" indent="0" shrinkToFit="false"/>
      <protection locked="true" hidden="false"/>
    </xf>
    <xf numFmtId="164" fontId="0" fillId="0" borderId="4" xfId="27" applyFont="true" applyBorder="true" applyAlignment="true" applyProtection="true">
      <alignment horizontal="center" vertical="center" textRotation="0" wrapText="false" indent="0" shrinkToFit="false"/>
      <protection locked="true" hidden="false"/>
    </xf>
    <xf numFmtId="164" fontId="0" fillId="0" borderId="5" xfId="27" applyFont="true" applyBorder="true" applyAlignment="true" applyProtection="true">
      <alignment horizontal="center" vertical="center" textRotation="0" wrapText="false" indent="0" shrinkToFit="false"/>
      <protection locked="true" hidden="false"/>
    </xf>
    <xf numFmtId="164" fontId="0" fillId="0" borderId="6" xfId="27" applyFont="true" applyBorder="true" applyAlignment="true" applyProtection="true">
      <alignment horizontal="center" vertical="center" textRotation="0" wrapText="false" indent="0" shrinkToFit="false"/>
      <protection locked="true" hidden="false"/>
    </xf>
    <xf numFmtId="164" fontId="5" fillId="0" borderId="0" xfId="27" applyFont="false" applyBorder="false" applyAlignment="false" applyProtection="false">
      <alignment horizontal="general" vertical="bottom" textRotation="0" wrapText="false" indent="0" shrinkToFit="false"/>
      <protection locked="true" hidden="false"/>
    </xf>
    <xf numFmtId="164" fontId="0" fillId="0" borderId="7" xfId="27" applyFont="true" applyBorder="true" applyAlignment="true" applyProtection="true">
      <alignment horizontal="general" vertical="bottom" textRotation="0" wrapText="false" indent="0" shrinkToFit="false"/>
      <protection locked="true" hidden="false"/>
    </xf>
    <xf numFmtId="164" fontId="0" fillId="0" borderId="2" xfId="27" applyFont="true" applyBorder="true" applyAlignment="true" applyProtection="true">
      <alignment horizontal="general" vertical="bottom" textRotation="0" wrapText="false" indent="0" shrinkToFit="false"/>
      <protection locked="true" hidden="false"/>
    </xf>
    <xf numFmtId="164" fontId="0" fillId="0" borderId="8" xfId="27" applyFont="true" applyBorder="true" applyAlignment="true" applyProtection="true">
      <alignment horizontal="general" vertical="bottom" textRotation="0" wrapText="false" indent="0" shrinkToFit="false"/>
      <protection locked="true" hidden="false"/>
    </xf>
    <xf numFmtId="164" fontId="0" fillId="0" borderId="19" xfId="27" applyFont="true" applyBorder="true" applyAlignment="true" applyProtection="true">
      <alignment horizontal="general" vertical="center" textRotation="0" wrapText="false" indent="0" shrinkToFit="false"/>
      <protection locked="true" hidden="false"/>
    </xf>
    <xf numFmtId="167" fontId="0" fillId="0" borderId="2" xfId="27" applyFont="true" applyBorder="true" applyAlignment="true" applyProtection="true">
      <alignment horizontal="center" vertical="center" textRotation="0" wrapText="false" indent="0" shrinkToFit="false"/>
      <protection locked="true" hidden="false"/>
    </xf>
    <xf numFmtId="164" fontId="0" fillId="0" borderId="7" xfId="27" applyFont="true" applyBorder="true" applyAlignment="true" applyProtection="true">
      <alignment horizontal="general" vertical="center" textRotation="0" wrapText="false" indent="0" shrinkToFit="false"/>
      <protection locked="true" hidden="false"/>
    </xf>
    <xf numFmtId="171" fontId="0" fillId="0" borderId="19" xfId="27" applyFont="true" applyBorder="true" applyAlignment="true" applyProtection="true">
      <alignment horizontal="general" vertical="center" textRotation="0" wrapText="false" indent="0" shrinkToFit="false"/>
      <protection locked="true" hidden="false"/>
    </xf>
    <xf numFmtId="171" fontId="0" fillId="0" borderId="7" xfId="27" applyFont="true" applyBorder="true" applyAlignment="true" applyProtection="true">
      <alignment horizontal="general" vertical="center" textRotation="0" wrapText="false" indent="0" shrinkToFit="false"/>
      <protection locked="true" hidden="false"/>
    </xf>
    <xf numFmtId="167" fontId="5" fillId="0" borderId="2" xfId="27" applyFont="false" applyBorder="true" applyAlignment="true" applyProtection="false">
      <alignment horizontal="center" vertical="bottom" textRotation="0" wrapText="false" indent="0" shrinkToFit="false"/>
      <protection locked="true" hidden="false"/>
    </xf>
    <xf numFmtId="167" fontId="9" fillId="0" borderId="0" xfId="35" applyFont="true" applyBorder="true" applyAlignment="true" applyProtection="true">
      <alignment horizontal="center" vertical="center" textRotation="0" wrapText="false" indent="0" shrinkToFit="false"/>
      <protection locked="true" hidden="false"/>
    </xf>
    <xf numFmtId="164" fontId="0" fillId="0" borderId="0" xfId="25" applyFont="true" applyBorder="true" applyAlignment="true" applyProtection="true">
      <alignment horizontal="center" vertical="bottom" textRotation="0" wrapText="false" indent="0" shrinkToFit="false"/>
      <protection locked="true" hidden="false"/>
    </xf>
    <xf numFmtId="164" fontId="5" fillId="0" borderId="2" xfId="27" applyFont="false" applyBorder="true" applyAlignment="false" applyProtection="false">
      <alignment horizontal="general" vertical="bottom" textRotation="0" wrapText="false" indent="0" shrinkToFit="false"/>
      <protection locked="true" hidden="false"/>
    </xf>
    <xf numFmtId="164" fontId="0" fillId="0" borderId="0" xfId="25" applyFont="true" applyBorder="true" applyAlignment="true" applyProtection="true">
      <alignment horizontal="general" vertical="bottom" textRotation="0" wrapText="false" indent="0" shrinkToFit="false"/>
      <protection locked="true" hidden="false"/>
    </xf>
    <xf numFmtId="164" fontId="9" fillId="0" borderId="43" xfId="27" applyFont="true" applyBorder="true" applyAlignment="true" applyProtection="true">
      <alignment horizontal="general" vertical="center" textRotation="0" wrapText="false" indent="0" shrinkToFit="false"/>
      <protection locked="true" hidden="false"/>
    </xf>
    <xf numFmtId="167" fontId="9" fillId="0" borderId="2" xfId="27" applyFont="true" applyBorder="true" applyAlignment="true" applyProtection="true">
      <alignment horizontal="center" vertical="center" textRotation="0" wrapText="false" indent="0" shrinkToFit="false"/>
      <protection locked="true" hidden="false"/>
    </xf>
    <xf numFmtId="164" fontId="0" fillId="0" borderId="0" xfId="25" applyFont="true" applyBorder="true" applyAlignment="true" applyProtection="true">
      <alignment horizontal="center" vertical="center" textRotation="0" wrapText="false" indent="0" shrinkToFit="false"/>
      <protection locked="true" hidden="false"/>
    </xf>
    <xf numFmtId="167" fontId="0" fillId="0" borderId="0" xfId="25" applyFont="true" applyBorder="true" applyAlignment="true" applyProtection="true">
      <alignment horizontal="center" vertical="center" textRotation="0" wrapText="false" indent="0" shrinkToFit="false"/>
      <protection locked="true" hidden="false"/>
    </xf>
    <xf numFmtId="167" fontId="9" fillId="0" borderId="0" xfId="25" applyFont="true" applyBorder="true" applyAlignment="true" applyProtection="true">
      <alignment horizontal="center" vertical="center" textRotation="0" wrapText="false" indent="0" shrinkToFit="false"/>
      <protection locked="true" hidden="false"/>
    </xf>
    <xf numFmtId="164" fontId="0" fillId="0" borderId="0" xfId="26" applyFont="true" applyBorder="true" applyAlignment="true" applyProtection="true">
      <alignment horizontal="center" vertical="bottom" textRotation="0" wrapText="false" indent="0" shrinkToFit="false"/>
      <protection locked="true" hidden="false"/>
    </xf>
    <xf numFmtId="164" fontId="9" fillId="0" borderId="0" xfId="26" applyFont="true" applyBorder="true" applyAlignment="true" applyProtection="true">
      <alignment horizontal="center" vertical="center" textRotation="0" wrapText="false" indent="0" shrinkToFit="false"/>
      <protection locked="true" hidden="false"/>
    </xf>
    <xf numFmtId="164" fontId="0" fillId="0" borderId="0" xfId="26" applyFont="true" applyBorder="true" applyAlignment="true" applyProtection="true">
      <alignment horizontal="center" vertical="center" textRotation="0" wrapText="false" indent="0" shrinkToFit="false"/>
      <protection locked="true" hidden="false"/>
    </xf>
    <xf numFmtId="167" fontId="0" fillId="0" borderId="0" xfId="26" applyFont="true" applyBorder="true" applyAlignment="true" applyProtection="true">
      <alignment horizontal="center" vertical="center" textRotation="0" wrapText="false" indent="0" shrinkToFit="false"/>
      <protection locked="true" hidden="false"/>
    </xf>
    <xf numFmtId="167" fontId="5" fillId="0" borderId="0" xfId="26" applyFont="false" applyBorder="true" applyAlignment="true" applyProtection="false">
      <alignment horizontal="center" vertical="bottom" textRotation="0" wrapText="false" indent="0" shrinkToFit="false"/>
      <protection locked="true" hidden="false"/>
    </xf>
    <xf numFmtId="167" fontId="9" fillId="0" borderId="0" xfId="26" applyFont="true" applyBorder="true" applyAlignment="true" applyProtection="true">
      <alignment horizontal="center" vertical="center" textRotation="0" wrapText="false" indent="0" shrinkToFit="false"/>
      <protection locked="true" hidden="false"/>
    </xf>
    <xf numFmtId="164" fontId="9" fillId="0" borderId="0" xfId="27" applyFont="true" applyBorder="true" applyAlignment="true" applyProtection="true">
      <alignment horizontal="center" vertical="center" textRotation="0" wrapText="false" indent="0" shrinkToFit="false"/>
      <protection locked="true" hidden="false"/>
    </xf>
    <xf numFmtId="164" fontId="0" fillId="0" borderId="0" xfId="27" applyFont="true" applyBorder="true" applyAlignment="true" applyProtection="true">
      <alignment horizontal="center" vertical="center" textRotation="0" wrapText="false" indent="0" shrinkToFit="false"/>
      <protection locked="true" hidden="false"/>
    </xf>
    <xf numFmtId="167" fontId="0" fillId="0" borderId="0" xfId="27" applyFont="true" applyBorder="true" applyAlignment="true" applyProtection="true">
      <alignment horizontal="center" vertical="center" textRotation="0" wrapText="false" indent="0" shrinkToFit="false"/>
      <protection locked="true" hidden="false"/>
    </xf>
    <xf numFmtId="167" fontId="5" fillId="0" borderId="0" xfId="27" applyFont="false" applyBorder="true" applyAlignment="true" applyProtection="false">
      <alignment horizontal="center" vertical="bottom" textRotation="0" wrapText="false" indent="0" shrinkToFit="false"/>
      <protection locked="true" hidden="false"/>
    </xf>
    <xf numFmtId="171" fontId="0" fillId="0" borderId="0" xfId="27" applyFont="true" applyBorder="true" applyAlignment="true" applyProtection="true">
      <alignment horizontal="general" vertical="center" textRotation="0" wrapText="false" indent="0" shrinkToFit="false"/>
      <protection locked="true" hidden="false"/>
    </xf>
    <xf numFmtId="164" fontId="0" fillId="0" borderId="0" xfId="27" applyFont="true" applyBorder="true" applyAlignment="true" applyProtection="true">
      <alignment horizontal="general" vertical="center" textRotation="0" wrapText="false" indent="0" shrinkToFit="false"/>
      <protection locked="true" hidden="false"/>
    </xf>
    <xf numFmtId="164" fontId="5" fillId="0" borderId="0" xfId="27" applyFont="false" applyBorder="true" applyAlignment="false" applyProtection="false">
      <alignment horizontal="general" vertical="bottom" textRotation="0" wrapText="false" indent="0" shrinkToFit="false"/>
      <protection locked="true" hidden="false"/>
    </xf>
    <xf numFmtId="164" fontId="9" fillId="0" borderId="0" xfId="27" applyFont="true" applyBorder="true" applyAlignment="true" applyProtection="true">
      <alignment horizontal="general" vertical="center" textRotation="0" wrapText="false" indent="0" shrinkToFit="false"/>
      <protection locked="true" hidden="false"/>
    </xf>
    <xf numFmtId="167" fontId="9" fillId="0" borderId="0" xfId="27" applyFont="true" applyBorder="true" applyAlignment="true" applyProtection="true">
      <alignment horizontal="center" vertical="center" textRotation="0" wrapText="false" indent="0" shrinkToFit="false"/>
      <protection locked="true" hidden="false"/>
    </xf>
    <xf numFmtId="164" fontId="72" fillId="0" borderId="1" xfId="0" applyFont="true" applyBorder="true" applyAlignment="true" applyProtection="false">
      <alignment horizontal="center" vertical="center" textRotation="0" wrapText="true" indent="0" shrinkToFit="false"/>
      <protection locked="true" hidden="false"/>
    </xf>
    <xf numFmtId="167" fontId="0" fillId="17" borderId="0" xfId="0" applyFont="false" applyBorder="false" applyAlignment="true" applyProtection="false">
      <alignment horizontal="center" vertical="center" textRotation="0" wrapText="true" indent="0" shrinkToFit="false"/>
      <protection locked="true" hidden="false"/>
    </xf>
    <xf numFmtId="167" fontId="0" fillId="17" borderId="0" xfId="0" applyFont="true" applyBorder="false" applyAlignment="true" applyProtection="false">
      <alignment horizontal="left" vertical="center" textRotation="0" wrapText="false" indent="0" shrinkToFit="false"/>
      <protection locked="true" hidden="false"/>
    </xf>
    <xf numFmtId="167" fontId="14" fillId="11" borderId="0" xfId="0" applyFont="true" applyBorder="false" applyAlignment="true" applyProtection="false">
      <alignment horizontal="center" vertical="center" textRotation="0" wrapText="true" indent="0" shrinkToFit="false"/>
      <protection locked="true" hidden="false"/>
    </xf>
    <xf numFmtId="164" fontId="13" fillId="11" borderId="0" xfId="0" applyFont="true" applyBorder="false" applyAlignment="true" applyProtection="false">
      <alignment horizontal="left" vertical="center" textRotation="0" wrapText="false" indent="0" shrinkToFit="false"/>
      <protection locked="true" hidden="false"/>
    </xf>
    <xf numFmtId="164" fontId="10" fillId="11" borderId="0" xfId="0" applyFont="true" applyBorder="false" applyAlignment="true" applyProtection="false">
      <alignment horizontal="left" vertical="center" textRotation="0" wrapText="false" indent="0" shrinkToFit="false"/>
      <protection locked="true" hidden="false"/>
    </xf>
    <xf numFmtId="170" fontId="0" fillId="0" borderId="0" xfId="0" applyFont="true" applyBorder="false" applyAlignment="true" applyProtection="false">
      <alignment horizontal="center" vertical="center" textRotation="0" wrapText="true" indent="0" shrinkToFit="false"/>
      <protection locked="true" hidden="false"/>
    </xf>
    <xf numFmtId="164" fontId="0" fillId="0" borderId="17" xfId="0" applyFont="false" applyBorder="true" applyAlignment="true" applyProtection="false">
      <alignment horizontal="center" vertical="center" textRotation="0" wrapText="true" indent="0" shrinkToFit="false"/>
      <protection locked="true" hidden="false"/>
    </xf>
    <xf numFmtId="164" fontId="0" fillId="13" borderId="17" xfId="0" applyFont="true" applyBorder="true" applyAlignment="true" applyProtection="false">
      <alignment horizontal="center" vertical="center" textRotation="0" wrapText="false" indent="0" shrinkToFit="false"/>
      <protection locked="true" hidden="false"/>
    </xf>
    <xf numFmtId="170" fontId="10" fillId="0" borderId="17" xfId="0" applyFont="true" applyBorder="true" applyAlignment="true" applyProtection="false">
      <alignment horizontal="center" vertical="center" textRotation="0" wrapText="false" indent="0" shrinkToFit="false"/>
      <protection locked="true" hidden="false"/>
    </xf>
    <xf numFmtId="167" fontId="0" fillId="0" borderId="17" xfId="0" applyFont="false" applyBorder="true" applyAlignment="true" applyProtection="false">
      <alignment horizontal="center" vertical="center" textRotation="0" wrapText="false" indent="0" shrinkToFit="false"/>
      <protection locked="true" hidden="false"/>
    </xf>
    <xf numFmtId="167" fontId="0" fillId="0" borderId="17" xfId="0" applyFont="false" applyBorder="true" applyAlignment="true" applyProtection="false">
      <alignment horizontal="center" vertical="center" textRotation="0" wrapText="true" indent="0" shrinkToFit="false"/>
      <protection locked="true" hidden="false"/>
    </xf>
    <xf numFmtId="164" fontId="14" fillId="0" borderId="0" xfId="0" applyFont="true" applyBorder="false" applyAlignment="true" applyProtection="false">
      <alignment horizontal="left" vertical="center" textRotation="0" wrapText="false" indent="0" shrinkToFit="false"/>
      <protection locked="true" hidden="false"/>
    </xf>
    <xf numFmtId="164" fontId="73" fillId="20" borderId="0" xfId="0" applyFont="true" applyBorder="false" applyAlignment="true" applyProtection="false">
      <alignment horizontal="general" vertical="bottom" textRotation="0" wrapText="false" indent="0" shrinkToFit="false"/>
      <protection locked="true" hidden="false"/>
    </xf>
    <xf numFmtId="170" fontId="10" fillId="0" borderId="0" xfId="0" applyFont="true" applyBorder="false" applyAlignment="true" applyProtection="false">
      <alignment horizontal="general" vertical="center" textRotation="0" wrapText="false" indent="0" shrinkToFit="false"/>
      <protection locked="true" hidden="false"/>
    </xf>
    <xf numFmtId="167" fontId="0" fillId="14" borderId="0" xfId="0" applyFont="false" applyBorder="false" applyAlignment="true" applyProtection="false">
      <alignment horizontal="center" vertical="center" textRotation="0" wrapText="true" indent="0" shrinkToFit="false"/>
      <protection locked="true" hidden="false"/>
    </xf>
    <xf numFmtId="164" fontId="74" fillId="0" borderId="0" xfId="0" applyFont="true" applyBorder="false" applyAlignment="true" applyProtection="false">
      <alignment horizontal="left" vertical="bottom" textRotation="0" wrapText="false" indent="0" shrinkToFit="false"/>
      <protection locked="true" hidden="false"/>
    </xf>
    <xf numFmtId="167" fontId="72" fillId="0" borderId="44" xfId="0" applyFont="true" applyBorder="true" applyAlignment="true" applyProtection="false">
      <alignment horizontal="center" vertical="top" textRotation="0" wrapText="true" indent="0" shrinkToFit="false"/>
      <protection locked="true" hidden="false"/>
    </xf>
    <xf numFmtId="164" fontId="75" fillId="9" borderId="0" xfId="0" applyFont="true" applyBorder="false" applyAlignment="true" applyProtection="false">
      <alignment horizontal="left" vertical="center" textRotation="0" wrapText="false" indent="0" shrinkToFit="false"/>
      <protection locked="true" hidden="false"/>
    </xf>
    <xf numFmtId="164" fontId="32" fillId="9" borderId="0" xfId="0" applyFont="true" applyBorder="false" applyAlignment="true" applyProtection="false">
      <alignment horizontal="center" vertical="center" textRotation="0" wrapText="true" indent="0" shrinkToFit="false"/>
      <protection locked="true" hidden="false"/>
    </xf>
  </cellXfs>
  <cellStyles count="28">
    <cellStyle name="Normal" xfId="0" builtinId="0"/>
    <cellStyle name="Comma" xfId="15" builtinId="3"/>
    <cellStyle name="Comma [0]" xfId="16" builtinId="6"/>
    <cellStyle name="Currency" xfId="17" builtinId="4"/>
    <cellStyle name="Currency [0]" xfId="18" builtinId="7"/>
    <cellStyle name="Percent" xfId="19" builtinId="5"/>
    <cellStyle name="En-tête" xfId="20"/>
    <cellStyle name="fond_orange" xfId="21"/>
    <cellStyle name="fond_rouge" xfId="22"/>
    <cellStyle name="fond_vert" xfId="23"/>
    <cellStyle name="Milliers 2" xfId="24"/>
    <cellStyle name="Normal 10" xfId="25"/>
    <cellStyle name="Normal 11" xfId="26"/>
    <cellStyle name="Normal 12" xfId="27"/>
    <cellStyle name="Normal 2" xfId="28"/>
    <cellStyle name="Normal 3" xfId="29"/>
    <cellStyle name="Normal 4" xfId="30"/>
    <cellStyle name="Normal 5" xfId="31"/>
    <cellStyle name="Normal 6" xfId="32"/>
    <cellStyle name="Normal 7" xfId="33"/>
    <cellStyle name="Normal 8" xfId="34"/>
    <cellStyle name="Normal 9" xfId="35"/>
    <cellStyle name="Résultat" xfId="36"/>
    <cellStyle name="Résultat2" xfId="37"/>
    <cellStyle name="Sans nom1" xfId="38"/>
    <cellStyle name="Sans nom3" xfId="39"/>
    <cellStyle name="Titre1" xfId="40"/>
    <cellStyle name="Excel Built-in Normal" xfId="41"/>
  </cellStyles>
  <dxfs count="4">
    <dxf>
      <font>
        <name val="Arial"/>
        <charset val="1"/>
        <family val="0"/>
        <b val="0"/>
        <i val="0"/>
        <strike val="0"/>
        <outline val="0"/>
        <shadow val="0"/>
        <color rgb="00FFFFFF"/>
        <sz val="10"/>
        <u val="none"/>
      </font>
      <numFmt numFmtId="164" formatCode="General"/>
      <fill>
        <patternFill>
          <bgColor rgb="00FFFFFF"/>
        </patternFill>
      </fill>
      <alignment horizontal="general" vertical="bottom" textRotation="0" wrapText="false" indent="0" shrinkToFit="false"/>
      <border diagonalUp="false" diagonalDown="false">
        <left/>
        <right/>
        <top/>
        <bottom/>
        <diagonal/>
      </border>
      <protection locked="true" hidden="false"/>
    </dxf>
    <dxf>
      <font>
        <name val="Arial"/>
        <charset val="1"/>
        <family val="0"/>
        <b val="0"/>
        <i val="0"/>
        <strike val="0"/>
        <outline val="0"/>
        <shadow val="0"/>
        <color rgb="00FFFFFF"/>
        <sz val="10"/>
        <u val="none"/>
      </font>
      <numFmt numFmtId="164" formatCode="General"/>
      <fill>
        <patternFill>
          <bgColor rgb="00FFFFFF"/>
        </patternFill>
      </fill>
      <alignment horizontal="general" vertical="bottom" textRotation="0" wrapText="false" indent="0" shrinkToFit="false"/>
      <border diagonalUp="false" diagonalDown="false">
        <left/>
        <right/>
        <top/>
        <bottom/>
        <diagonal/>
      </border>
      <protection locked="true" hidden="false"/>
    </dxf>
    <dxf>
      <font>
        <name val="Arial"/>
        <charset val="1"/>
        <family val="0"/>
        <b val="0"/>
        <i val="0"/>
        <strike val="0"/>
        <outline val="0"/>
        <shadow val="0"/>
        <color rgb="00FFFFFF"/>
        <sz val="10"/>
        <u val="none"/>
      </font>
      <numFmt numFmtId="164" formatCode="General"/>
      <fill>
        <patternFill>
          <bgColor rgb="00FFFFFF"/>
        </patternFill>
      </fill>
      <alignment horizontal="general" vertical="bottom" textRotation="0" wrapText="false" indent="0" shrinkToFit="false"/>
      <border diagonalUp="false" diagonalDown="false">
        <left/>
        <right/>
        <top/>
        <bottom/>
        <diagonal/>
      </border>
      <protection locked="true" hidden="false"/>
    </dxf>
    <dxf>
      <font>
        <name val="Arial"/>
        <charset val="1"/>
        <family val="0"/>
        <b val="0"/>
        <i val="0"/>
        <strike val="0"/>
        <outline val="0"/>
        <shadow val="0"/>
        <color rgb="00FFFFFF"/>
        <sz val="10"/>
        <u val="none"/>
      </font>
      <numFmt numFmtId="164" formatCode="General"/>
      <fill>
        <patternFill>
          <bgColor rgb="00FFFFFF"/>
        </patternFill>
      </fill>
      <alignment horizontal="general" vertical="bottom" textRotation="0" wrapText="false" indent="0" shrinkToFit="false"/>
      <border diagonalUp="false" diagonalDown="false">
        <left/>
        <right/>
        <top/>
        <bottom/>
        <diagonal/>
      </border>
      <protection locked="true" hidden="false"/>
    </dxf>
  </dxfs>
  <colors>
    <indexedColors>
      <rgbColor rgb="FF000000"/>
      <rgbColor rgb="FFF0F0FD"/>
      <rgbColor rgb="FFFF0000"/>
      <rgbColor rgb="FF00FF66"/>
      <rgbColor rgb="FF0000FF"/>
      <rgbColor rgb="FFFFFF00"/>
      <rgbColor rgb="FFFF00CC"/>
      <rgbColor rgb="FF00FFFF"/>
      <rgbColor rgb="FF800000"/>
      <rgbColor rgb="FF069A2E"/>
      <rgbColor rgb="FFFF66FF"/>
      <rgbColor rgb="FF00A933"/>
      <rgbColor rgb="FF9900FF"/>
      <rgbColor rgb="FF158466"/>
      <rgbColor rgb="FFD4CACE"/>
      <rgbColor rgb="FF996666"/>
      <rgbColor rgb="FF9999FF"/>
      <rgbColor rgb="FFA1467E"/>
      <rgbColor rgb="FFFFFF66"/>
      <rgbColor rgb="FFCCFFFF"/>
      <rgbColor rgb="FFCC0000"/>
      <rgbColor rgb="FFFF8080"/>
      <rgbColor rgb="FF009933"/>
      <rgbColor rgb="FFFFCCFF"/>
      <rgbColor rgb="FFFF99FF"/>
      <rgbColor rgb="FFE327FF"/>
      <rgbColor rgb="FFFFF200"/>
      <rgbColor rgb="FF66FFFF"/>
      <rgbColor rgb="FF9933FF"/>
      <rgbColor rgb="FFC5000B"/>
      <rgbColor rgb="FF0C7D4B"/>
      <rgbColor rgb="FFFF33FF"/>
      <rgbColor rgb="FF00CC33"/>
      <rgbColor rgb="FFC2FF66"/>
      <rgbColor rgb="FFCCFF99"/>
      <rgbColor rgb="FFFFFF99"/>
      <rgbColor rgb="FF66CCFF"/>
      <rgbColor rgb="FFFF9999"/>
      <rgbColor rgb="FFCC99FF"/>
      <rgbColor rgb="FFFFCC99"/>
      <rgbColor rgb="FF535EFF"/>
      <rgbColor rgb="FF6699CC"/>
      <rgbColor rgb="FF66FF99"/>
      <rgbColor rgb="FFFFCC00"/>
      <rgbColor rgb="FFCC9966"/>
      <rgbColor rgb="FFFF6600"/>
      <rgbColor rgb="FF666699"/>
      <rgbColor rgb="FFBF819E"/>
      <rgbColor rgb="FFCC66FF"/>
      <rgbColor rgb="FF3FAF46"/>
      <rgbColor rgb="FF111111"/>
      <rgbColor rgb="FFFF6666"/>
      <rgbColor rgb="FFD3180F"/>
      <rgbColor rgb="FF901B78"/>
      <rgbColor rgb="FF6B5E9B"/>
      <rgbColor rgb="FFFF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worksheet" Target="worksheets/sheet77.xml"/><Relationship Id="rId79" Type="http://schemas.openxmlformats.org/officeDocument/2006/relationships/worksheet" Target="worksheets/sheet78.xml"/><Relationship Id="rId80" Type="http://schemas.openxmlformats.org/officeDocument/2006/relationships/worksheet" Target="worksheets/sheet79.xml"/><Relationship Id="rId81"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plotArea>
      <c:scatterChart>
        <c:scatterStyle val="lineMarker"/>
        <c:varyColors val="0"/>
        <c:ser>
          <c:idx val="0"/>
          <c:order val="0"/>
          <c:spPr>
            <a:solidFill>
              <a:srgbClr val="004586"/>
            </a:solidFill>
            <a:ln w="28800">
              <a:solidFill>
                <a:srgbClr val="004586"/>
              </a:solidFill>
              <a:round/>
            </a:ln>
          </c:spPr>
          <c:marker>
            <c:symbol val="square"/>
            <c:size val="8"/>
            <c:spPr>
              <a:solidFill>
                <a:srgbClr val="004586"/>
              </a:solidFill>
            </c:spPr>
          </c:marker>
          <c:dPt>
            <c:idx val="40"/>
            <c:spPr>
              <a:solidFill>
                <a:srgbClr val="004586"/>
              </a:solidFill>
              <a:ln w="28800">
                <a:solidFill>
                  <a:srgbClr val="004586"/>
                </a:solidFill>
                <a:round/>
              </a:ln>
            </c:spPr>
          </c:dPt>
          <c:dLbls>
            <c:numFmt formatCode="#,##0" sourceLinked="1"/>
            <c:dLbl>
              <c:idx val="40"/>
              <c:txPr>
                <a:bodyPr/>
                <a:lstStyle/>
                <a:p>
                  <a:pPr>
                    <a:defRPr b="0" sz="1000" spc="-1" strike="noStrike">
                      <a:latin typeface="Arial"/>
                    </a:defRPr>
                  </a:pPr>
                </a:p>
              </c:txPr>
              <c:dLblPos val="r"/>
              <c:showLegendKey val="0"/>
              <c:showVal val="0"/>
              <c:showCatName val="0"/>
              <c:showSerName val="0"/>
              <c:showPercent val="0"/>
            </c:dLbl>
            <c:txPr>
              <a:bodyPr/>
              <a:lstStyle/>
              <a:p>
                <a:pPr>
                  <a:defRPr b="0" sz="1000" spc="-1" strike="noStrike">
                    <a:latin typeface="Arial"/>
                  </a:defRPr>
                </a:pPr>
              </a:p>
            </c:txPr>
            <c:dLblPos val="r"/>
            <c:showLegendKey val="0"/>
            <c:showVal val="0"/>
            <c:showCatName val="0"/>
            <c:showSerName val="0"/>
            <c:showPercent val="0"/>
            <c:showLeaderLines val="0"/>
          </c:dLbls>
          <c:xVal>
            <c:numRef>
              <c:f>'40603'!$B$10:$B$547</c:f>
              <c:numCache>
                <c:formatCode>General</c:formatCode>
                <c:ptCount val="538"/>
                <c:pt idx="0">
                  <c:v>25569</c:v>
                </c:pt>
                <c:pt idx="1">
                  <c:v>25600</c:v>
                </c:pt>
                <c:pt idx="2">
                  <c:v>25628</c:v>
                </c:pt>
                <c:pt idx="3">
                  <c:v>25659</c:v>
                </c:pt>
                <c:pt idx="4">
                  <c:v>25689</c:v>
                </c:pt>
                <c:pt idx="5">
                  <c:v>25720</c:v>
                </c:pt>
                <c:pt idx="6">
                  <c:v>25750</c:v>
                </c:pt>
                <c:pt idx="7">
                  <c:v>25781</c:v>
                </c:pt>
                <c:pt idx="8">
                  <c:v>25812</c:v>
                </c:pt>
                <c:pt idx="9">
                  <c:v>25842</c:v>
                </c:pt>
                <c:pt idx="10">
                  <c:v>25873</c:v>
                </c:pt>
                <c:pt idx="11">
                  <c:v>25903</c:v>
                </c:pt>
                <c:pt idx="12">
                  <c:v>25934</c:v>
                </c:pt>
                <c:pt idx="13">
                  <c:v>25965</c:v>
                </c:pt>
                <c:pt idx="14">
                  <c:v>25993</c:v>
                </c:pt>
                <c:pt idx="15">
                  <c:v>26024</c:v>
                </c:pt>
                <c:pt idx="16">
                  <c:v>26054</c:v>
                </c:pt>
                <c:pt idx="17">
                  <c:v>26085</c:v>
                </c:pt>
                <c:pt idx="18">
                  <c:v>26115</c:v>
                </c:pt>
                <c:pt idx="19">
                  <c:v>26146</c:v>
                </c:pt>
                <c:pt idx="20">
                  <c:v>26177</c:v>
                </c:pt>
                <c:pt idx="21">
                  <c:v>26207</c:v>
                </c:pt>
                <c:pt idx="22">
                  <c:v>26238</c:v>
                </c:pt>
                <c:pt idx="23">
                  <c:v>26268</c:v>
                </c:pt>
                <c:pt idx="24">
                  <c:v>26299</c:v>
                </c:pt>
                <c:pt idx="25">
                  <c:v>26330</c:v>
                </c:pt>
                <c:pt idx="26">
                  <c:v>26359</c:v>
                </c:pt>
                <c:pt idx="27">
                  <c:v>26390</c:v>
                </c:pt>
                <c:pt idx="28">
                  <c:v>26420</c:v>
                </c:pt>
                <c:pt idx="29">
                  <c:v>26451</c:v>
                </c:pt>
                <c:pt idx="30">
                  <c:v>26481</c:v>
                </c:pt>
                <c:pt idx="31">
                  <c:v>26512</c:v>
                </c:pt>
                <c:pt idx="32">
                  <c:v>26543</c:v>
                </c:pt>
                <c:pt idx="33">
                  <c:v>26573</c:v>
                </c:pt>
                <c:pt idx="34">
                  <c:v>26604</c:v>
                </c:pt>
                <c:pt idx="35">
                  <c:v>26634</c:v>
                </c:pt>
                <c:pt idx="36">
                  <c:v>26665</c:v>
                </c:pt>
                <c:pt idx="37">
                  <c:v>26696</c:v>
                </c:pt>
                <c:pt idx="38">
                  <c:v>26724</c:v>
                </c:pt>
                <c:pt idx="39">
                  <c:v>26755</c:v>
                </c:pt>
                <c:pt idx="40">
                  <c:v>26785</c:v>
                </c:pt>
                <c:pt idx="41">
                  <c:v>26816</c:v>
                </c:pt>
                <c:pt idx="42">
                  <c:v>26846</c:v>
                </c:pt>
                <c:pt idx="43">
                  <c:v>26877</c:v>
                </c:pt>
                <c:pt idx="44">
                  <c:v>26908</c:v>
                </c:pt>
                <c:pt idx="45">
                  <c:v>26938</c:v>
                </c:pt>
                <c:pt idx="46">
                  <c:v>26969</c:v>
                </c:pt>
                <c:pt idx="47">
                  <c:v>26999</c:v>
                </c:pt>
                <c:pt idx="48">
                  <c:v>27030</c:v>
                </c:pt>
                <c:pt idx="49">
                  <c:v>27061</c:v>
                </c:pt>
                <c:pt idx="50">
                  <c:v>27089</c:v>
                </c:pt>
                <c:pt idx="51">
                  <c:v>27120</c:v>
                </c:pt>
                <c:pt idx="52">
                  <c:v>27150</c:v>
                </c:pt>
                <c:pt idx="53">
                  <c:v>27181</c:v>
                </c:pt>
                <c:pt idx="54">
                  <c:v>27211</c:v>
                </c:pt>
                <c:pt idx="55">
                  <c:v>27242</c:v>
                </c:pt>
                <c:pt idx="56">
                  <c:v>27273</c:v>
                </c:pt>
                <c:pt idx="57">
                  <c:v>27303</c:v>
                </c:pt>
                <c:pt idx="58">
                  <c:v>27334</c:v>
                </c:pt>
                <c:pt idx="59">
                  <c:v>27364</c:v>
                </c:pt>
                <c:pt idx="60">
                  <c:v>27395</c:v>
                </c:pt>
                <c:pt idx="61">
                  <c:v>27426</c:v>
                </c:pt>
                <c:pt idx="62">
                  <c:v>27454</c:v>
                </c:pt>
                <c:pt idx="63">
                  <c:v>27485</c:v>
                </c:pt>
                <c:pt idx="64">
                  <c:v>27515</c:v>
                </c:pt>
                <c:pt idx="65">
                  <c:v>27546</c:v>
                </c:pt>
                <c:pt idx="66">
                  <c:v>27576</c:v>
                </c:pt>
                <c:pt idx="67">
                  <c:v>27607</c:v>
                </c:pt>
                <c:pt idx="68">
                  <c:v>27638</c:v>
                </c:pt>
                <c:pt idx="69">
                  <c:v>27668</c:v>
                </c:pt>
                <c:pt idx="70">
                  <c:v>27699</c:v>
                </c:pt>
                <c:pt idx="71">
                  <c:v>27729</c:v>
                </c:pt>
                <c:pt idx="72">
                  <c:v>27760</c:v>
                </c:pt>
                <c:pt idx="73">
                  <c:v>27791</c:v>
                </c:pt>
                <c:pt idx="74">
                  <c:v>27820</c:v>
                </c:pt>
                <c:pt idx="75">
                  <c:v>27851</c:v>
                </c:pt>
                <c:pt idx="76">
                  <c:v>27881</c:v>
                </c:pt>
                <c:pt idx="77">
                  <c:v>27912</c:v>
                </c:pt>
                <c:pt idx="78">
                  <c:v>27942</c:v>
                </c:pt>
                <c:pt idx="79">
                  <c:v>27973</c:v>
                </c:pt>
                <c:pt idx="80">
                  <c:v>28004</c:v>
                </c:pt>
                <c:pt idx="81">
                  <c:v>28034</c:v>
                </c:pt>
                <c:pt idx="82">
                  <c:v>28065</c:v>
                </c:pt>
                <c:pt idx="83">
                  <c:v>28095</c:v>
                </c:pt>
                <c:pt idx="84">
                  <c:v>28126</c:v>
                </c:pt>
                <c:pt idx="85">
                  <c:v>28157</c:v>
                </c:pt>
                <c:pt idx="86">
                  <c:v>28185</c:v>
                </c:pt>
                <c:pt idx="87">
                  <c:v>28216</c:v>
                </c:pt>
                <c:pt idx="88">
                  <c:v>28246</c:v>
                </c:pt>
                <c:pt idx="89">
                  <c:v>28277</c:v>
                </c:pt>
                <c:pt idx="90">
                  <c:v>28307</c:v>
                </c:pt>
                <c:pt idx="91">
                  <c:v>28338</c:v>
                </c:pt>
                <c:pt idx="92">
                  <c:v>28369</c:v>
                </c:pt>
                <c:pt idx="93">
                  <c:v>28399</c:v>
                </c:pt>
                <c:pt idx="94">
                  <c:v>28430</c:v>
                </c:pt>
                <c:pt idx="95">
                  <c:v>28460</c:v>
                </c:pt>
                <c:pt idx="96">
                  <c:v>28491</c:v>
                </c:pt>
                <c:pt idx="97">
                  <c:v>28522</c:v>
                </c:pt>
                <c:pt idx="98">
                  <c:v>28550</c:v>
                </c:pt>
                <c:pt idx="99">
                  <c:v>28581</c:v>
                </c:pt>
                <c:pt idx="100">
                  <c:v>28611</c:v>
                </c:pt>
                <c:pt idx="101">
                  <c:v>28642</c:v>
                </c:pt>
                <c:pt idx="102">
                  <c:v>28672</c:v>
                </c:pt>
                <c:pt idx="103">
                  <c:v>28703</c:v>
                </c:pt>
                <c:pt idx="104">
                  <c:v>28734</c:v>
                </c:pt>
                <c:pt idx="105">
                  <c:v>28764</c:v>
                </c:pt>
                <c:pt idx="106">
                  <c:v>28795</c:v>
                </c:pt>
                <c:pt idx="107">
                  <c:v>28825</c:v>
                </c:pt>
                <c:pt idx="108">
                  <c:v>28856</c:v>
                </c:pt>
                <c:pt idx="109">
                  <c:v>28887</c:v>
                </c:pt>
                <c:pt idx="110">
                  <c:v>28915</c:v>
                </c:pt>
                <c:pt idx="111">
                  <c:v>28946</c:v>
                </c:pt>
                <c:pt idx="112">
                  <c:v>28976</c:v>
                </c:pt>
                <c:pt idx="113">
                  <c:v>29007</c:v>
                </c:pt>
                <c:pt idx="114">
                  <c:v>29037</c:v>
                </c:pt>
                <c:pt idx="115">
                  <c:v>29068</c:v>
                </c:pt>
                <c:pt idx="116">
                  <c:v>29099</c:v>
                </c:pt>
                <c:pt idx="117">
                  <c:v>29129</c:v>
                </c:pt>
                <c:pt idx="118">
                  <c:v>29160</c:v>
                </c:pt>
                <c:pt idx="119">
                  <c:v>29190</c:v>
                </c:pt>
                <c:pt idx="120">
                  <c:v>29221</c:v>
                </c:pt>
                <c:pt idx="121">
                  <c:v>29252</c:v>
                </c:pt>
                <c:pt idx="122">
                  <c:v>29281</c:v>
                </c:pt>
                <c:pt idx="123">
                  <c:v>29312</c:v>
                </c:pt>
                <c:pt idx="124">
                  <c:v>29342</c:v>
                </c:pt>
                <c:pt idx="125">
                  <c:v>29373</c:v>
                </c:pt>
                <c:pt idx="126">
                  <c:v>29403</c:v>
                </c:pt>
                <c:pt idx="127">
                  <c:v>29434</c:v>
                </c:pt>
                <c:pt idx="128">
                  <c:v>29465</c:v>
                </c:pt>
                <c:pt idx="129">
                  <c:v>29495</c:v>
                </c:pt>
                <c:pt idx="130">
                  <c:v>29526</c:v>
                </c:pt>
                <c:pt idx="131">
                  <c:v>29556</c:v>
                </c:pt>
                <c:pt idx="132">
                  <c:v>29587</c:v>
                </c:pt>
                <c:pt idx="133">
                  <c:v>29618</c:v>
                </c:pt>
                <c:pt idx="134">
                  <c:v>29646</c:v>
                </c:pt>
                <c:pt idx="135">
                  <c:v>29677</c:v>
                </c:pt>
                <c:pt idx="136">
                  <c:v>29707</c:v>
                </c:pt>
                <c:pt idx="137">
                  <c:v>29738</c:v>
                </c:pt>
                <c:pt idx="138">
                  <c:v>29768</c:v>
                </c:pt>
                <c:pt idx="139">
                  <c:v>29799</c:v>
                </c:pt>
                <c:pt idx="140">
                  <c:v>29830</c:v>
                </c:pt>
                <c:pt idx="141">
                  <c:v>29860</c:v>
                </c:pt>
                <c:pt idx="142">
                  <c:v>29891</c:v>
                </c:pt>
                <c:pt idx="143">
                  <c:v>29921</c:v>
                </c:pt>
                <c:pt idx="144">
                  <c:v>29952</c:v>
                </c:pt>
                <c:pt idx="145">
                  <c:v>29983</c:v>
                </c:pt>
                <c:pt idx="146">
                  <c:v>30011</c:v>
                </c:pt>
                <c:pt idx="147">
                  <c:v>30042</c:v>
                </c:pt>
                <c:pt idx="148">
                  <c:v>30072</c:v>
                </c:pt>
                <c:pt idx="149">
                  <c:v>30103</c:v>
                </c:pt>
                <c:pt idx="150">
                  <c:v>30133</c:v>
                </c:pt>
                <c:pt idx="151">
                  <c:v>30164</c:v>
                </c:pt>
                <c:pt idx="152">
                  <c:v>30195</c:v>
                </c:pt>
                <c:pt idx="153">
                  <c:v>30225</c:v>
                </c:pt>
                <c:pt idx="154">
                  <c:v>30256</c:v>
                </c:pt>
                <c:pt idx="155">
                  <c:v>30286</c:v>
                </c:pt>
                <c:pt idx="156">
                  <c:v>30317</c:v>
                </c:pt>
                <c:pt idx="157">
                  <c:v>30348</c:v>
                </c:pt>
                <c:pt idx="158">
                  <c:v>30376</c:v>
                </c:pt>
                <c:pt idx="159">
                  <c:v>30407</c:v>
                </c:pt>
                <c:pt idx="160">
                  <c:v>30437</c:v>
                </c:pt>
                <c:pt idx="161">
                  <c:v>30468</c:v>
                </c:pt>
                <c:pt idx="162">
                  <c:v>30498</c:v>
                </c:pt>
                <c:pt idx="163">
                  <c:v>30529</c:v>
                </c:pt>
                <c:pt idx="164">
                  <c:v>30560</c:v>
                </c:pt>
                <c:pt idx="165">
                  <c:v>30590</c:v>
                </c:pt>
                <c:pt idx="166">
                  <c:v>30621</c:v>
                </c:pt>
                <c:pt idx="167">
                  <c:v>30651</c:v>
                </c:pt>
                <c:pt idx="168">
                  <c:v>30682</c:v>
                </c:pt>
                <c:pt idx="169">
                  <c:v>30713</c:v>
                </c:pt>
                <c:pt idx="170">
                  <c:v>30742</c:v>
                </c:pt>
                <c:pt idx="171">
                  <c:v>30773</c:v>
                </c:pt>
                <c:pt idx="172">
                  <c:v>30803</c:v>
                </c:pt>
                <c:pt idx="173">
                  <c:v>30834</c:v>
                </c:pt>
                <c:pt idx="174">
                  <c:v>30864</c:v>
                </c:pt>
                <c:pt idx="175">
                  <c:v>30895</c:v>
                </c:pt>
                <c:pt idx="176">
                  <c:v>30926</c:v>
                </c:pt>
                <c:pt idx="177">
                  <c:v>30956</c:v>
                </c:pt>
                <c:pt idx="178">
                  <c:v>30987</c:v>
                </c:pt>
                <c:pt idx="179">
                  <c:v>31017</c:v>
                </c:pt>
                <c:pt idx="180">
                  <c:v>31048</c:v>
                </c:pt>
                <c:pt idx="181">
                  <c:v>31079</c:v>
                </c:pt>
                <c:pt idx="182">
                  <c:v>31107</c:v>
                </c:pt>
                <c:pt idx="183">
                  <c:v>31138</c:v>
                </c:pt>
                <c:pt idx="184">
                  <c:v>31168</c:v>
                </c:pt>
                <c:pt idx="185">
                  <c:v>31199</c:v>
                </c:pt>
                <c:pt idx="186">
                  <c:v>31229</c:v>
                </c:pt>
                <c:pt idx="187">
                  <c:v>31260</c:v>
                </c:pt>
                <c:pt idx="188">
                  <c:v>31291</c:v>
                </c:pt>
                <c:pt idx="189">
                  <c:v>31321</c:v>
                </c:pt>
                <c:pt idx="190">
                  <c:v>31352</c:v>
                </c:pt>
                <c:pt idx="191">
                  <c:v>31382</c:v>
                </c:pt>
                <c:pt idx="192">
                  <c:v>31413</c:v>
                </c:pt>
                <c:pt idx="193">
                  <c:v>31444</c:v>
                </c:pt>
                <c:pt idx="194">
                  <c:v>31472</c:v>
                </c:pt>
                <c:pt idx="195">
                  <c:v>31503</c:v>
                </c:pt>
                <c:pt idx="196">
                  <c:v>31533</c:v>
                </c:pt>
                <c:pt idx="197">
                  <c:v>31564</c:v>
                </c:pt>
                <c:pt idx="198">
                  <c:v>31594</c:v>
                </c:pt>
                <c:pt idx="199">
                  <c:v>31625</c:v>
                </c:pt>
                <c:pt idx="200">
                  <c:v>31656</c:v>
                </c:pt>
                <c:pt idx="201">
                  <c:v>31686</c:v>
                </c:pt>
                <c:pt idx="202">
                  <c:v>31717</c:v>
                </c:pt>
                <c:pt idx="203">
                  <c:v>31747</c:v>
                </c:pt>
                <c:pt idx="204">
                  <c:v>31778</c:v>
                </c:pt>
                <c:pt idx="205">
                  <c:v>31809</c:v>
                </c:pt>
                <c:pt idx="206">
                  <c:v>31837</c:v>
                </c:pt>
                <c:pt idx="207">
                  <c:v>31868</c:v>
                </c:pt>
                <c:pt idx="208">
                  <c:v>31898</c:v>
                </c:pt>
                <c:pt idx="209">
                  <c:v>31929</c:v>
                </c:pt>
                <c:pt idx="210">
                  <c:v>31959</c:v>
                </c:pt>
                <c:pt idx="211">
                  <c:v>31990</c:v>
                </c:pt>
                <c:pt idx="212">
                  <c:v>32021</c:v>
                </c:pt>
                <c:pt idx="213">
                  <c:v>32051</c:v>
                </c:pt>
                <c:pt idx="214">
                  <c:v>32082</c:v>
                </c:pt>
                <c:pt idx="215">
                  <c:v>32112</c:v>
                </c:pt>
                <c:pt idx="216">
                  <c:v>32143</c:v>
                </c:pt>
                <c:pt idx="217">
                  <c:v>32174</c:v>
                </c:pt>
                <c:pt idx="218">
                  <c:v>32203</c:v>
                </c:pt>
                <c:pt idx="219">
                  <c:v>32234</c:v>
                </c:pt>
                <c:pt idx="220">
                  <c:v>32264</c:v>
                </c:pt>
                <c:pt idx="221">
                  <c:v>32295</c:v>
                </c:pt>
                <c:pt idx="222">
                  <c:v>32325</c:v>
                </c:pt>
                <c:pt idx="223">
                  <c:v>32356</c:v>
                </c:pt>
                <c:pt idx="224">
                  <c:v>32387</c:v>
                </c:pt>
                <c:pt idx="225">
                  <c:v>32417</c:v>
                </c:pt>
                <c:pt idx="226">
                  <c:v>32448</c:v>
                </c:pt>
                <c:pt idx="227">
                  <c:v>32478</c:v>
                </c:pt>
                <c:pt idx="228">
                  <c:v>32509</c:v>
                </c:pt>
                <c:pt idx="229">
                  <c:v>32540</c:v>
                </c:pt>
                <c:pt idx="230">
                  <c:v>32568</c:v>
                </c:pt>
                <c:pt idx="231">
                  <c:v>32599</c:v>
                </c:pt>
                <c:pt idx="232">
                  <c:v>32629</c:v>
                </c:pt>
                <c:pt idx="233">
                  <c:v>32660</c:v>
                </c:pt>
                <c:pt idx="234">
                  <c:v>32690</c:v>
                </c:pt>
                <c:pt idx="235">
                  <c:v>32721</c:v>
                </c:pt>
                <c:pt idx="236">
                  <c:v>32752</c:v>
                </c:pt>
                <c:pt idx="237">
                  <c:v>32782</c:v>
                </c:pt>
                <c:pt idx="238">
                  <c:v>32813</c:v>
                </c:pt>
                <c:pt idx="239">
                  <c:v>32843</c:v>
                </c:pt>
                <c:pt idx="240">
                  <c:v>32874</c:v>
                </c:pt>
                <c:pt idx="241">
                  <c:v>32905</c:v>
                </c:pt>
                <c:pt idx="242">
                  <c:v>32933</c:v>
                </c:pt>
                <c:pt idx="243">
                  <c:v>32964</c:v>
                </c:pt>
                <c:pt idx="244">
                  <c:v>32994</c:v>
                </c:pt>
                <c:pt idx="245">
                  <c:v>33025</c:v>
                </c:pt>
                <c:pt idx="246">
                  <c:v>33055</c:v>
                </c:pt>
                <c:pt idx="247">
                  <c:v>33086</c:v>
                </c:pt>
                <c:pt idx="248">
                  <c:v>33117</c:v>
                </c:pt>
                <c:pt idx="249">
                  <c:v>33147</c:v>
                </c:pt>
                <c:pt idx="250">
                  <c:v>33178</c:v>
                </c:pt>
                <c:pt idx="251">
                  <c:v>33208</c:v>
                </c:pt>
                <c:pt idx="252">
                  <c:v>33239</c:v>
                </c:pt>
                <c:pt idx="253">
                  <c:v>33270</c:v>
                </c:pt>
                <c:pt idx="254">
                  <c:v>33298</c:v>
                </c:pt>
                <c:pt idx="255">
                  <c:v>33329</c:v>
                </c:pt>
                <c:pt idx="256">
                  <c:v>33359</c:v>
                </c:pt>
                <c:pt idx="257">
                  <c:v>33390</c:v>
                </c:pt>
                <c:pt idx="258">
                  <c:v>33420</c:v>
                </c:pt>
                <c:pt idx="259">
                  <c:v>33451</c:v>
                </c:pt>
                <c:pt idx="260">
                  <c:v>33482</c:v>
                </c:pt>
                <c:pt idx="261">
                  <c:v>33512</c:v>
                </c:pt>
                <c:pt idx="262">
                  <c:v>33543</c:v>
                </c:pt>
                <c:pt idx="263">
                  <c:v>33573</c:v>
                </c:pt>
                <c:pt idx="264">
                  <c:v>33604</c:v>
                </c:pt>
                <c:pt idx="265">
                  <c:v>33635</c:v>
                </c:pt>
                <c:pt idx="266">
                  <c:v>33664</c:v>
                </c:pt>
                <c:pt idx="267">
                  <c:v>33695</c:v>
                </c:pt>
                <c:pt idx="268">
                  <c:v>33725</c:v>
                </c:pt>
                <c:pt idx="269">
                  <c:v>33756</c:v>
                </c:pt>
                <c:pt idx="270">
                  <c:v>33786</c:v>
                </c:pt>
                <c:pt idx="271">
                  <c:v>33817</c:v>
                </c:pt>
                <c:pt idx="272">
                  <c:v>33848</c:v>
                </c:pt>
                <c:pt idx="273">
                  <c:v>33878</c:v>
                </c:pt>
                <c:pt idx="274">
                  <c:v>33909</c:v>
                </c:pt>
                <c:pt idx="275">
                  <c:v>33939</c:v>
                </c:pt>
                <c:pt idx="276">
                  <c:v>33970</c:v>
                </c:pt>
                <c:pt idx="277">
                  <c:v>34001</c:v>
                </c:pt>
                <c:pt idx="278">
                  <c:v>34029</c:v>
                </c:pt>
                <c:pt idx="279">
                  <c:v>34060</c:v>
                </c:pt>
                <c:pt idx="280">
                  <c:v>34090</c:v>
                </c:pt>
                <c:pt idx="281">
                  <c:v>34121</c:v>
                </c:pt>
                <c:pt idx="282">
                  <c:v>34151</c:v>
                </c:pt>
                <c:pt idx="283">
                  <c:v>34182</c:v>
                </c:pt>
                <c:pt idx="284">
                  <c:v>34213</c:v>
                </c:pt>
                <c:pt idx="285">
                  <c:v>34243</c:v>
                </c:pt>
                <c:pt idx="286">
                  <c:v>34274</c:v>
                </c:pt>
                <c:pt idx="287">
                  <c:v>34304</c:v>
                </c:pt>
                <c:pt idx="288">
                  <c:v>34335</c:v>
                </c:pt>
                <c:pt idx="289">
                  <c:v>34366</c:v>
                </c:pt>
                <c:pt idx="290">
                  <c:v>34394</c:v>
                </c:pt>
                <c:pt idx="291">
                  <c:v>34425</c:v>
                </c:pt>
                <c:pt idx="292">
                  <c:v>34455</c:v>
                </c:pt>
                <c:pt idx="293">
                  <c:v>34486</c:v>
                </c:pt>
                <c:pt idx="294">
                  <c:v>34516</c:v>
                </c:pt>
                <c:pt idx="295">
                  <c:v>34547</c:v>
                </c:pt>
                <c:pt idx="296">
                  <c:v>34578</c:v>
                </c:pt>
                <c:pt idx="297">
                  <c:v>34608</c:v>
                </c:pt>
                <c:pt idx="298">
                  <c:v>34639</c:v>
                </c:pt>
                <c:pt idx="299">
                  <c:v>34669</c:v>
                </c:pt>
                <c:pt idx="300">
                  <c:v>34700</c:v>
                </c:pt>
                <c:pt idx="301">
                  <c:v>34731</c:v>
                </c:pt>
                <c:pt idx="302">
                  <c:v>34759</c:v>
                </c:pt>
                <c:pt idx="303">
                  <c:v>34790</c:v>
                </c:pt>
                <c:pt idx="304">
                  <c:v>34820</c:v>
                </c:pt>
                <c:pt idx="305">
                  <c:v>34851</c:v>
                </c:pt>
                <c:pt idx="306">
                  <c:v>34881</c:v>
                </c:pt>
                <c:pt idx="307">
                  <c:v>34912</c:v>
                </c:pt>
                <c:pt idx="308">
                  <c:v>34943</c:v>
                </c:pt>
                <c:pt idx="309">
                  <c:v>34973</c:v>
                </c:pt>
                <c:pt idx="310">
                  <c:v>35004</c:v>
                </c:pt>
                <c:pt idx="311">
                  <c:v>35034</c:v>
                </c:pt>
                <c:pt idx="312">
                  <c:v>35065</c:v>
                </c:pt>
                <c:pt idx="313">
                  <c:v>35096</c:v>
                </c:pt>
                <c:pt idx="314">
                  <c:v>35125</c:v>
                </c:pt>
                <c:pt idx="315">
                  <c:v>35156</c:v>
                </c:pt>
                <c:pt idx="316">
                  <c:v>35186</c:v>
                </c:pt>
                <c:pt idx="317">
                  <c:v>35217</c:v>
                </c:pt>
                <c:pt idx="318">
                  <c:v>35247</c:v>
                </c:pt>
                <c:pt idx="319">
                  <c:v>35278</c:v>
                </c:pt>
                <c:pt idx="320">
                  <c:v>35309</c:v>
                </c:pt>
                <c:pt idx="321">
                  <c:v>35339</c:v>
                </c:pt>
                <c:pt idx="322">
                  <c:v>35370</c:v>
                </c:pt>
                <c:pt idx="323">
                  <c:v>35400</c:v>
                </c:pt>
                <c:pt idx="324">
                  <c:v>35431</c:v>
                </c:pt>
                <c:pt idx="325">
                  <c:v>35462</c:v>
                </c:pt>
                <c:pt idx="326">
                  <c:v>35490</c:v>
                </c:pt>
                <c:pt idx="327">
                  <c:v>35521</c:v>
                </c:pt>
                <c:pt idx="328">
                  <c:v>35551</c:v>
                </c:pt>
                <c:pt idx="329">
                  <c:v>35582</c:v>
                </c:pt>
                <c:pt idx="330">
                  <c:v>35612</c:v>
                </c:pt>
                <c:pt idx="331">
                  <c:v>35643</c:v>
                </c:pt>
                <c:pt idx="332">
                  <c:v>35674</c:v>
                </c:pt>
                <c:pt idx="333">
                  <c:v>35704</c:v>
                </c:pt>
                <c:pt idx="334">
                  <c:v>35735</c:v>
                </c:pt>
                <c:pt idx="335">
                  <c:v>35765</c:v>
                </c:pt>
                <c:pt idx="336">
                  <c:v>35796</c:v>
                </c:pt>
                <c:pt idx="337">
                  <c:v>35827</c:v>
                </c:pt>
                <c:pt idx="338">
                  <c:v>35855</c:v>
                </c:pt>
                <c:pt idx="339">
                  <c:v>35886</c:v>
                </c:pt>
                <c:pt idx="340">
                  <c:v>35916</c:v>
                </c:pt>
                <c:pt idx="341">
                  <c:v>35947</c:v>
                </c:pt>
                <c:pt idx="342">
                  <c:v>35977</c:v>
                </c:pt>
                <c:pt idx="343">
                  <c:v>36008</c:v>
                </c:pt>
                <c:pt idx="344">
                  <c:v>36039</c:v>
                </c:pt>
                <c:pt idx="345">
                  <c:v>36069</c:v>
                </c:pt>
                <c:pt idx="346">
                  <c:v>36100</c:v>
                </c:pt>
                <c:pt idx="347">
                  <c:v>36130</c:v>
                </c:pt>
                <c:pt idx="348">
                  <c:v>36161</c:v>
                </c:pt>
                <c:pt idx="349">
                  <c:v>36192</c:v>
                </c:pt>
                <c:pt idx="350">
                  <c:v>36220</c:v>
                </c:pt>
                <c:pt idx="351">
                  <c:v>36251</c:v>
                </c:pt>
                <c:pt idx="352">
                  <c:v>36281</c:v>
                </c:pt>
                <c:pt idx="353">
                  <c:v>36312</c:v>
                </c:pt>
                <c:pt idx="354">
                  <c:v>36342</c:v>
                </c:pt>
                <c:pt idx="355">
                  <c:v>36373</c:v>
                </c:pt>
                <c:pt idx="356">
                  <c:v>36404</c:v>
                </c:pt>
                <c:pt idx="357">
                  <c:v>36434</c:v>
                </c:pt>
                <c:pt idx="358">
                  <c:v>36465</c:v>
                </c:pt>
                <c:pt idx="359">
                  <c:v>36495</c:v>
                </c:pt>
                <c:pt idx="360">
                  <c:v>36526</c:v>
                </c:pt>
                <c:pt idx="361">
                  <c:v>36557</c:v>
                </c:pt>
                <c:pt idx="362">
                  <c:v>36586</c:v>
                </c:pt>
                <c:pt idx="363">
                  <c:v>36617</c:v>
                </c:pt>
                <c:pt idx="364">
                  <c:v>36647</c:v>
                </c:pt>
                <c:pt idx="365">
                  <c:v>36678</c:v>
                </c:pt>
                <c:pt idx="366">
                  <c:v>36708</c:v>
                </c:pt>
                <c:pt idx="367">
                  <c:v>36739</c:v>
                </c:pt>
                <c:pt idx="368">
                  <c:v>36770</c:v>
                </c:pt>
                <c:pt idx="369">
                  <c:v>36800</c:v>
                </c:pt>
                <c:pt idx="370">
                  <c:v>36831</c:v>
                </c:pt>
                <c:pt idx="371">
                  <c:v>36861</c:v>
                </c:pt>
                <c:pt idx="372">
                  <c:v>36892</c:v>
                </c:pt>
                <c:pt idx="373">
                  <c:v>36923</c:v>
                </c:pt>
                <c:pt idx="374">
                  <c:v>36951</c:v>
                </c:pt>
                <c:pt idx="375">
                  <c:v>36982</c:v>
                </c:pt>
                <c:pt idx="376">
                  <c:v>37012</c:v>
                </c:pt>
                <c:pt idx="377">
                  <c:v>37043</c:v>
                </c:pt>
                <c:pt idx="378">
                  <c:v>37073</c:v>
                </c:pt>
                <c:pt idx="379">
                  <c:v>37104</c:v>
                </c:pt>
                <c:pt idx="380">
                  <c:v>37135</c:v>
                </c:pt>
                <c:pt idx="381">
                  <c:v>37165</c:v>
                </c:pt>
                <c:pt idx="382">
                  <c:v>37196</c:v>
                </c:pt>
                <c:pt idx="383">
                  <c:v>37226</c:v>
                </c:pt>
                <c:pt idx="384">
                  <c:v>37257</c:v>
                </c:pt>
                <c:pt idx="385">
                  <c:v>37288</c:v>
                </c:pt>
                <c:pt idx="386">
                  <c:v>37316</c:v>
                </c:pt>
                <c:pt idx="387">
                  <c:v>37347</c:v>
                </c:pt>
                <c:pt idx="388">
                  <c:v>37377</c:v>
                </c:pt>
                <c:pt idx="389">
                  <c:v>37408</c:v>
                </c:pt>
                <c:pt idx="390">
                  <c:v>37438</c:v>
                </c:pt>
                <c:pt idx="391">
                  <c:v>37469</c:v>
                </c:pt>
                <c:pt idx="392">
                  <c:v>37500</c:v>
                </c:pt>
                <c:pt idx="393">
                  <c:v>37530</c:v>
                </c:pt>
                <c:pt idx="394">
                  <c:v>37561</c:v>
                </c:pt>
                <c:pt idx="395">
                  <c:v>37591</c:v>
                </c:pt>
                <c:pt idx="396">
                  <c:v>37622</c:v>
                </c:pt>
                <c:pt idx="397">
                  <c:v>37653</c:v>
                </c:pt>
                <c:pt idx="398">
                  <c:v>37681</c:v>
                </c:pt>
                <c:pt idx="399">
                  <c:v>37712</c:v>
                </c:pt>
                <c:pt idx="400">
                  <c:v>37742</c:v>
                </c:pt>
                <c:pt idx="401">
                  <c:v>37773</c:v>
                </c:pt>
                <c:pt idx="402">
                  <c:v>37803</c:v>
                </c:pt>
                <c:pt idx="403">
                  <c:v>37834</c:v>
                </c:pt>
                <c:pt idx="404">
                  <c:v>37865</c:v>
                </c:pt>
                <c:pt idx="405">
                  <c:v>37895</c:v>
                </c:pt>
                <c:pt idx="406">
                  <c:v>37926</c:v>
                </c:pt>
                <c:pt idx="407">
                  <c:v>37956</c:v>
                </c:pt>
                <c:pt idx="408">
                  <c:v>37987</c:v>
                </c:pt>
                <c:pt idx="409">
                  <c:v>38018</c:v>
                </c:pt>
                <c:pt idx="410">
                  <c:v>38047</c:v>
                </c:pt>
                <c:pt idx="411">
                  <c:v>38078</c:v>
                </c:pt>
                <c:pt idx="412">
                  <c:v>38108</c:v>
                </c:pt>
                <c:pt idx="413">
                  <c:v>38139</c:v>
                </c:pt>
                <c:pt idx="414">
                  <c:v>38169</c:v>
                </c:pt>
                <c:pt idx="415">
                  <c:v>38200</c:v>
                </c:pt>
                <c:pt idx="416">
                  <c:v>38231</c:v>
                </c:pt>
                <c:pt idx="417">
                  <c:v>38261</c:v>
                </c:pt>
                <c:pt idx="418">
                  <c:v>38292</c:v>
                </c:pt>
                <c:pt idx="419">
                  <c:v>38322</c:v>
                </c:pt>
                <c:pt idx="420">
                  <c:v>38353</c:v>
                </c:pt>
                <c:pt idx="421">
                  <c:v>38384</c:v>
                </c:pt>
                <c:pt idx="422">
                  <c:v>38412</c:v>
                </c:pt>
                <c:pt idx="423">
                  <c:v>38443</c:v>
                </c:pt>
                <c:pt idx="424">
                  <c:v>38473</c:v>
                </c:pt>
                <c:pt idx="425">
                  <c:v>38504</c:v>
                </c:pt>
                <c:pt idx="426">
                  <c:v>38534</c:v>
                </c:pt>
                <c:pt idx="427">
                  <c:v>38565</c:v>
                </c:pt>
                <c:pt idx="428">
                  <c:v>38596</c:v>
                </c:pt>
                <c:pt idx="429">
                  <c:v>38626</c:v>
                </c:pt>
                <c:pt idx="430">
                  <c:v>38657</c:v>
                </c:pt>
                <c:pt idx="431">
                  <c:v>38687</c:v>
                </c:pt>
                <c:pt idx="432">
                  <c:v>38718</c:v>
                </c:pt>
                <c:pt idx="433">
                  <c:v>38749</c:v>
                </c:pt>
                <c:pt idx="434">
                  <c:v>38777</c:v>
                </c:pt>
                <c:pt idx="435">
                  <c:v>38808</c:v>
                </c:pt>
                <c:pt idx="436">
                  <c:v>38838</c:v>
                </c:pt>
                <c:pt idx="437">
                  <c:v>38869</c:v>
                </c:pt>
                <c:pt idx="438">
                  <c:v>38899</c:v>
                </c:pt>
                <c:pt idx="439">
                  <c:v>38930</c:v>
                </c:pt>
                <c:pt idx="440">
                  <c:v>38961</c:v>
                </c:pt>
                <c:pt idx="441">
                  <c:v>38991</c:v>
                </c:pt>
                <c:pt idx="442">
                  <c:v>39022</c:v>
                </c:pt>
                <c:pt idx="443">
                  <c:v>39052</c:v>
                </c:pt>
                <c:pt idx="444">
                  <c:v>39083</c:v>
                </c:pt>
                <c:pt idx="445">
                  <c:v>39114</c:v>
                </c:pt>
                <c:pt idx="446">
                  <c:v>39142</c:v>
                </c:pt>
                <c:pt idx="447">
                  <c:v>39173</c:v>
                </c:pt>
                <c:pt idx="448">
                  <c:v>39203</c:v>
                </c:pt>
                <c:pt idx="449">
                  <c:v>39234</c:v>
                </c:pt>
                <c:pt idx="450">
                  <c:v>39264</c:v>
                </c:pt>
                <c:pt idx="451">
                  <c:v>39295</c:v>
                </c:pt>
                <c:pt idx="452">
                  <c:v>39326</c:v>
                </c:pt>
                <c:pt idx="453">
                  <c:v>39356</c:v>
                </c:pt>
                <c:pt idx="454">
                  <c:v>39387</c:v>
                </c:pt>
                <c:pt idx="455">
                  <c:v>39417</c:v>
                </c:pt>
                <c:pt idx="456">
                  <c:v>39448</c:v>
                </c:pt>
                <c:pt idx="457">
                  <c:v>39479</c:v>
                </c:pt>
                <c:pt idx="458">
                  <c:v>39508</c:v>
                </c:pt>
                <c:pt idx="459">
                  <c:v>39539</c:v>
                </c:pt>
                <c:pt idx="460">
                  <c:v>39569</c:v>
                </c:pt>
                <c:pt idx="461">
                  <c:v>39600</c:v>
                </c:pt>
                <c:pt idx="462">
                  <c:v>39630</c:v>
                </c:pt>
                <c:pt idx="463">
                  <c:v>39661</c:v>
                </c:pt>
                <c:pt idx="464">
                  <c:v>39692</c:v>
                </c:pt>
                <c:pt idx="465">
                  <c:v>39722</c:v>
                </c:pt>
                <c:pt idx="466">
                  <c:v>39753</c:v>
                </c:pt>
                <c:pt idx="467">
                  <c:v>39783</c:v>
                </c:pt>
                <c:pt idx="468">
                  <c:v>39814</c:v>
                </c:pt>
                <c:pt idx="469">
                  <c:v>39845</c:v>
                </c:pt>
                <c:pt idx="470">
                  <c:v>39873</c:v>
                </c:pt>
                <c:pt idx="471">
                  <c:v>39904</c:v>
                </c:pt>
                <c:pt idx="472">
                  <c:v>39934</c:v>
                </c:pt>
                <c:pt idx="473">
                  <c:v>39965</c:v>
                </c:pt>
                <c:pt idx="474">
                  <c:v>39995</c:v>
                </c:pt>
                <c:pt idx="475">
                  <c:v>40026</c:v>
                </c:pt>
                <c:pt idx="476">
                  <c:v>40057</c:v>
                </c:pt>
                <c:pt idx="477">
                  <c:v>40087</c:v>
                </c:pt>
                <c:pt idx="478">
                  <c:v>40118</c:v>
                </c:pt>
                <c:pt idx="479">
                  <c:v>40148</c:v>
                </c:pt>
                <c:pt idx="480">
                  <c:v>40179</c:v>
                </c:pt>
                <c:pt idx="481">
                  <c:v>40210</c:v>
                </c:pt>
                <c:pt idx="482">
                  <c:v>40238</c:v>
                </c:pt>
                <c:pt idx="483">
                  <c:v>40269</c:v>
                </c:pt>
                <c:pt idx="484">
                  <c:v>40299</c:v>
                </c:pt>
                <c:pt idx="485">
                  <c:v>40330</c:v>
                </c:pt>
                <c:pt idx="486">
                  <c:v>40360</c:v>
                </c:pt>
                <c:pt idx="487">
                  <c:v>40391</c:v>
                </c:pt>
                <c:pt idx="488">
                  <c:v>40422</c:v>
                </c:pt>
                <c:pt idx="489">
                  <c:v>40452</c:v>
                </c:pt>
                <c:pt idx="490">
                  <c:v>40483</c:v>
                </c:pt>
                <c:pt idx="491">
                  <c:v>40513</c:v>
                </c:pt>
                <c:pt idx="492">
                  <c:v>40544</c:v>
                </c:pt>
                <c:pt idx="493">
                  <c:v>40575</c:v>
                </c:pt>
                <c:pt idx="494">
                  <c:v>40603</c:v>
                </c:pt>
                <c:pt idx="495">
                  <c:v>40634</c:v>
                </c:pt>
                <c:pt idx="496">
                  <c:v>40664</c:v>
                </c:pt>
                <c:pt idx="497">
                  <c:v>40695</c:v>
                </c:pt>
                <c:pt idx="498">
                  <c:v>40725</c:v>
                </c:pt>
                <c:pt idx="499">
                  <c:v>40756</c:v>
                </c:pt>
                <c:pt idx="500">
                  <c:v>40787</c:v>
                </c:pt>
                <c:pt idx="501">
                  <c:v>40817</c:v>
                </c:pt>
                <c:pt idx="502">
                  <c:v>40848</c:v>
                </c:pt>
                <c:pt idx="503">
                  <c:v>40878</c:v>
                </c:pt>
                <c:pt idx="504">
                  <c:v>40909</c:v>
                </c:pt>
                <c:pt idx="505">
                  <c:v>40940</c:v>
                </c:pt>
                <c:pt idx="506">
                  <c:v>40969</c:v>
                </c:pt>
                <c:pt idx="507">
                  <c:v>41000</c:v>
                </c:pt>
                <c:pt idx="508">
                  <c:v>41030</c:v>
                </c:pt>
                <c:pt idx="509">
                  <c:v>41061</c:v>
                </c:pt>
                <c:pt idx="510">
                  <c:v>41091</c:v>
                </c:pt>
                <c:pt idx="511">
                  <c:v>41122</c:v>
                </c:pt>
                <c:pt idx="512">
                  <c:v>41153</c:v>
                </c:pt>
                <c:pt idx="513">
                  <c:v>41183</c:v>
                </c:pt>
                <c:pt idx="514">
                  <c:v>41214</c:v>
                </c:pt>
                <c:pt idx="515">
                  <c:v>41244</c:v>
                </c:pt>
                <c:pt idx="516">
                  <c:v>41275</c:v>
                </c:pt>
                <c:pt idx="517">
                  <c:v>41306</c:v>
                </c:pt>
                <c:pt idx="518">
                  <c:v>41334</c:v>
                </c:pt>
                <c:pt idx="519">
                  <c:v>41365</c:v>
                </c:pt>
                <c:pt idx="520">
                  <c:v>41395</c:v>
                </c:pt>
                <c:pt idx="521">
                  <c:v>41426</c:v>
                </c:pt>
                <c:pt idx="522">
                  <c:v>41456</c:v>
                </c:pt>
                <c:pt idx="523">
                  <c:v>41487</c:v>
                </c:pt>
                <c:pt idx="524">
                  <c:v>41518</c:v>
                </c:pt>
                <c:pt idx="525">
                  <c:v>41548</c:v>
                </c:pt>
                <c:pt idx="526">
                  <c:v>41579</c:v>
                </c:pt>
                <c:pt idx="527">
                  <c:v>41609</c:v>
                </c:pt>
                <c:pt idx="528">
                  <c:v>41640</c:v>
                </c:pt>
                <c:pt idx="529">
                  <c:v>41671</c:v>
                </c:pt>
                <c:pt idx="530">
                  <c:v>41699</c:v>
                </c:pt>
                <c:pt idx="531">
                  <c:v>41730</c:v>
                </c:pt>
                <c:pt idx="532">
                  <c:v>41760</c:v>
                </c:pt>
                <c:pt idx="533">
                  <c:v>41791</c:v>
                </c:pt>
                <c:pt idx="534">
                  <c:v>41821</c:v>
                </c:pt>
                <c:pt idx="535">
                  <c:v>41852</c:v>
                </c:pt>
                <c:pt idx="536">
                  <c:v>41883</c:v>
                </c:pt>
                <c:pt idx="537">
                  <c:v>41913</c:v>
                </c:pt>
              </c:numCache>
            </c:numRef>
          </c:xVal>
          <c:yVal>
            <c:numRef>
              <c:f>'40603'!$C$10:$C$547</c:f>
              <c:numCache>
                <c:formatCode>General</c:formatCode>
                <c:ptCount val="538"/>
                <c:pt idx="0">
                  <c:v>271000</c:v>
                </c:pt>
                <c:pt idx="1">
                  <c:v>278000</c:v>
                </c:pt>
                <c:pt idx="2">
                  <c:v>262000</c:v>
                </c:pt>
                <c:pt idx="3">
                  <c:v>333000</c:v>
                </c:pt>
                <c:pt idx="4">
                  <c:v>493000</c:v>
                </c:pt>
                <c:pt idx="5">
                  <c:v>646000</c:v>
                </c:pt>
                <c:pt idx="6">
                  <c:v>558000</c:v>
                </c:pt>
                <c:pt idx="7">
                  <c:v>612000</c:v>
                </c:pt>
                <c:pt idx="8">
                  <c:v>453000</c:v>
                </c:pt>
                <c:pt idx="9">
                  <c:v>441000</c:v>
                </c:pt>
                <c:pt idx="10">
                  <c:v>387000</c:v>
                </c:pt>
                <c:pt idx="11">
                  <c:v>392000</c:v>
                </c:pt>
                <c:pt idx="12">
                  <c:v>337000</c:v>
                </c:pt>
                <c:pt idx="13">
                  <c:v>251000</c:v>
                </c:pt>
                <c:pt idx="14">
                  <c:v>231000</c:v>
                </c:pt>
                <c:pt idx="15">
                  <c:v>289000</c:v>
                </c:pt>
                <c:pt idx="16">
                  <c:v>366000</c:v>
                </c:pt>
                <c:pt idx="17">
                  <c:v>468000</c:v>
                </c:pt>
                <c:pt idx="18">
                  <c:v>499000</c:v>
                </c:pt>
                <c:pt idx="19">
                  <c:v>418000</c:v>
                </c:pt>
                <c:pt idx="20">
                  <c:v>361000</c:v>
                </c:pt>
                <c:pt idx="21">
                  <c:v>341000</c:v>
                </c:pt>
                <c:pt idx="22">
                  <c:v>295000</c:v>
                </c:pt>
                <c:pt idx="23">
                  <c:v>281000</c:v>
                </c:pt>
                <c:pt idx="24">
                  <c:v>262000</c:v>
                </c:pt>
                <c:pt idx="25">
                  <c:v>206000</c:v>
                </c:pt>
                <c:pt idx="26">
                  <c:v>195000</c:v>
                </c:pt>
                <c:pt idx="27">
                  <c:v>245000</c:v>
                </c:pt>
                <c:pt idx="28">
                  <c:v>275000</c:v>
                </c:pt>
                <c:pt idx="29">
                  <c:v>396000</c:v>
                </c:pt>
                <c:pt idx="30">
                  <c:v>477000</c:v>
                </c:pt>
                <c:pt idx="31">
                  <c:v>416000</c:v>
                </c:pt>
                <c:pt idx="32">
                  <c:v>363000</c:v>
                </c:pt>
                <c:pt idx="33">
                  <c:v>291000</c:v>
                </c:pt>
                <c:pt idx="34">
                  <c:v>331000</c:v>
                </c:pt>
                <c:pt idx="35">
                  <c:v>413000</c:v>
                </c:pt>
                <c:pt idx="36">
                  <c:v>328000</c:v>
                </c:pt>
                <c:pt idx="37">
                  <c:v>251000</c:v>
                </c:pt>
                <c:pt idx="38">
                  <c:v>99000</c:v>
                </c:pt>
                <c:pt idx="39">
                  <c:v>0</c:v>
                </c:pt>
                <c:pt idx="40">
                  <c:v>0</c:v>
                </c:pt>
                <c:pt idx="41">
                  <c:v>341000</c:v>
                </c:pt>
                <c:pt idx="42">
                  <c:v>510000</c:v>
                </c:pt>
                <c:pt idx="43">
                  <c:v>613000</c:v>
                </c:pt>
                <c:pt idx="44">
                  <c:v>444000</c:v>
                </c:pt>
                <c:pt idx="45">
                  <c:v>409000</c:v>
                </c:pt>
                <c:pt idx="46">
                  <c:v>383000</c:v>
                </c:pt>
                <c:pt idx="47">
                  <c:v>356000</c:v>
                </c:pt>
                <c:pt idx="48">
                  <c:v>318000</c:v>
                </c:pt>
                <c:pt idx="49">
                  <c:v>277000</c:v>
                </c:pt>
                <c:pt idx="50">
                  <c:v>312000</c:v>
                </c:pt>
                <c:pt idx="51">
                  <c:v>330000</c:v>
                </c:pt>
                <c:pt idx="52">
                  <c:v>315000</c:v>
                </c:pt>
                <c:pt idx="53">
                  <c:v>465000</c:v>
                </c:pt>
                <c:pt idx="54">
                  <c:v>583000</c:v>
                </c:pt>
                <c:pt idx="55">
                  <c:v>495000</c:v>
                </c:pt>
                <c:pt idx="56">
                  <c:v>414000</c:v>
                </c:pt>
                <c:pt idx="57">
                  <c:v>465000</c:v>
                </c:pt>
                <c:pt idx="58">
                  <c:v>420000</c:v>
                </c:pt>
                <c:pt idx="59">
                  <c:v>418000</c:v>
                </c:pt>
                <c:pt idx="60">
                  <c:v>361000</c:v>
                </c:pt>
                <c:pt idx="61">
                  <c:v>289000</c:v>
                </c:pt>
                <c:pt idx="62">
                  <c:v>280000</c:v>
                </c:pt>
                <c:pt idx="63">
                  <c:v>289000</c:v>
                </c:pt>
                <c:pt idx="64">
                  <c:v>500000</c:v>
                </c:pt>
                <c:pt idx="65">
                  <c:v>615000</c:v>
                </c:pt>
                <c:pt idx="66">
                  <c:v>640000</c:v>
                </c:pt>
                <c:pt idx="67">
                  <c:v>568000</c:v>
                </c:pt>
                <c:pt idx="68">
                  <c:v>452000</c:v>
                </c:pt>
                <c:pt idx="69">
                  <c:v>474000</c:v>
                </c:pt>
                <c:pt idx="70">
                  <c:v>386000</c:v>
                </c:pt>
                <c:pt idx="71">
                  <c:v>347000</c:v>
                </c:pt>
                <c:pt idx="72">
                  <c:v>302000</c:v>
                </c:pt>
                <c:pt idx="73">
                  <c:v>253000</c:v>
                </c:pt>
                <c:pt idx="74">
                  <c:v>249000</c:v>
                </c:pt>
                <c:pt idx="75">
                  <c:v>241000</c:v>
                </c:pt>
                <c:pt idx="76">
                  <c:v>259000</c:v>
                </c:pt>
                <c:pt idx="77">
                  <c:v>298000</c:v>
                </c:pt>
                <c:pt idx="78">
                  <c:v>335000</c:v>
                </c:pt>
                <c:pt idx="79">
                  <c:v>345000</c:v>
                </c:pt>
                <c:pt idx="80">
                  <c:v>347000</c:v>
                </c:pt>
                <c:pt idx="81">
                  <c:v>360000</c:v>
                </c:pt>
                <c:pt idx="82">
                  <c:v>349000</c:v>
                </c:pt>
                <c:pt idx="83">
                  <c:v>371000</c:v>
                </c:pt>
                <c:pt idx="84">
                  <c:v>336000</c:v>
                </c:pt>
                <c:pt idx="85">
                  <c:v>385000</c:v>
                </c:pt>
                <c:pt idx="86">
                  <c:v>388000</c:v>
                </c:pt>
                <c:pt idx="87">
                  <c:v>367000</c:v>
                </c:pt>
                <c:pt idx="88">
                  <c:v>545000</c:v>
                </c:pt>
                <c:pt idx="89">
                  <c:v>394000</c:v>
                </c:pt>
                <c:pt idx="90">
                  <c:v>673000</c:v>
                </c:pt>
                <c:pt idx="91">
                  <c:v>608000</c:v>
                </c:pt>
                <c:pt idx="92">
                  <c:v>464000</c:v>
                </c:pt>
                <c:pt idx="93">
                  <c:v>409000</c:v>
                </c:pt>
                <c:pt idx="94">
                  <c:v>398000</c:v>
                </c:pt>
                <c:pt idx="95">
                  <c:v>404000</c:v>
                </c:pt>
                <c:pt idx="96">
                  <c:v>385000</c:v>
                </c:pt>
                <c:pt idx="97">
                  <c:v>313000</c:v>
                </c:pt>
                <c:pt idx="98">
                  <c:v>392000</c:v>
                </c:pt>
                <c:pt idx="99">
                  <c:v>350000</c:v>
                </c:pt>
                <c:pt idx="100">
                  <c:v>443000</c:v>
                </c:pt>
                <c:pt idx="101">
                  <c:v>632000</c:v>
                </c:pt>
                <c:pt idx="102">
                  <c:v>588000</c:v>
                </c:pt>
                <c:pt idx="103">
                  <c:v>646000</c:v>
                </c:pt>
                <c:pt idx="104">
                  <c:v>467000</c:v>
                </c:pt>
                <c:pt idx="105">
                  <c:v>437000</c:v>
                </c:pt>
                <c:pt idx="106">
                  <c:v>360000</c:v>
                </c:pt>
                <c:pt idx="107">
                  <c:v>340000</c:v>
                </c:pt>
                <c:pt idx="108">
                  <c:v>335000</c:v>
                </c:pt>
                <c:pt idx="109">
                  <c:v>339000</c:v>
                </c:pt>
                <c:pt idx="110">
                  <c:v>304000</c:v>
                </c:pt>
                <c:pt idx="111">
                  <c:v>304000</c:v>
                </c:pt>
                <c:pt idx="112">
                  <c:v>429000</c:v>
                </c:pt>
                <c:pt idx="113">
                  <c:v>639000</c:v>
                </c:pt>
                <c:pt idx="114">
                  <c:v>635000</c:v>
                </c:pt>
                <c:pt idx="115">
                  <c:v>513000</c:v>
                </c:pt>
                <c:pt idx="116">
                  <c:v>470000</c:v>
                </c:pt>
                <c:pt idx="117">
                  <c:v>407000</c:v>
                </c:pt>
                <c:pt idx="118">
                  <c:v>431000</c:v>
                </c:pt>
                <c:pt idx="119">
                  <c:v>464000</c:v>
                </c:pt>
                <c:pt idx="120">
                  <c:v>412000</c:v>
                </c:pt>
                <c:pt idx="121">
                  <c:v>392000</c:v>
                </c:pt>
                <c:pt idx="122">
                  <c:v>341000</c:v>
                </c:pt>
                <c:pt idx="123">
                  <c:v>331000</c:v>
                </c:pt>
                <c:pt idx="124">
                  <c:v>469000</c:v>
                </c:pt>
                <c:pt idx="125">
                  <c:v>644000</c:v>
                </c:pt>
                <c:pt idx="126">
                  <c:v>647000</c:v>
                </c:pt>
                <c:pt idx="127">
                  <c:v>648000</c:v>
                </c:pt>
                <c:pt idx="128">
                  <c:v>506000</c:v>
                </c:pt>
                <c:pt idx="129">
                  <c:v>491000</c:v>
                </c:pt>
                <c:pt idx="130">
                  <c:v>487000</c:v>
                </c:pt>
                <c:pt idx="131">
                  <c:v>430000</c:v>
                </c:pt>
                <c:pt idx="132">
                  <c:v>373000</c:v>
                </c:pt>
                <c:pt idx="133">
                  <c:v>298000</c:v>
                </c:pt>
                <c:pt idx="134">
                  <c:v>320000</c:v>
                </c:pt>
                <c:pt idx="135">
                  <c:v>356000</c:v>
                </c:pt>
                <c:pt idx="136">
                  <c:v>581000</c:v>
                </c:pt>
                <c:pt idx="137">
                  <c:v>556000</c:v>
                </c:pt>
                <c:pt idx="138">
                  <c:v>614000</c:v>
                </c:pt>
                <c:pt idx="139">
                  <c:v>581000</c:v>
                </c:pt>
                <c:pt idx="140">
                  <c:v>445000</c:v>
                </c:pt>
                <c:pt idx="141">
                  <c:v>553000</c:v>
                </c:pt>
                <c:pt idx="142">
                  <c:v>525000</c:v>
                </c:pt>
                <c:pt idx="143">
                  <c:v>446000</c:v>
                </c:pt>
                <c:pt idx="144">
                  <c:v>441000</c:v>
                </c:pt>
                <c:pt idx="145">
                  <c:v>339000</c:v>
                </c:pt>
                <c:pt idx="146">
                  <c:v>330000</c:v>
                </c:pt>
                <c:pt idx="147">
                  <c:v>384000</c:v>
                </c:pt>
                <c:pt idx="148">
                  <c:v>519000</c:v>
                </c:pt>
                <c:pt idx="149">
                  <c:v>626000</c:v>
                </c:pt>
                <c:pt idx="150">
                  <c:v>637000</c:v>
                </c:pt>
                <c:pt idx="151">
                  <c:v>572000</c:v>
                </c:pt>
                <c:pt idx="152">
                  <c:v>487000</c:v>
                </c:pt>
                <c:pt idx="153">
                  <c:v>515000</c:v>
                </c:pt>
                <c:pt idx="154">
                  <c:v>486000</c:v>
                </c:pt>
                <c:pt idx="155">
                  <c:v>506000</c:v>
                </c:pt>
                <c:pt idx="156">
                  <c:v>425000</c:v>
                </c:pt>
                <c:pt idx="157">
                  <c:v>345000</c:v>
                </c:pt>
                <c:pt idx="158">
                  <c:v>344000</c:v>
                </c:pt>
                <c:pt idx="159">
                  <c:v>443000</c:v>
                </c:pt>
                <c:pt idx="160">
                  <c:v>607000</c:v>
                </c:pt>
                <c:pt idx="161">
                  <c:v>618000</c:v>
                </c:pt>
                <c:pt idx="162">
                  <c:v>637000</c:v>
                </c:pt>
                <c:pt idx="163">
                  <c:v>530000</c:v>
                </c:pt>
                <c:pt idx="164">
                  <c:v>410000</c:v>
                </c:pt>
                <c:pt idx="165">
                  <c:v>405000</c:v>
                </c:pt>
                <c:pt idx="166">
                  <c:v>310000</c:v>
                </c:pt>
                <c:pt idx="167">
                  <c:v>312000</c:v>
                </c:pt>
                <c:pt idx="168">
                  <c:v>331000</c:v>
                </c:pt>
                <c:pt idx="169">
                  <c:v>343000</c:v>
                </c:pt>
                <c:pt idx="170">
                  <c:v>317000</c:v>
                </c:pt>
                <c:pt idx="171">
                  <c:v>368000</c:v>
                </c:pt>
                <c:pt idx="172">
                  <c:v>542000</c:v>
                </c:pt>
                <c:pt idx="173">
                  <c:v>576000</c:v>
                </c:pt>
                <c:pt idx="174">
                  <c:v>641000</c:v>
                </c:pt>
                <c:pt idx="175">
                  <c:v>549000</c:v>
                </c:pt>
                <c:pt idx="176">
                  <c:v>456000</c:v>
                </c:pt>
                <c:pt idx="177">
                  <c:v>568000</c:v>
                </c:pt>
                <c:pt idx="178">
                  <c:v>444000</c:v>
                </c:pt>
                <c:pt idx="179">
                  <c:v>415000</c:v>
                </c:pt>
                <c:pt idx="180">
                  <c:v>361000</c:v>
                </c:pt>
                <c:pt idx="181">
                  <c:v>322000</c:v>
                </c:pt>
                <c:pt idx="182">
                  <c:v>289000</c:v>
                </c:pt>
                <c:pt idx="183">
                  <c:v>346000</c:v>
                </c:pt>
                <c:pt idx="184">
                  <c:v>477000</c:v>
                </c:pt>
                <c:pt idx="185">
                  <c:v>660000</c:v>
                </c:pt>
                <c:pt idx="186">
                  <c:v>594000</c:v>
                </c:pt>
                <c:pt idx="187">
                  <c:v>528000</c:v>
                </c:pt>
                <c:pt idx="188">
                  <c:v>466000</c:v>
                </c:pt>
                <c:pt idx="189">
                  <c:v>392000</c:v>
                </c:pt>
                <c:pt idx="190">
                  <c:v>312000</c:v>
                </c:pt>
                <c:pt idx="191">
                  <c:v>323000</c:v>
                </c:pt>
                <c:pt idx="192">
                  <c:v>285000</c:v>
                </c:pt>
                <c:pt idx="193">
                  <c:v>248000</c:v>
                </c:pt>
                <c:pt idx="194">
                  <c:v>279000</c:v>
                </c:pt>
                <c:pt idx="195">
                  <c:v>363000</c:v>
                </c:pt>
                <c:pt idx="196">
                  <c:v>500000</c:v>
                </c:pt>
                <c:pt idx="197">
                  <c:v>609000</c:v>
                </c:pt>
                <c:pt idx="198">
                  <c:v>635000</c:v>
                </c:pt>
                <c:pt idx="199">
                  <c:v>480000</c:v>
                </c:pt>
                <c:pt idx="200">
                  <c:v>441000</c:v>
                </c:pt>
                <c:pt idx="201">
                  <c:v>415000</c:v>
                </c:pt>
                <c:pt idx="202">
                  <c:v>379000</c:v>
                </c:pt>
                <c:pt idx="203">
                  <c:v>365000</c:v>
                </c:pt>
                <c:pt idx="204">
                  <c:v>351000</c:v>
                </c:pt>
                <c:pt idx="205">
                  <c:v>318000</c:v>
                </c:pt>
                <c:pt idx="206">
                  <c:v>322000</c:v>
                </c:pt>
                <c:pt idx="207">
                  <c:v>348000</c:v>
                </c:pt>
                <c:pt idx="208">
                  <c:v>389000</c:v>
                </c:pt>
                <c:pt idx="209">
                  <c:v>594000</c:v>
                </c:pt>
                <c:pt idx="210">
                  <c:v>580000</c:v>
                </c:pt>
                <c:pt idx="211">
                  <c:v>511000</c:v>
                </c:pt>
                <c:pt idx="212">
                  <c:v>520000</c:v>
                </c:pt>
                <c:pt idx="213">
                  <c:v>470000</c:v>
                </c:pt>
                <c:pt idx="214">
                  <c:v>450000</c:v>
                </c:pt>
                <c:pt idx="215">
                  <c:v>420000</c:v>
                </c:pt>
                <c:pt idx="216">
                  <c:v>430000</c:v>
                </c:pt>
                <c:pt idx="217">
                  <c:v>360000</c:v>
                </c:pt>
                <c:pt idx="218">
                  <c:v>375000</c:v>
                </c:pt>
                <c:pt idx="219">
                  <c:v>455000</c:v>
                </c:pt>
                <c:pt idx="220">
                  <c:v>560000</c:v>
                </c:pt>
                <c:pt idx="221">
                  <c:v>575000</c:v>
                </c:pt>
                <c:pt idx="222">
                  <c:v>605000</c:v>
                </c:pt>
                <c:pt idx="223">
                  <c:v>450000</c:v>
                </c:pt>
                <c:pt idx="224">
                  <c:v>360000</c:v>
                </c:pt>
                <c:pt idx="225">
                  <c:v>430000</c:v>
                </c:pt>
                <c:pt idx="226">
                  <c:v>420000</c:v>
                </c:pt>
                <c:pt idx="227">
                  <c:v>450000</c:v>
                </c:pt>
                <c:pt idx="228">
                  <c:v>340000</c:v>
                </c:pt>
                <c:pt idx="229">
                  <c:v>290000</c:v>
                </c:pt>
                <c:pt idx="230">
                  <c:v>340000</c:v>
                </c:pt>
                <c:pt idx="231">
                  <c:v>300000</c:v>
                </c:pt>
                <c:pt idx="232">
                  <c:v>360000</c:v>
                </c:pt>
                <c:pt idx="233">
                  <c:v>483000</c:v>
                </c:pt>
                <c:pt idx="234">
                  <c:v>477000</c:v>
                </c:pt>
                <c:pt idx="235">
                  <c:v>411000</c:v>
                </c:pt>
                <c:pt idx="236">
                  <c:v>324000</c:v>
                </c:pt>
                <c:pt idx="237">
                  <c:v>310000</c:v>
                </c:pt>
                <c:pt idx="238">
                  <c:v>230000</c:v>
                </c:pt>
                <c:pt idx="239">
                  <c:v>245000</c:v>
                </c:pt>
                <c:pt idx="240">
                  <c:v>220000</c:v>
                </c:pt>
                <c:pt idx="241">
                  <c:v>270000</c:v>
                </c:pt>
                <c:pt idx="242">
                  <c:v>370000</c:v>
                </c:pt>
                <c:pt idx="243">
                  <c:v>290000</c:v>
                </c:pt>
                <c:pt idx="244">
                  <c:v>355000</c:v>
                </c:pt>
                <c:pt idx="245">
                  <c:v>593000</c:v>
                </c:pt>
                <c:pt idx="246">
                  <c:v>512000</c:v>
                </c:pt>
                <c:pt idx="247">
                  <c:v>470000</c:v>
                </c:pt>
                <c:pt idx="248">
                  <c:v>369000</c:v>
                </c:pt>
                <c:pt idx="249">
                  <c:v>350000</c:v>
                </c:pt>
                <c:pt idx="250">
                  <c:v>391000</c:v>
                </c:pt>
                <c:pt idx="251">
                  <c:v>430000</c:v>
                </c:pt>
                <c:pt idx="252">
                  <c:v>407000</c:v>
                </c:pt>
                <c:pt idx="253">
                  <c:v>270000</c:v>
                </c:pt>
                <c:pt idx="254">
                  <c:v>270000</c:v>
                </c:pt>
                <c:pt idx="255">
                  <c:v>313000</c:v>
                </c:pt>
                <c:pt idx="256">
                  <c:v>260000</c:v>
                </c:pt>
                <c:pt idx="257">
                  <c:v>370000</c:v>
                </c:pt>
                <c:pt idx="258">
                  <c:v>560000</c:v>
                </c:pt>
                <c:pt idx="259">
                  <c:v>450000</c:v>
                </c:pt>
                <c:pt idx="260">
                  <c:v>340000</c:v>
                </c:pt>
                <c:pt idx="261">
                  <c:v>330000</c:v>
                </c:pt>
                <c:pt idx="262">
                  <c:v>472000</c:v>
                </c:pt>
                <c:pt idx="263">
                  <c:v>380000</c:v>
                </c:pt>
                <c:pt idx="264">
                  <c:v>330000</c:v>
                </c:pt>
                <c:pt idx="265">
                  <c:v>290000</c:v>
                </c:pt>
                <c:pt idx="266">
                  <c:v>310000</c:v>
                </c:pt>
                <c:pt idx="267">
                  <c:v>320000</c:v>
                </c:pt>
                <c:pt idx="268">
                  <c:v>465000</c:v>
                </c:pt>
                <c:pt idx="269">
                  <c:v>575000</c:v>
                </c:pt>
                <c:pt idx="270">
                  <c:v>610000</c:v>
                </c:pt>
                <c:pt idx="271">
                  <c:v>490000</c:v>
                </c:pt>
                <c:pt idx="272">
                  <c:v>400000</c:v>
                </c:pt>
                <c:pt idx="273">
                  <c:v>430000</c:v>
                </c:pt>
                <c:pt idx="274">
                  <c:v>530000</c:v>
                </c:pt>
                <c:pt idx="275">
                  <c:v>570000</c:v>
                </c:pt>
                <c:pt idx="276">
                  <c:v>460000</c:v>
                </c:pt>
                <c:pt idx="277">
                  <c:v>340000</c:v>
                </c:pt>
                <c:pt idx="278">
                  <c:v>350000</c:v>
                </c:pt>
                <c:pt idx="279">
                  <c:v>380000</c:v>
                </c:pt>
                <c:pt idx="280">
                  <c:v>410000</c:v>
                </c:pt>
                <c:pt idx="281">
                  <c:v>520000</c:v>
                </c:pt>
                <c:pt idx="282">
                  <c:v>583000</c:v>
                </c:pt>
                <c:pt idx="283">
                  <c:v>477000</c:v>
                </c:pt>
                <c:pt idx="284">
                  <c:v>380000</c:v>
                </c:pt>
                <c:pt idx="285">
                  <c:v>410000</c:v>
                </c:pt>
                <c:pt idx="286">
                  <c:v>383000</c:v>
                </c:pt>
                <c:pt idx="287">
                  <c:v>288000</c:v>
                </c:pt>
                <c:pt idx="288">
                  <c:v>408000</c:v>
                </c:pt>
                <c:pt idx="289">
                  <c:v>321000</c:v>
                </c:pt>
                <c:pt idx="290">
                  <c:v>357000</c:v>
                </c:pt>
                <c:pt idx="291">
                  <c:v>423000</c:v>
                </c:pt>
                <c:pt idx="292">
                  <c:v>592000</c:v>
                </c:pt>
                <c:pt idx="293">
                  <c:v>626000</c:v>
                </c:pt>
                <c:pt idx="294">
                  <c:v>595000</c:v>
                </c:pt>
                <c:pt idx="295">
                  <c:v>202000</c:v>
                </c:pt>
                <c:pt idx="296">
                  <c:v>0</c:v>
                </c:pt>
                <c:pt idx="297">
                  <c:v>369000</c:v>
                </c:pt>
                <c:pt idx="298">
                  <c:v>547000</c:v>
                </c:pt>
                <c:pt idx="299">
                  <c:v>451000</c:v>
                </c:pt>
                <c:pt idx="300">
                  <c:v>425000</c:v>
                </c:pt>
                <c:pt idx="301">
                  <c:v>420000</c:v>
                </c:pt>
                <c:pt idx="302">
                  <c:v>393000</c:v>
                </c:pt>
                <c:pt idx="303">
                  <c:v>445000</c:v>
                </c:pt>
                <c:pt idx="304">
                  <c:v>600000</c:v>
                </c:pt>
                <c:pt idx="305">
                  <c:v>567000</c:v>
                </c:pt>
                <c:pt idx="306">
                  <c:v>562000</c:v>
                </c:pt>
                <c:pt idx="307">
                  <c:v>526000</c:v>
                </c:pt>
                <c:pt idx="308">
                  <c:v>456000</c:v>
                </c:pt>
                <c:pt idx="309">
                  <c:v>435000</c:v>
                </c:pt>
                <c:pt idx="310">
                  <c:v>335000</c:v>
                </c:pt>
                <c:pt idx="311">
                  <c:v>356000</c:v>
                </c:pt>
                <c:pt idx="312">
                  <c:v>365000</c:v>
                </c:pt>
                <c:pt idx="313">
                  <c:v>286000</c:v>
                </c:pt>
                <c:pt idx="314">
                  <c:v>279000</c:v>
                </c:pt>
                <c:pt idx="315">
                  <c:v>269000</c:v>
                </c:pt>
                <c:pt idx="316">
                  <c:v>333000</c:v>
                </c:pt>
                <c:pt idx="317">
                  <c:v>458000</c:v>
                </c:pt>
                <c:pt idx="318">
                  <c:v>548000</c:v>
                </c:pt>
                <c:pt idx="319">
                  <c:v>480000</c:v>
                </c:pt>
                <c:pt idx="320">
                  <c:v>401000</c:v>
                </c:pt>
                <c:pt idx="321">
                  <c:v>350000</c:v>
                </c:pt>
                <c:pt idx="322">
                  <c:v>346000</c:v>
                </c:pt>
                <c:pt idx="323">
                  <c:v>457000</c:v>
                </c:pt>
                <c:pt idx="324">
                  <c:v>361000</c:v>
                </c:pt>
                <c:pt idx="325">
                  <c:v>281000</c:v>
                </c:pt>
                <c:pt idx="326">
                  <c:v>325000</c:v>
                </c:pt>
                <c:pt idx="327">
                  <c:v>330000</c:v>
                </c:pt>
                <c:pt idx="328">
                  <c:v>511000</c:v>
                </c:pt>
                <c:pt idx="329">
                  <c:v>559000</c:v>
                </c:pt>
                <c:pt idx="330">
                  <c:v>523000</c:v>
                </c:pt>
                <c:pt idx="331">
                  <c:v>519000</c:v>
                </c:pt>
                <c:pt idx="332">
                  <c:v>382000</c:v>
                </c:pt>
                <c:pt idx="333">
                  <c:v>385000</c:v>
                </c:pt>
                <c:pt idx="334">
                  <c:v>353000</c:v>
                </c:pt>
                <c:pt idx="335">
                  <c:v>390000</c:v>
                </c:pt>
                <c:pt idx="336">
                  <c:v>400000</c:v>
                </c:pt>
                <c:pt idx="337">
                  <c:v>308000</c:v>
                </c:pt>
                <c:pt idx="338">
                  <c:v>330000</c:v>
                </c:pt>
                <c:pt idx="339">
                  <c:v>347000</c:v>
                </c:pt>
                <c:pt idx="340">
                  <c:v>465000</c:v>
                </c:pt>
                <c:pt idx="341">
                  <c:v>564000</c:v>
                </c:pt>
                <c:pt idx="342">
                  <c:v>561000</c:v>
                </c:pt>
                <c:pt idx="343">
                  <c:v>480000</c:v>
                </c:pt>
                <c:pt idx="344">
                  <c:v>440000</c:v>
                </c:pt>
                <c:pt idx="345">
                  <c:v>512000</c:v>
                </c:pt>
                <c:pt idx="346">
                  <c:v>566000</c:v>
                </c:pt>
                <c:pt idx="347">
                  <c:v>448700</c:v>
                </c:pt>
                <c:pt idx="348">
                  <c:v>368088</c:v>
                </c:pt>
                <c:pt idx="349">
                  <c:v>294521</c:v>
                </c:pt>
                <c:pt idx="350">
                  <c:v>368176</c:v>
                </c:pt>
                <c:pt idx="351">
                  <c:v>408004</c:v>
                </c:pt>
                <c:pt idx="352">
                  <c:v>606849</c:v>
                </c:pt>
                <c:pt idx="353">
                  <c:v>604064</c:v>
                </c:pt>
                <c:pt idx="354">
                  <c:v>589658</c:v>
                </c:pt>
                <c:pt idx="355">
                  <c:v>486191</c:v>
                </c:pt>
                <c:pt idx="356">
                  <c:v>397781</c:v>
                </c:pt>
                <c:pt idx="357">
                  <c:v>416305</c:v>
                </c:pt>
                <c:pt idx="358">
                  <c:v>362904</c:v>
                </c:pt>
                <c:pt idx="359">
                  <c:v>347699</c:v>
                </c:pt>
                <c:pt idx="360">
                  <c:v>375825</c:v>
                </c:pt>
                <c:pt idx="361">
                  <c:v>305532</c:v>
                </c:pt>
                <c:pt idx="362">
                  <c:v>355436</c:v>
                </c:pt>
                <c:pt idx="363">
                  <c:v>213653</c:v>
                </c:pt>
                <c:pt idx="364">
                  <c:v>567355</c:v>
                </c:pt>
                <c:pt idx="365">
                  <c:v>601362</c:v>
                </c:pt>
                <c:pt idx="366">
                  <c:v>561404</c:v>
                </c:pt>
                <c:pt idx="367">
                  <c:v>525010</c:v>
                </c:pt>
                <c:pt idx="368">
                  <c:v>435769</c:v>
                </c:pt>
                <c:pt idx="369">
                  <c:v>420501</c:v>
                </c:pt>
                <c:pt idx="370">
                  <c:v>434860</c:v>
                </c:pt>
                <c:pt idx="371">
                  <c:v>432612</c:v>
                </c:pt>
                <c:pt idx="372">
                  <c:v>399602</c:v>
                </c:pt>
                <c:pt idx="373">
                  <c:v>324700</c:v>
                </c:pt>
                <c:pt idx="374">
                  <c:v>457788</c:v>
                </c:pt>
                <c:pt idx="375">
                  <c:v>555934</c:v>
                </c:pt>
                <c:pt idx="376">
                  <c:v>622379</c:v>
                </c:pt>
                <c:pt idx="377">
                  <c:v>640624</c:v>
                </c:pt>
                <c:pt idx="378">
                  <c:v>629023</c:v>
                </c:pt>
                <c:pt idx="379">
                  <c:v>533483</c:v>
                </c:pt>
                <c:pt idx="380">
                  <c:v>464514</c:v>
                </c:pt>
                <c:pt idx="381">
                  <c:v>483664</c:v>
                </c:pt>
                <c:pt idx="382">
                  <c:v>419358</c:v>
                </c:pt>
                <c:pt idx="383">
                  <c:v>378071</c:v>
                </c:pt>
                <c:pt idx="384">
                  <c:v>333352</c:v>
                </c:pt>
                <c:pt idx="385">
                  <c:v>274086</c:v>
                </c:pt>
                <c:pt idx="386">
                  <c:v>343346</c:v>
                </c:pt>
                <c:pt idx="387">
                  <c:v>324511</c:v>
                </c:pt>
                <c:pt idx="388">
                  <c:v>404986</c:v>
                </c:pt>
                <c:pt idx="389">
                  <c:v>494877</c:v>
                </c:pt>
                <c:pt idx="390">
                  <c:v>505798</c:v>
                </c:pt>
                <c:pt idx="391">
                  <c:v>459643</c:v>
                </c:pt>
                <c:pt idx="392">
                  <c:v>427488</c:v>
                </c:pt>
                <c:pt idx="393">
                  <c:v>443676</c:v>
                </c:pt>
                <c:pt idx="394">
                  <c:v>572272</c:v>
                </c:pt>
                <c:pt idx="395">
                  <c:v>508027</c:v>
                </c:pt>
                <c:pt idx="396">
                  <c:v>458821</c:v>
                </c:pt>
                <c:pt idx="397">
                  <c:v>332550</c:v>
                </c:pt>
                <c:pt idx="398">
                  <c:v>342361</c:v>
                </c:pt>
                <c:pt idx="399">
                  <c:v>376167</c:v>
                </c:pt>
                <c:pt idx="400">
                  <c:v>549431</c:v>
                </c:pt>
                <c:pt idx="401">
                  <c:v>566013</c:v>
                </c:pt>
                <c:pt idx="402">
                  <c:v>490926</c:v>
                </c:pt>
                <c:pt idx="403">
                  <c:v>398040</c:v>
                </c:pt>
                <c:pt idx="404">
                  <c:v>329849</c:v>
                </c:pt>
                <c:pt idx="405">
                  <c:v>344154</c:v>
                </c:pt>
                <c:pt idx="406">
                  <c:v>382105</c:v>
                </c:pt>
                <c:pt idx="407">
                  <c:v>364418</c:v>
                </c:pt>
                <c:pt idx="408">
                  <c:v>428232</c:v>
                </c:pt>
                <c:pt idx="409">
                  <c:v>355288</c:v>
                </c:pt>
                <c:pt idx="410">
                  <c:v>335755</c:v>
                </c:pt>
                <c:pt idx="411">
                  <c:v>339981</c:v>
                </c:pt>
                <c:pt idx="412">
                  <c:v>474058</c:v>
                </c:pt>
                <c:pt idx="413">
                  <c:v>607321</c:v>
                </c:pt>
                <c:pt idx="414">
                  <c:v>558210</c:v>
                </c:pt>
                <c:pt idx="415">
                  <c:v>455507</c:v>
                </c:pt>
                <c:pt idx="416">
                  <c:v>416700</c:v>
                </c:pt>
                <c:pt idx="417">
                  <c:v>402794</c:v>
                </c:pt>
                <c:pt idx="418">
                  <c:v>368553</c:v>
                </c:pt>
                <c:pt idx="419">
                  <c:v>355832</c:v>
                </c:pt>
                <c:pt idx="420">
                  <c:v>320440</c:v>
                </c:pt>
                <c:pt idx="421">
                  <c:v>255539</c:v>
                </c:pt>
                <c:pt idx="422">
                  <c:v>283334</c:v>
                </c:pt>
                <c:pt idx="423">
                  <c:v>331293</c:v>
                </c:pt>
                <c:pt idx="424">
                  <c:v>410645</c:v>
                </c:pt>
                <c:pt idx="425">
                  <c:v>521692</c:v>
                </c:pt>
                <c:pt idx="426">
                  <c:v>501878</c:v>
                </c:pt>
                <c:pt idx="427">
                  <c:v>440618</c:v>
                </c:pt>
                <c:pt idx="428">
                  <c:v>374305</c:v>
                </c:pt>
                <c:pt idx="429">
                  <c:v>355087</c:v>
                </c:pt>
                <c:pt idx="430">
                  <c:v>322809</c:v>
                </c:pt>
                <c:pt idx="431">
                  <c:v>317504</c:v>
                </c:pt>
                <c:pt idx="432">
                  <c:v>295747</c:v>
                </c:pt>
                <c:pt idx="433">
                  <c:v>248748</c:v>
                </c:pt>
                <c:pt idx="434">
                  <c:v>291855</c:v>
                </c:pt>
                <c:pt idx="435">
                  <c:v>393947</c:v>
                </c:pt>
                <c:pt idx="436">
                  <c:v>529325</c:v>
                </c:pt>
                <c:pt idx="437">
                  <c:v>594503</c:v>
                </c:pt>
                <c:pt idx="438">
                  <c:v>520363</c:v>
                </c:pt>
                <c:pt idx="439">
                  <c:v>451487</c:v>
                </c:pt>
                <c:pt idx="440">
                  <c:v>315072</c:v>
                </c:pt>
                <c:pt idx="441">
                  <c:v>412628</c:v>
                </c:pt>
                <c:pt idx="442">
                  <c:v>360623</c:v>
                </c:pt>
                <c:pt idx="443">
                  <c:v>355338</c:v>
                </c:pt>
                <c:pt idx="444">
                  <c:v>364410</c:v>
                </c:pt>
                <c:pt idx="445">
                  <c:v>318509</c:v>
                </c:pt>
                <c:pt idx="446">
                  <c:v>431490</c:v>
                </c:pt>
                <c:pt idx="447">
                  <c:v>366945</c:v>
                </c:pt>
                <c:pt idx="448">
                  <c:v>531531</c:v>
                </c:pt>
                <c:pt idx="449">
                  <c:v>586878</c:v>
                </c:pt>
                <c:pt idx="450">
                  <c:v>664690</c:v>
                </c:pt>
                <c:pt idx="451">
                  <c:v>552310</c:v>
                </c:pt>
                <c:pt idx="452">
                  <c:v>449940</c:v>
                </c:pt>
                <c:pt idx="453">
                  <c:v>398410</c:v>
                </c:pt>
                <c:pt idx="454">
                  <c:v>361580</c:v>
                </c:pt>
                <c:pt idx="455">
                  <c:v>315820</c:v>
                </c:pt>
                <c:pt idx="456">
                  <c:v>306330</c:v>
                </c:pt>
                <c:pt idx="457">
                  <c:v>289330</c:v>
                </c:pt>
                <c:pt idx="458">
                  <c:v>306980</c:v>
                </c:pt>
                <c:pt idx="459">
                  <c:v>375550</c:v>
                </c:pt>
                <c:pt idx="460">
                  <c:v>530040</c:v>
                </c:pt>
                <c:pt idx="461">
                  <c:v>617980</c:v>
                </c:pt>
                <c:pt idx="462">
                  <c:v>602480</c:v>
                </c:pt>
                <c:pt idx="463">
                  <c:v>304600</c:v>
                </c:pt>
                <c:pt idx="464">
                  <c:v>459570</c:v>
                </c:pt>
                <c:pt idx="465">
                  <c:v>453500</c:v>
                </c:pt>
                <c:pt idx="466">
                  <c:v>393690</c:v>
                </c:pt>
                <c:pt idx="467">
                  <c:v>372570</c:v>
                </c:pt>
                <c:pt idx="468">
                  <c:v>335950</c:v>
                </c:pt>
                <c:pt idx="469">
                  <c:v>270920</c:v>
                </c:pt>
                <c:pt idx="470">
                  <c:v>274480</c:v>
                </c:pt>
                <c:pt idx="471">
                  <c:v>315590</c:v>
                </c:pt>
                <c:pt idx="472">
                  <c:v>376610</c:v>
                </c:pt>
                <c:pt idx="473">
                  <c:v>457260</c:v>
                </c:pt>
                <c:pt idx="474">
                  <c:v>466920</c:v>
                </c:pt>
                <c:pt idx="475">
                  <c:v>414960</c:v>
                </c:pt>
                <c:pt idx="476">
                  <c:v>350420</c:v>
                </c:pt>
                <c:pt idx="477">
                  <c:v>322570</c:v>
                </c:pt>
                <c:pt idx="478">
                  <c:v>294420</c:v>
                </c:pt>
                <c:pt idx="479">
                  <c:v>349730</c:v>
                </c:pt>
                <c:pt idx="480">
                  <c:v>363370</c:v>
                </c:pt>
                <c:pt idx="481">
                  <c:v>278540</c:v>
                </c:pt>
                <c:pt idx="482">
                  <c:v>294240</c:v>
                </c:pt>
                <c:pt idx="483">
                  <c:v>326500</c:v>
                </c:pt>
                <c:pt idx="484">
                  <c:v>466850</c:v>
                </c:pt>
                <c:pt idx="485">
                  <c:v>541710</c:v>
                </c:pt>
                <c:pt idx="486">
                  <c:v>564720</c:v>
                </c:pt>
                <c:pt idx="487">
                  <c:v>466280</c:v>
                </c:pt>
                <c:pt idx="488">
                  <c:v>395670</c:v>
                </c:pt>
                <c:pt idx="489">
                  <c:v>326500</c:v>
                </c:pt>
                <c:pt idx="490">
                  <c:v>335310</c:v>
                </c:pt>
                <c:pt idx="491">
                  <c:v>388630</c:v>
                </c:pt>
                <c:pt idx="492">
                  <c:v>361060</c:v>
                </c:pt>
                <c:pt idx="493">
                  <c:v>292620</c:v>
                </c:pt>
                <c:pt idx="494">
                  <c:v>290540</c:v>
                </c:pt>
                <c:pt idx="495">
                  <c:v>278970</c:v>
                </c:pt>
                <c:pt idx="496">
                  <c:v>328270</c:v>
                </c:pt>
                <c:pt idx="497">
                  <c:v>432930</c:v>
                </c:pt>
                <c:pt idx="498">
                  <c:v>446750</c:v>
                </c:pt>
                <c:pt idx="499">
                  <c:v>491410</c:v>
                </c:pt>
                <c:pt idx="500">
                  <c:v>394770</c:v>
                </c:pt>
                <c:pt idx="501">
                  <c:v>382490</c:v>
                </c:pt>
                <c:pt idx="502">
                  <c:v>349420</c:v>
                </c:pt>
                <c:pt idx="503">
                  <c:v>358410</c:v>
                </c:pt>
                <c:pt idx="504">
                  <c:v>364810</c:v>
                </c:pt>
                <c:pt idx="505">
                  <c:v>278190</c:v>
                </c:pt>
                <c:pt idx="506">
                  <c:v>304510</c:v>
                </c:pt>
                <c:pt idx="507">
                  <c:v>373620</c:v>
                </c:pt>
                <c:pt idx="508">
                  <c:v>544720</c:v>
                </c:pt>
                <c:pt idx="509">
                  <c:v>624640</c:v>
                </c:pt>
                <c:pt idx="510">
                  <c:v>551520</c:v>
                </c:pt>
                <c:pt idx="511">
                  <c:v>434320</c:v>
                </c:pt>
                <c:pt idx="512">
                  <c:v>364450</c:v>
                </c:pt>
                <c:pt idx="513">
                  <c:v>415870</c:v>
                </c:pt>
                <c:pt idx="514">
                  <c:v>373400</c:v>
                </c:pt>
                <c:pt idx="515">
                  <c:v>485020</c:v>
                </c:pt>
                <c:pt idx="516">
                  <c:v>425190</c:v>
                </c:pt>
                <c:pt idx="517">
                  <c:v>350000</c:v>
                </c:pt>
                <c:pt idx="518">
                  <c:v>335580</c:v>
                </c:pt>
                <c:pt idx="519">
                  <c:v>408030</c:v>
                </c:pt>
                <c:pt idx="520">
                  <c:v>702960</c:v>
                </c:pt>
                <c:pt idx="521">
                  <c:v>738830</c:v>
                </c:pt>
                <c:pt idx="522">
                  <c:v>732880</c:v>
                </c:pt>
                <c:pt idx="523">
                  <c:v>566130</c:v>
                </c:pt>
                <c:pt idx="524">
                  <c:v>470700</c:v>
                </c:pt>
                <c:pt idx="525">
                  <c:v>488270</c:v>
                </c:pt>
                <c:pt idx="526">
                  <c:v>666180</c:v>
                </c:pt>
                <c:pt idx="527">
                  <c:v>502280</c:v>
                </c:pt>
                <c:pt idx="528">
                  <c:v>423100</c:v>
                </c:pt>
                <c:pt idx="529">
                  <c:v>332110</c:v>
                </c:pt>
                <c:pt idx="530">
                  <c:v>343520</c:v>
                </c:pt>
                <c:pt idx="531">
                  <c:v>382220</c:v>
                </c:pt>
                <c:pt idx="532">
                  <c:v>533530</c:v>
                </c:pt>
                <c:pt idx="533">
                  <c:v>595220</c:v>
                </c:pt>
                <c:pt idx="534">
                  <c:v>472030</c:v>
                </c:pt>
                <c:pt idx="535">
                  <c:v>120810</c:v>
                </c:pt>
                <c:pt idx="536">
                  <c:v>80690</c:v>
                </c:pt>
                <c:pt idx="537">
                  <c:v>358365</c:v>
                </c:pt>
              </c:numCache>
            </c:numRef>
          </c:yVal>
          <c:smooth val="0"/>
        </c:ser>
        <c:axId val="45572239"/>
        <c:axId val="900982"/>
      </c:scatterChart>
      <c:valAx>
        <c:axId val="45572239"/>
        <c:scaling>
          <c:orientation val="minMax"/>
        </c:scaling>
        <c:delete val="0"/>
        <c:axPos val="b"/>
        <c:numFmt formatCode="MMMM\ YYYY" sourceLinked="0"/>
        <c:majorTickMark val="out"/>
        <c:minorTickMark val="none"/>
        <c:tickLblPos val="nextTo"/>
        <c:spPr>
          <a:ln>
            <a:solidFill>
              <a:srgbClr val="b3b3b3"/>
            </a:solidFill>
          </a:ln>
        </c:spPr>
        <c:txPr>
          <a:bodyPr/>
          <a:lstStyle/>
          <a:p>
            <a:pPr>
              <a:defRPr b="0" sz="1000" spc="-1" strike="noStrike">
                <a:latin typeface="Arial"/>
              </a:defRPr>
            </a:pPr>
          </a:p>
        </c:txPr>
        <c:crossAx val="900982"/>
        <c:crosses val="autoZero"/>
        <c:crossBetween val="midCat"/>
      </c:valAx>
      <c:valAx>
        <c:axId val="900982"/>
        <c:scaling>
          <c:orientation val="minMax"/>
        </c:scaling>
        <c:delete val="0"/>
        <c:axPos val="l"/>
        <c:majorGridlines>
          <c:spPr>
            <a:ln>
              <a:solidFill>
                <a:srgbClr val="b3b3b3"/>
              </a:solidFill>
            </a:ln>
          </c:spPr>
        </c:majorGridlines>
        <c:numFmt formatCode="#,##0" sourceLinked="0"/>
        <c:majorTickMark val="out"/>
        <c:minorTickMark val="none"/>
        <c:tickLblPos val="nextTo"/>
        <c:spPr>
          <a:ln>
            <a:solidFill>
              <a:srgbClr val="b3b3b3"/>
            </a:solidFill>
          </a:ln>
        </c:spPr>
        <c:txPr>
          <a:bodyPr/>
          <a:lstStyle/>
          <a:p>
            <a:pPr>
              <a:defRPr b="0" sz="1000" spc="-1" strike="noStrike">
                <a:latin typeface="Arial"/>
              </a:defRPr>
            </a:pPr>
          </a:p>
        </c:txPr>
        <c:crossAx val="45572239"/>
        <c:crosses val="autoZero"/>
        <c:crossBetween val="midCat"/>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span"/>
  </c:chart>
  <c:spPr>
    <a:solidFill>
      <a:srgbClr val="ffffff"/>
    </a:solidFill>
    <a:ln>
      <a:noFill/>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plotArea>
      <c:layout>
        <c:manualLayout>
          <c:layoutTarget val="inner"/>
          <c:xMode val="edge"/>
          <c:yMode val="edge"/>
          <c:x val="0.0519592476489028"/>
          <c:y val="0.0707730093071355"/>
          <c:w val="0.760109717868339"/>
          <c:h val="0.863042916235781"/>
        </c:manualLayout>
      </c:layout>
      <c:barChart>
        <c:barDir val="col"/>
        <c:grouping val="clustered"/>
        <c:varyColors val="0"/>
        <c:ser>
          <c:idx val="0"/>
          <c:order val="0"/>
          <c:spPr>
            <a:solidFill>
              <a:srgbClr val="004586"/>
            </a:solidFill>
            <a:ln>
              <a:noFill/>
            </a:ln>
          </c:spPr>
          <c:invertIfNegative val="0"/>
          <c:dLbls>
            <c:numFmt formatCode="0.0%" sourceLinked="1"/>
            <c:txPr>
              <a:bodyPr/>
              <a:lstStyle/>
              <a:p>
                <a:pPr>
                  <a:defRPr b="0" sz="1000" spc="-1" strike="noStrike">
                    <a:latin typeface="Arial"/>
                  </a:defRPr>
                </a:pPr>
              </a:p>
            </c:txPr>
            <c:dLblPos val="outEnd"/>
            <c:showLegendKey val="0"/>
            <c:showVal val="0"/>
            <c:showCatName val="0"/>
            <c:showSerName val="0"/>
            <c:showPercent val="0"/>
            <c:showLeaderLines val="0"/>
          </c:dLbls>
          <c:cat>
            <c:strRef>
              <c:f>'62204'!$B$10:$B$282</c:f>
              <c:strCache>
                <c:ptCount val="273"/>
                <c:pt idx="0">
                  <c:v>janvier 1996</c:v>
                </c:pt>
                <c:pt idx="1">
                  <c:v>février 1996</c:v>
                </c:pt>
                <c:pt idx="2">
                  <c:v>mars 1996</c:v>
                </c:pt>
                <c:pt idx="3">
                  <c:v>avril 1996</c:v>
                </c:pt>
                <c:pt idx="4">
                  <c:v>mai 1996</c:v>
                </c:pt>
                <c:pt idx="5">
                  <c:v>juin 1996</c:v>
                </c:pt>
                <c:pt idx="6">
                  <c:v>juillet 1996</c:v>
                </c:pt>
                <c:pt idx="7">
                  <c:v>août 1996</c:v>
                </c:pt>
                <c:pt idx="8">
                  <c:v>septembre 1996</c:v>
                </c:pt>
                <c:pt idx="9">
                  <c:v>octobre 1996</c:v>
                </c:pt>
                <c:pt idx="10">
                  <c:v>novembre 1996</c:v>
                </c:pt>
                <c:pt idx="11">
                  <c:v>décembre 1996</c:v>
                </c:pt>
                <c:pt idx="12">
                  <c:v>janvier 1997</c:v>
                </c:pt>
                <c:pt idx="13">
                  <c:v>février 1997</c:v>
                </c:pt>
                <c:pt idx="14">
                  <c:v>mars 1997</c:v>
                </c:pt>
                <c:pt idx="15">
                  <c:v>avril 1997</c:v>
                </c:pt>
                <c:pt idx="16">
                  <c:v>mai 1997</c:v>
                </c:pt>
                <c:pt idx="17">
                  <c:v>juin 1997</c:v>
                </c:pt>
                <c:pt idx="18">
                  <c:v>juillet 1997</c:v>
                </c:pt>
                <c:pt idx="19">
                  <c:v>août 1997</c:v>
                </c:pt>
                <c:pt idx="20">
                  <c:v>septembre 1997</c:v>
                </c:pt>
                <c:pt idx="21">
                  <c:v>octobre 1997</c:v>
                </c:pt>
                <c:pt idx="22">
                  <c:v>novembre 1997</c:v>
                </c:pt>
                <c:pt idx="23">
                  <c:v>décembre 1997</c:v>
                </c:pt>
                <c:pt idx="24">
                  <c:v>janvier 1998</c:v>
                </c:pt>
                <c:pt idx="25">
                  <c:v>février 1998</c:v>
                </c:pt>
                <c:pt idx="26">
                  <c:v>mars 1998</c:v>
                </c:pt>
                <c:pt idx="27">
                  <c:v>avril 1998</c:v>
                </c:pt>
                <c:pt idx="28">
                  <c:v>mai 1998</c:v>
                </c:pt>
                <c:pt idx="29">
                  <c:v>juin 1998</c:v>
                </c:pt>
                <c:pt idx="30">
                  <c:v>juillet 1998</c:v>
                </c:pt>
                <c:pt idx="31">
                  <c:v>août 1998</c:v>
                </c:pt>
                <c:pt idx="32">
                  <c:v>septembre 1998</c:v>
                </c:pt>
                <c:pt idx="33">
                  <c:v>octobre 1998</c:v>
                </c:pt>
                <c:pt idx="34">
                  <c:v>novembre 1998</c:v>
                </c:pt>
                <c:pt idx="35">
                  <c:v>décembre 1998</c:v>
                </c:pt>
                <c:pt idx="36">
                  <c:v>janvier 1999</c:v>
                </c:pt>
                <c:pt idx="37">
                  <c:v>février 1999</c:v>
                </c:pt>
                <c:pt idx="38">
                  <c:v>mars 1999</c:v>
                </c:pt>
                <c:pt idx="39">
                  <c:v>avril 1999</c:v>
                </c:pt>
                <c:pt idx="40">
                  <c:v>mai 1999</c:v>
                </c:pt>
                <c:pt idx="41">
                  <c:v>juin 1999</c:v>
                </c:pt>
                <c:pt idx="42">
                  <c:v>juillet 1999</c:v>
                </c:pt>
                <c:pt idx="43">
                  <c:v>août 1999</c:v>
                </c:pt>
                <c:pt idx="44">
                  <c:v>septembre 1999</c:v>
                </c:pt>
                <c:pt idx="45">
                  <c:v>octobre 1999</c:v>
                </c:pt>
                <c:pt idx="46">
                  <c:v>novembre 1999</c:v>
                </c:pt>
                <c:pt idx="47">
                  <c:v>décembre 1999</c:v>
                </c:pt>
                <c:pt idx="48">
                  <c:v>janvier 2000</c:v>
                </c:pt>
                <c:pt idx="49">
                  <c:v>février 2000</c:v>
                </c:pt>
                <c:pt idx="50">
                  <c:v>mars 2000</c:v>
                </c:pt>
                <c:pt idx="51">
                  <c:v>avril 2000</c:v>
                </c:pt>
                <c:pt idx="52">
                  <c:v>mai 2000</c:v>
                </c:pt>
                <c:pt idx="53">
                  <c:v>juin 2000</c:v>
                </c:pt>
                <c:pt idx="54">
                  <c:v>juillet 2000</c:v>
                </c:pt>
                <c:pt idx="55">
                  <c:v>août 2000</c:v>
                </c:pt>
                <c:pt idx="56">
                  <c:v>septembre 2000</c:v>
                </c:pt>
                <c:pt idx="57">
                  <c:v>octobre 2000</c:v>
                </c:pt>
                <c:pt idx="58">
                  <c:v>novembre 2000</c:v>
                </c:pt>
                <c:pt idx="59">
                  <c:v>décembre 2000</c:v>
                </c:pt>
                <c:pt idx="60">
                  <c:v>janvier 2001</c:v>
                </c:pt>
                <c:pt idx="61">
                  <c:v>février 2001</c:v>
                </c:pt>
                <c:pt idx="62">
                  <c:v>mars 2001</c:v>
                </c:pt>
                <c:pt idx="63">
                  <c:v>avril 2001</c:v>
                </c:pt>
                <c:pt idx="64">
                  <c:v>mai 2001</c:v>
                </c:pt>
                <c:pt idx="65">
                  <c:v>juin 2001</c:v>
                </c:pt>
                <c:pt idx="66">
                  <c:v>juillet 2001</c:v>
                </c:pt>
                <c:pt idx="67">
                  <c:v>août 2001</c:v>
                </c:pt>
                <c:pt idx="68">
                  <c:v>septembre 2001</c:v>
                </c:pt>
                <c:pt idx="69">
                  <c:v>octobre 2001</c:v>
                </c:pt>
                <c:pt idx="70">
                  <c:v>novembre 2001</c:v>
                </c:pt>
                <c:pt idx="71">
                  <c:v>décembre 2001</c:v>
                </c:pt>
                <c:pt idx="72">
                  <c:v>janvier 2002</c:v>
                </c:pt>
                <c:pt idx="73">
                  <c:v>février 2002</c:v>
                </c:pt>
                <c:pt idx="74">
                  <c:v>mars 2002</c:v>
                </c:pt>
                <c:pt idx="75">
                  <c:v>avril 2002</c:v>
                </c:pt>
                <c:pt idx="76">
                  <c:v>mai 2002</c:v>
                </c:pt>
                <c:pt idx="77">
                  <c:v>juin 2002</c:v>
                </c:pt>
                <c:pt idx="78">
                  <c:v>juillet 2002</c:v>
                </c:pt>
                <c:pt idx="79">
                  <c:v>août 2002</c:v>
                </c:pt>
                <c:pt idx="80">
                  <c:v>septembre 2002</c:v>
                </c:pt>
                <c:pt idx="81">
                  <c:v>octobre 2002</c:v>
                </c:pt>
                <c:pt idx="82">
                  <c:v>novembre 2002</c:v>
                </c:pt>
                <c:pt idx="83">
                  <c:v>décembre 2002</c:v>
                </c:pt>
                <c:pt idx="84">
                  <c:v>janvier 2003</c:v>
                </c:pt>
                <c:pt idx="85">
                  <c:v>février 2003</c:v>
                </c:pt>
                <c:pt idx="86">
                  <c:v>mars 2003</c:v>
                </c:pt>
                <c:pt idx="87">
                  <c:v>avril 2003</c:v>
                </c:pt>
                <c:pt idx="88">
                  <c:v>mai 2003</c:v>
                </c:pt>
                <c:pt idx="89">
                  <c:v>juin 2003</c:v>
                </c:pt>
                <c:pt idx="90">
                  <c:v>juillet 2003</c:v>
                </c:pt>
                <c:pt idx="91">
                  <c:v>août 2003</c:v>
                </c:pt>
                <c:pt idx="92">
                  <c:v>septembre 2003</c:v>
                </c:pt>
                <c:pt idx="93">
                  <c:v>octobre 2003</c:v>
                </c:pt>
                <c:pt idx="94">
                  <c:v>novembre 2003</c:v>
                </c:pt>
                <c:pt idx="95">
                  <c:v>décembre 2003</c:v>
                </c:pt>
                <c:pt idx="96">
                  <c:v>janvier 2004</c:v>
                </c:pt>
                <c:pt idx="97">
                  <c:v>février 2004</c:v>
                </c:pt>
                <c:pt idx="98">
                  <c:v>mars 2004</c:v>
                </c:pt>
                <c:pt idx="99">
                  <c:v>avril 2004</c:v>
                </c:pt>
                <c:pt idx="100">
                  <c:v>mai 2004</c:v>
                </c:pt>
                <c:pt idx="101">
                  <c:v>juin 2004</c:v>
                </c:pt>
                <c:pt idx="102">
                  <c:v>juillet 2004</c:v>
                </c:pt>
                <c:pt idx="103">
                  <c:v>août 2004</c:v>
                </c:pt>
                <c:pt idx="104">
                  <c:v>septembre 2004</c:v>
                </c:pt>
                <c:pt idx="105">
                  <c:v>octobre 2004</c:v>
                </c:pt>
                <c:pt idx="106">
                  <c:v>novembre 2004</c:v>
                </c:pt>
                <c:pt idx="107">
                  <c:v>décembre 2004</c:v>
                </c:pt>
                <c:pt idx="108">
                  <c:v>janvier 2005</c:v>
                </c:pt>
                <c:pt idx="109">
                  <c:v>février 2005</c:v>
                </c:pt>
                <c:pt idx="110">
                  <c:v>mars 2005</c:v>
                </c:pt>
                <c:pt idx="111">
                  <c:v>avril 2005</c:v>
                </c:pt>
                <c:pt idx="112">
                  <c:v>mai 2005</c:v>
                </c:pt>
                <c:pt idx="113">
                  <c:v>juin 2005</c:v>
                </c:pt>
                <c:pt idx="114">
                  <c:v>juillet 2005</c:v>
                </c:pt>
                <c:pt idx="115">
                  <c:v>août 2005</c:v>
                </c:pt>
                <c:pt idx="116">
                  <c:v>septembre 2005</c:v>
                </c:pt>
                <c:pt idx="117">
                  <c:v>octobre 2005</c:v>
                </c:pt>
                <c:pt idx="118">
                  <c:v>novembre 2005</c:v>
                </c:pt>
                <c:pt idx="119">
                  <c:v>décembre 2005</c:v>
                </c:pt>
                <c:pt idx="120">
                  <c:v>janvier 2006</c:v>
                </c:pt>
                <c:pt idx="121">
                  <c:v>février 2006</c:v>
                </c:pt>
                <c:pt idx="122">
                  <c:v>mars 2006</c:v>
                </c:pt>
                <c:pt idx="123">
                  <c:v>avril 2006</c:v>
                </c:pt>
                <c:pt idx="124">
                  <c:v>mai 2006</c:v>
                </c:pt>
                <c:pt idx="125">
                  <c:v>juin 2006</c:v>
                </c:pt>
                <c:pt idx="126">
                  <c:v>juillet 2006</c:v>
                </c:pt>
                <c:pt idx="127">
                  <c:v>août 2006</c:v>
                </c:pt>
                <c:pt idx="128">
                  <c:v>septembre 2006</c:v>
                </c:pt>
                <c:pt idx="129">
                  <c:v>octobre 2006</c:v>
                </c:pt>
                <c:pt idx="130">
                  <c:v>novembre 2006</c:v>
                </c:pt>
                <c:pt idx="131">
                  <c:v>décembre 2006</c:v>
                </c:pt>
                <c:pt idx="132">
                  <c:v>janvier 2007</c:v>
                </c:pt>
                <c:pt idx="133">
                  <c:v>février 2007</c:v>
                </c:pt>
                <c:pt idx="134">
                  <c:v>mars 2007</c:v>
                </c:pt>
                <c:pt idx="135">
                  <c:v>avril 2007</c:v>
                </c:pt>
                <c:pt idx="136">
                  <c:v>mai 2007</c:v>
                </c:pt>
                <c:pt idx="137">
                  <c:v>juin 2007</c:v>
                </c:pt>
                <c:pt idx="138">
                  <c:v>juillet 2007</c:v>
                </c:pt>
                <c:pt idx="139">
                  <c:v>août 2007</c:v>
                </c:pt>
                <c:pt idx="140">
                  <c:v>septembre 2007</c:v>
                </c:pt>
                <c:pt idx="141">
                  <c:v>octobre 2007</c:v>
                </c:pt>
                <c:pt idx="142">
                  <c:v>novembre 2007</c:v>
                </c:pt>
                <c:pt idx="143">
                  <c:v>décembre 2007</c:v>
                </c:pt>
                <c:pt idx="144">
                  <c:v>janvier 2008</c:v>
                </c:pt>
                <c:pt idx="145">
                  <c:v>février 2008</c:v>
                </c:pt>
                <c:pt idx="146">
                  <c:v>mars 2008</c:v>
                </c:pt>
                <c:pt idx="147">
                  <c:v>avril 2008</c:v>
                </c:pt>
                <c:pt idx="148">
                  <c:v>mai 2008</c:v>
                </c:pt>
                <c:pt idx="149">
                  <c:v>juin 2008</c:v>
                </c:pt>
                <c:pt idx="150">
                  <c:v>juillet 2008</c:v>
                </c:pt>
                <c:pt idx="151">
                  <c:v>août 2008</c:v>
                </c:pt>
                <c:pt idx="152">
                  <c:v>septembre 2008</c:v>
                </c:pt>
                <c:pt idx="153">
                  <c:v>octobre 2008</c:v>
                </c:pt>
                <c:pt idx="154">
                  <c:v>novembre 2008</c:v>
                </c:pt>
                <c:pt idx="155">
                  <c:v>décembre 2008</c:v>
                </c:pt>
                <c:pt idx="156">
                  <c:v>janvier 2009</c:v>
                </c:pt>
                <c:pt idx="157">
                  <c:v>février 2009</c:v>
                </c:pt>
                <c:pt idx="158">
                  <c:v>mars 2009</c:v>
                </c:pt>
                <c:pt idx="159">
                  <c:v>avril 2009</c:v>
                </c:pt>
                <c:pt idx="160">
                  <c:v>mai 2009</c:v>
                </c:pt>
                <c:pt idx="161">
                  <c:v>juin 2009</c:v>
                </c:pt>
                <c:pt idx="162">
                  <c:v>juillet 2009</c:v>
                </c:pt>
                <c:pt idx="163">
                  <c:v>août 2009</c:v>
                </c:pt>
                <c:pt idx="164">
                  <c:v>septembre 2009</c:v>
                </c:pt>
                <c:pt idx="165">
                  <c:v>octobre 2009</c:v>
                </c:pt>
                <c:pt idx="166">
                  <c:v>novembre 2009</c:v>
                </c:pt>
                <c:pt idx="167">
                  <c:v>décembre 2009</c:v>
                </c:pt>
                <c:pt idx="168">
                  <c:v>janvier 2010</c:v>
                </c:pt>
                <c:pt idx="169">
                  <c:v>février 2010</c:v>
                </c:pt>
                <c:pt idx="170">
                  <c:v>mars 2010</c:v>
                </c:pt>
                <c:pt idx="171">
                  <c:v>avril 2010</c:v>
                </c:pt>
                <c:pt idx="172">
                  <c:v>mai 2010</c:v>
                </c:pt>
                <c:pt idx="173">
                  <c:v>juin 2010</c:v>
                </c:pt>
                <c:pt idx="174">
                  <c:v>juillet 2010</c:v>
                </c:pt>
                <c:pt idx="175">
                  <c:v>août 2010</c:v>
                </c:pt>
                <c:pt idx="176">
                  <c:v>septembre 2010</c:v>
                </c:pt>
                <c:pt idx="177">
                  <c:v>octobre 2010</c:v>
                </c:pt>
                <c:pt idx="178">
                  <c:v>novembre 2010</c:v>
                </c:pt>
                <c:pt idx="179">
                  <c:v>décembre 2010</c:v>
                </c:pt>
                <c:pt idx="180">
                  <c:v>janvier 2011</c:v>
                </c:pt>
                <c:pt idx="181">
                  <c:v>février 2011</c:v>
                </c:pt>
                <c:pt idx="182">
                  <c:v>mars 2011</c:v>
                </c:pt>
                <c:pt idx="183">
                  <c:v>avril 2011</c:v>
                </c:pt>
                <c:pt idx="184">
                  <c:v>mai 2011</c:v>
                </c:pt>
                <c:pt idx="185">
                  <c:v>juin 2011</c:v>
                </c:pt>
                <c:pt idx="186">
                  <c:v>juillet 2011</c:v>
                </c:pt>
                <c:pt idx="187">
                  <c:v>août 2011</c:v>
                </c:pt>
                <c:pt idx="188">
                  <c:v>septembre 2011</c:v>
                </c:pt>
                <c:pt idx="189">
                  <c:v>octobre 2011</c:v>
                </c:pt>
                <c:pt idx="190">
                  <c:v>novembre 2011</c:v>
                </c:pt>
                <c:pt idx="191">
                  <c:v>décembre 2011</c:v>
                </c:pt>
                <c:pt idx="192">
                  <c:v>janvier 2012</c:v>
                </c:pt>
                <c:pt idx="193">
                  <c:v>février 2012</c:v>
                </c:pt>
                <c:pt idx="194">
                  <c:v>mars 2012</c:v>
                </c:pt>
                <c:pt idx="195">
                  <c:v>avril 2012</c:v>
                </c:pt>
                <c:pt idx="196">
                  <c:v>mai 2012</c:v>
                </c:pt>
                <c:pt idx="197">
                  <c:v>juin 2012</c:v>
                </c:pt>
                <c:pt idx="198">
                  <c:v>juillet 2012</c:v>
                </c:pt>
                <c:pt idx="199">
                  <c:v>août 2012</c:v>
                </c:pt>
                <c:pt idx="200">
                  <c:v>septembre 2012</c:v>
                </c:pt>
                <c:pt idx="201">
                  <c:v>octobre 2012</c:v>
                </c:pt>
                <c:pt idx="202">
                  <c:v>novembre 2012</c:v>
                </c:pt>
                <c:pt idx="203">
                  <c:v>décembre 2012</c:v>
                </c:pt>
                <c:pt idx="204">
                  <c:v>janvier 2013</c:v>
                </c:pt>
                <c:pt idx="205">
                  <c:v>février 2013</c:v>
                </c:pt>
                <c:pt idx="206">
                  <c:v>mars 2013</c:v>
                </c:pt>
                <c:pt idx="207">
                  <c:v>avril 2013</c:v>
                </c:pt>
                <c:pt idx="208">
                  <c:v>mai 2013</c:v>
                </c:pt>
                <c:pt idx="209">
                  <c:v>juin 2013</c:v>
                </c:pt>
                <c:pt idx="210">
                  <c:v>juillet 2013</c:v>
                </c:pt>
                <c:pt idx="211">
                  <c:v>août 2013</c:v>
                </c:pt>
                <c:pt idx="212">
                  <c:v>septembre 2013</c:v>
                </c:pt>
                <c:pt idx="213">
                  <c:v>octobre 2013</c:v>
                </c:pt>
                <c:pt idx="214">
                  <c:v>novembre 2013</c:v>
                </c:pt>
                <c:pt idx="215">
                  <c:v>décembre 2013</c:v>
                </c:pt>
                <c:pt idx="216">
                  <c:v>janvier 2014</c:v>
                </c:pt>
                <c:pt idx="217">
                  <c:v>février 2014</c:v>
                </c:pt>
                <c:pt idx="218">
                  <c:v>mars 2014</c:v>
                </c:pt>
                <c:pt idx="219">
                  <c:v>avril 2014</c:v>
                </c:pt>
                <c:pt idx="220">
                  <c:v>mai 2014</c:v>
                </c:pt>
                <c:pt idx="221">
                  <c:v>juin 2014</c:v>
                </c:pt>
                <c:pt idx="222">
                  <c:v>juillet 2014</c:v>
                </c:pt>
                <c:pt idx="223">
                  <c:v>août 2014</c:v>
                </c:pt>
                <c:pt idx="224">
                  <c:v>septembre 2014</c:v>
                </c:pt>
                <c:pt idx="225">
                  <c:v>octobre 2014</c:v>
                </c:pt>
                <c:pt idx="226">
                  <c:v>novembre 2014</c:v>
                </c:pt>
                <c:pt idx="227">
                  <c:v>décembre 2014</c:v>
                </c:pt>
                <c:pt idx="228">
                  <c:v>janvier 2015</c:v>
                </c:pt>
                <c:pt idx="229">
                  <c:v>février 2015</c:v>
                </c:pt>
                <c:pt idx="230">
                  <c:v>mars 2015</c:v>
                </c:pt>
                <c:pt idx="231">
                  <c:v>avril 2015</c:v>
                </c:pt>
                <c:pt idx="232">
                  <c:v>mai 2015</c:v>
                </c:pt>
                <c:pt idx="233">
                  <c:v>juin 2015</c:v>
                </c:pt>
                <c:pt idx="234">
                  <c:v>juillet 2015</c:v>
                </c:pt>
                <c:pt idx="235">
                  <c:v>août 2015</c:v>
                </c:pt>
                <c:pt idx="236">
                  <c:v>septembre 2015</c:v>
                </c:pt>
                <c:pt idx="237">
                  <c:v>octobre 2015</c:v>
                </c:pt>
                <c:pt idx="238">
                  <c:v>novembre 2015</c:v>
                </c:pt>
                <c:pt idx="239">
                  <c:v>décembre 2015</c:v>
                </c:pt>
                <c:pt idx="240">
                  <c:v>janvier 2016</c:v>
                </c:pt>
                <c:pt idx="241">
                  <c:v>février 2016</c:v>
                </c:pt>
                <c:pt idx="242">
                  <c:v>mars 2016</c:v>
                </c:pt>
                <c:pt idx="243">
                  <c:v>avril 2016</c:v>
                </c:pt>
                <c:pt idx="244">
                  <c:v>mai 2016</c:v>
                </c:pt>
                <c:pt idx="245">
                  <c:v>juin 2016</c:v>
                </c:pt>
                <c:pt idx="246">
                  <c:v>juillet 2016</c:v>
                </c:pt>
                <c:pt idx="247">
                  <c:v>août 2016</c:v>
                </c:pt>
                <c:pt idx="248">
                  <c:v>septembre 2016</c:v>
                </c:pt>
                <c:pt idx="249">
                  <c:v>octobre 2016</c:v>
                </c:pt>
                <c:pt idx="250">
                  <c:v>novembre 2016</c:v>
                </c:pt>
                <c:pt idx="251">
                  <c:v>décembre 2016</c:v>
                </c:pt>
                <c:pt idx="252">
                  <c:v>janvier 2017</c:v>
                </c:pt>
                <c:pt idx="253">
                  <c:v>février 2017</c:v>
                </c:pt>
                <c:pt idx="254">
                  <c:v>mars 2017</c:v>
                </c:pt>
                <c:pt idx="255">
                  <c:v>avril 2017</c:v>
                </c:pt>
                <c:pt idx="256">
                  <c:v>mai 2017</c:v>
                </c:pt>
                <c:pt idx="257">
                  <c:v>juin 2017</c:v>
                </c:pt>
                <c:pt idx="258">
                  <c:v>juillet 2017</c:v>
                </c:pt>
                <c:pt idx="259">
                  <c:v>août 2017</c:v>
                </c:pt>
                <c:pt idx="260">
                  <c:v>septembre 2017</c:v>
                </c:pt>
                <c:pt idx="261">
                  <c:v>octobre 2017</c:v>
                </c:pt>
                <c:pt idx="262">
                  <c:v>novembre 2017</c:v>
                </c:pt>
                <c:pt idx="263">
                  <c:v>décembre 2017</c:v>
                </c:pt>
                <c:pt idx="264">
                  <c:v>janvier 2018</c:v>
                </c:pt>
                <c:pt idx="265">
                  <c:v>février 2018</c:v>
                </c:pt>
                <c:pt idx="266">
                  <c:v>mars 2018</c:v>
                </c:pt>
                <c:pt idx="267">
                  <c:v>avril 2018</c:v>
                </c:pt>
                <c:pt idx="268">
                  <c:v>mai 2018</c:v>
                </c:pt>
                <c:pt idx="269">
                  <c:v>juin 2018</c:v>
                </c:pt>
                <c:pt idx="270">
                  <c:v>juillet 2018</c:v>
                </c:pt>
                <c:pt idx="271">
                  <c:v>août 2018</c:v>
                </c:pt>
                <c:pt idx="272">
                  <c:v>septembre 2018</c:v>
                </c:pt>
              </c:strCache>
            </c:strRef>
          </c:cat>
          <c:val>
            <c:numRef>
              <c:f>'62204'!$E$10:$E$282</c:f>
              <c:numCache>
                <c:formatCode>General</c:formatCode>
                <c:ptCount val="273"/>
                <c:pt idx="0">
                  <c:v>0.532783479960899</c:v>
                </c:pt>
                <c:pt idx="1">
                  <c:v>0.514982413419913</c:v>
                </c:pt>
                <c:pt idx="2">
                  <c:v>0.514253421309873</c:v>
                </c:pt>
                <c:pt idx="3">
                  <c:v>0.26834595959596</c:v>
                </c:pt>
                <c:pt idx="4">
                  <c:v>0.497275171065494</c:v>
                </c:pt>
                <c:pt idx="5">
                  <c:v>0.157619949494949</c:v>
                </c:pt>
                <c:pt idx="6">
                  <c:v>0.103659579667644</c:v>
                </c:pt>
                <c:pt idx="7">
                  <c:v>0</c:v>
                </c:pt>
                <c:pt idx="8">
                  <c:v>0.0367234848484849</c:v>
                </c:pt>
                <c:pt idx="9">
                  <c:v>0.0441410068426197</c:v>
                </c:pt>
                <c:pt idx="10">
                  <c:v>0.095625</c:v>
                </c:pt>
                <c:pt idx="11">
                  <c:v>0.294232649071359</c:v>
                </c:pt>
                <c:pt idx="12">
                  <c:v>0.32411412512219</c:v>
                </c:pt>
                <c:pt idx="13">
                  <c:v>0.52285579004329</c:v>
                </c:pt>
                <c:pt idx="14">
                  <c:v>0.270491202346041</c:v>
                </c:pt>
                <c:pt idx="15">
                  <c:v>0.0288194444444444</c:v>
                </c:pt>
                <c:pt idx="16">
                  <c:v>0.1772238514174</c:v>
                </c:pt>
                <c:pt idx="17">
                  <c:v>0.123813131313131</c:v>
                </c:pt>
                <c:pt idx="18">
                  <c:v>0.418267350928641</c:v>
                </c:pt>
                <c:pt idx="19">
                  <c:v>0.279734848484848</c:v>
                </c:pt>
                <c:pt idx="20">
                  <c:v>0.285814393939394</c:v>
                </c:pt>
                <c:pt idx="21">
                  <c:v>0.101264662756598</c:v>
                </c:pt>
                <c:pt idx="22">
                  <c:v>0.224356060606061</c:v>
                </c:pt>
                <c:pt idx="23">
                  <c:v>0.533406647116324</c:v>
                </c:pt>
                <c:pt idx="24">
                  <c:v>0.52980816226784</c:v>
                </c:pt>
                <c:pt idx="25">
                  <c:v>0.468885281385281</c:v>
                </c:pt>
                <c:pt idx="26">
                  <c:v>0.407117546432063</c:v>
                </c:pt>
                <c:pt idx="27">
                  <c:v>0.512683080808081</c:v>
                </c:pt>
                <c:pt idx="28">
                  <c:v>0.563398093841642</c:v>
                </c:pt>
                <c:pt idx="29">
                  <c:v>0.268933080808081</c:v>
                </c:pt>
                <c:pt idx="30">
                  <c:v>0.169159335288368</c:v>
                </c:pt>
                <c:pt idx="31">
                  <c:v>0.117870234604106</c:v>
                </c:pt>
                <c:pt idx="32">
                  <c:v>0.181104797979798</c:v>
                </c:pt>
                <c:pt idx="33">
                  <c:v>0.426032502443793</c:v>
                </c:pt>
                <c:pt idx="34">
                  <c:v>0.372032828282828</c:v>
                </c:pt>
                <c:pt idx="35">
                  <c:v>0.552370478983382</c:v>
                </c:pt>
                <c:pt idx="36">
                  <c:v>0.642137096774194</c:v>
                </c:pt>
                <c:pt idx="37">
                  <c:v>0.713149350649351</c:v>
                </c:pt>
                <c:pt idx="38">
                  <c:v>0.727840909090909</c:v>
                </c:pt>
                <c:pt idx="39">
                  <c:v>0.588585858585859</c:v>
                </c:pt>
                <c:pt idx="40">
                  <c:v>0.749297409579668</c:v>
                </c:pt>
                <c:pt idx="41">
                  <c:v>0.30209595959596</c:v>
                </c:pt>
                <c:pt idx="42">
                  <c:v>0.116794965786901</c:v>
                </c:pt>
                <c:pt idx="43">
                  <c:v>0.298478739002933</c:v>
                </c:pt>
                <c:pt idx="44">
                  <c:v>0.179008838383838</c:v>
                </c:pt>
                <c:pt idx="45">
                  <c:v>0.171059384164223</c:v>
                </c:pt>
                <c:pt idx="46">
                  <c:v>0.315688131313131</c:v>
                </c:pt>
                <c:pt idx="47">
                  <c:v>0.455834555229716</c:v>
                </c:pt>
                <c:pt idx="48">
                  <c:v>0.55978128054741</c:v>
                </c:pt>
                <c:pt idx="49">
                  <c:v>0.50741341991342</c:v>
                </c:pt>
                <c:pt idx="50">
                  <c:v>0.517485337243402</c:v>
                </c:pt>
                <c:pt idx="51">
                  <c:v>0.631357323232323</c:v>
                </c:pt>
                <c:pt idx="52">
                  <c:v>0.593756109481916</c:v>
                </c:pt>
                <c:pt idx="53">
                  <c:v>0.431180555555556</c:v>
                </c:pt>
                <c:pt idx="54">
                  <c:v>0.277675953079179</c:v>
                </c:pt>
                <c:pt idx="55">
                  <c:v>0.144409824046921</c:v>
                </c:pt>
                <c:pt idx="56">
                  <c:v>0.0268560606060606</c:v>
                </c:pt>
                <c:pt idx="57">
                  <c:v>0.188648582600195</c:v>
                </c:pt>
                <c:pt idx="58">
                  <c:v>0.468087121212121</c:v>
                </c:pt>
                <c:pt idx="59">
                  <c:v>0.529521016617791</c:v>
                </c:pt>
                <c:pt idx="60">
                  <c:v>0.798448191593353</c:v>
                </c:pt>
                <c:pt idx="61">
                  <c:v>0.668628246753247</c:v>
                </c:pt>
                <c:pt idx="62">
                  <c:v>0.679618768328446</c:v>
                </c:pt>
                <c:pt idx="63">
                  <c:v>0.520965909090909</c:v>
                </c:pt>
                <c:pt idx="64">
                  <c:v>0.418878299120235</c:v>
                </c:pt>
                <c:pt idx="65">
                  <c:v>0.257039141414141</c:v>
                </c:pt>
                <c:pt idx="66">
                  <c:v>0.247770039100684</c:v>
                </c:pt>
                <c:pt idx="67">
                  <c:v>0.129246089931574</c:v>
                </c:pt>
                <c:pt idx="68">
                  <c:v>0.0100378787878788</c:v>
                </c:pt>
                <c:pt idx="69">
                  <c:v>0.0708699902248289</c:v>
                </c:pt>
                <c:pt idx="70">
                  <c:v>0.103724747474747</c:v>
                </c:pt>
                <c:pt idx="71">
                  <c:v>0.0956744868035191</c:v>
                </c:pt>
                <c:pt idx="72">
                  <c:v>0.128506842619746</c:v>
                </c:pt>
                <c:pt idx="73">
                  <c:v>0.326988636363636</c:v>
                </c:pt>
                <c:pt idx="74">
                  <c:v>0.334176441837732</c:v>
                </c:pt>
                <c:pt idx="75">
                  <c:v>0.349008838383838</c:v>
                </c:pt>
                <c:pt idx="76">
                  <c:v>0.464821603128055</c:v>
                </c:pt>
                <c:pt idx="77">
                  <c:v>0.41949494949495</c:v>
                </c:pt>
                <c:pt idx="78">
                  <c:v>0.159756842619746</c:v>
                </c:pt>
                <c:pt idx="79">
                  <c:v>0.194153225806452</c:v>
                </c:pt>
                <c:pt idx="80">
                  <c:v>0.136502525252525</c:v>
                </c:pt>
                <c:pt idx="81">
                  <c:v>0.151991691104594</c:v>
                </c:pt>
                <c:pt idx="82">
                  <c:v>0.429040404040404</c:v>
                </c:pt>
                <c:pt idx="83">
                  <c:v>0.519978005865103</c:v>
                </c:pt>
                <c:pt idx="84">
                  <c:v>0.665994623655914</c:v>
                </c:pt>
                <c:pt idx="85">
                  <c:v>0.57147591991342</c:v>
                </c:pt>
                <c:pt idx="86">
                  <c:v>0.480186950146628</c:v>
                </c:pt>
                <c:pt idx="87">
                  <c:v>0.257285353535353</c:v>
                </c:pt>
                <c:pt idx="88">
                  <c:v>0.405907869012708</c:v>
                </c:pt>
                <c:pt idx="89">
                  <c:v>0.173421717171717</c:v>
                </c:pt>
                <c:pt idx="90">
                  <c:v>0</c:v>
                </c:pt>
                <c:pt idx="91">
                  <c:v>0</c:v>
                </c:pt>
                <c:pt idx="92">
                  <c:v>0.0614772727272727</c:v>
                </c:pt>
                <c:pt idx="93">
                  <c:v>0.0413245356793744</c:v>
                </c:pt>
                <c:pt idx="94">
                  <c:v>0.100909090909091</c:v>
                </c:pt>
                <c:pt idx="95">
                  <c:v>0.555975073313783</c:v>
                </c:pt>
                <c:pt idx="96">
                  <c:v>0.635392228739003</c:v>
                </c:pt>
                <c:pt idx="97">
                  <c:v>0.740597943722944</c:v>
                </c:pt>
                <c:pt idx="98">
                  <c:v>0.662438905180841</c:v>
                </c:pt>
                <c:pt idx="99">
                  <c:v>0.582525252525253</c:v>
                </c:pt>
                <c:pt idx="100">
                  <c:v>0.748020527859238</c:v>
                </c:pt>
                <c:pt idx="101">
                  <c:v>0.239324494949495</c:v>
                </c:pt>
                <c:pt idx="102">
                  <c:v>0</c:v>
                </c:pt>
                <c:pt idx="103">
                  <c:v>0.0844819159335288</c:v>
                </c:pt>
                <c:pt idx="104">
                  <c:v>0</c:v>
                </c:pt>
                <c:pt idx="105">
                  <c:v>0.0816226783968719</c:v>
                </c:pt>
                <c:pt idx="106">
                  <c:v>0.261395202020202</c:v>
                </c:pt>
                <c:pt idx="107">
                  <c:v>0.335575513196481</c:v>
                </c:pt>
                <c:pt idx="108">
                  <c:v>0.516611681329423</c:v>
                </c:pt>
                <c:pt idx="109">
                  <c:v>0.509246482683983</c:v>
                </c:pt>
                <c:pt idx="110">
                  <c:v>0.354392717497556</c:v>
                </c:pt>
                <c:pt idx="111">
                  <c:v>0.451912878787879</c:v>
                </c:pt>
                <c:pt idx="112">
                  <c:v>0.395662267839687</c:v>
                </c:pt>
                <c:pt idx="113">
                  <c:v>0.175296717171717</c:v>
                </c:pt>
                <c:pt idx="114">
                  <c:v>0.0195442326490714</c:v>
                </c:pt>
                <c:pt idx="115">
                  <c:v>0.0714442815249267</c:v>
                </c:pt>
                <c:pt idx="116">
                  <c:v>0.0549431818181818</c:v>
                </c:pt>
                <c:pt idx="117">
                  <c:v>0.0516434506353861</c:v>
                </c:pt>
                <c:pt idx="118">
                  <c:v>0.183806818181818</c:v>
                </c:pt>
                <c:pt idx="119">
                  <c:v>0.490854105571848</c:v>
                </c:pt>
                <c:pt idx="120">
                  <c:v>0.546493157380254</c:v>
                </c:pt>
                <c:pt idx="121">
                  <c:v>0.400453192640693</c:v>
                </c:pt>
                <c:pt idx="122">
                  <c:v>0.60255376344086</c:v>
                </c:pt>
                <c:pt idx="123">
                  <c:v>0.471294191919192</c:v>
                </c:pt>
                <c:pt idx="124">
                  <c:v>0.262237292277615</c:v>
                </c:pt>
                <c:pt idx="125">
                  <c:v>0.152449494949495</c:v>
                </c:pt>
                <c:pt idx="126">
                  <c:v>0.0519733626588465</c:v>
                </c:pt>
                <c:pt idx="127">
                  <c:v>0.0184506353861193</c:v>
                </c:pt>
                <c:pt idx="128">
                  <c:v>0.158093434343434</c:v>
                </c:pt>
                <c:pt idx="129">
                  <c:v>0.204117790811339</c:v>
                </c:pt>
                <c:pt idx="130">
                  <c:v>0.163611111111111</c:v>
                </c:pt>
                <c:pt idx="131">
                  <c:v>0.404795943304008</c:v>
                </c:pt>
                <c:pt idx="132">
                  <c:v>0.22172531769306</c:v>
                </c:pt>
                <c:pt idx="133">
                  <c:v>0.507853084415584</c:v>
                </c:pt>
                <c:pt idx="134">
                  <c:v>0.770625610948192</c:v>
                </c:pt>
                <c:pt idx="135">
                  <c:v>0.726262626262626</c:v>
                </c:pt>
                <c:pt idx="136">
                  <c:v>0.66878054740958</c:v>
                </c:pt>
                <c:pt idx="137">
                  <c:v>0.613901515151515</c:v>
                </c:pt>
                <c:pt idx="138">
                  <c:v>0.0992363147605083</c:v>
                </c:pt>
                <c:pt idx="139">
                  <c:v>0.0906341642228739</c:v>
                </c:pt>
                <c:pt idx="140">
                  <c:v>0.0239772727272727</c:v>
                </c:pt>
                <c:pt idx="141">
                  <c:v>0.00625610948191593</c:v>
                </c:pt>
                <c:pt idx="142">
                  <c:v>0.00603535353535354</c:v>
                </c:pt>
                <c:pt idx="143">
                  <c:v>0.160257820136852</c:v>
                </c:pt>
                <c:pt idx="144">
                  <c:v>0.591306207233627</c:v>
                </c:pt>
                <c:pt idx="145">
                  <c:v>0.373593073593074</c:v>
                </c:pt>
                <c:pt idx="146">
                  <c:v>0.39905303030303</c:v>
                </c:pt>
                <c:pt idx="147">
                  <c:v>0.76957702020202</c:v>
                </c:pt>
                <c:pt idx="148">
                  <c:v>0.600623167155425</c:v>
                </c:pt>
                <c:pt idx="149">
                  <c:v>0.657960858585859</c:v>
                </c:pt>
                <c:pt idx="150">
                  <c:v>0.121474828934506</c:v>
                </c:pt>
                <c:pt idx="151">
                  <c:v>0.135581622678397</c:v>
                </c:pt>
                <c:pt idx="152">
                  <c:v>0.0720454545454545</c:v>
                </c:pt>
                <c:pt idx="153">
                  <c:v>0.0351050830889541</c:v>
                </c:pt>
                <c:pt idx="154">
                  <c:v>0.478541666666667</c:v>
                </c:pt>
                <c:pt idx="155">
                  <c:v>0.750665933528837</c:v>
                </c:pt>
                <c:pt idx="156">
                  <c:v>0.429912023460411</c:v>
                </c:pt>
                <c:pt idx="157">
                  <c:v>0.79215367965368</c:v>
                </c:pt>
                <c:pt idx="158">
                  <c:v>0.498961388074291</c:v>
                </c:pt>
                <c:pt idx="159">
                  <c:v>0.61165404040404</c:v>
                </c:pt>
                <c:pt idx="160">
                  <c:v>0.688862414467253</c:v>
                </c:pt>
                <c:pt idx="161">
                  <c:v>0.28467803030303</c:v>
                </c:pt>
                <c:pt idx="162">
                  <c:v>0.0396322091886608</c:v>
                </c:pt>
                <c:pt idx="163">
                  <c:v>0.00818059628543499</c:v>
                </c:pt>
                <c:pt idx="164">
                  <c:v>0.00503156565656566</c:v>
                </c:pt>
                <c:pt idx="165">
                  <c:v>0</c:v>
                </c:pt>
                <c:pt idx="166">
                  <c:v>0.351710858585858</c:v>
                </c:pt>
                <c:pt idx="167">
                  <c:v>0.534640762463343</c:v>
                </c:pt>
                <c:pt idx="168">
                  <c:v>0.695692815249267</c:v>
                </c:pt>
                <c:pt idx="169">
                  <c:v>0.788805465367965</c:v>
                </c:pt>
                <c:pt idx="170">
                  <c:v>0.38066348973607</c:v>
                </c:pt>
                <c:pt idx="171">
                  <c:v>0.395233585858586</c:v>
                </c:pt>
                <c:pt idx="172">
                  <c:v>0.609451368523949</c:v>
                </c:pt>
                <c:pt idx="173">
                  <c:v>0.556344696969697</c:v>
                </c:pt>
                <c:pt idx="174">
                  <c:v>0.167039345063539</c:v>
                </c:pt>
                <c:pt idx="175">
                  <c:v>0.0986925708699902</c:v>
                </c:pt>
                <c:pt idx="176">
                  <c:v>0</c:v>
                </c:pt>
                <c:pt idx="177">
                  <c:v>0.0576735092864125</c:v>
                </c:pt>
                <c:pt idx="178">
                  <c:v>0.391597222222222</c:v>
                </c:pt>
                <c:pt idx="179">
                  <c:v>0.691458944281525</c:v>
                </c:pt>
                <c:pt idx="180">
                  <c:v>0.40389173998045</c:v>
                </c:pt>
                <c:pt idx="181">
                  <c:v>0.412432359307359</c:v>
                </c:pt>
                <c:pt idx="182">
                  <c:v>0.561736314760508</c:v>
                </c:pt>
                <c:pt idx="183">
                  <c:v>0.116294191919192</c:v>
                </c:pt>
                <c:pt idx="184">
                  <c:v>0.0583272238514174</c:v>
                </c:pt>
                <c:pt idx="185">
                  <c:v>0.307689393939394</c:v>
                </c:pt>
                <c:pt idx="186">
                  <c:v>0.183846529814272</c:v>
                </c:pt>
                <c:pt idx="187">
                  <c:v>0.0238391984359726</c:v>
                </c:pt>
                <c:pt idx="188">
                  <c:v>0.0317992424242424</c:v>
                </c:pt>
                <c:pt idx="189">
                  <c:v>0</c:v>
                </c:pt>
                <c:pt idx="190">
                  <c:v>0.0980366161616162</c:v>
                </c:pt>
                <c:pt idx="191">
                  <c:v>0.288721896383187</c:v>
                </c:pt>
                <c:pt idx="192">
                  <c:v>0.425904203323558</c:v>
                </c:pt>
                <c:pt idx="193">
                  <c:v>0.413764880952381</c:v>
                </c:pt>
                <c:pt idx="194">
                  <c:v>0.204356060606061</c:v>
                </c:pt>
                <c:pt idx="195">
                  <c:v>0.331925505050505</c:v>
                </c:pt>
                <c:pt idx="196">
                  <c:v>0.298008308895406</c:v>
                </c:pt>
                <c:pt idx="197">
                  <c:v>0.00242424242424242</c:v>
                </c:pt>
                <c:pt idx="198">
                  <c:v>0</c:v>
                </c:pt>
                <c:pt idx="199">
                  <c:v>0</c:v>
                </c:pt>
                <c:pt idx="200">
                  <c:v>0</c:v>
                </c:pt>
                <c:pt idx="201">
                  <c:v>0</c:v>
                </c:pt>
                <c:pt idx="202">
                  <c:v>0.0579671717171717</c:v>
                </c:pt>
                <c:pt idx="203">
                  <c:v>0.541397849462366</c:v>
                </c:pt>
                <c:pt idx="204">
                  <c:v>0.434133675464321</c:v>
                </c:pt>
                <c:pt idx="205">
                  <c:v>0.698944805194805</c:v>
                </c:pt>
                <c:pt idx="206">
                  <c:v>0.504105571847507</c:v>
                </c:pt>
                <c:pt idx="207">
                  <c:v>0.72886994949495</c:v>
                </c:pt>
                <c:pt idx="208">
                  <c:v>0.705345796676442</c:v>
                </c:pt>
                <c:pt idx="209">
                  <c:v>0.737108585858586</c:v>
                </c:pt>
                <c:pt idx="210">
                  <c:v>0.309500244379277</c:v>
                </c:pt>
                <c:pt idx="211">
                  <c:v>0.0838465298142718</c:v>
                </c:pt>
                <c:pt idx="212">
                  <c:v>0.103762626262626</c:v>
                </c:pt>
                <c:pt idx="213">
                  <c:v>0.039705522971652</c:v>
                </c:pt>
                <c:pt idx="214">
                  <c:v>0.490006313131313</c:v>
                </c:pt>
                <c:pt idx="215">
                  <c:v>0.543175708699902</c:v>
                </c:pt>
                <c:pt idx="216">
                  <c:v>0.652065004887586</c:v>
                </c:pt>
                <c:pt idx="217">
                  <c:v>0.760457251082251</c:v>
                </c:pt>
                <c:pt idx="218">
                  <c:v>0.636333088954057</c:v>
                </c:pt>
                <c:pt idx="219">
                  <c:v>0.743042929292929</c:v>
                </c:pt>
                <c:pt idx="220">
                  <c:v>0.578219696969697</c:v>
                </c:pt>
                <c:pt idx="221">
                  <c:v>0.404646464646465</c:v>
                </c:pt>
                <c:pt idx="222">
                  <c:v>0.369538123167155</c:v>
                </c:pt>
                <c:pt idx="223">
                  <c:v>0.445521749755621</c:v>
                </c:pt>
                <c:pt idx="224">
                  <c:v>0.199501262626263</c:v>
                </c:pt>
                <c:pt idx="225">
                  <c:v>0.057080889540567</c:v>
                </c:pt>
                <c:pt idx="226">
                  <c:v>0.141369949494949</c:v>
                </c:pt>
                <c:pt idx="227">
                  <c:v>0.390432551319648</c:v>
                </c:pt>
                <c:pt idx="228">
                  <c:v/>
                </c:pt>
                <c:pt idx="229">
                  <c:v>0.00301001082251082</c:v>
                </c:pt>
                <c:pt idx="230">
                  <c:v>0.654313294232649</c:v>
                </c:pt>
                <c:pt idx="231">
                  <c:v>0.607948232323232</c:v>
                </c:pt>
                <c:pt idx="232">
                  <c:v>0.296187683284457</c:v>
                </c:pt>
                <c:pt idx="233">
                  <c:v>0.129545454545455</c:v>
                </c:pt>
                <c:pt idx="234">
                  <c:v>0.035752688172043</c:v>
                </c:pt>
                <c:pt idx="235">
                  <c:v>0.121096041055718</c:v>
                </c:pt>
                <c:pt idx="236">
                  <c:v>0.0535732323232323</c:v>
                </c:pt>
                <c:pt idx="237">
                  <c:v>0.000586510263929619</c:v>
                </c:pt>
                <c:pt idx="238">
                  <c:v>0.0967171717171717</c:v>
                </c:pt>
                <c:pt idx="239">
                  <c:v>0.0427541544477028</c:v>
                </c:pt>
                <c:pt idx="240">
                  <c:v>0.646383186705767</c:v>
                </c:pt>
                <c:pt idx="241">
                  <c:v>0.659706439393939</c:v>
                </c:pt>
                <c:pt idx="242">
                  <c:v>0.689711632453568</c:v>
                </c:pt>
                <c:pt idx="243">
                  <c:v>0.458434343434343</c:v>
                </c:pt>
                <c:pt idx="244">
                  <c:v>0.462554985337243</c:v>
                </c:pt>
                <c:pt idx="245">
                  <c:v>0.292209595959596</c:v>
                </c:pt>
                <c:pt idx="246">
                  <c:v>0.0484787390029326</c:v>
                </c:pt>
                <c:pt idx="247">
                  <c:v>0.0209799608993157</c:v>
                </c:pt>
                <c:pt idx="248">
                  <c:v>0</c:v>
                </c:pt>
                <c:pt idx="249">
                  <c:v>0</c:v>
                </c:pt>
                <c:pt idx="250">
                  <c:v>0.055915404040404</c:v>
                </c:pt>
                <c:pt idx="251">
                  <c:v>0</c:v>
                </c:pt>
                <c:pt idx="252">
                  <c:v>0.125042766373412</c:v>
                </c:pt>
                <c:pt idx="253">
                  <c:v>0.426143127705628</c:v>
                </c:pt>
                <c:pt idx="254">
                  <c:v>0.531292766373412</c:v>
                </c:pt>
                <c:pt idx="255">
                  <c:v>0.243989898989899</c:v>
                </c:pt>
                <c:pt idx="256">
                  <c:v>0.251203567937439</c:v>
                </c:pt>
                <c:pt idx="257">
                  <c:v>0.168118686868687</c:v>
                </c:pt>
                <c:pt idx="258">
                  <c:v>0.031897605083089</c:v>
                </c:pt>
                <c:pt idx="259">
                  <c:v>0.011577468230694</c:v>
                </c:pt>
                <c:pt idx="260">
                  <c:v>0.0144633838383838</c:v>
                </c:pt>
                <c:pt idx="261">
                  <c:v>0</c:v>
                </c:pt>
                <c:pt idx="262">
                  <c:v>0.0496906565656566</c:v>
                </c:pt>
                <c:pt idx="263">
                  <c:v>0.335019550342131</c:v>
                </c:pt>
                <c:pt idx="264">
                  <c:v>0.757612414467253</c:v>
                </c:pt>
                <c:pt idx="265">
                  <c:v>0.745265151515152</c:v>
                </c:pt>
                <c:pt idx="266">
                  <c:v>0.826606793743891</c:v>
                </c:pt>
                <c:pt idx="267">
                  <c:v>0.728459595959596</c:v>
                </c:pt>
                <c:pt idx="268">
                  <c:v>0.743609481915934</c:v>
                </c:pt>
                <c:pt idx="269">
                  <c:v>0.614198232323232</c:v>
                </c:pt>
                <c:pt idx="270">
                  <c:v>0.316715542521994</c:v>
                </c:pt>
                <c:pt idx="271">
                  <c:v>0.015530303030303</c:v>
                </c:pt>
                <c:pt idx="272">
                  <c:v>0.0128787878787879</c:v>
                </c:pt>
              </c:numCache>
            </c:numRef>
          </c:val>
        </c:ser>
        <c:gapWidth val="100"/>
        <c:overlap val="0"/>
        <c:axId val="70150357"/>
        <c:axId val="32636754"/>
      </c:barChart>
      <c:catAx>
        <c:axId val="70150357"/>
        <c:scaling>
          <c:orientation val="minMax"/>
        </c:scaling>
        <c:delete val="0"/>
        <c:axPos val="b"/>
        <c:numFmt formatCode="MMMM\ YYYY" sourceLinked="1"/>
        <c:majorTickMark val="out"/>
        <c:minorTickMark val="none"/>
        <c:tickLblPos val="nextTo"/>
        <c:spPr>
          <a:ln>
            <a:solidFill>
              <a:srgbClr val="b3b3b3"/>
            </a:solidFill>
          </a:ln>
        </c:spPr>
        <c:txPr>
          <a:bodyPr/>
          <a:lstStyle/>
          <a:p>
            <a:pPr>
              <a:defRPr b="0" sz="1000" spc="-1" strike="noStrike">
                <a:latin typeface="Arial"/>
              </a:defRPr>
            </a:pPr>
          </a:p>
        </c:txPr>
        <c:crossAx val="32636754"/>
        <c:crosses val="autoZero"/>
        <c:auto val="1"/>
        <c:lblAlgn val="ctr"/>
        <c:lblOffset val="100"/>
      </c:catAx>
      <c:valAx>
        <c:axId val="32636754"/>
        <c:scaling>
          <c:orientation val="minMax"/>
        </c:scaling>
        <c:delete val="0"/>
        <c:axPos val="l"/>
        <c:majorGridlines>
          <c:spPr>
            <a:ln>
              <a:solidFill>
                <a:srgbClr val="b3b3b3"/>
              </a:solidFill>
            </a:ln>
          </c:spPr>
        </c:majorGridlines>
        <c:numFmt formatCode="0.0%" sourceLinked="0"/>
        <c:majorTickMark val="out"/>
        <c:minorTickMark val="none"/>
        <c:tickLblPos val="nextTo"/>
        <c:spPr>
          <a:ln>
            <a:solidFill>
              <a:srgbClr val="b3b3b3"/>
            </a:solidFill>
          </a:ln>
        </c:spPr>
        <c:txPr>
          <a:bodyPr/>
          <a:lstStyle/>
          <a:p>
            <a:pPr>
              <a:defRPr b="0" sz="1000" spc="-1" strike="noStrike">
                <a:latin typeface="Arial"/>
              </a:defRPr>
            </a:pPr>
          </a:p>
        </c:txPr>
        <c:crossAx val="70150357"/>
        <c:crosses val="autoZero"/>
      </c:valAx>
      <c:spPr>
        <a:noFill/>
        <a:ln>
          <a:solidFill>
            <a:srgbClr val="b3b3b3"/>
          </a:solidFill>
        </a:ln>
      </c:spPr>
    </c:plotArea>
    <c:legend>
      <c:layout>
        <c:manualLayout>
          <c:xMode val="edge"/>
          <c:yMode val="edge"/>
          <c:x val="0.823693834900731"/>
          <c:y val="0.323833527206928"/>
          <c:w val="0.146816792497192"/>
          <c:h val="0.0707684353389776"/>
        </c:manualLayout>
      </c:layout>
      <c:spPr>
        <a:noFill/>
        <a:ln>
          <a:noFill/>
        </a:ln>
      </c:spPr>
      <c:txPr>
        <a:bodyPr/>
        <a:lstStyle/>
        <a:p>
          <a:pPr>
            <a:defRPr b="0" sz="1000" spc="-1" strike="noStrike">
              <a:latin typeface="Arial"/>
            </a:defRPr>
          </a:pPr>
        </a:p>
      </c:txPr>
    </c:legend>
    <c:plotVisOnly val="1"/>
    <c:dispBlanksAs val="gap"/>
  </c:chart>
  <c:spPr>
    <a:solidFill>
      <a:srgbClr val="ffffff"/>
    </a:solidFill>
    <a:ln>
      <a:noFill/>
    </a:ln>
  </c:spPr>
</c:chartSpace>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_rels/drawing4.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
</Relationships>
</file>

<file path=xl/drawings/_rels/drawing5.xml.rels><?xml version="1.0" encoding="UTF-8"?>
<Relationships xmlns="http://schemas.openxmlformats.org/package/2006/relationships"><Relationship Id="rId1" Type="http://schemas.openxmlformats.org/officeDocument/2006/relationships/chart" Target="../charts/chart1.xml"/>
</Relationships>
</file>

<file path=xl/drawings/_rels/drawing6.xml.rels><?xml version="1.0" encoding="UTF-8"?>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 Id="rId3" Type="http://schemas.openxmlformats.org/officeDocument/2006/relationships/image" Target="../media/image8.png"/><Relationship Id="rId4" Type="http://schemas.openxmlformats.org/officeDocument/2006/relationships/image" Target="../media/image9.png"/>
</Relationships>
</file>

<file path=xl/drawings/_rels/drawing7.xml.rels><?xml version="1.0" encoding="UTF-8"?>
<Relationships xmlns="http://schemas.openxmlformats.org/package/2006/relationships"><Relationship Id="rId1" Type="http://schemas.openxmlformats.org/officeDocument/2006/relationships/image" Target="../media/image10.png"/>
</Relationships>
</file>

<file path=xl/drawings/_rels/drawing8.xml.rels><?xml version="1.0" encoding="UTF-8"?>
<Relationships xmlns="http://schemas.openxmlformats.org/package/2006/relationships"><Relationship Id="rId1" Type="http://schemas.openxmlformats.org/officeDocument/2006/relationships/image" Target="../media/image11.png"/>
</Relationships>
</file>

<file path=xl/drawings/_rels/drawing9.xml.rels><?xml version="1.0" encoding="UTF-8"?>
<Relationships xmlns="http://schemas.openxmlformats.org/package/2006/relationships"><Relationship Id="rId1" Type="http://schemas.openxmlformats.org/officeDocument/2006/relationships/image" Target="../media/image12.png"/>
</Relationships>
</file>

<file path=xl/drawings/_rels/drawing10.xml.rels><?xml version="1.0" encoding="UTF-8"?>
<Relationships xmlns="http://schemas.openxmlformats.org/package/2006/relationships"><Relationship Id="rId1" Type="http://schemas.openxmlformats.org/officeDocument/2006/relationships/chart" Target="../charts/chart2.xml"/>
</Relationships>
</file>

<file path=xl/drawings/_rels/drawing11.xml.rels><?xml version="1.0" encoding="UTF-8"?>
<Relationships xmlns="http://schemas.openxmlformats.org/package/2006/relationships"><Relationship Id="rId1" Type="http://schemas.openxmlformats.org/officeDocument/2006/relationships/image" Target="../media/image13.png"/>
</Relationships>
</file>

<file path=xl/drawings/_rels/drawing12.xml.rels><?xml version="1.0" encoding="UTF-8"?>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5.png"/>
</Relationships>
</file>

<file path=xl/drawings/_rels/drawing13.xml.rels><?xml version="1.0" encoding="UTF-8"?>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7.png"/>
</Relationships>
</file>

<file path=xl/drawings/_rels/drawing14.xml.rels><?xml version="1.0" encoding="UTF-8"?>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9.png"/>
</Relationships>
</file>

<file path=xl/drawings/_rels/drawing15.xml.rels><?xml version="1.0" encoding="UTF-8"?>
<Relationships xmlns="http://schemas.openxmlformats.org/package/2006/relationships"><Relationship Id="rId1" Type="http://schemas.openxmlformats.org/officeDocument/2006/relationships/image" Target="../media/image20.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688320</xdr:colOff>
      <xdr:row>55</xdr:row>
      <xdr:rowOff>27720</xdr:rowOff>
    </xdr:from>
    <xdr:to>
      <xdr:col>19</xdr:col>
      <xdr:colOff>99720</xdr:colOff>
      <xdr:row>132</xdr:row>
      <xdr:rowOff>34560</xdr:rowOff>
    </xdr:to>
    <xdr:pic>
      <xdr:nvPicPr>
        <xdr:cNvPr id="0" name="Image 1" descr=""/>
        <xdr:cNvPicPr/>
      </xdr:nvPicPr>
      <xdr:blipFill>
        <a:blip r:embed="rId1"/>
        <a:stretch/>
      </xdr:blipFill>
      <xdr:spPr>
        <a:xfrm>
          <a:off x="10141560" y="11964960"/>
          <a:ext cx="8851680" cy="1320840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1056960</xdr:colOff>
      <xdr:row>14</xdr:row>
      <xdr:rowOff>151560</xdr:rowOff>
    </xdr:from>
    <xdr:to>
      <xdr:col>19</xdr:col>
      <xdr:colOff>709560</xdr:colOff>
      <xdr:row>22</xdr:row>
      <xdr:rowOff>63720</xdr:rowOff>
    </xdr:to>
    <xdr:pic>
      <xdr:nvPicPr>
        <xdr:cNvPr id="1" name="Image 1" descr=""/>
        <xdr:cNvPicPr/>
      </xdr:nvPicPr>
      <xdr:blipFill>
        <a:blip r:embed="rId1"/>
        <a:stretch/>
      </xdr:blipFill>
      <xdr:spPr>
        <a:xfrm>
          <a:off x="10968480" y="5504400"/>
          <a:ext cx="9331920" cy="192888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838800</xdr:colOff>
      <xdr:row>140</xdr:row>
      <xdr:rowOff>27720</xdr:rowOff>
    </xdr:from>
    <xdr:to>
      <xdr:col>25</xdr:col>
      <xdr:colOff>3960</xdr:colOff>
      <xdr:row>140</xdr:row>
      <xdr:rowOff>196560</xdr:rowOff>
    </xdr:to>
    <xdr:sp>
      <xdr:nvSpPr>
        <xdr:cNvPr id="2" name="CustomShape 1"/>
        <xdr:cNvSpPr/>
      </xdr:nvSpPr>
      <xdr:spPr>
        <a:xfrm>
          <a:off x="10476000" y="43083000"/>
          <a:ext cx="13159800" cy="168840"/>
        </a:xfrm>
        <a:prstGeom prst="rect">
          <a:avLst/>
        </a:prstGeom>
        <a:blipFill rotWithShape="0">
          <a:blip r:embed="rId1"/>
          <a:stretch>
            <a:fillRect/>
          </a:stretch>
        </a:blipFill>
        <a:ln>
          <a:noFill/>
        </a:ln>
      </xdr:spPr>
      <xdr:style>
        <a:lnRef idx="0"/>
        <a:fillRef idx="0"/>
        <a:effectRef idx="0"/>
        <a:fontRef idx="minor"/>
      </xdr:style>
      <xdr:txBody>
        <a:bodyPr lIns="0" rIns="0" tIns="0" bIns="0" anchor="ctr" anchorCtr="1">
          <a:spAutoFit/>
        </a:bodyPr>
        <a:p>
          <a:pPr algn="ctr">
            <a:lnSpc>
              <a:spcPct val="100000"/>
            </a:lnSpc>
          </a:pPr>
          <a:r>
            <a:rPr b="0" lang="fr-FR" sz="1200" spc="-1" strike="noStrike">
              <a:latin typeface="Times New Roman"/>
            </a:rPr>
            <a:t>142177</a:t>
          </a:r>
          <a:endParaRPr b="0" lang="fr-FR" sz="1200" spc="-1" strike="noStrike">
            <a:latin typeface="Times New Roman"/>
          </a:endParaRPr>
        </a:p>
      </xdr:txBody>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1175040</xdr:colOff>
      <xdr:row>182</xdr:row>
      <xdr:rowOff>229320</xdr:rowOff>
    </xdr:from>
    <xdr:to>
      <xdr:col>15</xdr:col>
      <xdr:colOff>515520</xdr:colOff>
      <xdr:row>195</xdr:row>
      <xdr:rowOff>78840</xdr:rowOff>
    </xdr:to>
    <xdr:pic>
      <xdr:nvPicPr>
        <xdr:cNvPr id="3" name="Image 1" descr=""/>
        <xdr:cNvPicPr/>
      </xdr:nvPicPr>
      <xdr:blipFill>
        <a:blip r:embed="rId1"/>
        <a:stretch/>
      </xdr:blipFill>
      <xdr:spPr>
        <a:xfrm>
          <a:off x="10922040" y="47914560"/>
          <a:ext cx="6644160" cy="3159720"/>
        </a:xfrm>
        <a:prstGeom prst="rect">
          <a:avLst/>
        </a:prstGeom>
        <a:ln>
          <a:noFill/>
        </a:ln>
      </xdr:spPr>
    </xdr:pic>
    <xdr:clientData/>
  </xdr:twoCellAnchor>
  <xdr:twoCellAnchor editAs="absolute">
    <xdr:from>
      <xdr:col>15</xdr:col>
      <xdr:colOff>799560</xdr:colOff>
      <xdr:row>182</xdr:row>
      <xdr:rowOff>102960</xdr:rowOff>
    </xdr:from>
    <xdr:to>
      <xdr:col>27</xdr:col>
      <xdr:colOff>464040</xdr:colOff>
      <xdr:row>185</xdr:row>
      <xdr:rowOff>5400</xdr:rowOff>
    </xdr:to>
    <xdr:pic>
      <xdr:nvPicPr>
        <xdr:cNvPr id="4" name="Image 2" descr=""/>
        <xdr:cNvPicPr/>
      </xdr:nvPicPr>
      <xdr:blipFill>
        <a:blip r:embed="rId2"/>
        <a:stretch/>
      </xdr:blipFill>
      <xdr:spPr>
        <a:xfrm>
          <a:off x="17850240" y="47788200"/>
          <a:ext cx="8856360" cy="65880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5</xdr:col>
      <xdr:colOff>1028520</xdr:colOff>
      <xdr:row>792</xdr:row>
      <xdr:rowOff>266760</xdr:rowOff>
    </xdr:from>
    <xdr:to>
      <xdr:col>39</xdr:col>
      <xdr:colOff>17280</xdr:colOff>
      <xdr:row>801</xdr:row>
      <xdr:rowOff>265320</xdr:rowOff>
    </xdr:to>
    <xdr:graphicFrame>
      <xdr:nvGraphicFramePr>
        <xdr:cNvPr id="5" name=""/>
        <xdr:cNvGraphicFramePr/>
      </xdr:nvGraphicFramePr>
      <xdr:xfrm>
        <a:off x="6095160" y="219589920"/>
        <a:ext cx="29966400" cy="32389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10</xdr:col>
      <xdr:colOff>202320</xdr:colOff>
      <xdr:row>21</xdr:row>
      <xdr:rowOff>210600</xdr:rowOff>
    </xdr:from>
    <xdr:to>
      <xdr:col>16</xdr:col>
      <xdr:colOff>946080</xdr:colOff>
      <xdr:row>28</xdr:row>
      <xdr:rowOff>238320</xdr:rowOff>
    </xdr:to>
    <xdr:pic>
      <xdr:nvPicPr>
        <xdr:cNvPr id="6" name="Image 5" descr=""/>
        <xdr:cNvPicPr/>
      </xdr:nvPicPr>
      <xdr:blipFill>
        <a:blip r:embed="rId1"/>
        <a:stretch/>
      </xdr:blipFill>
      <xdr:spPr>
        <a:xfrm>
          <a:off x="11930040" y="7212600"/>
          <a:ext cx="6518880" cy="1792440"/>
        </a:xfrm>
        <a:prstGeom prst="rect">
          <a:avLst/>
        </a:prstGeom>
        <a:ln>
          <a:noFill/>
        </a:ln>
      </xdr:spPr>
    </xdr:pic>
    <xdr:clientData/>
  </xdr:twoCellAnchor>
  <xdr:twoCellAnchor editAs="absolute">
    <xdr:from>
      <xdr:col>14</xdr:col>
      <xdr:colOff>120600</xdr:colOff>
      <xdr:row>10</xdr:row>
      <xdr:rowOff>109080</xdr:rowOff>
    </xdr:from>
    <xdr:to>
      <xdr:col>19</xdr:col>
      <xdr:colOff>500400</xdr:colOff>
      <xdr:row>12</xdr:row>
      <xdr:rowOff>69480</xdr:rowOff>
    </xdr:to>
    <xdr:pic>
      <xdr:nvPicPr>
        <xdr:cNvPr id="7" name="Image 4" descr=""/>
        <xdr:cNvPicPr/>
      </xdr:nvPicPr>
      <xdr:blipFill>
        <a:blip r:embed="rId2"/>
        <a:stretch/>
      </xdr:blipFill>
      <xdr:spPr>
        <a:xfrm>
          <a:off x="16526880" y="4338000"/>
          <a:ext cx="3639240" cy="464760"/>
        </a:xfrm>
        <a:prstGeom prst="rect">
          <a:avLst/>
        </a:prstGeom>
        <a:ln>
          <a:noFill/>
        </a:ln>
      </xdr:spPr>
    </xdr:pic>
    <xdr:clientData/>
  </xdr:twoCellAnchor>
  <xdr:twoCellAnchor editAs="absolute">
    <xdr:from>
      <xdr:col>14</xdr:col>
      <xdr:colOff>165240</xdr:colOff>
      <xdr:row>12</xdr:row>
      <xdr:rowOff>192600</xdr:rowOff>
    </xdr:from>
    <xdr:to>
      <xdr:col>19</xdr:col>
      <xdr:colOff>765360</xdr:colOff>
      <xdr:row>20</xdr:row>
      <xdr:rowOff>107640</xdr:rowOff>
    </xdr:to>
    <xdr:pic>
      <xdr:nvPicPr>
        <xdr:cNvPr id="8" name="Image 6" descr=""/>
        <xdr:cNvPicPr/>
      </xdr:nvPicPr>
      <xdr:blipFill>
        <a:blip r:embed="rId3"/>
        <a:stretch/>
      </xdr:blipFill>
      <xdr:spPr>
        <a:xfrm>
          <a:off x="16571520" y="4925880"/>
          <a:ext cx="3859560" cy="1931760"/>
        </a:xfrm>
        <a:prstGeom prst="rect">
          <a:avLst/>
        </a:prstGeom>
        <a:ln>
          <a:noFill/>
        </a:ln>
      </xdr:spPr>
    </xdr:pic>
    <xdr:clientData/>
  </xdr:twoCellAnchor>
  <xdr:twoCellAnchor editAs="absolute">
    <xdr:from>
      <xdr:col>10</xdr:col>
      <xdr:colOff>310320</xdr:colOff>
      <xdr:row>32</xdr:row>
      <xdr:rowOff>109080</xdr:rowOff>
    </xdr:from>
    <xdr:to>
      <xdr:col>16</xdr:col>
      <xdr:colOff>1040040</xdr:colOff>
      <xdr:row>37</xdr:row>
      <xdr:rowOff>215280</xdr:rowOff>
    </xdr:to>
    <xdr:pic>
      <xdr:nvPicPr>
        <xdr:cNvPr id="9" name="Image 7" descr=""/>
        <xdr:cNvPicPr/>
      </xdr:nvPicPr>
      <xdr:blipFill>
        <a:blip r:embed="rId4"/>
        <a:stretch/>
      </xdr:blipFill>
      <xdr:spPr>
        <a:xfrm>
          <a:off x="12038040" y="9884160"/>
          <a:ext cx="6504840" cy="136656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absolute">
    <xdr:from>
      <xdr:col>10</xdr:col>
      <xdr:colOff>197640</xdr:colOff>
      <xdr:row>144</xdr:row>
      <xdr:rowOff>86400</xdr:rowOff>
    </xdr:from>
    <xdr:to>
      <xdr:col>14</xdr:col>
      <xdr:colOff>229680</xdr:colOff>
      <xdr:row>159</xdr:row>
      <xdr:rowOff>28440</xdr:rowOff>
    </xdr:to>
    <xdr:pic>
      <xdr:nvPicPr>
        <xdr:cNvPr id="10" name="Image 1" descr=""/>
        <xdr:cNvPicPr/>
      </xdr:nvPicPr>
      <xdr:blipFill>
        <a:blip r:embed="rId1"/>
        <a:stretch/>
      </xdr:blipFill>
      <xdr:spPr>
        <a:xfrm>
          <a:off x="11701080" y="39359160"/>
          <a:ext cx="4634640" cy="372348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absolute">
    <xdr:from>
      <xdr:col>8</xdr:col>
      <xdr:colOff>1136160</xdr:colOff>
      <xdr:row>461</xdr:row>
      <xdr:rowOff>105120</xdr:rowOff>
    </xdr:from>
    <xdr:to>
      <xdr:col>21</xdr:col>
      <xdr:colOff>597600</xdr:colOff>
      <xdr:row>463</xdr:row>
      <xdr:rowOff>8640</xdr:rowOff>
    </xdr:to>
    <xdr:pic>
      <xdr:nvPicPr>
        <xdr:cNvPr id="11" name="Image 13" descr=""/>
        <xdr:cNvPicPr/>
      </xdr:nvPicPr>
      <xdr:blipFill>
        <a:blip r:embed="rId1"/>
        <a:stretch/>
      </xdr:blipFill>
      <xdr:spPr>
        <a:xfrm>
          <a:off x="10025280" y="111146040"/>
          <a:ext cx="12269520" cy="40788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absolute">
    <xdr:from>
      <xdr:col>10</xdr:col>
      <xdr:colOff>1229760</xdr:colOff>
      <xdr:row>191</xdr:row>
      <xdr:rowOff>185760</xdr:rowOff>
    </xdr:from>
    <xdr:to>
      <xdr:col>22</xdr:col>
      <xdr:colOff>72360</xdr:colOff>
      <xdr:row>205</xdr:row>
      <xdr:rowOff>4680</xdr:rowOff>
    </xdr:to>
    <xdr:pic>
      <xdr:nvPicPr>
        <xdr:cNvPr id="12" name="Image 1" descr=""/>
        <xdr:cNvPicPr/>
      </xdr:nvPicPr>
      <xdr:blipFill>
        <a:blip r:embed="rId1"/>
        <a:stretch/>
      </xdr:blipFill>
      <xdr:spPr>
        <a:xfrm>
          <a:off x="12610800" y="52659360"/>
          <a:ext cx="9396360" cy="334836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10</xdr:col>
      <xdr:colOff>390600</xdr:colOff>
      <xdr:row>15</xdr:row>
      <xdr:rowOff>240480</xdr:rowOff>
    </xdr:from>
    <xdr:to>
      <xdr:col>26</xdr:col>
      <xdr:colOff>190440</xdr:colOff>
      <xdr:row>37</xdr:row>
      <xdr:rowOff>82440</xdr:rowOff>
    </xdr:to>
    <xdr:graphicFrame>
      <xdr:nvGraphicFramePr>
        <xdr:cNvPr id="13" name=""/>
        <xdr:cNvGraphicFramePr/>
      </xdr:nvGraphicFramePr>
      <xdr:xfrm>
        <a:off x="12043440" y="5895000"/>
        <a:ext cx="13780440" cy="55695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absolute">
    <xdr:from>
      <xdr:col>8</xdr:col>
      <xdr:colOff>316800</xdr:colOff>
      <xdr:row>128</xdr:row>
      <xdr:rowOff>254880</xdr:rowOff>
    </xdr:from>
    <xdr:to>
      <xdr:col>22</xdr:col>
      <xdr:colOff>135720</xdr:colOff>
      <xdr:row>129</xdr:row>
      <xdr:rowOff>106200</xdr:rowOff>
    </xdr:to>
    <xdr:sp>
      <xdr:nvSpPr>
        <xdr:cNvPr id="14" name="CustomShape 1"/>
        <xdr:cNvSpPr/>
      </xdr:nvSpPr>
      <xdr:spPr>
        <a:xfrm>
          <a:off x="8725320" y="37991520"/>
          <a:ext cx="13439520" cy="168840"/>
        </a:xfrm>
        <a:prstGeom prst="rect">
          <a:avLst/>
        </a:prstGeom>
        <a:blipFill rotWithShape="0">
          <a:blip r:embed="rId1"/>
          <a:stretch>
            <a:fillRect/>
          </a:stretch>
        </a:blipFill>
        <a:ln>
          <a:noFill/>
        </a:ln>
      </xdr:spPr>
      <xdr:style>
        <a:lnRef idx="0"/>
        <a:fillRef idx="0"/>
        <a:effectRef idx="0"/>
        <a:fontRef idx="minor"/>
      </xdr:style>
      <xdr:txBody>
        <a:bodyPr lIns="0" rIns="0" tIns="0" bIns="0" anchor="ctr" anchorCtr="1">
          <a:spAutoFit/>
        </a:bodyPr>
        <a:p>
          <a:pPr algn="ctr">
            <a:lnSpc>
              <a:spcPct val="100000"/>
            </a:lnSpc>
          </a:pPr>
          <a:r>
            <a:rPr b="0" lang="fr-FR" sz="1200" spc="-1" strike="noStrike">
              <a:latin typeface="Times New Roman"/>
            </a:rPr>
            <a:t>7266072</a:t>
          </a:r>
          <a:endParaRPr b="0" lang="fr-FR" sz="1200" spc="-1" strike="noStrike">
            <a:latin typeface="Times New Roman"/>
          </a:endParaRPr>
        </a:p>
      </xdr:txBody>
    </xdr:sp>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361440</xdr:colOff>
      <xdr:row>88</xdr:row>
      <xdr:rowOff>203040</xdr:rowOff>
    </xdr:from>
    <xdr:to>
      <xdr:col>23</xdr:col>
      <xdr:colOff>562680</xdr:colOff>
      <xdr:row>114</xdr:row>
      <xdr:rowOff>196560</xdr:rowOff>
    </xdr:to>
    <xdr:pic>
      <xdr:nvPicPr>
        <xdr:cNvPr id="15" name="Image 14" descr=""/>
        <xdr:cNvPicPr/>
      </xdr:nvPicPr>
      <xdr:blipFill>
        <a:blip r:embed="rId1"/>
        <a:stretch/>
      </xdr:blipFill>
      <xdr:spPr>
        <a:xfrm>
          <a:off x="10272960" y="24326640"/>
          <a:ext cx="13373640" cy="6548040"/>
        </a:xfrm>
        <a:prstGeom prst="rect">
          <a:avLst/>
        </a:prstGeom>
        <a:ln>
          <a:noFill/>
        </a:ln>
      </xdr:spPr>
    </xdr:pic>
    <xdr:clientData/>
  </xdr:twoCellAnchor>
  <xdr:twoCellAnchor editAs="absolute">
    <xdr:from>
      <xdr:col>13</xdr:col>
      <xdr:colOff>510120</xdr:colOff>
      <xdr:row>116</xdr:row>
      <xdr:rowOff>81000</xdr:rowOff>
    </xdr:from>
    <xdr:to>
      <xdr:col>25</xdr:col>
      <xdr:colOff>13680</xdr:colOff>
      <xdr:row>188</xdr:row>
      <xdr:rowOff>124560</xdr:rowOff>
    </xdr:to>
    <xdr:pic>
      <xdr:nvPicPr>
        <xdr:cNvPr id="16" name="Image 15" descr=""/>
        <xdr:cNvPicPr/>
      </xdr:nvPicPr>
      <xdr:blipFill>
        <a:blip r:embed="rId2"/>
        <a:stretch/>
      </xdr:blipFill>
      <xdr:spPr>
        <a:xfrm>
          <a:off x="16321320" y="31263120"/>
          <a:ext cx="8402040" cy="1825164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1409040</xdr:colOff>
      <xdr:row>21</xdr:row>
      <xdr:rowOff>257760</xdr:rowOff>
    </xdr:from>
    <xdr:to>
      <xdr:col>16</xdr:col>
      <xdr:colOff>1059120</xdr:colOff>
      <xdr:row>35</xdr:row>
      <xdr:rowOff>65520</xdr:rowOff>
    </xdr:to>
    <xdr:pic>
      <xdr:nvPicPr>
        <xdr:cNvPr id="17" name="Image 10" descr=""/>
        <xdr:cNvPicPr/>
      </xdr:nvPicPr>
      <xdr:blipFill>
        <a:blip r:embed="rId1"/>
        <a:stretch/>
      </xdr:blipFill>
      <xdr:spPr>
        <a:xfrm>
          <a:off x="11320560" y="8220960"/>
          <a:ext cx="7166520" cy="3710520"/>
        </a:xfrm>
        <a:prstGeom prst="rect">
          <a:avLst/>
        </a:prstGeom>
        <a:ln>
          <a:noFill/>
        </a:ln>
      </xdr:spPr>
    </xdr:pic>
    <xdr:clientData/>
  </xdr:twoCellAnchor>
  <xdr:twoCellAnchor editAs="absolute">
    <xdr:from>
      <xdr:col>8</xdr:col>
      <xdr:colOff>1306440</xdr:colOff>
      <xdr:row>10</xdr:row>
      <xdr:rowOff>11520</xdr:rowOff>
    </xdr:from>
    <xdr:to>
      <xdr:col>21</xdr:col>
      <xdr:colOff>747720</xdr:colOff>
      <xdr:row>19</xdr:row>
      <xdr:rowOff>174240</xdr:rowOff>
    </xdr:to>
    <xdr:pic>
      <xdr:nvPicPr>
        <xdr:cNvPr id="18" name="Image 11" descr=""/>
        <xdr:cNvPicPr/>
      </xdr:nvPicPr>
      <xdr:blipFill>
        <a:blip r:embed="rId2"/>
        <a:stretch/>
      </xdr:blipFill>
      <xdr:spPr>
        <a:xfrm>
          <a:off x="9714960" y="4908600"/>
          <a:ext cx="12249360" cy="267156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absolute">
    <xdr:from>
      <xdr:col>11</xdr:col>
      <xdr:colOff>89280</xdr:colOff>
      <xdr:row>39</xdr:row>
      <xdr:rowOff>209160</xdr:rowOff>
    </xdr:from>
    <xdr:to>
      <xdr:col>31</xdr:col>
      <xdr:colOff>127080</xdr:colOff>
      <xdr:row>40</xdr:row>
      <xdr:rowOff>128520</xdr:rowOff>
    </xdr:to>
    <xdr:sp>
      <xdr:nvSpPr>
        <xdr:cNvPr id="19" name="CustomShape 1"/>
        <xdr:cNvSpPr/>
      </xdr:nvSpPr>
      <xdr:spPr>
        <a:xfrm>
          <a:off x="13114080" y="11672640"/>
          <a:ext cx="16357320" cy="168840"/>
        </a:xfrm>
        <a:prstGeom prst="rect">
          <a:avLst/>
        </a:prstGeom>
        <a:blipFill rotWithShape="0">
          <a:blip r:embed="rId1"/>
          <a:stretch>
            <a:fillRect/>
          </a:stretch>
        </a:blipFill>
        <a:ln>
          <a:noFill/>
        </a:ln>
      </xdr:spPr>
      <xdr:style>
        <a:lnRef idx="0"/>
        <a:fillRef idx="0"/>
        <a:effectRef idx="0"/>
        <a:fontRef idx="minor"/>
      </xdr:style>
      <xdr:txBody>
        <a:bodyPr lIns="0" rIns="0" tIns="0" bIns="0" anchor="ctr" anchorCtr="1">
          <a:spAutoFit/>
        </a:bodyPr>
        <a:p>
          <a:pPr algn="ctr">
            <a:lnSpc>
              <a:spcPct val="100000"/>
            </a:lnSpc>
          </a:pPr>
          <a:r>
            <a:rPr b="0" lang="fr-FR" sz="1200" spc="-1" strike="noStrike">
              <a:latin typeface="Times New Roman"/>
            </a:rPr>
            <a:t>284</a:t>
          </a:r>
          <a:endParaRPr b="0" lang="fr-FR" sz="1200" spc="-1" strike="noStrike">
            <a:latin typeface="Times New Roman"/>
          </a:endParaRPr>
        </a:p>
      </xdr:txBody>
    </xdr:sp>
    <xdr:clientData/>
  </xdr:twoCellAnchor>
  <xdr:twoCellAnchor editAs="absolute">
    <xdr:from>
      <xdr:col>8</xdr:col>
      <xdr:colOff>1435320</xdr:colOff>
      <xdr:row>34</xdr:row>
      <xdr:rowOff>181800</xdr:rowOff>
    </xdr:from>
    <xdr:to>
      <xdr:col>10</xdr:col>
      <xdr:colOff>885240</xdr:colOff>
      <xdr:row>39</xdr:row>
      <xdr:rowOff>160200</xdr:rowOff>
    </xdr:to>
    <xdr:pic>
      <xdr:nvPicPr>
        <xdr:cNvPr id="20" name="Image 9" descr=""/>
        <xdr:cNvPicPr/>
      </xdr:nvPicPr>
      <xdr:blipFill>
        <a:blip r:embed="rId2"/>
        <a:stretch/>
      </xdr:blipFill>
      <xdr:spPr>
        <a:xfrm>
          <a:off x="9843840" y="10397520"/>
          <a:ext cx="2694240" cy="1226160"/>
        </a:xfrm>
        <a:prstGeom prst="rect">
          <a:avLst/>
        </a:prstGeom>
        <a:ln>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408240</xdr:colOff>
      <xdr:row>15</xdr:row>
      <xdr:rowOff>92160</xdr:rowOff>
    </xdr:from>
    <xdr:to>
      <xdr:col>15</xdr:col>
      <xdr:colOff>717840</xdr:colOff>
      <xdr:row>23</xdr:row>
      <xdr:rowOff>21240</xdr:rowOff>
    </xdr:to>
    <xdr:pic>
      <xdr:nvPicPr>
        <xdr:cNvPr id="21" name="Image 1" descr=""/>
        <xdr:cNvPicPr/>
      </xdr:nvPicPr>
      <xdr:blipFill>
        <a:blip r:embed="rId1"/>
        <a:stretch/>
      </xdr:blipFill>
      <xdr:spPr>
        <a:xfrm>
          <a:off x="10319760" y="5583600"/>
          <a:ext cx="7013160" cy="236232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9.xml.rels><?xml version="1.0" encoding="UTF-8"?>
<Relationships xmlns="http://schemas.openxmlformats.org/package/2006/relationships"><Relationship Id="rId1" Type="http://schemas.openxmlformats.org/officeDocument/2006/relationships/hyperlink" Target="../../../../../../../../home/maxime.roul/01_Producteurs/Producteurs/HYDRO/Documents producteurs/CT_HYDRO_157-Quinet-Remy-LesFouys/" TargetMode="External"/>
</Relationships>
</file>

<file path=xl/worksheets/_rels/sheet10.xml.rels><?xml version="1.0" encoding="UTF-8"?>
<Relationships xmlns="http://schemas.openxmlformats.org/package/2006/relationships"><Relationship Id="rId1" Type="http://schemas.openxmlformats.org/officeDocument/2006/relationships/drawing" Target="../drawings/drawing1.xml"/>
</Relationships>
</file>

<file path=xl/worksheets/_rels/sheet13.xml.rels><?xml version="1.0" encoding="UTF-8"?>
<Relationships xmlns="http://schemas.openxmlformats.org/package/2006/relationships"><Relationship Id="rId1" Type="http://schemas.openxmlformats.org/officeDocument/2006/relationships/drawing" Target="../drawings/drawing2.xml"/>
</Relationships>
</file>

<file path=xl/worksheets/_rels/sheet14.xml.rels><?xml version="1.0" encoding="UTF-8"?>
<Relationships xmlns="http://schemas.openxmlformats.org/package/2006/relationships"><Relationship Id="rId1" Type="http://schemas.openxmlformats.org/officeDocument/2006/relationships/drawing" Target="../drawings/drawing3.xml"/>
</Relationships>
</file>

<file path=xl/worksheets/_rels/sheet18.xml.rels><?xml version="1.0" encoding="UTF-8"?>
<Relationships xmlns="http://schemas.openxmlformats.org/package/2006/relationships"><Relationship Id="rId1" Type="http://schemas.openxmlformats.org/officeDocument/2006/relationships/drawing" Target="../drawings/drawing4.xml"/>
</Relationships>
</file>

<file path=xl/worksheets/_rels/sheet19.xml.rels><?xml version="1.0" encoding="UTF-8"?>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5.xml"/><Relationship Id="rId3" Type="http://schemas.openxmlformats.org/officeDocument/2006/relationships/vmlDrawing" Target="../drawings/vmlDrawing5.vml"/>
</Relationships>
</file>

<file path=xl/worksheets/_rels/sheet20.xml.rels><?xml version="1.0" encoding="UTF-8"?>
<Relationships xmlns="http://schemas.openxmlformats.org/package/2006/relationships"><Relationship Id="rId1" Type="http://schemas.openxmlformats.org/officeDocument/2006/relationships/comments" Target="../comments20.xml"/><Relationship Id="rId2" Type="http://schemas.openxmlformats.org/officeDocument/2006/relationships/vmlDrawing" Target="../drawings/vmlDrawing6.vml"/>
</Relationships>
</file>

<file path=xl/worksheets/_rels/sheet22.xml.rels><?xml version="1.0" encoding="UTF-8"?>
<Relationships xmlns="http://schemas.openxmlformats.org/package/2006/relationships"><Relationship Id="rId1" Type="http://schemas.openxmlformats.org/officeDocument/2006/relationships/hyperlink" Target="mailto:ph.guyot@adest.fr" TargetMode="External"/>
</Relationships>
</file>

<file path=xl/worksheets/_rels/sheet23.xml.rels><?xml version="1.0" encoding="UTF-8"?>
<Relationships xmlns="http://schemas.openxmlformats.org/package/2006/relationships"><Relationship Id="rId1" Type="http://schemas.openxmlformats.org/officeDocument/2006/relationships/comments" Target="../comments23.xml"/><Relationship Id="rId2" Type="http://schemas.openxmlformats.org/officeDocument/2006/relationships/hyperlink" Target="https://kanboard.enercoop.org/project/70/task/3797" TargetMode="External"/><Relationship Id="rId3" Type="http://schemas.openxmlformats.org/officeDocument/2006/relationships/vmlDrawing" Target="../drawings/vmlDrawing7.vml"/>
</Relationships>
</file>

<file path=xl/worksheets/_rels/sheet26.xml.rels><?xml version="1.0" encoding="UTF-8"?>
<Relationships xmlns="http://schemas.openxmlformats.org/package/2006/relationships"><Relationship Id="rId1" Type="http://schemas.openxmlformats.org/officeDocument/2006/relationships/comments" Target="../comments26.xml"/><Relationship Id="rId2" Type="http://schemas.openxmlformats.org/officeDocument/2006/relationships/drawing" Target="../drawings/drawing6.xml"/><Relationship Id="rId3" Type="http://schemas.openxmlformats.org/officeDocument/2006/relationships/vmlDrawing" Target="../drawings/vmlDrawing8.vml"/>
</Relationships>
</file>

<file path=xl/worksheets/_rels/sheet29.xml.rels><?xml version="1.0" encoding="UTF-8"?>
<Relationships xmlns="http://schemas.openxmlformats.org/package/2006/relationships"><Relationship Id="rId1" Type="http://schemas.openxmlformats.org/officeDocument/2006/relationships/hyperlink" Target="mailto:benevent-charbillac@wanadoo.fr" TargetMode="External"/>
</Relationships>
</file>

<file path=xl/worksheets/_rels/sheet30.xml.rels><?xml version="1.0" encoding="UTF-8"?>
<Relationships xmlns="http://schemas.openxmlformats.org/package/2006/relationships"><Relationship Id="rId1" Type="http://schemas.openxmlformats.org/officeDocument/2006/relationships/hyperlink" Target="../../../../../../../../home/maxime.roul/01_Producteurs/Producteurs/HYDRO/Documents producteurs/CT_HYDRO_172-SEHRY-Nevache/" TargetMode="External"/>
</Relationships>
</file>

<file path=xl/worksheets/_rels/sheet32.xml.rels><?xml version="1.0" encoding="UTF-8"?>
<Relationships xmlns="http://schemas.openxmlformats.org/package/2006/relationships"><Relationship Id="rId1" Type="http://schemas.openxmlformats.org/officeDocument/2006/relationships/drawing" Target="../drawings/drawing7.xml"/>
</Relationships>
</file>

<file path=xl/worksheets/_rels/sheet36.xml.rels><?xml version="1.0" encoding="UTF-8"?>
<Relationships xmlns="http://schemas.openxmlformats.org/package/2006/relationships"><Relationship Id="rId1" Type="http://schemas.openxmlformats.org/officeDocument/2006/relationships/hyperlink" Target="../../../../../../../../home/maxime.roul/01_Producteurs/Producteurs/HYDRO/Documents producteurs/CT_HYDRO_174-SEHRY-Pierre Blanche Saint Sauveur/" TargetMode="External"/>
</Relationships>
</file>

<file path=xl/worksheets/_rels/sheet38.xml.rels><?xml version="1.0" encoding="UTF-8"?>
<Relationships xmlns="http://schemas.openxmlformats.org/package/2006/relationships"><Relationship Id="rId1" Type="http://schemas.openxmlformats.org/officeDocument/2006/relationships/hyperlink" Target="../../../../../../../../home/maxime.roul/01_Producteurs/Producteurs/HYDRO/Documents producteurs/CT_HYDRO_023 - Pont de l&apos;Arn/passage &#224; l&apos;OA partielle - novembre 2014/Implantation groupe Pont de l Arn La Sarnari&#233;.pdf" TargetMode="External"/>
</Relationships>
</file>

<file path=xl/worksheets/_rels/sheet42.xml.rels><?xml version="1.0" encoding="UTF-8"?>
<Relationships xmlns="http://schemas.openxmlformats.org/package/2006/relationships"><Relationship Id="rId1" Type="http://schemas.openxmlformats.org/officeDocument/2006/relationships/comments" Target="../comments42.xml"/><Relationship Id="rId2" Type="http://schemas.openxmlformats.org/officeDocument/2006/relationships/drawing" Target="../drawings/drawing8.xml"/><Relationship Id="rId3" Type="http://schemas.openxmlformats.org/officeDocument/2006/relationships/vmlDrawing" Target="../drawings/vmlDrawing9.vml"/>
</Relationships>
</file>

<file path=xl/worksheets/_rels/sheet43.xml.rels><?xml version="1.0" encoding="UTF-8"?>
<Relationships xmlns="http://schemas.openxmlformats.org/package/2006/relationships"><Relationship Id="rId1" Type="http://schemas.openxmlformats.org/officeDocument/2006/relationships/hyperlink" Target="mailto:christian.peyres@sfr.fr" TargetMode="External"/>
</Relationships>
</file>

<file path=xl/worksheets/_rels/sheet49.xml.rels><?xml version="1.0" encoding="UTF-8"?>
<Relationships xmlns="http://schemas.openxmlformats.org/package/2006/relationships"><Relationship Id="rId1" Type="http://schemas.openxmlformats.org/officeDocument/2006/relationships/drawing" Target="../drawings/drawing9.xml"/>
</Relationships>
</file>

<file path=xl/worksheets/_rels/sheet50.xml.rels><?xml version="1.0" encoding="UTF-8"?>
<Relationships xmlns="http://schemas.openxmlformats.org/package/2006/relationships"><Relationship Id="rId1" Type="http://schemas.openxmlformats.org/officeDocument/2006/relationships/drawing" Target="../drawings/drawing10.xml"/>
</Relationships>
</file>

<file path=xl/worksheets/_rels/sheet51.xml.rels><?xml version="1.0" encoding="UTF-8"?>
<Relationships xmlns="http://schemas.openxmlformats.org/package/2006/relationships"><Relationship Id="rId1" Type="http://schemas.openxmlformats.org/officeDocument/2006/relationships/hyperlink" Target="../../../../../../../../home/maxime.roul/01_Producteurs/Producteurs/HYDRO/Documents producteurs/CT_HYDRO_173-SEHRY-Aiguillon/" TargetMode="External"/>
</Relationships>
</file>

<file path=xl/worksheets/_rels/sheet60.xml.rels><?xml version="1.0" encoding="UTF-8"?>
<Relationships xmlns="http://schemas.openxmlformats.org/package/2006/relationships"><Relationship Id="rId1" Type="http://schemas.openxmlformats.org/officeDocument/2006/relationships/drawing" Target="../drawings/drawing11.xml"/>
</Relationships>
</file>

<file path=xl/worksheets/_rels/sheet63.xml.rels><?xml version="1.0" encoding="UTF-8"?>
<Relationships xmlns="http://schemas.openxmlformats.org/package/2006/relationships"><Relationship Id="rId1" Type="http://schemas.openxmlformats.org/officeDocument/2006/relationships/comments" Target="../comments63.xml"/><Relationship Id="rId2" Type="http://schemas.openxmlformats.org/officeDocument/2006/relationships/vmlDrawing" Target="../drawings/vmlDrawing10.vml"/>
</Relationships>
</file>

<file path=xl/worksheets/_rels/sheet64.xml.rels><?xml version="1.0" encoding="UTF-8"?>
<Relationships xmlns="http://schemas.openxmlformats.org/package/2006/relationships"><Relationship Id="rId1" Type="http://schemas.openxmlformats.org/officeDocument/2006/relationships/comments" Target="../comments64.xml"/><Relationship Id="rId2" Type="http://schemas.openxmlformats.org/officeDocument/2006/relationships/drawing" Target="../drawings/drawing12.xml"/><Relationship Id="rId3" Type="http://schemas.openxmlformats.org/officeDocument/2006/relationships/vmlDrawing" Target="../drawings/vmlDrawing11.vml"/>
</Relationships>
</file>

<file path=xl/worksheets/_rels/sheet69.xml.rels><?xml version="1.0" encoding="UTF-8"?>
<Relationships xmlns="http://schemas.openxmlformats.org/package/2006/relationships"><Relationship Id="rId1" Type="http://schemas.openxmlformats.org/officeDocument/2006/relationships/drawing" Target="../drawings/drawing13.xml"/>
</Relationships>
</file>

<file path=xl/worksheets/_rels/sheet70.xml.rels><?xml version="1.0" encoding="UTF-8"?>
<Relationships xmlns="http://schemas.openxmlformats.org/package/2006/relationships"><Relationship Id="rId1" Type="http://schemas.openxmlformats.org/officeDocument/2006/relationships/hyperlink" Target="../../../../../../../../home/maxime.roul/01_Producteurs/Producteurs/HYDRO/Documents producteurs/CT_HYDRO_164 - Vaulmier Calvet/" TargetMode="External"/>
</Relationships>
</file>

<file path=xl/worksheets/_rels/sheet71.xml.rels><?xml version="1.0" encoding="UTF-8"?>
<Relationships xmlns="http://schemas.openxmlformats.org/package/2006/relationships"><Relationship Id="rId1" Type="http://schemas.openxmlformats.org/officeDocument/2006/relationships/comments" Target="../comments71.xml"/><Relationship Id="rId2" Type="http://schemas.openxmlformats.org/officeDocument/2006/relationships/vmlDrawing" Target="../drawings/vmlDrawing12.vml"/>
</Relationships>
</file>

<file path=xl/worksheets/_rels/sheet72.xml.rels><?xml version="1.0" encoding="UTF-8"?>
<Relationships xmlns="http://schemas.openxmlformats.org/package/2006/relationships"><Relationship Id="rId1" Type="http://schemas.openxmlformats.org/officeDocument/2006/relationships/drawing" Target="../drawings/drawing14.xml"/>
</Relationships>
</file>

<file path=xl/worksheets/_rels/sheet75.xml.rels><?xml version="1.0" encoding="UTF-8"?>
<Relationships xmlns="http://schemas.openxmlformats.org/package/2006/relationships"><Relationship Id="rId1" Type="http://schemas.openxmlformats.org/officeDocument/2006/relationships/comments" Target="../comments75.xml"/><Relationship Id="rId2" Type="http://schemas.openxmlformats.org/officeDocument/2006/relationships/vmlDrawing" Target="../drawings/vmlDrawing13.vml"/>
</Relationships>
</file>

<file path=xl/worksheets/_rels/sheet76.xml.rels><?xml version="1.0" encoding="UTF-8"?>
<Relationships xmlns="http://schemas.openxmlformats.org/package/2006/relationships"><Relationship Id="rId1" Type="http://schemas.openxmlformats.org/officeDocument/2006/relationships/comments" Target="../comments76.xml"/><Relationship Id="rId2" Type="http://schemas.openxmlformats.org/officeDocument/2006/relationships/vmlDrawing" Target="../drawings/vmlDrawing14.vml"/>
</Relationships>
</file>

<file path=xl/worksheets/_rels/sheet79.xml.rels><?xml version="1.0" encoding="UTF-8"?>
<Relationships xmlns="http://schemas.openxmlformats.org/package/2006/relationships"><Relationship Id="rId1" Type="http://schemas.openxmlformats.org/officeDocument/2006/relationships/comments" Target="../comments79.xml"/><Relationship Id="rId2" Type="http://schemas.openxmlformats.org/officeDocument/2006/relationships/drawing" Target="../drawings/drawing15.xml"/><Relationship Id="rId3" Type="http://schemas.openxmlformats.org/officeDocument/2006/relationships/vmlDrawing" Target="../drawings/vmlDrawing15.vml"/>
</Relationships>
</file>

<file path=xl/worksheets/sheet1.xml><?xml version="1.0" encoding="utf-8"?>
<worksheet xmlns="http://schemas.openxmlformats.org/spreadsheetml/2006/main" xmlns:r="http://schemas.openxmlformats.org/officeDocument/2006/relationships">
  <sheetPr filterMode="false">
    <tabColor rgb="FF00FF66"/>
    <pageSetUpPr fitToPage="false"/>
  </sheetPr>
  <dimension ref="A1:V22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99" activePane="bottomRight" state="frozen"/>
      <selection pane="topLeft" activeCell="A1" activeCellId="0" sqref="A1"/>
      <selection pane="topRight" activeCell="B1" activeCellId="0" sqref="B1"/>
      <selection pane="bottomLeft" activeCell="A199" activeCellId="0" sqref="A199"/>
      <selection pane="bottomRight" activeCell="G6" activeCellId="0" sqref="G6"/>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22</v>
      </c>
      <c r="C4" s="5"/>
      <c r="D4" s="5"/>
      <c r="E4" s="14"/>
      <c r="F4" s="15"/>
      <c r="G4" s="15"/>
      <c r="H4" s="15"/>
      <c r="I4" s="16"/>
      <c r="J4" s="15"/>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c r="H6" s="20"/>
      <c r="I6" s="20"/>
      <c r="J6" s="20"/>
      <c r="K6" s="20"/>
      <c r="L6" s="20"/>
      <c r="M6" s="20"/>
      <c r="N6" s="20"/>
      <c r="P6" s="21"/>
      <c r="Q6" s="19" t="s">
        <v>27</v>
      </c>
      <c r="R6" s="9"/>
      <c r="S6" s="22"/>
      <c r="T6" s="5" t="s">
        <v>28</v>
      </c>
    </row>
    <row r="7" customFormat="false" ht="41.65" hidden="false" customHeight="true" outlineLevel="0" collapsed="false">
      <c r="A7" s="0"/>
      <c r="B7" s="0"/>
      <c r="C7" s="23"/>
      <c r="D7" s="23"/>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t="s">
        <v>34</v>
      </c>
      <c r="E9" s="1" t="s">
        <v>35</v>
      </c>
      <c r="F9" s="9" t="s">
        <v>36</v>
      </c>
      <c r="G9" s="9" t="s">
        <v>37</v>
      </c>
      <c r="H9" s="9" t="s">
        <v>38</v>
      </c>
      <c r="I9" s="9" t="s">
        <v>39</v>
      </c>
      <c r="J9" s="30" t="s">
        <v>40</v>
      </c>
    </row>
    <row r="10" customFormat="false" ht="24.95" hidden="false" customHeight="true" outlineLevel="0" collapsed="false">
      <c r="A10" s="0" t="n">
        <v>31</v>
      </c>
      <c r="B10" s="31" t="n">
        <v>37987</v>
      </c>
      <c r="C10" s="32"/>
      <c r="D10" s="29" t="s">
        <v>41</v>
      </c>
      <c r="E10" s="33" t="e">
        <f aca="false">IF(D10="totale",(C10/(A10*24))/F10,IF(D10="marché libre",(C10/(A10*24))/G10,"spécifier histo"))</f>
        <v>#DIV/0!</v>
      </c>
      <c r="F10" s="9"/>
      <c r="G10" s="9"/>
      <c r="H10" s="9"/>
      <c r="I10" s="9"/>
      <c r="J10" s="30"/>
    </row>
    <row r="11" customFormat="false" ht="24.95" hidden="false" customHeight="true" outlineLevel="0" collapsed="false">
      <c r="A11" s="0" t="n">
        <v>28</v>
      </c>
      <c r="B11" s="34" t="n">
        <v>38018</v>
      </c>
      <c r="C11" s="32"/>
      <c r="D11" s="29" t="s">
        <v>41</v>
      </c>
      <c r="E11" s="33" t="e">
        <f aca="false">IF(D11="totale",(C11/(A11*24))/F11,IF(D11="marché libre",(C11/(A11*24))/G11,"spécifier histo"))</f>
        <v>#DIV/0!</v>
      </c>
      <c r="F11" s="9"/>
      <c r="G11" s="9"/>
      <c r="H11" s="9"/>
      <c r="I11" s="9"/>
      <c r="J11" s="30"/>
    </row>
    <row r="12" customFormat="false" ht="24.95" hidden="false" customHeight="true" outlineLevel="0" collapsed="false">
      <c r="A12" s="0" t="n">
        <v>31</v>
      </c>
      <c r="B12" s="31" t="n">
        <v>38047</v>
      </c>
      <c r="C12" s="32"/>
      <c r="D12" s="29" t="s">
        <v>41</v>
      </c>
      <c r="E12" s="33" t="e">
        <f aca="false">IF(D12="totale",(C12/(A12*24))/F12,IF(D12="marché libre",(C12/(A12*24))/G12,"spécifier histo"))</f>
        <v>#DIV/0!</v>
      </c>
      <c r="F12" s="9"/>
      <c r="G12" s="9"/>
      <c r="H12" s="9"/>
      <c r="I12" s="9"/>
      <c r="J12" s="30"/>
    </row>
    <row r="13" customFormat="false" ht="24.95" hidden="false" customHeight="true" outlineLevel="0" collapsed="false">
      <c r="A13" s="0" t="n">
        <v>30</v>
      </c>
      <c r="B13" s="34" t="n">
        <v>38078</v>
      </c>
      <c r="C13" s="32"/>
      <c r="D13" s="29" t="s">
        <v>41</v>
      </c>
      <c r="E13" s="33" t="e">
        <f aca="false">IF(D13="totale",(C13/(A13*24))/F13,IF(D13="marché libre",(C13/(A13*24))/G13,"spécifier histo"))</f>
        <v>#DIV/0!</v>
      </c>
      <c r="F13" s="9"/>
      <c r="G13" s="9"/>
      <c r="H13" s="9"/>
      <c r="I13" s="9"/>
      <c r="J13" s="30"/>
    </row>
    <row r="14" customFormat="false" ht="24.95" hidden="false" customHeight="true" outlineLevel="0" collapsed="false">
      <c r="A14" s="0" t="n">
        <v>31</v>
      </c>
      <c r="B14" s="31" t="n">
        <v>38108</v>
      </c>
      <c r="C14" s="32"/>
      <c r="D14" s="29" t="s">
        <v>41</v>
      </c>
      <c r="E14" s="33" t="e">
        <f aca="false">IF(D14="totale",(C14/(A14*24))/F14,IF(D14="marché libre",(C14/(A14*24))/G14,"spécifier histo"))</f>
        <v>#DIV/0!</v>
      </c>
      <c r="F14" s="9"/>
      <c r="G14" s="9"/>
      <c r="H14" s="9"/>
      <c r="I14" s="9"/>
      <c r="J14" s="30"/>
    </row>
    <row r="15" customFormat="false" ht="24.95" hidden="false" customHeight="true" outlineLevel="0" collapsed="false">
      <c r="A15" s="0" t="n">
        <v>30</v>
      </c>
      <c r="B15" s="34" t="n">
        <v>38139</v>
      </c>
      <c r="C15" s="32"/>
      <c r="D15" s="29" t="s">
        <v>41</v>
      </c>
      <c r="E15" s="33" t="e">
        <f aca="false">IF(D15="totale",(C15/(A15*24))/F15,IF(D15="marché libre",(C15/(A15*24))/G15,"spécifier histo"))</f>
        <v>#DIV/0!</v>
      </c>
      <c r="F15" s="9"/>
      <c r="G15" s="9"/>
      <c r="H15" s="9"/>
      <c r="I15" s="9"/>
      <c r="J15" s="30"/>
    </row>
    <row r="16" customFormat="false" ht="24.95" hidden="false" customHeight="true" outlineLevel="0" collapsed="false">
      <c r="A16" s="0" t="n">
        <v>31</v>
      </c>
      <c r="B16" s="31" t="n">
        <v>38169</v>
      </c>
      <c r="C16" s="32"/>
      <c r="D16" s="29" t="s">
        <v>41</v>
      </c>
      <c r="E16" s="33" t="e">
        <f aca="false">IF(D16="totale",(C16/(A16*24))/F16,IF(D16="marché libre",(C16/(A16*24))/G16,"spécifier histo"))</f>
        <v>#DIV/0!</v>
      </c>
      <c r="F16" s="9"/>
      <c r="G16" s="9"/>
      <c r="H16" s="9"/>
      <c r="I16" s="9"/>
      <c r="J16" s="30"/>
    </row>
    <row r="17" customFormat="false" ht="24.95" hidden="false" customHeight="true" outlineLevel="0" collapsed="false">
      <c r="A17" s="0" t="n">
        <v>31</v>
      </c>
      <c r="B17" s="34" t="n">
        <v>38200</v>
      </c>
      <c r="C17" s="32"/>
      <c r="D17" s="29" t="s">
        <v>41</v>
      </c>
      <c r="E17" s="33" t="e">
        <f aca="false">IF(D17="totale",(C17/(A17*24))/F17,IF(D17="marché libre",(C17/(A17*24))/G17,"spécifier histo"))</f>
        <v>#DIV/0!</v>
      </c>
      <c r="F17" s="9"/>
      <c r="G17" s="9"/>
      <c r="H17" s="9"/>
      <c r="I17" s="9"/>
      <c r="J17" s="30"/>
    </row>
    <row r="18" customFormat="false" ht="24.95" hidden="false" customHeight="true" outlineLevel="0" collapsed="false">
      <c r="A18" s="0" t="n">
        <v>30</v>
      </c>
      <c r="B18" s="31" t="n">
        <v>38231</v>
      </c>
      <c r="C18" s="32"/>
      <c r="D18" s="29" t="s">
        <v>41</v>
      </c>
      <c r="E18" s="33" t="e">
        <f aca="false">IF(D18="totale",(C18/(A18*24))/F18,IF(D18="marché libre",(C18/(A18*24))/G18,"spécifier histo"))</f>
        <v>#DIV/0!</v>
      </c>
      <c r="F18" s="9"/>
      <c r="G18" s="9"/>
      <c r="H18" s="9"/>
      <c r="I18" s="9"/>
      <c r="J18" s="30"/>
    </row>
    <row r="19" customFormat="false" ht="24.95" hidden="false" customHeight="true" outlineLevel="0" collapsed="false">
      <c r="A19" s="0" t="n">
        <v>31</v>
      </c>
      <c r="B19" s="34" t="n">
        <v>38261</v>
      </c>
      <c r="C19" s="32"/>
      <c r="D19" s="29" t="s">
        <v>41</v>
      </c>
      <c r="E19" s="33" t="e">
        <f aca="false">IF(D19="totale",(C19/(A19*24))/F19,IF(D19="marché libre",(C19/(A19*24))/G19,"spécifier histo"))</f>
        <v>#DIV/0!</v>
      </c>
      <c r="F19" s="9"/>
      <c r="G19" s="9"/>
      <c r="H19" s="9"/>
      <c r="I19" s="9"/>
      <c r="J19" s="30"/>
    </row>
    <row r="20" customFormat="false" ht="24.95" hidden="false" customHeight="true" outlineLevel="0" collapsed="false">
      <c r="A20" s="0" t="n">
        <v>30</v>
      </c>
      <c r="B20" s="31" t="n">
        <v>38292</v>
      </c>
      <c r="C20" s="32"/>
      <c r="D20" s="29" t="s">
        <v>41</v>
      </c>
      <c r="E20" s="33" t="e">
        <f aca="false">IF(D20="totale",(C20/(A20*24))/F20,IF(D20="marché libre",(C20/(A20*24))/G20,"spécifier histo"))</f>
        <v>#DIV/0!</v>
      </c>
      <c r="F20" s="9"/>
      <c r="G20" s="9"/>
      <c r="H20" s="9"/>
      <c r="I20" s="9"/>
      <c r="J20" s="30"/>
    </row>
    <row r="21" customFormat="false" ht="24.95" hidden="false" customHeight="true" outlineLevel="0" collapsed="false">
      <c r="A21" s="0" t="n">
        <v>31</v>
      </c>
      <c r="B21" s="34" t="n">
        <v>38322</v>
      </c>
      <c r="C21" s="32"/>
      <c r="D21" s="29" t="s">
        <v>41</v>
      </c>
      <c r="E21" s="33" t="e">
        <f aca="false">IF(D21="totale",(C21/(A21*24))/F21,IF(D21="marché libre",(C21/(A21*24))/G21,"spécifier histo"))</f>
        <v>#DIV/0!</v>
      </c>
      <c r="F21" s="9"/>
      <c r="G21" s="9"/>
      <c r="H21" s="9"/>
      <c r="I21" s="9"/>
      <c r="J21" s="30"/>
    </row>
    <row r="22" customFormat="false" ht="24.95" hidden="false" customHeight="true" outlineLevel="0" collapsed="false">
      <c r="A22" s="0" t="n">
        <v>31</v>
      </c>
      <c r="B22" s="31" t="n">
        <v>38353</v>
      </c>
      <c r="C22" s="32"/>
      <c r="D22" s="29" t="s">
        <v>41</v>
      </c>
      <c r="E22" s="33" t="e">
        <f aca="false">IF(D22="totale",(C22/(A22*24))/F22,IF(D22="marché libre",(C22/(A22*24))/G22,"spécifier histo"))</f>
        <v>#DIV/0!</v>
      </c>
      <c r="F22" s="9"/>
      <c r="G22" s="9"/>
      <c r="H22" s="9"/>
      <c r="I22" s="9"/>
      <c r="J22" s="30"/>
    </row>
    <row r="23" customFormat="false" ht="24.95" hidden="false" customHeight="true" outlineLevel="0" collapsed="false">
      <c r="A23" s="0" t="n">
        <v>28</v>
      </c>
      <c r="B23" s="34" t="n">
        <v>38384</v>
      </c>
      <c r="C23" s="32"/>
      <c r="D23" s="29" t="s">
        <v>41</v>
      </c>
      <c r="E23" s="33" t="e">
        <f aca="false">IF(D23="totale",(C23/(A23*24))/F23,IF(D23="marché libre",(C23/(A23*24))/G23,"spécifier histo"))</f>
        <v>#DIV/0!</v>
      </c>
      <c r="F23" s="9"/>
      <c r="G23" s="9"/>
      <c r="H23" s="9"/>
      <c r="I23" s="9"/>
      <c r="J23" s="30"/>
    </row>
    <row r="24" customFormat="false" ht="24.95" hidden="false" customHeight="true" outlineLevel="0" collapsed="false">
      <c r="A24" s="0" t="n">
        <v>31</v>
      </c>
      <c r="B24" s="31" t="n">
        <v>38412</v>
      </c>
      <c r="C24" s="32"/>
      <c r="D24" s="29" t="s">
        <v>41</v>
      </c>
      <c r="E24" s="33" t="e">
        <f aca="false">IF(D24="totale",(C24/(A24*24))/F24,IF(D24="marché libre",(C24/(A24*24))/G24,"spécifier histo"))</f>
        <v>#DIV/0!</v>
      </c>
      <c r="F24" s="9"/>
      <c r="G24" s="9"/>
      <c r="H24" s="9"/>
      <c r="I24" s="9"/>
      <c r="J24" s="30"/>
    </row>
    <row r="25" customFormat="false" ht="24.95" hidden="false" customHeight="true" outlineLevel="0" collapsed="false">
      <c r="A25" s="0" t="n">
        <v>30</v>
      </c>
      <c r="B25" s="34" t="n">
        <v>38443</v>
      </c>
      <c r="C25" s="32"/>
      <c r="D25" s="29" t="s">
        <v>41</v>
      </c>
      <c r="E25" s="33" t="e">
        <f aca="false">IF(D25="totale",(C25/(A25*24))/F25,IF(D25="marché libre",(C25/(A25*24))/G25,"spécifier histo"))</f>
        <v>#DIV/0!</v>
      </c>
      <c r="F25" s="9"/>
      <c r="G25" s="9"/>
      <c r="H25" s="9"/>
      <c r="I25" s="9"/>
      <c r="J25" s="30"/>
    </row>
    <row r="26" customFormat="false" ht="24.95" hidden="false" customHeight="true" outlineLevel="0" collapsed="false">
      <c r="A26" s="0" t="n">
        <v>31</v>
      </c>
      <c r="B26" s="31" t="n">
        <v>38473</v>
      </c>
      <c r="C26" s="32"/>
      <c r="D26" s="29" t="s">
        <v>41</v>
      </c>
      <c r="E26" s="33" t="e">
        <f aca="false">IF(D26="totale",(C26/(A26*24))/F26,IF(D26="marché libre",(C26/(A26*24))/G26,"spécifier histo"))</f>
        <v>#DIV/0!</v>
      </c>
      <c r="F26" s="9"/>
      <c r="G26" s="9"/>
      <c r="H26" s="9"/>
      <c r="I26" s="9"/>
      <c r="J26" s="30"/>
    </row>
    <row r="27" customFormat="false" ht="24.95" hidden="false" customHeight="true" outlineLevel="0" collapsed="false">
      <c r="A27" s="0" t="n">
        <v>30</v>
      </c>
      <c r="B27" s="34" t="n">
        <v>38504</v>
      </c>
      <c r="C27" s="32"/>
      <c r="D27" s="29" t="s">
        <v>41</v>
      </c>
      <c r="E27" s="33" t="e">
        <f aca="false">IF(D27="totale",(C27/(A27*24))/F27,IF(D27="marché libre",(C27/(A27*24))/G27,"spécifier histo"))</f>
        <v>#DIV/0!</v>
      </c>
      <c r="F27" s="9"/>
      <c r="G27" s="9"/>
      <c r="H27" s="9"/>
      <c r="I27" s="9"/>
      <c r="J27" s="30"/>
    </row>
    <row r="28" customFormat="false" ht="24.95" hidden="false" customHeight="true" outlineLevel="0" collapsed="false">
      <c r="A28" s="0" t="n">
        <v>31</v>
      </c>
      <c r="B28" s="31" t="n">
        <v>38534</v>
      </c>
      <c r="C28" s="32"/>
      <c r="D28" s="29" t="s">
        <v>41</v>
      </c>
      <c r="E28" s="33" t="e">
        <f aca="false">IF(D28="totale",(C28/(A28*24))/F28,IF(D28="marché libre",(C28/(A28*24))/G28,"spécifier histo"))</f>
        <v>#DIV/0!</v>
      </c>
      <c r="F28" s="9"/>
      <c r="G28" s="9"/>
      <c r="H28" s="9"/>
      <c r="I28" s="9"/>
      <c r="J28" s="30"/>
    </row>
    <row r="29" customFormat="false" ht="24.95" hidden="false" customHeight="true" outlineLevel="0" collapsed="false">
      <c r="A29" s="0" t="n">
        <v>31</v>
      </c>
      <c r="B29" s="34" t="n">
        <v>38565</v>
      </c>
      <c r="C29" s="32"/>
      <c r="D29" s="29" t="s">
        <v>41</v>
      </c>
      <c r="E29" s="33" t="e">
        <f aca="false">IF(D29="totale",(C29/(A29*24))/F29,IF(D29="marché libre",(C29/(A29*24))/G29,"spécifier histo"))</f>
        <v>#DIV/0!</v>
      </c>
      <c r="F29" s="9"/>
      <c r="G29" s="9"/>
      <c r="H29" s="9"/>
      <c r="I29" s="9"/>
      <c r="J29" s="30"/>
    </row>
    <row r="30" customFormat="false" ht="24.95" hidden="false" customHeight="true" outlineLevel="0" collapsed="false">
      <c r="A30" s="0" t="n">
        <v>30</v>
      </c>
      <c r="B30" s="31" t="n">
        <v>38596</v>
      </c>
      <c r="C30" s="32"/>
      <c r="D30" s="29" t="s">
        <v>41</v>
      </c>
      <c r="E30" s="33" t="e">
        <f aca="false">IF(D30="totale",(C30/(A30*24))/F30,IF(D30="marché libre",(C30/(A30*24))/G30,"spécifier histo"))</f>
        <v>#DIV/0!</v>
      </c>
      <c r="F30" s="9"/>
      <c r="G30" s="9"/>
      <c r="H30" s="9"/>
      <c r="I30" s="9"/>
      <c r="J30" s="30"/>
    </row>
    <row r="31" customFormat="false" ht="24.95" hidden="false" customHeight="true" outlineLevel="0" collapsed="false">
      <c r="A31" s="0" t="n">
        <v>31</v>
      </c>
      <c r="B31" s="34" t="n">
        <v>38626</v>
      </c>
      <c r="C31" s="32"/>
      <c r="D31" s="29" t="s">
        <v>41</v>
      </c>
      <c r="E31" s="33" t="e">
        <f aca="false">IF(D31="totale",(C31/(A31*24))/F31,IF(D31="marché libre",(C31/(A31*24))/G31,"spécifier histo"))</f>
        <v>#DIV/0!</v>
      </c>
      <c r="F31" s="9"/>
      <c r="G31" s="9"/>
      <c r="H31" s="9"/>
      <c r="I31" s="9"/>
      <c r="J31" s="30"/>
    </row>
    <row r="32" customFormat="false" ht="24.95" hidden="false" customHeight="true" outlineLevel="0" collapsed="false">
      <c r="A32" s="0" t="n">
        <v>30</v>
      </c>
      <c r="B32" s="31" t="n">
        <v>38657</v>
      </c>
      <c r="C32" s="32"/>
      <c r="D32" s="29" t="s">
        <v>41</v>
      </c>
      <c r="E32" s="33" t="e">
        <f aca="false">IF(D32="totale",(C32/(A32*24))/F32,IF(D32="marché libre",(C32/(A32*24))/G32,"spécifier histo"))</f>
        <v>#DIV/0!</v>
      </c>
      <c r="F32" s="9"/>
      <c r="G32" s="9"/>
      <c r="H32" s="9"/>
      <c r="I32" s="9"/>
      <c r="J32" s="30"/>
    </row>
    <row r="33" customFormat="false" ht="24.95" hidden="false" customHeight="true" outlineLevel="0" collapsed="false">
      <c r="A33" s="0" t="n">
        <v>31</v>
      </c>
      <c r="B33" s="34" t="n">
        <v>38687</v>
      </c>
      <c r="C33" s="32"/>
      <c r="D33" s="29" t="s">
        <v>41</v>
      </c>
      <c r="E33" s="33" t="e">
        <f aca="false">IF(D33="totale",(C33/(A33*24))/F33,IF(D33="marché libre",(C33/(A33*24))/G33,"spécifier histo"))</f>
        <v>#DIV/0!</v>
      </c>
      <c r="F33" s="9"/>
      <c r="G33" s="9"/>
      <c r="H33" s="9"/>
      <c r="I33" s="9"/>
      <c r="J33" s="30"/>
    </row>
    <row r="34" customFormat="false" ht="24.95" hidden="false" customHeight="true" outlineLevel="0" collapsed="false">
      <c r="A34" s="0" t="n">
        <v>31</v>
      </c>
      <c r="B34" s="31" t="n">
        <v>38718</v>
      </c>
      <c r="C34" s="32"/>
      <c r="D34" s="29" t="s">
        <v>41</v>
      </c>
      <c r="E34" s="33" t="e">
        <f aca="false">IF(D34="totale",(C34/(A34*24))/F34,IF(D34="marché libre",(C34/(A34*24))/G34,"spécifier histo"))</f>
        <v>#DIV/0!</v>
      </c>
      <c r="F34" s="9"/>
      <c r="G34" s="9"/>
      <c r="H34" s="9"/>
      <c r="I34" s="9"/>
      <c r="J34" s="30"/>
    </row>
    <row r="35" customFormat="false" ht="24.95" hidden="false" customHeight="true" outlineLevel="0" collapsed="false">
      <c r="A35" s="0" t="n">
        <v>28</v>
      </c>
      <c r="B35" s="34" t="n">
        <v>38749</v>
      </c>
      <c r="C35" s="32"/>
      <c r="D35" s="29" t="s">
        <v>41</v>
      </c>
      <c r="E35" s="33" t="e">
        <f aca="false">IF(D35="totale",(C35/(A35*24))/F35,IF(D35="marché libre",(C35/(A35*24))/G35,"spécifier histo"))</f>
        <v>#DIV/0!</v>
      </c>
      <c r="F35" s="9"/>
      <c r="G35" s="9"/>
      <c r="H35" s="9"/>
      <c r="I35" s="9"/>
      <c r="J35" s="30"/>
    </row>
    <row r="36" customFormat="false" ht="24.95" hidden="false" customHeight="true" outlineLevel="0" collapsed="false">
      <c r="A36" s="0" t="n">
        <v>31</v>
      </c>
      <c r="B36" s="31" t="n">
        <v>38777</v>
      </c>
      <c r="C36" s="32"/>
      <c r="D36" s="29" t="s">
        <v>41</v>
      </c>
      <c r="E36" s="33" t="e">
        <f aca="false">IF(D36="totale",(C36/(A36*24))/F36,IF(D36="marché libre",(C36/(A36*24))/G36,"spécifier histo"))</f>
        <v>#DIV/0!</v>
      </c>
      <c r="F36" s="9"/>
      <c r="G36" s="9"/>
      <c r="H36" s="9"/>
      <c r="I36" s="9"/>
      <c r="J36" s="30"/>
    </row>
    <row r="37" customFormat="false" ht="24.95" hidden="false" customHeight="true" outlineLevel="0" collapsed="false">
      <c r="A37" s="0" t="n">
        <v>30</v>
      </c>
      <c r="B37" s="34" t="n">
        <v>38808</v>
      </c>
      <c r="C37" s="32"/>
      <c r="D37" s="29" t="s">
        <v>41</v>
      </c>
      <c r="E37" s="33" t="e">
        <f aca="false">IF(D37="totale",(C37/(A37*24))/F37,IF(D37="marché libre",(C37/(A37*24))/G37,"spécifier histo"))</f>
        <v>#DIV/0!</v>
      </c>
      <c r="F37" s="9"/>
      <c r="G37" s="9"/>
      <c r="H37" s="9"/>
      <c r="I37" s="9"/>
      <c r="J37" s="30"/>
    </row>
    <row r="38" customFormat="false" ht="24.95" hidden="false" customHeight="true" outlineLevel="0" collapsed="false">
      <c r="A38" s="0" t="n">
        <v>31</v>
      </c>
      <c r="B38" s="31" t="n">
        <v>38838</v>
      </c>
      <c r="C38" s="32"/>
      <c r="D38" s="29" t="s">
        <v>41</v>
      </c>
      <c r="E38" s="33" t="e">
        <f aca="false">IF(D38="totale",(C38/(A38*24))/F38,IF(D38="marché libre",(C38/(A38*24))/G38,"spécifier histo"))</f>
        <v>#DIV/0!</v>
      </c>
      <c r="F38" s="9"/>
      <c r="G38" s="9"/>
      <c r="H38" s="9"/>
      <c r="I38" s="9"/>
      <c r="J38" s="30"/>
    </row>
    <row r="39" customFormat="false" ht="24.95" hidden="false" customHeight="true" outlineLevel="0" collapsed="false">
      <c r="A39" s="0" t="n">
        <v>30</v>
      </c>
      <c r="B39" s="34" t="n">
        <v>38869</v>
      </c>
      <c r="C39" s="32"/>
      <c r="D39" s="29" t="s">
        <v>41</v>
      </c>
      <c r="E39" s="33" t="e">
        <f aca="false">IF(D39="totale",(C39/(A39*24))/F39,IF(D39="marché libre",(C39/(A39*24))/G39,"spécifier histo"))</f>
        <v>#DIV/0!</v>
      </c>
      <c r="F39" s="9"/>
      <c r="G39" s="9"/>
      <c r="H39" s="9"/>
      <c r="I39" s="9"/>
      <c r="J39" s="30"/>
    </row>
    <row r="40" customFormat="false" ht="24.95" hidden="false" customHeight="true" outlineLevel="0" collapsed="false">
      <c r="A40" s="0" t="n">
        <v>31</v>
      </c>
      <c r="B40" s="31" t="n">
        <v>38899</v>
      </c>
      <c r="C40" s="32"/>
      <c r="D40" s="29" t="s">
        <v>41</v>
      </c>
      <c r="E40" s="33" t="e">
        <f aca="false">IF(D40="totale",(C40/(A40*24))/F40,IF(D40="marché libre",(C40/(A40*24))/G40,"spécifier histo"))</f>
        <v>#DIV/0!</v>
      </c>
      <c r="F40" s="9"/>
      <c r="G40" s="9"/>
      <c r="H40" s="9"/>
      <c r="I40" s="9"/>
      <c r="J40" s="30"/>
    </row>
    <row r="41" customFormat="false" ht="24.95" hidden="false" customHeight="true" outlineLevel="0" collapsed="false">
      <c r="A41" s="0" t="n">
        <v>31</v>
      </c>
      <c r="B41" s="34" t="n">
        <v>38930</v>
      </c>
      <c r="C41" s="32"/>
      <c r="D41" s="29" t="s">
        <v>41</v>
      </c>
      <c r="E41" s="33" t="e">
        <f aca="false">IF(D41="totale",(C41/(A41*24))/F41,IF(D41="marché libre",(C41/(A41*24))/G41,"spécifier histo"))</f>
        <v>#DIV/0!</v>
      </c>
      <c r="F41" s="9"/>
      <c r="G41" s="9"/>
      <c r="H41" s="9"/>
      <c r="I41" s="9"/>
      <c r="J41" s="30"/>
    </row>
    <row r="42" customFormat="false" ht="24.95" hidden="false" customHeight="true" outlineLevel="0" collapsed="false">
      <c r="A42" s="0" t="n">
        <v>30</v>
      </c>
      <c r="B42" s="31" t="n">
        <v>38961</v>
      </c>
      <c r="C42" s="32"/>
      <c r="D42" s="29" t="s">
        <v>41</v>
      </c>
      <c r="E42" s="33" t="e">
        <f aca="false">IF(D42="totale",(C42/(A42*24))/F42,IF(D42="marché libre",(C42/(A42*24))/G42,"spécifier histo"))</f>
        <v>#DIV/0!</v>
      </c>
      <c r="F42" s="9"/>
      <c r="G42" s="9"/>
      <c r="H42" s="9"/>
      <c r="I42" s="9"/>
      <c r="J42" s="30"/>
    </row>
    <row r="43" customFormat="false" ht="24.95" hidden="false" customHeight="true" outlineLevel="0" collapsed="false">
      <c r="A43" s="0" t="n">
        <v>31</v>
      </c>
      <c r="B43" s="34" t="n">
        <v>38991</v>
      </c>
      <c r="C43" s="32"/>
      <c r="D43" s="29" t="s">
        <v>41</v>
      </c>
      <c r="E43" s="33" t="e">
        <f aca="false">IF(D43="totale",(C43/(A43*24))/F43,IF(D43="marché libre",(C43/(A43*24))/G43,"spécifier histo"))</f>
        <v>#DIV/0!</v>
      </c>
      <c r="F43" s="9"/>
      <c r="G43" s="9"/>
      <c r="H43" s="9"/>
      <c r="I43" s="9"/>
      <c r="J43" s="30"/>
    </row>
    <row r="44" customFormat="false" ht="24.95" hidden="false" customHeight="true" outlineLevel="0" collapsed="false">
      <c r="A44" s="0" t="n">
        <v>30</v>
      </c>
      <c r="B44" s="31" t="n">
        <v>39022</v>
      </c>
      <c r="C44" s="32"/>
      <c r="D44" s="29" t="s">
        <v>41</v>
      </c>
      <c r="E44" s="33" t="e">
        <f aca="false">IF(D44="totale",(C44/(A44*24))/F44,IF(D44="marché libre",(C44/(A44*24))/G44,"spécifier histo"))</f>
        <v>#DIV/0!</v>
      </c>
      <c r="F44" s="9"/>
      <c r="G44" s="9"/>
      <c r="H44" s="9"/>
      <c r="I44" s="9"/>
      <c r="J44" s="30"/>
    </row>
    <row r="45" customFormat="false" ht="24.95" hidden="false" customHeight="true" outlineLevel="0" collapsed="false">
      <c r="A45" s="0" t="n">
        <v>31</v>
      </c>
      <c r="B45" s="34" t="n">
        <v>39052</v>
      </c>
      <c r="C45" s="32"/>
      <c r="D45" s="29" t="s">
        <v>41</v>
      </c>
      <c r="E45" s="33" t="e">
        <f aca="false">IF(D45="totale",(C45/(A45*24))/F45,IF(D45="marché libre",(C45/(A45*24))/G45,"spécifier histo"))</f>
        <v>#DIV/0!</v>
      </c>
      <c r="F45" s="9"/>
      <c r="G45" s="9"/>
      <c r="H45" s="9"/>
      <c r="I45" s="9"/>
      <c r="J45" s="30"/>
    </row>
    <row r="46" customFormat="false" ht="24.95" hidden="false" customHeight="true" outlineLevel="0" collapsed="false">
      <c r="A46" s="0" t="n">
        <v>31</v>
      </c>
      <c r="B46" s="31" t="n">
        <v>39083</v>
      </c>
      <c r="C46" s="32"/>
      <c r="D46" s="29" t="s">
        <v>41</v>
      </c>
      <c r="E46" s="33" t="e">
        <f aca="false">IF(D46="totale",(C46/(A46*24))/F46,IF(D46="marché libre",(C46/(A46*24))/G46,"spécifier histo"))</f>
        <v>#DIV/0!</v>
      </c>
      <c r="F46" s="9"/>
      <c r="G46" s="9"/>
      <c r="H46" s="9"/>
      <c r="I46" s="9"/>
      <c r="J46" s="30"/>
    </row>
    <row r="47" customFormat="false" ht="24.95" hidden="false" customHeight="true" outlineLevel="0" collapsed="false">
      <c r="A47" s="0" t="n">
        <v>28</v>
      </c>
      <c r="B47" s="34" t="n">
        <v>39114</v>
      </c>
      <c r="C47" s="32"/>
      <c r="D47" s="29" t="s">
        <v>41</v>
      </c>
      <c r="E47" s="33" t="e">
        <f aca="false">IF(D47="totale",(C47/(A47*24))/F47,IF(D47="marché libre",(C47/(A47*24))/G47,"spécifier histo"))</f>
        <v>#DIV/0!</v>
      </c>
      <c r="F47" s="9"/>
      <c r="G47" s="9"/>
      <c r="H47" s="9"/>
      <c r="I47" s="9"/>
      <c r="J47" s="30"/>
    </row>
    <row r="48" customFormat="false" ht="24.95" hidden="false" customHeight="true" outlineLevel="0" collapsed="false">
      <c r="A48" s="0" t="n">
        <v>31</v>
      </c>
      <c r="B48" s="31" t="n">
        <v>39142</v>
      </c>
      <c r="C48" s="32"/>
      <c r="D48" s="29" t="s">
        <v>41</v>
      </c>
      <c r="E48" s="33" t="e">
        <f aca="false">IF(D48="totale",(C48/(A48*24))/F48,IF(D48="marché libre",(C48/(A48*24))/G48,"spécifier histo"))</f>
        <v>#DIV/0!</v>
      </c>
      <c r="F48" s="9"/>
      <c r="G48" s="9"/>
      <c r="H48" s="9"/>
      <c r="I48" s="9"/>
      <c r="J48" s="30"/>
    </row>
    <row r="49" customFormat="false" ht="24.95" hidden="false" customHeight="true" outlineLevel="0" collapsed="false">
      <c r="A49" s="0" t="n">
        <v>30</v>
      </c>
      <c r="B49" s="34" t="n">
        <v>39173</v>
      </c>
      <c r="C49" s="32"/>
      <c r="D49" s="29" t="s">
        <v>41</v>
      </c>
      <c r="E49" s="33" t="e">
        <f aca="false">IF(D49="totale",(C49/(A49*24))/F49,IF(D49="marché libre",(C49/(A49*24))/G49,"spécifier histo"))</f>
        <v>#DIV/0!</v>
      </c>
      <c r="F49" s="9"/>
      <c r="G49" s="9"/>
      <c r="H49" s="9"/>
      <c r="I49" s="9"/>
      <c r="J49" s="30"/>
    </row>
    <row r="50" customFormat="false" ht="24.95" hidden="false" customHeight="true" outlineLevel="0" collapsed="false">
      <c r="A50" s="0" t="n">
        <v>31</v>
      </c>
      <c r="B50" s="31" t="n">
        <v>39203</v>
      </c>
      <c r="C50" s="32"/>
      <c r="D50" s="29" t="s">
        <v>41</v>
      </c>
      <c r="E50" s="33" t="e">
        <f aca="false">IF(D50="totale",(C50/(A50*24))/F50,IF(D50="marché libre",(C50/(A50*24))/G50,"spécifier histo"))</f>
        <v>#DIV/0!</v>
      </c>
      <c r="F50" s="9"/>
      <c r="G50" s="9"/>
      <c r="H50" s="9"/>
      <c r="I50" s="9"/>
      <c r="J50" s="30"/>
    </row>
    <row r="51" customFormat="false" ht="24.95" hidden="false" customHeight="true" outlineLevel="0" collapsed="false">
      <c r="A51" s="0" t="n">
        <v>30</v>
      </c>
      <c r="B51" s="34" t="n">
        <v>39234</v>
      </c>
      <c r="C51" s="32"/>
      <c r="D51" s="29" t="s">
        <v>41</v>
      </c>
      <c r="E51" s="33" t="e">
        <f aca="false">IF(D51="totale",(C51/(A51*24))/F51,IF(D51="marché libre",(C51/(A51*24))/G51,"spécifier histo"))</f>
        <v>#DIV/0!</v>
      </c>
      <c r="F51" s="9"/>
      <c r="G51" s="9"/>
      <c r="H51" s="9"/>
      <c r="I51" s="9"/>
      <c r="J51" s="30"/>
    </row>
    <row r="52" customFormat="false" ht="24.95" hidden="false" customHeight="true" outlineLevel="0" collapsed="false">
      <c r="A52" s="0" t="n">
        <v>31</v>
      </c>
      <c r="B52" s="31" t="n">
        <v>39264</v>
      </c>
      <c r="C52" s="32"/>
      <c r="D52" s="29" t="s">
        <v>41</v>
      </c>
      <c r="E52" s="33" t="e">
        <f aca="false">IF(D52="totale",(C52/(A52*24))/F52,IF(D52="marché libre",(C52/(A52*24))/G52,"spécifier histo"))</f>
        <v>#DIV/0!</v>
      </c>
      <c r="F52" s="9"/>
      <c r="G52" s="9"/>
      <c r="H52" s="9"/>
      <c r="I52" s="9"/>
      <c r="J52" s="30"/>
    </row>
    <row r="53" customFormat="false" ht="24.95" hidden="false" customHeight="true" outlineLevel="0" collapsed="false">
      <c r="A53" s="0" t="n">
        <v>31</v>
      </c>
      <c r="B53" s="34" t="n">
        <v>39295</v>
      </c>
      <c r="C53" s="32"/>
      <c r="D53" s="29" t="s">
        <v>41</v>
      </c>
      <c r="E53" s="33" t="e">
        <f aca="false">IF(D53="totale",(C53/(A53*24))/F53,IF(D53="marché libre",(C53/(A53*24))/G53,"spécifier histo"))</f>
        <v>#DIV/0!</v>
      </c>
      <c r="F53" s="9"/>
      <c r="G53" s="9"/>
      <c r="H53" s="9"/>
      <c r="I53" s="9"/>
      <c r="J53" s="30"/>
    </row>
    <row r="54" customFormat="false" ht="24.95" hidden="false" customHeight="true" outlineLevel="0" collapsed="false">
      <c r="A54" s="0" t="n">
        <v>30</v>
      </c>
      <c r="B54" s="31" t="n">
        <v>39326</v>
      </c>
      <c r="C54" s="32"/>
      <c r="D54" s="29" t="s">
        <v>41</v>
      </c>
      <c r="E54" s="33" t="e">
        <f aca="false">IF(D54="totale",(C54/(A54*24))/F54,IF(D54="marché libre",(C54/(A54*24))/G54,"spécifier histo"))</f>
        <v>#DIV/0!</v>
      </c>
      <c r="F54" s="9"/>
      <c r="G54" s="9"/>
      <c r="H54" s="9"/>
      <c r="I54" s="9"/>
      <c r="J54" s="30"/>
    </row>
    <row r="55" customFormat="false" ht="24.95" hidden="false" customHeight="true" outlineLevel="0" collapsed="false">
      <c r="A55" s="0" t="n">
        <v>31</v>
      </c>
      <c r="B55" s="34" t="n">
        <v>39356</v>
      </c>
      <c r="C55" s="32"/>
      <c r="D55" s="29" t="s">
        <v>41</v>
      </c>
      <c r="E55" s="33" t="e">
        <f aca="false">IF(D55="totale",(C55/(A55*24))/F55,IF(D55="marché libre",(C55/(A55*24))/G55,"spécifier histo"))</f>
        <v>#DIV/0!</v>
      </c>
      <c r="F55" s="9"/>
      <c r="G55" s="9"/>
      <c r="H55" s="9"/>
      <c r="I55" s="9"/>
      <c r="J55" s="30"/>
    </row>
    <row r="56" customFormat="false" ht="24.95" hidden="false" customHeight="true" outlineLevel="0" collapsed="false">
      <c r="A56" s="0" t="n">
        <v>30</v>
      </c>
      <c r="B56" s="31" t="n">
        <v>39387</v>
      </c>
      <c r="C56" s="32"/>
      <c r="D56" s="29" t="s">
        <v>41</v>
      </c>
      <c r="E56" s="33" t="e">
        <f aca="false">IF(D56="totale",(C56/(A56*24))/F56,IF(D56="marché libre",(C56/(A56*24))/G56,"spécifier histo"))</f>
        <v>#DIV/0!</v>
      </c>
      <c r="F56" s="9"/>
      <c r="G56" s="9"/>
      <c r="H56" s="9"/>
      <c r="I56" s="9"/>
      <c r="J56" s="30"/>
    </row>
    <row r="57" customFormat="false" ht="24.95" hidden="false" customHeight="true" outlineLevel="0" collapsed="false">
      <c r="A57" s="0" t="n">
        <v>31</v>
      </c>
      <c r="B57" s="34" t="n">
        <v>39417</v>
      </c>
      <c r="C57" s="32"/>
      <c r="D57" s="29" t="s">
        <v>41</v>
      </c>
      <c r="E57" s="33" t="e">
        <f aca="false">IF(D57="totale",(C57/(A57*24))/F57,IF(D57="marché libre",(C57/(A57*24))/G57,"spécifier histo"))</f>
        <v>#DIV/0!</v>
      </c>
      <c r="F57" s="9"/>
      <c r="G57" s="9"/>
      <c r="H57" s="9"/>
      <c r="I57" s="9"/>
      <c r="J57" s="30"/>
    </row>
    <row r="58" customFormat="false" ht="24.95" hidden="false" customHeight="true" outlineLevel="0" collapsed="false">
      <c r="A58" s="0" t="n">
        <v>31</v>
      </c>
      <c r="B58" s="31" t="n">
        <v>39448</v>
      </c>
      <c r="C58" s="32"/>
      <c r="D58" s="29" t="s">
        <v>41</v>
      </c>
      <c r="E58" s="33" t="e">
        <f aca="false">IF(D58="totale",(C58/(A58*24))/F58,IF(D58="marché libre",(C58/(A58*24))/G58,"spécifier histo"))</f>
        <v>#DIV/0!</v>
      </c>
      <c r="F58" s="9"/>
      <c r="G58" s="9"/>
      <c r="H58" s="9"/>
      <c r="I58" s="9"/>
      <c r="J58" s="30"/>
    </row>
    <row r="59" customFormat="false" ht="24.95" hidden="false" customHeight="true" outlineLevel="0" collapsed="false">
      <c r="A59" s="0" t="n">
        <v>28</v>
      </c>
      <c r="B59" s="34" t="n">
        <v>39479</v>
      </c>
      <c r="C59" s="32"/>
      <c r="D59" s="29" t="s">
        <v>41</v>
      </c>
      <c r="E59" s="33" t="e">
        <f aca="false">IF(D59="totale",(C59/(A59*24))/F59,IF(D59="marché libre",(C59/(A59*24))/G59,"spécifier histo"))</f>
        <v>#DIV/0!</v>
      </c>
      <c r="F59" s="9"/>
      <c r="G59" s="9"/>
      <c r="H59" s="9"/>
      <c r="I59" s="9"/>
      <c r="J59" s="30"/>
    </row>
    <row r="60" customFormat="false" ht="24.95" hidden="false" customHeight="true" outlineLevel="0" collapsed="false">
      <c r="A60" s="0" t="n">
        <v>31</v>
      </c>
      <c r="B60" s="31" t="n">
        <v>39508</v>
      </c>
      <c r="C60" s="32"/>
      <c r="D60" s="29" t="s">
        <v>41</v>
      </c>
      <c r="E60" s="33" t="e">
        <f aca="false">IF(D60="totale",(C60/(A60*24))/F60,IF(D60="marché libre",(C60/(A60*24))/G60,"spécifier histo"))</f>
        <v>#DIV/0!</v>
      </c>
      <c r="F60" s="9"/>
      <c r="G60" s="9"/>
      <c r="H60" s="9"/>
      <c r="I60" s="9"/>
      <c r="J60" s="30"/>
    </row>
    <row r="61" customFormat="false" ht="24.95" hidden="false" customHeight="true" outlineLevel="0" collapsed="false">
      <c r="A61" s="0" t="n">
        <v>30</v>
      </c>
      <c r="B61" s="34" t="n">
        <v>39539</v>
      </c>
      <c r="C61" s="32"/>
      <c r="D61" s="29" t="s">
        <v>41</v>
      </c>
      <c r="E61" s="33" t="e">
        <f aca="false">IF(D61="totale",(C61/(A61*24))/F61,IF(D61="marché libre",(C61/(A61*24))/G61,"spécifier histo"))</f>
        <v>#DIV/0!</v>
      </c>
      <c r="F61" s="9"/>
      <c r="G61" s="9"/>
      <c r="H61" s="9"/>
      <c r="I61" s="9"/>
      <c r="J61" s="30"/>
    </row>
    <row r="62" customFormat="false" ht="24.95" hidden="false" customHeight="true" outlineLevel="0" collapsed="false">
      <c r="A62" s="0" t="n">
        <v>31</v>
      </c>
      <c r="B62" s="31" t="n">
        <v>39569</v>
      </c>
      <c r="C62" s="32"/>
      <c r="D62" s="29" t="s">
        <v>41</v>
      </c>
      <c r="E62" s="33" t="e">
        <f aca="false">IF(D62="totale",(C62/(A62*24))/F62,IF(D62="marché libre",(C62/(A62*24))/G62,"spécifier histo"))</f>
        <v>#DIV/0!</v>
      </c>
      <c r="F62" s="9"/>
      <c r="G62" s="9"/>
      <c r="H62" s="9"/>
      <c r="I62" s="9"/>
      <c r="J62" s="30"/>
    </row>
    <row r="63" customFormat="false" ht="24.95" hidden="false" customHeight="true" outlineLevel="0" collapsed="false">
      <c r="A63" s="0" t="n">
        <v>30</v>
      </c>
      <c r="B63" s="34" t="n">
        <v>39600</v>
      </c>
      <c r="C63" s="32"/>
      <c r="D63" s="29" t="s">
        <v>41</v>
      </c>
      <c r="E63" s="33" t="e">
        <f aca="false">IF(D63="totale",(C63/(A63*24))/F63,IF(D63="marché libre",(C63/(A63*24))/G63,"spécifier histo"))</f>
        <v>#DIV/0!</v>
      </c>
      <c r="F63" s="9"/>
      <c r="G63" s="9"/>
      <c r="H63" s="9"/>
      <c r="I63" s="9"/>
      <c r="J63" s="30"/>
    </row>
    <row r="64" customFormat="false" ht="24.95" hidden="false" customHeight="true" outlineLevel="0" collapsed="false">
      <c r="A64" s="0" t="n">
        <v>31</v>
      </c>
      <c r="B64" s="31" t="n">
        <v>39630</v>
      </c>
      <c r="C64" s="32"/>
      <c r="D64" s="29" t="s">
        <v>41</v>
      </c>
      <c r="E64" s="33" t="e">
        <f aca="false">IF(D64="totale",(C64/(A64*24))/F64,IF(D64="marché libre",(C64/(A64*24))/G64,"spécifier histo"))</f>
        <v>#DIV/0!</v>
      </c>
      <c r="F64" s="9"/>
      <c r="G64" s="9"/>
      <c r="H64" s="9"/>
      <c r="I64" s="9"/>
      <c r="J64" s="30"/>
    </row>
    <row r="65" customFormat="false" ht="24.95" hidden="false" customHeight="true" outlineLevel="0" collapsed="false">
      <c r="A65" s="0" t="n">
        <v>31</v>
      </c>
      <c r="B65" s="34" t="n">
        <v>39661</v>
      </c>
      <c r="C65" s="32"/>
      <c r="D65" s="29" t="s">
        <v>41</v>
      </c>
      <c r="E65" s="33" t="e">
        <f aca="false">IF(D65="totale",(C65/(A65*24))/F65,IF(D65="marché libre",(C65/(A65*24))/G65,"spécifier histo"))</f>
        <v>#DIV/0!</v>
      </c>
      <c r="F65" s="9"/>
      <c r="G65" s="9"/>
      <c r="H65" s="9"/>
      <c r="I65" s="9"/>
      <c r="J65" s="30"/>
    </row>
    <row r="66" customFormat="false" ht="24.95" hidden="false" customHeight="true" outlineLevel="0" collapsed="false">
      <c r="A66" s="0" t="n">
        <v>30</v>
      </c>
      <c r="B66" s="31" t="n">
        <v>39692</v>
      </c>
      <c r="C66" s="32"/>
      <c r="D66" s="29" t="s">
        <v>41</v>
      </c>
      <c r="E66" s="33" t="e">
        <f aca="false">IF(D66="totale",(C66/(A66*24))/F66,IF(D66="marché libre",(C66/(A66*24))/G66,"spécifier histo"))</f>
        <v>#DIV/0!</v>
      </c>
      <c r="F66" s="9"/>
      <c r="G66" s="9"/>
      <c r="H66" s="9"/>
      <c r="I66" s="9"/>
      <c r="J66" s="30"/>
    </row>
    <row r="67" customFormat="false" ht="24.95" hidden="false" customHeight="true" outlineLevel="0" collapsed="false">
      <c r="A67" s="0" t="n">
        <v>31</v>
      </c>
      <c r="B67" s="34" t="n">
        <v>39722</v>
      </c>
      <c r="C67" s="32"/>
      <c r="D67" s="29" t="s">
        <v>41</v>
      </c>
      <c r="E67" s="33" t="e">
        <f aca="false">IF(D67="totale",(C67/(A67*24))/F67,IF(D67="marché libre",(C67/(A67*24))/G67,"spécifier histo"))</f>
        <v>#DIV/0!</v>
      </c>
      <c r="F67" s="9"/>
      <c r="G67" s="9"/>
      <c r="H67" s="9"/>
      <c r="I67" s="9"/>
      <c r="J67" s="30"/>
    </row>
    <row r="68" customFormat="false" ht="24.95" hidden="false" customHeight="true" outlineLevel="0" collapsed="false">
      <c r="A68" s="0" t="n">
        <v>30</v>
      </c>
      <c r="B68" s="31" t="n">
        <v>39753</v>
      </c>
      <c r="C68" s="32"/>
      <c r="D68" s="29" t="s">
        <v>41</v>
      </c>
      <c r="E68" s="33" t="e">
        <f aca="false">IF(D68="totale",(C68/(A68*24))/F68,IF(D68="marché libre",(C68/(A68*24))/G68,"spécifier histo"))</f>
        <v>#DIV/0!</v>
      </c>
      <c r="F68" s="9"/>
      <c r="G68" s="9"/>
      <c r="H68" s="9"/>
      <c r="I68" s="9"/>
      <c r="J68" s="30"/>
    </row>
    <row r="69" customFormat="false" ht="24.95" hidden="false" customHeight="true" outlineLevel="0" collapsed="false">
      <c r="A69" s="0" t="n">
        <v>31</v>
      </c>
      <c r="B69" s="34" t="n">
        <v>39783</v>
      </c>
      <c r="C69" s="32"/>
      <c r="D69" s="29" t="s">
        <v>41</v>
      </c>
      <c r="E69" s="33" t="e">
        <f aca="false">IF(D69="totale",(C69/(A69*24))/F69,IF(D69="marché libre",(C69/(A69*24))/G69,"spécifier histo"))</f>
        <v>#DIV/0!</v>
      </c>
      <c r="F69" s="9"/>
      <c r="G69" s="9"/>
      <c r="H69" s="9"/>
      <c r="I69" s="9"/>
      <c r="J69" s="30"/>
    </row>
    <row r="70" customFormat="false" ht="24.95" hidden="false" customHeight="true" outlineLevel="0" collapsed="false">
      <c r="A70" s="0" t="n">
        <v>31</v>
      </c>
      <c r="B70" s="31" t="n">
        <v>39814</v>
      </c>
      <c r="C70" s="32"/>
      <c r="D70" s="29" t="s">
        <v>41</v>
      </c>
      <c r="E70" s="33" t="e">
        <f aca="false">IF(D70="totale",(C70/(A70*24))/F70,IF(D70="marché libre",(C70/(A70*24))/G70,"spécifier histo"))</f>
        <v>#DIV/0!</v>
      </c>
      <c r="F70" s="9"/>
      <c r="G70" s="9"/>
      <c r="H70" s="9"/>
      <c r="I70" s="9"/>
      <c r="J70" s="30"/>
    </row>
    <row r="71" customFormat="false" ht="24.95" hidden="false" customHeight="true" outlineLevel="0" collapsed="false">
      <c r="A71" s="0" t="n">
        <v>28</v>
      </c>
      <c r="B71" s="34" t="n">
        <v>39845</v>
      </c>
      <c r="C71" s="32"/>
      <c r="D71" s="29" t="s">
        <v>41</v>
      </c>
      <c r="E71" s="33" t="e">
        <f aca="false">IF(D71="totale",(C71/(A71*24))/F71,IF(D71="marché libre",(C71/(A71*24))/G71,"spécifier histo"))</f>
        <v>#DIV/0!</v>
      </c>
      <c r="F71" s="9"/>
      <c r="G71" s="9"/>
      <c r="H71" s="9"/>
      <c r="I71" s="9"/>
      <c r="J71" s="30"/>
    </row>
    <row r="72" customFormat="false" ht="24.95" hidden="false" customHeight="true" outlineLevel="0" collapsed="false">
      <c r="A72" s="0" t="n">
        <v>31</v>
      </c>
      <c r="B72" s="31" t="n">
        <v>39873</v>
      </c>
      <c r="C72" s="32"/>
      <c r="D72" s="29" t="s">
        <v>41</v>
      </c>
      <c r="E72" s="33" t="e">
        <f aca="false">IF(D72="totale",(C72/(A72*24))/F72,IF(D72="marché libre",(C72/(A72*24))/G72,"spécifier histo"))</f>
        <v>#DIV/0!</v>
      </c>
      <c r="F72" s="9"/>
      <c r="G72" s="9"/>
      <c r="H72" s="9"/>
      <c r="I72" s="9"/>
      <c r="J72" s="30"/>
    </row>
    <row r="73" customFormat="false" ht="24.95" hidden="false" customHeight="true" outlineLevel="0" collapsed="false">
      <c r="A73" s="0" t="n">
        <v>30</v>
      </c>
      <c r="B73" s="34" t="n">
        <v>39904</v>
      </c>
      <c r="C73" s="32"/>
      <c r="D73" s="29" t="s">
        <v>41</v>
      </c>
      <c r="E73" s="33" t="e">
        <f aca="false">IF(D73="totale",(C73/(A73*24))/F73,IF(D73="marché libre",(C73/(A73*24))/G73,"spécifier histo"))</f>
        <v>#DIV/0!</v>
      </c>
      <c r="F73" s="9"/>
      <c r="G73" s="9"/>
      <c r="H73" s="9"/>
      <c r="I73" s="9"/>
      <c r="J73" s="30"/>
    </row>
    <row r="74" customFormat="false" ht="24.95" hidden="false" customHeight="true" outlineLevel="0" collapsed="false">
      <c r="A74" s="0" t="n">
        <v>31</v>
      </c>
      <c r="B74" s="31" t="n">
        <v>39934</v>
      </c>
      <c r="C74" s="32"/>
      <c r="D74" s="29" t="s">
        <v>41</v>
      </c>
      <c r="E74" s="33" t="e">
        <f aca="false">IF(D74="totale",(C74/(A74*24))/F74,IF(D74="marché libre",(C74/(A74*24))/G74,"spécifier histo"))</f>
        <v>#DIV/0!</v>
      </c>
      <c r="F74" s="9"/>
      <c r="G74" s="9"/>
      <c r="H74" s="9"/>
      <c r="I74" s="9"/>
      <c r="J74" s="30"/>
    </row>
    <row r="75" customFormat="false" ht="24.95" hidden="false" customHeight="true" outlineLevel="0" collapsed="false">
      <c r="A75" s="0" t="n">
        <v>30</v>
      </c>
      <c r="B75" s="34" t="n">
        <v>39965</v>
      </c>
      <c r="C75" s="32"/>
      <c r="D75" s="29" t="s">
        <v>41</v>
      </c>
      <c r="E75" s="33" t="e">
        <f aca="false">IF(D75="totale",(C75/(A75*24))/F75,IF(D75="marché libre",(C75/(A75*24))/G75,"spécifier histo"))</f>
        <v>#DIV/0!</v>
      </c>
      <c r="F75" s="9"/>
      <c r="G75" s="9"/>
      <c r="H75" s="9"/>
      <c r="I75" s="9"/>
      <c r="J75" s="30"/>
    </row>
    <row r="76" customFormat="false" ht="24.95" hidden="false" customHeight="true" outlineLevel="0" collapsed="false">
      <c r="A76" s="0" t="n">
        <v>31</v>
      </c>
      <c r="B76" s="31" t="n">
        <v>39995</v>
      </c>
      <c r="C76" s="32"/>
      <c r="D76" s="29" t="s">
        <v>41</v>
      </c>
      <c r="E76" s="33" t="e">
        <f aca="false">IF(D76="totale",(C76/(A76*24))/F76,IF(D76="marché libre",(C76/(A76*24))/G76,"spécifier histo"))</f>
        <v>#DIV/0!</v>
      </c>
      <c r="F76" s="9"/>
      <c r="G76" s="9"/>
      <c r="H76" s="9"/>
      <c r="I76" s="9"/>
      <c r="J76" s="30"/>
    </row>
    <row r="77" customFormat="false" ht="24.95" hidden="false" customHeight="true" outlineLevel="0" collapsed="false">
      <c r="A77" s="0" t="n">
        <v>31</v>
      </c>
      <c r="B77" s="34" t="n">
        <v>40026</v>
      </c>
      <c r="C77" s="32"/>
      <c r="D77" s="29" t="s">
        <v>41</v>
      </c>
      <c r="E77" s="33" t="e">
        <f aca="false">IF(D77="totale",(C77/(A77*24))/F77,IF(D77="marché libre",(C77/(A77*24))/G77,"spécifier histo"))</f>
        <v>#DIV/0!</v>
      </c>
      <c r="F77" s="9"/>
      <c r="G77" s="9"/>
      <c r="H77" s="9"/>
      <c r="I77" s="9"/>
      <c r="J77" s="30"/>
    </row>
    <row r="78" customFormat="false" ht="24.95" hidden="false" customHeight="true" outlineLevel="0" collapsed="false">
      <c r="A78" s="0" t="n">
        <v>30</v>
      </c>
      <c r="B78" s="31" t="n">
        <v>40057</v>
      </c>
      <c r="C78" s="32"/>
      <c r="D78" s="29" t="s">
        <v>41</v>
      </c>
      <c r="E78" s="33" t="e">
        <f aca="false">IF(D78="totale",(C78/(A78*24))/F78,IF(D78="marché libre",(C78/(A78*24))/G78,"spécifier histo"))</f>
        <v>#DIV/0!</v>
      </c>
      <c r="F78" s="9"/>
      <c r="G78" s="9"/>
      <c r="H78" s="9"/>
      <c r="I78" s="9"/>
      <c r="J78" s="30"/>
    </row>
    <row r="79" customFormat="false" ht="24.95" hidden="false" customHeight="true" outlineLevel="0" collapsed="false">
      <c r="A79" s="0" t="n">
        <v>31</v>
      </c>
      <c r="B79" s="34" t="n">
        <v>40087</v>
      </c>
      <c r="C79" s="32"/>
      <c r="D79" s="29" t="s">
        <v>41</v>
      </c>
      <c r="E79" s="33" t="e">
        <f aca="false">IF(D79="totale",(C79/(A79*24))/F79,IF(D79="marché libre",(C79/(A79*24))/G79,"spécifier histo"))</f>
        <v>#DIV/0!</v>
      </c>
      <c r="F79" s="9"/>
      <c r="G79" s="9"/>
      <c r="H79" s="9"/>
      <c r="I79" s="9"/>
      <c r="J79" s="30"/>
    </row>
    <row r="80" customFormat="false" ht="24.95" hidden="false" customHeight="true" outlineLevel="0" collapsed="false">
      <c r="A80" s="0" t="n">
        <v>30</v>
      </c>
      <c r="B80" s="31" t="n">
        <v>40118</v>
      </c>
      <c r="C80" s="32"/>
      <c r="D80" s="29" t="s">
        <v>41</v>
      </c>
      <c r="E80" s="33" t="e">
        <f aca="false">IF(D80="totale",(C80/(A80*24))/F80,IF(D80="marché libre",(C80/(A80*24))/G80,"spécifier histo"))</f>
        <v>#DIV/0!</v>
      </c>
      <c r="F80" s="9"/>
      <c r="G80" s="9"/>
      <c r="H80" s="9"/>
      <c r="I80" s="9"/>
      <c r="J80" s="30"/>
    </row>
    <row r="81" customFormat="false" ht="24.95" hidden="false" customHeight="true" outlineLevel="0" collapsed="false">
      <c r="A81" s="0" t="n">
        <v>31</v>
      </c>
      <c r="B81" s="34" t="n">
        <v>40148</v>
      </c>
      <c r="C81" s="32"/>
      <c r="D81" s="29" t="s">
        <v>41</v>
      </c>
      <c r="E81" s="33" t="e">
        <f aca="false">IF(D81="totale",(C81/(A81*24))/F81,IF(D81="marché libre",(C81/(A81*24))/G81,"spécifier histo"))</f>
        <v>#DIV/0!</v>
      </c>
      <c r="F81" s="9"/>
      <c r="G81" s="9"/>
      <c r="H81" s="9"/>
      <c r="I81" s="9"/>
      <c r="J81" s="30"/>
    </row>
    <row r="82" customFormat="false" ht="24.95" hidden="false" customHeight="true" outlineLevel="0" collapsed="false">
      <c r="A82" s="0" t="n">
        <v>31</v>
      </c>
      <c r="B82" s="31" t="n">
        <v>40179</v>
      </c>
      <c r="C82" s="32"/>
      <c r="D82" s="29" t="s">
        <v>41</v>
      </c>
      <c r="E82" s="33" t="e">
        <f aca="false">IF(D82="totale",(C82/(A82*24))/F82,IF(D82="marché libre",(C82/(A82*24))/G82,"spécifier histo"))</f>
        <v>#DIV/0!</v>
      </c>
      <c r="F82" s="9"/>
      <c r="G82" s="9"/>
      <c r="H82" s="9"/>
      <c r="I82" s="9"/>
      <c r="J82" s="30"/>
    </row>
    <row r="83" customFormat="false" ht="24.95" hidden="false" customHeight="true" outlineLevel="0" collapsed="false">
      <c r="A83" s="0" t="n">
        <v>28</v>
      </c>
      <c r="B83" s="34" t="n">
        <v>40210</v>
      </c>
      <c r="C83" s="32"/>
      <c r="D83" s="29" t="s">
        <v>41</v>
      </c>
      <c r="E83" s="33" t="e">
        <f aca="false">IF(D83="totale",(C83/(A83*24))/F83,IF(D83="marché libre",(C83/(A83*24))/G83,"spécifier histo"))</f>
        <v>#DIV/0!</v>
      </c>
      <c r="F83" s="9"/>
      <c r="G83" s="9"/>
      <c r="H83" s="9"/>
      <c r="I83" s="9"/>
      <c r="J83" s="30"/>
    </row>
    <row r="84" customFormat="false" ht="24.95" hidden="false" customHeight="true" outlineLevel="0" collapsed="false">
      <c r="A84" s="0" t="n">
        <v>31</v>
      </c>
      <c r="B84" s="31" t="n">
        <v>40238</v>
      </c>
      <c r="C84" s="32"/>
      <c r="D84" s="29" t="s">
        <v>41</v>
      </c>
      <c r="E84" s="33" t="e">
        <f aca="false">IF(D84="totale",(C84/(A84*24))/F84,IF(D84="marché libre",(C84/(A84*24))/G84,"spécifier histo"))</f>
        <v>#DIV/0!</v>
      </c>
      <c r="F84" s="9"/>
      <c r="G84" s="9"/>
      <c r="H84" s="9"/>
      <c r="I84" s="9"/>
      <c r="J84" s="30"/>
    </row>
    <row r="85" customFormat="false" ht="24.95" hidden="false" customHeight="true" outlineLevel="0" collapsed="false">
      <c r="A85" s="0" t="n">
        <v>30</v>
      </c>
      <c r="B85" s="34" t="n">
        <v>40269</v>
      </c>
      <c r="C85" s="32"/>
      <c r="D85" s="29" t="s">
        <v>41</v>
      </c>
      <c r="E85" s="33" t="e">
        <f aca="false">IF(D85="totale",(C85/(A85*24))/F85,IF(D85="marché libre",(C85/(A85*24))/G85,"spécifier histo"))</f>
        <v>#DIV/0!</v>
      </c>
      <c r="F85" s="9"/>
      <c r="G85" s="9"/>
      <c r="H85" s="9"/>
      <c r="I85" s="9"/>
      <c r="J85" s="30"/>
    </row>
    <row r="86" customFormat="false" ht="24.95" hidden="false" customHeight="true" outlineLevel="0" collapsed="false">
      <c r="A86" s="0" t="n">
        <v>31</v>
      </c>
      <c r="B86" s="31" t="n">
        <v>40299</v>
      </c>
      <c r="C86" s="32"/>
      <c r="D86" s="29" t="s">
        <v>41</v>
      </c>
      <c r="E86" s="33" t="e">
        <f aca="false">IF(D86="totale",(C86/(A86*24))/F86,IF(D86="marché libre",(C86/(A86*24))/G86,"spécifier histo"))</f>
        <v>#DIV/0!</v>
      </c>
      <c r="F86" s="9"/>
      <c r="G86" s="9"/>
      <c r="H86" s="9"/>
      <c r="I86" s="9"/>
      <c r="J86" s="30"/>
    </row>
    <row r="87" customFormat="false" ht="24.95" hidden="false" customHeight="true" outlineLevel="0" collapsed="false">
      <c r="A87" s="0" t="n">
        <v>30</v>
      </c>
      <c r="B87" s="34" t="n">
        <v>40330</v>
      </c>
      <c r="C87" s="32"/>
      <c r="D87" s="29" t="s">
        <v>41</v>
      </c>
      <c r="E87" s="33" t="e">
        <f aca="false">IF(D87="totale",(C87/(A87*24))/F87,IF(D87="marché libre",(C87/(A87*24))/G87,"spécifier histo"))</f>
        <v>#DIV/0!</v>
      </c>
      <c r="F87" s="9"/>
      <c r="G87" s="9"/>
      <c r="H87" s="9"/>
      <c r="I87" s="9"/>
      <c r="J87" s="30"/>
    </row>
    <row r="88" customFormat="false" ht="24.95" hidden="false" customHeight="true" outlineLevel="0" collapsed="false">
      <c r="A88" s="0" t="n">
        <v>31</v>
      </c>
      <c r="B88" s="31" t="n">
        <v>40360</v>
      </c>
      <c r="C88" s="32"/>
      <c r="D88" s="29" t="s">
        <v>41</v>
      </c>
      <c r="E88" s="33" t="e">
        <f aca="false">IF(D88="totale",(C88/(A88*24))/F88,IF(D88="marché libre",(C88/(A88*24))/G88,"spécifier histo"))</f>
        <v>#DIV/0!</v>
      </c>
      <c r="F88" s="9"/>
      <c r="G88" s="9"/>
      <c r="H88" s="9"/>
      <c r="I88" s="9"/>
      <c r="J88" s="30"/>
    </row>
    <row r="89" customFormat="false" ht="24.95" hidden="false" customHeight="true" outlineLevel="0" collapsed="false">
      <c r="A89" s="0" t="n">
        <v>31</v>
      </c>
      <c r="B89" s="34" t="n">
        <v>40391</v>
      </c>
      <c r="C89" s="32"/>
      <c r="D89" s="29" t="s">
        <v>41</v>
      </c>
      <c r="E89" s="33" t="e">
        <f aca="false">IF(D89="totale",(C89/(A89*24))/F89,IF(D89="marché libre",(C89/(A89*24))/G89,"spécifier histo"))</f>
        <v>#DIV/0!</v>
      </c>
      <c r="F89" s="9"/>
      <c r="G89" s="9"/>
      <c r="H89" s="9"/>
      <c r="I89" s="9"/>
      <c r="J89" s="30"/>
    </row>
    <row r="90" customFormat="false" ht="24.95" hidden="false" customHeight="true" outlineLevel="0" collapsed="false">
      <c r="A90" s="0" t="n">
        <v>30</v>
      </c>
      <c r="B90" s="31" t="n">
        <v>40422</v>
      </c>
      <c r="C90" s="32"/>
      <c r="D90" s="29" t="s">
        <v>41</v>
      </c>
      <c r="E90" s="33" t="e">
        <f aca="false">IF(D90="totale",(C90/(A90*24))/F90,IF(D90="marché libre",(C90/(A90*24))/G90,"spécifier histo"))</f>
        <v>#DIV/0!</v>
      </c>
      <c r="F90" s="9"/>
      <c r="G90" s="9"/>
      <c r="H90" s="9"/>
      <c r="I90" s="9"/>
      <c r="J90" s="30"/>
    </row>
    <row r="91" customFormat="false" ht="24.95" hidden="false" customHeight="true" outlineLevel="0" collapsed="false">
      <c r="A91" s="0" t="n">
        <v>31</v>
      </c>
      <c r="B91" s="34" t="n">
        <v>40452</v>
      </c>
      <c r="C91" s="32"/>
      <c r="D91" s="29" t="s">
        <v>41</v>
      </c>
      <c r="E91" s="33" t="e">
        <f aca="false">IF(D91="totale",(C91/(A91*24))/F91,IF(D91="marché libre",(C91/(A91*24))/G91,"spécifier histo"))</f>
        <v>#DIV/0!</v>
      </c>
      <c r="F91" s="9"/>
      <c r="G91" s="9"/>
      <c r="H91" s="9"/>
      <c r="I91" s="9"/>
      <c r="J91" s="30"/>
    </row>
    <row r="92" customFormat="false" ht="24.95" hidden="false" customHeight="true" outlineLevel="0" collapsed="false">
      <c r="A92" s="0" t="n">
        <v>30</v>
      </c>
      <c r="B92" s="31" t="n">
        <v>40483</v>
      </c>
      <c r="C92" s="32"/>
      <c r="D92" s="29" t="s">
        <v>41</v>
      </c>
      <c r="E92" s="33" t="e">
        <f aca="false">IF(D92="totale",(C92/(A92*24))/F92,IF(D92="marché libre",(C92/(A92*24))/G92,"spécifier histo"))</f>
        <v>#DIV/0!</v>
      </c>
      <c r="F92" s="9"/>
      <c r="G92" s="9"/>
      <c r="H92" s="9"/>
      <c r="I92" s="9"/>
      <c r="J92" s="30"/>
    </row>
    <row r="93" customFormat="false" ht="24.95" hidden="false" customHeight="true" outlineLevel="0" collapsed="false">
      <c r="A93" s="0" t="n">
        <v>31</v>
      </c>
      <c r="B93" s="34" t="n">
        <v>40513</v>
      </c>
      <c r="C93" s="32"/>
      <c r="D93" s="29" t="s">
        <v>41</v>
      </c>
      <c r="E93" s="33" t="e">
        <f aca="false">IF(D93="totale",(C93/(A93*24))/F93,IF(D93="marché libre",(C93/(A93*24))/G93,"spécifier histo"))</f>
        <v>#DIV/0!</v>
      </c>
      <c r="F93" s="9"/>
      <c r="G93" s="9"/>
      <c r="H93" s="9"/>
      <c r="I93" s="9"/>
      <c r="J93" s="30"/>
    </row>
    <row r="94" customFormat="false" ht="24.95" hidden="false" customHeight="true" outlineLevel="0" collapsed="false">
      <c r="A94" s="0" t="n">
        <v>31</v>
      </c>
      <c r="B94" s="31" t="n">
        <v>40544</v>
      </c>
      <c r="C94" s="32"/>
      <c r="D94" s="29" t="s">
        <v>41</v>
      </c>
      <c r="E94" s="33" t="e">
        <f aca="false">IF(D94="totale",(C94/(A94*24))/F94,IF(D94="marché libre",(C94/(A94*24))/G94,"spécifier histo"))</f>
        <v>#DIV/0!</v>
      </c>
      <c r="F94" s="9"/>
      <c r="G94" s="9"/>
      <c r="H94" s="9"/>
      <c r="I94" s="9"/>
      <c r="J94" s="30"/>
    </row>
    <row r="95" customFormat="false" ht="24.95" hidden="false" customHeight="true" outlineLevel="0" collapsed="false">
      <c r="A95" s="0" t="n">
        <v>28</v>
      </c>
      <c r="B95" s="34" t="n">
        <v>40575</v>
      </c>
      <c r="C95" s="32"/>
      <c r="D95" s="29" t="s">
        <v>41</v>
      </c>
      <c r="E95" s="33" t="e">
        <f aca="false">IF(D95="totale",(C95/(A95*24))/F95,IF(D95="marché libre",(C95/(A95*24))/G95,"spécifier histo"))</f>
        <v>#DIV/0!</v>
      </c>
      <c r="F95" s="9"/>
      <c r="G95" s="9"/>
      <c r="H95" s="9"/>
      <c r="I95" s="9"/>
      <c r="J95" s="30"/>
    </row>
    <row r="96" customFormat="false" ht="24.95" hidden="false" customHeight="true" outlineLevel="0" collapsed="false">
      <c r="A96" s="0" t="n">
        <v>31</v>
      </c>
      <c r="B96" s="31" t="n">
        <v>40603</v>
      </c>
      <c r="C96" s="32"/>
      <c r="D96" s="29" t="s">
        <v>41</v>
      </c>
      <c r="E96" s="33" t="e">
        <f aca="false">IF(D96="totale",(C96/(A96*24))/F96,IF(D96="marché libre",(C96/(A96*24))/G96,"spécifier histo"))</f>
        <v>#DIV/0!</v>
      </c>
      <c r="F96" s="9"/>
      <c r="G96" s="9"/>
      <c r="H96" s="9"/>
      <c r="I96" s="9"/>
      <c r="J96" s="30"/>
    </row>
    <row r="97" customFormat="false" ht="24.95" hidden="false" customHeight="true" outlineLevel="0" collapsed="false">
      <c r="A97" s="0" t="n">
        <v>30</v>
      </c>
      <c r="B97" s="34" t="n">
        <v>40634</v>
      </c>
      <c r="C97" s="32"/>
      <c r="D97" s="29" t="s">
        <v>41</v>
      </c>
      <c r="E97" s="33" t="e">
        <f aca="false">IF(D97="totale",(C97/(A97*24))/F97,IF(D97="marché libre",(C97/(A97*24))/G97,"spécifier histo"))</f>
        <v>#DIV/0!</v>
      </c>
      <c r="F97" s="9"/>
      <c r="G97" s="9"/>
      <c r="H97" s="9"/>
      <c r="I97" s="9"/>
      <c r="J97" s="30"/>
    </row>
    <row r="98" customFormat="false" ht="24.95" hidden="false" customHeight="true" outlineLevel="0" collapsed="false">
      <c r="A98" s="0" t="n">
        <v>31</v>
      </c>
      <c r="B98" s="31" t="n">
        <v>40664</v>
      </c>
      <c r="C98" s="32"/>
      <c r="D98" s="29" t="s">
        <v>41</v>
      </c>
      <c r="E98" s="33" t="e">
        <f aca="false">IF(D98="totale",(C98/(A98*24))/F98,IF(D98="marché libre",(C98/(A98*24))/G98,"spécifier histo"))</f>
        <v>#DIV/0!</v>
      </c>
      <c r="F98" s="9"/>
      <c r="G98" s="9"/>
      <c r="H98" s="9"/>
      <c r="I98" s="9"/>
      <c r="J98" s="30"/>
    </row>
    <row r="99" customFormat="false" ht="24.95" hidden="false" customHeight="true" outlineLevel="0" collapsed="false">
      <c r="A99" s="0" t="n">
        <v>30</v>
      </c>
      <c r="B99" s="34" t="n">
        <v>40695</v>
      </c>
      <c r="C99" s="32"/>
      <c r="D99" s="29" t="s">
        <v>41</v>
      </c>
      <c r="E99" s="33" t="e">
        <f aca="false">IF(D99="totale",(C99/(A99*24))/F99,IF(D99="marché libre",(C99/(A99*24))/G99,"spécifier histo"))</f>
        <v>#DIV/0!</v>
      </c>
      <c r="F99" s="9"/>
      <c r="G99" s="9"/>
      <c r="H99" s="9"/>
      <c r="I99" s="9"/>
      <c r="J99" s="30"/>
    </row>
    <row r="100" customFormat="false" ht="24.95" hidden="false" customHeight="true" outlineLevel="0" collapsed="false">
      <c r="A100" s="0" t="n">
        <v>31</v>
      </c>
      <c r="B100" s="31" t="n">
        <v>40725</v>
      </c>
      <c r="C100" s="32"/>
      <c r="D100" s="29" t="s">
        <v>41</v>
      </c>
      <c r="E100" s="33" t="e">
        <f aca="false">IF(D100="totale",(C100/(A100*24))/F100,IF(D100="marché libre",(C100/(A100*24))/G100,"spécifier histo"))</f>
        <v>#DIV/0!</v>
      </c>
      <c r="F100" s="9"/>
      <c r="G100" s="9"/>
      <c r="H100" s="9"/>
      <c r="I100" s="9"/>
      <c r="J100" s="30"/>
    </row>
    <row r="101" customFormat="false" ht="24.95" hidden="false" customHeight="true" outlineLevel="0" collapsed="false">
      <c r="A101" s="0" t="n">
        <v>31</v>
      </c>
      <c r="B101" s="34" t="n">
        <v>40756</v>
      </c>
      <c r="C101" s="32"/>
      <c r="D101" s="29" t="s">
        <v>41</v>
      </c>
      <c r="E101" s="33" t="e">
        <f aca="false">IF(D101="totale",(C101/(A101*24))/F101,IF(D101="marché libre",(C101/(A101*24))/G101,"spécifier histo"))</f>
        <v>#DIV/0!</v>
      </c>
      <c r="F101" s="9"/>
      <c r="G101" s="9"/>
      <c r="H101" s="9"/>
      <c r="I101" s="9"/>
      <c r="J101" s="30"/>
    </row>
    <row r="102" customFormat="false" ht="24.95" hidden="false" customHeight="true" outlineLevel="0" collapsed="false">
      <c r="A102" s="0" t="n">
        <v>30</v>
      </c>
      <c r="B102" s="31" t="n">
        <v>40787</v>
      </c>
      <c r="C102" s="32"/>
      <c r="D102" s="29" t="s">
        <v>41</v>
      </c>
      <c r="E102" s="33" t="e">
        <f aca="false">IF(D102="totale",(C102/(A102*24))/F102,IF(D102="marché libre",(C102/(A102*24))/G102,"spécifier histo"))</f>
        <v>#DIV/0!</v>
      </c>
      <c r="F102" s="9"/>
      <c r="G102" s="9"/>
      <c r="H102" s="9"/>
      <c r="I102" s="9"/>
      <c r="J102" s="30"/>
    </row>
    <row r="103" customFormat="false" ht="24.95" hidden="false" customHeight="true" outlineLevel="0" collapsed="false">
      <c r="A103" s="0" t="n">
        <v>31</v>
      </c>
      <c r="B103" s="34" t="n">
        <v>40817</v>
      </c>
      <c r="C103" s="32"/>
      <c r="D103" s="29" t="s">
        <v>41</v>
      </c>
      <c r="E103" s="33" t="e">
        <f aca="false">IF(D103="totale",(C103/(A103*24))/F103,IF(D103="marché libre",(C103/(A103*24))/G103,"spécifier histo"))</f>
        <v>#DIV/0!</v>
      </c>
      <c r="F103" s="9"/>
      <c r="G103" s="9"/>
      <c r="H103" s="9"/>
      <c r="I103" s="9"/>
      <c r="J103" s="30"/>
    </row>
    <row r="104" customFormat="false" ht="24.95" hidden="false" customHeight="true" outlineLevel="0" collapsed="false">
      <c r="A104" s="0" t="n">
        <v>30</v>
      </c>
      <c r="B104" s="31" t="n">
        <v>40848</v>
      </c>
      <c r="C104" s="32"/>
      <c r="D104" s="29" t="s">
        <v>41</v>
      </c>
      <c r="E104" s="33" t="e">
        <f aca="false">IF(D104="totale",(C104/(A104*24))/F104,IF(D104="marché libre",(C104/(A104*24))/G104,"spécifier histo"))</f>
        <v>#DIV/0!</v>
      </c>
      <c r="F104" s="9"/>
      <c r="G104" s="9"/>
      <c r="H104" s="9"/>
      <c r="I104" s="9"/>
      <c r="J104" s="30"/>
    </row>
    <row r="105" customFormat="false" ht="24.95" hidden="false" customHeight="true" outlineLevel="0" collapsed="false">
      <c r="A105" s="0" t="n">
        <v>31</v>
      </c>
      <c r="B105" s="34" t="n">
        <v>40878</v>
      </c>
      <c r="C105" s="32"/>
      <c r="D105" s="29" t="s">
        <v>41</v>
      </c>
      <c r="E105" s="33" t="e">
        <f aca="false">IF(D105="totale",(C105/(A105*24))/F105,IF(D105="marché libre",(C105/(A105*24))/G105,"spécifier histo"))</f>
        <v>#DIV/0!</v>
      </c>
      <c r="F105" s="9"/>
      <c r="G105" s="9"/>
      <c r="H105" s="9"/>
      <c r="I105" s="9"/>
      <c r="J105" s="30"/>
    </row>
    <row r="106" customFormat="false" ht="24.95" hidden="false" customHeight="true" outlineLevel="0" collapsed="false">
      <c r="A106" s="0" t="n">
        <v>31</v>
      </c>
      <c r="B106" s="31" t="n">
        <v>40909</v>
      </c>
      <c r="C106" s="32"/>
      <c r="D106" s="29" t="s">
        <v>41</v>
      </c>
      <c r="E106" s="33" t="e">
        <f aca="false">IF(D106="totale",(C106/(A106*24))/F106,IF(D106="marché libre",(C106/(A106*24))/G106,"spécifier histo"))</f>
        <v>#DIV/0!</v>
      </c>
      <c r="F106" s="9"/>
      <c r="G106" s="9"/>
      <c r="H106" s="9"/>
      <c r="I106" s="9"/>
      <c r="J106" s="30"/>
    </row>
    <row r="107" customFormat="false" ht="24.95" hidden="false" customHeight="true" outlineLevel="0" collapsed="false">
      <c r="A107" s="0" t="n">
        <v>28</v>
      </c>
      <c r="B107" s="34" t="n">
        <v>40940</v>
      </c>
      <c r="C107" s="32"/>
      <c r="D107" s="29" t="s">
        <v>41</v>
      </c>
      <c r="E107" s="33" t="e">
        <f aca="false">IF(D107="totale",(C107/(A107*24))/F107,IF(D107="marché libre",(C107/(A107*24))/G107,"spécifier histo"))</f>
        <v>#DIV/0!</v>
      </c>
      <c r="F107" s="9"/>
      <c r="G107" s="9"/>
      <c r="H107" s="9"/>
      <c r="I107" s="9"/>
      <c r="J107" s="30"/>
    </row>
    <row r="108" customFormat="false" ht="24.95" hidden="false" customHeight="true" outlineLevel="0" collapsed="false">
      <c r="A108" s="0" t="n">
        <v>31</v>
      </c>
      <c r="B108" s="31" t="n">
        <v>40969</v>
      </c>
      <c r="C108" s="32"/>
      <c r="D108" s="29" t="s">
        <v>41</v>
      </c>
      <c r="E108" s="33" t="e">
        <f aca="false">IF(D108="totale",(C108/(A108*24))/F108,IF(D108="marché libre",(C108/(A108*24))/G108,"spécifier histo"))</f>
        <v>#DIV/0!</v>
      </c>
      <c r="F108" s="9"/>
      <c r="G108" s="9"/>
      <c r="H108" s="9"/>
      <c r="I108" s="9"/>
      <c r="J108" s="30"/>
    </row>
    <row r="109" customFormat="false" ht="24.95" hidden="false" customHeight="true" outlineLevel="0" collapsed="false">
      <c r="A109" s="0" t="n">
        <v>30</v>
      </c>
      <c r="B109" s="34" t="n">
        <v>41000</v>
      </c>
      <c r="C109" s="32"/>
      <c r="D109" s="29" t="s">
        <v>41</v>
      </c>
      <c r="E109" s="33" t="e">
        <f aca="false">IF(D109="totale",(C109/(A109*24))/F109,IF(D109="marché libre",(C109/(A109*24))/G109,"spécifier histo"))</f>
        <v>#DIV/0!</v>
      </c>
      <c r="F109" s="9"/>
      <c r="G109" s="9"/>
      <c r="H109" s="9"/>
      <c r="I109" s="9"/>
      <c r="J109" s="30"/>
    </row>
    <row r="110" customFormat="false" ht="24.95" hidden="false" customHeight="true" outlineLevel="0" collapsed="false">
      <c r="A110" s="0" t="n">
        <v>31</v>
      </c>
      <c r="B110" s="31" t="n">
        <v>41030</v>
      </c>
      <c r="C110" s="32"/>
      <c r="D110" s="29" t="s">
        <v>41</v>
      </c>
      <c r="E110" s="33" t="e">
        <f aca="false">IF(D110="totale",(C110/(A110*24))/F110,IF(D110="marché libre",(C110/(A110*24))/G110,"spécifier histo"))</f>
        <v>#DIV/0!</v>
      </c>
      <c r="F110" s="9"/>
      <c r="G110" s="9"/>
      <c r="H110" s="9"/>
      <c r="I110" s="9"/>
      <c r="J110" s="30"/>
    </row>
    <row r="111" customFormat="false" ht="24.95" hidden="false" customHeight="true" outlineLevel="0" collapsed="false">
      <c r="A111" s="0" t="n">
        <v>30</v>
      </c>
      <c r="B111" s="34" t="n">
        <v>41061</v>
      </c>
      <c r="C111" s="32"/>
      <c r="D111" s="29" t="s">
        <v>41</v>
      </c>
      <c r="E111" s="33" t="e">
        <f aca="false">IF(D111="totale",(C111/(A111*24))/F111,IF(D111="marché libre",(C111/(A111*24))/G111,"spécifier histo"))</f>
        <v>#DIV/0!</v>
      </c>
      <c r="F111" s="9"/>
      <c r="G111" s="9"/>
      <c r="H111" s="9"/>
      <c r="I111" s="9"/>
      <c r="J111" s="30"/>
    </row>
    <row r="112" customFormat="false" ht="24.95" hidden="false" customHeight="true" outlineLevel="0" collapsed="false">
      <c r="A112" s="0" t="n">
        <v>31</v>
      </c>
      <c r="B112" s="31" t="n">
        <v>41091</v>
      </c>
      <c r="C112" s="32"/>
      <c r="D112" s="29" t="s">
        <v>41</v>
      </c>
      <c r="E112" s="33" t="e">
        <f aca="false">IF(D112="totale",(C112/(A112*24))/F112,IF(D112="marché libre",(C112/(A112*24))/G112,"spécifier histo"))</f>
        <v>#DIV/0!</v>
      </c>
      <c r="F112" s="9"/>
      <c r="G112" s="9"/>
      <c r="H112" s="9"/>
      <c r="I112" s="9"/>
      <c r="J112" s="30"/>
    </row>
    <row r="113" customFormat="false" ht="24.95" hidden="false" customHeight="true" outlineLevel="0" collapsed="false">
      <c r="A113" s="0" t="n">
        <v>31</v>
      </c>
      <c r="B113" s="34" t="n">
        <v>41122</v>
      </c>
      <c r="C113" s="32"/>
      <c r="D113" s="29" t="s">
        <v>41</v>
      </c>
      <c r="E113" s="33" t="e">
        <f aca="false">IF(D113="totale",(C113/(A113*24))/F113,IF(D113="marché libre",(C113/(A113*24))/G113,"spécifier histo"))</f>
        <v>#DIV/0!</v>
      </c>
      <c r="F113" s="9"/>
      <c r="G113" s="9"/>
      <c r="H113" s="9"/>
      <c r="I113" s="9"/>
      <c r="J113" s="30"/>
    </row>
    <row r="114" customFormat="false" ht="24.95" hidden="false" customHeight="true" outlineLevel="0" collapsed="false">
      <c r="A114" s="0" t="n">
        <v>30</v>
      </c>
      <c r="B114" s="31" t="n">
        <v>41153</v>
      </c>
      <c r="C114" s="32"/>
      <c r="D114" s="29" t="s">
        <v>41</v>
      </c>
      <c r="E114" s="33" t="e">
        <f aca="false">IF(D114="totale",(C114/(A114*24))/F114,IF(D114="marché libre",(C114/(A114*24))/G114,"spécifier histo"))</f>
        <v>#DIV/0!</v>
      </c>
      <c r="F114" s="9"/>
      <c r="G114" s="9"/>
      <c r="H114" s="9"/>
      <c r="I114" s="9"/>
      <c r="J114" s="30"/>
    </row>
    <row r="115" customFormat="false" ht="24.95" hidden="false" customHeight="true" outlineLevel="0" collapsed="false">
      <c r="A115" s="0" t="n">
        <v>31</v>
      </c>
      <c r="B115" s="34" t="n">
        <v>41183</v>
      </c>
      <c r="C115" s="32"/>
      <c r="D115" s="29" t="s">
        <v>41</v>
      </c>
      <c r="E115" s="33" t="e">
        <f aca="false">IF(D115="totale",(C115/(A115*24))/F115,IF(D115="marché libre",(C115/(A115*24))/G115,"spécifier histo"))</f>
        <v>#DIV/0!</v>
      </c>
      <c r="F115" s="9"/>
      <c r="G115" s="9"/>
      <c r="H115" s="9"/>
      <c r="I115" s="9"/>
      <c r="J115" s="30"/>
    </row>
    <row r="116" customFormat="false" ht="24.95" hidden="false" customHeight="true" outlineLevel="0" collapsed="false">
      <c r="A116" s="0" t="n">
        <v>30</v>
      </c>
      <c r="B116" s="31" t="n">
        <v>41214</v>
      </c>
      <c r="C116" s="32"/>
      <c r="D116" s="29" t="s">
        <v>41</v>
      </c>
      <c r="E116" s="33" t="e">
        <f aca="false">IF(D116="totale",(C116/(A116*24))/F116,IF(D116="marché libre",(C116/(A116*24))/G116,"spécifier histo"))</f>
        <v>#DIV/0!</v>
      </c>
      <c r="F116" s="9"/>
      <c r="G116" s="9"/>
      <c r="H116" s="9"/>
      <c r="I116" s="9"/>
      <c r="J116" s="30"/>
    </row>
    <row r="117" customFormat="false" ht="24.95" hidden="false" customHeight="true" outlineLevel="0" collapsed="false">
      <c r="A117" s="0" t="n">
        <v>31</v>
      </c>
      <c r="B117" s="34" t="n">
        <v>41244</v>
      </c>
      <c r="C117" s="32"/>
      <c r="D117" s="29" t="s">
        <v>41</v>
      </c>
      <c r="E117" s="33" t="e">
        <f aca="false">IF(D117="totale",(C117/(A117*24))/F117,IF(D117="marché libre",(C117/(A117*24))/G117,"spécifier histo"))</f>
        <v>#DIV/0!</v>
      </c>
      <c r="F117" s="9"/>
      <c r="G117" s="9"/>
      <c r="H117" s="9"/>
      <c r="I117" s="9"/>
      <c r="J117" s="30"/>
      <c r="L117" s="35"/>
      <c r="M117" s="35"/>
      <c r="N117" s="35"/>
      <c r="O117" s="36"/>
      <c r="P117" s="36"/>
      <c r="Q117" s="36"/>
    </row>
    <row r="118" customFormat="false" ht="24.95" hidden="false" customHeight="true" outlineLevel="0" collapsed="false">
      <c r="A118" s="0" t="n">
        <v>31</v>
      </c>
      <c r="B118" s="37" t="n">
        <v>41275</v>
      </c>
      <c r="C118" s="38"/>
      <c r="D118" s="39" t="s">
        <v>41</v>
      </c>
      <c r="E118" s="40" t="e">
        <f aca="false">IF(D118="totale",(C118/(A118*24))/F118,IF(D118="marché libre",(C118/(A118*24))/G118,"spécifier histo"))</f>
        <v>#DIV/0!</v>
      </c>
      <c r="F118" s="41"/>
      <c r="G118" s="41"/>
      <c r="H118" s="41"/>
      <c r="I118" s="42"/>
      <c r="J118" s="30"/>
      <c r="L118" s="43"/>
      <c r="M118" s="43"/>
      <c r="N118" s="43"/>
      <c r="O118" s="36"/>
      <c r="P118" s="36"/>
      <c r="Q118" s="36"/>
    </row>
    <row r="119" customFormat="false" ht="24.95" hidden="false" customHeight="true" outlineLevel="0" collapsed="false">
      <c r="A119" s="0" t="n">
        <v>28</v>
      </c>
      <c r="B119" s="34" t="n">
        <v>41306</v>
      </c>
      <c r="D119" s="29" t="s">
        <v>41</v>
      </c>
      <c r="E119" s="33" t="e">
        <f aca="false">IF(D119="totale",(C119/(A119*24))/F119,IF(D119="marché libre",(C119/(A119*24))/G119,"spécifier histo"))</f>
        <v>#DIV/0!</v>
      </c>
      <c r="F119" s="9"/>
      <c r="G119" s="9"/>
      <c r="H119" s="9"/>
      <c r="I119" s="9"/>
      <c r="J119" s="30"/>
      <c r="L119" s="43"/>
      <c r="M119" s="44"/>
      <c r="N119" s="44"/>
      <c r="O119" s="45"/>
      <c r="P119" s="46"/>
      <c r="Q119" s="46"/>
    </row>
    <row r="120" customFormat="false" ht="24.95" hidden="false" customHeight="true" outlineLevel="0" collapsed="false">
      <c r="A120" s="0" t="n">
        <v>31</v>
      </c>
      <c r="B120" s="31" t="n">
        <v>41334</v>
      </c>
      <c r="D120" s="29" t="s">
        <v>41</v>
      </c>
      <c r="E120" s="33" t="e">
        <f aca="false">IF(D120="totale",(C120/(A120*24))/F120,IF(D120="marché libre",(C120/(A120*24))/G120,"spécifier histo"))</f>
        <v>#DIV/0!</v>
      </c>
      <c r="F120" s="9"/>
      <c r="G120" s="9"/>
      <c r="H120" s="9"/>
      <c r="I120" s="9"/>
      <c r="J120" s="30"/>
      <c r="L120" s="47"/>
      <c r="M120" s="47"/>
      <c r="N120" s="47"/>
      <c r="O120" s="36"/>
      <c r="P120" s="47"/>
      <c r="Q120" s="47"/>
    </row>
    <row r="121" customFormat="false" ht="24.95" hidden="false" customHeight="true" outlineLevel="0" collapsed="false">
      <c r="A121" s="0" t="n">
        <v>30</v>
      </c>
      <c r="B121" s="34" t="n">
        <v>41365</v>
      </c>
      <c r="D121" s="29" t="s">
        <v>41</v>
      </c>
      <c r="E121" s="33" t="e">
        <f aca="false">IF(D121="totale",(C121/(A121*24))/F121,IF(D121="marché libre",(C121/(A121*24))/G121,"spécifier histo"))</f>
        <v>#DIV/0!</v>
      </c>
      <c r="F121" s="9"/>
      <c r="G121" s="9"/>
      <c r="H121" s="9"/>
      <c r="I121" s="9"/>
      <c r="J121" s="30"/>
      <c r="L121" s="43"/>
      <c r="M121" s="43"/>
      <c r="N121" s="43"/>
      <c r="O121" s="36"/>
      <c r="P121" s="43"/>
      <c r="Q121" s="43"/>
    </row>
    <row r="122" customFormat="false" ht="24.95" hidden="false" customHeight="true" outlineLevel="0" collapsed="false">
      <c r="A122" s="0" t="n">
        <v>31</v>
      </c>
      <c r="B122" s="31" t="n">
        <v>41395</v>
      </c>
      <c r="D122" s="29" t="s">
        <v>41</v>
      </c>
      <c r="E122" s="33" t="e">
        <f aca="false">IF(D122="totale",(C122/(A122*24))/F122,IF(D122="marché libre",(C122/(A122*24))/G122,"spécifier histo"))</f>
        <v>#DIV/0!</v>
      </c>
      <c r="F122" s="9"/>
      <c r="G122" s="9"/>
      <c r="H122" s="9"/>
      <c r="I122" s="9"/>
      <c r="J122" s="30"/>
      <c r="L122" s="48"/>
      <c r="M122" s="49"/>
      <c r="N122" s="49"/>
      <c r="O122" s="36"/>
      <c r="P122" s="49"/>
      <c r="Q122" s="49"/>
      <c r="S122" s="0"/>
    </row>
    <row r="123" customFormat="false" ht="24.95" hidden="false" customHeight="true" outlineLevel="0" collapsed="false">
      <c r="A123" s="0" t="n">
        <v>30</v>
      </c>
      <c r="B123" s="34" t="n">
        <v>41426</v>
      </c>
      <c r="D123" s="29" t="s">
        <v>41</v>
      </c>
      <c r="E123" s="33" t="e">
        <f aca="false">IF(D123="totale",(C123/(A123*24))/F123,IF(D123="marché libre",(C123/(A123*24))/G123,"spécifier histo"))</f>
        <v>#DIV/0!</v>
      </c>
      <c r="F123" s="9"/>
      <c r="G123" s="9"/>
      <c r="H123" s="9"/>
      <c r="I123" s="9"/>
      <c r="J123" s="30"/>
      <c r="L123" s="48"/>
      <c r="M123" s="50"/>
      <c r="N123" s="50"/>
      <c r="O123" s="36"/>
      <c r="P123" s="50"/>
      <c r="Q123" s="50"/>
      <c r="S123" s="0"/>
    </row>
    <row r="124" customFormat="false" ht="24.95" hidden="false" customHeight="true" outlineLevel="0" collapsed="false">
      <c r="A124" s="0" t="n">
        <v>31</v>
      </c>
      <c r="B124" s="31" t="n">
        <v>41456</v>
      </c>
      <c r="D124" s="29" t="s">
        <v>41</v>
      </c>
      <c r="E124" s="33" t="e">
        <f aca="false">IF(D124="totale",(C124/(A124*24))/F124,IF(D124="marché libre",(C124/(A124*24))/G124,"spécifier histo"))</f>
        <v>#DIV/0!</v>
      </c>
      <c r="F124" s="9"/>
      <c r="G124" s="9"/>
      <c r="H124" s="9"/>
      <c r="I124" s="9"/>
      <c r="J124" s="30"/>
      <c r="L124" s="51"/>
      <c r="M124" s="49"/>
      <c r="N124" s="49"/>
      <c r="O124" s="36"/>
      <c r="P124" s="49"/>
      <c r="Q124" s="49"/>
      <c r="S124" s="0"/>
    </row>
    <row r="125" customFormat="false" ht="24.95" hidden="false" customHeight="true" outlineLevel="0" collapsed="false">
      <c r="A125" s="0" t="n">
        <v>31</v>
      </c>
      <c r="B125" s="34" t="n">
        <v>41487</v>
      </c>
      <c r="D125" s="29" t="s">
        <v>41</v>
      </c>
      <c r="E125" s="33" t="e">
        <f aca="false">IF(D125="totale",(C125/(A125*24))/F125,IF(D125="marché libre",(C125/(A125*24))/G125,"spécifier histo"))</f>
        <v>#DIV/0!</v>
      </c>
      <c r="F125" s="9"/>
      <c r="G125" s="9"/>
      <c r="H125" s="9"/>
      <c r="I125" s="9"/>
      <c r="J125" s="30"/>
      <c r="L125" s="51"/>
      <c r="M125" s="49"/>
      <c r="N125" s="49"/>
      <c r="O125" s="36"/>
      <c r="P125" s="49"/>
      <c r="Q125" s="49"/>
      <c r="S125" s="0"/>
    </row>
    <row r="126" customFormat="false" ht="24.95" hidden="false" customHeight="true" outlineLevel="0" collapsed="false">
      <c r="A126" s="0" t="n">
        <v>30</v>
      </c>
      <c r="B126" s="31" t="n">
        <v>41518</v>
      </c>
      <c r="D126" s="29" t="s">
        <v>41</v>
      </c>
      <c r="E126" s="33" t="e">
        <f aca="false">IF(D126="totale",(C126/(A126*24))/F126,IF(D126="marché libre",(C126/(A126*24))/G126,"spécifier histo"))</f>
        <v>#DIV/0!</v>
      </c>
      <c r="F126" s="9"/>
      <c r="G126" s="9"/>
      <c r="H126" s="9"/>
      <c r="I126" s="9"/>
      <c r="J126" s="30"/>
      <c r="L126" s="48"/>
      <c r="M126" s="49"/>
      <c r="N126" s="49"/>
      <c r="O126" s="36"/>
      <c r="P126" s="49"/>
      <c r="Q126" s="49"/>
      <c r="S126" s="0"/>
    </row>
    <row r="127" customFormat="false" ht="24.95" hidden="false" customHeight="true" outlineLevel="0" collapsed="false">
      <c r="A127" s="0" t="n">
        <v>31</v>
      </c>
      <c r="B127" s="34" t="n">
        <v>41548</v>
      </c>
      <c r="D127" s="29" t="s">
        <v>41</v>
      </c>
      <c r="E127" s="33" t="e">
        <f aca="false">IF(D127="totale",(C127/(A127*24))/F127,IF(D127="marché libre",(C127/(A127*24))/G127,"spécifier histo"))</f>
        <v>#DIV/0!</v>
      </c>
      <c r="F127" s="9"/>
      <c r="G127" s="9"/>
      <c r="H127" s="9"/>
      <c r="I127" s="9"/>
      <c r="J127" s="30"/>
      <c r="L127" s="48"/>
      <c r="M127" s="49"/>
      <c r="N127" s="49"/>
      <c r="O127" s="36"/>
      <c r="P127" s="49"/>
      <c r="Q127" s="49"/>
      <c r="S127" s="0"/>
    </row>
    <row r="128" customFormat="false" ht="24.95" hidden="false" customHeight="true" outlineLevel="0" collapsed="false">
      <c r="A128" s="0" t="n">
        <v>30</v>
      </c>
      <c r="B128" s="31" t="n">
        <v>41579</v>
      </c>
      <c r="D128" s="29" t="s">
        <v>41</v>
      </c>
      <c r="E128" s="33" t="e">
        <f aca="false">IF(D128="totale",(C128/(A128*24))/F128,IF(D128="marché libre",(C128/(A128*24))/G128,"spécifier histo"))</f>
        <v>#DIV/0!</v>
      </c>
      <c r="F128" s="9"/>
      <c r="G128" s="9"/>
      <c r="H128" s="9"/>
      <c r="I128" s="9"/>
      <c r="J128" s="30"/>
      <c r="L128" s="48"/>
      <c r="M128" s="49"/>
      <c r="N128" s="49"/>
      <c r="O128" s="36"/>
      <c r="P128" s="49"/>
      <c r="Q128" s="49"/>
      <c r="S128" s="0"/>
    </row>
    <row r="129" customFormat="false" ht="24.95" hidden="false" customHeight="true" outlineLevel="0" collapsed="false">
      <c r="A129" s="0" t="n">
        <v>31</v>
      </c>
      <c r="B129" s="34" t="n">
        <v>41609</v>
      </c>
      <c r="D129" s="29" t="s">
        <v>41</v>
      </c>
      <c r="E129" s="33" t="e">
        <f aca="false">IF(D129="totale",(C129/(A129*24))/F129,IF(D129="marché libre",(C129/(A129*24))/G129,"spécifier histo"))</f>
        <v>#DIV/0!</v>
      </c>
      <c r="F129" s="9"/>
      <c r="G129" s="9"/>
      <c r="H129" s="9"/>
      <c r="I129" s="9"/>
      <c r="J129" s="30"/>
      <c r="L129" s="48"/>
      <c r="M129" s="49"/>
      <c r="N129" s="49"/>
      <c r="O129" s="36"/>
      <c r="P129" s="49"/>
      <c r="Q129" s="49"/>
      <c r="S129" s="0"/>
    </row>
    <row r="130" customFormat="false" ht="24.95" hidden="false" customHeight="true" outlineLevel="0" collapsed="false">
      <c r="A130" s="0" t="n">
        <v>31</v>
      </c>
      <c r="B130" s="31" t="n">
        <v>41640</v>
      </c>
      <c r="D130" s="29" t="s">
        <v>41</v>
      </c>
      <c r="E130" s="33" t="e">
        <f aca="false">IF(D130="totale",(C130/(A130*24))/F130,IF(D130="marché libre",(C130/(A130*24))/G130,"spécifier histo"))</f>
        <v>#DIV/0!</v>
      </c>
      <c r="F130" s="9"/>
      <c r="G130" s="9"/>
      <c r="H130" s="9"/>
      <c r="I130" s="9"/>
      <c r="J130" s="30"/>
      <c r="L130" s="51"/>
      <c r="M130" s="49"/>
      <c r="N130" s="49"/>
      <c r="O130" s="36"/>
      <c r="P130" s="49"/>
      <c r="Q130" s="49"/>
      <c r="S130" s="0"/>
    </row>
    <row r="131" customFormat="false" ht="24.95" hidden="false" customHeight="true" outlineLevel="0" collapsed="false">
      <c r="A131" s="0" t="n">
        <v>28</v>
      </c>
      <c r="B131" s="34" t="n">
        <v>41671</v>
      </c>
      <c r="D131" s="29" t="s">
        <v>41</v>
      </c>
      <c r="E131" s="33" t="e">
        <f aca="false">IF(D131="totale",(C131/(A131*24))/F131,IF(D131="marché libre",(C131/(A131*24))/G131,"spécifier histo"))</f>
        <v>#DIV/0!</v>
      </c>
      <c r="F131" s="9"/>
      <c r="G131" s="9"/>
      <c r="H131" s="9"/>
      <c r="I131" s="9"/>
      <c r="J131" s="30"/>
      <c r="L131" s="48"/>
      <c r="M131" s="49"/>
      <c r="N131" s="49"/>
      <c r="O131" s="36"/>
      <c r="P131" s="49"/>
      <c r="Q131" s="49"/>
      <c r="S131" s="0"/>
    </row>
    <row r="132" customFormat="false" ht="24.95" hidden="false" customHeight="true" outlineLevel="0" collapsed="false">
      <c r="A132" s="0" t="n">
        <v>31</v>
      </c>
      <c r="B132" s="31" t="n">
        <v>41699</v>
      </c>
      <c r="D132" s="29" t="s">
        <v>41</v>
      </c>
      <c r="E132" s="33" t="e">
        <f aca="false">IF(D132="totale",(C132/(A132*24))/F132,IF(D132="marché libre",(C132/(A132*24))/G132,"spécifier histo"))</f>
        <v>#DIV/0!</v>
      </c>
      <c r="F132" s="9"/>
      <c r="G132" s="9"/>
      <c r="H132" s="9"/>
      <c r="I132" s="9"/>
      <c r="J132" s="30"/>
      <c r="L132" s="48"/>
      <c r="M132" s="49"/>
      <c r="N132" s="49"/>
      <c r="O132" s="36"/>
      <c r="P132" s="49"/>
      <c r="Q132" s="49"/>
      <c r="S132" s="0"/>
    </row>
    <row r="133" customFormat="false" ht="24.95" hidden="false" customHeight="true" outlineLevel="0" collapsed="false">
      <c r="A133" s="0" t="n">
        <v>30</v>
      </c>
      <c r="B133" s="34" t="n">
        <v>41730</v>
      </c>
      <c r="D133" s="29" t="s">
        <v>41</v>
      </c>
      <c r="E133" s="33" t="e">
        <f aca="false">IF(D133="totale",(C133/(A133*24))/F133,IF(D133="marché libre",(C133/(A133*24))/G133,"spécifier histo"))</f>
        <v>#DIV/0!</v>
      </c>
      <c r="F133" s="9"/>
      <c r="G133" s="9"/>
      <c r="H133" s="9"/>
      <c r="I133" s="9"/>
      <c r="J133" s="30"/>
      <c r="L133" s="48"/>
      <c r="M133" s="49"/>
      <c r="N133" s="49"/>
      <c r="O133" s="36"/>
      <c r="P133" s="49"/>
      <c r="Q133" s="49"/>
      <c r="S133" s="0"/>
    </row>
    <row r="134" customFormat="false" ht="24.95" hidden="false" customHeight="true" outlineLevel="0" collapsed="false">
      <c r="A134" s="0" t="n">
        <v>31</v>
      </c>
      <c r="B134" s="31" t="n">
        <v>41760</v>
      </c>
      <c r="D134" s="29" t="s">
        <v>41</v>
      </c>
      <c r="E134" s="33" t="e">
        <f aca="false">IF(D134="totale",(C134/(A134*24))/F134,IF(D134="marché libre",(C134/(A134*24))/G134,"spécifier histo"))</f>
        <v>#DIV/0!</v>
      </c>
      <c r="F134" s="9"/>
      <c r="G134" s="9"/>
      <c r="H134" s="9"/>
      <c r="I134" s="9"/>
      <c r="J134" s="30"/>
      <c r="L134" s="48"/>
      <c r="M134" s="49"/>
      <c r="N134" s="49"/>
      <c r="O134" s="36"/>
      <c r="P134" s="49"/>
      <c r="Q134" s="49"/>
    </row>
    <row r="135" customFormat="false" ht="24.95" hidden="false" customHeight="true" outlineLevel="0" collapsed="false">
      <c r="A135" s="0" t="n">
        <v>30</v>
      </c>
      <c r="B135" s="34" t="n">
        <v>41791</v>
      </c>
      <c r="D135" s="29" t="s">
        <v>41</v>
      </c>
      <c r="E135" s="33" t="e">
        <f aca="false">IF(D135="totale",(C135/(A135*24))/F135,IF(D135="marché libre",(C135/(A135*24))/G135,"spécifier histo"))</f>
        <v>#DIV/0!</v>
      </c>
      <c r="F135" s="9"/>
      <c r="G135" s="9"/>
      <c r="H135" s="9"/>
      <c r="I135" s="9"/>
      <c r="J135" s="30"/>
      <c r="L135" s="52"/>
      <c r="M135" s="53"/>
      <c r="N135" s="53"/>
      <c r="O135" s="36"/>
      <c r="P135" s="53"/>
      <c r="Q135" s="53"/>
    </row>
    <row r="136" customFormat="false" ht="24.95" hidden="false" customHeight="true" outlineLevel="0" collapsed="false">
      <c r="A136" s="0" t="n">
        <v>31</v>
      </c>
      <c r="B136" s="31" t="n">
        <v>41821</v>
      </c>
      <c r="D136" s="29" t="s">
        <v>41</v>
      </c>
      <c r="E136" s="33" t="e">
        <f aca="false">IF(D136="totale",(C136/(A136*24))/F136,IF(D136="marché libre",(C136/(A136*24))/G136,"spécifier histo"))</f>
        <v>#DIV/0!</v>
      </c>
      <c r="F136" s="9"/>
      <c r="G136" s="9"/>
      <c r="H136" s="9"/>
      <c r="I136" s="9"/>
      <c r="J136" s="30"/>
      <c r="L136" s="36"/>
      <c r="M136" s="36"/>
      <c r="N136" s="36"/>
      <c r="O136" s="36"/>
      <c r="P136" s="36"/>
      <c r="Q136" s="36"/>
    </row>
    <row r="137" customFormat="false" ht="24.95" hidden="false" customHeight="true" outlineLevel="0" collapsed="false">
      <c r="A137" s="0" t="n">
        <v>31</v>
      </c>
      <c r="B137" s="34" t="n">
        <v>41852</v>
      </c>
      <c r="D137" s="29" t="s">
        <v>41</v>
      </c>
      <c r="E137" s="33" t="e">
        <f aca="false">IF(D137="totale",(C137/(A137*24))/F137,IF(D137="marché libre",(C137/(A137*24))/G137,"spécifier histo"))</f>
        <v>#DIV/0!</v>
      </c>
      <c r="F137" s="9"/>
      <c r="G137" s="9"/>
      <c r="H137" s="9"/>
      <c r="I137" s="9"/>
      <c r="J137" s="30"/>
      <c r="L137" s="36"/>
      <c r="M137" s="54"/>
      <c r="N137" s="36"/>
      <c r="O137" s="36"/>
      <c r="P137" s="36"/>
      <c r="Q137" s="36"/>
    </row>
    <row r="138" customFormat="false" ht="24.95" hidden="false" customHeight="true" outlineLevel="0" collapsed="false">
      <c r="A138" s="0" t="n">
        <v>30</v>
      </c>
      <c r="B138" s="31" t="n">
        <v>41883</v>
      </c>
      <c r="D138" s="29" t="s">
        <v>41</v>
      </c>
      <c r="E138" s="33" t="e">
        <f aca="false">IF(D138="totale",(C138/(A138*24))/F138,IF(D138="marché libre",(C138/(A138*24))/G138,"spécifier histo"))</f>
        <v>#DIV/0!</v>
      </c>
      <c r="F138" s="9"/>
      <c r="G138" s="9"/>
      <c r="H138" s="9"/>
      <c r="I138" s="9"/>
      <c r="J138" s="30"/>
      <c r="L138" s="36"/>
      <c r="M138" s="36"/>
      <c r="N138" s="36"/>
      <c r="O138" s="36"/>
      <c r="P138" s="36"/>
      <c r="Q138" s="36"/>
    </row>
    <row r="139" customFormat="false" ht="24.95" hidden="false" customHeight="true" outlineLevel="0" collapsed="false">
      <c r="A139" s="0" t="n">
        <v>31</v>
      </c>
      <c r="B139" s="34" t="n">
        <v>41913</v>
      </c>
      <c r="D139" s="29" t="s">
        <v>41</v>
      </c>
      <c r="E139" s="33" t="e">
        <f aca="false">IF(D139="totale",(C139/(A139*24))/F139,IF(D139="marché libre",(C139/(A139*24))/G139,"spécifier histo"))</f>
        <v>#DIV/0!</v>
      </c>
      <c r="F139" s="9"/>
      <c r="G139" s="9"/>
      <c r="H139" s="9"/>
      <c r="I139" s="9"/>
      <c r="J139" s="30"/>
      <c r="L139" s="43"/>
      <c r="M139" s="44"/>
      <c r="N139" s="44"/>
      <c r="O139" s="45"/>
      <c r="P139" s="46"/>
      <c r="Q139" s="46"/>
    </row>
    <row r="140" customFormat="false" ht="24.95" hidden="false" customHeight="true" outlineLevel="0" collapsed="false">
      <c r="A140" s="0" t="n">
        <v>30</v>
      </c>
      <c r="B140" s="31" t="n">
        <v>41944</v>
      </c>
      <c r="D140" s="29" t="s">
        <v>41</v>
      </c>
      <c r="E140" s="33" t="e">
        <f aca="false">IF(D140="totale",(C140/(A140*24))/F140,IF(D140="marché libre",(C140/(A140*24))/G140,"spécifier histo"))</f>
        <v>#DIV/0!</v>
      </c>
      <c r="F140" s="9"/>
      <c r="G140" s="9"/>
      <c r="H140" s="9"/>
      <c r="I140" s="55"/>
      <c r="J140" s="55"/>
      <c r="L140" s="47"/>
      <c r="M140" s="47"/>
      <c r="N140" s="47"/>
      <c r="O140" s="36"/>
      <c r="P140" s="47"/>
      <c r="Q140" s="47"/>
    </row>
    <row r="141" customFormat="false" ht="24.95" hidden="false" customHeight="true" outlineLevel="0" collapsed="false">
      <c r="A141" s="0" t="n">
        <v>31</v>
      </c>
      <c r="B141" s="34" t="n">
        <v>41974</v>
      </c>
      <c r="D141" s="29" t="s">
        <v>41</v>
      </c>
      <c r="E141" s="33" t="e">
        <f aca="false">IF(D141="totale",(C141/(A141*24))/F141,IF(D141="marché libre",(C141/(A141*24))/G141,"spécifier histo"))</f>
        <v>#DIV/0!</v>
      </c>
      <c r="F141" s="9"/>
      <c r="G141" s="9"/>
      <c r="H141" s="9"/>
      <c r="I141" s="55"/>
      <c r="J141" s="55"/>
      <c r="L141" s="43"/>
      <c r="M141" s="43"/>
      <c r="N141" s="43"/>
      <c r="O141" s="36"/>
      <c r="P141" s="43"/>
      <c r="Q141" s="43"/>
    </row>
    <row r="142" customFormat="false" ht="24.95" hidden="false" customHeight="true" outlineLevel="0" collapsed="false">
      <c r="A142" s="0" t="n">
        <v>31</v>
      </c>
      <c r="B142" s="31" t="n">
        <v>42005</v>
      </c>
      <c r="D142" s="29" t="s">
        <v>42</v>
      </c>
      <c r="E142" s="33" t="e">
        <f aca="false">IF(D142="totale",(C142/(A142*24))/F142,IF(D142="marché libre",(C142/(A142*24))/G142,"spécifier histo"))</f>
        <v>#DIV/0!</v>
      </c>
      <c r="F142" s="9"/>
      <c r="G142" s="9"/>
      <c r="H142" s="9"/>
      <c r="I142" s="55"/>
      <c r="J142" s="55"/>
      <c r="L142" s="47"/>
      <c r="M142" s="47"/>
      <c r="N142" s="47"/>
      <c r="O142" s="36"/>
      <c r="P142" s="47"/>
      <c r="Q142" s="47"/>
    </row>
    <row r="143" customFormat="false" ht="19.85" hidden="false" customHeight="true" outlineLevel="0" collapsed="false">
      <c r="A143" s="0" t="n">
        <v>28</v>
      </c>
      <c r="B143" s="34" t="n">
        <v>42036</v>
      </c>
      <c r="C143" s="56"/>
      <c r="D143" s="57" t="s">
        <v>42</v>
      </c>
      <c r="E143" s="33" t="e">
        <f aca="false">IF(D143="totale",(C143/(A143*24))/F143,IF(D143="marché libre",(C143/(A143*24))/G143,"spécifier histo"))</f>
        <v>#DIV/0!</v>
      </c>
      <c r="F143" s="9"/>
      <c r="G143" s="9"/>
      <c r="H143" s="9"/>
      <c r="I143" s="55"/>
      <c r="J143" s="55"/>
      <c r="L143" s="48"/>
      <c r="M143" s="50"/>
      <c r="N143" s="50"/>
      <c r="O143" s="36"/>
      <c r="P143" s="50"/>
      <c r="Q143" s="50"/>
      <c r="S143" s="0"/>
    </row>
    <row r="144" customFormat="false" ht="19.85" hidden="false" customHeight="true" outlineLevel="0" collapsed="false">
      <c r="A144" s="0" t="n">
        <v>31</v>
      </c>
      <c r="B144" s="31" t="n">
        <v>42064</v>
      </c>
      <c r="C144" s="56"/>
      <c r="D144" s="57" t="s">
        <v>42</v>
      </c>
      <c r="E144" s="33" t="e">
        <f aca="false">IF(D144="totale",(C144/(A144*24))/F144,IF(D144="marché libre",(C144/(A144*24))/G144,"spécifier histo"))</f>
        <v>#DIV/0!</v>
      </c>
      <c r="F144" s="9"/>
      <c r="G144" s="9"/>
      <c r="H144" s="9"/>
      <c r="J144" s="55"/>
      <c r="L144" s="51"/>
      <c r="M144" s="49"/>
      <c r="N144" s="49"/>
      <c r="O144" s="36"/>
      <c r="P144" s="49"/>
      <c r="Q144" s="49"/>
      <c r="S144" s="0"/>
    </row>
    <row r="145" customFormat="false" ht="19.85" hidden="false" customHeight="true" outlineLevel="0" collapsed="false">
      <c r="A145" s="0" t="n">
        <v>30</v>
      </c>
      <c r="B145" s="34" t="n">
        <v>42095</v>
      </c>
      <c r="C145" s="56"/>
      <c r="D145" s="57" t="s">
        <v>42</v>
      </c>
      <c r="E145" s="33" t="e">
        <f aca="false">IF(D145="totale",(C145/(A145*24))/F145,IF(D145="marché libre",(C145/(A145*24))/G145,"spécifier histo"))</f>
        <v>#DIV/0!</v>
      </c>
      <c r="F145" s="9"/>
      <c r="G145" s="9"/>
      <c r="H145" s="9"/>
      <c r="J145" s="55"/>
      <c r="L145" s="51"/>
      <c r="M145" s="49"/>
      <c r="N145" s="49"/>
      <c r="O145" s="36"/>
      <c r="P145" s="49"/>
      <c r="Q145" s="49"/>
      <c r="S145" s="0"/>
    </row>
    <row r="146" customFormat="false" ht="19.85" hidden="false" customHeight="true" outlineLevel="0" collapsed="false">
      <c r="A146" s="0" t="n">
        <v>31</v>
      </c>
      <c r="B146" s="31" t="n">
        <v>42125</v>
      </c>
      <c r="C146" s="56"/>
      <c r="D146" s="57" t="s">
        <v>42</v>
      </c>
      <c r="E146" s="33" t="e">
        <f aca="false">IF(D146="totale",(C146/(A146*24))/F146,IF(D146="marché libre",(C146/(A146*24))/G146,"spécifier histo"))</f>
        <v>#DIV/0!</v>
      </c>
      <c r="F146" s="9"/>
      <c r="G146" s="9"/>
      <c r="H146" s="9"/>
      <c r="J146" s="55"/>
      <c r="L146" s="48"/>
      <c r="M146" s="49"/>
      <c r="N146" s="49"/>
      <c r="O146" s="36"/>
      <c r="P146" s="49"/>
      <c r="Q146" s="49"/>
      <c r="S146" s="0"/>
    </row>
    <row r="147" customFormat="false" ht="19.85" hidden="false" customHeight="true" outlineLevel="0" collapsed="false">
      <c r="A147" s="0" t="n">
        <v>30</v>
      </c>
      <c r="B147" s="34" t="n">
        <v>42156</v>
      </c>
      <c r="C147" s="56"/>
      <c r="D147" s="57" t="s">
        <v>42</v>
      </c>
      <c r="E147" s="33" t="e">
        <f aca="false">IF(D147="totale",(C147/(A147*24))/F147,IF(D147="marché libre",(C147/(A147*24))/G147,"spécifier histo"))</f>
        <v>#DIV/0!</v>
      </c>
      <c r="F147" s="9"/>
      <c r="G147" s="9"/>
      <c r="H147" s="9"/>
      <c r="J147" s="55"/>
      <c r="L147" s="48"/>
      <c r="M147" s="49"/>
      <c r="N147" s="49"/>
      <c r="O147" s="36"/>
      <c r="P147" s="49"/>
      <c r="Q147" s="49"/>
      <c r="S147" s="0"/>
    </row>
    <row r="148" customFormat="false" ht="19.85" hidden="false" customHeight="true" outlineLevel="0" collapsed="false">
      <c r="A148" s="0" t="n">
        <v>31</v>
      </c>
      <c r="B148" s="31" t="n">
        <v>42186</v>
      </c>
      <c r="C148" s="56"/>
      <c r="D148" s="57" t="s">
        <v>42</v>
      </c>
      <c r="E148" s="33" t="e">
        <f aca="false">IF(D148="totale",(C148/(A148*24))/F148,IF(D148="marché libre",(C148/(A148*24))/G148,"spécifier histo"))</f>
        <v>#DIV/0!</v>
      </c>
      <c r="F148" s="9"/>
      <c r="G148" s="9"/>
      <c r="H148" s="9"/>
      <c r="J148" s="55"/>
      <c r="L148" s="48"/>
      <c r="M148" s="49"/>
      <c r="N148" s="49"/>
      <c r="O148" s="36"/>
      <c r="P148" s="49"/>
      <c r="Q148" s="49"/>
      <c r="S148" s="0"/>
    </row>
    <row r="149" customFormat="false" ht="19.85" hidden="false" customHeight="true" outlineLevel="0" collapsed="false">
      <c r="A149" s="0" t="n">
        <v>31</v>
      </c>
      <c r="B149" s="34" t="n">
        <v>42217</v>
      </c>
      <c r="C149" s="56"/>
      <c r="D149" s="57" t="s">
        <v>42</v>
      </c>
      <c r="E149" s="33" t="e">
        <f aca="false">IF(D149="totale",(C149/(A149*24))/F149,IF(D149="marché libre",(C149/(A149*24))/G149,"spécifier histo"))</f>
        <v>#DIV/0!</v>
      </c>
      <c r="F149" s="9"/>
      <c r="G149" s="9"/>
      <c r="H149" s="9"/>
      <c r="J149" s="55"/>
      <c r="L149" s="48"/>
      <c r="M149" s="49"/>
      <c r="N149" s="49"/>
      <c r="O149" s="36"/>
      <c r="P149" s="49"/>
      <c r="Q149" s="49"/>
      <c r="R149" s="0"/>
      <c r="S149" s="0"/>
      <c r="T149" s="0"/>
    </row>
    <row r="150" customFormat="false" ht="19.85" hidden="false" customHeight="true" outlineLevel="0" collapsed="false">
      <c r="A150" s="0" t="n">
        <v>30</v>
      </c>
      <c r="B150" s="31" t="n">
        <v>42248</v>
      </c>
      <c r="C150" s="56"/>
      <c r="D150" s="57" t="s">
        <v>42</v>
      </c>
      <c r="E150" s="33" t="e">
        <f aca="false">IF(D150="totale",(C150/(A150*24))/F150,IF(D150="marché libre",(C150/(A150*24))/G150,"spécifier histo"))</f>
        <v>#DIV/0!</v>
      </c>
      <c r="F150" s="9"/>
      <c r="G150" s="9"/>
      <c r="H150" s="9"/>
      <c r="J150" s="55"/>
      <c r="L150" s="51"/>
      <c r="M150" s="49"/>
      <c r="N150" s="49"/>
      <c r="O150" s="36"/>
      <c r="P150" s="49"/>
      <c r="Q150" s="49"/>
      <c r="R150" s="0"/>
      <c r="S150" s="0"/>
      <c r="T150" s="0"/>
    </row>
    <row r="151" customFormat="false" ht="19.85" hidden="false" customHeight="true" outlineLevel="0" collapsed="false">
      <c r="A151" s="0" t="n">
        <v>31</v>
      </c>
      <c r="B151" s="34" t="n">
        <v>42278</v>
      </c>
      <c r="C151" s="56"/>
      <c r="D151" s="57" t="s">
        <v>42</v>
      </c>
      <c r="E151" s="33" t="e">
        <f aca="false">IF(D151="totale",(C151/(A151*24))/F151,IF(D151="marché libre",(C151/(A151*24))/G151,"spécifier histo"))</f>
        <v>#DIV/0!</v>
      </c>
      <c r="F151" s="9"/>
      <c r="G151" s="9"/>
      <c r="H151" s="9"/>
      <c r="J151" s="55"/>
      <c r="K151" s="55"/>
      <c r="L151" s="48"/>
      <c r="M151" s="49"/>
      <c r="N151" s="49"/>
      <c r="O151" s="36"/>
      <c r="P151" s="49"/>
      <c r="Q151" s="49"/>
      <c r="R151" s="0"/>
      <c r="S151" s="0"/>
      <c r="T151" s="0"/>
    </row>
    <row r="152" customFormat="false" ht="19.85" hidden="false" customHeight="true" outlineLevel="0" collapsed="false">
      <c r="A152" s="0" t="n">
        <v>30</v>
      </c>
      <c r="B152" s="31" t="n">
        <v>42309</v>
      </c>
      <c r="C152" s="56"/>
      <c r="D152" s="57" t="s">
        <v>42</v>
      </c>
      <c r="E152" s="33" t="e">
        <f aca="false">IF(D152="totale",(C152/(A152*24))/F152,IF(D152="marché libre",(C152/(A152*24))/G152,"spécifier histo"))</f>
        <v>#DIV/0!</v>
      </c>
      <c r="F152" s="9"/>
      <c r="G152" s="9"/>
      <c r="H152" s="9"/>
      <c r="J152" s="55"/>
      <c r="K152" s="55"/>
      <c r="L152" s="48"/>
      <c r="M152" s="49"/>
      <c r="N152" s="49"/>
      <c r="O152" s="36"/>
      <c r="P152" s="49"/>
      <c r="Q152" s="49"/>
      <c r="R152" s="0"/>
      <c r="S152" s="0"/>
      <c r="T152" s="0"/>
    </row>
    <row r="153" customFormat="false" ht="19.85" hidden="false" customHeight="true" outlineLevel="0" collapsed="false">
      <c r="A153" s="0" t="n">
        <v>31</v>
      </c>
      <c r="B153" s="34" t="n">
        <v>42339</v>
      </c>
      <c r="C153" s="56"/>
      <c r="D153" s="57" t="s">
        <v>42</v>
      </c>
      <c r="E153" s="33" t="e">
        <f aca="false">IF(D153="totale",(C153/(A153*24))/F153,IF(D153="marché libre",(C153/(A153*24))/G153,"spécifier histo"))</f>
        <v>#DIV/0!</v>
      </c>
      <c r="F153" s="9"/>
      <c r="G153" s="9"/>
      <c r="H153" s="9"/>
      <c r="J153" s="55"/>
      <c r="K153" s="55"/>
      <c r="L153" s="48"/>
      <c r="M153" s="49"/>
      <c r="N153" s="49"/>
      <c r="O153" s="36"/>
      <c r="P153" s="49"/>
      <c r="Q153" s="49"/>
      <c r="R153" s="0"/>
      <c r="S153" s="0"/>
      <c r="T153" s="0"/>
    </row>
    <row r="154" customFormat="false" ht="19.85" hidden="false" customHeight="true" outlineLevel="0" collapsed="false">
      <c r="A154" s="0" t="n">
        <v>31</v>
      </c>
      <c r="B154" s="31" t="n">
        <v>42370</v>
      </c>
      <c r="C154" s="56"/>
      <c r="D154" s="57" t="s">
        <v>42</v>
      </c>
      <c r="E154" s="33" t="e">
        <f aca="false">IF(D154="totale",(C154/(A154*24))/F154,IF(D154="marché libre",(C154/(A154*24))/G154,"spécifier histo"))</f>
        <v>#DIV/0!</v>
      </c>
      <c r="F154" s="9"/>
      <c r="G154" s="9"/>
      <c r="H154" s="9"/>
      <c r="J154" s="55"/>
      <c r="K154" s="55"/>
      <c r="L154" s="48"/>
      <c r="M154" s="49"/>
      <c r="N154" s="49"/>
      <c r="O154" s="36"/>
      <c r="P154" s="49"/>
      <c r="Q154" s="49"/>
      <c r="R154" s="0"/>
      <c r="S154" s="0"/>
      <c r="T154" s="0"/>
    </row>
    <row r="155" customFormat="false" ht="19.85" hidden="false" customHeight="true" outlineLevel="0" collapsed="false">
      <c r="A155" s="0" t="n">
        <v>28</v>
      </c>
      <c r="B155" s="34" t="n">
        <v>42401</v>
      </c>
      <c r="C155" s="56"/>
      <c r="D155" s="57" t="s">
        <v>42</v>
      </c>
      <c r="E155" s="33" t="e">
        <f aca="false">IF(D155="totale",(C155/(A155*24))/F155,IF(D155="marché libre",(C155/(A155*24))/G155,"spécifier histo"))</f>
        <v>#DIV/0!</v>
      </c>
      <c r="F155" s="9"/>
      <c r="G155" s="9"/>
      <c r="H155" s="9"/>
      <c r="J155" s="55"/>
      <c r="K155" s="55"/>
      <c r="L155" s="52"/>
      <c r="M155" s="53"/>
      <c r="N155" s="53"/>
      <c r="O155" s="36"/>
      <c r="P155" s="53"/>
      <c r="Q155" s="53"/>
      <c r="R155" s="0"/>
      <c r="S155" s="0"/>
      <c r="T155" s="0"/>
    </row>
    <row r="156" customFormat="false" ht="19.85" hidden="false" customHeight="true" outlineLevel="0" collapsed="false">
      <c r="A156" s="0" t="n">
        <v>31</v>
      </c>
      <c r="B156" s="31" t="n">
        <v>42430</v>
      </c>
      <c r="C156" s="56"/>
      <c r="D156" s="57" t="s">
        <v>42</v>
      </c>
      <c r="E156" s="33" t="e">
        <f aca="false">IF(D156="totale",(C156/(A156*24))/F156,IF(D156="marché libre",(C156/(A156*24))/G156,"spécifier histo"))</f>
        <v>#DIV/0!</v>
      </c>
      <c r="F156" s="9"/>
      <c r="G156" s="9"/>
      <c r="H156" s="9"/>
      <c r="J156" s="55"/>
      <c r="K156" s="55"/>
      <c r="L156" s="0"/>
      <c r="M156" s="0"/>
      <c r="N156" s="0"/>
      <c r="O156" s="0"/>
      <c r="P156" s="0"/>
      <c r="Q156" s="0"/>
      <c r="R156" s="0"/>
      <c r="S156" s="0"/>
      <c r="T156" s="0"/>
    </row>
    <row r="157" customFormat="false" ht="19.85" hidden="false" customHeight="true" outlineLevel="0" collapsed="false">
      <c r="A157" s="0" t="n">
        <v>30</v>
      </c>
      <c r="B157" s="34" t="n">
        <v>42461</v>
      </c>
      <c r="C157" s="56"/>
      <c r="D157" s="57" t="s">
        <v>42</v>
      </c>
      <c r="E157" s="33" t="e">
        <f aca="false">IF(D157="totale",(C157/(A157*24))/F157,IF(D157="marché libre",(C157/(A157*24))/G157,"spécifier histo"))</f>
        <v>#DIV/0!</v>
      </c>
      <c r="F157" s="9"/>
      <c r="G157" s="9"/>
      <c r="H157" s="9"/>
      <c r="J157" s="55"/>
      <c r="K157" s="55"/>
      <c r="L157" s="0"/>
      <c r="M157" s="0"/>
      <c r="N157" s="0"/>
      <c r="O157" s="0"/>
      <c r="P157" s="0"/>
      <c r="Q157" s="0"/>
      <c r="R157" s="0"/>
      <c r="S157" s="0"/>
      <c r="T157" s="0"/>
    </row>
    <row r="158" customFormat="false" ht="19.85" hidden="false" customHeight="true" outlineLevel="0" collapsed="false">
      <c r="A158" s="0" t="n">
        <v>31</v>
      </c>
      <c r="B158" s="31" t="n">
        <v>42491</v>
      </c>
      <c r="C158" s="56"/>
      <c r="D158" s="57" t="s">
        <v>42</v>
      </c>
      <c r="E158" s="33" t="e">
        <f aca="false">IF(D158="totale",(C158/(A158*24))/F158,IF(D158="marché libre",(C158/(A158*24))/G158,"spécifier histo"))</f>
        <v>#DIV/0!</v>
      </c>
      <c r="F158" s="9"/>
      <c r="G158" s="9"/>
      <c r="H158" s="9"/>
      <c r="J158" s="55"/>
      <c r="K158" s="55"/>
      <c r="L158" s="0"/>
      <c r="M158" s="0"/>
      <c r="N158" s="0"/>
      <c r="O158" s="0"/>
      <c r="P158" s="0"/>
      <c r="Q158" s="0"/>
      <c r="R158" s="0"/>
      <c r="S158" s="0"/>
      <c r="T158" s="0"/>
    </row>
    <row r="159" customFormat="false" ht="19.85" hidden="false" customHeight="true" outlineLevel="0" collapsed="false">
      <c r="A159" s="0" t="n">
        <v>30</v>
      </c>
      <c r="B159" s="34" t="n">
        <v>42522</v>
      </c>
      <c r="C159" s="56"/>
      <c r="D159" s="57" t="s">
        <v>42</v>
      </c>
      <c r="E159" s="33" t="e">
        <f aca="false">IF(D159="totale",(C159/(A159*24))/F159,IF(D159="marché libre",(C159/(A159*24))/G159,"spécifier histo"))</f>
        <v>#DIV/0!</v>
      </c>
      <c r="F159" s="9"/>
      <c r="G159" s="9"/>
      <c r="H159" s="9"/>
      <c r="I159" s="58"/>
      <c r="J159" s="55"/>
      <c r="K159" s="55"/>
      <c r="L159" s="0"/>
      <c r="M159" s="0"/>
      <c r="N159" s="0"/>
      <c r="O159" s="0"/>
      <c r="P159" s="0"/>
      <c r="Q159" s="0"/>
      <c r="R159" s="0"/>
      <c r="S159" s="0"/>
      <c r="T159" s="0"/>
    </row>
    <row r="160" customFormat="false" ht="19.85" hidden="false" customHeight="true" outlineLevel="0" collapsed="false">
      <c r="A160" s="0" t="n">
        <v>31</v>
      </c>
      <c r="B160" s="31" t="n">
        <v>42552</v>
      </c>
      <c r="C160" s="56"/>
      <c r="D160" s="57" t="s">
        <v>42</v>
      </c>
      <c r="E160" s="33" t="e">
        <f aca="false">IF(D160="totale",(C160/(A160*24))/F160,IF(D160="marché libre",(C160/(A160*24))/G160,"spécifier histo"))</f>
        <v>#DIV/0!</v>
      </c>
      <c r="F160" s="9"/>
      <c r="G160" s="9"/>
      <c r="H160" s="9"/>
      <c r="I160" s="58"/>
      <c r="J160" s="55"/>
      <c r="K160" s="55"/>
      <c r="L160" s="0"/>
      <c r="M160" s="0"/>
      <c r="N160" s="0"/>
      <c r="O160" s="0"/>
      <c r="P160" s="0"/>
      <c r="Q160" s="0"/>
      <c r="R160" s="0"/>
      <c r="S160" s="0"/>
      <c r="T160" s="0"/>
    </row>
    <row r="161" customFormat="false" ht="19.85" hidden="false" customHeight="true" outlineLevel="0" collapsed="false">
      <c r="A161" s="0" t="n">
        <v>31</v>
      </c>
      <c r="B161" s="34" t="n">
        <v>42583</v>
      </c>
      <c r="C161" s="56"/>
      <c r="D161" s="57" t="s">
        <v>42</v>
      </c>
      <c r="E161" s="33" t="e">
        <f aca="false">IF(D161="totale",(C161/(A161*24))/F161,IF(D161="marché libre",(C161/(A161*24))/G161,"spécifier histo"))</f>
        <v>#DIV/0!</v>
      </c>
      <c r="F161" s="9"/>
      <c r="G161" s="9"/>
      <c r="H161" s="9"/>
      <c r="I161" s="58"/>
      <c r="J161" s="55"/>
      <c r="K161" s="55"/>
      <c r="L161" s="0"/>
      <c r="M161" s="0"/>
      <c r="N161" s="0"/>
      <c r="O161" s="0"/>
      <c r="P161" s="0"/>
      <c r="Q161" s="0"/>
      <c r="R161" s="0"/>
      <c r="S161" s="0"/>
      <c r="T161" s="0"/>
    </row>
    <row r="162" customFormat="false" ht="19.85" hidden="false" customHeight="true" outlineLevel="0" collapsed="false">
      <c r="A162" s="0" t="n">
        <v>30</v>
      </c>
      <c r="B162" s="31" t="n">
        <v>42614</v>
      </c>
      <c r="C162" s="56"/>
      <c r="D162" s="57" t="s">
        <v>42</v>
      </c>
      <c r="E162" s="33" t="e">
        <f aca="false">IF(D162="totale",(C162/(A162*24))/F162,IF(D162="marché libre",(C162/(A162*24))/G162,"spécifier histo"))</f>
        <v>#DIV/0!</v>
      </c>
      <c r="F162" s="9"/>
      <c r="G162" s="9"/>
      <c r="H162" s="9"/>
      <c r="I162" s="58"/>
      <c r="J162" s="55"/>
      <c r="K162" s="55"/>
      <c r="L162" s="0"/>
      <c r="M162" s="0"/>
      <c r="N162" s="0"/>
      <c r="O162" s="0"/>
      <c r="P162" s="0"/>
      <c r="Q162" s="0"/>
      <c r="R162" s="0"/>
      <c r="S162" s="0"/>
      <c r="T162" s="0"/>
    </row>
    <row r="163" customFormat="false" ht="19.85" hidden="false" customHeight="true" outlineLevel="0" collapsed="false">
      <c r="A163" s="0" t="n">
        <v>31</v>
      </c>
      <c r="B163" s="34" t="n">
        <v>42644</v>
      </c>
      <c r="C163" s="56"/>
      <c r="D163" s="57" t="s">
        <v>42</v>
      </c>
      <c r="E163" s="33" t="e">
        <f aca="false">IF(D163="totale",(C163/(A163*24))/F163,IF(D163="marché libre",(C163/(A163*24))/G163,"spécifier histo"))</f>
        <v>#DIV/0!</v>
      </c>
      <c r="F163" s="9"/>
      <c r="G163" s="9"/>
      <c r="H163" s="9"/>
      <c r="I163" s="58"/>
      <c r="J163" s="55"/>
      <c r="K163" s="55"/>
      <c r="L163" s="0"/>
      <c r="M163" s="0"/>
      <c r="N163" s="0"/>
      <c r="O163" s="0"/>
      <c r="P163" s="0"/>
      <c r="Q163" s="0"/>
      <c r="R163" s="0"/>
      <c r="S163" s="0"/>
      <c r="T163" s="0"/>
    </row>
    <row r="164" customFormat="false" ht="19.85" hidden="false" customHeight="true" outlineLevel="0" collapsed="false">
      <c r="A164" s="0" t="n">
        <v>30</v>
      </c>
      <c r="B164" s="31" t="n">
        <v>42675</v>
      </c>
      <c r="C164" s="59"/>
      <c r="D164" s="57" t="s">
        <v>42</v>
      </c>
      <c r="E164" s="33" t="e">
        <f aca="false">IF(D164="totale",(C164/(A164*24))/F164,IF(D164="marché libre",(C164/(A164*24))/G164,"spécifier histo"))</f>
        <v>#DIV/0!</v>
      </c>
      <c r="F164" s="9"/>
      <c r="G164" s="9"/>
      <c r="H164" s="9"/>
      <c r="I164" s="58"/>
      <c r="J164" s="55"/>
      <c r="K164" s="55"/>
      <c r="L164" s="0"/>
      <c r="M164" s="0"/>
      <c r="N164" s="0"/>
      <c r="O164" s="0"/>
      <c r="P164" s="0"/>
      <c r="Q164" s="0"/>
      <c r="R164" s="0"/>
      <c r="S164" s="0"/>
      <c r="T164" s="0"/>
    </row>
    <row r="165" customFormat="false" ht="19.85" hidden="false" customHeight="true" outlineLevel="0" collapsed="false">
      <c r="A165" s="0" t="n">
        <v>31</v>
      </c>
      <c r="B165" s="34" t="n">
        <v>42705</v>
      </c>
      <c r="C165" s="60"/>
      <c r="D165" s="57" t="s">
        <v>42</v>
      </c>
      <c r="E165" s="33" t="e">
        <f aca="false">IF(D165="totale",(C165/(A165*24))/F165,IF(D165="marché libre",(C165/(A165*24))/G165,"spécifier histo"))</f>
        <v>#DIV/0!</v>
      </c>
      <c r="F165" s="9"/>
      <c r="G165" s="9"/>
      <c r="H165" s="9"/>
      <c r="I165" s="58"/>
      <c r="J165" s="55"/>
      <c r="K165" s="55"/>
      <c r="L165" s="0"/>
      <c r="O165" s="0"/>
      <c r="Q165" s="0"/>
    </row>
    <row r="166" customFormat="false" ht="19.85" hidden="false" customHeight="true" outlineLevel="0" collapsed="false">
      <c r="A166" s="0" t="n">
        <v>31</v>
      </c>
      <c r="B166" s="31" t="n">
        <v>42736</v>
      </c>
      <c r="C166" s="9"/>
      <c r="D166" s="57" t="s">
        <v>42</v>
      </c>
      <c r="E166" s="33" t="e">
        <f aca="false">IF(D166="totale",(C166/(A166*24))/F166,IF(D166="marché libre",(C166/(A166*24))/G166,"spécifier histo"))</f>
        <v>#DIV/0!</v>
      </c>
      <c r="F166" s="9"/>
      <c r="G166" s="9"/>
      <c r="H166" s="9"/>
      <c r="I166" s="58"/>
      <c r="J166" s="30"/>
      <c r="L166" s="0"/>
      <c r="O166" s="0"/>
      <c r="Q166" s="0"/>
    </row>
    <row r="167" customFormat="false" ht="19.85" hidden="false" customHeight="true" outlineLevel="0" collapsed="false">
      <c r="A167" s="0" t="n">
        <v>28</v>
      </c>
      <c r="B167" s="34" t="n">
        <v>42767</v>
      </c>
      <c r="D167" s="57" t="s">
        <v>42</v>
      </c>
      <c r="E167" s="33" t="e">
        <f aca="false">IF(D167="totale",(C167/(A167*24))/F167,IF(D167="marché libre",(C167/(A167*24))/G167,"spécifier histo"))</f>
        <v>#DIV/0!</v>
      </c>
      <c r="F167" s="9"/>
      <c r="G167" s="9"/>
      <c r="H167" s="9"/>
      <c r="I167" s="58"/>
      <c r="J167" s="55"/>
      <c r="L167" s="0"/>
      <c r="O167" s="0"/>
      <c r="Q167" s="0"/>
    </row>
    <row r="168" customFormat="false" ht="19.85" hidden="false" customHeight="true" outlineLevel="0" collapsed="false">
      <c r="A168" s="0" t="n">
        <v>31</v>
      </c>
      <c r="B168" s="31" t="n">
        <v>42795</v>
      </c>
      <c r="D168" s="57" t="s">
        <v>42</v>
      </c>
      <c r="E168" s="33" t="e">
        <f aca="false">IF(D168="totale",(C168/(A168*24))/F168,IF(D168="marché libre",(C168/(A168*24))/G168,"spécifier histo"))</f>
        <v>#DIV/0!</v>
      </c>
      <c r="F168" s="9"/>
      <c r="G168" s="9"/>
      <c r="H168" s="9"/>
      <c r="I168" s="58"/>
      <c r="J168" s="55"/>
      <c r="L168" s="0"/>
      <c r="O168" s="0"/>
      <c r="Q168" s="0"/>
    </row>
    <row r="169" customFormat="false" ht="19.85" hidden="false" customHeight="true" outlineLevel="0" collapsed="false">
      <c r="A169" s="0" t="n">
        <v>30</v>
      </c>
      <c r="B169" s="34" t="n">
        <v>42826</v>
      </c>
      <c r="D169" s="57" t="s">
        <v>42</v>
      </c>
      <c r="E169" s="33" t="e">
        <f aca="false">IF(D169="totale",(C169/(A169*24))/F169,IF(D169="marché libre",(C169/(A169*24))/G169,"spécifier histo"))</f>
        <v>#DIV/0!</v>
      </c>
      <c r="F169" s="9"/>
      <c r="G169" s="9"/>
      <c r="H169" s="9"/>
      <c r="I169" s="58"/>
      <c r="J169" s="55"/>
      <c r="L169" s="0"/>
      <c r="O169" s="0"/>
      <c r="Q169" s="0"/>
    </row>
    <row r="170" customFormat="false" ht="19.85" hidden="false" customHeight="true" outlineLevel="0" collapsed="false">
      <c r="A170" s="0" t="n">
        <v>31</v>
      </c>
      <c r="B170" s="31" t="n">
        <v>42856</v>
      </c>
      <c r="D170" s="57" t="s">
        <v>42</v>
      </c>
      <c r="E170" s="33" t="e">
        <f aca="false">IF(D170="totale",(C170/(A170*24))/F170,IF(D170="marché libre",(C170/(A170*24))/G170,"spécifier histo"))</f>
        <v>#DIV/0!</v>
      </c>
      <c r="F170" s="9"/>
      <c r="G170" s="9"/>
      <c r="H170" s="9"/>
      <c r="I170" s="58"/>
      <c r="J170" s="55"/>
      <c r="L170" s="0"/>
      <c r="O170" s="0"/>
      <c r="Q170" s="0"/>
    </row>
    <row r="171" customFormat="false" ht="22.45" hidden="false" customHeight="true" outlineLevel="0" collapsed="false">
      <c r="A171" s="0" t="n">
        <v>30</v>
      </c>
      <c r="B171" s="34" t="n">
        <v>42887</v>
      </c>
      <c r="D171" s="57" t="s">
        <v>42</v>
      </c>
      <c r="E171" s="33" t="e">
        <f aca="false">IF(D171="totale",(C171/(A171*24))/F171,IF(D171="marché libre",(C171/(A171*24))/G171,"spécifier histo"))</f>
        <v>#DIV/0!</v>
      </c>
      <c r="F171" s="9"/>
      <c r="G171" s="9"/>
      <c r="H171" s="9"/>
      <c r="I171" s="58"/>
      <c r="J171" s="55"/>
      <c r="L171" s="0"/>
      <c r="O171" s="0"/>
      <c r="Q171" s="0"/>
    </row>
    <row r="172" customFormat="false" ht="21.65" hidden="false" customHeight="true" outlineLevel="0" collapsed="false">
      <c r="A172" s="0" t="n">
        <v>31</v>
      </c>
      <c r="B172" s="31" t="n">
        <v>42917</v>
      </c>
      <c r="D172" s="57" t="s">
        <v>42</v>
      </c>
      <c r="E172" s="33" t="e">
        <f aca="false">IF(D172="totale",(C172/(A172*24))/F172,IF(D172="marché libre",(C172/(A172*24))/G172,"spécifier histo"))</f>
        <v>#DIV/0!</v>
      </c>
      <c r="F172" s="9"/>
      <c r="G172" s="9"/>
      <c r="H172" s="9"/>
      <c r="I172" s="58"/>
      <c r="J172" s="55"/>
      <c r="L172" s="0"/>
      <c r="O172" s="0"/>
      <c r="Q172" s="0"/>
    </row>
    <row r="173" customFormat="false" ht="21.65" hidden="false" customHeight="true" outlineLevel="0" collapsed="false">
      <c r="A173" s="0" t="n">
        <v>31</v>
      </c>
      <c r="B173" s="34" t="n">
        <v>42948</v>
      </c>
      <c r="D173" s="57" t="s">
        <v>42</v>
      </c>
      <c r="E173" s="33" t="e">
        <f aca="false">IF(D173="totale",(C173/(A173*24))/F173,IF(D173="marché libre",(C173/(A173*24))/G173,"spécifier histo"))</f>
        <v>#DIV/0!</v>
      </c>
      <c r="F173" s="9"/>
      <c r="G173" s="9"/>
      <c r="H173" s="9"/>
      <c r="I173" s="58"/>
      <c r="J173" s="55"/>
      <c r="L173" s="0"/>
      <c r="O173" s="0"/>
      <c r="Q173" s="0"/>
    </row>
    <row r="174" customFormat="false" ht="21.65" hidden="false" customHeight="true" outlineLevel="0" collapsed="false">
      <c r="A174" s="0" t="n">
        <v>30</v>
      </c>
      <c r="B174" s="31" t="n">
        <v>42979</v>
      </c>
      <c r="D174" s="57" t="s">
        <v>42</v>
      </c>
      <c r="E174" s="33" t="e">
        <f aca="false">IF(D174="totale",(C174/(A174*24))/F174,IF(D174="marché libre",(C174/(A174*24))/G174,"spécifier histo"))</f>
        <v>#DIV/0!</v>
      </c>
      <c r="F174" s="9"/>
      <c r="G174" s="9"/>
      <c r="H174" s="9"/>
      <c r="J174" s="55"/>
      <c r="L174" s="0"/>
      <c r="O174" s="0"/>
      <c r="Q174" s="0"/>
    </row>
    <row r="175" customFormat="false" ht="21.65" hidden="false" customHeight="true" outlineLevel="0" collapsed="false">
      <c r="A175" s="0" t="n">
        <v>31</v>
      </c>
      <c r="B175" s="34" t="n">
        <v>43009</v>
      </c>
      <c r="D175" s="57" t="s">
        <v>42</v>
      </c>
      <c r="E175" s="33" t="e">
        <f aca="false">IF(D175="totale",(C175/(A175*24))/F175,IF(D175="marché libre",(C175/(A175*24))/G175,"spécifier histo"))</f>
        <v>#DIV/0!</v>
      </c>
      <c r="F175" s="9"/>
      <c r="G175" s="9"/>
      <c r="H175" s="9"/>
      <c r="J175" s="55"/>
      <c r="L175" s="0"/>
      <c r="O175" s="0"/>
      <c r="Q175" s="0"/>
    </row>
    <row r="176" customFormat="false" ht="21.65" hidden="false" customHeight="true" outlineLevel="0" collapsed="false">
      <c r="A176" s="0" t="n">
        <v>30</v>
      </c>
      <c r="B176" s="31" t="n">
        <v>43040</v>
      </c>
      <c r="D176" s="57" t="s">
        <v>42</v>
      </c>
      <c r="E176" s="33" t="e">
        <f aca="false">IF(D176="totale",(C176/(A176*24))/F176,IF(D176="marché libre",(C176/(A176*24))/G176,"spécifier histo"))</f>
        <v>#DIV/0!</v>
      </c>
      <c r="F176" s="9"/>
      <c r="G176" s="9"/>
      <c r="H176" s="9"/>
      <c r="J176" s="55"/>
      <c r="L176" s="0"/>
      <c r="O176" s="0"/>
      <c r="Q176" s="0"/>
    </row>
    <row r="177" customFormat="false" ht="21.65" hidden="false" customHeight="true" outlineLevel="0" collapsed="false">
      <c r="A177" s="0" t="n">
        <v>31</v>
      </c>
      <c r="B177" s="34" t="n">
        <v>43070</v>
      </c>
      <c r="D177" s="57" t="s">
        <v>42</v>
      </c>
      <c r="E177" s="33" t="e">
        <f aca="false">IF(D177="totale",(C177/(A177*24))/F177,IF(D177="marché libre",(C177/(A177*24))/G177,"spécifier histo"))</f>
        <v>#DIV/0!</v>
      </c>
      <c r="F177" s="9"/>
      <c r="G177" s="9"/>
      <c r="H177" s="9"/>
      <c r="J177" s="55"/>
      <c r="L177" s="0"/>
      <c r="Q177" s="0"/>
    </row>
    <row r="178" customFormat="false" ht="28.35" hidden="false" customHeight="true" outlineLevel="0" collapsed="false">
      <c r="A178" s="0" t="n">
        <v>31</v>
      </c>
      <c r="B178" s="31" t="n">
        <v>43101</v>
      </c>
      <c r="C178" s="26"/>
      <c r="D178" s="57" t="s">
        <v>42</v>
      </c>
      <c r="E178" s="33" t="e">
        <f aca="false">IF(D178="totale",(C178/(A178*24))/F178,IF(D178="marché libre",(C178/(A178*24))/G178,"spécifier histo"))</f>
        <v>#DIV/0!</v>
      </c>
      <c r="F178" s="9"/>
      <c r="G178" s="9"/>
      <c r="H178" s="9"/>
      <c r="J178" s="30"/>
      <c r="L178" s="0"/>
      <c r="Q178" s="0"/>
    </row>
    <row r="179" customFormat="false" ht="28.35" hidden="false" customHeight="true" outlineLevel="0" collapsed="false">
      <c r="A179" s="0" t="n">
        <v>28</v>
      </c>
      <c r="B179" s="34" t="n">
        <v>43132</v>
      </c>
      <c r="C179" s="26"/>
      <c r="D179" s="57" t="s">
        <v>42</v>
      </c>
      <c r="E179" s="33" t="e">
        <f aca="false">IF(D179="totale",(C179/(A179*24))/F179,IF(D179="marché libre",(C179/(A179*24))/G179,"spécifier histo"))</f>
        <v>#DIV/0!</v>
      </c>
      <c r="F179" s="9"/>
      <c r="G179" s="9"/>
      <c r="H179" s="9"/>
      <c r="L179" s="0"/>
      <c r="Q179" s="0"/>
    </row>
    <row r="180" customFormat="false" ht="28.35" hidden="false" customHeight="true" outlineLevel="0" collapsed="false">
      <c r="A180" s="0" t="n">
        <v>31</v>
      </c>
      <c r="B180" s="31" t="n">
        <v>43160</v>
      </c>
      <c r="C180" s="26"/>
      <c r="D180" s="57" t="s">
        <v>42</v>
      </c>
      <c r="E180" s="33" t="e">
        <f aca="false">IF(D180="totale",(C180/(A180*24))/F180,IF(D180="marché libre",(C180/(A180*24))/G180,"spécifier histo"))</f>
        <v>#DIV/0!</v>
      </c>
      <c r="F180" s="9"/>
      <c r="G180" s="9"/>
      <c r="H180" s="9"/>
      <c r="L180" s="0"/>
      <c r="Q180" s="0"/>
    </row>
    <row r="181" customFormat="false" ht="28.35" hidden="false" customHeight="true" outlineLevel="0" collapsed="false">
      <c r="A181" s="0" t="n">
        <v>30</v>
      </c>
      <c r="B181" s="34" t="n">
        <v>43191</v>
      </c>
      <c r="C181" s="26"/>
      <c r="D181" s="57" t="s">
        <v>42</v>
      </c>
      <c r="E181" s="33" t="e">
        <f aca="false">IF(D181="totale",(C181/(A181*24))/F181,IF(D181="marché libre",(C181/(A181*24))/G181,"spécifier histo"))</f>
        <v>#DIV/0!</v>
      </c>
      <c r="F181" s="9"/>
      <c r="G181" s="9"/>
      <c r="H181" s="9"/>
      <c r="L181" s="0"/>
      <c r="Q181" s="0"/>
    </row>
    <row r="182" customFormat="false" ht="28.35" hidden="false" customHeight="true" outlineLevel="0" collapsed="false">
      <c r="A182" s="0" t="n">
        <v>31</v>
      </c>
      <c r="B182" s="31" t="n">
        <v>43221</v>
      </c>
      <c r="C182" s="26"/>
      <c r="D182" s="57" t="s">
        <v>42</v>
      </c>
      <c r="E182" s="33" t="e">
        <f aca="false">IF(D182="totale",(C182/(A182*24))/F182,IF(D182="marché libre",(C182/(A182*24))/G182,"spécifier histo"))</f>
        <v>#DIV/0!</v>
      </c>
      <c r="F182" s="9"/>
      <c r="G182" s="9"/>
      <c r="H182" s="9"/>
      <c r="L182" s="0"/>
      <c r="Q182" s="0"/>
    </row>
    <row r="183" customFormat="false" ht="28.35" hidden="false" customHeight="true" outlineLevel="0" collapsed="false">
      <c r="A183" s="0" t="n">
        <v>30</v>
      </c>
      <c r="B183" s="34" t="n">
        <v>43252</v>
      </c>
      <c r="C183" s="26"/>
      <c r="D183" s="57" t="s">
        <v>42</v>
      </c>
      <c r="E183" s="33" t="e">
        <f aca="false">IF(D183="totale",(C183/(A183*24))/F183,IF(D183="marché libre",(C183/(A183*24))/G183,"spécifier histo"))</f>
        <v>#DIV/0!</v>
      </c>
      <c r="F183" s="9"/>
      <c r="G183" s="9"/>
      <c r="H183" s="9"/>
      <c r="L183" s="0"/>
      <c r="Q183" s="0"/>
    </row>
    <row r="184" customFormat="false" ht="28.35" hidden="false" customHeight="true" outlineLevel="0" collapsed="false">
      <c r="A184" s="0" t="n">
        <v>31</v>
      </c>
      <c r="B184" s="31" t="n">
        <v>43282</v>
      </c>
      <c r="C184" s="26"/>
      <c r="D184" s="57" t="s">
        <v>42</v>
      </c>
      <c r="E184" s="33" t="e">
        <f aca="false">IF(D184="totale",(C184/(A184*24))/F184,IF(D184="marché libre",(C184/(A184*24))/G184,"spécifier histo"))</f>
        <v>#DIV/0!</v>
      </c>
      <c r="F184" s="9"/>
      <c r="G184" s="9"/>
      <c r="H184" s="9"/>
      <c r="L184" s="0"/>
      <c r="Q184" s="0"/>
    </row>
    <row r="185" customFormat="false" ht="28.35" hidden="false" customHeight="true" outlineLevel="0" collapsed="false">
      <c r="A185" s="0" t="n">
        <v>31</v>
      </c>
      <c r="B185" s="34" t="n">
        <v>43313</v>
      </c>
      <c r="C185" s="26"/>
      <c r="D185" s="57" t="s">
        <v>42</v>
      </c>
      <c r="E185" s="33" t="e">
        <f aca="false">IF(D185="totale",(C185/(A185*24))/F185,IF(D185="marché libre",(C185/(A185*24))/G185,"spécifier histo"))</f>
        <v>#DIV/0!</v>
      </c>
      <c r="F185" s="9"/>
      <c r="G185" s="9"/>
      <c r="H185" s="9"/>
      <c r="L185" s="0"/>
      <c r="Q185" s="0"/>
    </row>
    <row r="186" customFormat="false" ht="28.35" hidden="false" customHeight="true" outlineLevel="0" collapsed="false">
      <c r="A186" s="0" t="n">
        <v>30</v>
      </c>
      <c r="B186" s="31" t="n">
        <v>43344</v>
      </c>
      <c r="C186" s="26"/>
      <c r="D186" s="57" t="s">
        <v>42</v>
      </c>
      <c r="E186" s="33" t="e">
        <f aca="false">IF(D186="totale",(C186/(A186*24))/F186,IF(D186="marché libre",(C186/(A186*24))/G186,"spécifier histo"))</f>
        <v>#DIV/0!</v>
      </c>
      <c r="F186" s="9"/>
      <c r="G186" s="9"/>
      <c r="H186" s="9"/>
      <c r="L186" s="0"/>
      <c r="Q186" s="0"/>
    </row>
    <row r="187" customFormat="false" ht="28.35" hidden="false" customHeight="true" outlineLevel="0" collapsed="false">
      <c r="A187" s="0" t="n">
        <v>31</v>
      </c>
      <c r="B187" s="34" t="n">
        <v>43374</v>
      </c>
      <c r="C187" s="0"/>
      <c r="D187" s="57" t="s">
        <v>42</v>
      </c>
      <c r="E187" s="33" t="e">
        <f aca="false">IF(D187="totale",(C187/(A187*24))/F187,IF(D187="marché libre",(C187/(A187*24))/G187,"spécifier histo"))</f>
        <v>#DIV/0!</v>
      </c>
      <c r="F187" s="9"/>
      <c r="G187" s="9"/>
      <c r="H187" s="9"/>
      <c r="L187" s="0"/>
      <c r="Q187" s="0"/>
    </row>
    <row r="188" customFormat="false" ht="28.35" hidden="false" customHeight="true" outlineLevel="0" collapsed="false">
      <c r="A188" s="0" t="n">
        <v>30</v>
      </c>
      <c r="B188" s="31" t="n">
        <v>43405</v>
      </c>
      <c r="C188" s="0"/>
      <c r="D188" s="57" t="s">
        <v>42</v>
      </c>
      <c r="E188" s="33" t="e">
        <f aca="false">IF(D188="totale",(C188/(A188*24))/F188,IF(D188="marché libre",(C188/(A188*24))/G188,"spécifier histo"))</f>
        <v>#DIV/0!</v>
      </c>
      <c r="F188" s="9"/>
      <c r="G188" s="9"/>
      <c r="H188" s="9"/>
      <c r="L188" s="0"/>
      <c r="Q188" s="0"/>
    </row>
    <row r="189" customFormat="false" ht="28.35" hidden="false" customHeight="true" outlineLevel="0" collapsed="false">
      <c r="A189" s="0" t="n">
        <v>31</v>
      </c>
      <c r="B189" s="34" t="n">
        <v>43435</v>
      </c>
      <c r="C189" s="0"/>
      <c r="D189" s="57" t="s">
        <v>42</v>
      </c>
      <c r="E189" s="33" t="e">
        <f aca="false">IF(D189="totale",(C189/(A189*24))/F189,IF(D189="marché libre",(C189/(A189*24))/G189,"spécifier histo"))</f>
        <v>#DIV/0!</v>
      </c>
      <c r="F189" s="9"/>
      <c r="G189" s="9"/>
      <c r="H189" s="9"/>
      <c r="L189" s="0"/>
      <c r="Q189" s="0"/>
    </row>
    <row r="190" customFormat="false" ht="28.35" hidden="false" customHeight="true" outlineLevel="0" collapsed="false">
      <c r="A190" s="0" t="n">
        <v>31</v>
      </c>
      <c r="B190" s="31" t="n">
        <v>43466</v>
      </c>
      <c r="L190" s="0"/>
      <c r="Q190" s="0"/>
    </row>
    <row r="191" customFormat="false" ht="28.35" hidden="false" customHeight="true" outlineLevel="0" collapsed="false">
      <c r="A191" s="0" t="n">
        <v>28</v>
      </c>
      <c r="B191" s="34" t="n">
        <v>43497</v>
      </c>
      <c r="L191" s="0"/>
      <c r="Q191" s="0"/>
    </row>
    <row r="192" customFormat="false" ht="28.35" hidden="false" customHeight="true" outlineLevel="0" collapsed="false">
      <c r="A192" s="0" t="n">
        <v>31</v>
      </c>
      <c r="B192" s="31" t="n">
        <v>43525</v>
      </c>
      <c r="L192" s="0"/>
      <c r="Q192" s="0"/>
    </row>
    <row r="193" customFormat="false" ht="28.35" hidden="false" customHeight="true" outlineLevel="0" collapsed="false">
      <c r="A193" s="0" t="n">
        <v>30</v>
      </c>
      <c r="B193" s="34" t="n">
        <v>43556</v>
      </c>
      <c r="L193" s="0"/>
      <c r="Q193" s="0"/>
    </row>
    <row r="194" customFormat="false" ht="28.35" hidden="false" customHeight="true" outlineLevel="0" collapsed="false">
      <c r="A194" s="0" t="n">
        <v>31</v>
      </c>
      <c r="B194" s="31" t="n">
        <v>43586</v>
      </c>
      <c r="L194" s="0"/>
      <c r="Q194" s="0"/>
    </row>
    <row r="195" customFormat="false" ht="28.35" hidden="false" customHeight="true" outlineLevel="0" collapsed="false">
      <c r="A195" s="0" t="n">
        <v>30</v>
      </c>
      <c r="B195" s="34" t="n">
        <v>43617</v>
      </c>
      <c r="L195" s="0"/>
      <c r="Q195" s="0"/>
    </row>
    <row r="196" customFormat="false" ht="12.8" hidden="false" customHeight="false" outlineLevel="0" collapsed="false">
      <c r="A196" s="0" t="n">
        <v>31</v>
      </c>
      <c r="B196" s="31" t="n">
        <v>43647</v>
      </c>
      <c r="L196" s="0"/>
      <c r="Q196" s="0"/>
    </row>
    <row r="197" customFormat="false" ht="12.8" hidden="false" customHeight="false" outlineLevel="0" collapsed="false">
      <c r="A197" s="0" t="n">
        <v>31</v>
      </c>
      <c r="B197" s="34" t="n">
        <v>43678</v>
      </c>
      <c r="L197" s="0"/>
      <c r="Q197" s="0"/>
    </row>
    <row r="198" customFormat="false" ht="12.8" hidden="false" customHeight="false" outlineLevel="0" collapsed="false">
      <c r="A198" s="0" t="n">
        <v>30</v>
      </c>
      <c r="B198" s="31" t="n">
        <v>43709</v>
      </c>
      <c r="L198" s="0"/>
      <c r="Q198" s="0"/>
    </row>
    <row r="199" customFormat="false" ht="12.8" hidden="false" customHeight="false" outlineLevel="0" collapsed="false">
      <c r="A199" s="0" t="n">
        <v>31</v>
      </c>
      <c r="B199" s="34" t="n">
        <v>43739</v>
      </c>
      <c r="L199" s="0"/>
      <c r="Q199" s="0"/>
    </row>
    <row r="200" customFormat="false" ht="12.8" hidden="false" customHeight="false" outlineLevel="0" collapsed="false">
      <c r="A200" s="0" t="n">
        <v>30</v>
      </c>
      <c r="B200" s="31" t="n">
        <v>43770</v>
      </c>
      <c r="L200" s="0"/>
      <c r="Q200" s="0"/>
    </row>
    <row r="201" customFormat="false" ht="12.8" hidden="false" customHeight="false" outlineLevel="0" collapsed="false">
      <c r="A201" s="0" t="n">
        <v>31</v>
      </c>
      <c r="B201" s="34" t="n">
        <v>43800</v>
      </c>
      <c r="L201" s="0"/>
    </row>
    <row r="202" customFormat="false" ht="12.8" hidden="false" customHeight="false" outlineLevel="0" collapsed="false">
      <c r="A202" s="0" t="n">
        <v>31</v>
      </c>
      <c r="B202" s="31" t="n">
        <v>43831</v>
      </c>
      <c r="L202" s="0"/>
    </row>
    <row r="203" customFormat="false" ht="12.8" hidden="false" customHeight="false" outlineLevel="0" collapsed="false">
      <c r="A203" s="0" t="n">
        <v>29</v>
      </c>
      <c r="B203" s="34" t="n">
        <v>43862</v>
      </c>
      <c r="L203" s="0"/>
    </row>
    <row r="204" customFormat="false" ht="12.8" hidden="false" customHeight="false" outlineLevel="0" collapsed="false">
      <c r="A204" s="0" t="n">
        <v>31</v>
      </c>
      <c r="B204" s="31" t="n">
        <v>43891</v>
      </c>
      <c r="L204" s="0"/>
    </row>
    <row r="205" customFormat="false" ht="12.8" hidden="false" customHeight="false" outlineLevel="0" collapsed="false">
      <c r="A205" s="0" t="n">
        <v>30</v>
      </c>
      <c r="B205" s="34" t="n">
        <v>43922</v>
      </c>
      <c r="L205" s="0"/>
    </row>
    <row r="206" customFormat="false" ht="12.8" hidden="false" customHeight="false" outlineLevel="0" collapsed="false">
      <c r="A206" s="0" t="n">
        <v>31</v>
      </c>
      <c r="B206" s="31" t="n">
        <v>43952</v>
      </c>
      <c r="L206" s="0"/>
    </row>
    <row r="207" customFormat="false" ht="12.8" hidden="false" customHeight="false" outlineLevel="0" collapsed="false">
      <c r="A207" s="0" t="n">
        <v>30</v>
      </c>
      <c r="B207" s="34" t="n">
        <v>43983</v>
      </c>
      <c r="L207" s="0"/>
    </row>
    <row r="208" customFormat="false" ht="12.8" hidden="false" customHeight="false" outlineLevel="0" collapsed="false">
      <c r="A208" s="0" t="n">
        <v>31</v>
      </c>
      <c r="B208" s="31" t="n">
        <v>44013</v>
      </c>
      <c r="L208" s="0"/>
    </row>
    <row r="209" customFormat="false" ht="12.8" hidden="false" customHeight="false" outlineLevel="0" collapsed="false">
      <c r="A209" s="0" t="n">
        <v>31</v>
      </c>
      <c r="B209" s="34" t="n">
        <v>44044</v>
      </c>
      <c r="L209" s="0"/>
    </row>
    <row r="210" customFormat="false" ht="12.8" hidden="false" customHeight="false" outlineLevel="0" collapsed="false">
      <c r="A210" s="0" t="n">
        <v>30</v>
      </c>
      <c r="B210" s="31" t="n">
        <v>44075</v>
      </c>
      <c r="L210" s="0"/>
    </row>
    <row r="211" customFormat="false" ht="12.8" hidden="false" customHeight="false" outlineLevel="0" collapsed="false">
      <c r="A211" s="0" t="n">
        <v>31</v>
      </c>
      <c r="B211" s="34" t="n">
        <v>44105</v>
      </c>
      <c r="L211" s="0"/>
    </row>
    <row r="212" customFormat="false" ht="12.8" hidden="false" customHeight="false" outlineLevel="0" collapsed="false">
      <c r="A212" s="0" t="n">
        <v>30</v>
      </c>
      <c r="B212" s="31" t="n">
        <v>44136</v>
      </c>
      <c r="L212" s="0"/>
    </row>
    <row r="213" customFormat="false" ht="12.8" hidden="false" customHeight="false" outlineLevel="0" collapsed="false">
      <c r="A213" s="0" t="n">
        <v>31</v>
      </c>
      <c r="B213" s="34" t="n">
        <v>44166</v>
      </c>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sheetData>
  <mergeCells count="17">
    <mergeCell ref="B1:E2"/>
    <mergeCell ref="F1:N1"/>
    <mergeCell ref="F2:I2"/>
    <mergeCell ref="J2:K2"/>
    <mergeCell ref="L2:M2"/>
    <mergeCell ref="N2:N3"/>
    <mergeCell ref="U2:U3"/>
    <mergeCell ref="T4:V4"/>
    <mergeCell ref="C6:D6"/>
    <mergeCell ref="F6:F7"/>
    <mergeCell ref="G6:N7"/>
    <mergeCell ref="C7:D7"/>
    <mergeCell ref="L117:N117"/>
    <mergeCell ref="M119:N119"/>
    <mergeCell ref="P119:Q119"/>
    <mergeCell ref="M139:N139"/>
    <mergeCell ref="P139:Q139"/>
  </mergeCells>
  <conditionalFormatting sqref="E10:E18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&amp;C&amp;A</oddHeader>
    <oddFooter>&amp;CPage &amp;P</oddFooter>
  </headerFooter>
</worksheet>
</file>

<file path=xl/worksheets/sheet2.xml><?xml version="1.0" encoding="utf-8"?>
<worksheet xmlns="http://schemas.openxmlformats.org/spreadsheetml/2006/main" xmlns:r="http://schemas.openxmlformats.org/officeDocument/2006/relationships">
  <sheetPr filterMode="false">
    <tabColor rgb="FF00CC33"/>
    <pageSetUpPr fitToPage="false"/>
  </sheetPr>
  <dimension ref="A1:V18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36" activePane="bottomRight" state="frozen"/>
      <selection pane="topLeft" activeCell="A1" activeCellId="0" sqref="A1"/>
      <selection pane="topRight" activeCell="B1" activeCellId="0" sqref="B1"/>
      <selection pane="bottomLeft" activeCell="A136" activeCellId="0" sqref="A136"/>
      <selection pane="bottomRight" activeCell="A8" activeCellId="0" sqref="A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43</v>
      </c>
      <c r="C4" s="16" t="n">
        <v>302644</v>
      </c>
      <c r="D4" s="5" t="s">
        <v>44</v>
      </c>
      <c r="E4" s="14" t="s">
        <v>45</v>
      </c>
      <c r="F4" s="15" t="n">
        <v>31600</v>
      </c>
      <c r="G4" s="15" t="n">
        <v>30000</v>
      </c>
      <c r="H4" s="15" t="n">
        <v>28000</v>
      </c>
      <c r="I4" s="61" t="s">
        <v>46</v>
      </c>
      <c r="J4" s="15" t="n">
        <v>4800</v>
      </c>
      <c r="K4" s="16" t="s">
        <v>47</v>
      </c>
      <c r="L4" s="16" t="s">
        <v>48</v>
      </c>
      <c r="M4" s="15" t="n">
        <v>4800</v>
      </c>
      <c r="N4" s="17"/>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49</v>
      </c>
      <c r="H6" s="19"/>
      <c r="I6" s="19"/>
      <c r="J6" s="19"/>
      <c r="K6" s="19"/>
      <c r="L6" s="19"/>
      <c r="M6" s="19"/>
      <c r="N6" s="19"/>
      <c r="P6" s="21" t="n">
        <v>42736</v>
      </c>
      <c r="Q6" s="19" t="s">
        <v>27</v>
      </c>
      <c r="R6" s="9"/>
      <c r="S6" s="22"/>
      <c r="T6" s="5" t="s">
        <v>28</v>
      </c>
    </row>
    <row r="7" customFormat="false" ht="41.65" hidden="false" customHeight="true" outlineLevel="0" collapsed="false">
      <c r="A7" s="0"/>
      <c r="B7" s="0"/>
      <c r="C7" s="23" t="s">
        <v>50</v>
      </c>
      <c r="D7" s="23"/>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9" t="s">
        <v>51</v>
      </c>
      <c r="D9" s="29" t="s">
        <v>52</v>
      </c>
      <c r="E9" s="1" t="s">
        <v>35</v>
      </c>
      <c r="F9" s="9" t="s">
        <v>36</v>
      </c>
      <c r="G9" s="9" t="s">
        <v>37</v>
      </c>
      <c r="H9" s="9" t="s">
        <v>38</v>
      </c>
      <c r="I9" s="9" t="s">
        <v>39</v>
      </c>
      <c r="J9" s="30" t="s">
        <v>40</v>
      </c>
    </row>
    <row r="10" customFormat="false" ht="19.85" hidden="false" customHeight="true" outlineLevel="0" collapsed="false">
      <c r="A10" s="0" t="n">
        <v>31</v>
      </c>
      <c r="B10" s="31" t="n">
        <v>39083</v>
      </c>
      <c r="C10" s="56" t="n">
        <f aca="false">K10*0.96</f>
        <v>1112586.24</v>
      </c>
      <c r="D10" s="29" t="s">
        <v>41</v>
      </c>
      <c r="E10" s="33" t="n">
        <f aca="false">IF(D10="totale",(C10/(A10*24))/F10,IF(D10="marché libre",(C10/(A10*24))/G10,"spécifier histo"))</f>
        <v>0.347770142535634</v>
      </c>
      <c r="F10" s="59" t="n">
        <v>4300</v>
      </c>
      <c r="G10" s="59" t="n">
        <f aca="false">F10-H10</f>
        <v>4300</v>
      </c>
      <c r="H10" s="59" t="n">
        <v>0</v>
      </c>
      <c r="J10" s="55"/>
      <c r="K10" s="56" t="n">
        <v>1158944</v>
      </c>
    </row>
    <row r="11" customFormat="false" ht="19.85" hidden="false" customHeight="true" outlineLevel="0" collapsed="false">
      <c r="A11" s="0" t="n">
        <v>28</v>
      </c>
      <c r="B11" s="34" t="n">
        <v>39114</v>
      </c>
      <c r="C11" s="56" t="n">
        <f aca="false">K11*0.96</f>
        <v>1069390.08000001</v>
      </c>
      <c r="D11" s="29" t="s">
        <v>41</v>
      </c>
      <c r="E11" s="33" t="n">
        <f aca="false">IF(D11="totale",(C11/(A11*24))/F11,IF(D11="marché libre",(C11/(A11*24))/G11,"spécifier histo"))</f>
        <v>0.370082392026581</v>
      </c>
      <c r="F11" s="59" t="n">
        <v>4300</v>
      </c>
      <c r="G11" s="59" t="n">
        <f aca="false">F11-H11</f>
        <v>4300</v>
      </c>
      <c r="H11" s="59" t="n">
        <v>0</v>
      </c>
      <c r="J11" s="55"/>
      <c r="K11" s="56" t="n">
        <v>1113948.00000001</v>
      </c>
    </row>
    <row r="12" customFormat="false" ht="19.85" hidden="false" customHeight="true" outlineLevel="0" collapsed="false">
      <c r="A12" s="0" t="n">
        <v>31</v>
      </c>
      <c r="B12" s="31" t="n">
        <v>39142</v>
      </c>
      <c r="C12" s="56" t="n">
        <f aca="false">K12*0.96</f>
        <v>1591878.72</v>
      </c>
      <c r="D12" s="29" t="s">
        <v>41</v>
      </c>
      <c r="E12" s="33" t="n">
        <f aca="false">IF(D12="totale",(C12/(A12*24))/F12,IF(D12="marché libre",(C12/(A12*24))/G12,"spécifier histo"))</f>
        <v>0.497586496624156</v>
      </c>
      <c r="F12" s="59" t="n">
        <v>4300</v>
      </c>
      <c r="G12" s="59" t="n">
        <f aca="false">F12-H12</f>
        <v>4300</v>
      </c>
      <c r="H12" s="59" t="n">
        <v>0</v>
      </c>
      <c r="J12" s="55"/>
      <c r="K12" s="56" t="n">
        <v>1658207</v>
      </c>
      <c r="L12" s="62"/>
    </row>
    <row r="13" customFormat="false" ht="19.85" hidden="false" customHeight="true" outlineLevel="0" collapsed="false">
      <c r="A13" s="0" t="n">
        <v>30</v>
      </c>
      <c r="B13" s="34" t="n">
        <v>39173</v>
      </c>
      <c r="C13" s="56" t="n">
        <f aca="false">K13*0.96</f>
        <v>852089.280000003</v>
      </c>
      <c r="D13" s="29" t="s">
        <v>41</v>
      </c>
      <c r="E13" s="33" t="n">
        <f aca="false">IF(D13="totale",(C13/(A13*24))/F13,IF(D13="marché libre",(C13/(A13*24))/G13,"spécifier histo"))</f>
        <v>0.275222635658916</v>
      </c>
      <c r="F13" s="59" t="n">
        <v>4300</v>
      </c>
      <c r="G13" s="59" t="n">
        <f aca="false">F13-H13</f>
        <v>4300</v>
      </c>
      <c r="H13" s="59" t="n">
        <v>0</v>
      </c>
      <c r="J13" s="55"/>
      <c r="K13" s="56" t="n">
        <v>887593.000000003</v>
      </c>
      <c r="L13" s="62"/>
    </row>
    <row r="14" customFormat="false" ht="19.85" hidden="false" customHeight="true" outlineLevel="0" collapsed="false">
      <c r="A14" s="0" t="n">
        <v>31</v>
      </c>
      <c r="B14" s="31" t="n">
        <v>39203</v>
      </c>
      <c r="C14" s="56" t="n">
        <f aca="false">K14*0.96</f>
        <v>1751751.36</v>
      </c>
      <c r="D14" s="29" t="s">
        <v>41</v>
      </c>
      <c r="E14" s="33" t="n">
        <f aca="false">IF(D14="totale",(C14/(A14*24))/F14,IF(D14="marché libre",(C14/(A14*24))/G14,"spécifier histo"))</f>
        <v>0.547559189797449</v>
      </c>
      <c r="F14" s="59" t="n">
        <v>4300</v>
      </c>
      <c r="G14" s="59" t="n">
        <f aca="false">F14-H14</f>
        <v>4300</v>
      </c>
      <c r="H14" s="59" t="n">
        <v>0</v>
      </c>
      <c r="J14" s="55"/>
      <c r="K14" s="56" t="n">
        <v>1824741</v>
      </c>
      <c r="L14" s="62"/>
    </row>
    <row r="15" customFormat="false" ht="19.85" hidden="false" customHeight="true" outlineLevel="0" collapsed="false">
      <c r="A15" s="0" t="n">
        <v>30</v>
      </c>
      <c r="B15" s="34" t="n">
        <v>39234</v>
      </c>
      <c r="C15" s="56" t="n">
        <f aca="false">K15*0.96</f>
        <v>1689397.44</v>
      </c>
      <c r="D15" s="29" t="s">
        <v>41</v>
      </c>
      <c r="E15" s="33" t="n">
        <f aca="false">IF(D15="totale",(C15/(A15*24))/F15,IF(D15="marché libre",(C15/(A15*24))/G15,"spécifier histo"))</f>
        <v>0.545671007751938</v>
      </c>
      <c r="F15" s="59" t="n">
        <v>4300</v>
      </c>
      <c r="G15" s="59" t="n">
        <f aca="false">F15-H15</f>
        <v>4300</v>
      </c>
      <c r="H15" s="59" t="n">
        <v>0</v>
      </c>
      <c r="J15" s="55"/>
      <c r="K15" s="56" t="n">
        <v>1759789</v>
      </c>
      <c r="L15" s="62"/>
    </row>
    <row r="16" customFormat="false" ht="19.85" hidden="false" customHeight="true" outlineLevel="0" collapsed="false">
      <c r="A16" s="0" t="n">
        <v>31</v>
      </c>
      <c r="B16" s="31" t="n">
        <v>39264</v>
      </c>
      <c r="C16" s="56" t="n">
        <f aca="false">K16*0.96</f>
        <v>2045584.32</v>
      </c>
      <c r="D16" s="29" t="s">
        <v>41</v>
      </c>
      <c r="E16" s="33" t="n">
        <f aca="false">IF(D16="totale",(C16/(A16*24))/F16,IF(D16="marché libre",(C16/(A16*24))/G16,"spécifier histo"))</f>
        <v>0.639404951237809</v>
      </c>
      <c r="F16" s="59" t="n">
        <v>4300</v>
      </c>
      <c r="G16" s="59" t="n">
        <f aca="false">F16-H16</f>
        <v>4300</v>
      </c>
      <c r="H16" s="59" t="n">
        <v>0</v>
      </c>
      <c r="J16" s="55"/>
      <c r="K16" s="56" t="n">
        <v>2130817</v>
      </c>
      <c r="L16" s="62"/>
    </row>
    <row r="17" customFormat="false" ht="19.85" hidden="false" customHeight="true" outlineLevel="0" collapsed="false">
      <c r="A17" s="0" t="n">
        <v>31</v>
      </c>
      <c r="B17" s="34" t="n">
        <v>39295</v>
      </c>
      <c r="C17" s="56" t="n">
        <f aca="false">K17*0.96</f>
        <v>1725465.60000001</v>
      </c>
      <c r="D17" s="29" t="s">
        <v>41</v>
      </c>
      <c r="E17" s="33" t="n">
        <f aca="false">IF(D17="totale",(C17/(A17*24))/F17,IF(D17="marché libre",(C17/(A17*24))/G17,"spécifier histo"))</f>
        <v>0.53934283570893</v>
      </c>
      <c r="F17" s="59" t="n">
        <v>4300</v>
      </c>
      <c r="G17" s="59" t="n">
        <f aca="false">F17-H17</f>
        <v>4300</v>
      </c>
      <c r="H17" s="59" t="n">
        <v>0</v>
      </c>
      <c r="J17" s="55"/>
      <c r="K17" s="56" t="n">
        <v>1797360.00000001</v>
      </c>
      <c r="L17" s="62"/>
    </row>
    <row r="18" customFormat="false" ht="19.85" hidden="false" customHeight="true" outlineLevel="0" collapsed="false">
      <c r="A18" s="0" t="n">
        <v>30</v>
      </c>
      <c r="B18" s="31" t="n">
        <v>39326</v>
      </c>
      <c r="C18" s="56" t="n">
        <f aca="false">K18*0.96</f>
        <v>1328038.08</v>
      </c>
      <c r="D18" s="29" t="s">
        <v>41</v>
      </c>
      <c r="E18" s="33" t="n">
        <f aca="false">IF(D18="totale",(C18/(A18*24))/F18,IF(D18="marché libre",(C18/(A18*24))/G18,"spécifier histo"))</f>
        <v>0.428952868217054</v>
      </c>
      <c r="F18" s="59" t="n">
        <v>4300</v>
      </c>
      <c r="G18" s="59" t="n">
        <f aca="false">F18-H18</f>
        <v>4300</v>
      </c>
      <c r="H18" s="59" t="n">
        <v>0</v>
      </c>
      <c r="J18" s="55"/>
      <c r="K18" s="56" t="n">
        <v>1383373</v>
      </c>
      <c r="L18" s="62"/>
    </row>
    <row r="19" customFormat="false" ht="19.85" hidden="false" customHeight="true" outlineLevel="0" collapsed="false">
      <c r="A19" s="0" t="n">
        <v>31</v>
      </c>
      <c r="B19" s="34" t="n">
        <v>39356</v>
      </c>
      <c r="C19" s="56" t="n">
        <f aca="false">K19*0.96</f>
        <v>1167504.96000001</v>
      </c>
      <c r="D19" s="29" t="s">
        <v>41</v>
      </c>
      <c r="E19" s="33" t="n">
        <f aca="false">IF(D19="totale",(C19/(A19*24))/F19,IF(D19="marché libre",(C19/(A19*24))/G19,"spécifier histo"))</f>
        <v>0.364936534133536</v>
      </c>
      <c r="F19" s="59" t="n">
        <v>4300</v>
      </c>
      <c r="G19" s="59" t="n">
        <f aca="false">F19-H19</f>
        <v>4300</v>
      </c>
      <c r="H19" s="59" t="n">
        <v>0</v>
      </c>
      <c r="J19" s="55"/>
      <c r="K19" s="56" t="n">
        <v>1216151.00000001</v>
      </c>
      <c r="L19" s="62"/>
    </row>
    <row r="20" customFormat="false" ht="19.85" hidden="false" customHeight="true" outlineLevel="0" collapsed="false">
      <c r="A20" s="0" t="n">
        <v>30</v>
      </c>
      <c r="B20" s="31" t="n">
        <v>39387</v>
      </c>
      <c r="C20" s="56" t="n">
        <f aca="false">K20*0.96</f>
        <v>1022168.64</v>
      </c>
      <c r="D20" s="29" t="s">
        <v>41</v>
      </c>
      <c r="E20" s="33" t="n">
        <f aca="false">IF(D20="totale",(C20/(A20*24))/F20,IF(D20="marché libre",(C20/(A20*24))/G20,"spécifier histo"))</f>
        <v>0.330157829457364</v>
      </c>
      <c r="F20" s="59" t="n">
        <v>4300</v>
      </c>
      <c r="G20" s="59" t="n">
        <f aca="false">F20-H20</f>
        <v>4300</v>
      </c>
      <c r="H20" s="59" t="n">
        <v>0</v>
      </c>
      <c r="J20" s="55"/>
      <c r="K20" s="56" t="n">
        <v>1064759</v>
      </c>
      <c r="L20" s="62"/>
    </row>
    <row r="21" customFormat="false" ht="19.85" hidden="false" customHeight="true" outlineLevel="0" collapsed="false">
      <c r="A21" s="0" t="n">
        <v>31</v>
      </c>
      <c r="B21" s="34" t="n">
        <v>39417</v>
      </c>
      <c r="C21" s="56" t="n">
        <f aca="false">K21*0.96</f>
        <v>1660960.32</v>
      </c>
      <c r="D21" s="29" t="s">
        <v>41</v>
      </c>
      <c r="E21" s="33" t="n">
        <f aca="false">IF(D21="totale",(C21/(A21*24))/F21,IF(D21="marché libre",(C21/(A21*24))/G21,"spécifier histo"))</f>
        <v>0.519179894973743</v>
      </c>
      <c r="F21" s="59" t="n">
        <v>4300</v>
      </c>
      <c r="G21" s="59" t="n">
        <f aca="false">F21-H21</f>
        <v>4300</v>
      </c>
      <c r="H21" s="59" t="n">
        <v>0</v>
      </c>
      <c r="J21" s="55"/>
      <c r="K21" s="56" t="n">
        <v>1730167</v>
      </c>
      <c r="L21" s="62"/>
    </row>
    <row r="22" customFormat="false" ht="19.85" hidden="false" customHeight="true" outlineLevel="0" collapsed="false">
      <c r="A22" s="0" t="n">
        <v>31</v>
      </c>
      <c r="B22" s="31" t="n">
        <v>39448</v>
      </c>
      <c r="C22" s="56" t="n">
        <f aca="false">K22*0.96</f>
        <v>1431238.08</v>
      </c>
      <c r="D22" s="29" t="s">
        <v>41</v>
      </c>
      <c r="E22" s="33" t="n">
        <f aca="false">IF(D22="totale",(C22/(A22*24))/F22,IF(D22="marché libre",(C22/(A22*24))/G22,"spécifier histo"))</f>
        <v>0.447373743435859</v>
      </c>
      <c r="F22" s="59" t="n">
        <v>4300</v>
      </c>
      <c r="G22" s="59" t="n">
        <f aca="false">F22-H22</f>
        <v>4300</v>
      </c>
      <c r="H22" s="59" t="n">
        <v>0</v>
      </c>
      <c r="J22" s="55"/>
      <c r="K22" s="56" t="n">
        <v>1490873</v>
      </c>
      <c r="L22" s="62"/>
    </row>
    <row r="23" customFormat="false" ht="19.85" hidden="false" customHeight="true" outlineLevel="0" collapsed="false">
      <c r="A23" s="0" t="n">
        <v>28</v>
      </c>
      <c r="B23" s="34" t="n">
        <v>39479</v>
      </c>
      <c r="C23" s="56" t="n">
        <f aca="false">K23*0.96</f>
        <v>1096466.88</v>
      </c>
      <c r="D23" s="29" t="s">
        <v>41</v>
      </c>
      <c r="E23" s="33" t="n">
        <f aca="false">IF(D23="totale",(C23/(A23*24))/F23,IF(D23="marché libre",(C23/(A23*24))/G23,"spécifier histo"))</f>
        <v>0.379452823920266</v>
      </c>
      <c r="F23" s="59" t="n">
        <v>4300</v>
      </c>
      <c r="G23" s="59" t="n">
        <f aca="false">F23-H23</f>
        <v>4300</v>
      </c>
      <c r="H23" s="59" t="n">
        <v>0</v>
      </c>
      <c r="J23" s="55"/>
      <c r="K23" s="56" t="n">
        <v>1142153</v>
      </c>
      <c r="L23" s="62"/>
    </row>
    <row r="24" customFormat="false" ht="19.85" hidden="false" customHeight="true" outlineLevel="0" collapsed="false">
      <c r="A24" s="0" t="n">
        <v>31</v>
      </c>
      <c r="B24" s="31" t="n">
        <v>39508</v>
      </c>
      <c r="C24" s="56" t="n">
        <f aca="false">K24*0.96</f>
        <v>1335140.15999999</v>
      </c>
      <c r="D24" s="29" t="s">
        <v>41</v>
      </c>
      <c r="E24" s="33" t="n">
        <f aca="false">IF(D24="totale",(C24/(A24*24))/F24,IF(D24="marché libre",(C24/(A24*24))/G24,"spécifier histo"))</f>
        <v>0.417335633908474</v>
      </c>
      <c r="F24" s="59" t="n">
        <v>4300</v>
      </c>
      <c r="G24" s="59" t="n">
        <f aca="false">F24-H24</f>
        <v>4300</v>
      </c>
      <c r="H24" s="59" t="n">
        <v>0</v>
      </c>
      <c r="J24" s="55"/>
      <c r="K24" s="56" t="n">
        <v>1390770.99999999</v>
      </c>
      <c r="L24" s="62"/>
    </row>
    <row r="25" customFormat="false" ht="19.85" hidden="false" customHeight="true" outlineLevel="0" collapsed="false">
      <c r="A25" s="0" t="n">
        <v>30</v>
      </c>
      <c r="B25" s="34" t="n">
        <v>39539</v>
      </c>
      <c r="C25" s="56" t="n">
        <f aca="false">K25*0.96</f>
        <v>1381959.36</v>
      </c>
      <c r="D25" s="29" t="s">
        <v>41</v>
      </c>
      <c r="E25" s="33" t="n">
        <f aca="false">IF(D25="totale",(C25/(A25*24))/F25,IF(D25="marché libre",(C25/(A25*24))/G25,"spécifier histo"))</f>
        <v>0.446369302325581</v>
      </c>
      <c r="F25" s="59" t="n">
        <v>4300</v>
      </c>
      <c r="G25" s="59" t="n">
        <f aca="false">F25-H25</f>
        <v>4300</v>
      </c>
      <c r="H25" s="59" t="n">
        <v>0</v>
      </c>
      <c r="J25" s="55"/>
      <c r="K25" s="56" t="n">
        <v>1439541</v>
      </c>
      <c r="L25" s="62"/>
    </row>
    <row r="26" customFormat="false" ht="19.85" hidden="false" customHeight="true" outlineLevel="0" collapsed="false">
      <c r="A26" s="0" t="n">
        <v>31</v>
      </c>
      <c r="B26" s="31" t="n">
        <v>39569</v>
      </c>
      <c r="C26" s="56" t="n">
        <f aca="false">K26*0.96</f>
        <v>2655403.2</v>
      </c>
      <c r="D26" s="29" t="s">
        <v>41</v>
      </c>
      <c r="E26" s="33" t="n">
        <f aca="false">IF(D26="totale",(C26/(A26*24))/F26,IF(D26="marché libre",(C26/(A26*24))/G26,"spécifier histo"))</f>
        <v>0.830021005251313</v>
      </c>
      <c r="F26" s="59" t="n">
        <v>4300</v>
      </c>
      <c r="G26" s="59" t="n">
        <f aca="false">F26-H26</f>
        <v>4300</v>
      </c>
      <c r="H26" s="59" t="n">
        <v>0</v>
      </c>
      <c r="J26" s="55"/>
      <c r="K26" s="56" t="n">
        <v>2766045</v>
      </c>
      <c r="L26" s="62"/>
    </row>
    <row r="27" customFormat="false" ht="19.85" hidden="false" customHeight="true" outlineLevel="0" collapsed="false">
      <c r="A27" s="0" t="n">
        <v>30</v>
      </c>
      <c r="B27" s="34" t="n">
        <v>39600</v>
      </c>
      <c r="C27" s="56" t="n">
        <f aca="false">K27*0.96</f>
        <v>3052761.6</v>
      </c>
      <c r="D27" s="29" t="s">
        <v>41</v>
      </c>
      <c r="E27" s="33" t="n">
        <f aca="false">IF(D27="totale",(C27/(A27*24))/F27,IF(D27="marché libre",(C27/(A27*24))/G27,"spécifier histo"))</f>
        <v>0.986034108527132</v>
      </c>
      <c r="F27" s="59" t="n">
        <v>4300</v>
      </c>
      <c r="G27" s="59" t="n">
        <f aca="false">F27-H27</f>
        <v>4300</v>
      </c>
      <c r="H27" s="59" t="n">
        <v>0</v>
      </c>
      <c r="J27" s="55"/>
      <c r="K27" s="56" t="n">
        <v>3179960</v>
      </c>
      <c r="L27" s="62"/>
    </row>
    <row r="28" customFormat="false" ht="19.85" hidden="false" customHeight="true" outlineLevel="0" collapsed="false">
      <c r="A28" s="0" t="n">
        <v>31</v>
      </c>
      <c r="B28" s="31" t="n">
        <v>39630</v>
      </c>
      <c r="C28" s="56" t="n">
        <f aca="false">K28*0.96</f>
        <v>2599519.68000001</v>
      </c>
      <c r="D28" s="29" t="s">
        <v>41</v>
      </c>
      <c r="E28" s="33" t="n">
        <f aca="false">IF(D28="totale",(C28/(A28*24))/F28,IF(D28="marché libre",(C28/(A28*24))/G28,"spécifier histo"))</f>
        <v>0.812553038259568</v>
      </c>
      <c r="F28" s="59" t="n">
        <v>4300</v>
      </c>
      <c r="G28" s="59" t="n">
        <f aca="false">F28-H28</f>
        <v>4300</v>
      </c>
      <c r="H28" s="59" t="n">
        <v>0</v>
      </c>
      <c r="J28" s="55"/>
      <c r="K28" s="56" t="n">
        <v>2707833.00000001</v>
      </c>
      <c r="L28" s="62"/>
    </row>
    <row r="29" customFormat="false" ht="19.85" hidden="false" customHeight="true" outlineLevel="0" collapsed="false">
      <c r="A29" s="0" t="n">
        <v>31</v>
      </c>
      <c r="B29" s="34" t="n">
        <v>39661</v>
      </c>
      <c r="C29" s="56" t="n">
        <f aca="false">K29*0.96</f>
        <v>1571784.96000001</v>
      </c>
      <c r="D29" s="29" t="s">
        <v>41</v>
      </c>
      <c r="E29" s="33" t="n">
        <f aca="false">IF(D29="totale",(C29/(A29*24))/F29,IF(D29="marché libre",(C29/(A29*24))/G29,"spécifier histo"))</f>
        <v>0.491305626406605</v>
      </c>
      <c r="F29" s="59" t="n">
        <v>4300</v>
      </c>
      <c r="G29" s="59" t="n">
        <f aca="false">F29-H29</f>
        <v>4300</v>
      </c>
      <c r="H29" s="59" t="n">
        <v>0</v>
      </c>
      <c r="J29" s="55"/>
      <c r="K29" s="56" t="n">
        <v>1637276.00000001</v>
      </c>
      <c r="L29" s="62"/>
    </row>
    <row r="30" customFormat="false" ht="19.85" hidden="false" customHeight="true" outlineLevel="0" collapsed="false">
      <c r="A30" s="0" t="n">
        <v>30</v>
      </c>
      <c r="B30" s="31" t="n">
        <v>39692</v>
      </c>
      <c r="C30" s="56" t="n">
        <f aca="false">K30*0.96</f>
        <v>1625171.51999998</v>
      </c>
      <c r="D30" s="29" t="s">
        <v>41</v>
      </c>
      <c r="E30" s="33" t="n">
        <f aca="false">IF(D30="totale",(C30/(A30*24))/F30,IF(D30="marché libre",(C30/(A30*24))/G30,"spécifier histo"))</f>
        <v>0.524926201550381</v>
      </c>
      <c r="F30" s="59" t="n">
        <v>4300</v>
      </c>
      <c r="G30" s="59" t="n">
        <f aca="false">F30-H30</f>
        <v>4300</v>
      </c>
      <c r="H30" s="59" t="n">
        <v>0</v>
      </c>
      <c r="J30" s="55"/>
      <c r="K30" s="56" t="n">
        <v>1692886.99999998</v>
      </c>
      <c r="L30" s="62"/>
    </row>
    <row r="31" customFormat="false" ht="19.85" hidden="false" customHeight="true" outlineLevel="0" collapsed="false">
      <c r="A31" s="0" t="n">
        <v>31</v>
      </c>
      <c r="B31" s="34" t="n">
        <v>39722</v>
      </c>
      <c r="C31" s="56" t="n">
        <f aca="false">K31*0.96</f>
        <v>1188757.44000001</v>
      </c>
      <c r="D31" s="29" t="s">
        <v>41</v>
      </c>
      <c r="E31" s="33" t="n">
        <f aca="false">IF(D31="totale",(C31/(A31*24))/F31,IF(D31="marché libre",(C31/(A31*24))/G31,"spécifier histo"))</f>
        <v>0.371579594898728</v>
      </c>
      <c r="F31" s="59" t="n">
        <v>4300</v>
      </c>
      <c r="G31" s="59" t="n">
        <f aca="false">F31-H31</f>
        <v>4300</v>
      </c>
      <c r="H31" s="59" t="n">
        <v>0</v>
      </c>
      <c r="J31" s="55"/>
      <c r="K31" s="56" t="n">
        <v>1238289.00000001</v>
      </c>
      <c r="L31" s="62"/>
    </row>
    <row r="32" customFormat="false" ht="19.85" hidden="false" customHeight="true" outlineLevel="0" collapsed="false">
      <c r="A32" s="0" t="n">
        <v>30</v>
      </c>
      <c r="B32" s="31" t="n">
        <v>39753</v>
      </c>
      <c r="C32" s="56" t="n">
        <f aca="false">K32*0.96</f>
        <v>1341216</v>
      </c>
      <c r="D32" s="29" t="s">
        <v>41</v>
      </c>
      <c r="E32" s="33" t="n">
        <f aca="false">IF(D32="totale",(C32/(A32*24))/F32,IF(D32="marché libre",(C32/(A32*24))/G32,"spécifier histo"))</f>
        <v>0.433209302325581</v>
      </c>
      <c r="F32" s="59" t="n">
        <v>4300</v>
      </c>
      <c r="G32" s="59" t="n">
        <f aca="false">F32-H32</f>
        <v>4300</v>
      </c>
      <c r="H32" s="59" t="n">
        <v>0</v>
      </c>
      <c r="J32" s="55"/>
      <c r="K32" s="56" t="n">
        <v>1397100</v>
      </c>
      <c r="L32" s="62"/>
    </row>
    <row r="33" customFormat="false" ht="19.85" hidden="false" customHeight="true" outlineLevel="0" collapsed="false">
      <c r="A33" s="0" t="n">
        <v>31</v>
      </c>
      <c r="B33" s="34" t="n">
        <v>39783</v>
      </c>
      <c r="C33" s="56" t="n">
        <f aca="false">K33*0.96</f>
        <v>1377503.99999999</v>
      </c>
      <c r="D33" s="29" t="s">
        <v>41</v>
      </c>
      <c r="E33" s="33" t="n">
        <f aca="false">IF(D33="totale",(C33/(A33*24))/F33,IF(D33="marché libre",(C33/(A33*24))/G33,"spécifier histo"))</f>
        <v>0.4305776444111</v>
      </c>
      <c r="F33" s="59" t="n">
        <v>4300</v>
      </c>
      <c r="G33" s="59" t="n">
        <f aca="false">F33-H33</f>
        <v>4300</v>
      </c>
      <c r="H33" s="59" t="n">
        <v>0</v>
      </c>
      <c r="J33" s="55"/>
      <c r="K33" s="56" t="n">
        <v>1434899.99999999</v>
      </c>
      <c r="L33" s="62"/>
    </row>
    <row r="34" customFormat="false" ht="19.85" hidden="false" customHeight="true" outlineLevel="0" collapsed="false">
      <c r="A34" s="0" t="n">
        <v>31</v>
      </c>
      <c r="B34" s="31" t="n">
        <v>39814</v>
      </c>
      <c r="C34" s="56" t="n">
        <f aca="false">K34*0.96</f>
        <v>1048512</v>
      </c>
      <c r="D34" s="29" t="s">
        <v>41</v>
      </c>
      <c r="E34" s="33" t="n">
        <f aca="false">IF(D34="totale",(C34/(A34*24))/F34,IF(D34="marché libre",(C34/(A34*24))/G34,"spécifier histo"))</f>
        <v>0.327741935483871</v>
      </c>
      <c r="F34" s="59" t="n">
        <v>4300</v>
      </c>
      <c r="G34" s="59" t="n">
        <f aca="false">F34-H34</f>
        <v>4300</v>
      </c>
      <c r="H34" s="59" t="n">
        <v>0</v>
      </c>
      <c r="J34" s="55"/>
      <c r="K34" s="56" t="n">
        <v>1092200</v>
      </c>
      <c r="L34" s="62"/>
    </row>
    <row r="35" customFormat="false" ht="19.85" hidden="false" customHeight="true" outlineLevel="0" collapsed="false">
      <c r="A35" s="0" t="n">
        <v>28</v>
      </c>
      <c r="B35" s="34" t="n">
        <v>39845</v>
      </c>
      <c r="C35" s="56" t="n">
        <f aca="false">K35*0.96</f>
        <v>917087.999999996</v>
      </c>
      <c r="D35" s="29" t="s">
        <v>41</v>
      </c>
      <c r="E35" s="33" t="n">
        <f aca="false">IF(D35="totale",(C35/(A35*24))/F35,IF(D35="marché libre",(C35/(A35*24))/G35,"spécifier histo"))</f>
        <v>0.317375415282391</v>
      </c>
      <c r="F35" s="59" t="n">
        <v>4300</v>
      </c>
      <c r="G35" s="59" t="n">
        <f aca="false">F35-H35</f>
        <v>4300</v>
      </c>
      <c r="H35" s="59" t="n">
        <v>0</v>
      </c>
      <c r="J35" s="55"/>
      <c r="K35" s="56" t="n">
        <v>955299.999999996</v>
      </c>
      <c r="L35" s="62"/>
    </row>
    <row r="36" customFormat="false" ht="19.85" hidden="false" customHeight="true" outlineLevel="0" collapsed="false">
      <c r="A36" s="0" t="n">
        <v>31</v>
      </c>
      <c r="B36" s="31" t="n">
        <v>39873</v>
      </c>
      <c r="C36" s="56" t="n">
        <f aca="false">K36*0.96</f>
        <v>897407.999999989</v>
      </c>
      <c r="D36" s="29" t="s">
        <v>41</v>
      </c>
      <c r="E36" s="33" t="n">
        <f aca="false">IF(D36="totale",(C36/(A36*24))/F36,IF(D36="marché libre",(C36/(A36*24))/G36,"spécifier histo"))</f>
        <v>0.280510127531879</v>
      </c>
      <c r="F36" s="59" t="n">
        <v>4300</v>
      </c>
      <c r="G36" s="59" t="n">
        <f aca="false">F36-H36</f>
        <v>4300</v>
      </c>
      <c r="H36" s="59" t="n">
        <v>0</v>
      </c>
      <c r="J36" s="55"/>
      <c r="K36" s="56" t="n">
        <v>934799.999999988</v>
      </c>
      <c r="L36" s="62"/>
    </row>
    <row r="37" customFormat="false" ht="19.85" hidden="false" customHeight="true" outlineLevel="0" collapsed="false">
      <c r="A37" s="0" t="n">
        <v>30</v>
      </c>
      <c r="B37" s="34" t="n">
        <v>39904</v>
      </c>
      <c r="C37" s="56" t="n">
        <f aca="false">K37*0.96</f>
        <v>1425791.99999999</v>
      </c>
      <c r="D37" s="29" t="s">
        <v>41</v>
      </c>
      <c r="E37" s="33" t="n">
        <f aca="false">IF(D37="totale",(C37/(A37*24))/F37,IF(D37="marché libre",(C37/(A37*24))/G37,"spécifier histo"))</f>
        <v>0.460527131782943</v>
      </c>
      <c r="F37" s="59" t="n">
        <v>4300</v>
      </c>
      <c r="G37" s="59" t="n">
        <f aca="false">F37-H37</f>
        <v>4300</v>
      </c>
      <c r="H37" s="59" t="n">
        <v>0</v>
      </c>
      <c r="J37" s="55"/>
      <c r="K37" s="56" t="n">
        <v>1485199.99999999</v>
      </c>
      <c r="L37" s="62"/>
    </row>
    <row r="38" customFormat="false" ht="19.85" hidden="false" customHeight="true" outlineLevel="0" collapsed="false">
      <c r="A38" s="0" t="n">
        <v>31</v>
      </c>
      <c r="B38" s="31" t="n">
        <v>39934</v>
      </c>
      <c r="C38" s="56" t="n">
        <f aca="false">K38*0.96</f>
        <v>2530079.99999999</v>
      </c>
      <c r="D38" s="29" t="s">
        <v>41</v>
      </c>
      <c r="E38" s="33" t="n">
        <f aca="false">IF(D38="totale",(C38/(A38*24))/F38,IF(D38="marché libre",(C38/(A38*24))/G38,"spécifier histo"))</f>
        <v>0.790847711927979</v>
      </c>
      <c r="F38" s="59" t="n">
        <v>4300</v>
      </c>
      <c r="G38" s="59" t="n">
        <f aca="false">F38-H38</f>
        <v>4300</v>
      </c>
      <c r="H38" s="59" t="n">
        <v>0</v>
      </c>
      <c r="J38" s="55"/>
      <c r="K38" s="56" t="n">
        <v>2635499.99999999</v>
      </c>
      <c r="L38" s="62"/>
    </row>
    <row r="39" customFormat="false" ht="19.85" hidden="false" customHeight="true" outlineLevel="0" collapsed="false">
      <c r="A39" s="0" t="n">
        <v>30</v>
      </c>
      <c r="B39" s="34" t="n">
        <v>39965</v>
      </c>
      <c r="C39" s="56" t="n">
        <f aca="false">K39*0.96</f>
        <v>2009087.99999999</v>
      </c>
      <c r="D39" s="29" t="s">
        <v>41</v>
      </c>
      <c r="E39" s="33" t="n">
        <f aca="false">IF(D39="totale",(C39/(A39*24))/F39,IF(D39="marché libre",(C39/(A39*24))/G39,"spécifier histo"))</f>
        <v>0.648930232558136</v>
      </c>
      <c r="F39" s="59" t="n">
        <v>4300</v>
      </c>
      <c r="G39" s="59" t="n">
        <f aca="false">F39-H39</f>
        <v>4300</v>
      </c>
      <c r="H39" s="59" t="n">
        <v>0</v>
      </c>
      <c r="J39" s="55"/>
      <c r="K39" s="56" t="n">
        <v>2092799.99999999</v>
      </c>
      <c r="L39" s="62"/>
    </row>
    <row r="40" customFormat="false" ht="19.85" hidden="false" customHeight="true" outlineLevel="0" collapsed="false">
      <c r="A40" s="0" t="n">
        <v>31</v>
      </c>
      <c r="B40" s="31" t="n">
        <v>39995</v>
      </c>
      <c r="C40" s="56" t="n">
        <f aca="false">K40*0.96</f>
        <v>1347744.00000002</v>
      </c>
      <c r="D40" s="29" t="s">
        <v>41</v>
      </c>
      <c r="E40" s="33" t="n">
        <f aca="false">IF(D40="totale",(C40/(A40*24))/F40,IF(D40="marché libre",(C40/(A40*24))/G40,"spécifier histo"))</f>
        <v>0.421275318829713</v>
      </c>
      <c r="F40" s="59" t="n">
        <v>4300</v>
      </c>
      <c r="G40" s="59" t="n">
        <f aca="false">F40-H40</f>
        <v>4300</v>
      </c>
      <c r="H40" s="59" t="n">
        <v>0</v>
      </c>
      <c r="J40" s="55"/>
      <c r="K40" s="56" t="n">
        <v>1403900.00000002</v>
      </c>
      <c r="L40" s="62"/>
    </row>
    <row r="41" customFormat="false" ht="19.85" hidden="false" customHeight="true" outlineLevel="0" collapsed="false">
      <c r="A41" s="0" t="n">
        <v>31</v>
      </c>
      <c r="B41" s="34" t="n">
        <v>40026</v>
      </c>
      <c r="C41" s="56" t="n">
        <f aca="false">K41*0.96</f>
        <v>625535.999999991</v>
      </c>
      <c r="D41" s="29" t="s">
        <v>41</v>
      </c>
      <c r="E41" s="33" t="n">
        <f aca="false">IF(D41="totale",(C41/(A41*24))/F41,IF(D41="marché libre",(C41/(A41*24))/G41,"spécifier histo"))</f>
        <v>0.195528882220552</v>
      </c>
      <c r="F41" s="59" t="n">
        <v>4300</v>
      </c>
      <c r="G41" s="59" t="n">
        <f aca="false">F41-H41</f>
        <v>4300</v>
      </c>
      <c r="H41" s="59" t="n">
        <v>0</v>
      </c>
      <c r="J41" s="55"/>
      <c r="K41" s="56" t="n">
        <v>651599.999999991</v>
      </c>
      <c r="L41" s="62"/>
    </row>
    <row r="42" customFormat="false" ht="19.85" hidden="false" customHeight="true" outlineLevel="0" collapsed="false">
      <c r="A42" s="0" t="n">
        <v>30</v>
      </c>
      <c r="B42" s="31" t="n">
        <v>40057</v>
      </c>
      <c r="C42" s="56" t="n">
        <f aca="false">K42*0.96</f>
        <v>481247.999999988</v>
      </c>
      <c r="D42" s="29" t="s">
        <v>41</v>
      </c>
      <c r="E42" s="33" t="n">
        <f aca="false">IF(D42="totale",(C42/(A42*24))/F42,IF(D42="marché libre",(C42/(A42*24))/G42,"spécifier histo"))</f>
        <v>0.155441860465113</v>
      </c>
      <c r="F42" s="59" t="n">
        <v>4300</v>
      </c>
      <c r="G42" s="59" t="n">
        <f aca="false">F42-H42</f>
        <v>4300</v>
      </c>
      <c r="H42" s="59" t="n">
        <v>0</v>
      </c>
      <c r="J42" s="55"/>
      <c r="K42" s="56" t="n">
        <v>501299.999999988</v>
      </c>
      <c r="L42" s="62"/>
    </row>
    <row r="43" customFormat="false" ht="19.85" hidden="false" customHeight="true" outlineLevel="0" collapsed="false">
      <c r="A43" s="0" t="n">
        <v>31</v>
      </c>
      <c r="B43" s="34" t="n">
        <v>40087</v>
      </c>
      <c r="C43" s="56" t="n">
        <f aca="false">K43*0.96</f>
        <v>393791.99999999</v>
      </c>
      <c r="D43" s="29" t="s">
        <v>41</v>
      </c>
      <c r="E43" s="33" t="n">
        <f aca="false">IF(D43="totale",(C43/(A43*24))/F43,IF(D43="marché libre",(C43/(A43*24))/G43,"spécifier histo"))</f>
        <v>0.12309077269317</v>
      </c>
      <c r="F43" s="59" t="n">
        <v>4300</v>
      </c>
      <c r="G43" s="59" t="n">
        <f aca="false">F43-H43</f>
        <v>4300</v>
      </c>
      <c r="H43" s="59" t="n">
        <v>0</v>
      </c>
      <c r="J43" s="55"/>
      <c r="K43" s="56" t="n">
        <v>410199.99999999</v>
      </c>
      <c r="L43" s="62"/>
    </row>
    <row r="44" customFormat="false" ht="19.85" hidden="false" customHeight="true" outlineLevel="0" collapsed="false">
      <c r="A44" s="0" t="n">
        <v>30</v>
      </c>
      <c r="B44" s="31" t="n">
        <v>40118</v>
      </c>
      <c r="C44" s="56" t="n">
        <f aca="false">K44*0.96</f>
        <v>1052831.99999999</v>
      </c>
      <c r="D44" s="29" t="s">
        <v>41</v>
      </c>
      <c r="E44" s="33" t="n">
        <f aca="false">IF(D44="totale",(C44/(A44*24))/F44,IF(D44="marché libre",(C44/(A44*24))/G44,"spécifier histo"))</f>
        <v>0.340062015503873</v>
      </c>
      <c r="F44" s="59" t="n">
        <v>4300</v>
      </c>
      <c r="G44" s="59" t="n">
        <f aca="false">F44-H44</f>
        <v>4300</v>
      </c>
      <c r="H44" s="59" t="n">
        <v>0</v>
      </c>
      <c r="J44" s="55"/>
      <c r="K44" s="56" t="n">
        <v>1096699.99999999</v>
      </c>
      <c r="L44" s="62"/>
    </row>
    <row r="45" customFormat="false" ht="19.85" hidden="false" customHeight="true" outlineLevel="0" collapsed="false">
      <c r="A45" s="0" t="n">
        <v>31</v>
      </c>
      <c r="B45" s="34" t="n">
        <v>40148</v>
      </c>
      <c r="C45" s="56" t="n">
        <f aca="false">K45*0.96</f>
        <v>1478112</v>
      </c>
      <c r="D45" s="29" t="s">
        <v>41</v>
      </c>
      <c r="E45" s="33" t="n">
        <f aca="false">IF(D45="totale",(C45/(A45*24))/F45,IF(D45="marché libre",(C45/(A45*24))/G45,"spécifier histo"))</f>
        <v>0.462025506376594</v>
      </c>
      <c r="F45" s="59" t="n">
        <v>4300</v>
      </c>
      <c r="G45" s="59" t="n">
        <f aca="false">F45-H45</f>
        <v>4300</v>
      </c>
      <c r="H45" s="59" t="n">
        <v>0</v>
      </c>
      <c r="J45" s="55"/>
      <c r="K45" s="56" t="n">
        <v>1539700</v>
      </c>
      <c r="L45" s="62"/>
    </row>
    <row r="46" customFormat="false" ht="19.85" hidden="false" customHeight="true" outlineLevel="0" collapsed="false">
      <c r="A46" s="0" t="n">
        <v>31</v>
      </c>
      <c r="B46" s="31" t="n">
        <v>40179</v>
      </c>
      <c r="C46" s="56" t="n">
        <f aca="false">K46*0.96</f>
        <v>1410432.00000004</v>
      </c>
      <c r="D46" s="29" t="s">
        <v>41</v>
      </c>
      <c r="E46" s="33" t="n">
        <f aca="false">IF(D46="totale",(C46/(A46*24))/F46,IF(D46="marché libre",(C46/(A46*24))/G46,"spécifier histo"))</f>
        <v>0.440870217554401</v>
      </c>
      <c r="F46" s="59" t="n">
        <v>4300</v>
      </c>
      <c r="G46" s="59" t="n">
        <f aca="false">F46-H46</f>
        <v>4300</v>
      </c>
      <c r="H46" s="59" t="n">
        <v>0</v>
      </c>
      <c r="J46" s="55"/>
      <c r="K46" s="56" t="n">
        <v>1469200.00000004</v>
      </c>
      <c r="L46" s="62"/>
    </row>
    <row r="47" customFormat="false" ht="19.85" hidden="false" customHeight="true" outlineLevel="0" collapsed="false">
      <c r="A47" s="0" t="n">
        <v>28</v>
      </c>
      <c r="B47" s="34" t="n">
        <v>40210</v>
      </c>
      <c r="C47" s="56" t="n">
        <f aca="false">K47*0.96</f>
        <v>1329791.99999997</v>
      </c>
      <c r="D47" s="29" t="s">
        <v>41</v>
      </c>
      <c r="E47" s="33" t="n">
        <f aca="false">IF(D47="totale",(C47/(A47*24))/F47,IF(D47="marché libre",(C47/(A47*24))/G47,"spécifier histo"))</f>
        <v>0.460199335548163</v>
      </c>
      <c r="F47" s="59" t="n">
        <v>4300</v>
      </c>
      <c r="G47" s="59" t="n">
        <f aca="false">F47-H47</f>
        <v>4300</v>
      </c>
      <c r="H47" s="59" t="n">
        <v>0</v>
      </c>
      <c r="J47" s="55"/>
      <c r="K47" s="56" t="n">
        <v>1385199.99999997</v>
      </c>
      <c r="L47" s="62"/>
    </row>
    <row r="48" customFormat="false" ht="19.85" hidden="false" customHeight="true" outlineLevel="0" collapsed="false">
      <c r="A48" s="0" t="n">
        <v>31</v>
      </c>
      <c r="B48" s="31" t="n">
        <v>40238</v>
      </c>
      <c r="C48" s="56" t="n">
        <f aca="false">K48*0.96</f>
        <v>1299168</v>
      </c>
      <c r="D48" s="29" t="s">
        <v>41</v>
      </c>
      <c r="E48" s="33" t="n">
        <f aca="false">IF(D48="totale",(C48/(A48*24))/F48,IF(D48="marché libre",(C48/(A48*24))/G48,"spécifier histo"))</f>
        <v>0.40609152288072</v>
      </c>
      <c r="F48" s="59" t="n">
        <v>4300</v>
      </c>
      <c r="G48" s="59" t="n">
        <f aca="false">F48-H48</f>
        <v>4300</v>
      </c>
      <c r="H48" s="59" t="n">
        <v>0</v>
      </c>
      <c r="J48" s="55"/>
      <c r="K48" s="56" t="n">
        <v>1353300</v>
      </c>
      <c r="L48" s="62"/>
    </row>
    <row r="49" customFormat="false" ht="19.85" hidden="false" customHeight="true" outlineLevel="0" collapsed="false">
      <c r="A49" s="0" t="n">
        <v>30</v>
      </c>
      <c r="B49" s="34" t="n">
        <v>40269</v>
      </c>
      <c r="C49" s="56" t="n">
        <f aca="false">K49*0.96</f>
        <v>1212288.00000003</v>
      </c>
      <c r="D49" s="29" t="s">
        <v>41</v>
      </c>
      <c r="E49" s="33" t="n">
        <f aca="false">IF(D49="totale",(C49/(A49*24))/F49,IF(D49="marché libre",(C49/(A49*24))/G49,"spécifier histo"))</f>
        <v>0.391565891472878</v>
      </c>
      <c r="F49" s="59" t="n">
        <v>4300</v>
      </c>
      <c r="G49" s="59" t="n">
        <f aca="false">F49-H49</f>
        <v>4300</v>
      </c>
      <c r="H49" s="59" t="n">
        <v>0</v>
      </c>
      <c r="J49" s="55"/>
      <c r="K49" s="56" t="n">
        <v>1262800.00000003</v>
      </c>
      <c r="L49" s="62"/>
    </row>
    <row r="50" customFormat="false" ht="19.85" hidden="false" customHeight="true" outlineLevel="0" collapsed="false">
      <c r="A50" s="0" t="n">
        <v>31</v>
      </c>
      <c r="B50" s="31" t="n">
        <v>40299</v>
      </c>
      <c r="C50" s="56" t="n">
        <f aca="false">K50*0.96</f>
        <v>2128512</v>
      </c>
      <c r="D50" s="29" t="s">
        <v>41</v>
      </c>
      <c r="E50" s="33" t="n">
        <f aca="false">IF(D50="totale",(C50/(A50*24))/F50,IF(D50="marché libre",(C50/(A50*24))/G50,"spécifier histo"))</f>
        <v>0.665326331582896</v>
      </c>
      <c r="F50" s="59" t="n">
        <v>4300</v>
      </c>
      <c r="G50" s="59" t="n">
        <f aca="false">F50-H50</f>
        <v>4300</v>
      </c>
      <c r="H50" s="59" t="n">
        <v>0</v>
      </c>
      <c r="J50" s="55"/>
      <c r="K50" s="56" t="n">
        <v>2217200</v>
      </c>
      <c r="L50" s="62"/>
    </row>
    <row r="51" customFormat="false" ht="19.85" hidden="false" customHeight="true" outlineLevel="0" collapsed="false">
      <c r="A51" s="0" t="n">
        <v>30</v>
      </c>
      <c r="B51" s="34" t="n">
        <v>40330</v>
      </c>
      <c r="C51" s="56" t="n">
        <f aca="false">K51*0.96</f>
        <v>3047999.99999997</v>
      </c>
      <c r="D51" s="29" t="s">
        <v>41</v>
      </c>
      <c r="E51" s="33" t="n">
        <f aca="false">IF(D51="totale",(C51/(A51*24))/F51,IF(D51="marché libre",(C51/(A51*24))/G51,"spécifier histo"))</f>
        <v>0.984496124030998</v>
      </c>
      <c r="F51" s="59" t="n">
        <v>4300</v>
      </c>
      <c r="G51" s="59" t="n">
        <f aca="false">F51-H51</f>
        <v>4300</v>
      </c>
      <c r="H51" s="59" t="n">
        <v>0</v>
      </c>
      <c r="J51" s="55"/>
      <c r="K51" s="56" t="n">
        <v>3174999.99999997</v>
      </c>
      <c r="L51" s="62"/>
    </row>
    <row r="52" customFormat="false" ht="19.85" hidden="false" customHeight="true" outlineLevel="0" collapsed="false">
      <c r="A52" s="0" t="n">
        <v>31</v>
      </c>
      <c r="B52" s="31" t="n">
        <v>40360</v>
      </c>
      <c r="C52" s="56" t="n">
        <f aca="false">K52*0.96</f>
        <v>2582399.99999999</v>
      </c>
      <c r="D52" s="29" t="s">
        <v>41</v>
      </c>
      <c r="E52" s="33" t="n">
        <f aca="false">IF(D52="totale",(C52/(A52*24))/F52,IF(D52="marché libre",(C52/(A52*24))/G52,"spécifier histo"))</f>
        <v>0.807201800450109</v>
      </c>
      <c r="F52" s="59" t="n">
        <v>4300</v>
      </c>
      <c r="G52" s="59" t="n">
        <f aca="false">F52-H52</f>
        <v>4300</v>
      </c>
      <c r="H52" s="59" t="n">
        <v>0</v>
      </c>
      <c r="J52" s="55"/>
      <c r="K52" s="56" t="n">
        <v>2689999.99999999</v>
      </c>
      <c r="L52" s="62"/>
    </row>
    <row r="53" customFormat="false" ht="19.85" hidden="false" customHeight="true" outlineLevel="0" collapsed="false">
      <c r="A53" s="0" t="n">
        <v>31</v>
      </c>
      <c r="B53" s="34" t="n">
        <v>40391</v>
      </c>
      <c r="C53" s="56" t="n">
        <f aca="false">K53*0.96</f>
        <v>1621920.00000001</v>
      </c>
      <c r="D53" s="29" t="s">
        <v>41</v>
      </c>
      <c r="E53" s="33" t="n">
        <f aca="false">IF(D53="totale",(C53/(A53*24))/F53,IF(D53="marché libre",(C53/(A53*24))/G53,"spécifier histo"))</f>
        <v>0.506976744186049</v>
      </c>
      <c r="F53" s="59" t="n">
        <v>4300</v>
      </c>
      <c r="G53" s="59" t="n">
        <f aca="false">F53-H53</f>
        <v>4300</v>
      </c>
      <c r="H53" s="59" t="n">
        <v>0</v>
      </c>
      <c r="J53" s="55"/>
      <c r="K53" s="56" t="n">
        <v>1689500.00000001</v>
      </c>
      <c r="L53" s="62"/>
    </row>
    <row r="54" customFormat="false" ht="19.85" hidden="false" customHeight="true" outlineLevel="0" collapsed="false">
      <c r="A54" s="0" t="n">
        <v>30</v>
      </c>
      <c r="B54" s="31" t="n">
        <v>40422</v>
      </c>
      <c r="C54" s="56" t="n">
        <f aca="false">K54*0.96</f>
        <v>988896.000000057</v>
      </c>
      <c r="D54" s="29" t="s">
        <v>41</v>
      </c>
      <c r="E54" s="33" t="n">
        <f aca="false">IF(D54="totale",(C54/(A54*24))/F54,IF(D54="marché libre",(C54/(A54*24))/G54,"spécifier histo"))</f>
        <v>0.319410852713197</v>
      </c>
      <c r="F54" s="59" t="n">
        <v>4300</v>
      </c>
      <c r="G54" s="59" t="n">
        <f aca="false">F54-H54</f>
        <v>4300</v>
      </c>
      <c r="H54" s="59" t="n">
        <v>0</v>
      </c>
      <c r="J54" s="55"/>
      <c r="K54" s="56" t="n">
        <v>1030100.00000006</v>
      </c>
      <c r="L54" s="62"/>
    </row>
    <row r="55" customFormat="false" ht="19.85" hidden="false" customHeight="true" outlineLevel="0" collapsed="false">
      <c r="A55" s="0" t="n">
        <v>31</v>
      </c>
      <c r="B55" s="34" t="n">
        <v>40452</v>
      </c>
      <c r="C55" s="56" t="n">
        <f aca="false">K55*0.96</f>
        <v>725280</v>
      </c>
      <c r="D55" s="29" t="s">
        <v>41</v>
      </c>
      <c r="E55" s="33" t="n">
        <f aca="false">IF(D55="totale",(C55/(A55*24))/F55,IF(D55="marché libre",(C55/(A55*24))/G55,"spécifier histo"))</f>
        <v>0.226706676669167</v>
      </c>
      <c r="F55" s="59" t="n">
        <v>4300</v>
      </c>
      <c r="G55" s="59" t="n">
        <f aca="false">F55-H55</f>
        <v>4300</v>
      </c>
      <c r="H55" s="59" t="n">
        <v>0</v>
      </c>
      <c r="J55" s="55"/>
      <c r="K55" s="56" t="n">
        <v>755500</v>
      </c>
      <c r="L55" s="62"/>
    </row>
    <row r="56" customFormat="false" ht="19.85" hidden="false" customHeight="true" outlineLevel="0" collapsed="false">
      <c r="A56" s="0" t="n">
        <v>30</v>
      </c>
      <c r="B56" s="31" t="n">
        <v>40483</v>
      </c>
      <c r="C56" s="56" t="n">
        <f aca="false">K56*0.96</f>
        <v>927936.000000019</v>
      </c>
      <c r="D56" s="29" t="s">
        <v>41</v>
      </c>
      <c r="E56" s="33" t="n">
        <f aca="false">IF(D56="totale",(C56/(A56*24))/F56,IF(D56="marché libre",(C56/(A56*24))/G56,"spécifier histo"))</f>
        <v>0.299720930232564</v>
      </c>
      <c r="F56" s="59" t="n">
        <v>4300</v>
      </c>
      <c r="G56" s="59" t="n">
        <f aca="false">F56-H56</f>
        <v>4300</v>
      </c>
      <c r="H56" s="59" t="n">
        <v>0</v>
      </c>
      <c r="J56" s="55"/>
      <c r="K56" s="56" t="n">
        <v>966600.00000002</v>
      </c>
      <c r="L56" s="62"/>
    </row>
    <row r="57" customFormat="false" ht="19.85" hidden="false" customHeight="true" outlineLevel="0" collapsed="false">
      <c r="A57" s="0" t="n">
        <v>31</v>
      </c>
      <c r="B57" s="34" t="n">
        <v>40513</v>
      </c>
      <c r="C57" s="56" t="n">
        <f aca="false">K57*0.96</f>
        <v>1961184.00000001</v>
      </c>
      <c r="D57" s="29" t="s">
        <v>41</v>
      </c>
      <c r="E57" s="33" t="n">
        <f aca="false">IF(D57="totale",(C57/(A57*24))/F57,IF(D57="marché libre",(C57/(A57*24))/G57,"spécifier histo"))</f>
        <v>0.613023255813956</v>
      </c>
      <c r="F57" s="59" t="n">
        <v>4300</v>
      </c>
      <c r="G57" s="59" t="n">
        <f aca="false">F57-H57</f>
        <v>4300</v>
      </c>
      <c r="H57" s="59" t="n">
        <v>0</v>
      </c>
      <c r="J57" s="55"/>
      <c r="K57" s="56" t="n">
        <v>2042900.00000001</v>
      </c>
      <c r="L57" s="62"/>
    </row>
    <row r="58" customFormat="false" ht="19.85" hidden="false" customHeight="true" outlineLevel="0" collapsed="false">
      <c r="A58" s="0" t="n">
        <v>31</v>
      </c>
      <c r="B58" s="31" t="n">
        <v>40544</v>
      </c>
      <c r="C58" s="56" t="n">
        <f aca="false">K58*0.96</f>
        <v>1526304.00000001</v>
      </c>
      <c r="D58" s="29" t="s">
        <v>41</v>
      </c>
      <c r="E58" s="33" t="n">
        <f aca="false">IF(D58="totale",(C58/(A58*24))/F58,IF(D58="marché libre",(C58/(A58*24))/G58,"spécifier histo"))</f>
        <v>0.477089272318082</v>
      </c>
      <c r="F58" s="59" t="n">
        <v>4300</v>
      </c>
      <c r="G58" s="59" t="n">
        <f aca="false">F58-H58</f>
        <v>4300</v>
      </c>
      <c r="H58" s="59" t="n">
        <v>0</v>
      </c>
      <c r="J58" s="55"/>
      <c r="K58" s="56" t="n">
        <v>1589900.00000001</v>
      </c>
      <c r="L58" s="62"/>
    </row>
    <row r="59" customFormat="false" ht="19.85" hidden="false" customHeight="true" outlineLevel="0" collapsed="false">
      <c r="A59" s="0" t="n">
        <v>28</v>
      </c>
      <c r="B59" s="34" t="n">
        <v>40575</v>
      </c>
      <c r="C59" s="56" t="n">
        <f aca="false">K59*0.96</f>
        <v>954239.999999958</v>
      </c>
      <c r="D59" s="29" t="s">
        <v>41</v>
      </c>
      <c r="E59" s="33" t="n">
        <f aca="false">IF(D59="totale",(C59/(A59*24))/F59,IF(D59="marché libre",(C59/(A59*24))/G59,"spécifier histo"))</f>
        <v>0.33023255813952</v>
      </c>
      <c r="F59" s="59" t="n">
        <v>4300</v>
      </c>
      <c r="G59" s="59" t="n">
        <f aca="false">F59-H59</f>
        <v>4300</v>
      </c>
      <c r="H59" s="59" t="n">
        <v>0</v>
      </c>
      <c r="J59" s="55"/>
      <c r="K59" s="56" t="n">
        <v>993999.999999956</v>
      </c>
      <c r="L59" s="62"/>
    </row>
    <row r="60" customFormat="false" ht="19.85" hidden="false" customHeight="true" outlineLevel="0" collapsed="false">
      <c r="A60" s="0" t="n">
        <v>31</v>
      </c>
      <c r="B60" s="31" t="n">
        <v>40603</v>
      </c>
      <c r="C60" s="56" t="n">
        <f aca="false">K60*0.96</f>
        <v>1222175.99999996</v>
      </c>
      <c r="D60" s="29" t="s">
        <v>41</v>
      </c>
      <c r="E60" s="33" t="n">
        <f aca="false">IF(D60="totale",(C60/(A60*24))/F60,IF(D60="marché libre",(C60/(A60*24))/G60,"spécifier histo"))</f>
        <v>0.382025506376582</v>
      </c>
      <c r="F60" s="59" t="n">
        <v>4300</v>
      </c>
      <c r="G60" s="59" t="n">
        <f aca="false">F60-H60</f>
        <v>4300</v>
      </c>
      <c r="H60" s="59" t="n">
        <v>0</v>
      </c>
      <c r="J60" s="55"/>
      <c r="K60" s="56" t="n">
        <v>1273099.99999996</v>
      </c>
      <c r="L60" s="62"/>
    </row>
    <row r="61" customFormat="false" ht="19.85" hidden="false" customHeight="true" outlineLevel="0" collapsed="false">
      <c r="A61" s="0" t="n">
        <v>30</v>
      </c>
      <c r="B61" s="34" t="n">
        <v>40634</v>
      </c>
      <c r="C61" s="56" t="n">
        <f aca="false">K61*0.96</f>
        <v>1405439.99999999</v>
      </c>
      <c r="D61" s="29" t="s">
        <v>41</v>
      </c>
      <c r="E61" s="33" t="n">
        <f aca="false">IF(D61="totale",(C61/(A61*24))/F61,IF(D61="marché libre",(C61/(A61*24))/G61,"spécifier histo"))</f>
        <v>0.45395348837209</v>
      </c>
      <c r="F61" s="59" t="n">
        <v>4300</v>
      </c>
      <c r="G61" s="59" t="n">
        <f aca="false">F61-H61</f>
        <v>4300</v>
      </c>
      <c r="H61" s="59" t="n">
        <v>0</v>
      </c>
      <c r="J61" s="55"/>
      <c r="K61" s="56" t="n">
        <v>1463999.99999999</v>
      </c>
      <c r="L61" s="62"/>
    </row>
    <row r="62" customFormat="false" ht="19.85" hidden="false" customHeight="true" outlineLevel="0" collapsed="false">
      <c r="A62" s="0" t="n">
        <v>31</v>
      </c>
      <c r="B62" s="31" t="n">
        <v>40664</v>
      </c>
      <c r="C62" s="56" t="n">
        <f aca="false">K62*0.96</f>
        <v>2174975.99999999</v>
      </c>
      <c r="D62" s="29" t="s">
        <v>41</v>
      </c>
      <c r="E62" s="33" t="n">
        <f aca="false">IF(D62="totale",(C62/(A62*24))/F62,IF(D62="marché libre",(C62/(A62*24))/G62,"spécifier histo"))</f>
        <v>0.67984996249062</v>
      </c>
      <c r="F62" s="59" t="n">
        <v>4300</v>
      </c>
      <c r="G62" s="59" t="n">
        <f aca="false">F62-H62</f>
        <v>4300</v>
      </c>
      <c r="H62" s="59" t="n">
        <v>0</v>
      </c>
      <c r="J62" s="55"/>
      <c r="K62" s="56" t="n">
        <v>2265599.99999999</v>
      </c>
      <c r="L62" s="62"/>
    </row>
    <row r="63" customFormat="false" ht="19.85" hidden="false" customHeight="true" outlineLevel="0" collapsed="false">
      <c r="A63" s="0" t="n">
        <v>30</v>
      </c>
      <c r="B63" s="34" t="n">
        <v>40695</v>
      </c>
      <c r="C63" s="56" t="n">
        <f aca="false">K63*0.96</f>
        <v>2806080</v>
      </c>
      <c r="D63" s="29" t="s">
        <v>41</v>
      </c>
      <c r="E63" s="33" t="n">
        <f aca="false">IF(D63="totale",(C63/(A63*24))/F63,IF(D63="marché libre",(C63/(A63*24))/G63,"spécifier histo"))</f>
        <v>0.906356589147287</v>
      </c>
      <c r="F63" s="59" t="n">
        <v>4300</v>
      </c>
      <c r="G63" s="59" t="n">
        <f aca="false">F63-H63</f>
        <v>4300</v>
      </c>
      <c r="H63" s="59" t="n">
        <v>0</v>
      </c>
      <c r="J63" s="55"/>
      <c r="K63" s="56" t="n">
        <v>2923000</v>
      </c>
      <c r="L63" s="62"/>
    </row>
    <row r="64" customFormat="false" ht="19.85" hidden="false" customHeight="true" outlineLevel="0" collapsed="false">
      <c r="A64" s="0" t="n">
        <v>31</v>
      </c>
      <c r="B64" s="31" t="n">
        <v>40725</v>
      </c>
      <c r="C64" s="56" t="n">
        <f aca="false">K64*0.96</f>
        <v>2129952.00000001</v>
      </c>
      <c r="D64" s="29" t="s">
        <v>41</v>
      </c>
      <c r="E64" s="33" t="n">
        <f aca="false">IF(D64="totale",(C64/(A64*24))/F64,IF(D64="marché libre",(C64/(A64*24))/G64,"spécifier histo"))</f>
        <v>0.665776444111031</v>
      </c>
      <c r="F64" s="59" t="n">
        <v>4300</v>
      </c>
      <c r="G64" s="59" t="n">
        <f aca="false">F64-H64</f>
        <v>4300</v>
      </c>
      <c r="H64" s="59" t="n">
        <v>0</v>
      </c>
      <c r="J64" s="55"/>
      <c r="K64" s="56" t="n">
        <v>2218700.00000001</v>
      </c>
      <c r="L64" s="62"/>
    </row>
    <row r="65" customFormat="false" ht="19.85" hidden="false" customHeight="true" outlineLevel="0" collapsed="false">
      <c r="A65" s="0" t="n">
        <v>31</v>
      </c>
      <c r="B65" s="34" t="n">
        <v>40756</v>
      </c>
      <c r="C65" s="56" t="n">
        <f aca="false">K65*0.96</f>
        <v>1216992</v>
      </c>
      <c r="D65" s="29" t="s">
        <v>41</v>
      </c>
      <c r="E65" s="33" t="n">
        <f aca="false">IF(D65="totale",(C65/(A65*24))/F65,IF(D65="marché libre",(C65/(A65*24))/G65,"spécifier histo"))</f>
        <v>0.380405101275319</v>
      </c>
      <c r="F65" s="59" t="n">
        <v>4300</v>
      </c>
      <c r="G65" s="59" t="n">
        <f aca="false">F65-H65</f>
        <v>4300</v>
      </c>
      <c r="H65" s="59" t="n">
        <v>0</v>
      </c>
      <c r="J65" s="55"/>
      <c r="K65" s="56" t="n">
        <v>1267700</v>
      </c>
      <c r="L65" s="62"/>
    </row>
    <row r="66" customFormat="false" ht="19.85" hidden="false" customHeight="true" outlineLevel="0" collapsed="false">
      <c r="A66" s="0" t="n">
        <v>30</v>
      </c>
      <c r="B66" s="31" t="n">
        <v>40787</v>
      </c>
      <c r="C66" s="56" t="n">
        <f aca="false">K66*0.96</f>
        <v>1056768</v>
      </c>
      <c r="D66" s="29" t="s">
        <v>41</v>
      </c>
      <c r="E66" s="33" t="n">
        <f aca="false">IF(D66="totale",(C66/(A66*24))/F66,IF(D66="marché libre",(C66/(A66*24))/G66,"spécifier histo"))</f>
        <v>0.341333333333333</v>
      </c>
      <c r="F66" s="59" t="n">
        <v>4300</v>
      </c>
      <c r="G66" s="59" t="n">
        <f aca="false">F66-H66</f>
        <v>4300</v>
      </c>
      <c r="H66" s="59" t="n">
        <v>0</v>
      </c>
      <c r="J66" s="55"/>
      <c r="K66" s="56" t="n">
        <v>1100800</v>
      </c>
      <c r="L66" s="62"/>
    </row>
    <row r="67" customFormat="false" ht="19.85" hidden="false" customHeight="true" outlineLevel="0" collapsed="false">
      <c r="A67" s="0" t="n">
        <v>31</v>
      </c>
      <c r="B67" s="34" t="n">
        <v>40817</v>
      </c>
      <c r="C67" s="56" t="n">
        <f aca="false">K67*0.96</f>
        <v>975744.00000001</v>
      </c>
      <c r="D67" s="29" t="s">
        <v>41</v>
      </c>
      <c r="E67" s="33" t="n">
        <f aca="false">IF(D67="totale",(C67/(A67*24))/F67,IF(D67="marché libre",(C67/(A67*24))/G67,"spécifier histo"))</f>
        <v>0.304996249062268</v>
      </c>
      <c r="F67" s="59" t="n">
        <v>4300</v>
      </c>
      <c r="G67" s="59" t="n">
        <f aca="false">F67-H67</f>
        <v>4300</v>
      </c>
      <c r="H67" s="59" t="n">
        <v>0</v>
      </c>
      <c r="J67" s="55"/>
      <c r="K67" s="56" t="n">
        <v>1016400.00000001</v>
      </c>
      <c r="L67" s="62"/>
    </row>
    <row r="68" customFormat="false" ht="19.85" hidden="false" customHeight="true" outlineLevel="0" collapsed="false">
      <c r="A68" s="0" t="n">
        <v>30</v>
      </c>
      <c r="B68" s="31" t="n">
        <v>40848</v>
      </c>
      <c r="C68" s="56" t="n">
        <f aca="false">K68*0.96</f>
        <v>1390176.00000002</v>
      </c>
      <c r="D68" s="29" t="s">
        <v>41</v>
      </c>
      <c r="E68" s="33" t="n">
        <f aca="false">IF(D68="totale",(C68/(A68*24))/F68,IF(D68="marché libre",(C68/(A68*24))/G68,"spécifier histo"))</f>
        <v>0.44902325581396</v>
      </c>
      <c r="F68" s="59" t="n">
        <v>4300</v>
      </c>
      <c r="G68" s="59" t="n">
        <f aca="false">F68-H68</f>
        <v>4300</v>
      </c>
      <c r="H68" s="59" t="n">
        <v>0</v>
      </c>
      <c r="J68" s="55"/>
      <c r="K68" s="56" t="n">
        <v>1448100.00000002</v>
      </c>
      <c r="L68" s="62"/>
    </row>
    <row r="69" customFormat="false" ht="19.85" hidden="false" customHeight="true" outlineLevel="0" collapsed="false">
      <c r="A69" s="0" t="n">
        <v>31</v>
      </c>
      <c r="B69" s="34" t="n">
        <v>40878</v>
      </c>
      <c r="C69" s="56" t="n">
        <f aca="false">K69*0.96</f>
        <v>1509696.00000001</v>
      </c>
      <c r="D69" s="29" t="s">
        <v>41</v>
      </c>
      <c r="E69" s="33" t="n">
        <f aca="false">IF(D69="totale",(C69/(A69*24))/F69,IF(D69="marché libre",(C69/(A69*24))/G69,"spécifier histo"))</f>
        <v>0.471897974493626</v>
      </c>
      <c r="F69" s="59" t="n">
        <v>4300</v>
      </c>
      <c r="G69" s="59" t="n">
        <f aca="false">F69-H69</f>
        <v>4300</v>
      </c>
      <c r="H69" s="59" t="n">
        <v>0</v>
      </c>
      <c r="J69" s="55"/>
      <c r="K69" s="56" t="n">
        <v>1572600.00000001</v>
      </c>
      <c r="L69" s="62"/>
    </row>
    <row r="70" customFormat="false" ht="19.85" hidden="false" customHeight="true" outlineLevel="0" collapsed="false">
      <c r="A70" s="0" t="n">
        <v>31</v>
      </c>
      <c r="B70" s="31" t="n">
        <v>40909</v>
      </c>
      <c r="C70" s="56" t="n">
        <f aca="false">K70*0.96</f>
        <v>1511999.99999997</v>
      </c>
      <c r="D70" s="29" t="s">
        <v>41</v>
      </c>
      <c r="E70" s="33" t="n">
        <f aca="false">IF(D70="totale",(C70/(A70*24))/F70,IF(D70="marché libre",(C70/(A70*24))/G70,"spécifier histo"))</f>
        <v>0.472618154538626</v>
      </c>
      <c r="F70" s="59" t="n">
        <v>4300</v>
      </c>
      <c r="G70" s="59" t="n">
        <f aca="false">F70-H70</f>
        <v>4300</v>
      </c>
      <c r="H70" s="59" t="n">
        <v>0</v>
      </c>
      <c r="J70" s="55"/>
      <c r="K70" s="56" t="n">
        <v>1574999.99999997</v>
      </c>
      <c r="L70" s="62"/>
    </row>
    <row r="71" customFormat="false" ht="19.85" hidden="false" customHeight="true" outlineLevel="0" collapsed="false">
      <c r="A71" s="0" t="n">
        <v>28</v>
      </c>
      <c r="B71" s="34" t="n">
        <v>40940</v>
      </c>
      <c r="C71" s="56" t="n">
        <f aca="false">K71*0.96</f>
        <v>1687680.00000003</v>
      </c>
      <c r="D71" s="29" t="s">
        <v>41</v>
      </c>
      <c r="E71" s="33" t="n">
        <f aca="false">IF(D71="totale",(C71/(A71*24))/F71,IF(D71="marché libre",(C71/(A71*24))/G71,"spécifier histo"))</f>
        <v>0.584053156146189</v>
      </c>
      <c r="F71" s="59" t="n">
        <v>4300</v>
      </c>
      <c r="G71" s="59" t="n">
        <f aca="false">F71-H71</f>
        <v>4300</v>
      </c>
      <c r="H71" s="59" t="n">
        <v>0</v>
      </c>
      <c r="J71" s="55"/>
      <c r="K71" s="56" t="n">
        <v>1758000.00000003</v>
      </c>
      <c r="L71" s="62"/>
    </row>
    <row r="72" customFormat="false" ht="19.85" hidden="false" customHeight="true" outlineLevel="0" collapsed="false">
      <c r="A72" s="0" t="n">
        <v>31</v>
      </c>
      <c r="B72" s="31" t="n">
        <v>40969</v>
      </c>
      <c r="C72" s="56" t="n">
        <f aca="false">K72*0.96</f>
        <v>1189535.99999999</v>
      </c>
      <c r="D72" s="29" t="s">
        <v>41</v>
      </c>
      <c r="E72" s="33" t="n">
        <f aca="false">IF(D72="totale",(C72/(A72*24))/F72,IF(D72="marché libre",(C72/(A72*24))/G72,"spécifier histo"))</f>
        <v>0.371822955738932</v>
      </c>
      <c r="F72" s="59" t="n">
        <v>4300</v>
      </c>
      <c r="G72" s="59" t="n">
        <f aca="false">F72-H72</f>
        <v>4300</v>
      </c>
      <c r="H72" s="59" t="n">
        <v>0</v>
      </c>
      <c r="J72" s="55"/>
      <c r="K72" s="56" t="n">
        <v>1239099.99999999</v>
      </c>
      <c r="L72" s="62"/>
    </row>
    <row r="73" customFormat="false" ht="19.85" hidden="false" customHeight="true" outlineLevel="0" collapsed="false">
      <c r="A73" s="0" t="n">
        <v>30</v>
      </c>
      <c r="B73" s="34" t="n">
        <v>41000</v>
      </c>
      <c r="C73" s="56" t="n">
        <f aca="false">K73*0.96</f>
        <v>1617023.99999998</v>
      </c>
      <c r="D73" s="29" t="s">
        <v>41</v>
      </c>
      <c r="E73" s="33" t="n">
        <f aca="false">IF(D73="totale",(C73/(A73*24))/F73,IF(D73="marché libre",(C73/(A73*24))/G73,"spécifier histo"))</f>
        <v>0.522294573643405</v>
      </c>
      <c r="F73" s="59" t="n">
        <v>4300</v>
      </c>
      <c r="G73" s="59" t="n">
        <f aca="false">F73-H73</f>
        <v>4300</v>
      </c>
      <c r="H73" s="59" t="n">
        <v>0</v>
      </c>
      <c r="J73" s="55"/>
      <c r="K73" s="56" t="n">
        <v>1684399.99999998</v>
      </c>
      <c r="L73" s="62"/>
    </row>
    <row r="74" customFormat="false" ht="19.85" hidden="false" customHeight="true" outlineLevel="0" collapsed="false">
      <c r="A74" s="0" t="n">
        <v>31</v>
      </c>
      <c r="B74" s="31" t="n">
        <v>41030</v>
      </c>
      <c r="C74" s="56" t="n">
        <f aca="false">K74*0.96</f>
        <v>3066336.00000001</v>
      </c>
      <c r="D74" s="29" t="s">
        <v>41</v>
      </c>
      <c r="E74" s="33" t="n">
        <f aca="false">IF(D74="totale",(C74/(A74*24))/F74,IF(D74="marché libre",(C74/(A74*24))/G74,"spécifier histo"))</f>
        <v>0.958469617404354</v>
      </c>
      <c r="F74" s="59" t="n">
        <v>4300</v>
      </c>
      <c r="G74" s="59" t="n">
        <f aca="false">F74-H74</f>
        <v>4300</v>
      </c>
      <c r="H74" s="59" t="n">
        <v>0</v>
      </c>
      <c r="J74" s="55"/>
      <c r="K74" s="56" t="n">
        <v>3194100.00000001</v>
      </c>
      <c r="L74" s="62"/>
    </row>
    <row r="75" customFormat="false" ht="19.85" hidden="false" customHeight="true" outlineLevel="0" collapsed="false">
      <c r="A75" s="0" t="n">
        <v>30</v>
      </c>
      <c r="B75" s="34" t="n">
        <v>41061</v>
      </c>
      <c r="C75" s="56" t="n">
        <f aca="false">K75*0.96</f>
        <v>2952575.99999998</v>
      </c>
      <c r="D75" s="29" t="s">
        <v>41</v>
      </c>
      <c r="E75" s="33" t="n">
        <f aca="false">IF(D75="totale",(C75/(A75*24))/F75,IF(D75="marché libre",(C75/(A75*24))/G75,"spécifier histo"))</f>
        <v>0.953674418604645</v>
      </c>
      <c r="F75" s="59" t="n">
        <v>4300</v>
      </c>
      <c r="G75" s="59" t="n">
        <f aca="false">F75-H75</f>
        <v>4300</v>
      </c>
      <c r="H75" s="59" t="n">
        <v>0</v>
      </c>
      <c r="J75" s="55"/>
      <c r="K75" s="56" t="n">
        <v>3075599.99999998</v>
      </c>
      <c r="L75" s="62"/>
    </row>
    <row r="76" customFormat="false" ht="19.85" hidden="false" customHeight="true" outlineLevel="0" collapsed="false">
      <c r="A76" s="0" t="n">
        <v>31</v>
      </c>
      <c r="B76" s="31" t="n">
        <v>41091</v>
      </c>
      <c r="C76" s="56" t="n">
        <f aca="false">K76*0.96</f>
        <v>1888128.00000003</v>
      </c>
      <c r="D76" s="29" t="s">
        <v>41</v>
      </c>
      <c r="E76" s="33" t="n">
        <f aca="false">IF(D76="totale",(C76/(A76*24))/F76,IF(D76="marché libre",(C76/(A76*24))/G76,"spécifier histo"))</f>
        <v>0.590187546886731</v>
      </c>
      <c r="F76" s="59" t="n">
        <v>4300</v>
      </c>
      <c r="G76" s="59" t="n">
        <f aca="false">F76-H76</f>
        <v>4300</v>
      </c>
      <c r="H76" s="59" t="n">
        <v>0</v>
      </c>
      <c r="J76" s="55"/>
      <c r="K76" s="56" t="n">
        <v>1966800.00000003</v>
      </c>
      <c r="L76" s="62"/>
    </row>
    <row r="77" customFormat="false" ht="19.85" hidden="false" customHeight="true" outlineLevel="0" collapsed="false">
      <c r="A77" s="0" t="n">
        <v>31</v>
      </c>
      <c r="B77" s="34" t="n">
        <v>41122</v>
      </c>
      <c r="C77" s="56" t="n">
        <f aca="false">K77*0.96</f>
        <v>902880</v>
      </c>
      <c r="D77" s="29" t="s">
        <v>41</v>
      </c>
      <c r="E77" s="33" t="n">
        <f aca="false">IF(D77="totale",(C77/(A77*24))/F77,IF(D77="marché libre",(C77/(A77*24))/G77,"spécifier histo"))</f>
        <v>0.282220555138785</v>
      </c>
      <c r="F77" s="59" t="n">
        <v>4300</v>
      </c>
      <c r="G77" s="59" t="n">
        <f aca="false">F77-H77</f>
        <v>4300</v>
      </c>
      <c r="H77" s="59" t="n">
        <v>0</v>
      </c>
      <c r="J77" s="55"/>
      <c r="K77" s="56" t="n">
        <v>940500</v>
      </c>
      <c r="L77" s="62"/>
    </row>
    <row r="78" customFormat="false" ht="19.85" hidden="false" customHeight="true" outlineLevel="0" collapsed="false">
      <c r="A78" s="0" t="n">
        <v>30</v>
      </c>
      <c r="B78" s="31" t="n">
        <v>41153</v>
      </c>
      <c r="C78" s="56" t="n">
        <f aca="false">K78*0.96</f>
        <v>1674815.99999999</v>
      </c>
      <c r="D78" s="29" t="s">
        <v>41</v>
      </c>
      <c r="E78" s="33" t="n">
        <f aca="false">IF(D78="totale",(C78/(A78*24))/F78,IF(D78="marché libre",(C78/(A78*24))/G78,"spécifier histo"))</f>
        <v>0.540961240310074</v>
      </c>
      <c r="F78" s="59" t="n">
        <v>4300</v>
      </c>
      <c r="G78" s="59" t="n">
        <f aca="false">F78-H78</f>
        <v>4300</v>
      </c>
      <c r="H78" s="59" t="n">
        <v>0</v>
      </c>
      <c r="J78" s="55"/>
      <c r="K78" s="56" t="n">
        <v>1744599.99999999</v>
      </c>
      <c r="L78" s="62"/>
    </row>
    <row r="79" customFormat="false" ht="19.85" hidden="false" customHeight="true" outlineLevel="0" collapsed="false">
      <c r="A79" s="0" t="n">
        <v>31</v>
      </c>
      <c r="B79" s="34" t="n">
        <v>41183</v>
      </c>
      <c r="C79" s="56" t="n">
        <f aca="false">K79*0.96</f>
        <v>1649184.00000001</v>
      </c>
      <c r="D79" s="29" t="s">
        <v>41</v>
      </c>
      <c r="E79" s="33" t="n">
        <f aca="false">IF(D79="totale",(C79/(A79*24))/F79,IF(D79="marché libre",(C79/(A79*24))/G79,"spécifier histo"))</f>
        <v>0.515498874718683</v>
      </c>
      <c r="F79" s="59" t="n">
        <v>4300</v>
      </c>
      <c r="G79" s="59" t="n">
        <f aca="false">F79-H79</f>
        <v>4300</v>
      </c>
      <c r="H79" s="59" t="n">
        <v>0</v>
      </c>
      <c r="J79" s="55"/>
      <c r="K79" s="56" t="n">
        <v>1717900.00000001</v>
      </c>
      <c r="L79" s="62"/>
    </row>
    <row r="80" customFormat="false" ht="19.85" hidden="false" customHeight="true" outlineLevel="0" collapsed="false">
      <c r="A80" s="0" t="n">
        <v>30</v>
      </c>
      <c r="B80" s="31" t="n">
        <v>41214</v>
      </c>
      <c r="C80" s="56" t="n">
        <f aca="false">K80*0.96</f>
        <v>1932383.99999996</v>
      </c>
      <c r="D80" s="29" t="s">
        <v>41</v>
      </c>
      <c r="E80" s="33" t="n">
        <f aca="false">IF(D80="totale",(C80/(A80*24))/F80,IF(D80="marché libre",(C80/(A80*24))/G80,"spécifier histo"))</f>
        <v>0.624155038759677</v>
      </c>
      <c r="F80" s="59" t="n">
        <v>4300</v>
      </c>
      <c r="G80" s="59" t="n">
        <f aca="false">F80-H80</f>
        <v>4300</v>
      </c>
      <c r="H80" s="59" t="n">
        <v>0</v>
      </c>
      <c r="J80" s="55"/>
      <c r="K80" s="56" t="n">
        <v>2012899.99999996</v>
      </c>
      <c r="L80" s="62"/>
    </row>
    <row r="81" customFormat="false" ht="19.85" hidden="false" customHeight="true" outlineLevel="0" collapsed="false">
      <c r="A81" s="0" t="n">
        <v>31</v>
      </c>
      <c r="B81" s="34" t="n">
        <v>41244</v>
      </c>
      <c r="C81" s="56" t="n">
        <f aca="false">K81*0.96</f>
        <v>1979328.00000002</v>
      </c>
      <c r="D81" s="29" t="s">
        <v>41</v>
      </c>
      <c r="E81" s="33" t="n">
        <f aca="false">IF(D81="totale",(C81/(A81*24))/F81,IF(D81="marché libre",(C81/(A81*24))/G81,"spécifier histo"))</f>
        <v>0.618694673668423</v>
      </c>
      <c r="F81" s="59" t="n">
        <v>4300</v>
      </c>
      <c r="G81" s="59" t="n">
        <f aca="false">F81-H81</f>
        <v>4300</v>
      </c>
      <c r="H81" s="59" t="n">
        <v>0</v>
      </c>
      <c r="J81" s="55"/>
      <c r="K81" s="56" t="n">
        <v>2061800.00000002</v>
      </c>
      <c r="L81" s="62"/>
    </row>
    <row r="82" customFormat="false" ht="19.85" hidden="false" customHeight="true" outlineLevel="0" collapsed="false">
      <c r="A82" s="0" t="n">
        <v>31</v>
      </c>
      <c r="B82" s="31" t="n">
        <v>41275</v>
      </c>
      <c r="C82" s="56" t="n">
        <f aca="false">K82*0.96</f>
        <v>1778207.99999999</v>
      </c>
      <c r="D82" s="29" t="s">
        <v>41</v>
      </c>
      <c r="E82" s="33" t="n">
        <f aca="false">IF(D82="totale",(C82/(A82*24))/F82,IF(D82="marché libre",(C82/(A82*24))/G82,"spécifier histo"))</f>
        <v>0.555828957239307</v>
      </c>
      <c r="F82" s="59" t="n">
        <v>4300</v>
      </c>
      <c r="G82" s="59" t="n">
        <f aca="false">F82-H82</f>
        <v>4300</v>
      </c>
      <c r="H82" s="59" t="n">
        <v>0</v>
      </c>
      <c r="J82" s="55"/>
      <c r="K82" s="56" t="n">
        <v>1852299.99999999</v>
      </c>
      <c r="L82" s="62"/>
    </row>
    <row r="83" customFormat="false" ht="19.85" hidden="false" customHeight="true" outlineLevel="0" collapsed="false">
      <c r="A83" s="0" t="n">
        <v>28</v>
      </c>
      <c r="B83" s="34" t="n">
        <v>41306</v>
      </c>
      <c r="C83" s="56" t="n">
        <f aca="false">K83*0.96</f>
        <v>1393631.99999998</v>
      </c>
      <c r="D83" s="29" t="s">
        <v>41</v>
      </c>
      <c r="E83" s="33" t="n">
        <f aca="false">IF(D83="totale",(C83/(A83*24))/F83,IF(D83="marché libre",(C83/(A83*24))/G83,"spécifier histo"))</f>
        <v>0.48229235880398</v>
      </c>
      <c r="F83" s="59" t="n">
        <v>4300</v>
      </c>
      <c r="G83" s="59" t="n">
        <f aca="false">F83-H83</f>
        <v>4300</v>
      </c>
      <c r="H83" s="59" t="n">
        <v>0</v>
      </c>
      <c r="J83" s="55"/>
      <c r="K83" s="56" t="n">
        <v>1451699.99999998</v>
      </c>
      <c r="L83" s="62"/>
    </row>
    <row r="84" customFormat="false" ht="19.85" hidden="false" customHeight="true" outlineLevel="0" collapsed="false">
      <c r="A84" s="0" t="n">
        <v>31</v>
      </c>
      <c r="B84" s="31" t="n">
        <v>41334</v>
      </c>
      <c r="C84" s="56" t="n">
        <f aca="false">K84*0.96</f>
        <v>1258367.99999993</v>
      </c>
      <c r="D84" s="29" t="s">
        <v>41</v>
      </c>
      <c r="E84" s="33" t="n">
        <f aca="false">IF(D84="totale",(C84/(A84*24))/F84,IF(D84="marché libre",(C84/(A84*24))/G84,"spécifier histo"))</f>
        <v>0.393338334583625</v>
      </c>
      <c r="F84" s="59" t="n">
        <v>4300</v>
      </c>
      <c r="G84" s="59" t="n">
        <f aca="false">F84-H84</f>
        <v>4300</v>
      </c>
      <c r="H84" s="59" t="n">
        <v>0</v>
      </c>
      <c r="J84" s="55"/>
      <c r="K84" s="56" t="n">
        <v>1310799.99999993</v>
      </c>
      <c r="L84" s="62"/>
    </row>
    <row r="85" customFormat="false" ht="19.85" hidden="false" customHeight="true" outlineLevel="0" collapsed="false">
      <c r="A85" s="0" t="n">
        <v>30</v>
      </c>
      <c r="B85" s="34" t="n">
        <v>41365</v>
      </c>
      <c r="C85" s="56" t="n">
        <f aca="false">K85*0.96</f>
        <v>1910399.99999994</v>
      </c>
      <c r="D85" s="29" t="s">
        <v>41</v>
      </c>
      <c r="E85" s="33" t="n">
        <f aca="false">IF(D85="totale",(C85/(A85*24))/F85,IF(D85="marché libre",(C85/(A85*24))/G85,"spécifier histo"))</f>
        <v>0.617054263565873</v>
      </c>
      <c r="F85" s="59" t="n">
        <v>4300</v>
      </c>
      <c r="G85" s="59" t="n">
        <f aca="false">F85-H85</f>
        <v>4300</v>
      </c>
      <c r="H85" s="59" t="n">
        <v>0</v>
      </c>
      <c r="J85" s="55"/>
      <c r="K85" s="56" t="n">
        <v>1989999.99999994</v>
      </c>
      <c r="L85" s="62"/>
    </row>
    <row r="86" customFormat="false" ht="19.85" hidden="false" customHeight="true" outlineLevel="0" collapsed="false">
      <c r="A86" s="0" t="n">
        <v>31</v>
      </c>
      <c r="B86" s="31" t="n">
        <v>41395</v>
      </c>
      <c r="C86" s="56" t="n">
        <f aca="false">K86*0.96</f>
        <v>3014976.00000004</v>
      </c>
      <c r="D86" s="29" t="s">
        <v>41</v>
      </c>
      <c r="E86" s="33" t="n">
        <f aca="false">IF(D86="totale",(C86/(A86*24))/F86,IF(D86="marché libre",(C86/(A86*24))/G86,"spécifier histo"))</f>
        <v>0.942415603900987</v>
      </c>
      <c r="F86" s="59" t="n">
        <v>4300</v>
      </c>
      <c r="G86" s="59" t="n">
        <f aca="false">F86-H86</f>
        <v>4300</v>
      </c>
      <c r="H86" s="59" t="n">
        <v>0</v>
      </c>
      <c r="J86" s="55"/>
      <c r="K86" s="56" t="n">
        <v>3140600.00000004</v>
      </c>
      <c r="L86" s="62"/>
    </row>
    <row r="87" customFormat="false" ht="19.85" hidden="false" customHeight="true" outlineLevel="0" collapsed="false">
      <c r="A87" s="0" t="n">
        <v>30</v>
      </c>
      <c r="B87" s="34" t="n">
        <v>41426</v>
      </c>
      <c r="C87" s="56" t="n">
        <f aca="false">K87*0.96</f>
        <v>3018335.99999998</v>
      </c>
      <c r="D87" s="29" t="s">
        <v>41</v>
      </c>
      <c r="E87" s="33" t="n">
        <f aca="false">IF(D87="totale",(C87/(A87*24))/F87,IF(D87="marché libre",(C87/(A87*24))/G87,"spécifier histo"))</f>
        <v>0.974914728682164</v>
      </c>
      <c r="F87" s="59" t="n">
        <v>4300</v>
      </c>
      <c r="G87" s="59" t="n">
        <f aca="false">F87-H87</f>
        <v>4300</v>
      </c>
      <c r="H87" s="59" t="n">
        <v>0</v>
      </c>
      <c r="J87" s="55"/>
      <c r="K87" s="56" t="n">
        <v>3144099.99999998</v>
      </c>
      <c r="L87" s="62"/>
    </row>
    <row r="88" customFormat="false" ht="19.85" hidden="false" customHeight="true" outlineLevel="0" collapsed="false">
      <c r="A88" s="0" t="n">
        <v>31</v>
      </c>
      <c r="B88" s="31" t="n">
        <v>41456</v>
      </c>
      <c r="C88" s="56" t="n">
        <f aca="false">K88*0.96</f>
        <v>3080448.0000001</v>
      </c>
      <c r="D88" s="29" t="s">
        <v>41</v>
      </c>
      <c r="E88" s="33" t="n">
        <f aca="false">IF(D88="totale",(C88/(A88*24))/F88,IF(D88="marché libre",(C88/(A88*24))/G88,"spécifier histo"))</f>
        <v>0.962880720180075</v>
      </c>
      <c r="F88" s="59" t="n">
        <v>4300</v>
      </c>
      <c r="G88" s="59" t="n">
        <f aca="false">F88-H88</f>
        <v>4300</v>
      </c>
      <c r="H88" s="59" t="n">
        <v>0</v>
      </c>
      <c r="J88" s="55"/>
      <c r="K88" s="56" t="n">
        <v>3208800.0000001</v>
      </c>
      <c r="L88" s="62"/>
    </row>
    <row r="89" customFormat="false" ht="19.85" hidden="false" customHeight="true" outlineLevel="0" collapsed="false">
      <c r="A89" s="0" t="n">
        <v>31</v>
      </c>
      <c r="B89" s="34" t="n">
        <v>41487</v>
      </c>
      <c r="C89" s="56" t="n">
        <f aca="false">K89*0.96</f>
        <v>714143.999999994</v>
      </c>
      <c r="D89" s="29" t="s">
        <v>41</v>
      </c>
      <c r="E89" s="33" t="n">
        <f aca="false">IF(D89="totale",(C89/(A89*24))/F89,IF(D89="marché libre",(C89/(A89*24))/G89,"spécifier histo"))</f>
        <v>0.223225806451611</v>
      </c>
      <c r="F89" s="59" t="n">
        <v>4300</v>
      </c>
      <c r="G89" s="59" t="n">
        <f aca="false">F89-H89</f>
        <v>4300</v>
      </c>
      <c r="H89" s="59" t="n">
        <v>0</v>
      </c>
      <c r="J89" s="55"/>
      <c r="K89" s="56" t="n">
        <v>743899.999999994</v>
      </c>
      <c r="L89" s="62"/>
    </row>
    <row r="90" customFormat="false" ht="19.85" hidden="false" customHeight="true" outlineLevel="0" collapsed="false">
      <c r="A90" s="0" t="n">
        <v>30</v>
      </c>
      <c r="B90" s="31" t="n">
        <v>41518</v>
      </c>
      <c r="C90" s="56" t="n">
        <f aca="false">K90*0.96</f>
        <v>1375200.00000003</v>
      </c>
      <c r="D90" s="29" t="s">
        <v>41</v>
      </c>
      <c r="E90" s="33" t="n">
        <f aca="false">IF(D90="totale",(C90/(A90*24))/F90,IF(D90="marché libre",(C90/(A90*24))/G90,"spécifier histo"))</f>
        <v>0.444186046511637</v>
      </c>
      <c r="F90" s="59" t="n">
        <v>4300</v>
      </c>
      <c r="G90" s="59" t="n">
        <f aca="false">F90-H90</f>
        <v>4300</v>
      </c>
      <c r="H90" s="59" t="n">
        <v>0</v>
      </c>
      <c r="J90" s="55"/>
      <c r="K90" s="56" t="n">
        <v>1432500.00000003</v>
      </c>
      <c r="L90" s="62"/>
    </row>
    <row r="91" customFormat="false" ht="19.85" hidden="false" customHeight="true" outlineLevel="0" collapsed="false">
      <c r="A91" s="0" t="n">
        <v>31</v>
      </c>
      <c r="B91" s="34" t="n">
        <v>41548</v>
      </c>
      <c r="C91" s="56" t="n">
        <f aca="false">K91*0.96</f>
        <v>1811616.00000001</v>
      </c>
      <c r="D91" s="29" t="s">
        <v>41</v>
      </c>
      <c r="E91" s="33" t="n">
        <f aca="false">IF(D91="totale",(C91/(A91*24))/F91,IF(D91="marché libre",(C91/(A91*24))/G91,"spécifier histo"))</f>
        <v>0.566271567891976</v>
      </c>
      <c r="F91" s="59" t="n">
        <v>4300</v>
      </c>
      <c r="G91" s="59" t="n">
        <f aca="false">F91-H91</f>
        <v>4300</v>
      </c>
      <c r="H91" s="59" t="n">
        <v>0</v>
      </c>
      <c r="J91" s="55"/>
      <c r="K91" s="56" t="n">
        <v>1887100.00000001</v>
      </c>
      <c r="L91" s="62"/>
    </row>
    <row r="92" customFormat="false" ht="19.85" hidden="false" customHeight="true" outlineLevel="0" collapsed="false">
      <c r="A92" s="0" t="n">
        <v>30</v>
      </c>
      <c r="B92" s="31" t="n">
        <v>41579</v>
      </c>
      <c r="C92" s="56" t="n">
        <f aca="false">K92*0.96</f>
        <v>2465952.00000001</v>
      </c>
      <c r="D92" s="29" t="s">
        <v>41</v>
      </c>
      <c r="E92" s="33" t="n">
        <f aca="false">IF(D92="totale",(C92/(A92*24))/F92,IF(D92="marché libre",(C92/(A92*24))/G92,"spécifier histo"))</f>
        <v>0.796496124031011</v>
      </c>
      <c r="F92" s="59" t="n">
        <v>4300</v>
      </c>
      <c r="G92" s="59" t="n">
        <f aca="false">F92-H92</f>
        <v>4300</v>
      </c>
      <c r="H92" s="59" t="n">
        <v>0</v>
      </c>
      <c r="J92" s="55"/>
      <c r="K92" s="56" t="n">
        <v>2568700.00000001</v>
      </c>
      <c r="L92" s="62"/>
    </row>
    <row r="93" customFormat="false" ht="19.85" hidden="false" customHeight="true" outlineLevel="0" collapsed="false">
      <c r="A93" s="0" t="n">
        <v>31</v>
      </c>
      <c r="B93" s="34" t="n">
        <v>41609</v>
      </c>
      <c r="C93" s="56" t="n">
        <f aca="false">K93*0.96</f>
        <v>1326623.99999999</v>
      </c>
      <c r="D93" s="29" t="s">
        <v>41</v>
      </c>
      <c r="E93" s="33" t="n">
        <f aca="false">IF(D93="totale",(C93/(A93*24))/F93,IF(D93="marché libre",(C93/(A93*24))/G93,"spécifier histo"))</f>
        <v>0.414673668417101</v>
      </c>
      <c r="F93" s="59" t="n">
        <v>4300</v>
      </c>
      <c r="G93" s="59" t="n">
        <f aca="false">F93-H93</f>
        <v>4300</v>
      </c>
      <c r="H93" s="59" t="n">
        <v>0</v>
      </c>
      <c r="J93" s="55"/>
      <c r="K93" s="56" t="n">
        <v>1381899.99999999</v>
      </c>
      <c r="L93" s="62"/>
    </row>
    <row r="94" customFormat="false" ht="19.85" hidden="false" customHeight="true" outlineLevel="0" collapsed="false">
      <c r="A94" s="0" t="n">
        <v>31</v>
      </c>
      <c r="B94" s="31" t="n">
        <v>41640</v>
      </c>
      <c r="C94" s="56" t="n">
        <f aca="false">K94*0.96</f>
        <v>1205663.99999999</v>
      </c>
      <c r="D94" s="29" t="s">
        <v>41</v>
      </c>
      <c r="E94" s="33" t="n">
        <f aca="false">IF(D94="totale",(C94/(A94*24))/F94,IF(D94="marché libre",(C94/(A94*24))/G94,"spécifier histo"))</f>
        <v>0.376864216054011</v>
      </c>
      <c r="F94" s="59" t="n">
        <v>4300</v>
      </c>
      <c r="G94" s="59" t="n">
        <f aca="false">F94-H94</f>
        <v>4300</v>
      </c>
      <c r="H94" s="59" t="n">
        <v>0</v>
      </c>
      <c r="J94" s="55"/>
      <c r="K94" s="56" t="n">
        <v>1255899.99999999</v>
      </c>
      <c r="L94" s="62"/>
    </row>
    <row r="95" customFormat="false" ht="19.85" hidden="false" customHeight="true" outlineLevel="0" collapsed="false">
      <c r="A95" s="0" t="n">
        <v>28</v>
      </c>
      <c r="B95" s="34" t="n">
        <v>41671</v>
      </c>
      <c r="C95" s="56" t="n">
        <f aca="false">K95*0.96</f>
        <v>1351104.00000002</v>
      </c>
      <c r="D95" s="29" t="s">
        <v>41</v>
      </c>
      <c r="E95" s="33" t="n">
        <f aca="false">IF(D95="totale",(C95/(A95*24))/F95,IF(D95="marché libre",(C95/(A95*24))/G95,"spécifier histo"))</f>
        <v>0.467574750830571</v>
      </c>
      <c r="F95" s="59" t="n">
        <v>4300</v>
      </c>
      <c r="G95" s="59" t="n">
        <f aca="false">F95-H95</f>
        <v>4300</v>
      </c>
      <c r="H95" s="59" t="n">
        <v>0</v>
      </c>
      <c r="J95" s="55"/>
      <c r="K95" s="56" t="n">
        <v>1407400.00000002</v>
      </c>
      <c r="L95" s="62"/>
    </row>
    <row r="96" customFormat="false" ht="19.85" hidden="false" customHeight="true" outlineLevel="0" collapsed="false">
      <c r="A96" s="0" t="n">
        <v>31</v>
      </c>
      <c r="B96" s="31" t="n">
        <v>41699</v>
      </c>
      <c r="C96" s="56" t="n">
        <f aca="false">K96*0.96</f>
        <v>1594559.99999991</v>
      </c>
      <c r="D96" s="29" t="s">
        <v>41</v>
      </c>
      <c r="E96" s="33" t="n">
        <f aca="false">IF(D96="totale",(C96/(A96*24))/F96,IF(D96="marché libre",(C96/(A96*24))/G96,"spécifier histo"))</f>
        <v>0.498424606151511</v>
      </c>
      <c r="F96" s="59" t="n">
        <v>4300</v>
      </c>
      <c r="G96" s="59" t="n">
        <f aca="false">F96-H96</f>
        <v>4300</v>
      </c>
      <c r="H96" s="59" t="n">
        <v>0</v>
      </c>
      <c r="J96" s="55"/>
      <c r="K96" s="56" t="n">
        <v>1660999.99999991</v>
      </c>
      <c r="L96" s="62"/>
    </row>
    <row r="97" customFormat="false" ht="19.85" hidden="false" customHeight="true" outlineLevel="0" collapsed="false">
      <c r="A97" s="0" t="n">
        <v>30</v>
      </c>
      <c r="B97" s="34" t="n">
        <v>41730</v>
      </c>
      <c r="C97" s="56" t="n">
        <f aca="false">K97*0.96</f>
        <v>1895808.00000002</v>
      </c>
      <c r="D97" s="29" t="s">
        <v>41</v>
      </c>
      <c r="E97" s="33" t="n">
        <f aca="false">IF(D97="totale",(C97/(A97*24))/F97,IF(D97="marché libre",(C97/(A97*24))/G97,"spécifier histo"))</f>
        <v>0.612341085271324</v>
      </c>
      <c r="F97" s="59" t="n">
        <v>4300</v>
      </c>
      <c r="G97" s="59" t="n">
        <f aca="false">F97-H97</f>
        <v>4300</v>
      </c>
      <c r="H97" s="59" t="n">
        <v>0</v>
      </c>
      <c r="J97" s="55"/>
      <c r="K97" s="56" t="n">
        <v>1974800.00000002</v>
      </c>
      <c r="L97" s="62"/>
    </row>
    <row r="98" customFormat="false" ht="19.85" hidden="false" customHeight="true" outlineLevel="0" collapsed="false">
      <c r="A98" s="0" t="n">
        <v>31</v>
      </c>
      <c r="B98" s="31" t="n">
        <v>41760</v>
      </c>
      <c r="C98" s="56" t="n">
        <f aca="false">K98*0.96</f>
        <v>2778431.99999998</v>
      </c>
      <c r="D98" s="29" t="s">
        <v>41</v>
      </c>
      <c r="E98" s="33" t="n">
        <f aca="false">IF(D98="totale",(C98/(A98*24))/F98,IF(D98="marché libre",(C98/(A98*24))/G98,"spécifier histo"))</f>
        <v>0.868477119279814</v>
      </c>
      <c r="F98" s="59" t="n">
        <v>4300</v>
      </c>
      <c r="G98" s="59" t="n">
        <f aca="false">F98-H98</f>
        <v>4300</v>
      </c>
      <c r="H98" s="59" t="n">
        <v>0</v>
      </c>
      <c r="J98" s="55"/>
      <c r="K98" s="56" t="n">
        <v>2894199.99999998</v>
      </c>
      <c r="L98" s="62"/>
    </row>
    <row r="99" customFormat="false" ht="19.85" hidden="false" customHeight="true" outlineLevel="0" collapsed="false">
      <c r="A99" s="0" t="n">
        <v>30</v>
      </c>
      <c r="B99" s="34" t="n">
        <v>41791</v>
      </c>
      <c r="C99" s="56" t="n">
        <f aca="false">K99*0.96</f>
        <v>2826239.99999997</v>
      </c>
      <c r="D99" s="29" t="s">
        <v>41</v>
      </c>
      <c r="E99" s="33" t="n">
        <f aca="false">IF(D99="totale",(C99/(A99*24))/F99,IF(D99="marché libre",(C99/(A99*24))/G99,"spécifier histo"))</f>
        <v>0.912868217054254</v>
      </c>
      <c r="F99" s="59" t="n">
        <v>4300</v>
      </c>
      <c r="G99" s="59" t="n">
        <f aca="false">F99-H99</f>
        <v>4300</v>
      </c>
      <c r="H99" s="59" t="n">
        <v>0</v>
      </c>
      <c r="J99" s="55"/>
      <c r="K99" s="56" t="n">
        <v>2943999.99999997</v>
      </c>
      <c r="L99" s="62"/>
    </row>
    <row r="100" customFormat="false" ht="19.85" hidden="false" customHeight="true" outlineLevel="0" collapsed="false">
      <c r="A100" s="0" t="n">
        <v>31</v>
      </c>
      <c r="B100" s="31" t="n">
        <v>41821</v>
      </c>
      <c r="C100" s="56" t="n">
        <f aca="false">K100*0.96</f>
        <v>3054432.00000004</v>
      </c>
      <c r="D100" s="29" t="s">
        <v>41</v>
      </c>
      <c r="E100" s="33" t="n">
        <f aca="false">IF(D100="totale",(C100/(A100*24))/F100,IF(D100="marché libre",(C100/(A100*24))/G100,"spécifier histo"))</f>
        <v>0.954748687171805</v>
      </c>
      <c r="F100" s="59" t="n">
        <v>4300</v>
      </c>
      <c r="G100" s="59" t="n">
        <f aca="false">F100-H100</f>
        <v>4300</v>
      </c>
      <c r="H100" s="59" t="n">
        <v>0</v>
      </c>
      <c r="J100" s="55"/>
      <c r="K100" s="56" t="n">
        <v>3181700.00000004</v>
      </c>
      <c r="L100" s="62"/>
    </row>
    <row r="101" customFormat="false" ht="19.85" hidden="false" customHeight="true" outlineLevel="0" collapsed="false">
      <c r="A101" s="0" t="n">
        <v>31</v>
      </c>
      <c r="B101" s="34" t="n">
        <v>41852</v>
      </c>
      <c r="C101" s="56" t="n">
        <f aca="false">K101*0.96</f>
        <v>1816415.99999995</v>
      </c>
      <c r="D101" s="29" t="s">
        <v>41</v>
      </c>
      <c r="E101" s="33" t="n">
        <f aca="false">IF(D101="totale",(C101/(A101*24))/F101,IF(D101="marché libre",(C101/(A101*24))/G101,"spécifier histo"))</f>
        <v>0.567771942985731</v>
      </c>
      <c r="F101" s="59" t="n">
        <v>4300</v>
      </c>
      <c r="G101" s="59" t="n">
        <f aca="false">F101-H101</f>
        <v>4300</v>
      </c>
      <c r="H101" s="59" t="n">
        <v>0</v>
      </c>
      <c r="J101" s="55"/>
      <c r="K101" s="56" t="n">
        <v>1892099.99999995</v>
      </c>
      <c r="L101" s="62"/>
    </row>
    <row r="102" customFormat="false" ht="19.85" hidden="false" customHeight="true" outlineLevel="0" collapsed="false">
      <c r="A102" s="0" t="n">
        <v>30</v>
      </c>
      <c r="B102" s="31" t="n">
        <v>41883</v>
      </c>
      <c r="C102" s="56" t="n">
        <f aca="false">K102*0.96</f>
        <v>860351.999999984</v>
      </c>
      <c r="D102" s="29" t="s">
        <v>41</v>
      </c>
      <c r="E102" s="33" t="n">
        <f aca="false">IF(D102="totale",(C102/(A102*24))/F102,IF(D102="marché libre",(C102/(A102*24))/G102,"spécifier histo"))</f>
        <v>0.277891472868212</v>
      </c>
      <c r="F102" s="59" t="n">
        <v>4300</v>
      </c>
      <c r="G102" s="59" t="n">
        <f aca="false">F102-H102</f>
        <v>4300</v>
      </c>
      <c r="H102" s="59" t="n">
        <v>0</v>
      </c>
      <c r="J102" s="55"/>
      <c r="K102" s="56" t="n">
        <v>896199.999999983</v>
      </c>
      <c r="L102" s="62"/>
    </row>
    <row r="103" customFormat="false" ht="19.85" hidden="false" customHeight="true" outlineLevel="0" collapsed="false">
      <c r="A103" s="0" t="n">
        <v>31</v>
      </c>
      <c r="B103" s="34" t="n">
        <v>41913</v>
      </c>
      <c r="C103" s="56" t="n">
        <f aca="false">K103*0.96</f>
        <v>559296.000000006</v>
      </c>
      <c r="D103" s="29" t="s">
        <v>41</v>
      </c>
      <c r="E103" s="33" t="n">
        <f aca="false">IF(D103="totale",(C103/(A103*24))/F103,IF(D103="marché libre",(C103/(A103*24))/G103,"spécifier histo"))</f>
        <v>0.174823705926483</v>
      </c>
      <c r="F103" s="59" t="n">
        <v>4300</v>
      </c>
      <c r="G103" s="59" t="n">
        <f aca="false">F103-H103</f>
        <v>4300</v>
      </c>
      <c r="H103" s="59" t="n">
        <v>0</v>
      </c>
      <c r="J103" s="55"/>
      <c r="K103" s="56" t="n">
        <v>582600.000000006</v>
      </c>
      <c r="L103" s="62"/>
    </row>
    <row r="104" customFormat="false" ht="19.85" hidden="false" customHeight="true" outlineLevel="0" collapsed="false">
      <c r="A104" s="0" t="n">
        <v>30</v>
      </c>
      <c r="B104" s="31" t="n">
        <v>41944</v>
      </c>
      <c r="C104" s="56" t="n">
        <f aca="false">K104*0.96</f>
        <v>870815.99999995</v>
      </c>
      <c r="D104" s="29" t="s">
        <v>41</v>
      </c>
      <c r="E104" s="33" t="n">
        <f aca="false">IF(D104="totale",(C104/(A104*24))/F104,IF(D104="marché libre",(C104/(A104*24))/G104,"spécifier histo"))</f>
        <v>0.281271317829441</v>
      </c>
      <c r="F104" s="59" t="n">
        <v>4300</v>
      </c>
      <c r="G104" s="59" t="n">
        <f aca="false">F104-H104</f>
        <v>4300</v>
      </c>
      <c r="H104" s="59" t="n">
        <v>0</v>
      </c>
      <c r="J104" s="55"/>
      <c r="K104" s="56" t="n">
        <v>907099.999999948</v>
      </c>
      <c r="L104" s="62"/>
    </row>
    <row r="105" customFormat="false" ht="19.95" hidden="false" customHeight="true" outlineLevel="0" collapsed="false">
      <c r="A105" s="0" t="n">
        <v>31</v>
      </c>
      <c r="B105" s="34" t="n">
        <v>41974</v>
      </c>
      <c r="C105" s="56" t="n">
        <f aca="false">K105*0.96</f>
        <v>955391.999999984</v>
      </c>
      <c r="D105" s="29" t="s">
        <v>41</v>
      </c>
      <c r="E105" s="33" t="n">
        <f aca="false">IF(D105="totale",(C105/(A105*24))/F105,IF(D105="marché libre",(C105/(A105*24))/G105,"spécifier histo"))</f>
        <v>0.298634658664661</v>
      </c>
      <c r="F105" s="59" t="n">
        <v>4300</v>
      </c>
      <c r="G105" s="59" t="n">
        <f aca="false">F105-H105</f>
        <v>4300</v>
      </c>
      <c r="H105" s="59" t="n">
        <v>0</v>
      </c>
      <c r="J105" s="55"/>
      <c r="K105" s="56" t="n">
        <v>995199.999999983</v>
      </c>
      <c r="L105" s="62"/>
    </row>
    <row r="106" customFormat="false" ht="19.85" hidden="false" customHeight="true" outlineLevel="0" collapsed="false">
      <c r="A106" s="0" t="n">
        <v>31</v>
      </c>
      <c r="B106" s="31" t="n">
        <v>42005</v>
      </c>
      <c r="C106" s="56" t="n">
        <f aca="false">K106*0.96</f>
        <v>1150848.00000008</v>
      </c>
      <c r="D106" s="29" t="s">
        <v>41</v>
      </c>
      <c r="E106" s="33" t="n">
        <f aca="false">IF(D106="totale",(C106/(A106*24))/F106,IF(D106="marché libre",(C106/(A106*24))/G106,"spécifier histo"))</f>
        <v>0.359729932483145</v>
      </c>
      <c r="F106" s="59" t="n">
        <v>4300</v>
      </c>
      <c r="G106" s="59" t="n">
        <f aca="false">F106-H106</f>
        <v>4300</v>
      </c>
      <c r="H106" s="58" t="n">
        <v>0</v>
      </c>
      <c r="J106" s="55"/>
      <c r="K106" s="56" t="n">
        <v>1198800.00000008</v>
      </c>
      <c r="L106" s="62"/>
    </row>
    <row r="107" customFormat="false" ht="19.85" hidden="false" customHeight="true" outlineLevel="0" collapsed="false">
      <c r="A107" s="0" t="n">
        <v>28</v>
      </c>
      <c r="B107" s="34" t="n">
        <v>42036</v>
      </c>
      <c r="C107" s="56" t="n">
        <f aca="false">K107*0.96</f>
        <v>1349183.99999999</v>
      </c>
      <c r="D107" s="29" t="s">
        <v>41</v>
      </c>
      <c r="E107" s="33" t="n">
        <f aca="false">IF(D107="totale",(C107/(A107*24))/F107,IF(D107="marché libre",(C107/(A107*24))/G107,"spécifier histo"))</f>
        <v>0.466910299003319</v>
      </c>
      <c r="F107" s="59" t="n">
        <v>4300</v>
      </c>
      <c r="G107" s="59" t="n">
        <f aca="false">F107-H107</f>
        <v>4300</v>
      </c>
      <c r="H107" s="58" t="n">
        <v>0</v>
      </c>
      <c r="J107" s="55"/>
      <c r="K107" s="56" t="n">
        <v>1405399.99999999</v>
      </c>
      <c r="L107" s="62"/>
    </row>
    <row r="108" customFormat="false" ht="19.85" hidden="false" customHeight="true" outlineLevel="0" collapsed="false">
      <c r="A108" s="0" t="n">
        <v>31</v>
      </c>
      <c r="B108" s="31" t="n">
        <v>42064</v>
      </c>
      <c r="C108" s="56" t="n">
        <f aca="false">K108*0.96</f>
        <v>1322880</v>
      </c>
      <c r="D108" s="29" t="s">
        <v>41</v>
      </c>
      <c r="E108" s="33" t="n">
        <f aca="false">IF(D108="totale",(C108/(A108*24))/F108,IF(D108="marché libre",(C108/(A108*24))/G108,"spécifier histo"))</f>
        <v>0.413503375843961</v>
      </c>
      <c r="F108" s="59" t="n">
        <v>4300</v>
      </c>
      <c r="G108" s="59" t="n">
        <f aca="false">F108-H108</f>
        <v>4300</v>
      </c>
      <c r="H108" s="58" t="n">
        <v>0</v>
      </c>
      <c r="J108" s="55"/>
      <c r="K108" s="56" t="n">
        <v>1378000</v>
      </c>
      <c r="L108" s="62"/>
    </row>
    <row r="109" customFormat="false" ht="19.85" hidden="false" customHeight="true" outlineLevel="0" collapsed="false">
      <c r="A109" s="0" t="n">
        <v>30</v>
      </c>
      <c r="B109" s="34" t="n">
        <v>42095</v>
      </c>
      <c r="C109" s="56" t="n">
        <f aca="false">K109*0.96</f>
        <v>1836096.00000009</v>
      </c>
      <c r="D109" s="29" t="s">
        <v>41</v>
      </c>
      <c r="E109" s="33" t="n">
        <f aca="false">IF(D109="totale",(C109/(A109*24))/F109,IF(D109="marché libre",(C109/(A109*24))/G109,"spécifier histo"))</f>
        <v>0.593054263565919</v>
      </c>
      <c r="F109" s="59" t="n">
        <v>4300</v>
      </c>
      <c r="G109" s="59" t="n">
        <f aca="false">F109-H109</f>
        <v>4300</v>
      </c>
      <c r="H109" s="58" t="n">
        <v>0</v>
      </c>
      <c r="J109" s="55"/>
      <c r="K109" s="56" t="n">
        <v>1912600.00000009</v>
      </c>
      <c r="L109" s="62"/>
    </row>
    <row r="110" customFormat="false" ht="19.85" hidden="false" customHeight="true" outlineLevel="0" collapsed="false">
      <c r="A110" s="0" t="n">
        <v>31</v>
      </c>
      <c r="B110" s="31" t="n">
        <v>42125</v>
      </c>
      <c r="C110" s="56" t="n">
        <f aca="false">K110*0.96</f>
        <v>2791296.00000001</v>
      </c>
      <c r="D110" s="29" t="s">
        <v>41</v>
      </c>
      <c r="E110" s="33" t="n">
        <f aca="false">IF(D110="totale",(C110/(A110*24))/F110,IF(D110="marché libre",(C110/(A110*24))/G110,"spécifier histo"))</f>
        <v>0.872498124531136</v>
      </c>
      <c r="F110" s="59" t="n">
        <v>4300</v>
      </c>
      <c r="G110" s="59" t="n">
        <f aca="false">F110-H110</f>
        <v>4300</v>
      </c>
      <c r="H110" s="58" t="n">
        <v>0</v>
      </c>
      <c r="J110" s="55"/>
      <c r="K110" s="56" t="n">
        <v>2907600.00000001</v>
      </c>
      <c r="L110" s="62"/>
    </row>
    <row r="111" customFormat="false" ht="19.85" hidden="false" customHeight="true" outlineLevel="0" collapsed="false">
      <c r="A111" s="0" t="n">
        <v>30</v>
      </c>
      <c r="B111" s="34" t="n">
        <v>42156</v>
      </c>
      <c r="C111" s="56" t="n">
        <f aca="false">K111*0.96</f>
        <v>2562335.99999998</v>
      </c>
      <c r="D111" s="29" t="s">
        <v>41</v>
      </c>
      <c r="E111" s="33" t="n">
        <f aca="false">IF(D111="totale",(C111/(A111*24))/F111,IF(D111="marché libre",(C111/(A111*24))/G111,"spécifier histo"))</f>
        <v>0.827627906976738</v>
      </c>
      <c r="F111" s="59" t="n">
        <v>4300</v>
      </c>
      <c r="G111" s="59" t="n">
        <f aca="false">F111-H111</f>
        <v>4300</v>
      </c>
      <c r="H111" s="58" t="n">
        <v>0</v>
      </c>
      <c r="J111" s="55"/>
      <c r="K111" s="56" t="n">
        <v>2669099.99999998</v>
      </c>
      <c r="L111" s="62"/>
    </row>
    <row r="112" customFormat="false" ht="19.85" hidden="false" customHeight="true" outlineLevel="0" collapsed="false">
      <c r="A112" s="0" t="n">
        <v>31</v>
      </c>
      <c r="B112" s="31" t="n">
        <v>42186</v>
      </c>
      <c r="C112" s="56" t="n">
        <f aca="false">K112*0.96</f>
        <v>1307615.99999998</v>
      </c>
      <c r="D112" s="29" t="s">
        <v>41</v>
      </c>
      <c r="E112" s="33" t="n">
        <f aca="false">IF(D112="totale",(C112/(A112*24))/F112,IF(D112="marché libre",(C112/(A112*24))/G112,"spécifier histo"))</f>
        <v>0.408732183045755</v>
      </c>
      <c r="F112" s="59" t="n">
        <v>4300</v>
      </c>
      <c r="G112" s="59" t="n">
        <f aca="false">F112-H112</f>
        <v>4300</v>
      </c>
      <c r="H112" s="58" t="n">
        <v>0</v>
      </c>
      <c r="J112" s="55"/>
      <c r="K112" s="56" t="n">
        <v>1362099.99999998</v>
      </c>
      <c r="L112" s="62"/>
    </row>
    <row r="113" customFormat="false" ht="19.85" hidden="false" customHeight="true" outlineLevel="0" collapsed="false">
      <c r="A113" s="0" t="n">
        <v>31</v>
      </c>
      <c r="B113" s="34" t="n">
        <v>42217</v>
      </c>
      <c r="C113" s="56" t="n">
        <f aca="false">K113*0.96</f>
        <v>921407.999999961</v>
      </c>
      <c r="D113" s="29" t="s">
        <v>41</v>
      </c>
      <c r="E113" s="33" t="n">
        <f aca="false">IF(D113="totale",(C113/(A113*24))/F113,IF(D113="marché libre",(C113/(A113*24))/G113,"spécifier histo"))</f>
        <v>0.288012003000738</v>
      </c>
      <c r="F113" s="59" t="n">
        <v>4300</v>
      </c>
      <c r="G113" s="59" t="n">
        <f aca="false">F113-H113</f>
        <v>4300</v>
      </c>
      <c r="H113" s="58" t="n">
        <v>0</v>
      </c>
      <c r="J113" s="55"/>
      <c r="K113" s="56" t="n">
        <v>959799.999999959</v>
      </c>
      <c r="L113" s="62"/>
    </row>
    <row r="114" customFormat="false" ht="19.85" hidden="false" customHeight="true" outlineLevel="0" collapsed="false">
      <c r="A114" s="0" t="n">
        <v>30</v>
      </c>
      <c r="B114" s="31" t="n">
        <v>42248</v>
      </c>
      <c r="C114" s="56" t="n">
        <f aca="false">K114*0.96</f>
        <v>993887.999999961</v>
      </c>
      <c r="D114" s="29" t="s">
        <v>41</v>
      </c>
      <c r="E114" s="33" t="n">
        <f aca="false">IF(D114="totale",(C114/(A114*24))/F114,IF(D114="marché libre",(C114/(A114*24))/G114,"spécifier histo"))</f>
        <v>0.321023255813941</v>
      </c>
      <c r="F114" s="59" t="n">
        <v>4300</v>
      </c>
      <c r="G114" s="59" t="n">
        <f aca="false">F114-H114</f>
        <v>4300</v>
      </c>
      <c r="H114" s="58" t="n">
        <v>0</v>
      </c>
      <c r="J114" s="55"/>
      <c r="K114" s="56" t="n">
        <v>1035299.99999996</v>
      </c>
      <c r="L114" s="62"/>
    </row>
    <row r="115" customFormat="false" ht="19.85" hidden="false" customHeight="true" outlineLevel="0" collapsed="false">
      <c r="A115" s="0" t="n">
        <v>31</v>
      </c>
      <c r="B115" s="34" t="n">
        <v>42278</v>
      </c>
      <c r="C115" s="56" t="n">
        <f aca="false">K115*0.96</f>
        <v>1626720.00000003</v>
      </c>
      <c r="D115" s="29" t="s">
        <v>41</v>
      </c>
      <c r="E115" s="33" t="n">
        <f aca="false">IF(D115="totale",(C115/(A115*24))/F115,IF(D115="marché libre",(C115/(A115*24))/G115,"spécifier histo"))</f>
        <v>0.508477119279829</v>
      </c>
      <c r="F115" s="59" t="n">
        <v>4300</v>
      </c>
      <c r="G115" s="59" t="n">
        <f aca="false">F115-H115</f>
        <v>4300</v>
      </c>
      <c r="H115" s="58" t="n">
        <v>0</v>
      </c>
      <c r="J115" s="55"/>
      <c r="K115" s="56" t="n">
        <v>1694500.00000003</v>
      </c>
      <c r="L115" s="62"/>
    </row>
    <row r="116" customFormat="false" ht="19.85" hidden="false" customHeight="true" outlineLevel="0" collapsed="false">
      <c r="A116" s="0" t="n">
        <v>30</v>
      </c>
      <c r="B116" s="31" t="n">
        <v>42309</v>
      </c>
      <c r="C116" s="56" t="n">
        <f aca="false">K116*0.96</f>
        <v>1187136.00000004</v>
      </c>
      <c r="D116" s="29" t="s">
        <v>41</v>
      </c>
      <c r="E116" s="33" t="n">
        <f aca="false">IF(D116="totale",(C116/(A116*24))/F116,IF(D116="marché libre",(C116/(A116*24))/G116,"spécifier histo"))</f>
        <v>0.383441860465129</v>
      </c>
      <c r="F116" s="59" t="n">
        <v>4300</v>
      </c>
      <c r="G116" s="59" t="n">
        <f aca="false">F116-H116</f>
        <v>4300</v>
      </c>
      <c r="H116" s="58" t="n">
        <v>0</v>
      </c>
      <c r="J116" s="55"/>
      <c r="K116" s="56" t="n">
        <v>1236600.00000004</v>
      </c>
      <c r="L116" s="62"/>
    </row>
    <row r="117" customFormat="false" ht="19.85" hidden="false" customHeight="true" outlineLevel="0" collapsed="false">
      <c r="A117" s="0" t="n">
        <v>31</v>
      </c>
      <c r="B117" s="34" t="n">
        <v>42339</v>
      </c>
      <c r="C117" s="56" t="n">
        <f aca="false">K117*0.96</f>
        <v>673247.999999988</v>
      </c>
      <c r="D117" s="29" t="s">
        <v>41</v>
      </c>
      <c r="E117" s="33" t="n">
        <f aca="false">IF(D117="totale",(C117/(A117*24))/F117,IF(D117="marché libre",(C117/(A117*24))/G117,"spécifier histo"))</f>
        <v>0.21044261065266</v>
      </c>
      <c r="F117" s="59" t="n">
        <v>4300</v>
      </c>
      <c r="G117" s="59" t="n">
        <f aca="false">F117-H117</f>
        <v>4300</v>
      </c>
      <c r="H117" s="58" t="n">
        <v>0</v>
      </c>
      <c r="J117" s="55"/>
      <c r="K117" s="56" t="n">
        <v>701299.999999988</v>
      </c>
      <c r="L117" s="62"/>
    </row>
    <row r="118" customFormat="false" ht="19.85" hidden="false" customHeight="true" outlineLevel="0" collapsed="false">
      <c r="A118" s="0" t="n">
        <v>31</v>
      </c>
      <c r="B118" s="31" t="n">
        <v>42370</v>
      </c>
      <c r="C118" s="56" t="n">
        <f aca="false">K118*0.96</f>
        <v>1216512</v>
      </c>
      <c r="D118" s="29" t="s">
        <v>41</v>
      </c>
      <c r="E118" s="33" t="n">
        <f aca="false">(C118/(A118*24))/G118</f>
        <v>0.380255063765941</v>
      </c>
      <c r="F118" s="59" t="n">
        <v>4300</v>
      </c>
      <c r="G118" s="59" t="n">
        <f aca="false">F118-H118</f>
        <v>4300</v>
      </c>
      <c r="H118" s="58" t="n">
        <v>0</v>
      </c>
      <c r="J118" s="55"/>
      <c r="K118" s="1" t="n">
        <v>1267200</v>
      </c>
      <c r="L118" s="62"/>
    </row>
    <row r="119" customFormat="false" ht="19.85" hidden="false" customHeight="true" outlineLevel="0" collapsed="false">
      <c r="A119" s="0" t="n">
        <v>28</v>
      </c>
      <c r="B119" s="34" t="n">
        <v>42401</v>
      </c>
      <c r="C119" s="56" t="n">
        <f aca="false">K119*0.96</f>
        <v>299808</v>
      </c>
      <c r="D119" s="29" t="s">
        <v>41</v>
      </c>
      <c r="E119" s="33" t="n">
        <f aca="false">(C119/(A119*24))/G119</f>
        <v>0.10375415282392</v>
      </c>
      <c r="F119" s="59" t="n">
        <v>4300</v>
      </c>
      <c r="G119" s="59" t="n">
        <f aca="false">F119-H119</f>
        <v>4300</v>
      </c>
      <c r="H119" s="58" t="n">
        <v>0</v>
      </c>
      <c r="I119" s="1" t="s">
        <v>53</v>
      </c>
      <c r="J119" s="55"/>
      <c r="K119" s="1" t="n">
        <v>312300</v>
      </c>
      <c r="L119" s="62"/>
    </row>
    <row r="120" customFormat="false" ht="19.85" hidden="false" customHeight="true" outlineLevel="0" collapsed="false">
      <c r="A120" s="0" t="n">
        <v>31</v>
      </c>
      <c r="B120" s="31" t="n">
        <v>42430</v>
      </c>
      <c r="C120" s="56" t="n">
        <f aca="false">K120*0.96</f>
        <v>0</v>
      </c>
      <c r="D120" s="29" t="s">
        <v>41</v>
      </c>
      <c r="E120" s="33" t="e">
        <f aca="false">(C120/(A120*24))/G120</f>
        <v>#DIV/0!</v>
      </c>
      <c r="F120" s="59" t="n">
        <v>4300</v>
      </c>
      <c r="G120" s="59" t="n">
        <v>0</v>
      </c>
      <c r="H120" s="58" t="n">
        <v>0</v>
      </c>
      <c r="I120" s="1" t="s">
        <v>54</v>
      </c>
      <c r="J120" s="55"/>
      <c r="K120" s="1" t="n">
        <v>0</v>
      </c>
      <c r="L120" s="62"/>
    </row>
    <row r="121" customFormat="false" ht="19.85" hidden="false" customHeight="true" outlineLevel="0" collapsed="false">
      <c r="A121" s="0" t="n">
        <v>30</v>
      </c>
      <c r="B121" s="34" t="n">
        <v>42461</v>
      </c>
      <c r="C121" s="56" t="n">
        <f aca="false">K121*0.96</f>
        <v>269088</v>
      </c>
      <c r="D121" s="29" t="s">
        <v>41</v>
      </c>
      <c r="E121" s="33" t="n">
        <f aca="false">(C121/(A121*24))/G121</f>
        <v>0.0869147286821706</v>
      </c>
      <c r="F121" s="59" t="n">
        <v>4300</v>
      </c>
      <c r="G121" s="59" t="n">
        <f aca="false">F121-H121</f>
        <v>4300</v>
      </c>
      <c r="H121" s="58" t="n">
        <v>0</v>
      </c>
      <c r="I121" s="1" t="s">
        <v>53</v>
      </c>
      <c r="J121" s="55"/>
      <c r="K121" s="1" t="n">
        <v>280300</v>
      </c>
      <c r="L121" s="62"/>
    </row>
    <row r="122" customFormat="false" ht="19.85" hidden="false" customHeight="true" outlineLevel="0" collapsed="false">
      <c r="A122" s="0" t="n">
        <v>31</v>
      </c>
      <c r="B122" s="31" t="n">
        <v>42491</v>
      </c>
      <c r="C122" s="56" t="n">
        <f aca="false">K122*0.96</f>
        <v>2586528</v>
      </c>
      <c r="D122" s="29" t="s">
        <v>41</v>
      </c>
      <c r="E122" s="33" t="n">
        <f aca="false">(C122/(A122*24))/G122</f>
        <v>0.808492123030758</v>
      </c>
      <c r="F122" s="59" t="n">
        <v>4300</v>
      </c>
      <c r="G122" s="59" t="n">
        <f aca="false">F122-H122</f>
        <v>4300</v>
      </c>
      <c r="H122" s="58" t="n">
        <v>0</v>
      </c>
      <c r="J122" s="55"/>
      <c r="K122" s="63" t="n">
        <v>2694300</v>
      </c>
      <c r="L122" s="62"/>
    </row>
    <row r="123" customFormat="false" ht="19.85" hidden="false" customHeight="true" outlineLevel="0" collapsed="false">
      <c r="A123" s="0" t="n">
        <v>30</v>
      </c>
      <c r="B123" s="34" t="n">
        <v>42522</v>
      </c>
      <c r="C123" s="56" t="n">
        <f aca="false">K123*0.96</f>
        <v>3073920</v>
      </c>
      <c r="D123" s="29" t="s">
        <v>41</v>
      </c>
      <c r="E123" s="33" t="n">
        <f aca="false">(C123/(A123*24))/G123</f>
        <v>0.992868217054263</v>
      </c>
      <c r="F123" s="59" t="n">
        <v>4300</v>
      </c>
      <c r="G123" s="59" t="n">
        <f aca="false">F123-H123</f>
        <v>4300</v>
      </c>
      <c r="H123" s="58" t="n">
        <v>0</v>
      </c>
      <c r="J123" s="55"/>
      <c r="K123" s="63" t="n">
        <v>3202000</v>
      </c>
      <c r="L123" s="62"/>
    </row>
    <row r="124" customFormat="false" ht="19.85" hidden="false" customHeight="true" outlineLevel="0" collapsed="false">
      <c r="A124" s="0" t="n">
        <v>31</v>
      </c>
      <c r="B124" s="31" t="n">
        <v>42552</v>
      </c>
      <c r="C124" s="56" t="n">
        <f aca="false">K124*0.96</f>
        <v>2353920</v>
      </c>
      <c r="D124" s="29" t="s">
        <v>41</v>
      </c>
      <c r="E124" s="33" t="n">
        <f aca="false">(C124/(A124*24))/G124</f>
        <v>0.735783945986497</v>
      </c>
      <c r="F124" s="59" t="n">
        <v>4300</v>
      </c>
      <c r="G124" s="59" t="n">
        <f aca="false">F124-H124</f>
        <v>4300</v>
      </c>
      <c r="H124" s="58" t="n">
        <v>0</v>
      </c>
      <c r="J124" s="55"/>
      <c r="K124" s="63" t="n">
        <v>2452000</v>
      </c>
      <c r="L124" s="62"/>
    </row>
    <row r="125" customFormat="false" ht="19.85" hidden="false" customHeight="true" outlineLevel="0" collapsed="false">
      <c r="A125" s="0" t="n">
        <v>31</v>
      </c>
      <c r="B125" s="34" t="n">
        <v>42583</v>
      </c>
      <c r="C125" s="56" t="n">
        <f aca="false">K125*0.96</f>
        <v>1549344</v>
      </c>
      <c r="D125" s="29" t="s">
        <v>41</v>
      </c>
      <c r="E125" s="33" t="n">
        <f aca="false">(C125/(A125*24))/G125</f>
        <v>0.484291072768192</v>
      </c>
      <c r="F125" s="59" t="n">
        <v>4300</v>
      </c>
      <c r="G125" s="59" t="n">
        <f aca="false">F125-H125</f>
        <v>4300</v>
      </c>
      <c r="H125" s="58" t="n">
        <v>0</v>
      </c>
      <c r="J125" s="55"/>
      <c r="K125" s="1" t="n">
        <v>1613900</v>
      </c>
      <c r="L125" s="62"/>
    </row>
    <row r="126" customFormat="false" ht="19.85" hidden="false" customHeight="true" outlineLevel="0" collapsed="false">
      <c r="A126" s="0" t="n">
        <v>30</v>
      </c>
      <c r="B126" s="31" t="n">
        <v>42614</v>
      </c>
      <c r="C126" s="56" t="n">
        <f aca="false">K126*0.96</f>
        <v>961632</v>
      </c>
      <c r="D126" s="29" t="s">
        <v>41</v>
      </c>
      <c r="E126" s="33" t="n">
        <f aca="false">IF(D126="totale",(C126/(A126*24))/F126,IF(D126="marché libre",(C126/(A126*24))/G126,"spécifier histo"))</f>
        <v>0.310604651162791</v>
      </c>
      <c r="F126" s="59" t="n">
        <v>4300</v>
      </c>
      <c r="G126" s="59" t="n">
        <f aca="false">F126-H126</f>
        <v>4300</v>
      </c>
      <c r="H126" s="58" t="n">
        <v>0</v>
      </c>
      <c r="J126" s="55"/>
      <c r="K126" s="1" t="n">
        <v>1001700</v>
      </c>
      <c r="L126" s="62"/>
    </row>
    <row r="127" customFormat="false" ht="19.85" hidden="false" customHeight="true" outlineLevel="0" collapsed="false">
      <c r="A127" s="0" t="n">
        <v>31</v>
      </c>
      <c r="B127" s="34" t="n">
        <v>42644</v>
      </c>
      <c r="C127" s="56" t="n">
        <f aca="false">K127*0.96</f>
        <v>638400</v>
      </c>
      <c r="D127" s="29" t="s">
        <v>41</v>
      </c>
      <c r="E127" s="33" t="n">
        <f aca="false">IF(D127="totale",(C127/(A127*24))/F127,IF(D127="marché libre",(C127/(A127*24))/G127,"spécifier histo"))</f>
        <v>0.199549887471868</v>
      </c>
      <c r="F127" s="59" t="n">
        <v>4300</v>
      </c>
      <c r="G127" s="59" t="n">
        <f aca="false">F127-H127</f>
        <v>4300</v>
      </c>
      <c r="H127" s="58" t="n">
        <v>0</v>
      </c>
      <c r="J127" s="55"/>
      <c r="K127" s="1" t="n">
        <v>665000</v>
      </c>
      <c r="L127" s="62"/>
    </row>
    <row r="128" customFormat="false" ht="19.85" hidden="false" customHeight="true" outlineLevel="0" collapsed="false">
      <c r="A128" s="0" t="n">
        <v>30</v>
      </c>
      <c r="B128" s="31" t="n">
        <v>42675</v>
      </c>
      <c r="C128" s="56" t="n">
        <f aca="false">K128*0.96</f>
        <v>1128000</v>
      </c>
      <c r="D128" s="29" t="s">
        <v>41</v>
      </c>
      <c r="E128" s="33" t="n">
        <f aca="false">IF(D128="totale",(C128/(A128*24))/F128,IF(D128="marché libre",(C128/(A128*24))/G128,"spécifier histo"))</f>
        <v>0.364341085271318</v>
      </c>
      <c r="F128" s="59" t="n">
        <v>4300</v>
      </c>
      <c r="G128" s="59" t="n">
        <f aca="false">F128-H128</f>
        <v>4300</v>
      </c>
      <c r="H128" s="58" t="n">
        <v>0</v>
      </c>
      <c r="I128" s="1" t="s">
        <v>55</v>
      </c>
      <c r="J128" s="55"/>
      <c r="K128" s="1" t="n">
        <v>1175000</v>
      </c>
      <c r="L128" s="62"/>
    </row>
    <row r="129" customFormat="false" ht="19.85" hidden="false" customHeight="true" outlineLevel="0" collapsed="false">
      <c r="A129" s="0" t="n">
        <v>31</v>
      </c>
      <c r="B129" s="34" t="n">
        <v>42705</v>
      </c>
      <c r="C129" s="56" t="n">
        <f aca="false">K129*0.96</f>
        <v>785088</v>
      </c>
      <c r="D129" s="29" t="s">
        <v>41</v>
      </c>
      <c r="E129" s="33" t="n">
        <f aca="false">IF(D129="totale",(C129/(A129*24))/F129,IF(D129="marché libre",(C129/(A129*24))/G129,"spécifier histo"))</f>
        <v>0.245401350337584</v>
      </c>
      <c r="F129" s="59" t="n">
        <v>4300</v>
      </c>
      <c r="G129" s="59" t="n">
        <f aca="false">F129-H129</f>
        <v>4300</v>
      </c>
      <c r="H129" s="58" t="n">
        <v>0</v>
      </c>
      <c r="I129" s="1" t="s">
        <v>55</v>
      </c>
      <c r="J129" s="55"/>
      <c r="K129" s="1" t="n">
        <v>817800</v>
      </c>
      <c r="L129" s="62"/>
    </row>
    <row r="130" customFormat="false" ht="19.85" hidden="false" customHeight="true" outlineLevel="0" collapsed="false">
      <c r="A130" s="0" t="n">
        <v>31</v>
      </c>
      <c r="B130" s="31" t="n">
        <v>42736</v>
      </c>
      <c r="C130" s="64" t="n">
        <f aca="false">K130*0.96</f>
        <v>1344192</v>
      </c>
      <c r="D130" s="65" t="s">
        <v>41</v>
      </c>
      <c r="E130" s="66" t="n">
        <f aca="false">IF(D130="totale",(C130/(A130*24))/F130,IF(D130="marché libre",(C130/(A130*24))/G130,"spécifier histo"))</f>
        <v>0.420165041260315</v>
      </c>
      <c r="F130" s="67" t="n">
        <v>4300</v>
      </c>
      <c r="G130" s="67" t="n">
        <f aca="false">F130-H130</f>
        <v>4300</v>
      </c>
      <c r="H130" s="68" t="n">
        <v>0</v>
      </c>
      <c r="J130" s="30"/>
      <c r="K130" s="1" t="n">
        <v>1400200</v>
      </c>
      <c r="L130" s="62"/>
    </row>
    <row r="131" customFormat="false" ht="19.85" hidden="false" customHeight="true" outlineLevel="0" collapsed="false">
      <c r="A131" s="0" t="n">
        <v>28</v>
      </c>
      <c r="B131" s="34" t="n">
        <v>42767</v>
      </c>
      <c r="C131" s="56" t="n">
        <f aca="false">K131*0.96</f>
        <v>763200</v>
      </c>
      <c r="D131" s="29" t="s">
        <v>41</v>
      </c>
      <c r="E131" s="33" t="n">
        <f aca="false">IF(D131="totale",(C131/(A131*24))/F131,IF(D131="marché libre",(C131/(A131*24))/G131,"spécifier histo"))</f>
        <v>0.264119601328904</v>
      </c>
      <c r="F131" s="59" t="n">
        <v>4300</v>
      </c>
      <c r="G131" s="59" t="n">
        <f aca="false">F131-H131</f>
        <v>4300</v>
      </c>
      <c r="H131" s="58" t="n">
        <v>0</v>
      </c>
      <c r="J131" s="55"/>
      <c r="K131" s="1" t="n">
        <v>795000</v>
      </c>
      <c r="L131" s="62"/>
    </row>
    <row r="132" customFormat="false" ht="19.85" hidden="false" customHeight="true" outlineLevel="0" collapsed="false">
      <c r="A132" s="0" t="n">
        <v>31</v>
      </c>
      <c r="B132" s="31" t="n">
        <v>42795</v>
      </c>
      <c r="C132" s="56" t="n">
        <f aca="false">K132*0.96</f>
        <v>1159488</v>
      </c>
      <c r="D132" s="29" t="s">
        <v>41</v>
      </c>
      <c r="E132" s="33" t="n">
        <f aca="false">IF(D132="totale",(C132/(A132*24))/F132,IF(D132="marché libre",(C132/(A132*24))/G132,"spécifier histo"))</f>
        <v>0.362430607651913</v>
      </c>
      <c r="F132" s="59" t="n">
        <v>4300</v>
      </c>
      <c r="G132" s="59" t="n">
        <f aca="false">F132-H132</f>
        <v>4300</v>
      </c>
      <c r="H132" s="58" t="n">
        <v>0</v>
      </c>
      <c r="J132" s="55"/>
      <c r="K132" s="1" t="n">
        <v>1207800</v>
      </c>
      <c r="L132" s="62"/>
    </row>
    <row r="133" customFormat="false" ht="19.85" hidden="false" customHeight="true" outlineLevel="0" collapsed="false">
      <c r="A133" s="0" t="n">
        <v>30</v>
      </c>
      <c r="B133" s="34" t="n">
        <v>42826</v>
      </c>
      <c r="C133" s="56" t="n">
        <f aca="false">K133*0.96</f>
        <v>785856</v>
      </c>
      <c r="D133" s="29" t="s">
        <v>41</v>
      </c>
      <c r="E133" s="33" t="n">
        <f aca="false">IF(D133="totale",(C133/(A133*24))/F133,IF(D133="marché libre",(C133/(A133*24))/G133,"spécifier histo"))</f>
        <v>0.253829457364341</v>
      </c>
      <c r="F133" s="59" t="n">
        <v>4300</v>
      </c>
      <c r="G133" s="59" t="n">
        <f aca="false">F133-H133</f>
        <v>4300</v>
      </c>
      <c r="H133" s="58" t="n">
        <v>0</v>
      </c>
      <c r="J133" s="55"/>
      <c r="K133" s="1" t="n">
        <v>818600</v>
      </c>
      <c r="L133" s="62"/>
    </row>
    <row r="134" customFormat="false" ht="19.85" hidden="false" customHeight="true" outlineLevel="0" collapsed="false">
      <c r="A134" s="0" t="n">
        <v>31</v>
      </c>
      <c r="B134" s="31" t="n">
        <v>42856</v>
      </c>
      <c r="C134" s="56" t="n">
        <f aca="false">K134*0.96</f>
        <v>2252736</v>
      </c>
      <c r="D134" s="29" t="s">
        <v>41</v>
      </c>
      <c r="E134" s="33" t="n">
        <f aca="false">IF(D134="totale",(C134/(A134*24))/F134,IF(D134="marché libre",(C134/(A134*24))/G134,"spécifier histo"))</f>
        <v>0.704156039009752</v>
      </c>
      <c r="F134" s="59" t="n">
        <v>4300</v>
      </c>
      <c r="G134" s="59" t="n">
        <f aca="false">F134-H134</f>
        <v>4300</v>
      </c>
      <c r="H134" s="58" t="n">
        <v>0</v>
      </c>
      <c r="J134" s="55"/>
      <c r="K134" s="1" t="n">
        <v>2346600</v>
      </c>
      <c r="L134" s="62"/>
    </row>
    <row r="135" customFormat="false" ht="22.45" hidden="false" customHeight="true" outlineLevel="0" collapsed="false">
      <c r="A135" s="0" t="n">
        <v>30</v>
      </c>
      <c r="B135" s="34" t="n">
        <v>42887</v>
      </c>
      <c r="C135" s="56" t="n">
        <f aca="false">K135*0.96</f>
        <v>2387616</v>
      </c>
      <c r="D135" s="29" t="s">
        <v>41</v>
      </c>
      <c r="E135" s="33" t="n">
        <f aca="false">IF(D135="totale",(C135/(A135*24))/F135,IF(D135="marché libre",(C135/(A135*24))/G135,"spécifier histo"))</f>
        <v>0.771193798449612</v>
      </c>
      <c r="F135" s="59" t="n">
        <v>4300</v>
      </c>
      <c r="G135" s="59" t="n">
        <f aca="false">F135-H135</f>
        <v>4300</v>
      </c>
      <c r="H135" s="58" t="n">
        <v>0</v>
      </c>
      <c r="J135" s="55"/>
      <c r="K135" s="1" t="n">
        <v>2487100</v>
      </c>
      <c r="L135" s="62"/>
    </row>
    <row r="136" customFormat="false" ht="21.65" hidden="false" customHeight="true" outlineLevel="0" collapsed="false">
      <c r="A136" s="0" t="n">
        <v>31</v>
      </c>
      <c r="B136" s="31" t="n">
        <v>42917</v>
      </c>
      <c r="C136" s="56" t="n">
        <f aca="false">K136*0.96</f>
        <v>1508352</v>
      </c>
      <c r="D136" s="29" t="s">
        <v>41</v>
      </c>
      <c r="E136" s="33" t="n">
        <f aca="false">IF(D136="totale",(C136/(A136*24))/F136,IF(D136="marché libre",(C136/(A136*24))/G136,"spécifier histo"))</f>
        <v>0.471477869467367</v>
      </c>
      <c r="F136" s="59" t="n">
        <v>4300</v>
      </c>
      <c r="G136" s="59" t="n">
        <f aca="false">F136-H136</f>
        <v>4300</v>
      </c>
      <c r="H136" s="58" t="n">
        <v>0</v>
      </c>
      <c r="J136" s="55"/>
      <c r="K136" s="1" t="n">
        <v>1571200</v>
      </c>
      <c r="L136" s="62"/>
    </row>
    <row r="137" customFormat="false" ht="21.65" hidden="false" customHeight="true" outlineLevel="0" collapsed="false">
      <c r="A137" s="0" t="n">
        <v>31</v>
      </c>
      <c r="B137" s="34" t="n">
        <v>42948</v>
      </c>
      <c r="C137" s="56" t="n">
        <f aca="false">K137*0.96</f>
        <v>967104</v>
      </c>
      <c r="D137" s="29" t="s">
        <v>41</v>
      </c>
      <c r="E137" s="33" t="n">
        <f aca="false">IF(D137="totale",(C137/(A137*24))/F137,IF(D137="marché libre",(C137/(A137*24))/G137,"spécifier histo"))</f>
        <v>0.302295573893473</v>
      </c>
      <c r="F137" s="59" t="n">
        <v>4300</v>
      </c>
      <c r="G137" s="59" t="n">
        <f aca="false">F137-H137</f>
        <v>4300</v>
      </c>
      <c r="H137" s="58" t="n">
        <v>0</v>
      </c>
      <c r="J137" s="55"/>
      <c r="K137" s="1" t="n">
        <v>1007400</v>
      </c>
      <c r="L137" s="62"/>
    </row>
    <row r="138" customFormat="false" ht="21.65" hidden="false" customHeight="true" outlineLevel="0" collapsed="false">
      <c r="A138" s="0" t="n">
        <v>30</v>
      </c>
      <c r="B138" s="31" t="n">
        <v>42979</v>
      </c>
      <c r="C138" s="56" t="n">
        <f aca="false">K138*0.96</f>
        <v>1035072</v>
      </c>
      <c r="D138" s="29" t="s">
        <v>41</v>
      </c>
      <c r="E138" s="33" t="n">
        <f aca="false">IF(D138="totale",(C138/(A138*24))/F138,IF(D138="marché libre",(C138/(A138*24))/G138,"spécifier histo"))</f>
        <v>0.334325581395349</v>
      </c>
      <c r="F138" s="59" t="n">
        <v>4300</v>
      </c>
      <c r="G138" s="59" t="n">
        <f aca="false">F138-H138</f>
        <v>4300</v>
      </c>
      <c r="H138" s="58" t="n">
        <v>0</v>
      </c>
      <c r="J138" s="55"/>
      <c r="K138" s="1" t="n">
        <v>1078200</v>
      </c>
      <c r="L138" s="62"/>
    </row>
    <row r="139" customFormat="false" ht="21.65" hidden="false" customHeight="true" outlineLevel="0" collapsed="false">
      <c r="A139" s="0" t="n">
        <v>31</v>
      </c>
      <c r="B139" s="34" t="n">
        <v>43009</v>
      </c>
      <c r="C139" s="56" t="n">
        <f aca="false">K139*0.96</f>
        <v>534528</v>
      </c>
      <c r="D139" s="29" t="s">
        <v>41</v>
      </c>
      <c r="E139" s="33" t="n">
        <f aca="false">IF(D139="totale",(C139/(A139*24))/F139,IF(D139="marché libre",(C139/(A139*24))/G139,"spécifier histo"))</f>
        <v>0.167081770442611</v>
      </c>
      <c r="F139" s="59" t="n">
        <v>4300</v>
      </c>
      <c r="G139" s="59" t="n">
        <f aca="false">F139-H139</f>
        <v>4300</v>
      </c>
      <c r="H139" s="58" t="n">
        <v>0</v>
      </c>
      <c r="J139" s="55"/>
      <c r="K139" s="1" t="n">
        <v>556800</v>
      </c>
      <c r="L139" s="62"/>
    </row>
    <row r="140" customFormat="false" ht="21.65" hidden="false" customHeight="true" outlineLevel="0" collapsed="false">
      <c r="A140" s="0" t="n">
        <v>30</v>
      </c>
      <c r="B140" s="31" t="n">
        <v>43040</v>
      </c>
      <c r="C140" s="56" t="n">
        <f aca="false">K140*0.96</f>
        <v>1389888</v>
      </c>
      <c r="D140" s="29" t="s">
        <v>41</v>
      </c>
      <c r="E140" s="33" t="n">
        <f aca="false">IF(D140="totale",(C140/(A140*24))/F140,IF(D140="marché libre",(C140/(A140*24))/G140,"spécifier histo"))</f>
        <v>0.44893023255814</v>
      </c>
      <c r="F140" s="59" t="n">
        <v>4300</v>
      </c>
      <c r="G140" s="59" t="n">
        <f aca="false">F140-H140</f>
        <v>4300</v>
      </c>
      <c r="H140" s="58" t="n">
        <v>0</v>
      </c>
      <c r="J140" s="55"/>
      <c r="K140" s="1" t="n">
        <v>1447800</v>
      </c>
      <c r="L140" s="62"/>
    </row>
    <row r="141" customFormat="false" ht="21.65" hidden="false" customHeight="true" outlineLevel="0" collapsed="false">
      <c r="A141" s="0" t="n">
        <v>31</v>
      </c>
      <c r="B141" s="34" t="n">
        <v>43070</v>
      </c>
      <c r="C141" s="56" t="n">
        <f aca="false">K141*0.96</f>
        <v>1370496</v>
      </c>
      <c r="D141" s="29" t="s">
        <v>41</v>
      </c>
      <c r="E141" s="33" t="n">
        <f aca="false">IF(D141="totale",(C141/(A141*24))/F141,IF(D141="marché libre",(C141/(A141*24))/G141,"spécifier histo"))</f>
        <v>0.428387096774194</v>
      </c>
      <c r="F141" s="59" t="n">
        <v>4300</v>
      </c>
      <c r="G141" s="59" t="n">
        <f aca="false">F141-H141</f>
        <v>4300</v>
      </c>
      <c r="H141" s="58" t="n">
        <v>0</v>
      </c>
      <c r="J141" s="55"/>
      <c r="K141" s="1" t="n">
        <v>1427600</v>
      </c>
      <c r="L141" s="62"/>
    </row>
    <row r="142" customFormat="false" ht="28.35" hidden="false" customHeight="true" outlineLevel="0" collapsed="false">
      <c r="A142" s="0" t="n">
        <v>31</v>
      </c>
      <c r="B142" s="31" t="n">
        <v>43101</v>
      </c>
      <c r="C142" s="56" t="n">
        <f aca="false">K142*0.96</f>
        <v>2227008</v>
      </c>
      <c r="D142" s="29" t="s">
        <v>41</v>
      </c>
      <c r="E142" s="33" t="n">
        <f aca="false">IF(D142="totale",(C142/(A142*24))/F142,IF(D142="marché libre",(C142/(A142*24))/G142,"spécifier histo"))</f>
        <v>0.696114028507127</v>
      </c>
      <c r="F142" s="59" t="n">
        <v>4300</v>
      </c>
      <c r="G142" s="59" t="n">
        <f aca="false">F142-H142</f>
        <v>4300</v>
      </c>
      <c r="H142" s="58" t="n">
        <v>0</v>
      </c>
      <c r="J142" s="30"/>
      <c r="K142" s="1" t="n">
        <v>2319800</v>
      </c>
      <c r="L142" s="62"/>
    </row>
    <row r="143" customFormat="false" ht="28.35" hidden="false" customHeight="true" outlineLevel="0" collapsed="false">
      <c r="A143" s="0" t="n">
        <v>28</v>
      </c>
      <c r="B143" s="34" t="n">
        <v>43132</v>
      </c>
      <c r="C143" s="56" t="n">
        <f aca="false">K143*0.96</f>
        <v>1586976</v>
      </c>
      <c r="D143" s="29" t="s">
        <v>41</v>
      </c>
      <c r="E143" s="33" t="n">
        <f aca="false">IF(D143="totale",(C143/(A143*24))/F143,IF(D143="marché libre",(C143/(A143*24))/G143,"spécifier histo"))</f>
        <v>0.549202657807309</v>
      </c>
      <c r="F143" s="59" t="n">
        <v>4300</v>
      </c>
      <c r="G143" s="59" t="n">
        <f aca="false">F143-H143</f>
        <v>4300</v>
      </c>
      <c r="H143" s="58" t="n">
        <v>0</v>
      </c>
      <c r="K143" s="1" t="n">
        <v>1653100</v>
      </c>
      <c r="L143" s="62"/>
    </row>
    <row r="144" customFormat="false" ht="28.35" hidden="false" customHeight="true" outlineLevel="0" collapsed="false">
      <c r="A144" s="0" t="n">
        <v>31</v>
      </c>
      <c r="B144" s="31" t="n">
        <v>43160</v>
      </c>
      <c r="C144" s="56" t="n">
        <f aca="false">K144*0.96</f>
        <v>890016</v>
      </c>
      <c r="D144" s="29" t="s">
        <v>41</v>
      </c>
      <c r="E144" s="33" t="n">
        <f aca="false">IF(D144="totale",(C144/(A144*24))/F144,IF(D144="marché libre",(C144/(A144*24))/G144,"spécifier histo"))</f>
        <v>0.278199549887472</v>
      </c>
      <c r="F144" s="59" t="n">
        <v>4300</v>
      </c>
      <c r="G144" s="59" t="n">
        <f aca="false">F144-H144</f>
        <v>4300</v>
      </c>
      <c r="H144" s="58" t="n">
        <v>0</v>
      </c>
      <c r="K144" s="1" t="n">
        <v>927100</v>
      </c>
    </row>
    <row r="145" customFormat="false" ht="28.35" hidden="false" customHeight="true" outlineLevel="0" collapsed="false">
      <c r="A145" s="0"/>
    </row>
    <row r="146" customFormat="false" ht="28.35" hidden="false" customHeight="true" outlineLevel="0" collapsed="false">
      <c r="A146" s="0"/>
    </row>
    <row r="147" customFormat="false" ht="28.35" hidden="false" customHeight="true" outlineLevel="0" collapsed="false">
      <c r="A147" s="0"/>
    </row>
    <row r="148" customFormat="false" ht="28.35" hidden="false" customHeight="true" outlineLevel="0" collapsed="false">
      <c r="A148" s="0"/>
    </row>
    <row r="149" customFormat="false" ht="28.35" hidden="false" customHeight="true" outlineLevel="0" collapsed="false">
      <c r="A149" s="0"/>
    </row>
    <row r="150" customFormat="false" ht="28.35" hidden="false" customHeight="true" outlineLevel="0" collapsed="false">
      <c r="A150" s="0"/>
    </row>
    <row r="151" customFormat="false" ht="28.35" hidden="false" customHeight="true" outlineLevel="0" collapsed="false">
      <c r="A151" s="0"/>
    </row>
    <row r="152" customFormat="false" ht="28.35" hidden="false" customHeight="true" outlineLevel="0" collapsed="false">
      <c r="A152" s="0"/>
    </row>
    <row r="153" customFormat="false" ht="28.35" hidden="false" customHeight="true" outlineLevel="0" collapsed="false">
      <c r="A153" s="0"/>
    </row>
    <row r="154" customFormat="false" ht="28.35" hidden="false" customHeight="true" outlineLevel="0" collapsed="false">
      <c r="A154" s="0"/>
    </row>
    <row r="155" customFormat="false" ht="28.35" hidden="false" customHeight="true" outlineLevel="0" collapsed="false">
      <c r="A155" s="0"/>
    </row>
    <row r="156" customFormat="false" ht="28.35" hidden="false" customHeight="true" outlineLevel="0" collapsed="false">
      <c r="A156" s="0"/>
    </row>
    <row r="157" customFormat="false" ht="28.35" hidden="false" customHeight="true" outlineLevel="0" collapsed="false">
      <c r="A157" s="0"/>
    </row>
    <row r="158" customFormat="false" ht="28.35" hidden="false" customHeight="true" outlineLevel="0" collapsed="false">
      <c r="A158" s="0"/>
    </row>
    <row r="159" customFormat="false" ht="28.35" hidden="false" customHeight="true" outlineLevel="0" collapsed="false">
      <c r="A159" s="0"/>
    </row>
    <row r="160" customFormat="false" ht="12.8" hidden="false" customHeight="false" outlineLevel="0" collapsed="false">
      <c r="A160" s="0"/>
    </row>
    <row r="161" customFormat="false" ht="12.8" hidden="false" customHeight="false" outlineLevel="0" collapsed="false">
      <c r="A161" s="0"/>
    </row>
    <row r="162" customFormat="false" ht="12.8" hidden="false" customHeight="false" outlineLevel="0" collapsed="false">
      <c r="A162" s="0"/>
    </row>
    <row r="163" customFormat="false" ht="12.8" hidden="false" customHeight="false" outlineLevel="0" collapsed="false">
      <c r="A163" s="0"/>
    </row>
    <row r="164" customFormat="false" ht="12.8" hidden="false" customHeight="false" outlineLevel="0" collapsed="false">
      <c r="A164" s="0"/>
    </row>
    <row r="165" customFormat="false" ht="12.8" hidden="false" customHeight="false" outlineLevel="0" collapsed="false">
      <c r="A165" s="0"/>
    </row>
    <row r="166" customFormat="false" ht="12.8" hidden="false" customHeight="false" outlineLevel="0" collapsed="false">
      <c r="A166" s="0"/>
    </row>
    <row r="167" customFormat="false" ht="12.8" hidden="false" customHeight="false" outlineLevel="0" collapsed="false">
      <c r="A167" s="0"/>
    </row>
    <row r="168" customFormat="false" ht="12.8" hidden="false" customHeight="false" outlineLevel="0" collapsed="false">
      <c r="A168" s="0"/>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row r="173" customFormat="false" ht="12.8" hidden="false" customHeight="false" outlineLevel="0" collapsed="false">
      <c r="A173" s="0"/>
    </row>
    <row r="174" customFormat="false" ht="12.8" hidden="false" customHeight="false" outlineLevel="0" collapsed="false">
      <c r="A174" s="0"/>
    </row>
    <row r="175" customFormat="false" ht="12.8" hidden="false" customHeight="false" outlineLevel="0" collapsed="false">
      <c r="A175" s="0"/>
    </row>
    <row r="176" customFormat="false" ht="12.8" hidden="false" customHeight="false" outlineLevel="0" collapsed="false">
      <c r="A176" s="0"/>
    </row>
    <row r="177" customFormat="false" ht="12.8" hidden="false" customHeight="false" outlineLevel="0" collapsed="false">
      <c r="A177" s="0"/>
    </row>
    <row r="178" customFormat="false" ht="12.8" hidden="false" customHeight="false" outlineLevel="0" collapsed="false">
      <c r="A178" s="0"/>
    </row>
    <row r="179" customFormat="false" ht="12.8" hidden="false" customHeight="false" outlineLevel="0" collapsed="false">
      <c r="A179" s="0"/>
    </row>
    <row r="180" customFormat="false" ht="12.8" hidden="false" customHeight="false" outlineLevel="0" collapsed="false">
      <c r="A180" s="0"/>
    </row>
    <row r="181" customFormat="false" ht="12.8" hidden="false" customHeight="false" outlineLevel="0" collapsed="false">
      <c r="A181" s="0"/>
    </row>
    <row r="182" customFormat="false" ht="12.8" hidden="false" customHeight="false" outlineLevel="0" collapsed="false">
      <c r="A182" s="0"/>
    </row>
    <row r="183" customFormat="false" ht="12.8" hidden="false" customHeight="fals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2:E125 E127:E14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117">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26:E144">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3.xml><?xml version="1.0" encoding="utf-8"?>
<worksheet xmlns="http://schemas.openxmlformats.org/spreadsheetml/2006/main" xmlns:r="http://schemas.openxmlformats.org/officeDocument/2006/relationships">
  <sheetPr filterMode="false">
    <tabColor rgb="FF00CC33"/>
    <pageSetUpPr fitToPage="false"/>
  </sheetPr>
  <dimension ref="A1:V21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29" activePane="bottomRight" state="frozen"/>
      <selection pane="topLeft" activeCell="A1" activeCellId="0" sqref="A1"/>
      <selection pane="topRight" activeCell="B1" activeCellId="0" sqref="B1"/>
      <selection pane="bottomLeft" activeCell="A129" activeCellId="0" sqref="A129"/>
      <selection pane="bottomRight" activeCell="A2" activeCellId="0" sqref="A2"/>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9"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2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43</v>
      </c>
      <c r="C4" s="15" t="n">
        <v>302644</v>
      </c>
      <c r="D4" s="5" t="s">
        <v>44</v>
      </c>
      <c r="E4" s="14" t="s">
        <v>45</v>
      </c>
      <c r="F4" s="15" t="n">
        <v>31600</v>
      </c>
      <c r="G4" s="15" t="n">
        <v>30000</v>
      </c>
      <c r="H4" s="15" t="n">
        <v>28000</v>
      </c>
      <c r="I4" s="61" t="n">
        <v>800</v>
      </c>
      <c r="J4" s="15" t="n">
        <v>800</v>
      </c>
      <c r="K4" s="16" t="s">
        <v>47</v>
      </c>
      <c r="L4" s="16" t="s">
        <v>48</v>
      </c>
      <c r="M4" s="15" t="n">
        <v>800</v>
      </c>
      <c r="N4" s="17"/>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20" t="s">
        <v>25</v>
      </c>
      <c r="D6" s="20"/>
      <c r="F6" s="20" t="s">
        <v>26</v>
      </c>
      <c r="G6" s="19" t="s">
        <v>56</v>
      </c>
      <c r="H6" s="19"/>
      <c r="I6" s="19"/>
      <c r="J6" s="19"/>
      <c r="K6" s="19"/>
      <c r="L6" s="19"/>
      <c r="M6" s="19"/>
      <c r="N6" s="19"/>
      <c r="P6" s="21" t="n">
        <v>42736</v>
      </c>
      <c r="Q6" s="19" t="s">
        <v>27</v>
      </c>
      <c r="R6" s="9"/>
      <c r="S6" s="22"/>
      <c r="T6" s="5" t="s">
        <v>28</v>
      </c>
    </row>
    <row r="7" customFormat="false" ht="41.65" hidden="false" customHeight="true" outlineLevel="0" collapsed="false">
      <c r="A7" s="0"/>
      <c r="B7" s="0"/>
      <c r="C7" s="69" t="s">
        <v>50</v>
      </c>
      <c r="D7" s="69"/>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9" t="s">
        <v>51</v>
      </c>
      <c r="D9" s="29" t="s">
        <v>52</v>
      </c>
      <c r="E9" s="1" t="s">
        <v>35</v>
      </c>
      <c r="F9" s="9" t="s">
        <v>36</v>
      </c>
      <c r="G9" s="9" t="s">
        <v>37</v>
      </c>
      <c r="H9" s="9" t="s">
        <v>38</v>
      </c>
      <c r="I9" s="9" t="s">
        <v>39</v>
      </c>
      <c r="J9" s="30" t="s">
        <v>40</v>
      </c>
    </row>
    <row r="10" customFormat="false" ht="19.85" hidden="false" customHeight="true" outlineLevel="0" collapsed="false">
      <c r="A10" s="0" t="n">
        <v>31</v>
      </c>
      <c r="B10" s="31" t="n">
        <v>39083</v>
      </c>
      <c r="C10" s="56" t="n">
        <f aca="false">K10*0.96</f>
        <v>235624.32</v>
      </c>
      <c r="D10" s="29" t="s">
        <v>41</v>
      </c>
      <c r="E10" s="33" t="n">
        <f aca="false">IF(D10="totale",(C10/(A10*24))/F10,IF(D10="marché libre",(C10/(A10*24))/G10,"spécifier histo"))</f>
        <v>0.433834732655767</v>
      </c>
      <c r="F10" s="59" t="n">
        <v>730</v>
      </c>
      <c r="G10" s="59" t="n">
        <f aca="false">F10-H10</f>
        <v>730</v>
      </c>
      <c r="H10" s="59" t="n">
        <v>0</v>
      </c>
      <c r="J10" s="70"/>
      <c r="K10" s="9" t="n">
        <v>245442</v>
      </c>
      <c r="L10" s="71"/>
      <c r="M10" s="71"/>
      <c r="N10" s="71"/>
      <c r="O10" s="72"/>
      <c r="P10" s="71"/>
      <c r="Q10" s="71"/>
      <c r="R10" s="72"/>
      <c r="S10" s="71"/>
      <c r="T10" s="71"/>
      <c r="U10" s="71"/>
      <c r="V10" s="71"/>
    </row>
    <row r="11" customFormat="false" ht="19.85" hidden="false" customHeight="true" outlineLevel="0" collapsed="false">
      <c r="A11" s="0" t="n">
        <v>28</v>
      </c>
      <c r="B11" s="34" t="n">
        <v>39114</v>
      </c>
      <c r="C11" s="56" t="n">
        <f aca="false">K11*0.96</f>
        <v>264190.079999999</v>
      </c>
      <c r="D11" s="29" t="s">
        <v>41</v>
      </c>
      <c r="E11" s="33" t="n">
        <f aca="false">IF(D11="totale",(C11/(A11*24))/F11,IF(D11="marché libre",(C11/(A11*24))/G11,"spécifier histo"))</f>
        <v>0.538547945205477</v>
      </c>
      <c r="F11" s="59" t="n">
        <v>730</v>
      </c>
      <c r="G11" s="59" t="n">
        <f aca="false">F11-H11</f>
        <v>730</v>
      </c>
      <c r="H11" s="59" t="n">
        <v>0</v>
      </c>
      <c r="J11" s="70"/>
      <c r="K11" s="9" t="n">
        <v>275197.999999999</v>
      </c>
      <c r="L11" s="0"/>
      <c r="M11" s="0"/>
      <c r="N11" s="0"/>
      <c r="O11" s="0"/>
      <c r="P11" s="0"/>
      <c r="Q11" s="0"/>
      <c r="R11" s="0"/>
      <c r="S11" s="0"/>
      <c r="T11" s="0"/>
      <c r="U11" s="0"/>
      <c r="V11" s="0"/>
    </row>
    <row r="12" customFormat="false" ht="19.85" hidden="false" customHeight="true" outlineLevel="0" collapsed="false">
      <c r="A12" s="0" t="n">
        <v>31</v>
      </c>
      <c r="B12" s="31" t="n">
        <v>39142</v>
      </c>
      <c r="C12" s="56" t="n">
        <f aca="false">K12*0.96</f>
        <v>420268.8</v>
      </c>
      <c r="D12" s="29" t="s">
        <v>41</v>
      </c>
      <c r="E12" s="33" t="n">
        <f aca="false">IF(D12="totale",(C12/(A12*24))/F12,IF(D12="marché libre",(C12/(A12*24))/G12,"spécifier histo"))</f>
        <v>0.773804684047724</v>
      </c>
      <c r="F12" s="59" t="n">
        <v>730</v>
      </c>
      <c r="G12" s="59" t="n">
        <f aca="false">F12-H12</f>
        <v>730</v>
      </c>
      <c r="H12" s="59" t="n">
        <v>0</v>
      </c>
      <c r="J12" s="70"/>
      <c r="K12" s="9" t="n">
        <v>437780</v>
      </c>
      <c r="L12" s="0"/>
      <c r="M12" s="0"/>
      <c r="N12" s="0"/>
      <c r="O12" s="0"/>
      <c r="P12" s="0"/>
      <c r="Q12" s="0"/>
      <c r="R12" s="0"/>
      <c r="S12" s="0"/>
      <c r="T12" s="0"/>
      <c r="U12" s="0"/>
      <c r="V12" s="0"/>
    </row>
    <row r="13" customFormat="false" ht="19.85" hidden="false" customHeight="true" outlineLevel="0" collapsed="false">
      <c r="A13" s="0" t="n">
        <v>30</v>
      </c>
      <c r="B13" s="34" t="n">
        <v>39173</v>
      </c>
      <c r="C13" s="56" t="n">
        <f aca="false">K13*0.96</f>
        <v>385129.92</v>
      </c>
      <c r="D13" s="29" t="s">
        <v>41</v>
      </c>
      <c r="E13" s="33" t="n">
        <f aca="false">IF(D13="totale",(C13/(A13*24))/F13,IF(D13="marché libre",(C13/(A13*24))/G13,"spécifier histo"))</f>
        <v>0.732743378995434</v>
      </c>
      <c r="F13" s="59" t="n">
        <v>730</v>
      </c>
      <c r="G13" s="59" t="n">
        <f aca="false">F13-H13</f>
        <v>730</v>
      </c>
      <c r="H13" s="59" t="n">
        <v>0</v>
      </c>
      <c r="J13" s="70"/>
      <c r="K13" s="9" t="n">
        <v>401177</v>
      </c>
      <c r="L13" s="0"/>
      <c r="M13" s="0"/>
      <c r="N13" s="0"/>
      <c r="O13" s="0"/>
      <c r="P13" s="0"/>
      <c r="Q13" s="0"/>
      <c r="R13" s="0"/>
      <c r="S13" s="0"/>
      <c r="T13" s="0"/>
      <c r="U13" s="0"/>
      <c r="V13" s="0"/>
    </row>
    <row r="14" customFormat="false" ht="19.85" hidden="false" customHeight="true" outlineLevel="0" collapsed="false">
      <c r="A14" s="0" t="n">
        <v>31</v>
      </c>
      <c r="B14" s="31" t="n">
        <v>39203</v>
      </c>
      <c r="C14" s="56" t="n">
        <f aca="false">K14*0.96</f>
        <v>494586.24</v>
      </c>
      <c r="D14" s="29" t="s">
        <v>41</v>
      </c>
      <c r="E14" s="33" t="n">
        <f aca="false">IF(D14="totale",(C14/(A14*24))/F14,IF(D14="marché libre",(C14/(A14*24))/G14,"spécifier histo"))</f>
        <v>0.910638974812196</v>
      </c>
      <c r="F14" s="59" t="n">
        <v>730</v>
      </c>
      <c r="G14" s="59" t="n">
        <f aca="false">F14-H14</f>
        <v>730</v>
      </c>
      <c r="H14" s="59" t="n">
        <v>0</v>
      </c>
      <c r="J14" s="70"/>
      <c r="K14" s="9" t="n">
        <v>515194</v>
      </c>
      <c r="L14" s="0"/>
      <c r="M14" s="0"/>
      <c r="N14" s="0"/>
      <c r="O14" s="0"/>
      <c r="P14" s="0"/>
      <c r="Q14" s="0"/>
      <c r="R14" s="0"/>
      <c r="S14" s="0"/>
      <c r="T14" s="0"/>
      <c r="U14" s="0"/>
      <c r="V14" s="0"/>
    </row>
    <row r="15" customFormat="false" ht="19.85" hidden="false" customHeight="true" outlineLevel="0" collapsed="false">
      <c r="A15" s="0" t="n">
        <v>30</v>
      </c>
      <c r="B15" s="34" t="n">
        <v>39234</v>
      </c>
      <c r="C15" s="56" t="n">
        <f aca="false">K15*0.96</f>
        <v>502961.280000002</v>
      </c>
      <c r="D15" s="29" t="s">
        <v>41</v>
      </c>
      <c r="E15" s="33" t="n">
        <f aca="false">IF(D15="totale",(C15/(A15*24))/F15,IF(D15="marché libre",(C15/(A15*24))/G15,"spécifier histo"))</f>
        <v>0.956927853881282</v>
      </c>
      <c r="F15" s="59" t="n">
        <v>730</v>
      </c>
      <c r="G15" s="59" t="n">
        <f aca="false">F15-H15</f>
        <v>730</v>
      </c>
      <c r="H15" s="59" t="n">
        <v>0</v>
      </c>
      <c r="J15" s="70"/>
      <c r="K15" s="9" t="n">
        <v>523918.000000002</v>
      </c>
      <c r="L15" s="0"/>
      <c r="M15" s="0"/>
      <c r="N15" s="0"/>
      <c r="O15" s="0"/>
      <c r="P15" s="0"/>
      <c r="Q15" s="0"/>
      <c r="R15" s="0"/>
      <c r="S15" s="0"/>
      <c r="T15" s="0"/>
      <c r="U15" s="0"/>
      <c r="V15" s="0"/>
    </row>
    <row r="16" customFormat="false" ht="19.85" hidden="false" customHeight="true" outlineLevel="0" collapsed="false">
      <c r="A16" s="0" t="n">
        <v>31</v>
      </c>
      <c r="B16" s="31" t="n">
        <v>39264</v>
      </c>
      <c r="C16" s="56" t="n">
        <f aca="false">K16*0.96</f>
        <v>504741.12</v>
      </c>
      <c r="D16" s="29" t="s">
        <v>41</v>
      </c>
      <c r="E16" s="33" t="n">
        <f aca="false">IF(D16="totale",(C16/(A16*24))/F16,IF(D16="marché libre",(C16/(A16*24))/G16,"spécifier histo"))</f>
        <v>0.929336279275298</v>
      </c>
      <c r="F16" s="59" t="n">
        <v>730</v>
      </c>
      <c r="G16" s="59" t="n">
        <f aca="false">F16-H16</f>
        <v>730</v>
      </c>
      <c r="H16" s="59" t="n">
        <v>0</v>
      </c>
      <c r="J16" s="70"/>
      <c r="K16" s="9" t="n">
        <v>525772</v>
      </c>
      <c r="L16" s="0"/>
      <c r="M16" s="0"/>
      <c r="N16" s="0"/>
      <c r="O16" s="0"/>
      <c r="P16" s="0"/>
      <c r="Q16" s="0"/>
      <c r="R16" s="0"/>
      <c r="S16" s="0"/>
      <c r="T16" s="0"/>
      <c r="U16" s="0"/>
      <c r="V16" s="0"/>
    </row>
    <row r="17" customFormat="false" ht="19.85" hidden="false" customHeight="true" outlineLevel="0" collapsed="false">
      <c r="A17" s="0" t="n">
        <v>31</v>
      </c>
      <c r="B17" s="34" t="n">
        <v>39295</v>
      </c>
      <c r="C17" s="56" t="n">
        <f aca="false">K17*0.96</f>
        <v>366897.599999999</v>
      </c>
      <c r="D17" s="29" t="s">
        <v>41</v>
      </c>
      <c r="E17" s="33" t="n">
        <f aca="false">IF(D17="totale",(C17/(A17*24))/F17,IF(D17="marché libre",(C17/(A17*24))/G17,"spécifier histo"))</f>
        <v>0.675536897923109</v>
      </c>
      <c r="F17" s="59" t="n">
        <v>730</v>
      </c>
      <c r="G17" s="59" t="n">
        <f aca="false">F17-H17</f>
        <v>730</v>
      </c>
      <c r="H17" s="59" t="n">
        <v>0</v>
      </c>
      <c r="J17" s="70"/>
      <c r="K17" s="9" t="n">
        <v>382184.999999999</v>
      </c>
      <c r="L17" s="0"/>
      <c r="M17" s="0"/>
      <c r="N17" s="0"/>
      <c r="O17" s="0"/>
      <c r="P17" s="0"/>
      <c r="Q17" s="0"/>
      <c r="R17" s="0"/>
      <c r="S17" s="0"/>
      <c r="T17" s="0"/>
      <c r="U17" s="0"/>
      <c r="V17" s="0"/>
    </row>
    <row r="18" customFormat="false" ht="19.85" hidden="false" customHeight="true" outlineLevel="0" collapsed="false">
      <c r="A18" s="0" t="n">
        <v>30</v>
      </c>
      <c r="B18" s="31" t="n">
        <v>39326</v>
      </c>
      <c r="C18" s="56" t="n">
        <f aca="false">K18*0.96</f>
        <v>310178.879999998</v>
      </c>
      <c r="D18" s="29" t="s">
        <v>41</v>
      </c>
      <c r="E18" s="33" t="n">
        <f aca="false">IF(D18="totale",(C18/(A18*24))/F18,IF(D18="marché libre",(C18/(A18*24))/G18,"spécifier histo"))</f>
        <v>0.590142465753421</v>
      </c>
      <c r="F18" s="59" t="n">
        <v>730</v>
      </c>
      <c r="G18" s="59" t="n">
        <f aca="false">F18-H18</f>
        <v>730</v>
      </c>
      <c r="H18" s="59" t="n">
        <v>0</v>
      </c>
      <c r="J18" s="70"/>
      <c r="K18" s="9" t="n">
        <v>323102.999999998</v>
      </c>
      <c r="L18" s="0"/>
      <c r="M18" s="0"/>
      <c r="N18" s="0"/>
      <c r="O18" s="0"/>
      <c r="P18" s="0"/>
      <c r="Q18" s="0"/>
      <c r="R18" s="0"/>
      <c r="S18" s="0"/>
      <c r="T18" s="0"/>
      <c r="U18" s="0"/>
      <c r="V18" s="0"/>
    </row>
    <row r="19" customFormat="false" ht="19.85" hidden="false" customHeight="true" outlineLevel="0" collapsed="false">
      <c r="A19" s="0" t="n">
        <v>31</v>
      </c>
      <c r="B19" s="34" t="n">
        <v>39356</v>
      </c>
      <c r="C19" s="56" t="n">
        <f aca="false">K19*0.96</f>
        <v>262182.719999998</v>
      </c>
      <c r="D19" s="29" t="s">
        <v>41</v>
      </c>
      <c r="E19" s="33" t="n">
        <f aca="false">IF(D19="totale",(C19/(A19*24))/F19,IF(D19="marché libre",(C19/(A19*24))/G19,"spécifier histo"))</f>
        <v>0.482734423331857</v>
      </c>
      <c r="F19" s="59" t="n">
        <v>730</v>
      </c>
      <c r="G19" s="59" t="n">
        <f aca="false">F19-H19</f>
        <v>730</v>
      </c>
      <c r="H19" s="59" t="n">
        <v>0</v>
      </c>
      <c r="J19" s="70"/>
      <c r="K19" s="9" t="n">
        <v>273106.999999998</v>
      </c>
      <c r="L19" s="0"/>
      <c r="M19" s="0"/>
      <c r="N19" s="0"/>
      <c r="O19" s="0"/>
      <c r="P19" s="0"/>
      <c r="Q19" s="0"/>
      <c r="R19" s="0"/>
      <c r="S19" s="0"/>
      <c r="T19" s="0"/>
      <c r="U19" s="0"/>
      <c r="V19" s="0"/>
    </row>
    <row r="20" customFormat="false" ht="19.85" hidden="false" customHeight="true" outlineLevel="0" collapsed="false">
      <c r="A20" s="0" t="n">
        <v>30</v>
      </c>
      <c r="B20" s="31" t="n">
        <v>39387</v>
      </c>
      <c r="C20" s="56" t="n">
        <f aca="false">K20*0.96</f>
        <v>212827.200000003</v>
      </c>
      <c r="D20" s="29" t="s">
        <v>41</v>
      </c>
      <c r="E20" s="33" t="n">
        <f aca="false">IF(D20="totale",(C20/(A20*24))/F20,IF(D20="marché libre",(C20/(A20*24))/G20,"spécifier histo"))</f>
        <v>0.404922374429229</v>
      </c>
      <c r="F20" s="59" t="n">
        <v>730</v>
      </c>
      <c r="G20" s="59" t="n">
        <f aca="false">F20-H20</f>
        <v>730</v>
      </c>
      <c r="H20" s="59" t="n">
        <v>0</v>
      </c>
      <c r="J20" s="70"/>
      <c r="K20" s="9" t="n">
        <v>221695.000000003</v>
      </c>
      <c r="L20" s="0"/>
      <c r="M20" s="0"/>
      <c r="N20" s="0"/>
      <c r="O20" s="0"/>
      <c r="P20" s="0"/>
      <c r="Q20" s="0"/>
      <c r="R20" s="0"/>
      <c r="S20" s="0"/>
      <c r="T20" s="0"/>
      <c r="U20" s="0"/>
      <c r="V20" s="0"/>
    </row>
    <row r="21" customFormat="false" ht="19.85" hidden="false" customHeight="true" outlineLevel="0" collapsed="false">
      <c r="A21" s="0" t="n">
        <v>31</v>
      </c>
      <c r="B21" s="34" t="n">
        <v>39417</v>
      </c>
      <c r="C21" s="56" t="n">
        <f aca="false">K21*0.96</f>
        <v>334907.520000001</v>
      </c>
      <c r="D21" s="29" t="s">
        <v>41</v>
      </c>
      <c r="E21" s="33" t="n">
        <f aca="false">IF(D21="totale",(C21/(A21*24))/F21,IF(D21="marché libre",(C21/(A21*24))/G21,"spécifier histo"))</f>
        <v>0.61663632346443</v>
      </c>
      <c r="F21" s="59" t="n">
        <v>730</v>
      </c>
      <c r="G21" s="59" t="n">
        <f aca="false">F21-H21</f>
        <v>730</v>
      </c>
      <c r="H21" s="59" t="n">
        <v>0</v>
      </c>
      <c r="J21" s="70"/>
      <c r="K21" s="9" t="n">
        <v>348862.000000001</v>
      </c>
      <c r="L21" s="0"/>
      <c r="M21" s="0"/>
      <c r="N21" s="0"/>
      <c r="O21" s="0"/>
      <c r="P21" s="0"/>
      <c r="Q21" s="0"/>
      <c r="R21" s="0"/>
      <c r="S21" s="0"/>
      <c r="T21" s="0"/>
      <c r="U21" s="0"/>
      <c r="V21" s="0"/>
    </row>
    <row r="22" customFormat="false" ht="19.85" hidden="false" customHeight="true" outlineLevel="0" collapsed="false">
      <c r="A22" s="0" t="n">
        <v>31</v>
      </c>
      <c r="B22" s="31" t="n">
        <v>39448</v>
      </c>
      <c r="C22" s="56" t="n">
        <f aca="false">K22*0.96</f>
        <v>311215.679999994</v>
      </c>
      <c r="D22" s="29" t="s">
        <v>41</v>
      </c>
      <c r="E22" s="33" t="n">
        <f aca="false">IF(D22="totale",(C22/(A22*24))/F22,IF(D22="marché libre",(C22/(A22*24))/G22,"spécifier histo"))</f>
        <v>0.573014582412716</v>
      </c>
      <c r="F22" s="59" t="n">
        <v>730</v>
      </c>
      <c r="G22" s="59" t="n">
        <f aca="false">F22-H22</f>
        <v>730</v>
      </c>
      <c r="H22" s="59" t="n">
        <v>0</v>
      </c>
      <c r="J22" s="55"/>
      <c r="K22" s="9" t="n">
        <v>324182.999999994</v>
      </c>
      <c r="L22" s="0"/>
      <c r="M22" s="0"/>
      <c r="N22" s="0"/>
      <c r="O22" s="0"/>
      <c r="P22" s="0"/>
      <c r="Q22" s="0"/>
      <c r="R22" s="0"/>
      <c r="S22" s="0"/>
      <c r="T22" s="0"/>
      <c r="U22" s="0"/>
      <c r="V22" s="0"/>
    </row>
    <row r="23" customFormat="false" ht="19.85" hidden="false" customHeight="true" outlineLevel="0" collapsed="false">
      <c r="A23" s="0" t="n">
        <v>28</v>
      </c>
      <c r="B23" s="34" t="n">
        <v>39479</v>
      </c>
      <c r="C23" s="56" t="n">
        <f aca="false">K23*0.96</f>
        <v>235189.439999998</v>
      </c>
      <c r="D23" s="29" t="s">
        <v>41</v>
      </c>
      <c r="E23" s="33" t="n">
        <f aca="false">IF(D23="totale",(C23/(A23*24))/F23,IF(D23="marché libre",(C23/(A23*24))/G23,"spécifier histo"))</f>
        <v>0.47943052837573</v>
      </c>
      <c r="F23" s="59" t="n">
        <v>730</v>
      </c>
      <c r="G23" s="59" t="n">
        <f aca="false">F23-H23</f>
        <v>730</v>
      </c>
      <c r="H23" s="59" t="n">
        <v>0</v>
      </c>
      <c r="J23" s="55"/>
      <c r="K23" s="9" t="n">
        <v>244988.999999998</v>
      </c>
      <c r="L23" s="0"/>
      <c r="P23" s="0"/>
      <c r="R23" s="0"/>
      <c r="S23" s="0"/>
      <c r="T23" s="0"/>
      <c r="U23" s="0"/>
    </row>
    <row r="24" customFormat="false" ht="19.85" hidden="false" customHeight="true" outlineLevel="0" collapsed="false">
      <c r="A24" s="0" t="n">
        <v>31</v>
      </c>
      <c r="B24" s="31" t="n">
        <v>39508</v>
      </c>
      <c r="C24" s="56" t="n">
        <f aca="false">K24*0.96</f>
        <v>291554.880000001</v>
      </c>
      <c r="D24" s="29" t="s">
        <v>41</v>
      </c>
      <c r="E24" s="33" t="n">
        <f aca="false">IF(D24="totale",(C24/(A24*24))/F24,IF(D24="marché libre",(C24/(A24*24))/G24,"spécifier histo"))</f>
        <v>0.536814847547505</v>
      </c>
      <c r="F24" s="59" t="n">
        <v>730</v>
      </c>
      <c r="G24" s="59" t="n">
        <f aca="false">F24-H24</f>
        <v>730</v>
      </c>
      <c r="H24" s="59" t="n">
        <v>0</v>
      </c>
      <c r="J24" s="55"/>
      <c r="K24" s="9" t="n">
        <v>303703.000000001</v>
      </c>
      <c r="L24" s="0"/>
      <c r="P24" s="0"/>
      <c r="S24" s="0"/>
      <c r="T24" s="0"/>
      <c r="U24" s="0"/>
    </row>
    <row r="25" customFormat="false" ht="19.85" hidden="false" customHeight="true" outlineLevel="0" collapsed="false">
      <c r="A25" s="0" t="n">
        <v>30</v>
      </c>
      <c r="B25" s="34" t="n">
        <v>39539</v>
      </c>
      <c r="C25" s="56" t="n">
        <f aca="false">K25*0.96</f>
        <v>1723.20000000007</v>
      </c>
      <c r="D25" s="29" t="s">
        <v>41</v>
      </c>
      <c r="E25" s="33" t="n">
        <f aca="false">IF(D25="totale",(C25/(A25*24))/F25,IF(D25="marché libre",(C25/(A25*24))/G25,"spécifier histo"))</f>
        <v>0.00327853881278552</v>
      </c>
      <c r="F25" s="59" t="n">
        <v>730</v>
      </c>
      <c r="G25" s="59" t="n">
        <f aca="false">F25-H25</f>
        <v>730</v>
      </c>
      <c r="H25" s="59" t="n">
        <v>0</v>
      </c>
      <c r="I25" s="1" t="s">
        <v>54</v>
      </c>
      <c r="J25" s="55"/>
      <c r="K25" s="9" t="n">
        <v>1795.00000000007</v>
      </c>
      <c r="L25" s="0"/>
      <c r="P25" s="0"/>
      <c r="S25" s="0"/>
      <c r="T25" s="0"/>
      <c r="U25" s="0"/>
    </row>
    <row r="26" customFormat="false" ht="19.85" hidden="false" customHeight="true" outlineLevel="0" collapsed="false">
      <c r="A26" s="0" t="n">
        <v>31</v>
      </c>
      <c r="B26" s="31" t="n">
        <v>39569</v>
      </c>
      <c r="C26" s="56" t="n">
        <f aca="false">K26*0.96</f>
        <v>422402.879999997</v>
      </c>
      <c r="D26" s="29" t="s">
        <v>41</v>
      </c>
      <c r="E26" s="33" t="n">
        <f aca="false">IF(D26="totale",(C26/(A26*24))/F26,IF(D26="marché libre",(C26/(A26*24))/G26,"spécifier histo"))</f>
        <v>0.77773398144056</v>
      </c>
      <c r="F26" s="59" t="n">
        <v>730</v>
      </c>
      <c r="G26" s="59" t="n">
        <f aca="false">F26-H26</f>
        <v>730</v>
      </c>
      <c r="H26" s="59" t="n">
        <v>0</v>
      </c>
      <c r="J26" s="55"/>
      <c r="K26" s="9" t="n">
        <v>440002.999999997</v>
      </c>
      <c r="L26" s="0"/>
      <c r="P26" s="0"/>
      <c r="S26" s="0"/>
      <c r="T26" s="0"/>
      <c r="U26" s="0"/>
    </row>
    <row r="27" customFormat="false" ht="19.85" hidden="false" customHeight="true" outlineLevel="0" collapsed="false">
      <c r="A27" s="0" t="n">
        <v>30</v>
      </c>
      <c r="B27" s="34" t="n">
        <v>39600</v>
      </c>
      <c r="C27" s="56" t="n">
        <f aca="false">K27*0.96</f>
        <v>504643.199999998</v>
      </c>
      <c r="D27" s="29" t="s">
        <v>41</v>
      </c>
      <c r="E27" s="33" t="n">
        <f aca="false">IF(D27="totale",(C27/(A27*24))/F27,IF(D27="marché libre",(C27/(A27*24))/G27,"spécifier histo"))</f>
        <v>0.960127853881275</v>
      </c>
      <c r="F27" s="59" t="n">
        <v>730</v>
      </c>
      <c r="G27" s="59" t="n">
        <f aca="false">F27-H27</f>
        <v>730</v>
      </c>
      <c r="H27" s="59" t="n">
        <v>0</v>
      </c>
      <c r="J27" s="55"/>
      <c r="K27" s="9" t="n">
        <v>525669.999999998</v>
      </c>
      <c r="L27" s="0"/>
      <c r="P27" s="0"/>
      <c r="S27" s="0"/>
      <c r="T27" s="0"/>
      <c r="U27" s="0"/>
    </row>
    <row r="28" customFormat="false" ht="19.85" hidden="false" customHeight="true" outlineLevel="0" collapsed="false">
      <c r="A28" s="0" t="n">
        <v>31</v>
      </c>
      <c r="B28" s="31" t="n">
        <v>39630</v>
      </c>
      <c r="C28" s="56" t="n">
        <f aca="false">K28*0.96</f>
        <v>504192.000000001</v>
      </c>
      <c r="D28" s="29" t="s">
        <v>41</v>
      </c>
      <c r="E28" s="33" t="n">
        <f aca="false">IF(D28="totale",(C28/(A28*24))/F28,IF(D28="marché libre",(C28/(A28*24))/G28,"spécifier histo"))</f>
        <v>0.928325231992931</v>
      </c>
      <c r="F28" s="59" t="n">
        <v>730</v>
      </c>
      <c r="G28" s="59" t="n">
        <f aca="false">F28-H28</f>
        <v>730</v>
      </c>
      <c r="H28" s="59" t="n">
        <v>0</v>
      </c>
      <c r="J28" s="73"/>
      <c r="K28" s="9" t="n">
        <v>525200.000000001</v>
      </c>
      <c r="L28" s="0"/>
      <c r="P28" s="0"/>
      <c r="S28" s="0"/>
      <c r="T28" s="0"/>
      <c r="U28" s="0"/>
    </row>
    <row r="29" customFormat="false" ht="19.85" hidden="false" customHeight="true" outlineLevel="0" collapsed="false">
      <c r="A29" s="0" t="n">
        <v>31</v>
      </c>
      <c r="B29" s="34" t="n">
        <v>39661</v>
      </c>
      <c r="C29" s="56" t="n">
        <f aca="false">K29*0.96</f>
        <v>371733.119999996</v>
      </c>
      <c r="D29" s="29" t="s">
        <v>41</v>
      </c>
      <c r="E29" s="33" t="n">
        <f aca="false">IF(D29="totale",(C29/(A29*24))/F29,IF(D29="marché libre",(C29/(A29*24))/G29,"spécifier histo"))</f>
        <v>0.684440123729555</v>
      </c>
      <c r="F29" s="59" t="n">
        <v>730</v>
      </c>
      <c r="G29" s="59" t="n">
        <f aca="false">F29-H29</f>
        <v>730</v>
      </c>
      <c r="H29" s="59" t="n">
        <v>0</v>
      </c>
      <c r="J29" s="55"/>
      <c r="K29" s="9" t="n">
        <v>387221.999999996</v>
      </c>
      <c r="L29" s="0"/>
      <c r="P29" s="0"/>
      <c r="S29" s="0"/>
      <c r="T29" s="0"/>
      <c r="U29" s="0"/>
    </row>
    <row r="30" customFormat="false" ht="19.85" hidden="false" customHeight="true" outlineLevel="0" collapsed="false">
      <c r="A30" s="0" t="n">
        <v>30</v>
      </c>
      <c r="B30" s="31" t="n">
        <v>39692</v>
      </c>
      <c r="C30" s="56" t="n">
        <f aca="false">K30*0.96</f>
        <v>432170.88</v>
      </c>
      <c r="D30" s="29" t="s">
        <v>41</v>
      </c>
      <c r="E30" s="33" t="n">
        <f aca="false">IF(D30="totale",(C30/(A30*24))/F30,IF(D30="marché libre",(C30/(A30*24))/G30,"spécifier histo"))</f>
        <v>0.822242922374429</v>
      </c>
      <c r="F30" s="59" t="n">
        <v>730</v>
      </c>
      <c r="G30" s="59" t="n">
        <f aca="false">F30-H30</f>
        <v>730</v>
      </c>
      <c r="H30" s="59" t="n">
        <v>0</v>
      </c>
      <c r="J30" s="55"/>
      <c r="K30" s="9" t="n">
        <v>450178</v>
      </c>
      <c r="L30" s="0"/>
      <c r="P30" s="0"/>
      <c r="S30" s="0"/>
      <c r="T30" s="0"/>
      <c r="U30" s="0"/>
    </row>
    <row r="31" customFormat="false" ht="19.85" hidden="false" customHeight="true" outlineLevel="0" collapsed="false">
      <c r="A31" s="0" t="n">
        <v>31</v>
      </c>
      <c r="B31" s="34" t="n">
        <v>39722</v>
      </c>
      <c r="C31" s="56" t="n">
        <f aca="false">K31*0.96</f>
        <v>262497.599999999</v>
      </c>
      <c r="D31" s="29" t="s">
        <v>41</v>
      </c>
      <c r="E31" s="33" t="n">
        <f aca="false">IF(D31="totale",(C31/(A31*24))/F31,IF(D31="marché libre",(C31/(A31*24))/G31,"spécifier histo"))</f>
        <v>0.48331418471056</v>
      </c>
      <c r="F31" s="59" t="n">
        <v>730</v>
      </c>
      <c r="G31" s="59" t="n">
        <f aca="false">F31-H31</f>
        <v>730</v>
      </c>
      <c r="H31" s="59" t="n">
        <v>0</v>
      </c>
      <c r="J31" s="55"/>
      <c r="K31" s="9" t="n">
        <v>273434.999999999</v>
      </c>
      <c r="L31" s="0"/>
      <c r="P31" s="0"/>
      <c r="S31" s="0"/>
      <c r="T31" s="0"/>
      <c r="U31" s="0"/>
    </row>
    <row r="32" customFormat="false" ht="19.85" hidden="false" customHeight="true" outlineLevel="0" collapsed="false">
      <c r="A32" s="0" t="n">
        <v>30</v>
      </c>
      <c r="B32" s="31" t="n">
        <v>39753</v>
      </c>
      <c r="C32" s="56" t="n">
        <f aca="false">K32*0.96</f>
        <v>194784</v>
      </c>
      <c r="D32" s="29" t="s">
        <v>41</v>
      </c>
      <c r="E32" s="33" t="n">
        <f aca="false">IF(D32="totale",(C32/(A32*24))/F32,IF(D32="marché libre",(C32/(A32*24))/G32,"spécifier histo"))</f>
        <v>0.370593607305936</v>
      </c>
      <c r="F32" s="59" t="n">
        <v>730</v>
      </c>
      <c r="G32" s="59" t="n">
        <f aca="false">F32-H32</f>
        <v>730</v>
      </c>
      <c r="H32" s="59" t="n">
        <v>0</v>
      </c>
      <c r="J32" s="55"/>
      <c r="K32" s="9" t="n">
        <v>202900</v>
      </c>
      <c r="L32" s="0"/>
      <c r="P32" s="0"/>
      <c r="S32" s="0"/>
      <c r="T32" s="0"/>
      <c r="U32" s="0"/>
    </row>
    <row r="33" customFormat="false" ht="19.85" hidden="false" customHeight="true" outlineLevel="0" collapsed="false">
      <c r="A33" s="0" t="n">
        <v>31</v>
      </c>
      <c r="B33" s="34" t="n">
        <v>39783</v>
      </c>
      <c r="C33" s="56" t="n">
        <f aca="false">K33*0.96</f>
        <v>262944.000000003</v>
      </c>
      <c r="D33" s="29" t="s">
        <v>41</v>
      </c>
      <c r="E33" s="33" t="n">
        <f aca="false">IF(D33="totale",(C33/(A33*24))/F33,IF(D33="marché libre",(C33/(A33*24))/G33,"spécifier histo"))</f>
        <v>0.484136102518786</v>
      </c>
      <c r="F33" s="59" t="n">
        <v>730</v>
      </c>
      <c r="G33" s="59" t="n">
        <f aca="false">F33-H33</f>
        <v>730</v>
      </c>
      <c r="H33" s="59" t="n">
        <v>0</v>
      </c>
      <c r="J33" s="55"/>
      <c r="K33" s="9" t="n">
        <v>273900.000000003</v>
      </c>
      <c r="L33" s="0"/>
      <c r="P33" s="0"/>
      <c r="S33" s="0"/>
      <c r="T33" s="0"/>
      <c r="U33" s="0"/>
    </row>
    <row r="34" customFormat="false" ht="19.85" hidden="false" customHeight="true" outlineLevel="0" collapsed="false">
      <c r="A34" s="0" t="n">
        <v>31</v>
      </c>
      <c r="B34" s="31" t="n">
        <v>39814</v>
      </c>
      <c r="C34" s="56" t="n">
        <f aca="false">K34*0.96</f>
        <v>219839.999999998</v>
      </c>
      <c r="D34" s="29" t="s">
        <v>41</v>
      </c>
      <c r="E34" s="33" t="n">
        <f aca="false">IF(D34="totale",(C34/(A34*24))/F34,IF(D34="marché libre",(C34/(A34*24))/G34,"spécifier histo"))</f>
        <v>0.404772425983205</v>
      </c>
      <c r="F34" s="59" t="n">
        <v>730</v>
      </c>
      <c r="G34" s="59" t="n">
        <f aca="false">F34-H34</f>
        <v>730</v>
      </c>
      <c r="H34" s="59" t="n">
        <v>0</v>
      </c>
      <c r="J34" s="55"/>
      <c r="K34" s="9" t="n">
        <v>228999.999999998</v>
      </c>
      <c r="L34" s="0"/>
      <c r="P34" s="0"/>
      <c r="S34" s="0"/>
      <c r="T34" s="0"/>
      <c r="U34" s="0"/>
    </row>
    <row r="35" customFormat="false" ht="19.85" hidden="false" customHeight="true" outlineLevel="0" collapsed="false">
      <c r="A35" s="0" t="n">
        <v>28</v>
      </c>
      <c r="B35" s="34" t="n">
        <v>39845</v>
      </c>
      <c r="C35" s="56" t="n">
        <f aca="false">K35*0.96</f>
        <v>187871.999999999</v>
      </c>
      <c r="D35" s="29" t="s">
        <v>41</v>
      </c>
      <c r="E35" s="33" t="n">
        <f aca="false">IF(D35="totale",(C35/(A35*24))/F35,IF(D35="marché libre",(C35/(A35*24))/G35,"spécifier histo"))</f>
        <v>0.382974559686886</v>
      </c>
      <c r="F35" s="59" t="n">
        <v>730</v>
      </c>
      <c r="G35" s="59" t="n">
        <f aca="false">F35-H35</f>
        <v>730</v>
      </c>
      <c r="H35" s="59" t="n">
        <v>0</v>
      </c>
      <c r="J35" s="55"/>
      <c r="K35" s="9" t="n">
        <v>195699.999999999</v>
      </c>
      <c r="L35" s="0"/>
      <c r="P35" s="0"/>
      <c r="S35" s="0"/>
      <c r="T35" s="0"/>
    </row>
    <row r="36" customFormat="false" ht="19.85" hidden="false" customHeight="true" outlineLevel="0" collapsed="false">
      <c r="A36" s="0" t="n">
        <v>31</v>
      </c>
      <c r="B36" s="31" t="n">
        <v>39873</v>
      </c>
      <c r="C36" s="56" t="n">
        <f aca="false">K36*0.96</f>
        <v>194016</v>
      </c>
      <c r="D36" s="29" t="s">
        <v>41</v>
      </c>
      <c r="E36" s="33" t="n">
        <f aca="false">IF(D36="totale",(C36/(A36*24))/F36,IF(D36="marché libre",(C36/(A36*24))/G36,"spécifier histo"))</f>
        <v>0.357224922669023</v>
      </c>
      <c r="F36" s="59" t="n">
        <v>730</v>
      </c>
      <c r="G36" s="59" t="n">
        <f aca="false">F36-H36</f>
        <v>730</v>
      </c>
      <c r="H36" s="59" t="n">
        <v>0</v>
      </c>
      <c r="J36" s="55"/>
      <c r="K36" s="9" t="n">
        <v>202100</v>
      </c>
      <c r="L36" s="0"/>
      <c r="P36" s="0"/>
      <c r="S36" s="0"/>
      <c r="T36" s="0"/>
    </row>
    <row r="37" customFormat="false" ht="19.85" hidden="false" customHeight="true" outlineLevel="0" collapsed="false">
      <c r="A37" s="0" t="n">
        <v>30</v>
      </c>
      <c r="B37" s="34" t="n">
        <v>39904</v>
      </c>
      <c r="C37" s="56" t="n">
        <f aca="false">K37*0.96</f>
        <v>247008.000000001</v>
      </c>
      <c r="D37" s="29" t="s">
        <v>41</v>
      </c>
      <c r="E37" s="33" t="n">
        <f aca="false">IF(D37="totale",(C37/(A37*24))/F37,IF(D37="marché libre",(C37/(A37*24))/G37,"spécifier histo"))</f>
        <v>0.469954337899545</v>
      </c>
      <c r="F37" s="59" t="n">
        <v>730</v>
      </c>
      <c r="G37" s="59" t="n">
        <f aca="false">F37-H37</f>
        <v>730</v>
      </c>
      <c r="H37" s="59" t="n">
        <v>0</v>
      </c>
      <c r="J37" s="55"/>
      <c r="K37" s="9" t="n">
        <v>257300.000000001</v>
      </c>
      <c r="L37" s="0"/>
      <c r="P37" s="0"/>
      <c r="S37" s="0"/>
      <c r="T37" s="0"/>
    </row>
    <row r="38" customFormat="false" ht="19.85" hidden="false" customHeight="true" outlineLevel="0" collapsed="false">
      <c r="A38" s="0" t="n">
        <v>31</v>
      </c>
      <c r="B38" s="31" t="n">
        <v>39934</v>
      </c>
      <c r="C38" s="56" t="n">
        <f aca="false">K38*0.96</f>
        <v>468864.000000005</v>
      </c>
      <c r="D38" s="29" t="s">
        <v>41</v>
      </c>
      <c r="E38" s="33" t="n">
        <f aca="false">IF(D38="totale",(C38/(A38*24))/F38,IF(D38="marché libre",(C38/(A38*24))/G38,"spécifier histo"))</f>
        <v>0.863278833406991</v>
      </c>
      <c r="F38" s="59" t="n">
        <v>730</v>
      </c>
      <c r="G38" s="59" t="n">
        <f aca="false">F38-H38</f>
        <v>730</v>
      </c>
      <c r="H38" s="59" t="n">
        <v>0</v>
      </c>
      <c r="J38" s="55"/>
      <c r="K38" s="9" t="n">
        <v>488400.000000005</v>
      </c>
      <c r="L38" s="0"/>
      <c r="P38" s="0"/>
      <c r="S38" s="0"/>
      <c r="T38" s="0"/>
    </row>
    <row r="39" customFormat="false" ht="19.85" hidden="false" customHeight="true" outlineLevel="0" collapsed="false">
      <c r="A39" s="0" t="n">
        <v>30</v>
      </c>
      <c r="B39" s="34" t="n">
        <v>39965</v>
      </c>
      <c r="C39" s="56" t="n">
        <f aca="false">K39*0.96</f>
        <v>449664</v>
      </c>
      <c r="D39" s="29" t="s">
        <v>41</v>
      </c>
      <c r="E39" s="33" t="n">
        <f aca="false">IF(D39="totale",(C39/(A39*24))/F39,IF(D39="marché libre",(C39/(A39*24))/G39,"spécifier histo"))</f>
        <v>0.855525114155251</v>
      </c>
      <c r="F39" s="59" t="n">
        <v>730</v>
      </c>
      <c r="G39" s="59" t="n">
        <f aca="false">F39-H39</f>
        <v>730</v>
      </c>
      <c r="H39" s="59" t="n">
        <v>0</v>
      </c>
      <c r="J39" s="55"/>
      <c r="K39" s="9" t="n">
        <v>468400</v>
      </c>
      <c r="L39" s="0"/>
      <c r="P39" s="0"/>
      <c r="S39" s="0"/>
      <c r="T39" s="0"/>
    </row>
    <row r="40" customFormat="false" ht="19.85" hidden="false" customHeight="true" outlineLevel="0" collapsed="false">
      <c r="A40" s="0" t="n">
        <v>31</v>
      </c>
      <c r="B40" s="31" t="n">
        <v>39995</v>
      </c>
      <c r="C40" s="56" t="n">
        <f aca="false">K40*0.96</f>
        <v>350304</v>
      </c>
      <c r="D40" s="29" t="s">
        <v>41</v>
      </c>
      <c r="E40" s="33" t="n">
        <f aca="false">IF(D40="totale",(C40/(A40*24))/F40,IF(D40="marché libre",(C40/(A40*24))/G40,"spécifier histo"))</f>
        <v>0.644984533804684</v>
      </c>
      <c r="F40" s="59" t="n">
        <v>730</v>
      </c>
      <c r="G40" s="59" t="n">
        <f aca="false">F40-H40</f>
        <v>730</v>
      </c>
      <c r="H40" s="59" t="n">
        <v>0</v>
      </c>
      <c r="J40" s="55"/>
      <c r="K40" s="9" t="n">
        <v>364900</v>
      </c>
      <c r="L40" s="0"/>
      <c r="P40" s="0"/>
      <c r="S40" s="0"/>
      <c r="T40" s="0"/>
    </row>
    <row r="41" customFormat="false" ht="19.85" hidden="false" customHeight="true" outlineLevel="0" collapsed="false">
      <c r="A41" s="0" t="n">
        <v>31</v>
      </c>
      <c r="B41" s="34" t="n">
        <v>40026</v>
      </c>
      <c r="C41" s="56" t="n">
        <f aca="false">K41*0.96</f>
        <v>178847.999999999</v>
      </c>
      <c r="D41" s="29" t="s">
        <v>41</v>
      </c>
      <c r="E41" s="33" t="n">
        <f aca="false">IF(D41="totale",(C41/(A41*24))/F41,IF(D41="marché libre",(C41/(A41*24))/G41,"spécifier histo"))</f>
        <v>0.329297392841359</v>
      </c>
      <c r="F41" s="59" t="n">
        <v>730</v>
      </c>
      <c r="G41" s="59" t="n">
        <f aca="false">F41-H41</f>
        <v>730</v>
      </c>
      <c r="H41" s="59" t="n">
        <v>0</v>
      </c>
      <c r="J41" s="55"/>
      <c r="K41" s="9" t="n">
        <v>186299.999999999</v>
      </c>
      <c r="L41" s="0"/>
      <c r="P41" s="0"/>
      <c r="S41" s="0"/>
      <c r="T41" s="0"/>
    </row>
    <row r="42" customFormat="false" ht="19.85" hidden="false" customHeight="true" outlineLevel="0" collapsed="false">
      <c r="A42" s="0" t="n">
        <v>30</v>
      </c>
      <c r="B42" s="31" t="n">
        <v>40057</v>
      </c>
      <c r="C42" s="56" t="n">
        <f aca="false">K42*0.96</f>
        <v>109248.000000003</v>
      </c>
      <c r="D42" s="29" t="s">
        <v>41</v>
      </c>
      <c r="E42" s="33" t="n">
        <f aca="false">IF(D42="totale",(C42/(A42*24))/F42,IF(D42="marché libre",(C42/(A42*24))/G42,"spécifier histo"))</f>
        <v>0.207853881278544</v>
      </c>
      <c r="F42" s="59" t="n">
        <v>730</v>
      </c>
      <c r="G42" s="59" t="n">
        <f aca="false">F42-H42</f>
        <v>730</v>
      </c>
      <c r="H42" s="59" t="n">
        <v>0</v>
      </c>
      <c r="J42" s="55"/>
      <c r="K42" s="9" t="n">
        <v>113800.000000003</v>
      </c>
      <c r="L42" s="0"/>
      <c r="P42" s="0"/>
      <c r="S42" s="0"/>
      <c r="T42" s="0"/>
    </row>
    <row r="43" customFormat="false" ht="19.85" hidden="false" customHeight="true" outlineLevel="0" collapsed="false">
      <c r="A43" s="0" t="n">
        <v>31</v>
      </c>
      <c r="B43" s="34" t="n">
        <v>40087</v>
      </c>
      <c r="C43" s="56" t="n">
        <f aca="false">K43*0.96</f>
        <v>48096.0000000004</v>
      </c>
      <c r="D43" s="29" t="s">
        <v>41</v>
      </c>
      <c r="E43" s="33" t="n">
        <f aca="false">IF(D43="totale",(C43/(A43*24))/F43,IF(D43="marché libre",(C43/(A43*24))/G43,"spécifier histo"))</f>
        <v>0.088555015466196</v>
      </c>
      <c r="F43" s="59" t="n">
        <v>730</v>
      </c>
      <c r="G43" s="59" t="n">
        <f aca="false">F43-H43</f>
        <v>730</v>
      </c>
      <c r="H43" s="59" t="n">
        <v>0</v>
      </c>
      <c r="J43" s="55"/>
      <c r="K43" s="9" t="n">
        <v>50100.0000000004</v>
      </c>
      <c r="L43" s="0"/>
      <c r="P43" s="0"/>
      <c r="S43" s="0"/>
      <c r="T43" s="0"/>
    </row>
    <row r="44" customFormat="false" ht="19.85" hidden="false" customHeight="true" outlineLevel="0" collapsed="false">
      <c r="A44" s="0" t="n">
        <v>30</v>
      </c>
      <c r="B44" s="31" t="n">
        <v>40118</v>
      </c>
      <c r="C44" s="56" t="n">
        <f aca="false">K44*0.96</f>
        <v>209183.999999998</v>
      </c>
      <c r="D44" s="29" t="s">
        <v>41</v>
      </c>
      <c r="E44" s="33" t="n">
        <f aca="false">IF(D44="totale",(C44/(A44*24))/F44,IF(D44="marché libre",(C44/(A44*24))/G44,"spécifier histo"))</f>
        <v>0.397990867579905</v>
      </c>
      <c r="F44" s="59" t="n">
        <v>730</v>
      </c>
      <c r="G44" s="59" t="n">
        <f aca="false">F44-H44</f>
        <v>730</v>
      </c>
      <c r="H44" s="59" t="n">
        <v>0</v>
      </c>
      <c r="J44" s="55"/>
      <c r="K44" s="9" t="n">
        <v>217899.999999998</v>
      </c>
      <c r="L44" s="0"/>
      <c r="P44" s="0"/>
      <c r="S44" s="0"/>
      <c r="T44" s="0"/>
    </row>
    <row r="45" customFormat="false" ht="19.85" hidden="false" customHeight="true" outlineLevel="0" collapsed="false">
      <c r="A45" s="0" t="n">
        <v>31</v>
      </c>
      <c r="B45" s="34" t="n">
        <v>40148</v>
      </c>
      <c r="C45" s="56" t="n">
        <f aca="false">K45*0.96</f>
        <v>302783.999999998</v>
      </c>
      <c r="D45" s="29" t="s">
        <v>41</v>
      </c>
      <c r="E45" s="33" t="n">
        <f aca="false">IF(D45="totale",(C45/(A45*24))/F45,IF(D45="marché libre",(C45/(A45*24))/G45,"spécifier histo"))</f>
        <v>0.557490057445865</v>
      </c>
      <c r="F45" s="59" t="n">
        <v>730</v>
      </c>
      <c r="G45" s="59" t="n">
        <f aca="false">F45-H45</f>
        <v>730</v>
      </c>
      <c r="H45" s="59" t="n">
        <v>0</v>
      </c>
      <c r="J45" s="55"/>
      <c r="K45" s="9" t="n">
        <v>315399.999999998</v>
      </c>
      <c r="L45" s="0"/>
      <c r="P45" s="0"/>
      <c r="S45" s="0"/>
      <c r="T45" s="0"/>
    </row>
    <row r="46" customFormat="false" ht="19.85" hidden="false" customHeight="true" outlineLevel="0" collapsed="false">
      <c r="A46" s="0" t="n">
        <v>31</v>
      </c>
      <c r="B46" s="31" t="n">
        <v>40179</v>
      </c>
      <c r="C46" s="56" t="n">
        <f aca="false">K46*0.96</f>
        <v>282720.000000002</v>
      </c>
      <c r="D46" s="29" t="s">
        <v>41</v>
      </c>
      <c r="E46" s="33" t="n">
        <f aca="false">IF(D46="totale",(C46/(A46*24))/F46,IF(D46="marché libre",(C46/(A46*24))/G46,"spécifier histo"))</f>
        <v>0.520547945205483</v>
      </c>
      <c r="F46" s="59" t="n">
        <v>730</v>
      </c>
      <c r="G46" s="59" t="n">
        <f aca="false">F46-H46</f>
        <v>730</v>
      </c>
      <c r="H46" s="59" t="n">
        <v>0</v>
      </c>
      <c r="J46" s="55"/>
      <c r="K46" s="9" t="n">
        <v>294500.000000002</v>
      </c>
      <c r="L46" s="0"/>
      <c r="P46" s="0"/>
      <c r="S46" s="0"/>
      <c r="T46" s="0"/>
    </row>
    <row r="47" customFormat="false" ht="19.85" hidden="false" customHeight="true" outlineLevel="0" collapsed="false">
      <c r="A47" s="0" t="n">
        <v>28</v>
      </c>
      <c r="B47" s="34" t="n">
        <v>40210</v>
      </c>
      <c r="C47" s="56" t="n">
        <f aca="false">K47*0.96</f>
        <v>252287.999999996</v>
      </c>
      <c r="D47" s="29" t="s">
        <v>41</v>
      </c>
      <c r="E47" s="33" t="n">
        <f aca="false">IF(D47="totale",(C47/(A47*24))/F47,IF(D47="marché libre",(C47/(A47*24))/G47,"spécifier histo"))</f>
        <v>0.514285714285706</v>
      </c>
      <c r="F47" s="59" t="n">
        <v>730</v>
      </c>
      <c r="G47" s="59" t="n">
        <f aca="false">F47-H47</f>
        <v>730</v>
      </c>
      <c r="H47" s="59" t="n">
        <v>0</v>
      </c>
      <c r="J47" s="55"/>
      <c r="K47" s="9" t="n">
        <v>262799.999999996</v>
      </c>
      <c r="L47" s="0"/>
      <c r="P47" s="0"/>
      <c r="S47" s="0"/>
    </row>
    <row r="48" customFormat="false" ht="19.85" hidden="false" customHeight="true" outlineLevel="0" collapsed="false">
      <c r="A48" s="0" t="n">
        <v>31</v>
      </c>
      <c r="B48" s="31" t="n">
        <v>40238</v>
      </c>
      <c r="C48" s="56" t="n">
        <f aca="false">K48*0.96</f>
        <v>248063.999999994</v>
      </c>
      <c r="D48" s="29" t="s">
        <v>41</v>
      </c>
      <c r="E48" s="33" t="n">
        <f aca="false">IF(D48="totale",(C48/(A48*24))/F48,IF(D48="marché libre",(C48/(A48*24))/G48,"spécifier histo"))</f>
        <v>0.456738842244797</v>
      </c>
      <c r="F48" s="59" t="n">
        <v>730</v>
      </c>
      <c r="G48" s="59" t="n">
        <f aca="false">F48-H48</f>
        <v>730</v>
      </c>
      <c r="H48" s="59" t="n">
        <v>0</v>
      </c>
      <c r="J48" s="55"/>
      <c r="K48" s="9" t="n">
        <v>258399.999999994</v>
      </c>
      <c r="L48" s="0"/>
      <c r="P48" s="0"/>
      <c r="S48" s="0"/>
    </row>
    <row r="49" customFormat="false" ht="19.85" hidden="false" customHeight="true" outlineLevel="0" collapsed="false">
      <c r="A49" s="0" t="n">
        <v>30</v>
      </c>
      <c r="B49" s="34" t="n">
        <v>40269</v>
      </c>
      <c r="C49" s="56" t="n">
        <f aca="false">K49*0.96</f>
        <v>302880</v>
      </c>
      <c r="D49" s="29" t="s">
        <v>41</v>
      </c>
      <c r="E49" s="33" t="n">
        <f aca="false">IF(D49="totale",(C49/(A49*24))/F49,IF(D49="marché libre",(C49/(A49*24))/G49,"spécifier histo"))</f>
        <v>0.576255707762557</v>
      </c>
      <c r="F49" s="59" t="n">
        <v>730</v>
      </c>
      <c r="G49" s="59" t="n">
        <f aca="false">F49-H49</f>
        <v>730</v>
      </c>
      <c r="H49" s="59" t="n">
        <v>0</v>
      </c>
      <c r="J49" s="55"/>
      <c r="K49" s="9" t="n">
        <v>315500</v>
      </c>
      <c r="L49" s="0"/>
      <c r="P49" s="0"/>
      <c r="S49" s="0"/>
    </row>
    <row r="50" customFormat="false" ht="19.85" hidden="false" customHeight="true" outlineLevel="0" collapsed="false">
      <c r="A50" s="0" t="n">
        <v>31</v>
      </c>
      <c r="B50" s="31" t="n">
        <v>40299</v>
      </c>
      <c r="C50" s="56" t="n">
        <f aca="false">K50*0.96</f>
        <v>481152.000000004</v>
      </c>
      <c r="D50" s="29" t="s">
        <v>41</v>
      </c>
      <c r="E50" s="33" t="n">
        <f aca="false">IF(D50="totale",(C50/(A50*24))/F50,IF(D50="marché libre",(C50/(A50*24))/G50,"spécifier histo"))</f>
        <v>0.885903667697753</v>
      </c>
      <c r="F50" s="59" t="n">
        <v>730</v>
      </c>
      <c r="G50" s="59" t="n">
        <f aca="false">F50-H50</f>
        <v>730</v>
      </c>
      <c r="H50" s="59" t="n">
        <v>0</v>
      </c>
      <c r="J50" s="55"/>
      <c r="K50" s="9" t="n">
        <v>501200.000000004</v>
      </c>
      <c r="L50" s="0"/>
      <c r="P50" s="0"/>
      <c r="S50" s="0"/>
    </row>
    <row r="51" customFormat="false" ht="19.85" hidden="false" customHeight="true" outlineLevel="0" collapsed="false">
      <c r="A51" s="0" t="n">
        <v>30</v>
      </c>
      <c r="B51" s="34" t="n">
        <v>40330</v>
      </c>
      <c r="C51" s="56" t="n">
        <f aca="false">K51*0.96</f>
        <v>498912.000000001</v>
      </c>
      <c r="D51" s="29" t="s">
        <v>41</v>
      </c>
      <c r="E51" s="33" t="n">
        <f aca="false">IF(D51="totale",(C51/(A51*24))/F51,IF(D51="marché libre",(C51/(A51*24))/G51,"spécifier histo"))</f>
        <v>0.949223744292239</v>
      </c>
      <c r="F51" s="59" t="n">
        <v>730</v>
      </c>
      <c r="G51" s="59" t="n">
        <f aca="false">F51-H51</f>
        <v>730</v>
      </c>
      <c r="H51" s="59" t="n">
        <v>0</v>
      </c>
      <c r="J51" s="55"/>
      <c r="K51" s="9" t="n">
        <v>519700.000000001</v>
      </c>
      <c r="L51" s="0"/>
      <c r="P51" s="0"/>
      <c r="S51" s="0"/>
    </row>
    <row r="52" customFormat="false" ht="19.85" hidden="false" customHeight="true" outlineLevel="0" collapsed="false">
      <c r="A52" s="0" t="n">
        <v>31</v>
      </c>
      <c r="B52" s="31" t="n">
        <v>40360</v>
      </c>
      <c r="C52" s="56" t="n">
        <f aca="false">K52*0.96</f>
        <v>481440.000000007</v>
      </c>
      <c r="D52" s="29" t="s">
        <v>41</v>
      </c>
      <c r="E52" s="33" t="n">
        <f aca="false">IF(D52="totale",(C52/(A52*24))/F52,IF(D52="marché libre",(C52/(A52*24))/G52,"spécifier histo"))</f>
        <v>0.886433937251448</v>
      </c>
      <c r="F52" s="59" t="n">
        <v>730</v>
      </c>
      <c r="G52" s="59" t="n">
        <f aca="false">F52-H52</f>
        <v>730</v>
      </c>
      <c r="H52" s="59" t="n">
        <v>0</v>
      </c>
      <c r="J52" s="55"/>
      <c r="K52" s="9" t="n">
        <v>501500.000000007</v>
      </c>
      <c r="L52" s="0"/>
      <c r="P52" s="0"/>
      <c r="S52" s="0"/>
    </row>
    <row r="53" customFormat="false" ht="19.85" hidden="false" customHeight="true" outlineLevel="0" collapsed="false">
      <c r="A53" s="0" t="n">
        <v>31</v>
      </c>
      <c r="B53" s="34" t="n">
        <v>40391</v>
      </c>
      <c r="C53" s="56" t="n">
        <f aca="false">K53*0.96</f>
        <v>402048.000000007</v>
      </c>
      <c r="D53" s="29" t="s">
        <v>41</v>
      </c>
      <c r="E53" s="33" t="n">
        <f aca="false">IF(D53="totale",(C53/(A53*24))/F53,IF(D53="marché libre",(C53/(A53*24))/G53,"spécifier histo"))</f>
        <v>0.740256296950962</v>
      </c>
      <c r="F53" s="59" t="n">
        <v>730</v>
      </c>
      <c r="G53" s="59" t="n">
        <f aca="false">F53-H53</f>
        <v>730</v>
      </c>
      <c r="H53" s="59" t="n">
        <v>0</v>
      </c>
      <c r="J53" s="55"/>
      <c r="K53" s="9" t="n">
        <v>418800.000000007</v>
      </c>
      <c r="L53" s="0"/>
      <c r="P53" s="0"/>
      <c r="S53" s="0"/>
    </row>
    <row r="54" customFormat="false" ht="19.85" hidden="false" customHeight="true" outlineLevel="0" collapsed="false">
      <c r="A54" s="0" t="n">
        <v>30</v>
      </c>
      <c r="B54" s="31" t="n">
        <v>40422</v>
      </c>
      <c r="C54" s="56" t="n">
        <f aca="false">K54*0.96</f>
        <v>185280.000000004</v>
      </c>
      <c r="D54" s="29" t="s">
        <v>41</v>
      </c>
      <c r="E54" s="33" t="n">
        <f aca="false">IF(D54="totale",(C54/(A54*24))/F54,IF(D54="marché libre",(C54/(A54*24))/G54,"spécifier histo"))</f>
        <v>0.352511415525121</v>
      </c>
      <c r="F54" s="59" t="n">
        <v>730</v>
      </c>
      <c r="G54" s="59" t="n">
        <f aca="false">F54-H54</f>
        <v>730</v>
      </c>
      <c r="H54" s="59" t="n">
        <v>0</v>
      </c>
      <c r="J54" s="55"/>
      <c r="K54" s="9" t="n">
        <v>193000.000000004</v>
      </c>
      <c r="L54" s="0"/>
      <c r="P54" s="0"/>
      <c r="S54" s="0"/>
    </row>
    <row r="55" customFormat="false" ht="19.85" hidden="false" customHeight="true" outlineLevel="0" collapsed="false">
      <c r="A55" s="0" t="n">
        <v>31</v>
      </c>
      <c r="B55" s="34" t="n">
        <v>40452</v>
      </c>
      <c r="C55" s="56" t="n">
        <f aca="false">K55*0.96</f>
        <v>90623.9999999979</v>
      </c>
      <c r="D55" s="29" t="s">
        <v>41</v>
      </c>
      <c r="E55" s="33" t="n">
        <f aca="false">IF(D55="totale",(C55/(A55*24))/F55,IF(D55="marché libre",(C55/(A55*24))/G55,"spécifier histo"))</f>
        <v>0.166858152894384</v>
      </c>
      <c r="F55" s="59" t="n">
        <v>730</v>
      </c>
      <c r="G55" s="59" t="n">
        <f aca="false">F55-H55</f>
        <v>730</v>
      </c>
      <c r="H55" s="59" t="n">
        <v>0</v>
      </c>
      <c r="J55" s="55"/>
      <c r="K55" s="9" t="n">
        <v>94399.9999999978</v>
      </c>
      <c r="L55" s="0"/>
      <c r="P55" s="0"/>
      <c r="S55" s="0"/>
    </row>
    <row r="56" customFormat="false" ht="19.85" hidden="false" customHeight="true" outlineLevel="0" collapsed="false">
      <c r="A56" s="0" t="n">
        <v>30</v>
      </c>
      <c r="B56" s="31" t="n">
        <v>40483</v>
      </c>
      <c r="C56" s="56" t="n">
        <f aca="false">K56*0.96</f>
        <v>103871.999999997</v>
      </c>
      <c r="D56" s="29" t="s">
        <v>41</v>
      </c>
      <c r="E56" s="33" t="n">
        <f aca="false">IF(D56="totale",(C56/(A56*24))/F56,IF(D56="marché libre",(C56/(A56*24))/G56,"spécifier histo"))</f>
        <v>0.19762557077625</v>
      </c>
      <c r="F56" s="59" t="n">
        <v>730</v>
      </c>
      <c r="G56" s="59" t="n">
        <f aca="false">F56-H56</f>
        <v>730</v>
      </c>
      <c r="H56" s="59" t="n">
        <v>0</v>
      </c>
      <c r="J56" s="55"/>
      <c r="K56" s="9" t="n">
        <v>108199.999999997</v>
      </c>
      <c r="L56" s="0"/>
      <c r="P56" s="0"/>
      <c r="S56" s="0"/>
    </row>
    <row r="57" customFormat="false" ht="19.85" hidden="false" customHeight="true" outlineLevel="0" collapsed="false">
      <c r="A57" s="0" t="n">
        <v>31</v>
      </c>
      <c r="B57" s="34" t="n">
        <v>40513</v>
      </c>
      <c r="C57" s="56" t="n">
        <f aca="false">K57*0.96</f>
        <v>378335.999999995</v>
      </c>
      <c r="D57" s="29" t="s">
        <v>41</v>
      </c>
      <c r="E57" s="33" t="n">
        <f aca="false">IF(D57="totale",(C57/(A57*24))/F57,IF(D57="marché libre",(C57/(A57*24))/G57,"spécifier histo"))</f>
        <v>0.696597437030482</v>
      </c>
      <c r="F57" s="59" t="n">
        <v>730</v>
      </c>
      <c r="G57" s="59" t="n">
        <f aca="false">F57-H57</f>
        <v>730</v>
      </c>
      <c r="H57" s="59" t="n">
        <v>0</v>
      </c>
      <c r="J57" s="55"/>
      <c r="K57" s="9" t="n">
        <v>394099.999999995</v>
      </c>
      <c r="L57" s="0"/>
      <c r="P57" s="0"/>
      <c r="S57" s="0"/>
    </row>
    <row r="58" customFormat="false" ht="19.85" hidden="false" customHeight="true" outlineLevel="0" collapsed="false">
      <c r="A58" s="0" t="n">
        <v>31</v>
      </c>
      <c r="B58" s="31" t="n">
        <v>40544</v>
      </c>
      <c r="C58" s="56" t="n">
        <f aca="false">K58*0.96</f>
        <v>305471.999999997</v>
      </c>
      <c r="D58" s="29" t="s">
        <v>41</v>
      </c>
      <c r="E58" s="33" t="n">
        <f aca="false">IF(D58="totale",(C58/(A58*24))/F58,IF(D58="marché libre",(C58/(A58*24))/G58,"spécifier histo"))</f>
        <v>0.562439239946968</v>
      </c>
      <c r="F58" s="59" t="n">
        <v>730</v>
      </c>
      <c r="G58" s="59" t="n">
        <f aca="false">F58-H58</f>
        <v>730</v>
      </c>
      <c r="H58" s="59" t="n">
        <v>0</v>
      </c>
      <c r="J58" s="55"/>
      <c r="K58" s="9" t="n">
        <v>318199.999999997</v>
      </c>
      <c r="L58" s="0"/>
      <c r="P58" s="0"/>
      <c r="S58" s="0"/>
    </row>
    <row r="59" customFormat="false" ht="19.85" hidden="false" customHeight="true" outlineLevel="0" collapsed="false">
      <c r="A59" s="0" t="n">
        <v>28</v>
      </c>
      <c r="B59" s="34" t="n">
        <v>40575</v>
      </c>
      <c r="C59" s="56" t="n">
        <f aca="false">K59*0.96</f>
        <v>192576.000000006</v>
      </c>
      <c r="D59" s="29" t="s">
        <v>41</v>
      </c>
      <c r="E59" s="33" t="n">
        <f aca="false">IF(D59="totale",(C59/(A59*24))/F59,IF(D59="marché libre",(C59/(A59*24))/G59,"spécifier histo"))</f>
        <v>0.392563600782791</v>
      </c>
      <c r="F59" s="59" t="n">
        <v>730</v>
      </c>
      <c r="G59" s="59" t="n">
        <f aca="false">F59-H59</f>
        <v>730</v>
      </c>
      <c r="H59" s="59" t="n">
        <v>0</v>
      </c>
      <c r="J59" s="55"/>
      <c r="K59" s="9" t="n">
        <v>200600.000000006</v>
      </c>
      <c r="L59" s="0"/>
      <c r="P59" s="0"/>
    </row>
    <row r="60" customFormat="false" ht="19.85" hidden="false" customHeight="true" outlineLevel="0" collapsed="false">
      <c r="A60" s="0" t="n">
        <v>31</v>
      </c>
      <c r="B60" s="31" t="n">
        <v>40603</v>
      </c>
      <c r="C60" s="56" t="n">
        <f aca="false">K60*0.96</f>
        <v>251808.000000003</v>
      </c>
      <c r="D60" s="29" t="s">
        <v>41</v>
      </c>
      <c r="E60" s="33" t="n">
        <f aca="false">IF(D60="totale",(C60/(A60*24))/F60,IF(D60="marché libre",(C60/(A60*24))/G60,"spécifier histo"))</f>
        <v>0.46363234644278</v>
      </c>
      <c r="F60" s="59" t="n">
        <v>730</v>
      </c>
      <c r="G60" s="59" t="n">
        <f aca="false">F60-H60</f>
        <v>730</v>
      </c>
      <c r="H60" s="59" t="n">
        <v>0</v>
      </c>
      <c r="J60" s="55"/>
      <c r="K60" s="9" t="n">
        <v>262300.000000003</v>
      </c>
      <c r="L60" s="0"/>
      <c r="P60" s="0"/>
    </row>
    <row r="61" customFormat="false" ht="19.85" hidden="false" customHeight="true" outlineLevel="0" collapsed="false">
      <c r="A61" s="0" t="n">
        <v>30</v>
      </c>
      <c r="B61" s="34" t="n">
        <v>40634</v>
      </c>
      <c r="C61" s="56" t="n">
        <f aca="false">K61*0.96</f>
        <v>316704.000000001</v>
      </c>
      <c r="D61" s="29" t="s">
        <v>41</v>
      </c>
      <c r="E61" s="33" t="n">
        <f aca="false">IF(D61="totale",(C61/(A61*24))/F61,IF(D61="marché libre",(C61/(A61*24))/G61,"spécifier histo"))</f>
        <v>0.602557077625573</v>
      </c>
      <c r="F61" s="59" t="n">
        <v>730</v>
      </c>
      <c r="G61" s="59" t="n">
        <f aca="false">F61-H61</f>
        <v>730</v>
      </c>
      <c r="H61" s="59" t="n">
        <v>0</v>
      </c>
      <c r="J61" s="55"/>
      <c r="K61" s="9" t="n">
        <v>329900.000000001</v>
      </c>
      <c r="L61" s="0"/>
      <c r="P61" s="0"/>
    </row>
    <row r="62" customFormat="false" ht="19.85" hidden="false" customHeight="true" outlineLevel="0" collapsed="false">
      <c r="A62" s="0" t="n">
        <v>31</v>
      </c>
      <c r="B62" s="31" t="n">
        <v>40664</v>
      </c>
      <c r="C62" s="56" t="n">
        <f aca="false">K62*0.96</f>
        <v>468960</v>
      </c>
      <c r="D62" s="29" t="s">
        <v>41</v>
      </c>
      <c r="E62" s="33" t="n">
        <f aca="false">IF(D62="totale",(C62/(A62*24))/F62,IF(D62="marché libre",(C62/(A62*24))/G62,"spécifier histo"))</f>
        <v>0.863455589924878</v>
      </c>
      <c r="F62" s="59" t="n">
        <v>730</v>
      </c>
      <c r="G62" s="59" t="n">
        <f aca="false">F62-H62</f>
        <v>730</v>
      </c>
      <c r="H62" s="59" t="n">
        <v>0</v>
      </c>
      <c r="J62" s="55"/>
      <c r="K62" s="9" t="n">
        <v>488500</v>
      </c>
      <c r="L62" s="0"/>
      <c r="P62" s="0"/>
    </row>
    <row r="63" customFormat="false" ht="19.85" hidden="false" customHeight="true" outlineLevel="0" collapsed="false">
      <c r="A63" s="0" t="n">
        <v>30</v>
      </c>
      <c r="B63" s="34" t="n">
        <v>40695</v>
      </c>
      <c r="C63" s="56" t="n">
        <f aca="false">K63*0.96</f>
        <v>488831.999999997</v>
      </c>
      <c r="D63" s="29" t="s">
        <v>41</v>
      </c>
      <c r="E63" s="33" t="n">
        <f aca="false">IF(D63="totale",(C63/(A63*24))/F63,IF(D63="marché libre",(C63/(A63*24))/G63,"spécifier histo"))</f>
        <v>0.930045662100451</v>
      </c>
      <c r="F63" s="59" t="n">
        <v>730</v>
      </c>
      <c r="G63" s="59" t="n">
        <f aca="false">F63-H63</f>
        <v>730</v>
      </c>
      <c r="H63" s="59" t="n">
        <v>0</v>
      </c>
      <c r="J63" s="55"/>
      <c r="K63" s="9" t="n">
        <v>509199.999999997</v>
      </c>
      <c r="L63" s="0"/>
      <c r="P63" s="0"/>
    </row>
    <row r="64" customFormat="false" ht="19.85" hidden="false" customHeight="true" outlineLevel="0" collapsed="false">
      <c r="A64" s="0" t="n">
        <v>31</v>
      </c>
      <c r="B64" s="31" t="n">
        <v>40725</v>
      </c>
      <c r="C64" s="56" t="n">
        <f aca="false">K64*0.96</f>
        <v>453600.000000007</v>
      </c>
      <c r="D64" s="29" t="s">
        <v>41</v>
      </c>
      <c r="E64" s="33" t="n">
        <f aca="false">IF(D64="totale",(C64/(A64*24))/F64,IF(D64="marché libre",(C64/(A64*24))/G64,"spécifier histo"))</f>
        <v>0.835174547061435</v>
      </c>
      <c r="F64" s="59" t="n">
        <v>730</v>
      </c>
      <c r="G64" s="59" t="n">
        <f aca="false">F64-H64</f>
        <v>730</v>
      </c>
      <c r="H64" s="59" t="n">
        <v>0</v>
      </c>
      <c r="J64" s="55"/>
      <c r="K64" s="9" t="n">
        <v>472500.000000007</v>
      </c>
      <c r="L64" s="0"/>
      <c r="P64" s="0"/>
    </row>
    <row r="65" customFormat="false" ht="19.85" hidden="false" customHeight="true" outlineLevel="0" collapsed="false">
      <c r="A65" s="0" t="n">
        <v>31</v>
      </c>
      <c r="B65" s="34" t="n">
        <v>40756</v>
      </c>
      <c r="C65" s="56" t="n">
        <f aca="false">K65*0.96</f>
        <v>311999.999999993</v>
      </c>
      <c r="D65" s="29" t="s">
        <v>41</v>
      </c>
      <c r="E65" s="33" t="n">
        <f aca="false">IF(D65="totale",(C65/(A65*24))/F65,IF(D65="marché libre",(C65/(A65*24))/G65,"spécifier histo"))</f>
        <v>0.574458683163929</v>
      </c>
      <c r="F65" s="59" t="n">
        <v>730</v>
      </c>
      <c r="G65" s="59" t="n">
        <f aca="false">F65-H65</f>
        <v>730</v>
      </c>
      <c r="H65" s="59" t="n">
        <v>0</v>
      </c>
      <c r="J65" s="55"/>
      <c r="K65" s="9" t="n">
        <v>324999.999999993</v>
      </c>
      <c r="L65" s="0"/>
      <c r="P65" s="0"/>
    </row>
    <row r="66" customFormat="false" ht="19.85" hidden="false" customHeight="true" outlineLevel="0" collapsed="false">
      <c r="A66" s="0" t="n">
        <v>30</v>
      </c>
      <c r="B66" s="31" t="n">
        <v>40787</v>
      </c>
      <c r="C66" s="56" t="n">
        <f aca="false">K66*0.96</f>
        <v>263904.000000005</v>
      </c>
      <c r="D66" s="29" t="s">
        <v>41</v>
      </c>
      <c r="E66" s="33" t="n">
        <f aca="false">IF(D66="totale",(C66/(A66*24))/F66,IF(D66="marché libre",(C66/(A66*24))/G66,"spécifier histo"))</f>
        <v>0.502100456621014</v>
      </c>
      <c r="F66" s="59" t="n">
        <v>730</v>
      </c>
      <c r="G66" s="59" t="n">
        <f aca="false">F66-H66</f>
        <v>730</v>
      </c>
      <c r="H66" s="59" t="n">
        <v>0</v>
      </c>
      <c r="J66" s="55"/>
      <c r="K66" s="9" t="n">
        <v>274900.000000005</v>
      </c>
      <c r="L66" s="0"/>
      <c r="P66" s="0"/>
    </row>
    <row r="67" customFormat="false" ht="19.85" hidden="false" customHeight="true" outlineLevel="0" collapsed="false">
      <c r="A67" s="0" t="n">
        <v>31</v>
      </c>
      <c r="B67" s="34" t="n">
        <v>40817</v>
      </c>
      <c r="C67" s="56" t="n">
        <f aca="false">K67*0.96</f>
        <v>236640.000000004</v>
      </c>
      <c r="D67" s="29" t="s">
        <v>41</v>
      </c>
      <c r="E67" s="33" t="n">
        <f aca="false">IF(D67="totale",(C67/(A67*24))/F67,IF(D67="marché libre",(C67/(A67*24))/G67,"spécifier histo"))</f>
        <v>0.43570481661512</v>
      </c>
      <c r="F67" s="59" t="n">
        <v>730</v>
      </c>
      <c r="G67" s="59" t="n">
        <f aca="false">F67-H67</f>
        <v>730</v>
      </c>
      <c r="H67" s="59" t="n">
        <v>0</v>
      </c>
      <c r="J67" s="55"/>
      <c r="K67" s="9" t="n">
        <v>246500.000000004</v>
      </c>
      <c r="L67" s="0"/>
      <c r="P67" s="0"/>
    </row>
    <row r="68" customFormat="false" ht="19.85" hidden="false" customHeight="true" outlineLevel="0" collapsed="false">
      <c r="A68" s="0" t="n">
        <v>30</v>
      </c>
      <c r="B68" s="31" t="n">
        <v>40848</v>
      </c>
      <c r="C68" s="56" t="n">
        <f aca="false">K68*0.96</f>
        <v>279360.000000007</v>
      </c>
      <c r="D68" s="29" t="s">
        <v>41</v>
      </c>
      <c r="E68" s="33" t="n">
        <f aca="false">IF(D68="totale",(C68/(A68*24))/F68,IF(D68="marché libre",(C68/(A68*24))/G68,"spécifier histo"))</f>
        <v>0.531506849315081</v>
      </c>
      <c r="F68" s="59" t="n">
        <v>730</v>
      </c>
      <c r="G68" s="59" t="n">
        <f aca="false">F68-H68</f>
        <v>730</v>
      </c>
      <c r="H68" s="59" t="n">
        <v>0</v>
      </c>
      <c r="J68" s="55"/>
      <c r="K68" s="9" t="n">
        <v>291000.000000007</v>
      </c>
      <c r="L68" s="0"/>
      <c r="P68" s="0"/>
    </row>
    <row r="69" customFormat="false" ht="19.85" hidden="false" customHeight="true" outlineLevel="0" collapsed="false">
      <c r="A69" s="0" t="n">
        <v>31</v>
      </c>
      <c r="B69" s="34" t="n">
        <v>40878</v>
      </c>
      <c r="C69" s="56" t="n">
        <f aca="false">K69*0.96</f>
        <v>303648.000000003</v>
      </c>
      <c r="D69" s="29" t="s">
        <v>41</v>
      </c>
      <c r="E69" s="33" t="n">
        <f aca="false">IF(D69="totale",(C69/(A69*24))/F69,IF(D69="marché libre",(C69/(A69*24))/G69,"spécifier histo"))</f>
        <v>0.559080866106943</v>
      </c>
      <c r="F69" s="59" t="n">
        <v>730</v>
      </c>
      <c r="G69" s="59" t="n">
        <f aca="false">F69-H69</f>
        <v>730</v>
      </c>
      <c r="H69" s="59" t="n">
        <v>0</v>
      </c>
      <c r="J69" s="55"/>
      <c r="K69" s="9" t="n">
        <v>316300.000000003</v>
      </c>
      <c r="L69" s="0"/>
      <c r="P69" s="0"/>
    </row>
    <row r="70" customFormat="false" ht="19.85" hidden="false" customHeight="true" outlineLevel="0" collapsed="false">
      <c r="A70" s="0" t="n">
        <v>31</v>
      </c>
      <c r="B70" s="31" t="n">
        <v>40909</v>
      </c>
      <c r="C70" s="56" t="n">
        <f aca="false">K70*0.96</f>
        <v>321887.999999999</v>
      </c>
      <c r="D70" s="29" t="s">
        <v>41</v>
      </c>
      <c r="E70" s="33" t="n">
        <f aca="false">IF(D70="totale",(C70/(A70*24))/F70,IF(D70="marché libre",(C70/(A70*24))/G70,"spécifier histo"))</f>
        <v>0.592664604507289</v>
      </c>
      <c r="F70" s="59" t="n">
        <v>730</v>
      </c>
      <c r="G70" s="59" t="n">
        <f aca="false">F70-H70</f>
        <v>730</v>
      </c>
      <c r="H70" s="59" t="n">
        <v>0</v>
      </c>
      <c r="J70" s="55"/>
      <c r="K70" s="9" t="n">
        <v>335299.999999999</v>
      </c>
      <c r="L70" s="0"/>
      <c r="P70" s="0"/>
    </row>
    <row r="71" customFormat="false" ht="19.85" hidden="false" customHeight="true" outlineLevel="0" collapsed="false">
      <c r="A71" s="0" t="n">
        <v>28</v>
      </c>
      <c r="B71" s="34" t="n">
        <v>40940</v>
      </c>
      <c r="C71" s="56" t="n">
        <f aca="false">K71*0.96</f>
        <v>310463.999999998</v>
      </c>
      <c r="D71" s="29" t="s">
        <v>41</v>
      </c>
      <c r="E71" s="33" t="n">
        <f aca="false">IF(D71="totale",(C71/(A71*24))/F71,IF(D71="marché libre",(C71/(A71*24))/G71,"spécifier histo"))</f>
        <v>0.632876712328763</v>
      </c>
      <c r="F71" s="59" t="n">
        <v>730</v>
      </c>
      <c r="G71" s="59" t="n">
        <f aca="false">F71-H71</f>
        <v>730</v>
      </c>
      <c r="H71" s="59" t="n">
        <v>0</v>
      </c>
      <c r="J71" s="55"/>
      <c r="K71" s="9" t="n">
        <v>323399.999999998</v>
      </c>
      <c r="L71" s="0"/>
      <c r="P71" s="0"/>
    </row>
    <row r="72" customFormat="false" ht="19.85" hidden="false" customHeight="true" outlineLevel="0" collapsed="false">
      <c r="A72" s="0" t="n">
        <v>31</v>
      </c>
      <c r="B72" s="31" t="n">
        <v>40969</v>
      </c>
      <c r="C72" s="56" t="n">
        <f aca="false">K72*0.96</f>
        <v>259295.999999999</v>
      </c>
      <c r="D72" s="29" t="s">
        <v>41</v>
      </c>
      <c r="E72" s="33" t="n">
        <f aca="false">IF(D72="totale",(C72/(A72*24))/F72,IF(D72="marché libre",(C72/(A72*24))/G72,"spécifier histo"))</f>
        <v>0.477419354838708</v>
      </c>
      <c r="F72" s="59" t="n">
        <v>730</v>
      </c>
      <c r="G72" s="59" t="n">
        <f aca="false">F72-H72</f>
        <v>730</v>
      </c>
      <c r="H72" s="59" t="n">
        <v>0</v>
      </c>
      <c r="J72" s="55"/>
      <c r="K72" s="9" t="n">
        <v>270099.999999999</v>
      </c>
      <c r="L72" s="0"/>
      <c r="P72" s="0"/>
    </row>
    <row r="73" customFormat="false" ht="19.85" hidden="false" customHeight="true" outlineLevel="0" collapsed="false">
      <c r="A73" s="0" t="n">
        <v>30</v>
      </c>
      <c r="B73" s="34" t="n">
        <v>41000</v>
      </c>
      <c r="C73" s="56" t="n">
        <f aca="false">K73*0.96</f>
        <v>262752.000000004</v>
      </c>
      <c r="D73" s="29" t="s">
        <v>41</v>
      </c>
      <c r="E73" s="33" t="n">
        <f aca="false">IF(D73="totale",(C73/(A73*24))/F73,IF(D73="marché libre",(C73/(A73*24))/G73,"spécifier histo"))</f>
        <v>0.499908675799094</v>
      </c>
      <c r="F73" s="59" t="n">
        <v>730</v>
      </c>
      <c r="G73" s="59" t="n">
        <f aca="false">F73-H73</f>
        <v>730</v>
      </c>
      <c r="H73" s="59" t="n">
        <v>0</v>
      </c>
      <c r="J73" s="55"/>
      <c r="K73" s="9" t="n">
        <v>273700.000000004</v>
      </c>
      <c r="L73" s="0"/>
      <c r="P73" s="0"/>
    </row>
    <row r="74" customFormat="false" ht="19.85" hidden="false" customHeight="true" outlineLevel="0" collapsed="false">
      <c r="A74" s="0" t="n">
        <v>31</v>
      </c>
      <c r="B74" s="31" t="n">
        <v>41030</v>
      </c>
      <c r="C74" s="56" t="n">
        <f aca="false">K74*0.96</f>
        <v>509567.999999986</v>
      </c>
      <c r="D74" s="29" t="s">
        <v>41</v>
      </c>
      <c r="E74" s="33" t="n">
        <f aca="false">IF(D74="totale",(C74/(A74*24))/F74,IF(D74="marché libre",(C74/(A74*24))/G74,"spécifier histo"))</f>
        <v>0.938223596995113</v>
      </c>
      <c r="F74" s="59" t="n">
        <v>730</v>
      </c>
      <c r="G74" s="59" t="n">
        <f aca="false">F74-H74</f>
        <v>730</v>
      </c>
      <c r="H74" s="59" t="n">
        <v>0</v>
      </c>
      <c r="J74" s="55"/>
      <c r="K74" s="9" t="n">
        <v>530799.999999985</v>
      </c>
      <c r="L74" s="0"/>
      <c r="P74" s="0"/>
    </row>
    <row r="75" customFormat="false" ht="19.85" hidden="false" customHeight="true" outlineLevel="0" collapsed="false">
      <c r="A75" s="0" t="n">
        <v>30</v>
      </c>
      <c r="B75" s="34" t="n">
        <v>41061</v>
      </c>
      <c r="C75" s="56" t="n">
        <f aca="false">K75*0.96</f>
        <v>499392.000000001</v>
      </c>
      <c r="D75" s="29" t="s">
        <v>41</v>
      </c>
      <c r="E75" s="33" t="n">
        <f aca="false">IF(D75="totale",(C75/(A75*24))/F75,IF(D75="marché libre",(C75/(A75*24))/G75,"spécifier histo"))</f>
        <v>0.950136986301371</v>
      </c>
      <c r="F75" s="59" t="n">
        <v>730</v>
      </c>
      <c r="G75" s="59" t="n">
        <f aca="false">F75-H75</f>
        <v>730</v>
      </c>
      <c r="H75" s="59" t="n">
        <v>0</v>
      </c>
      <c r="J75" s="55"/>
      <c r="K75" s="9" t="n">
        <v>520200.000000001</v>
      </c>
      <c r="L75" s="0"/>
      <c r="P75" s="0"/>
    </row>
    <row r="76" customFormat="false" ht="19.85" hidden="false" customHeight="true" outlineLevel="0" collapsed="false">
      <c r="A76" s="0" t="n">
        <v>31</v>
      </c>
      <c r="B76" s="31" t="n">
        <v>41091</v>
      </c>
      <c r="C76" s="56" t="n">
        <f aca="false">K76*0.96</f>
        <v>403296.000000002</v>
      </c>
      <c r="D76" s="29" t="s">
        <v>41</v>
      </c>
      <c r="E76" s="33" t="n">
        <f aca="false">IF(D76="totale",(C76/(A76*24))/F76,IF(D76="marché libre",(C76/(A76*24))/G76,"spécifier histo"))</f>
        <v>0.742554131683609</v>
      </c>
      <c r="F76" s="59" t="n">
        <v>730</v>
      </c>
      <c r="G76" s="59" t="n">
        <f aca="false">F76-H76</f>
        <v>730</v>
      </c>
      <c r="H76" s="59" t="n">
        <v>0</v>
      </c>
      <c r="J76" s="55"/>
      <c r="K76" s="9" t="n">
        <v>420100.000000002</v>
      </c>
      <c r="L76" s="0"/>
      <c r="P76" s="0"/>
    </row>
    <row r="77" customFormat="false" ht="19.85" hidden="false" customHeight="true" outlineLevel="0" collapsed="false">
      <c r="A77" s="0" t="n">
        <v>31</v>
      </c>
      <c r="B77" s="34" t="n">
        <v>41122</v>
      </c>
      <c r="C77" s="56" t="n">
        <f aca="false">K77*0.96</f>
        <v>211583.999999998</v>
      </c>
      <c r="D77" s="29" t="s">
        <v>41</v>
      </c>
      <c r="E77" s="33" t="n">
        <f aca="false">IF(D77="totale",(C77/(A77*24))/F77,IF(D77="marché libre",(C77/(A77*24))/G77,"spécifier histo"))</f>
        <v>0.389571365444097</v>
      </c>
      <c r="F77" s="59" t="n">
        <v>730</v>
      </c>
      <c r="G77" s="59" t="n">
        <f aca="false">F77-H77</f>
        <v>730</v>
      </c>
      <c r="H77" s="59" t="n">
        <v>0</v>
      </c>
      <c r="J77" s="55"/>
      <c r="K77" s="9" t="n">
        <v>220399.999999998</v>
      </c>
      <c r="L77" s="0"/>
      <c r="P77" s="0"/>
    </row>
    <row r="78" customFormat="false" ht="19.85" hidden="false" customHeight="true" outlineLevel="0" collapsed="false">
      <c r="A78" s="0" t="n">
        <v>30</v>
      </c>
      <c r="B78" s="31" t="n">
        <v>41153</v>
      </c>
      <c r="C78" s="56" t="n">
        <f aca="false">K78*0.96</f>
        <v>397248.000000003</v>
      </c>
      <c r="D78" s="29" t="s">
        <v>41</v>
      </c>
      <c r="E78" s="33" t="n">
        <f aca="false">IF(D78="totale",(C78/(A78*24))/F78,IF(D78="marché libre",(C78/(A78*24))/G78,"spécifier histo"))</f>
        <v>0.755799086757996</v>
      </c>
      <c r="F78" s="59" t="n">
        <v>730</v>
      </c>
      <c r="G78" s="59" t="n">
        <f aca="false">F78-H78</f>
        <v>730</v>
      </c>
      <c r="H78" s="59" t="n">
        <v>0</v>
      </c>
      <c r="J78" s="55"/>
      <c r="K78" s="9" t="n">
        <v>413800.000000003</v>
      </c>
      <c r="L78" s="0"/>
      <c r="P78" s="0"/>
    </row>
    <row r="79" customFormat="false" ht="19.85" hidden="false" customHeight="true" outlineLevel="0" collapsed="false">
      <c r="A79" s="0" t="n">
        <v>31</v>
      </c>
      <c r="B79" s="34" t="n">
        <v>41183</v>
      </c>
      <c r="C79" s="56" t="n">
        <f aca="false">K79*0.96</f>
        <v>362687.999999999</v>
      </c>
      <c r="D79" s="29" t="s">
        <v>41</v>
      </c>
      <c r="E79" s="33" t="n">
        <f aca="false">IF(D79="totale",(C79/(A79*24))/F79,IF(D79="marché libre",(C79/(A79*24))/G79,"spécifier histo"))</f>
        <v>0.667786124613343</v>
      </c>
      <c r="F79" s="59" t="n">
        <v>730</v>
      </c>
      <c r="G79" s="59" t="n">
        <f aca="false">F79-H79</f>
        <v>730</v>
      </c>
      <c r="H79" s="59" t="n">
        <v>0</v>
      </c>
      <c r="J79" s="55"/>
      <c r="K79" s="9" t="n">
        <v>377799.999999999</v>
      </c>
      <c r="L79" s="0"/>
      <c r="P79" s="0"/>
    </row>
    <row r="80" customFormat="false" ht="19.85" hidden="false" customHeight="true" outlineLevel="0" collapsed="false">
      <c r="A80" s="0" t="n">
        <v>30</v>
      </c>
      <c r="B80" s="31" t="n">
        <v>41214</v>
      </c>
      <c r="C80" s="56" t="n">
        <f aca="false">K80*0.96</f>
        <v>401664.000000001</v>
      </c>
      <c r="D80" s="29" t="s">
        <v>41</v>
      </c>
      <c r="E80" s="33" t="n">
        <f aca="false">IF(D80="totale",(C80/(A80*24))/F80,IF(D80="marché libre",(C80/(A80*24))/G80,"spécifier histo"))</f>
        <v>0.764200913242011</v>
      </c>
      <c r="F80" s="59" t="n">
        <v>730</v>
      </c>
      <c r="G80" s="59" t="n">
        <f aca="false">F80-H80</f>
        <v>730</v>
      </c>
      <c r="H80" s="59" t="n">
        <v>0</v>
      </c>
      <c r="J80" s="55"/>
      <c r="K80" s="9" t="n">
        <v>418400.000000001</v>
      </c>
      <c r="L80" s="0"/>
      <c r="P80" s="0"/>
    </row>
    <row r="81" customFormat="false" ht="19.85" hidden="false" customHeight="true" outlineLevel="0" collapsed="false">
      <c r="A81" s="0" t="n">
        <v>31</v>
      </c>
      <c r="B81" s="34" t="n">
        <v>41244</v>
      </c>
      <c r="C81" s="56" t="n">
        <f aca="false">K81*0.96</f>
        <v>409440.000000007</v>
      </c>
      <c r="D81" s="29" t="s">
        <v>41</v>
      </c>
      <c r="E81" s="33" t="n">
        <f aca="false">IF(D81="totale",(C81/(A81*24))/F81,IF(D81="marché libre",(C81/(A81*24))/G81,"spécifier histo"))</f>
        <v>0.753866548829</v>
      </c>
      <c r="F81" s="59" t="n">
        <v>730</v>
      </c>
      <c r="G81" s="59" t="n">
        <f aca="false">F81-H81</f>
        <v>730</v>
      </c>
      <c r="H81" s="59" t="n">
        <v>0</v>
      </c>
      <c r="J81" s="55"/>
      <c r="K81" s="9" t="n">
        <v>426500.000000007</v>
      </c>
      <c r="L81" s="0"/>
      <c r="P81" s="0"/>
    </row>
    <row r="82" customFormat="false" ht="19.85" hidden="false" customHeight="true" outlineLevel="0" collapsed="false">
      <c r="A82" s="0" t="n">
        <v>31</v>
      </c>
      <c r="B82" s="31" t="n">
        <v>41275</v>
      </c>
      <c r="C82" s="56" t="n">
        <f aca="false">K82*0.96</f>
        <v>372287.999999999</v>
      </c>
      <c r="D82" s="29" t="s">
        <v>41</v>
      </c>
      <c r="E82" s="33" t="n">
        <f aca="false">IF(D82="totale",(C82/(A82*24))/F82,IF(D82="marché libre",(C82/(A82*24))/G82,"spécifier histo"))</f>
        <v>0.685461776403003</v>
      </c>
      <c r="F82" s="59" t="n">
        <v>730</v>
      </c>
      <c r="G82" s="59" t="n">
        <f aca="false">F82-H82</f>
        <v>730</v>
      </c>
      <c r="H82" s="59" t="n">
        <v>0</v>
      </c>
      <c r="J82" s="55"/>
      <c r="K82" s="9" t="n">
        <v>387799.999999999</v>
      </c>
      <c r="L82" s="0"/>
      <c r="P82" s="0"/>
    </row>
    <row r="83" customFormat="false" ht="19.85" hidden="false" customHeight="true" outlineLevel="0" collapsed="false">
      <c r="A83" s="0" t="n">
        <v>28</v>
      </c>
      <c r="B83" s="34" t="n">
        <v>41306</v>
      </c>
      <c r="C83" s="56" t="n">
        <f aca="false">K83*0.96</f>
        <v>304319.999999989</v>
      </c>
      <c r="D83" s="29" t="s">
        <v>41</v>
      </c>
      <c r="E83" s="33" t="n">
        <f aca="false">IF(D83="totale",(C83/(A83*24))/F83,IF(D83="marché libre",(C83/(A83*24))/G83,"spécifier histo"))</f>
        <v>0.620352250489215</v>
      </c>
      <c r="F83" s="59" t="n">
        <v>730</v>
      </c>
      <c r="G83" s="59" t="n">
        <f aca="false">F83-H83</f>
        <v>730</v>
      </c>
      <c r="H83" s="59" t="n">
        <v>0</v>
      </c>
      <c r="J83" s="55"/>
      <c r="K83" s="9" t="n">
        <v>316999.999999989</v>
      </c>
      <c r="L83" s="0"/>
      <c r="P83" s="0"/>
    </row>
    <row r="84" customFormat="false" ht="19.85" hidden="false" customHeight="true" outlineLevel="0" collapsed="false">
      <c r="A84" s="0" t="n">
        <v>31</v>
      </c>
      <c r="B84" s="31" t="n">
        <v>41334</v>
      </c>
      <c r="C84" s="56" t="n">
        <f aca="false">K84*0.96</f>
        <v>293855.999999999</v>
      </c>
      <c r="D84" s="29" t="s">
        <v>41</v>
      </c>
      <c r="E84" s="33" t="n">
        <f aca="false">IF(D84="totale",(C84/(A84*24))/F84,IF(D84="marché libre",(C84/(A84*24))/G84,"spécifier histo"))</f>
        <v>0.541051701281483</v>
      </c>
      <c r="F84" s="59" t="n">
        <v>730</v>
      </c>
      <c r="G84" s="59" t="n">
        <f aca="false">F84-H84</f>
        <v>730</v>
      </c>
      <c r="H84" s="59" t="n">
        <v>0</v>
      </c>
      <c r="J84" s="55"/>
      <c r="K84" s="9" t="n">
        <v>306099.999999999</v>
      </c>
      <c r="L84" s="0"/>
      <c r="P84" s="0"/>
    </row>
    <row r="85" customFormat="false" ht="19.85" hidden="false" customHeight="true" outlineLevel="0" collapsed="false">
      <c r="A85" s="0" t="n">
        <v>30</v>
      </c>
      <c r="B85" s="34" t="n">
        <v>41365</v>
      </c>
      <c r="C85" s="56" t="n">
        <f aca="false">K85*0.96</f>
        <v>386015.999999999</v>
      </c>
      <c r="D85" s="29" t="s">
        <v>41</v>
      </c>
      <c r="E85" s="33" t="n">
        <f aca="false">IF(D85="totale",(C85/(A85*24))/F85,IF(D85="marché libre",(C85/(A85*24))/G85,"spécifier histo"))</f>
        <v>0.73442922374429</v>
      </c>
      <c r="F85" s="59" t="n">
        <v>730</v>
      </c>
      <c r="G85" s="59" t="n">
        <f aca="false">F85-H85</f>
        <v>730</v>
      </c>
      <c r="H85" s="59" t="n">
        <v>0</v>
      </c>
      <c r="J85" s="55"/>
      <c r="K85" s="9" t="n">
        <v>402099.999999999</v>
      </c>
      <c r="L85" s="0"/>
      <c r="P85" s="0"/>
    </row>
    <row r="86" customFormat="false" ht="19.85" hidden="false" customHeight="true" outlineLevel="0" collapsed="false">
      <c r="A86" s="0" t="n">
        <v>31</v>
      </c>
      <c r="B86" s="31" t="n">
        <v>41395</v>
      </c>
      <c r="C86" s="56" t="n">
        <f aca="false">K86*0.96</f>
        <v>513503.999999998</v>
      </c>
      <c r="D86" s="29" t="s">
        <v>41</v>
      </c>
      <c r="E86" s="33" t="n">
        <f aca="false">IF(D86="totale",(C86/(A86*24))/F86,IF(D86="marché libre",(C86/(A86*24))/G86,"spécifier histo"))</f>
        <v>0.945470614228896</v>
      </c>
      <c r="F86" s="59" t="n">
        <v>730</v>
      </c>
      <c r="G86" s="59" t="n">
        <f aca="false">F86-H86</f>
        <v>730</v>
      </c>
      <c r="H86" s="59" t="n">
        <v>0</v>
      </c>
      <c r="J86" s="55"/>
      <c r="K86" s="9" t="n">
        <v>534899.999999998</v>
      </c>
      <c r="L86" s="0"/>
      <c r="P86" s="0"/>
    </row>
    <row r="87" customFormat="false" ht="19.85" hidden="false" customHeight="true" outlineLevel="0" collapsed="false">
      <c r="A87" s="0" t="n">
        <v>30</v>
      </c>
      <c r="B87" s="34" t="n">
        <v>41426</v>
      </c>
      <c r="C87" s="56" t="n">
        <f aca="false">K87*0.96</f>
        <v>508031.999999993</v>
      </c>
      <c r="D87" s="29" t="s">
        <v>41</v>
      </c>
      <c r="E87" s="33" t="n">
        <f aca="false">IF(D87="totale",(C87/(A87*24))/F87,IF(D87="marché libre",(C87/(A87*24))/G87,"spécifier histo"))</f>
        <v>0.966575342465741</v>
      </c>
      <c r="F87" s="59" t="n">
        <v>730</v>
      </c>
      <c r="G87" s="59" t="n">
        <f aca="false">F87-H87</f>
        <v>730</v>
      </c>
      <c r="H87" s="59" t="n">
        <v>0</v>
      </c>
      <c r="J87" s="55"/>
      <c r="K87" s="9" t="n">
        <v>529199.999999993</v>
      </c>
      <c r="L87" s="0"/>
      <c r="P87" s="0"/>
    </row>
    <row r="88" customFormat="false" ht="19.85" hidden="false" customHeight="true" outlineLevel="0" collapsed="false">
      <c r="A88" s="0" t="n">
        <v>31</v>
      </c>
      <c r="B88" s="31" t="n">
        <v>41456</v>
      </c>
      <c r="C88" s="56" t="n">
        <f aca="false">K88*0.96</f>
        <v>511104.000000002</v>
      </c>
      <c r="D88" s="29" t="s">
        <v>41</v>
      </c>
      <c r="E88" s="33" t="n">
        <f aca="false">IF(D88="totale",(C88/(A88*24))/F88,IF(D88="marché libre",(C88/(A88*24))/G88,"spécifier histo"))</f>
        <v>0.941051701281488</v>
      </c>
      <c r="F88" s="59" t="n">
        <v>730</v>
      </c>
      <c r="G88" s="59" t="n">
        <f aca="false">F88-H88</f>
        <v>730</v>
      </c>
      <c r="H88" s="59" t="n">
        <v>0</v>
      </c>
      <c r="J88" s="55"/>
      <c r="K88" s="9" t="n">
        <v>532400.000000002</v>
      </c>
      <c r="L88" s="0"/>
      <c r="P88" s="0"/>
    </row>
    <row r="89" customFormat="false" ht="19.85" hidden="false" customHeight="true" outlineLevel="0" collapsed="false">
      <c r="A89" s="0" t="n">
        <v>31</v>
      </c>
      <c r="B89" s="34" t="n">
        <v>41487</v>
      </c>
      <c r="C89" s="56" t="n">
        <f aca="false">K89*0.96</f>
        <v>415775.999999995</v>
      </c>
      <c r="D89" s="29" t="s">
        <v>41</v>
      </c>
      <c r="E89" s="33" t="n">
        <f aca="false">IF(D89="totale",(C89/(A89*24))/F89,IF(D89="marché libre",(C89/(A89*24))/G89,"spécifier histo"))</f>
        <v>0.765532479010155</v>
      </c>
      <c r="F89" s="59" t="n">
        <v>730</v>
      </c>
      <c r="G89" s="59" t="n">
        <f aca="false">F89-H89</f>
        <v>730</v>
      </c>
      <c r="H89" s="59" t="n">
        <v>0</v>
      </c>
      <c r="J89" s="55"/>
      <c r="K89" s="9" t="n">
        <v>433099.999999995</v>
      </c>
      <c r="L89" s="0"/>
      <c r="P89" s="0"/>
    </row>
    <row r="90" customFormat="false" ht="19.85" hidden="false" customHeight="true" outlineLevel="0" collapsed="false">
      <c r="A90" s="0" t="n">
        <v>30</v>
      </c>
      <c r="B90" s="31" t="n">
        <v>41518</v>
      </c>
      <c r="C90" s="56" t="n">
        <f aca="false">K90*0.96</f>
        <v>325247.999999992</v>
      </c>
      <c r="D90" s="29" t="s">
        <v>41</v>
      </c>
      <c r="E90" s="33" t="n">
        <f aca="false">IF(D90="totale",(C90/(A90*24))/F90,IF(D90="marché libre",(C90/(A90*24))/G90,"spécifier histo"))</f>
        <v>0.618812785388113</v>
      </c>
      <c r="F90" s="59" t="n">
        <v>730</v>
      </c>
      <c r="G90" s="59" t="n">
        <f aca="false">F90-H90</f>
        <v>730</v>
      </c>
      <c r="H90" s="59" t="n">
        <v>0</v>
      </c>
      <c r="J90" s="55"/>
      <c r="K90" s="9" t="n">
        <v>338799.999999992</v>
      </c>
      <c r="L90" s="0"/>
      <c r="P90" s="0"/>
    </row>
    <row r="91" customFormat="false" ht="19.85" hidden="false" customHeight="true" outlineLevel="0" collapsed="false">
      <c r="A91" s="0" t="n">
        <v>31</v>
      </c>
      <c r="B91" s="34" t="n">
        <v>41548</v>
      </c>
      <c r="C91" s="56" t="n">
        <f aca="false">K91*0.96</f>
        <v>265824.000000009</v>
      </c>
      <c r="D91" s="29" t="s">
        <v>41</v>
      </c>
      <c r="E91" s="33" t="n">
        <f aca="false">IF(D91="totale",(C91/(A91*24))/F91,IF(D91="marché libre",(C91/(A91*24))/G91,"spécifier histo"))</f>
        <v>0.489438798055694</v>
      </c>
      <c r="F91" s="59" t="n">
        <v>730</v>
      </c>
      <c r="G91" s="59" t="n">
        <f aca="false">F91-H91</f>
        <v>730</v>
      </c>
      <c r="H91" s="59" t="n">
        <v>0</v>
      </c>
      <c r="J91" s="55"/>
      <c r="K91" s="9" t="n">
        <v>276900.000000009</v>
      </c>
      <c r="L91" s="0"/>
      <c r="P91" s="0"/>
    </row>
    <row r="92" customFormat="false" ht="19.85" hidden="false" customHeight="true" outlineLevel="0" collapsed="false">
      <c r="A92" s="0" t="n">
        <v>30</v>
      </c>
      <c r="B92" s="31" t="n">
        <v>41579</v>
      </c>
      <c r="C92" s="56" t="n">
        <f aca="false">K92*0.96</f>
        <v>438144.000000022</v>
      </c>
      <c r="D92" s="29" t="s">
        <v>41</v>
      </c>
      <c r="E92" s="33" t="n">
        <f aca="false">IF(D92="totale",(C92/(A92*24))/F92,IF(D92="marché libre",(C92/(A92*24))/G92,"spécifier histo"))</f>
        <v>0.833607305936115</v>
      </c>
      <c r="F92" s="59" t="n">
        <v>730</v>
      </c>
      <c r="G92" s="59" t="n">
        <f aca="false">F92-H92</f>
        <v>730</v>
      </c>
      <c r="H92" s="59" t="n">
        <v>0</v>
      </c>
      <c r="J92" s="55"/>
      <c r="K92" s="9" t="n">
        <v>456400.000000023</v>
      </c>
      <c r="L92" s="0"/>
      <c r="P92" s="0"/>
    </row>
    <row r="93" customFormat="false" ht="19.85" hidden="false" customHeight="true" outlineLevel="0" collapsed="false">
      <c r="A93" s="0" t="n">
        <v>31</v>
      </c>
      <c r="B93" s="34" t="n">
        <v>41609</v>
      </c>
      <c r="C93" s="56" t="n">
        <f aca="false">K93*0.96</f>
        <v>283872.000000012</v>
      </c>
      <c r="D93" s="29" t="s">
        <v>41</v>
      </c>
      <c r="E93" s="33" t="n">
        <f aca="false">IF(D93="totale",(C93/(A93*24))/F93,IF(D93="marché libre",(C93/(A93*24))/G93,"spécifier histo"))</f>
        <v>0.52266902342026</v>
      </c>
      <c r="F93" s="59" t="n">
        <v>730</v>
      </c>
      <c r="G93" s="59" t="n">
        <f aca="false">F93-H93</f>
        <v>730</v>
      </c>
      <c r="H93" s="59" t="n">
        <v>0</v>
      </c>
      <c r="J93" s="55"/>
      <c r="K93" s="9" t="n">
        <v>295700.000000012</v>
      </c>
      <c r="L93" s="0"/>
      <c r="P93" s="0"/>
    </row>
    <row r="94" customFormat="false" ht="19.85" hidden="false" customHeight="true" outlineLevel="0" collapsed="false">
      <c r="A94" s="0" t="n">
        <v>31</v>
      </c>
      <c r="B94" s="31" t="n">
        <v>41640</v>
      </c>
      <c r="C94" s="56" t="n">
        <f aca="false">K94*0.96</f>
        <v>298560.000000007</v>
      </c>
      <c r="D94" s="29" t="s">
        <v>41</v>
      </c>
      <c r="E94" s="33" t="n">
        <f aca="false">IF(D94="totale",(C94/(A94*24))/F94,IF(D94="marché libre",(C94/(A94*24))/G94,"spécifier histo"))</f>
        <v>0.54971277065843</v>
      </c>
      <c r="F94" s="59" t="n">
        <v>730</v>
      </c>
      <c r="G94" s="59" t="n">
        <f aca="false">F94-H94</f>
        <v>730</v>
      </c>
      <c r="H94" s="59" t="n">
        <v>0</v>
      </c>
      <c r="J94" s="55"/>
      <c r="K94" s="9" t="n">
        <v>311000.000000007</v>
      </c>
      <c r="L94" s="0"/>
      <c r="P94" s="0"/>
    </row>
    <row r="95" customFormat="false" ht="19.85" hidden="false" customHeight="true" outlineLevel="0" collapsed="false">
      <c r="A95" s="0" t="n">
        <v>28</v>
      </c>
      <c r="B95" s="34" t="n">
        <v>41671</v>
      </c>
      <c r="C95" s="56" t="n">
        <f aca="false">K95*0.96</f>
        <v>284351.999999997</v>
      </c>
      <c r="D95" s="29" t="s">
        <v>41</v>
      </c>
      <c r="E95" s="33" t="n">
        <f aca="false">IF(D95="totale",(C95/(A95*24))/F95,IF(D95="marché libre",(C95/(A95*24))/G95,"spécifier histo"))</f>
        <v>0.579647749510757</v>
      </c>
      <c r="F95" s="59" t="n">
        <v>730</v>
      </c>
      <c r="G95" s="59" t="n">
        <f aca="false">F95-H95</f>
        <v>730</v>
      </c>
      <c r="H95" s="59" t="n">
        <v>0</v>
      </c>
      <c r="J95" s="55"/>
      <c r="K95" s="9" t="n">
        <v>296199.999999997</v>
      </c>
      <c r="L95" s="0"/>
    </row>
    <row r="96" customFormat="false" ht="19.85" hidden="false" customHeight="true" outlineLevel="0" collapsed="false">
      <c r="A96" s="0" t="n">
        <v>31</v>
      </c>
      <c r="B96" s="31" t="n">
        <v>41699</v>
      </c>
      <c r="C96" s="56" t="n">
        <f aca="false">K96*0.96</f>
        <v>314304.000000009</v>
      </c>
      <c r="D96" s="29" t="s">
        <v>41</v>
      </c>
      <c r="E96" s="33" t="n">
        <f aca="false">IF(D96="totale",(C96/(A96*24))/F96,IF(D96="marché libre",(C96/(A96*24))/G96,"spécifier histo"))</f>
        <v>0.578700839593476</v>
      </c>
      <c r="F96" s="59" t="n">
        <v>730</v>
      </c>
      <c r="G96" s="59" t="n">
        <f aca="false">F96-H96</f>
        <v>730</v>
      </c>
      <c r="H96" s="59" t="n">
        <v>0</v>
      </c>
      <c r="J96" s="55"/>
      <c r="K96" s="9" t="n">
        <v>327400.000000009</v>
      </c>
      <c r="L96" s="0"/>
    </row>
    <row r="97" customFormat="false" ht="19.85" hidden="false" customHeight="true" outlineLevel="0" collapsed="false">
      <c r="A97" s="0" t="n">
        <v>30</v>
      </c>
      <c r="B97" s="34" t="n">
        <v>41730</v>
      </c>
      <c r="C97" s="56" t="n">
        <f aca="false">K97*0.96</f>
        <v>423264.000000009</v>
      </c>
      <c r="D97" s="29" t="s">
        <v>41</v>
      </c>
      <c r="E97" s="33" t="n">
        <f aca="false">IF(D97="totale",(C97/(A97*24))/F97,IF(D97="marché libre",(C97/(A97*24))/G97,"spécifier histo"))</f>
        <v>0.805296803652984</v>
      </c>
      <c r="F97" s="59" t="n">
        <v>730</v>
      </c>
      <c r="G97" s="59" t="n">
        <f aca="false">F97-H97</f>
        <v>730</v>
      </c>
      <c r="H97" s="59" t="n">
        <v>0</v>
      </c>
      <c r="J97" s="55"/>
      <c r="K97" s="9" t="n">
        <v>440900.000000009</v>
      </c>
      <c r="L97" s="0"/>
    </row>
    <row r="98" customFormat="false" ht="19.85" hidden="false" customHeight="true" outlineLevel="0" collapsed="false">
      <c r="A98" s="0" t="n">
        <v>31</v>
      </c>
      <c r="B98" s="31" t="n">
        <v>41760</v>
      </c>
      <c r="C98" s="56" t="n">
        <f aca="false">K98*0.96</f>
        <v>507360.000000007</v>
      </c>
      <c r="D98" s="29" t="s">
        <v>41</v>
      </c>
      <c r="E98" s="33" t="n">
        <f aca="false">IF(D98="totale",(C98/(A98*24))/F98,IF(D98="marché libre",(C98/(A98*24))/G98,"spécifier histo"))</f>
        <v>0.93415819708353</v>
      </c>
      <c r="F98" s="59" t="n">
        <v>730</v>
      </c>
      <c r="G98" s="59" t="n">
        <f aca="false">F98-H98</f>
        <v>730</v>
      </c>
      <c r="H98" s="59" t="n">
        <v>0</v>
      </c>
      <c r="J98" s="55"/>
      <c r="K98" s="9" t="n">
        <v>528500.000000007</v>
      </c>
      <c r="L98" s="0"/>
    </row>
    <row r="99" customFormat="false" ht="19.85" hidden="false" customHeight="true" outlineLevel="0" collapsed="false">
      <c r="A99" s="0" t="n">
        <v>30</v>
      </c>
      <c r="B99" s="34" t="n">
        <v>41791</v>
      </c>
      <c r="C99" s="56" t="n">
        <f aca="false">K99*0.96</f>
        <v>496511.999999997</v>
      </c>
      <c r="D99" s="29" t="s">
        <v>41</v>
      </c>
      <c r="E99" s="33" t="n">
        <f aca="false">IF(D99="totale",(C99/(A99*24))/F99,IF(D99="marché libre",(C99/(A99*24))/G99,"spécifier histo"))</f>
        <v>0.94465753424657</v>
      </c>
      <c r="F99" s="59" t="n">
        <v>730</v>
      </c>
      <c r="G99" s="59" t="n">
        <f aca="false">F99-H99</f>
        <v>730</v>
      </c>
      <c r="H99" s="59" t="n">
        <v>0</v>
      </c>
      <c r="J99" s="55"/>
      <c r="K99" s="9" t="n">
        <v>517199.999999997</v>
      </c>
      <c r="L99" s="0"/>
    </row>
    <row r="100" customFormat="false" ht="19.85" hidden="false" customHeight="true" outlineLevel="0" collapsed="false">
      <c r="A100" s="0" t="n">
        <v>31</v>
      </c>
      <c r="B100" s="31" t="n">
        <v>41821</v>
      </c>
      <c r="C100" s="56" t="n">
        <f aca="false">K100*0.96</f>
        <v>514176.000000006</v>
      </c>
      <c r="D100" s="29" t="s">
        <v>41</v>
      </c>
      <c r="E100" s="33" t="n">
        <f aca="false">IF(D100="totale",(C100/(A100*24))/F100,IF(D100="marché libre",(C100/(A100*24))/G100,"spécifier histo"))</f>
        <v>0.946707909854187</v>
      </c>
      <c r="F100" s="59" t="n">
        <v>730</v>
      </c>
      <c r="G100" s="59" t="n">
        <f aca="false">F100-H100</f>
        <v>730</v>
      </c>
      <c r="H100" s="59" t="n">
        <v>0</v>
      </c>
      <c r="J100" s="55"/>
      <c r="K100" s="9" t="n">
        <v>535600.000000006</v>
      </c>
      <c r="L100" s="0"/>
    </row>
    <row r="101" customFormat="false" ht="19.85" hidden="false" customHeight="true" outlineLevel="0" collapsed="false">
      <c r="A101" s="0" t="n">
        <v>31</v>
      </c>
      <c r="B101" s="34" t="n">
        <v>41852</v>
      </c>
      <c r="C101" s="56" t="n">
        <f aca="false">K101*0.96</f>
        <v>357984.000000009</v>
      </c>
      <c r="D101" s="29" t="s">
        <v>41</v>
      </c>
      <c r="E101" s="33" t="n">
        <f aca="false">IF(D101="totale",(C101/(A101*24))/F101,IF(D101="marché libre",(C101/(A101*24))/G101,"spécifier histo"))</f>
        <v>0.659125055236428</v>
      </c>
      <c r="F101" s="59" t="n">
        <v>730</v>
      </c>
      <c r="G101" s="59" t="n">
        <f aca="false">F101-H101</f>
        <v>730</v>
      </c>
      <c r="H101" s="59" t="n">
        <v>0</v>
      </c>
      <c r="J101" s="55"/>
      <c r="K101" s="9" t="n">
        <v>372900.000000009</v>
      </c>
      <c r="L101" s="0"/>
    </row>
    <row r="102" customFormat="false" ht="19.85" hidden="false" customHeight="true" outlineLevel="0" collapsed="false">
      <c r="A102" s="0" t="n">
        <v>30</v>
      </c>
      <c r="B102" s="31" t="n">
        <v>41883</v>
      </c>
      <c r="C102" s="56" t="n">
        <f aca="false">K102*0.96</f>
        <v>204095.999999999</v>
      </c>
      <c r="D102" s="29" t="s">
        <v>41</v>
      </c>
      <c r="E102" s="33" t="n">
        <f aca="false">IF(D102="totale",(C102/(A102*24))/F102,IF(D102="marché libre",(C102/(A102*24))/G102,"spécifier histo"))</f>
        <v>0.388310502283103</v>
      </c>
      <c r="F102" s="59" t="n">
        <v>730</v>
      </c>
      <c r="G102" s="59" t="n">
        <f aca="false">F102-H102</f>
        <v>730</v>
      </c>
      <c r="H102" s="59" t="n">
        <v>0</v>
      </c>
      <c r="J102" s="55"/>
      <c r="K102" s="9" t="n">
        <v>212599.999999999</v>
      </c>
      <c r="L102" s="0"/>
    </row>
    <row r="103" customFormat="false" ht="19.85" hidden="false" customHeight="true" outlineLevel="0" collapsed="false">
      <c r="A103" s="0" t="n">
        <v>31</v>
      </c>
      <c r="B103" s="34" t="n">
        <v>41913</v>
      </c>
      <c r="C103" s="56" t="n">
        <f aca="false">K103*0.96</f>
        <v>136223.999999994</v>
      </c>
      <c r="D103" s="29" t="s">
        <v>41</v>
      </c>
      <c r="E103" s="33" t="n">
        <f aca="false">IF(D103="totale",(C103/(A103*24))/F103,IF(D103="marché libre",(C103/(A103*24))/G103,"spécifier histo"))</f>
        <v>0.250817498895261</v>
      </c>
      <c r="F103" s="59" t="n">
        <v>730</v>
      </c>
      <c r="G103" s="59" t="n">
        <f aca="false">F103-H103</f>
        <v>730</v>
      </c>
      <c r="H103" s="59" t="n">
        <v>0</v>
      </c>
      <c r="J103" s="55"/>
      <c r="K103" s="9" t="n">
        <v>141899.999999994</v>
      </c>
      <c r="L103" s="0"/>
    </row>
    <row r="104" customFormat="false" ht="19.85" hidden="false" customHeight="true" outlineLevel="0" collapsed="false">
      <c r="A104" s="0" t="n">
        <v>30</v>
      </c>
      <c r="B104" s="31" t="n">
        <v>41944</v>
      </c>
      <c r="C104" s="56" t="n">
        <f aca="false">K104*0.96</f>
        <v>204000</v>
      </c>
      <c r="D104" s="29" t="s">
        <v>41</v>
      </c>
      <c r="E104" s="33" t="n">
        <f aca="false">IF(D104="totale",(C104/(A104*24))/F104,IF(D104="marché libre",(C104/(A104*24))/G104,"spécifier histo"))</f>
        <v>0.388127853881278</v>
      </c>
      <c r="F104" s="59" t="n">
        <v>730</v>
      </c>
      <c r="G104" s="59" t="n">
        <f aca="false">F104-H104</f>
        <v>730</v>
      </c>
      <c r="H104" s="59" t="n">
        <v>0</v>
      </c>
      <c r="J104" s="55"/>
      <c r="K104" s="9" t="n">
        <v>212500</v>
      </c>
      <c r="L104" s="0"/>
    </row>
    <row r="105" customFormat="false" ht="19.85" hidden="false" customHeight="true" outlineLevel="0" collapsed="false">
      <c r="A105" s="0" t="n">
        <v>31</v>
      </c>
      <c r="B105" s="34" t="n">
        <v>41974</v>
      </c>
      <c r="C105" s="56" t="n">
        <f aca="false">K105*0.96</f>
        <v>197663.999999994</v>
      </c>
      <c r="D105" s="29" t="s">
        <v>41</v>
      </c>
      <c r="E105" s="33" t="n">
        <f aca="false">IF(D105="totale",(C105/(A105*24))/F105,IF(D105="marché libre",(C105/(A105*24))/G105,"spécifier histo"))</f>
        <v>0.363941670349084</v>
      </c>
      <c r="F105" s="59" t="n">
        <v>730</v>
      </c>
      <c r="G105" s="59" t="n">
        <f aca="false">F105-H105</f>
        <v>730</v>
      </c>
      <c r="H105" s="59" t="n">
        <v>0</v>
      </c>
      <c r="J105" s="55"/>
      <c r="K105" s="9" t="n">
        <v>205899.999999994</v>
      </c>
      <c r="L105" s="0"/>
    </row>
    <row r="106" customFormat="false" ht="19.85" hidden="false" customHeight="true" outlineLevel="0" collapsed="false">
      <c r="A106" s="0" t="n">
        <v>31</v>
      </c>
      <c r="B106" s="31" t="n">
        <v>42005</v>
      </c>
      <c r="C106" s="56" t="n">
        <f aca="false">K106*0.96</f>
        <v>228767.999999988</v>
      </c>
      <c r="D106" s="29" t="s">
        <v>41</v>
      </c>
      <c r="E106" s="33" t="n">
        <f aca="false">IF(D106="totale",(C106/(A106*24))/F106,IF(D106="marché libre",(C106/(A106*24))/G106,"spécifier histo"))</f>
        <v>0.42121078214757</v>
      </c>
      <c r="F106" s="59" t="n">
        <v>730</v>
      </c>
      <c r="G106" s="59" t="n">
        <f aca="false">F106-H106</f>
        <v>730</v>
      </c>
      <c r="H106" s="59" t="n">
        <v>0</v>
      </c>
      <c r="J106" s="55"/>
      <c r="K106" s="9" t="n">
        <v>238299.999999988</v>
      </c>
      <c r="L106" s="0"/>
    </row>
    <row r="107" customFormat="false" ht="19.85" hidden="false" customHeight="true" outlineLevel="0" collapsed="false">
      <c r="A107" s="0" t="n">
        <v>28</v>
      </c>
      <c r="B107" s="34" t="n">
        <v>42036</v>
      </c>
      <c r="C107" s="56" t="n">
        <f aca="false">K107*0.96</f>
        <v>240191.99999999</v>
      </c>
      <c r="D107" s="29" t="s">
        <v>41</v>
      </c>
      <c r="E107" s="33" t="n">
        <f aca="false">IF(D107="totale",(C107/(A107*24))/F107,IF(D107="marché libre",(C107/(A107*24))/G107,"spécifier histo"))</f>
        <v>0.489628180039119</v>
      </c>
      <c r="F107" s="59" t="n">
        <v>730</v>
      </c>
      <c r="G107" s="59" t="n">
        <f aca="false">F107-H107</f>
        <v>730</v>
      </c>
      <c r="H107" s="59" t="n">
        <v>0</v>
      </c>
      <c r="J107" s="55"/>
      <c r="K107" s="9" t="n">
        <v>250199.99999999</v>
      </c>
      <c r="L107" s="0"/>
    </row>
    <row r="108" customFormat="false" ht="19.85" hidden="false" customHeight="true" outlineLevel="0" collapsed="false">
      <c r="A108" s="0" t="n">
        <v>31</v>
      </c>
      <c r="B108" s="31" t="n">
        <v>42064</v>
      </c>
      <c r="C108" s="56" t="n">
        <f aca="false">K108*0.96</f>
        <v>258911.999999997</v>
      </c>
      <c r="D108" s="29" t="s">
        <v>41</v>
      </c>
      <c r="E108" s="33" t="n">
        <f aca="false">IF(D108="totale",(C108/(A108*24))/F108,IF(D108="marché libre",(C108/(A108*24))/G108,"spécifier histo"))</f>
        <v>0.476712328767118</v>
      </c>
      <c r="F108" s="59" t="n">
        <v>730</v>
      </c>
      <c r="G108" s="59" t="n">
        <f aca="false">F108-H108</f>
        <v>730</v>
      </c>
      <c r="H108" s="59" t="n">
        <v>0</v>
      </c>
      <c r="J108" s="55"/>
      <c r="K108" s="9" t="n">
        <v>269699.999999997</v>
      </c>
      <c r="L108" s="0"/>
    </row>
    <row r="109" customFormat="false" ht="19.85" hidden="false" customHeight="true" outlineLevel="0" collapsed="false">
      <c r="A109" s="0" t="n">
        <v>30</v>
      </c>
      <c r="B109" s="34" t="n">
        <v>42095</v>
      </c>
      <c r="C109" s="56" t="n">
        <f aca="false">K109*0.96</f>
        <v>400991.999999997</v>
      </c>
      <c r="D109" s="29" t="s">
        <v>41</v>
      </c>
      <c r="E109" s="33" t="n">
        <f aca="false">IF(D109="totale",(C109/(A109*24))/F109,IF(D109="marché libre",(C109/(A109*24))/G109,"spécifier histo"))</f>
        <v>0.762922374429218</v>
      </c>
      <c r="F109" s="59" t="n">
        <v>730</v>
      </c>
      <c r="G109" s="59" t="n">
        <f aca="false">F109-H109</f>
        <v>730</v>
      </c>
      <c r="H109" s="59" t="n">
        <v>0</v>
      </c>
      <c r="J109" s="55"/>
      <c r="K109" s="9" t="n">
        <v>417699.999999997</v>
      </c>
      <c r="L109" s="0"/>
    </row>
    <row r="110" customFormat="false" ht="19.85" hidden="false" customHeight="true" outlineLevel="0" collapsed="false">
      <c r="A110" s="0" t="n">
        <v>31</v>
      </c>
      <c r="B110" s="31" t="n">
        <v>42125</v>
      </c>
      <c r="C110" s="56" t="n">
        <f aca="false">K110*0.96</f>
        <v>482592.000000018</v>
      </c>
      <c r="D110" s="29" t="s">
        <v>41</v>
      </c>
      <c r="E110" s="33" t="n">
        <f aca="false">IF(D110="totale",(C110/(A110*24))/F110,IF(D110="marché libre",(C110/(A110*24))/G110,"spécifier histo"))</f>
        <v>0.888555015466229</v>
      </c>
      <c r="F110" s="59" t="n">
        <v>730</v>
      </c>
      <c r="G110" s="59" t="n">
        <f aca="false">F110-H110</f>
        <v>730</v>
      </c>
      <c r="H110" s="59" t="n">
        <v>0</v>
      </c>
      <c r="J110" s="55"/>
      <c r="K110" s="9" t="n">
        <v>502700.000000019</v>
      </c>
      <c r="L110" s="0"/>
    </row>
    <row r="111" customFormat="false" ht="19.85" hidden="false" customHeight="true" outlineLevel="0" collapsed="false">
      <c r="A111" s="0" t="n">
        <v>30</v>
      </c>
      <c r="B111" s="34" t="n">
        <v>42156</v>
      </c>
      <c r="C111" s="56" t="n">
        <f aca="false">K111*0.96</f>
        <v>478560.000000021</v>
      </c>
      <c r="D111" s="29" t="s">
        <v>41</v>
      </c>
      <c r="E111" s="33" t="n">
        <f aca="false">IF(D111="totale",(C111/(A111*24))/F111,IF(D111="marché libre",(C111/(A111*24))/G111,"spécifier histo"))</f>
        <v>0.910502283105063</v>
      </c>
      <c r="F111" s="59" t="n">
        <v>730</v>
      </c>
      <c r="G111" s="59" t="n">
        <f aca="false">F111-H111</f>
        <v>730</v>
      </c>
      <c r="H111" s="59" t="n">
        <v>0</v>
      </c>
      <c r="J111" s="55"/>
      <c r="K111" s="9" t="n">
        <v>498500.000000022</v>
      </c>
      <c r="L111" s="0"/>
    </row>
    <row r="112" customFormat="false" ht="19.85" hidden="false" customHeight="true" outlineLevel="0" collapsed="false">
      <c r="A112" s="0" t="n">
        <v>31</v>
      </c>
      <c r="B112" s="31" t="n">
        <v>42186</v>
      </c>
      <c r="C112" s="56" t="n">
        <f aca="false">K112*0.96</f>
        <v>300960</v>
      </c>
      <c r="D112" s="29" t="s">
        <v>41</v>
      </c>
      <c r="E112" s="33" t="n">
        <f aca="false">IF(D112="totale",(C112/(A112*24))/F112,IF(D112="marché libre",(C112/(A112*24))/G112,"spécifier histo"))</f>
        <v>0.554131683605833</v>
      </c>
      <c r="F112" s="59" t="n">
        <v>730</v>
      </c>
      <c r="G112" s="59" t="n">
        <f aca="false">F112-H112</f>
        <v>730</v>
      </c>
      <c r="H112" s="59" t="n">
        <v>0</v>
      </c>
      <c r="J112" s="55"/>
      <c r="K112" s="9" t="n">
        <v>313500</v>
      </c>
      <c r="L112" s="0"/>
    </row>
    <row r="113" customFormat="false" ht="19.85" hidden="false" customHeight="true" outlineLevel="0" collapsed="false">
      <c r="A113" s="0" t="n">
        <v>31</v>
      </c>
      <c r="B113" s="34" t="n">
        <v>42217</v>
      </c>
      <c r="C113" s="56" t="n">
        <f aca="false">K113*0.96</f>
        <v>220320.000000021</v>
      </c>
      <c r="D113" s="29" t="s">
        <v>41</v>
      </c>
      <c r="E113" s="33" t="n">
        <f aca="false">IF(D113="totale",(C113/(A113*24))/F113,IF(D113="marché libre",(C113/(A113*24))/G113,"spécifier histo"))</f>
        <v>0.40565620857273</v>
      </c>
      <c r="F113" s="59" t="n">
        <v>730</v>
      </c>
      <c r="G113" s="59" t="n">
        <f aca="false">F113-H113</f>
        <v>730</v>
      </c>
      <c r="H113" s="59" t="n">
        <v>0</v>
      </c>
      <c r="J113" s="55"/>
      <c r="K113" s="9" t="n">
        <v>229500.000000022</v>
      </c>
      <c r="L113" s="0"/>
    </row>
    <row r="114" customFormat="false" ht="19.85" hidden="false" customHeight="true" outlineLevel="0" collapsed="false">
      <c r="A114" s="0" t="n">
        <v>30</v>
      </c>
      <c r="B114" s="31" t="n">
        <v>42248</v>
      </c>
      <c r="C114" s="56" t="n">
        <f aca="false">K114*0.96</f>
        <v>220511.999999984</v>
      </c>
      <c r="D114" s="29" t="s">
        <v>41</v>
      </c>
      <c r="E114" s="33" t="n">
        <f aca="false">IF(D114="totale",(C114/(A114*24))/F114,IF(D114="marché libre",(C114/(A114*24))/G114,"spécifier histo"))</f>
        <v>0.419543378995403</v>
      </c>
      <c r="F114" s="59" t="n">
        <v>730</v>
      </c>
      <c r="G114" s="59" t="n">
        <f aca="false">F114-H114</f>
        <v>730</v>
      </c>
      <c r="H114" s="59" t="n">
        <v>0</v>
      </c>
      <c r="J114" s="55"/>
      <c r="K114" s="9" t="n">
        <v>229699.999999983</v>
      </c>
      <c r="L114" s="0"/>
    </row>
    <row r="115" customFormat="false" ht="19.85" hidden="false" customHeight="true" outlineLevel="0" collapsed="false">
      <c r="A115" s="0" t="n">
        <v>31</v>
      </c>
      <c r="B115" s="34" t="n">
        <v>42278</v>
      </c>
      <c r="C115" s="56" t="n">
        <f aca="false">K115*0.96</f>
        <v>322080</v>
      </c>
      <c r="D115" s="29" t="s">
        <v>41</v>
      </c>
      <c r="E115" s="33" t="n">
        <f aca="false">IF(D115="totale",(C115/(A115*24))/F115,IF(D115="marché libre",(C115/(A115*24))/G115,"spécifier histo"))</f>
        <v>0.593018117543084</v>
      </c>
      <c r="F115" s="59" t="n">
        <v>730</v>
      </c>
      <c r="G115" s="59" t="n">
        <f aca="false">F115-H115</f>
        <v>730</v>
      </c>
      <c r="H115" s="59" t="n">
        <v>0</v>
      </c>
      <c r="J115" s="55"/>
      <c r="K115" s="9" t="n">
        <v>335500</v>
      </c>
      <c r="L115" s="0"/>
    </row>
    <row r="116" customFormat="false" ht="19.85" hidden="false" customHeight="true" outlineLevel="0" collapsed="false">
      <c r="A116" s="0" t="n">
        <v>30</v>
      </c>
      <c r="B116" s="31" t="n">
        <v>42309</v>
      </c>
      <c r="C116" s="56" t="n">
        <f aca="false">K116*0.96</f>
        <v>230592.000000018</v>
      </c>
      <c r="D116" s="29" t="s">
        <v>41</v>
      </c>
      <c r="E116" s="33" t="n">
        <f aca="false">IF(D116="totale",(C116/(A116*24))/F116,IF(D116="marché libre",(C116/(A116*24))/G116,"spécifier histo"))</f>
        <v>0.438721461187249</v>
      </c>
      <c r="F116" s="59" t="n">
        <v>730</v>
      </c>
      <c r="G116" s="59" t="n">
        <f aca="false">F116-H116</f>
        <v>730</v>
      </c>
      <c r="H116" s="59" t="n">
        <v>0</v>
      </c>
      <c r="J116" s="55"/>
      <c r="K116" s="9" t="n">
        <v>240200.000000019</v>
      </c>
      <c r="L116" s="0"/>
    </row>
    <row r="117" customFormat="false" ht="19.85" hidden="false" customHeight="true" outlineLevel="0" collapsed="false">
      <c r="A117" s="0" t="n">
        <v>31</v>
      </c>
      <c r="B117" s="34" t="n">
        <v>42339</v>
      </c>
      <c r="C117" s="56" t="n">
        <f aca="false">K117*0.96</f>
        <v>151680</v>
      </c>
      <c r="D117" s="29" t="s">
        <v>41</v>
      </c>
      <c r="E117" s="33" t="n">
        <f aca="false">IF(D117="totale",(C117/(A117*24))/F117,IF(D117="marché libre",(C117/(A117*24))/G117,"spécifier histo"))</f>
        <v>0.279275298276624</v>
      </c>
      <c r="F117" s="59" t="n">
        <v>730</v>
      </c>
      <c r="G117" s="59" t="n">
        <f aca="false">F117-H117</f>
        <v>730</v>
      </c>
      <c r="H117" s="59" t="n">
        <v>0</v>
      </c>
      <c r="J117" s="55"/>
      <c r="K117" s="9" t="n">
        <v>158000</v>
      </c>
      <c r="L117" s="0"/>
    </row>
    <row r="118" customFormat="false" ht="19.85" hidden="false" customHeight="true" outlineLevel="0" collapsed="false">
      <c r="A118" s="0" t="n">
        <v>31</v>
      </c>
      <c r="B118" s="31" t="n">
        <v>42370</v>
      </c>
      <c r="C118" s="56" t="n">
        <f aca="false">K118*0.96</f>
        <v>248256</v>
      </c>
      <c r="D118" s="29" t="s">
        <v>41</v>
      </c>
      <c r="E118" s="33" t="n">
        <f aca="false">IF(D118="totale",(C118/(A118*24))/F118,IF(D118="marché libre",(C118/(A118*24))/G118,"spécifier histo"))</f>
        <v>0.457092355280601</v>
      </c>
      <c r="F118" s="59" t="n">
        <v>730</v>
      </c>
      <c r="G118" s="59" t="n">
        <f aca="false">F118-H118</f>
        <v>730</v>
      </c>
      <c r="H118" s="59" t="n">
        <v>0</v>
      </c>
      <c r="J118" s="55"/>
      <c r="K118" s="1" t="n">
        <v>258600</v>
      </c>
      <c r="L118" s="0"/>
    </row>
    <row r="119" customFormat="false" ht="19.85" hidden="false" customHeight="true" outlineLevel="0" collapsed="false">
      <c r="A119" s="0" t="n">
        <v>28</v>
      </c>
      <c r="B119" s="34" t="n">
        <v>42401</v>
      </c>
      <c r="C119" s="56" t="n">
        <f aca="false">K119*0.96</f>
        <v>389952</v>
      </c>
      <c r="D119" s="29" t="s">
        <v>41</v>
      </c>
      <c r="E119" s="33" t="n">
        <f aca="false">IF(D119="totale",(C119/(A119*24))/F119,IF(D119="marché libre",(C119/(A119*24))/G119,"spécifier histo"))</f>
        <v>0.794911937377691</v>
      </c>
      <c r="F119" s="59" t="n">
        <v>730</v>
      </c>
      <c r="G119" s="59" t="n">
        <f aca="false">F119-H119</f>
        <v>730</v>
      </c>
      <c r="H119" s="59" t="n">
        <v>0</v>
      </c>
      <c r="J119" s="55"/>
      <c r="K119" s="1" t="n">
        <v>406200</v>
      </c>
      <c r="L119" s="0"/>
    </row>
    <row r="120" customFormat="false" ht="19.85" hidden="false" customHeight="true" outlineLevel="0" collapsed="false">
      <c r="A120" s="0" t="n">
        <v>31</v>
      </c>
      <c r="B120" s="31" t="n">
        <v>42430</v>
      </c>
      <c r="C120" s="56" t="n">
        <f aca="false">K120*0.96</f>
        <v>154080</v>
      </c>
      <c r="D120" s="29" t="s">
        <v>41</v>
      </c>
      <c r="E120" s="33" t="n">
        <f aca="false">IF(D120="totale",(C120/(A120*24))/F120,IF(D120="marché libre",(C120/(A120*24))/G120,"spécifier histo"))</f>
        <v>0.283694211224039</v>
      </c>
      <c r="F120" s="59" t="n">
        <v>730</v>
      </c>
      <c r="G120" s="59" t="n">
        <f aca="false">F120-H120</f>
        <v>730</v>
      </c>
      <c r="H120" s="59" t="n">
        <v>0</v>
      </c>
      <c r="J120" s="55"/>
      <c r="K120" s="1" t="n">
        <v>160500</v>
      </c>
      <c r="L120" s="0"/>
    </row>
    <row r="121" customFormat="false" ht="19.85" hidden="false" customHeight="true" outlineLevel="0" collapsed="false">
      <c r="A121" s="0" t="n">
        <v>30</v>
      </c>
      <c r="B121" s="34" t="n">
        <v>42461</v>
      </c>
      <c r="C121" s="56" t="n">
        <f aca="false">K121*0.96</f>
        <v>33120</v>
      </c>
      <c r="D121" s="29" t="s">
        <v>41</v>
      </c>
      <c r="E121" s="33" t="n">
        <f aca="false">IF(D121="totale",(C121/(A121*24))/F121,IF(D121="marché libre",(C121/(A121*24))/G121,"spécifier histo"))</f>
        <v>0.063013698630137</v>
      </c>
      <c r="F121" s="59" t="n">
        <v>730</v>
      </c>
      <c r="G121" s="59" t="n">
        <f aca="false">F121-H121</f>
        <v>730</v>
      </c>
      <c r="H121" s="59" t="n">
        <v>0</v>
      </c>
      <c r="I121" s="1" t="s">
        <v>54</v>
      </c>
      <c r="J121" s="55"/>
      <c r="K121" s="1" t="n">
        <v>34500</v>
      </c>
      <c r="L121" s="0"/>
    </row>
    <row r="122" customFormat="false" ht="19.85" hidden="false" customHeight="true" outlineLevel="0" collapsed="false">
      <c r="A122" s="0" t="n">
        <v>31</v>
      </c>
      <c r="B122" s="31" t="n">
        <v>42491</v>
      </c>
      <c r="C122" s="56" t="n">
        <f aca="false">K122*0.96</f>
        <v>478848</v>
      </c>
      <c r="D122" s="29" t="s">
        <v>41</v>
      </c>
      <c r="E122" s="33" t="n">
        <f aca="false">IF(D122="totale",(C122/(A122*24))/F122,IF(D122="marché libre",(C122/(A122*24))/G122,"spécifier histo"))</f>
        <v>0.881661511268228</v>
      </c>
      <c r="F122" s="59" t="n">
        <v>730</v>
      </c>
      <c r="G122" s="59" t="n">
        <f aca="false">F122-H122</f>
        <v>730</v>
      </c>
      <c r="H122" s="59" t="n">
        <v>0</v>
      </c>
      <c r="J122" s="55"/>
      <c r="K122" s="1" t="n">
        <v>498800</v>
      </c>
      <c r="L122" s="0"/>
    </row>
    <row r="123" customFormat="false" ht="19.85" hidden="false" customHeight="true" outlineLevel="0" collapsed="false">
      <c r="A123" s="0" t="n">
        <v>30</v>
      </c>
      <c r="B123" s="34" t="n">
        <v>42522</v>
      </c>
      <c r="C123" s="56" t="n">
        <f aca="false">K123*0.96</f>
        <v>492384</v>
      </c>
      <c r="D123" s="29" t="s">
        <v>41</v>
      </c>
      <c r="E123" s="33" t="n">
        <f aca="false">IF(D123="totale",(C123/(A123*24))/F123,IF(D123="marché libre",(C123/(A123*24))/G123,"spécifier histo"))</f>
        <v>0.936803652968037</v>
      </c>
      <c r="F123" s="59" t="n">
        <v>730</v>
      </c>
      <c r="G123" s="59" t="n">
        <f aca="false">F123-H123</f>
        <v>730</v>
      </c>
      <c r="H123" s="59" t="n">
        <v>0</v>
      </c>
      <c r="J123" s="55"/>
      <c r="K123" s="1" t="n">
        <v>512900</v>
      </c>
      <c r="L123" s="0"/>
    </row>
    <row r="124" customFormat="false" ht="19.85" hidden="false" customHeight="true" outlineLevel="0" collapsed="false">
      <c r="A124" s="0" t="n">
        <v>31</v>
      </c>
      <c r="B124" s="31" t="n">
        <v>42552</v>
      </c>
      <c r="C124" s="56" t="n">
        <f aca="false">K124*0.96</f>
        <v>482208</v>
      </c>
      <c r="D124" s="29" t="s">
        <v>41</v>
      </c>
      <c r="E124" s="33" t="n">
        <f aca="false">IF(D124="totale",(C124/(A124*24))/F124,IF(D124="marché libre",(C124/(A124*24))/G124,"spécifier histo"))</f>
        <v>0.887847989394609</v>
      </c>
      <c r="F124" s="59" t="n">
        <v>730</v>
      </c>
      <c r="G124" s="59" t="n">
        <f aca="false">F124-H124</f>
        <v>730</v>
      </c>
      <c r="H124" s="59" t="n">
        <v>0</v>
      </c>
      <c r="J124" s="55"/>
      <c r="K124" s="1" t="n">
        <v>502300</v>
      </c>
      <c r="L124" s="0"/>
    </row>
    <row r="125" customFormat="false" ht="19.85" hidden="false" customHeight="true" outlineLevel="0" collapsed="false">
      <c r="A125" s="0" t="n">
        <v>31</v>
      </c>
      <c r="B125" s="34" t="n">
        <v>42583</v>
      </c>
      <c r="C125" s="56" t="n">
        <f aca="false">K125*0.96</f>
        <v>344352</v>
      </c>
      <c r="D125" s="29" t="s">
        <v>41</v>
      </c>
      <c r="E125" s="33" t="n">
        <f aca="false">IF(D125="totale",(C125/(A125*24))/F125,IF(D125="marché libre",(C125/(A125*24))/G125,"spécifier histo"))</f>
        <v>0.634025629695095</v>
      </c>
      <c r="F125" s="59" t="n">
        <v>730</v>
      </c>
      <c r="G125" s="59" t="n">
        <f aca="false">F125-H125</f>
        <v>730</v>
      </c>
      <c r="H125" s="59" t="n">
        <v>0</v>
      </c>
      <c r="J125" s="55"/>
      <c r="K125" s="1" t="n">
        <v>358700</v>
      </c>
      <c r="L125" s="0"/>
    </row>
    <row r="126" customFormat="false" ht="19.85" hidden="false" customHeight="true" outlineLevel="0" collapsed="false">
      <c r="A126" s="0" t="n">
        <v>30</v>
      </c>
      <c r="B126" s="31" t="n">
        <v>42614</v>
      </c>
      <c r="C126" s="56" t="n">
        <f aca="false">K126*0.96</f>
        <v>233376</v>
      </c>
      <c r="D126" s="29" t="s">
        <v>41</v>
      </c>
      <c r="E126" s="33" t="n">
        <f aca="false">IF(D126="totale",(C126/(A126*24))/F126,IF(D126="marché libre",(C126/(A126*24))/G126,"spécifier histo"))</f>
        <v>0.444018264840183</v>
      </c>
      <c r="F126" s="59" t="n">
        <v>730</v>
      </c>
      <c r="G126" s="59" t="n">
        <f aca="false">F126-H126</f>
        <v>730</v>
      </c>
      <c r="H126" s="59" t="n">
        <v>0</v>
      </c>
      <c r="J126" s="55"/>
      <c r="K126" s="1" t="n">
        <v>243100</v>
      </c>
      <c r="L126" s="0"/>
    </row>
    <row r="127" customFormat="false" ht="19.85" hidden="false" customHeight="true" outlineLevel="0" collapsed="false">
      <c r="A127" s="0" t="n">
        <v>31</v>
      </c>
      <c r="B127" s="34" t="n">
        <v>42644</v>
      </c>
      <c r="C127" s="56" t="n">
        <f aca="false">K127*0.96</f>
        <v>99744</v>
      </c>
      <c r="D127" s="29" t="s">
        <v>41</v>
      </c>
      <c r="E127" s="33" t="n">
        <f aca="false">IF(D127="totale",(C127/(A127*24))/F127,IF(D127="marché libre",(C127/(A127*24))/G127,"spécifier histo"))</f>
        <v>0.183650022094565</v>
      </c>
      <c r="F127" s="59" t="n">
        <v>730</v>
      </c>
      <c r="G127" s="59" t="n">
        <f aca="false">F127-H127</f>
        <v>730</v>
      </c>
      <c r="H127" s="59" t="n">
        <v>0</v>
      </c>
      <c r="J127" s="55"/>
      <c r="K127" s="1" t="n">
        <v>103900</v>
      </c>
      <c r="L127" s="0"/>
    </row>
    <row r="128" customFormat="false" ht="19.85" hidden="false" customHeight="true" outlineLevel="0" collapsed="false">
      <c r="A128" s="0" t="n">
        <v>30</v>
      </c>
      <c r="B128" s="31" t="n">
        <v>42675</v>
      </c>
      <c r="C128" s="56" t="n">
        <f aca="false">K128*0.96</f>
        <v>235584</v>
      </c>
      <c r="D128" s="29" t="s">
        <v>41</v>
      </c>
      <c r="E128" s="33" t="n">
        <f aca="false">IF(D128="totale",(C128/(A128*24))/F128,IF(D128="marché libre",(C128/(A128*24))/G128,"spécifier histo"))</f>
        <v>0.448219178082192</v>
      </c>
      <c r="F128" s="59" t="n">
        <v>730</v>
      </c>
      <c r="G128" s="59" t="n">
        <f aca="false">F128-H128</f>
        <v>730</v>
      </c>
      <c r="H128" s="59" t="n">
        <v>0</v>
      </c>
      <c r="I128" s="1" t="s">
        <v>55</v>
      </c>
      <c r="J128" s="55"/>
      <c r="K128" s="1" t="n">
        <v>245400</v>
      </c>
      <c r="L128" s="0"/>
    </row>
    <row r="129" customFormat="false" ht="19.95" hidden="false" customHeight="true" outlineLevel="0" collapsed="false">
      <c r="A129" s="0" t="n">
        <v>31</v>
      </c>
      <c r="B129" s="34" t="n">
        <v>42705</v>
      </c>
      <c r="C129" s="56" t="n">
        <f aca="false">K129*0.96</f>
        <v>145824</v>
      </c>
      <c r="D129" s="29" t="s">
        <v>41</v>
      </c>
      <c r="E129" s="33" t="n">
        <f aca="false">IF(D129="totale",(C129/(A129*24))/F129,IF(D129="marché libre",(C129/(A129*24))/G129,"spécifier histo"))</f>
        <v>0.268493150684932</v>
      </c>
      <c r="F129" s="59" t="n">
        <v>730</v>
      </c>
      <c r="G129" s="59" t="n">
        <f aca="false">F129-H129</f>
        <v>730</v>
      </c>
      <c r="H129" s="59" t="n">
        <v>0</v>
      </c>
      <c r="I129" s="1" t="s">
        <v>55</v>
      </c>
      <c r="J129" s="55"/>
      <c r="K129" s="1" t="n">
        <v>151900</v>
      </c>
      <c r="L129" s="0"/>
    </row>
    <row r="130" customFormat="false" ht="19.85" hidden="false" customHeight="true" outlineLevel="0" collapsed="false">
      <c r="A130" s="0" t="n">
        <v>31</v>
      </c>
      <c r="B130" s="31" t="n">
        <v>42736</v>
      </c>
      <c r="C130" s="64" t="n">
        <f aca="false">K130*0.96</f>
        <v>231360</v>
      </c>
      <c r="D130" s="65" t="s">
        <v>41</v>
      </c>
      <c r="E130" s="66" t="n">
        <f aca="false">IF(D130="totale",(C130/(A130*24))/F130,IF(D130="marché libre",(C130/(A130*24))/G130,"spécifier histo"))</f>
        <v>0.4259832081308</v>
      </c>
      <c r="F130" s="67" t="n">
        <v>730</v>
      </c>
      <c r="G130" s="67" t="n">
        <f aca="false">F130-H130</f>
        <v>730</v>
      </c>
      <c r="H130" s="67" t="n">
        <v>0</v>
      </c>
      <c r="J130" s="55"/>
      <c r="K130" s="1" t="n">
        <v>241000</v>
      </c>
      <c r="L130" s="0"/>
    </row>
    <row r="131" customFormat="false" ht="19.85" hidden="false" customHeight="true" outlineLevel="0" collapsed="false">
      <c r="A131" s="0" t="n">
        <v>28</v>
      </c>
      <c r="B131" s="34" t="n">
        <v>42767</v>
      </c>
      <c r="C131" s="56" t="n">
        <f aca="false">K131*0.96</f>
        <v>139104</v>
      </c>
      <c r="D131" s="29" t="s">
        <v>41</v>
      </c>
      <c r="E131" s="33" t="n">
        <f aca="false">IF(D131="totale",(C131/(A131*24))/F131,IF(D131="marché libre",(C131/(A131*24))/G131,"spécifier histo"))</f>
        <v>0.283561643835616</v>
      </c>
      <c r="F131" s="59" t="n">
        <v>730</v>
      </c>
      <c r="G131" s="59" t="n">
        <f aca="false">F131-H131</f>
        <v>730</v>
      </c>
      <c r="H131" s="59" t="n">
        <v>0</v>
      </c>
      <c r="J131" s="55"/>
      <c r="K131" s="1" t="n">
        <v>144900</v>
      </c>
      <c r="L131" s="0"/>
    </row>
    <row r="132" customFormat="false" ht="19.85" hidden="false" customHeight="true" outlineLevel="0" collapsed="false">
      <c r="A132" s="0" t="n">
        <v>31</v>
      </c>
      <c r="B132" s="31" t="n">
        <v>42795</v>
      </c>
      <c r="C132" s="56" t="n">
        <f aca="false">K132*0.96</f>
        <v>239232</v>
      </c>
      <c r="D132" s="29" t="s">
        <v>41</v>
      </c>
      <c r="E132" s="33" t="n">
        <f aca="false">IF(D132="totale",(C132/(A132*24))/F132,IF(D132="marché libre",(C132/(A132*24))/G132,"spécifier histo"))</f>
        <v>0.440477242598321</v>
      </c>
      <c r="F132" s="59" t="n">
        <v>730</v>
      </c>
      <c r="G132" s="59" t="n">
        <f aca="false">F132-H132</f>
        <v>730</v>
      </c>
      <c r="H132" s="59" t="n">
        <v>0</v>
      </c>
      <c r="J132" s="55"/>
      <c r="K132" s="1" t="n">
        <v>249200</v>
      </c>
      <c r="L132" s="0"/>
    </row>
    <row r="133" customFormat="false" ht="19.85" hidden="false" customHeight="true" outlineLevel="0" collapsed="false">
      <c r="A133" s="0" t="n">
        <v>30</v>
      </c>
      <c r="B133" s="34" t="n">
        <v>42826</v>
      </c>
      <c r="C133" s="56" t="n">
        <f aca="false">K133*0.96</f>
        <v>199008</v>
      </c>
      <c r="D133" s="29" t="s">
        <v>41</v>
      </c>
      <c r="E133" s="33" t="n">
        <f aca="false">IF(D133="totale",(C133/(A133*24))/F133,IF(D133="marché libre",(C133/(A133*24))/G133,"spécifier histo"))</f>
        <v>0.378630136986301</v>
      </c>
      <c r="F133" s="59" t="n">
        <v>730</v>
      </c>
      <c r="G133" s="59" t="n">
        <f aca="false">F133-H133</f>
        <v>730</v>
      </c>
      <c r="H133" s="59" t="n">
        <v>0</v>
      </c>
      <c r="J133" s="55"/>
      <c r="K133" s="1" t="n">
        <v>207300</v>
      </c>
      <c r="L133" s="0"/>
    </row>
    <row r="134" customFormat="false" ht="19.85" hidden="false" customHeight="true" outlineLevel="0" collapsed="false">
      <c r="A134" s="0" t="n">
        <v>31</v>
      </c>
      <c r="B134" s="31" t="n">
        <v>42856</v>
      </c>
      <c r="C134" s="56" t="n">
        <f aca="false">K134*0.96</f>
        <v>433344</v>
      </c>
      <c r="D134" s="29" t="s">
        <v>41</v>
      </c>
      <c r="E134" s="33" t="n">
        <f aca="false">IF(D134="totale",(C134/(A134*24))/F134,IF(D134="marché libre",(C134/(A134*24))/G134,"spécifier histo"))</f>
        <v>0.797878921785241</v>
      </c>
      <c r="F134" s="59" t="n">
        <v>730</v>
      </c>
      <c r="G134" s="59" t="n">
        <f aca="false">F134-H134</f>
        <v>730</v>
      </c>
      <c r="H134" s="59" t="n">
        <v>0</v>
      </c>
      <c r="J134" s="55"/>
      <c r="K134" s="1" t="n">
        <v>451400</v>
      </c>
      <c r="L134" s="0"/>
    </row>
    <row r="135" customFormat="false" ht="19.85" hidden="false" customHeight="true" outlineLevel="0" collapsed="false">
      <c r="A135" s="0" t="n">
        <v>30</v>
      </c>
      <c r="B135" s="34" t="n">
        <v>42887</v>
      </c>
      <c r="C135" s="56" t="n">
        <f aca="false">K135*0.96</f>
        <v>457152</v>
      </c>
      <c r="D135" s="29" t="s">
        <v>41</v>
      </c>
      <c r="E135" s="33" t="n">
        <f aca="false">IF(D135="totale",(C135/(A135*24))/F135,IF(D135="marché libre",(C135/(A135*24))/G135,"spécifier histo"))</f>
        <v>0.869771689497717</v>
      </c>
      <c r="F135" s="59" t="n">
        <v>730</v>
      </c>
      <c r="G135" s="59" t="n">
        <f aca="false">F135-H135</f>
        <v>730</v>
      </c>
      <c r="H135" s="59" t="n">
        <v>0</v>
      </c>
      <c r="J135" s="55"/>
      <c r="K135" s="1" t="n">
        <v>476200</v>
      </c>
      <c r="L135" s="0"/>
    </row>
    <row r="136" customFormat="false" ht="19.85" hidden="false" customHeight="true" outlineLevel="0" collapsed="false">
      <c r="A136" s="0" t="n">
        <v>31</v>
      </c>
      <c r="B136" s="31" t="n">
        <v>42917</v>
      </c>
      <c r="C136" s="56" t="n">
        <f aca="false">K136*0.96</f>
        <v>348288</v>
      </c>
      <c r="D136" s="29" t="s">
        <v>41</v>
      </c>
      <c r="E136" s="33" t="n">
        <f aca="false">IF(D136="totale",(C136/(A136*24))/F136,IF(D136="marché libre",(C136/(A136*24))/G136,"spécifier histo"))</f>
        <v>0.641272646928856</v>
      </c>
      <c r="F136" s="59" t="n">
        <v>730</v>
      </c>
      <c r="G136" s="59" t="n">
        <f aca="false">F136-H136</f>
        <v>730</v>
      </c>
      <c r="H136" s="59" t="n">
        <v>0</v>
      </c>
      <c r="J136" s="55"/>
      <c r="K136" s="1" t="n">
        <v>362800</v>
      </c>
      <c r="L136" s="0"/>
    </row>
    <row r="137" customFormat="false" ht="19.85" hidden="false" customHeight="true" outlineLevel="0" collapsed="false">
      <c r="A137" s="0" t="n">
        <v>31</v>
      </c>
      <c r="B137" s="34" t="n">
        <v>42948</v>
      </c>
      <c r="C137" s="56" t="n">
        <f aca="false">K137*0.96</f>
        <v>237120</v>
      </c>
      <c r="D137" s="29" t="s">
        <v>41</v>
      </c>
      <c r="E137" s="33" t="n">
        <f aca="false">IF(D137="totale",(C137/(A137*24))/F137,IF(D137="marché libre",(C137/(A137*24))/G137,"spécifier histo"))</f>
        <v>0.436588599204596</v>
      </c>
      <c r="F137" s="59" t="n">
        <v>730</v>
      </c>
      <c r="G137" s="59" t="n">
        <f aca="false">F137-H137</f>
        <v>730</v>
      </c>
      <c r="H137" s="59" t="n">
        <v>0</v>
      </c>
      <c r="J137" s="55"/>
      <c r="K137" s="1" t="n">
        <v>247000</v>
      </c>
      <c r="L137" s="0"/>
    </row>
    <row r="138" customFormat="false" ht="19.85" hidden="false" customHeight="true" outlineLevel="0" collapsed="false">
      <c r="A138" s="0" t="n">
        <v>30</v>
      </c>
      <c r="B138" s="31" t="n">
        <v>42979</v>
      </c>
      <c r="C138" s="56" t="n">
        <f aca="false">K138*0.96</f>
        <v>221184</v>
      </c>
      <c r="D138" s="29" t="s">
        <v>41</v>
      </c>
      <c r="E138" s="33" t="n">
        <f aca="false">IF(D138="totale",(C138/(A138*24))/F138,IF(D138="marché libre",(C138/(A138*24))/G138,"spécifier histo"))</f>
        <v>0.420821917808219</v>
      </c>
      <c r="F138" s="59" t="n">
        <v>730</v>
      </c>
      <c r="G138" s="59" t="n">
        <f aca="false">F138-H138</f>
        <v>730</v>
      </c>
      <c r="H138" s="59" t="n">
        <v>0</v>
      </c>
      <c r="J138" s="55"/>
      <c r="K138" s="1" t="n">
        <v>230400</v>
      </c>
      <c r="L138" s="0"/>
    </row>
    <row r="139" customFormat="false" ht="19.85" hidden="false" customHeight="true" outlineLevel="0" collapsed="false">
      <c r="A139" s="0" t="n">
        <v>31</v>
      </c>
      <c r="B139" s="34" t="n">
        <v>43009</v>
      </c>
      <c r="C139" s="56" t="n">
        <f aca="false">K139*0.96</f>
        <v>114336</v>
      </c>
      <c r="D139" s="29" t="s">
        <v>41</v>
      </c>
      <c r="E139" s="33" t="n">
        <f aca="false">IF(D139="totale",(C139/(A139*24))/F139,IF(D139="marché libre",(C139/(A139*24))/G139,"spécifier histo"))</f>
        <v>0.210517012814848</v>
      </c>
      <c r="F139" s="59" t="n">
        <v>730</v>
      </c>
      <c r="G139" s="59" t="n">
        <f aca="false">F139-H139</f>
        <v>730</v>
      </c>
      <c r="H139" s="59" t="n">
        <v>0</v>
      </c>
      <c r="J139" s="55"/>
      <c r="K139" s="1" t="n">
        <v>119100</v>
      </c>
      <c r="L139" s="0"/>
    </row>
    <row r="140" customFormat="false" ht="19.85" hidden="false" customHeight="true" outlineLevel="0" collapsed="false">
      <c r="A140" s="0" t="n">
        <v>30</v>
      </c>
      <c r="B140" s="31" t="n">
        <v>43040</v>
      </c>
      <c r="C140" s="56" t="n">
        <f aca="false">K140*0.96</f>
        <v>251808</v>
      </c>
      <c r="D140" s="29" t="s">
        <v>41</v>
      </c>
      <c r="E140" s="33" t="n">
        <f aca="false">IF(D140="totale",(C140/(A140*24))/F140,IF(D140="marché libre",(C140/(A140*24))/G140,"spécifier histo"))</f>
        <v>0.479086757990868</v>
      </c>
      <c r="F140" s="59" t="n">
        <v>730</v>
      </c>
      <c r="G140" s="59" t="n">
        <f aca="false">F140-H140</f>
        <v>730</v>
      </c>
      <c r="H140" s="59" t="n">
        <v>0</v>
      </c>
      <c r="J140" s="55"/>
      <c r="K140" s="1" t="n">
        <v>262300</v>
      </c>
      <c r="L140" s="0"/>
    </row>
    <row r="141" customFormat="false" ht="19.85" hidden="false" customHeight="true" outlineLevel="0" collapsed="false">
      <c r="A141" s="0" t="n">
        <v>31</v>
      </c>
      <c r="B141" s="34" t="n">
        <v>43070</v>
      </c>
      <c r="C141" s="56" t="n">
        <f aca="false">K141*0.96</f>
        <v>236736</v>
      </c>
      <c r="D141" s="29" t="s">
        <v>41</v>
      </c>
      <c r="E141" s="33" t="n">
        <f aca="false">IF(D141="totale",(C141/(A141*24))/F141,IF(D141="marché libre",(C141/(A141*24))/G141,"spécifier histo"))</f>
        <v>0.435881573133009</v>
      </c>
      <c r="F141" s="59" t="n">
        <v>730</v>
      </c>
      <c r="G141" s="59" t="n">
        <f aca="false">F141-H141</f>
        <v>730</v>
      </c>
      <c r="H141" s="59" t="n">
        <v>0</v>
      </c>
      <c r="J141" s="55"/>
      <c r="K141" s="1" t="n">
        <v>246600</v>
      </c>
      <c r="L141" s="0"/>
    </row>
    <row r="142" customFormat="false" ht="19.85" hidden="false" customHeight="true" outlineLevel="0" collapsed="false">
      <c r="A142" s="0" t="n">
        <v>31</v>
      </c>
      <c r="B142" s="31" t="n">
        <v>43101</v>
      </c>
      <c r="C142" s="56" t="n">
        <f aca="false">K142*0.96</f>
        <v>391872</v>
      </c>
      <c r="D142" s="29" t="s">
        <v>41</v>
      </c>
      <c r="E142" s="33" t="n">
        <f aca="false">IF(D142="totale",(C142/(A142*24))/F142,IF(D142="marché libre",(C142/(A142*24))/G142,"spécifier histo"))</f>
        <v>0.721520106053911</v>
      </c>
      <c r="F142" s="59" t="n">
        <v>730</v>
      </c>
      <c r="G142" s="59" t="n">
        <f aca="false">F142-H142</f>
        <v>730</v>
      </c>
      <c r="H142" s="59" t="n">
        <v>0</v>
      </c>
      <c r="J142" s="55"/>
      <c r="K142" s="1" t="n">
        <v>408200</v>
      </c>
      <c r="L142" s="0"/>
    </row>
    <row r="143" customFormat="false" ht="19.85" hidden="false" customHeight="true" outlineLevel="0" collapsed="false">
      <c r="A143" s="0" t="n">
        <v>28</v>
      </c>
      <c r="B143" s="34" t="n">
        <v>43132</v>
      </c>
      <c r="C143" s="56" t="n">
        <f aca="false">K143*0.96</f>
        <v>317760</v>
      </c>
      <c r="D143" s="29" t="s">
        <v>41</v>
      </c>
      <c r="E143" s="33" t="n">
        <f aca="false">IF(D143="totale",(C143/(A143*24))/F143,IF(D143="marché libre",(C143/(A143*24))/G143,"spécifier histo"))</f>
        <v>0.647749510763209</v>
      </c>
      <c r="F143" s="59" t="n">
        <v>730</v>
      </c>
      <c r="G143" s="59" t="n">
        <f aca="false">F143-H143</f>
        <v>730</v>
      </c>
      <c r="H143" s="59" t="n">
        <v>0</v>
      </c>
      <c r="J143" s="55"/>
      <c r="K143" s="1" t="n">
        <v>331000</v>
      </c>
    </row>
    <row r="144" customFormat="false" ht="19.85" hidden="false" customHeight="true" outlineLevel="0" collapsed="false">
      <c r="A144" s="0" t="n">
        <v>31</v>
      </c>
      <c r="B144" s="31" t="n">
        <v>43160</v>
      </c>
      <c r="C144" s="56" t="n">
        <f aca="false">K144*0.96</f>
        <v>205344</v>
      </c>
      <c r="D144" s="29" t="s">
        <v>41</v>
      </c>
      <c r="E144" s="33" t="n">
        <f aca="false">IF(D144="totale",(C144/(A144*24))/F144,IF(D144="marché libre",(C144/(A144*24))/G144,"spécifier histo"))</f>
        <v>0.378082191780822</v>
      </c>
      <c r="F144" s="59" t="n">
        <v>730</v>
      </c>
      <c r="G144" s="59" t="n">
        <f aca="false">F144-H144</f>
        <v>730</v>
      </c>
      <c r="H144" s="59" t="n">
        <v>0</v>
      </c>
      <c r="J144" s="55"/>
      <c r="K144" s="1" t="n">
        <v>213900</v>
      </c>
    </row>
    <row r="145" customFormat="false" ht="19.85" hidden="false" customHeight="true" outlineLevel="0" collapsed="false">
      <c r="A145" s="0"/>
      <c r="B145" s="74"/>
      <c r="C145" s="56"/>
      <c r="D145" s="57"/>
      <c r="E145" s="57"/>
      <c r="F145" s="57"/>
      <c r="G145" s="57"/>
      <c r="H145" s="58"/>
      <c r="J145" s="55"/>
    </row>
    <row r="146" customFormat="false" ht="19.85" hidden="false" customHeight="true" outlineLevel="0" collapsed="false">
      <c r="A146" s="0"/>
      <c r="B146" s="74"/>
      <c r="C146" s="56"/>
      <c r="D146" s="57"/>
      <c r="E146" s="57"/>
      <c r="F146" s="57"/>
      <c r="G146" s="57"/>
      <c r="H146" s="58"/>
      <c r="J146" s="55"/>
      <c r="K146" s="63"/>
    </row>
    <row r="147" customFormat="false" ht="19.85" hidden="false" customHeight="true" outlineLevel="0" collapsed="false">
      <c r="A147" s="0"/>
      <c r="B147" s="74"/>
      <c r="C147" s="56"/>
      <c r="D147" s="57"/>
      <c r="E147" s="57"/>
      <c r="F147" s="57"/>
      <c r="G147" s="57"/>
      <c r="H147" s="58"/>
      <c r="J147" s="55"/>
      <c r="K147" s="63"/>
    </row>
    <row r="148" customFormat="false" ht="19.85" hidden="false" customHeight="true" outlineLevel="0" collapsed="false">
      <c r="A148" s="0"/>
      <c r="B148" s="74"/>
      <c r="C148" s="56"/>
      <c r="D148" s="57"/>
      <c r="E148" s="57"/>
      <c r="F148" s="57"/>
      <c r="G148" s="57"/>
      <c r="H148" s="58"/>
      <c r="J148" s="55"/>
      <c r="K148" s="63"/>
    </row>
    <row r="149" customFormat="false" ht="19.85" hidden="false" customHeight="true" outlineLevel="0" collapsed="false">
      <c r="A149" s="0"/>
      <c r="B149" s="74"/>
      <c r="C149" s="56"/>
      <c r="D149" s="57"/>
      <c r="E149" s="57"/>
      <c r="F149" s="57"/>
      <c r="G149" s="57"/>
      <c r="H149" s="58"/>
      <c r="J149" s="55"/>
    </row>
    <row r="150" customFormat="false" ht="19.85" hidden="false" customHeight="true" outlineLevel="0" collapsed="false">
      <c r="A150" s="0"/>
      <c r="B150" s="74"/>
      <c r="C150" s="56"/>
      <c r="D150" s="57"/>
      <c r="E150" s="57"/>
      <c r="F150" s="57"/>
      <c r="G150" s="57"/>
      <c r="H150" s="58"/>
      <c r="J150" s="55"/>
    </row>
    <row r="151" customFormat="false" ht="19.85" hidden="false" customHeight="true" outlineLevel="0" collapsed="false">
      <c r="A151" s="0"/>
      <c r="B151" s="74"/>
      <c r="C151" s="56"/>
      <c r="D151" s="57"/>
      <c r="E151" s="57"/>
      <c r="F151" s="57"/>
      <c r="G151" s="57"/>
      <c r="H151" s="58"/>
      <c r="J151" s="55"/>
    </row>
    <row r="152" customFormat="false" ht="19.85" hidden="false" customHeight="true" outlineLevel="0" collapsed="false">
      <c r="A152" s="0"/>
      <c r="B152" s="74"/>
      <c r="C152" s="56"/>
      <c r="D152" s="57"/>
      <c r="E152" s="57"/>
      <c r="F152" s="57"/>
      <c r="G152" s="57"/>
      <c r="H152" s="58"/>
      <c r="J152" s="55"/>
    </row>
    <row r="153" customFormat="false" ht="19.85" hidden="false" customHeight="true" outlineLevel="0" collapsed="false">
      <c r="A153" s="0"/>
      <c r="B153" s="74"/>
      <c r="C153" s="56"/>
      <c r="D153" s="57"/>
      <c r="E153" s="57"/>
      <c r="F153" s="57"/>
      <c r="G153" s="57"/>
      <c r="H153" s="58"/>
      <c r="J153" s="55"/>
    </row>
    <row r="154" customFormat="false" ht="19.85" hidden="false" customHeight="true" outlineLevel="0" collapsed="false">
      <c r="A154" s="0"/>
      <c r="B154" s="74"/>
      <c r="C154" s="56"/>
      <c r="D154" s="57"/>
      <c r="E154" s="57"/>
      <c r="F154" s="57"/>
      <c r="G154" s="57"/>
      <c r="H154" s="58"/>
      <c r="J154" s="30"/>
    </row>
    <row r="155" customFormat="false" ht="19.85" hidden="false" customHeight="true" outlineLevel="0" collapsed="false">
      <c r="A155" s="0"/>
      <c r="B155" s="74"/>
      <c r="C155" s="56"/>
      <c r="D155" s="57"/>
      <c r="E155" s="57"/>
      <c r="F155" s="57"/>
      <c r="G155" s="57"/>
      <c r="H155" s="58"/>
      <c r="J155" s="55"/>
    </row>
    <row r="156" customFormat="false" ht="19.85" hidden="false" customHeight="true" outlineLevel="0" collapsed="false">
      <c r="A156" s="0"/>
      <c r="B156" s="74"/>
      <c r="C156" s="56"/>
      <c r="D156" s="57"/>
      <c r="E156" s="57"/>
      <c r="F156" s="57"/>
      <c r="G156" s="57"/>
      <c r="H156" s="58"/>
      <c r="J156" s="55"/>
    </row>
    <row r="157" customFormat="false" ht="19.85" hidden="false" customHeight="true" outlineLevel="0" collapsed="false">
      <c r="A157" s="0"/>
      <c r="B157" s="74"/>
      <c r="C157" s="56"/>
      <c r="D157" s="57"/>
      <c r="E157" s="57"/>
      <c r="F157" s="57"/>
      <c r="G157" s="57"/>
      <c r="H157" s="58"/>
      <c r="J157" s="55"/>
    </row>
    <row r="158" customFormat="false" ht="19.85" hidden="false" customHeight="true" outlineLevel="0" collapsed="false">
      <c r="A158" s="0"/>
      <c r="B158" s="74"/>
      <c r="D158" s="57"/>
      <c r="E158" s="57"/>
      <c r="F158" s="57"/>
      <c r="G158" s="57"/>
      <c r="H158" s="58"/>
      <c r="J158" s="55"/>
    </row>
    <row r="159" customFormat="false" ht="22.45" hidden="false" customHeight="true" outlineLevel="0" collapsed="false">
      <c r="A159" s="0"/>
      <c r="B159" s="74"/>
      <c r="D159" s="57"/>
      <c r="E159" s="57"/>
      <c r="F159" s="57"/>
      <c r="G159" s="57"/>
      <c r="H159" s="58"/>
      <c r="J159" s="55"/>
    </row>
    <row r="160" customFormat="false" ht="21.65" hidden="false" customHeight="true" outlineLevel="0" collapsed="false">
      <c r="A160" s="0"/>
      <c r="B160" s="74"/>
      <c r="D160" s="57"/>
      <c r="E160" s="57"/>
      <c r="F160" s="57"/>
      <c r="G160" s="57"/>
      <c r="H160" s="58"/>
      <c r="J160" s="55"/>
    </row>
    <row r="161" customFormat="false" ht="21.65" hidden="false" customHeight="true" outlineLevel="0" collapsed="false">
      <c r="A161" s="0"/>
      <c r="B161" s="74"/>
      <c r="D161" s="57"/>
      <c r="E161" s="57"/>
      <c r="F161" s="57"/>
      <c r="G161" s="57"/>
      <c r="H161" s="58"/>
      <c r="J161" s="55"/>
    </row>
    <row r="162" customFormat="false" ht="21.65" hidden="false" customHeight="true" outlineLevel="0" collapsed="false">
      <c r="A162" s="0"/>
      <c r="B162" s="74"/>
      <c r="D162" s="57"/>
      <c r="E162" s="57"/>
      <c r="F162" s="57"/>
      <c r="G162" s="57"/>
      <c r="H162" s="58"/>
      <c r="J162" s="55"/>
    </row>
    <row r="163" customFormat="false" ht="21.65" hidden="false" customHeight="true" outlineLevel="0" collapsed="false">
      <c r="A163" s="0"/>
      <c r="B163" s="74"/>
      <c r="D163" s="57"/>
      <c r="E163" s="57"/>
      <c r="F163" s="57"/>
      <c r="G163" s="57"/>
      <c r="H163" s="58"/>
      <c r="J163" s="55"/>
    </row>
    <row r="164" customFormat="false" ht="21.65" hidden="false" customHeight="true" outlineLevel="0" collapsed="false">
      <c r="A164" s="0"/>
      <c r="B164" s="74"/>
      <c r="D164" s="57"/>
      <c r="E164" s="57"/>
      <c r="F164" s="57"/>
      <c r="G164" s="57"/>
      <c r="H164" s="58"/>
      <c r="J164" s="55"/>
    </row>
    <row r="165" customFormat="false" ht="21.65" hidden="false" customHeight="true" outlineLevel="0" collapsed="false">
      <c r="A165" s="0"/>
      <c r="B165" s="74"/>
      <c r="D165" s="57"/>
      <c r="E165" s="57"/>
      <c r="F165" s="57"/>
      <c r="G165" s="57"/>
      <c r="H165" s="58"/>
      <c r="J165" s="55"/>
    </row>
    <row r="166" customFormat="false" ht="28.35" hidden="false" customHeight="true" outlineLevel="0" collapsed="false">
      <c r="A166" s="0"/>
      <c r="B166" s="74"/>
      <c r="D166" s="57"/>
      <c r="E166" s="57"/>
      <c r="F166" s="57"/>
      <c r="J166" s="30"/>
    </row>
    <row r="167" customFormat="false" ht="28.35" hidden="false" customHeight="true" outlineLevel="0" collapsed="false">
      <c r="A167" s="0"/>
    </row>
    <row r="168" customFormat="false" ht="28.35" hidden="false" customHeight="true" outlineLevel="0" collapsed="false">
      <c r="A168" s="0"/>
    </row>
    <row r="169" customFormat="false" ht="28.35" hidden="false" customHeight="true" outlineLevel="0" collapsed="false">
      <c r="A169" s="0"/>
    </row>
    <row r="170" customFormat="false" ht="28.35" hidden="false" customHeight="true" outlineLevel="0" collapsed="false">
      <c r="A170" s="0"/>
    </row>
    <row r="171" customFormat="false" ht="28.35" hidden="false" customHeight="true" outlineLevel="0" collapsed="false">
      <c r="A171" s="0"/>
    </row>
    <row r="172" customFormat="false" ht="28.35" hidden="false" customHeight="true" outlineLevel="0" collapsed="false">
      <c r="A172" s="0"/>
    </row>
    <row r="173" customFormat="false" ht="28.35" hidden="false" customHeight="true" outlineLevel="0" collapsed="false">
      <c r="A173" s="0"/>
    </row>
    <row r="174" customFormat="false" ht="28.35" hidden="false" customHeight="true" outlineLevel="0" collapsed="false">
      <c r="A174" s="0"/>
    </row>
    <row r="175" customFormat="false" ht="28.35" hidden="false" customHeight="true" outlineLevel="0" collapsed="false">
      <c r="A175" s="0"/>
    </row>
    <row r="176" customFormat="false" ht="28.35" hidden="false" customHeight="true" outlineLevel="0" collapsed="false">
      <c r="A176" s="0"/>
    </row>
    <row r="177" customFormat="false" ht="28.35" hidden="false" customHeight="true" outlineLevel="0" collapsed="false">
      <c r="A177" s="0"/>
    </row>
    <row r="178" customFormat="false" ht="28.35" hidden="false" customHeight="true" outlineLevel="0" collapsed="false">
      <c r="A178" s="0"/>
    </row>
    <row r="179" customFormat="false" ht="28.35" hidden="false" customHeight="true" outlineLevel="0" collapsed="false">
      <c r="A179" s="0"/>
    </row>
    <row r="180" customFormat="false" ht="28.35" hidden="false" customHeight="true" outlineLevel="0" collapsed="false">
      <c r="A180" s="0"/>
    </row>
    <row r="181" customFormat="false" ht="28.35" hidden="false" customHeight="true" outlineLevel="0" collapsed="false">
      <c r="A181" s="0"/>
    </row>
    <row r="182" customFormat="false" ht="28.35" hidden="false" customHeight="true" outlineLevel="0" collapsed="false">
      <c r="A182" s="0"/>
    </row>
    <row r="183" customFormat="false" ht="28.35" hidden="false" customHeight="tru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row r="188" customFormat="false" ht="12.8" hidden="false" customHeight="false" outlineLevel="0" collapsed="false">
      <c r="A188" s="0"/>
    </row>
    <row r="189" customFormat="false" ht="12.8" hidden="false" customHeight="false" outlineLevel="0" collapsed="false">
      <c r="A189" s="0"/>
    </row>
    <row r="190" customFormat="false" ht="12.8" hidden="false" customHeight="false" outlineLevel="0" collapsed="false">
      <c r="A190" s="0"/>
    </row>
    <row r="191" customFormat="false" ht="12.8" hidden="false" customHeight="false" outlineLevel="0" collapsed="false">
      <c r="A191" s="0"/>
    </row>
    <row r="192" customFormat="false" ht="12.8" hidden="false" customHeight="false" outlineLevel="0" collapsed="false">
      <c r="A192" s="0"/>
    </row>
    <row r="193" customFormat="false" ht="12.8" hidden="false" customHeight="false" outlineLevel="0" collapsed="false">
      <c r="A193" s="0"/>
    </row>
    <row r="194" customFormat="false" ht="12.8" hidden="false" customHeight="false" outlineLevel="0" collapsed="false">
      <c r="A194" s="0"/>
    </row>
    <row r="195" customFormat="false" ht="12.8" hidden="false" customHeight="false" outlineLevel="0" collapsed="false">
      <c r="A195" s="0"/>
    </row>
    <row r="196" customFormat="false" ht="12.8" hidden="false" customHeight="false" outlineLevel="0" collapsed="false">
      <c r="A196" s="0"/>
    </row>
    <row r="197" customFormat="false" ht="12.8" hidden="false" customHeight="false" outlineLevel="0" collapsed="false">
      <c r="A197" s="0"/>
    </row>
    <row r="198" customFormat="false" ht="12.8" hidden="false" customHeight="false" outlineLevel="0" collapsed="false">
      <c r="A198" s="0"/>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2:E14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140">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41">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141">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conditionalFormatting sqref="E142">
    <cfRule type="cellIs" priority="18" operator="greaterThan" aboveAverage="0" equalAverage="0" bottom="0" percent="0" rank="0" text="" dxfId="0">
      <formula>1</formula>
    </cfRule>
    <cfRule type="cellIs" priority="19" operator="equal" aboveAverage="0" equalAverage="0" bottom="0" percent="0" rank="0" text="" dxfId="1">
      <formula>0</formula>
    </cfRule>
    <cfRule type="cellIs" priority="20" operator="lessThan" aboveAverage="0" equalAverage="0" bottom="0" percent="0" rank="0" text="" dxfId="2">
      <formula>0.2</formula>
    </cfRule>
    <cfRule type="cellIs" priority="21" operator="greaterThan" aboveAverage="0" equalAverage="0" bottom="0" percent="0" rank="0" text="" dxfId="3">
      <formula>0.8</formula>
    </cfRule>
  </conditionalFormatting>
  <conditionalFormatting sqref="E142">
    <cfRule type="cellIs" priority="22" operator="greaterThan" aboveAverage="0" equalAverage="0" bottom="0" percent="0" rank="0" text="" dxfId="0">
      <formula>1</formula>
    </cfRule>
    <cfRule type="cellIs" priority="23" operator="equal" aboveAverage="0" equalAverage="0" bottom="0" percent="0" rank="0" text="" dxfId="1">
      <formula>0</formula>
    </cfRule>
    <cfRule type="cellIs" priority="24" operator="lessThan" aboveAverage="0" equalAverage="0" bottom="0" percent="0" rank="0" text="" dxfId="2">
      <formula>0.2</formula>
    </cfRule>
    <cfRule type="cellIs" priority="25" operator="greaterThan" aboveAverage="0" equalAverage="0" bottom="0" percent="0" rank="0" text="" dxfId="3">
      <formula>0.8</formula>
    </cfRule>
  </conditionalFormatting>
  <conditionalFormatting sqref="E143">
    <cfRule type="cellIs" priority="26" operator="greaterThan" aboveAverage="0" equalAverage="0" bottom="0" percent="0" rank="0" text="" dxfId="0">
      <formula>1</formula>
    </cfRule>
    <cfRule type="cellIs" priority="27" operator="equal" aboveAverage="0" equalAverage="0" bottom="0" percent="0" rank="0" text="" dxfId="1">
      <formula>0</formula>
    </cfRule>
    <cfRule type="cellIs" priority="28" operator="lessThan" aboveAverage="0" equalAverage="0" bottom="0" percent="0" rank="0" text="" dxfId="2">
      <formula>0.2</formula>
    </cfRule>
    <cfRule type="cellIs" priority="29" operator="greaterThan" aboveAverage="0" equalAverage="0" bottom="0" percent="0" rank="0" text="" dxfId="3">
      <formula>0.8</formula>
    </cfRule>
  </conditionalFormatting>
  <conditionalFormatting sqref="E143">
    <cfRule type="cellIs" priority="30" operator="greaterThan" aboveAverage="0" equalAverage="0" bottom="0" percent="0" rank="0" text="" dxfId="0">
      <formula>1</formula>
    </cfRule>
    <cfRule type="cellIs" priority="31" operator="equal" aboveAverage="0" equalAverage="0" bottom="0" percent="0" rank="0" text="" dxfId="1">
      <formula>0</formula>
    </cfRule>
    <cfRule type="cellIs" priority="32" operator="lessThan" aboveAverage="0" equalAverage="0" bottom="0" percent="0" rank="0" text="" dxfId="2">
      <formula>0.2</formula>
    </cfRule>
    <cfRule type="cellIs" priority="33" operator="greaterThan" aboveAverage="0" equalAverage="0" bottom="0" percent="0" rank="0" text="" dxfId="3">
      <formula>0.8</formula>
    </cfRule>
  </conditionalFormatting>
  <conditionalFormatting sqref="E144">
    <cfRule type="cellIs" priority="34" operator="greaterThan" aboveAverage="0" equalAverage="0" bottom="0" percent="0" rank="0" text="" dxfId="0">
      <formula>1</formula>
    </cfRule>
    <cfRule type="cellIs" priority="35" operator="equal" aboveAverage="0" equalAverage="0" bottom="0" percent="0" rank="0" text="" dxfId="1">
      <formula>0</formula>
    </cfRule>
    <cfRule type="cellIs" priority="36" operator="lessThan" aboveAverage="0" equalAverage="0" bottom="0" percent="0" rank="0" text="" dxfId="2">
      <formula>0.2</formula>
    </cfRule>
    <cfRule type="cellIs" priority="37" operator="greaterThan" aboveAverage="0" equalAverage="0" bottom="0" percent="0" rank="0" text="" dxfId="3">
      <formula>0.8</formula>
    </cfRule>
  </conditionalFormatting>
  <conditionalFormatting sqref="E144">
    <cfRule type="cellIs" priority="38" operator="greaterThan" aboveAverage="0" equalAverage="0" bottom="0" percent="0" rank="0" text="" dxfId="0">
      <formula>1</formula>
    </cfRule>
    <cfRule type="cellIs" priority="39" operator="equal" aboveAverage="0" equalAverage="0" bottom="0" percent="0" rank="0" text="" dxfId="1">
      <formula>0</formula>
    </cfRule>
    <cfRule type="cellIs" priority="40" operator="lessThan" aboveAverage="0" equalAverage="0" bottom="0" percent="0" rank="0" text="" dxfId="2">
      <formula>0.2</formula>
    </cfRule>
    <cfRule type="cellIs" priority="41"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4.xml><?xml version="1.0" encoding="utf-8"?>
<worksheet xmlns="http://schemas.openxmlformats.org/spreadsheetml/2006/main" xmlns:r="http://schemas.openxmlformats.org/officeDocument/2006/relationships">
  <sheetPr filterMode="false">
    <tabColor rgb="FF00CC33"/>
    <pageSetUpPr fitToPage="false"/>
  </sheetPr>
  <dimension ref="A1:V21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O166" activePane="bottomRight" state="frozen"/>
      <selection pane="topLeft" activeCell="A1" activeCellId="0" sqref="A1"/>
      <selection pane="topRight" activeCell="O1" activeCellId="0" sqref="O1"/>
      <selection pane="bottomLeft" activeCell="A166" activeCellId="0" sqref="A166"/>
      <selection pane="bottomRight" activeCell="A9" activeCellId="0" sqref="A9"/>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43</v>
      </c>
      <c r="C4" s="16" t="n">
        <v>302644</v>
      </c>
      <c r="D4" s="5" t="s">
        <v>44</v>
      </c>
      <c r="E4" s="14" t="s">
        <v>45</v>
      </c>
      <c r="F4" s="15" t="n">
        <v>31600</v>
      </c>
      <c r="G4" s="15" t="n">
        <v>30000</v>
      </c>
      <c r="H4" s="15" t="n">
        <v>28000</v>
      </c>
      <c r="I4" s="61" t="s">
        <v>57</v>
      </c>
      <c r="J4" s="15" t="n">
        <v>14000</v>
      </c>
      <c r="K4" s="16" t="s">
        <v>47</v>
      </c>
      <c r="L4" s="16" t="s">
        <v>48</v>
      </c>
      <c r="M4" s="15" t="n">
        <v>14000</v>
      </c>
      <c r="N4" s="17"/>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58</v>
      </c>
      <c r="H6" s="19"/>
      <c r="I6" s="19"/>
      <c r="J6" s="19"/>
      <c r="K6" s="19"/>
      <c r="L6" s="19"/>
      <c r="M6" s="19"/>
      <c r="N6" s="19"/>
      <c r="P6" s="21" t="n">
        <v>42736</v>
      </c>
      <c r="Q6" s="19" t="s">
        <v>27</v>
      </c>
      <c r="R6" s="9"/>
      <c r="S6" s="22"/>
      <c r="T6" s="5" t="s">
        <v>28</v>
      </c>
    </row>
    <row r="7" customFormat="false" ht="41.65" hidden="false" customHeight="true" outlineLevel="0" collapsed="false">
      <c r="A7" s="0"/>
      <c r="B7" s="0"/>
      <c r="C7" s="23" t="s">
        <v>50</v>
      </c>
      <c r="D7" s="23"/>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9" t="s">
        <v>51</v>
      </c>
      <c r="D9" s="29" t="s">
        <v>52</v>
      </c>
      <c r="E9" s="1" t="s">
        <v>35</v>
      </c>
      <c r="F9" s="9" t="s">
        <v>36</v>
      </c>
      <c r="G9" s="9" t="s">
        <v>37</v>
      </c>
      <c r="H9" s="9" t="s">
        <v>38</v>
      </c>
      <c r="I9" s="9" t="s">
        <v>39</v>
      </c>
      <c r="J9" s="30" t="s">
        <v>40</v>
      </c>
    </row>
    <row r="10" customFormat="false" ht="19.85" hidden="false" customHeight="true" outlineLevel="0" collapsed="false">
      <c r="A10" s="0" t="n">
        <v>31</v>
      </c>
      <c r="B10" s="31" t="n">
        <v>38353</v>
      </c>
      <c r="C10" s="56" t="n">
        <f aca="false">K10*0.96</f>
        <v>3480960</v>
      </c>
      <c r="D10" s="29" t="s">
        <v>41</v>
      </c>
      <c r="E10" s="33" t="n">
        <f aca="false">IF(D10="totale",(C10/(A10*24))/F10,IF(D10="marché libre",(C10/(A10*24))/G10,"spécifier histo"))</f>
        <v>0.344022770398482</v>
      </c>
      <c r="F10" s="59" t="n">
        <v>13600</v>
      </c>
      <c r="G10" s="59" t="n">
        <f aca="false">F10-H10</f>
        <v>13600</v>
      </c>
      <c r="H10" s="59" t="n">
        <v>0</v>
      </c>
      <c r="J10" s="70"/>
      <c r="K10" s="75" t="n">
        <v>3626000</v>
      </c>
    </row>
    <row r="11" customFormat="false" ht="19.85" hidden="false" customHeight="true" outlineLevel="0" collapsed="false">
      <c r="A11" s="0" t="n">
        <v>28</v>
      </c>
      <c r="B11" s="34" t="n">
        <v>38384</v>
      </c>
      <c r="C11" s="56" t="n">
        <f aca="false">K11*0.96</f>
        <v>3692160</v>
      </c>
      <c r="D11" s="29" t="s">
        <v>41</v>
      </c>
      <c r="E11" s="33" t="n">
        <f aca="false">IF(D11="totale",(C11/(A11*24))/F11,IF(D11="marché libre",(C11/(A11*24))/G11,"spécifier histo"))</f>
        <v>0.403991596638655</v>
      </c>
      <c r="F11" s="59" t="n">
        <v>13600</v>
      </c>
      <c r="G11" s="59" t="n">
        <f aca="false">F11-H11</f>
        <v>13600</v>
      </c>
      <c r="H11" s="59" t="n">
        <v>0</v>
      </c>
      <c r="J11" s="70"/>
      <c r="K11" s="75" t="n">
        <v>3846000</v>
      </c>
    </row>
    <row r="12" customFormat="false" ht="19.85" hidden="false" customHeight="true" outlineLevel="0" collapsed="false">
      <c r="A12" s="0" t="n">
        <v>31</v>
      </c>
      <c r="B12" s="31" t="n">
        <v>38412</v>
      </c>
      <c r="C12" s="56" t="n">
        <f aca="false">K12*0.96</f>
        <v>5515200</v>
      </c>
      <c r="D12" s="29" t="s">
        <v>41</v>
      </c>
      <c r="E12" s="33" t="n">
        <f aca="false">IF(D12="totale",(C12/(A12*24))/F12,IF(D12="marché libre",(C12/(A12*24))/G12,"spécifier histo"))</f>
        <v>0.545066413662239</v>
      </c>
      <c r="F12" s="59" t="n">
        <v>13600</v>
      </c>
      <c r="G12" s="59" t="n">
        <f aca="false">F12-H12</f>
        <v>13600</v>
      </c>
      <c r="H12" s="59" t="n">
        <v>0</v>
      </c>
      <c r="J12" s="70"/>
      <c r="K12" s="75" t="n">
        <v>5745000</v>
      </c>
    </row>
    <row r="13" customFormat="false" ht="19.85" hidden="false" customHeight="true" outlineLevel="0" collapsed="false">
      <c r="A13" s="0" t="n">
        <v>30</v>
      </c>
      <c r="B13" s="34" t="n">
        <v>38443</v>
      </c>
      <c r="C13" s="56" t="n">
        <f aca="false">K13*0.96</f>
        <v>6618240</v>
      </c>
      <c r="D13" s="29" t="s">
        <v>41</v>
      </c>
      <c r="E13" s="33" t="n">
        <f aca="false">IF(D13="totale",(C13/(A13*24))/F13,IF(D13="marché libre",(C13/(A13*24))/G13,"spécifier histo"))</f>
        <v>0.675882352941177</v>
      </c>
      <c r="F13" s="59" t="n">
        <v>13600</v>
      </c>
      <c r="G13" s="59" t="n">
        <f aca="false">F13-H13</f>
        <v>13600</v>
      </c>
      <c r="H13" s="59" t="n">
        <v>0</v>
      </c>
      <c r="J13" s="70"/>
      <c r="K13" s="75" t="n">
        <v>6894000</v>
      </c>
    </row>
    <row r="14" customFormat="false" ht="19.85" hidden="false" customHeight="true" outlineLevel="0" collapsed="false">
      <c r="A14" s="0" t="n">
        <v>31</v>
      </c>
      <c r="B14" s="31" t="n">
        <v>38473</v>
      </c>
      <c r="C14" s="56" t="n">
        <f aca="false">K14*0.96</f>
        <v>9533760</v>
      </c>
      <c r="D14" s="29" t="s">
        <v>41</v>
      </c>
      <c r="E14" s="33" t="n">
        <f aca="false">IF(D14="totale",(C14/(A14*24))/F14,IF(D14="marché libre",(C14/(A14*24))/G14,"spécifier histo"))</f>
        <v>0.942220113851992</v>
      </c>
      <c r="F14" s="59" t="n">
        <v>13600</v>
      </c>
      <c r="G14" s="59" t="n">
        <f aca="false">F14-H14</f>
        <v>13600</v>
      </c>
      <c r="H14" s="59" t="n">
        <v>0</v>
      </c>
      <c r="J14" s="70"/>
      <c r="K14" s="75" t="n">
        <v>9931000</v>
      </c>
    </row>
    <row r="15" customFormat="false" ht="19.85" hidden="false" customHeight="true" outlineLevel="0" collapsed="false">
      <c r="A15" s="0" t="n">
        <v>30</v>
      </c>
      <c r="B15" s="34" t="n">
        <v>38504</v>
      </c>
      <c r="C15" s="56" t="n">
        <f aca="false">K15*0.96</f>
        <v>8906880</v>
      </c>
      <c r="D15" s="29" t="s">
        <v>41</v>
      </c>
      <c r="E15" s="33" t="n">
        <f aca="false">IF(D15="totale",(C15/(A15*24))/F15,IF(D15="marché libre",(C15/(A15*24))/G15,"spécifier histo"))</f>
        <v>0.909607843137255</v>
      </c>
      <c r="F15" s="59" t="n">
        <v>13600</v>
      </c>
      <c r="G15" s="59" t="n">
        <f aca="false">F15-H15</f>
        <v>13600</v>
      </c>
      <c r="H15" s="59" t="n">
        <v>0</v>
      </c>
      <c r="J15" s="70"/>
      <c r="K15" s="75" t="n">
        <v>9278000</v>
      </c>
    </row>
    <row r="16" customFormat="false" ht="19.85" hidden="false" customHeight="true" outlineLevel="0" collapsed="false">
      <c r="A16" s="0" t="n">
        <v>31</v>
      </c>
      <c r="B16" s="31" t="n">
        <v>38534</v>
      </c>
      <c r="C16" s="56" t="n">
        <f aca="false">K16*0.96</f>
        <v>6555840</v>
      </c>
      <c r="D16" s="29" t="s">
        <v>41</v>
      </c>
      <c r="E16" s="33" t="n">
        <f aca="false">IF(D16="totale",(C16/(A16*24))/F16,IF(D16="marché libre",(C16/(A16*24))/G16,"spécifier histo"))</f>
        <v>0.647912713472486</v>
      </c>
      <c r="F16" s="59" t="n">
        <v>13600</v>
      </c>
      <c r="G16" s="59" t="n">
        <f aca="false">F16-H16</f>
        <v>13600</v>
      </c>
      <c r="H16" s="59" t="n">
        <v>0</v>
      </c>
      <c r="J16" s="70"/>
      <c r="K16" s="75" t="n">
        <v>6829000</v>
      </c>
    </row>
    <row r="17" customFormat="false" ht="19.85" hidden="false" customHeight="true" outlineLevel="0" collapsed="false">
      <c r="A17" s="0" t="n">
        <v>31</v>
      </c>
      <c r="B17" s="34" t="n">
        <v>38565</v>
      </c>
      <c r="C17" s="56" t="n">
        <f aca="false">K17*0.96</f>
        <v>2472000</v>
      </c>
      <c r="D17" s="29" t="s">
        <v>41</v>
      </c>
      <c r="E17" s="33" t="n">
        <f aca="false">IF(D17="totale",(C17/(A17*24))/F17,IF(D17="marché libre",(C17/(A17*24))/G17,"spécifier histo"))</f>
        <v>0.244307400379507</v>
      </c>
      <c r="F17" s="59" t="n">
        <v>13600</v>
      </c>
      <c r="G17" s="59" t="n">
        <f aca="false">F17-H17</f>
        <v>13600</v>
      </c>
      <c r="H17" s="59" t="n">
        <v>0</v>
      </c>
      <c r="J17" s="70"/>
      <c r="K17" s="75" t="n">
        <v>2575000</v>
      </c>
    </row>
    <row r="18" customFormat="false" ht="19.85" hidden="false" customHeight="true" outlineLevel="0" collapsed="false">
      <c r="A18" s="0" t="n">
        <v>30</v>
      </c>
      <c r="B18" s="31" t="n">
        <v>38596</v>
      </c>
      <c r="C18" s="56" t="n">
        <f aca="false">K18*0.96</f>
        <v>1831695.36000001</v>
      </c>
      <c r="D18" s="29" t="s">
        <v>41</v>
      </c>
      <c r="E18" s="33" t="n">
        <f aca="false">IF(D18="totale",(C18/(A18*24))/F18,IF(D18="marché libre",(C18/(A18*24))/G18,"spécifier histo"))</f>
        <v>0.187060392156864</v>
      </c>
      <c r="F18" s="59" t="n">
        <v>13600</v>
      </c>
      <c r="G18" s="59" t="n">
        <f aca="false">F18-H18</f>
        <v>13600</v>
      </c>
      <c r="H18" s="59" t="n">
        <v>0</v>
      </c>
      <c r="J18" s="70"/>
      <c r="K18" s="75" t="n">
        <v>1908016.00000001</v>
      </c>
    </row>
    <row r="19" customFormat="false" ht="19.85" hidden="false" customHeight="true" outlineLevel="0" collapsed="false">
      <c r="A19" s="0" t="n">
        <v>31</v>
      </c>
      <c r="B19" s="34" t="n">
        <v>38626</v>
      </c>
      <c r="C19" s="56" t="n">
        <f aca="false">K19*0.96</f>
        <v>3312391.68000002</v>
      </c>
      <c r="D19" s="29" t="s">
        <v>41</v>
      </c>
      <c r="E19" s="33" t="n">
        <f aca="false">IF(D19="totale",(C19/(A19*24))/F19,IF(D19="marché libre",(C19/(A19*24))/G19,"spécifier histo"))</f>
        <v>0.327363187855789</v>
      </c>
      <c r="F19" s="59" t="n">
        <v>13600</v>
      </c>
      <c r="G19" s="59" t="n">
        <f aca="false">F19-H19</f>
        <v>13600</v>
      </c>
      <c r="H19" s="59" t="n">
        <v>0</v>
      </c>
      <c r="J19" s="70"/>
      <c r="K19" s="75" t="n">
        <v>3450408.00000002</v>
      </c>
    </row>
    <row r="20" customFormat="false" ht="19.85" hidden="false" customHeight="true" outlineLevel="0" collapsed="false">
      <c r="A20" s="0" t="n">
        <v>30</v>
      </c>
      <c r="B20" s="31" t="n">
        <v>38657</v>
      </c>
      <c r="C20" s="56" t="n">
        <f aca="false">K20*0.96</f>
        <v>4254745.91999999</v>
      </c>
      <c r="D20" s="29" t="s">
        <v>41</v>
      </c>
      <c r="E20" s="33" t="n">
        <f aca="false">IF(D20="totale",(C20/(A20*24))/F20,IF(D20="marché libre",(C20/(A20*24))/G20,"spécifier histo"))</f>
        <v>0.434512450980391</v>
      </c>
      <c r="F20" s="59" t="n">
        <v>13600</v>
      </c>
      <c r="G20" s="59" t="n">
        <f aca="false">F20-H20</f>
        <v>13600</v>
      </c>
      <c r="H20" s="59" t="n">
        <v>0</v>
      </c>
      <c r="J20" s="70"/>
      <c r="K20" s="75" t="n">
        <v>4432026.99999999</v>
      </c>
    </row>
    <row r="21" customFormat="false" ht="19.85" hidden="false" customHeight="true" outlineLevel="0" collapsed="false">
      <c r="A21" s="0" t="n">
        <v>31</v>
      </c>
      <c r="B21" s="34" t="n">
        <v>38687</v>
      </c>
      <c r="C21" s="56" t="n">
        <f aca="false">K21*0.96</f>
        <v>3844907.51999998</v>
      </c>
      <c r="D21" s="29" t="s">
        <v>41</v>
      </c>
      <c r="E21" s="33" t="n">
        <f aca="false">IF(D21="totale",(C21/(A21*24))/F21,IF(D21="marché libre",(C21/(A21*24))/G21,"spécifier histo"))</f>
        <v>0.379991650853888</v>
      </c>
      <c r="F21" s="59" t="n">
        <v>13600</v>
      </c>
      <c r="G21" s="59" t="n">
        <f aca="false">F21-H21</f>
        <v>13600</v>
      </c>
      <c r="H21" s="59" t="n">
        <v>0</v>
      </c>
      <c r="J21" s="70"/>
      <c r="K21" s="75" t="n">
        <v>4005111.99999998</v>
      </c>
    </row>
    <row r="22" customFormat="false" ht="19.85" hidden="false" customHeight="true" outlineLevel="0" collapsed="false">
      <c r="A22" s="0" t="n">
        <v>31</v>
      </c>
      <c r="B22" s="31" t="n">
        <v>38718</v>
      </c>
      <c r="C22" s="56" t="n">
        <f aca="false">K22*0.96</f>
        <v>3385700.15999999</v>
      </c>
      <c r="D22" s="29" t="s">
        <v>41</v>
      </c>
      <c r="E22" s="33" t="n">
        <f aca="false">IF(D22="totale",(C22/(A22*24))/F22,IF(D22="marché libre",(C22/(A22*24))/G22,"spécifier histo"))</f>
        <v>0.334608254269449</v>
      </c>
      <c r="F22" s="59" t="n">
        <v>13600</v>
      </c>
      <c r="G22" s="59" t="n">
        <f aca="false">F22-H22</f>
        <v>13600</v>
      </c>
      <c r="H22" s="59" t="n">
        <v>0</v>
      </c>
      <c r="J22" s="55"/>
      <c r="K22" s="75" t="n">
        <v>3526770.99999999</v>
      </c>
    </row>
    <row r="23" customFormat="false" ht="19.85" hidden="false" customHeight="true" outlineLevel="0" collapsed="false">
      <c r="A23" s="0" t="n">
        <v>28</v>
      </c>
      <c r="B23" s="34" t="n">
        <v>38749</v>
      </c>
      <c r="C23" s="56" t="n">
        <f aca="false">K23*0.96</f>
        <v>2517231.36000001</v>
      </c>
      <c r="D23" s="29" t="s">
        <v>41</v>
      </c>
      <c r="E23" s="33" t="n">
        <f aca="false">IF(D23="totale",(C23/(A23*24))/F23,IF(D23="marché libre",(C23/(A23*24))/G23,"spécifier histo"))</f>
        <v>0.275432352941177</v>
      </c>
      <c r="F23" s="59" t="n">
        <v>13600</v>
      </c>
      <c r="G23" s="59" t="n">
        <f aca="false">F23-H23</f>
        <v>13600</v>
      </c>
      <c r="H23" s="59" t="n">
        <v>0</v>
      </c>
      <c r="J23" s="55"/>
      <c r="K23" s="75" t="n">
        <v>2622116.00000001</v>
      </c>
    </row>
    <row r="24" customFormat="false" ht="19.85" hidden="false" customHeight="true" outlineLevel="0" collapsed="false">
      <c r="A24" s="0" t="n">
        <v>31</v>
      </c>
      <c r="B24" s="31" t="n">
        <v>38777</v>
      </c>
      <c r="C24" s="56" t="n">
        <f aca="false">K24*0.96</f>
        <v>4342727.99999999</v>
      </c>
      <c r="D24" s="29" t="s">
        <v>41</v>
      </c>
      <c r="E24" s="33" t="n">
        <f aca="false">IF(D24="totale",(C24/(A24*24))/F24,IF(D24="marché libre",(C24/(A24*24))/G24,"spécifier histo"))</f>
        <v>0.429191176470587</v>
      </c>
      <c r="F24" s="59" t="n">
        <v>13600</v>
      </c>
      <c r="G24" s="59" t="n">
        <f aca="false">F24-H24</f>
        <v>13600</v>
      </c>
      <c r="H24" s="59" t="n">
        <v>0</v>
      </c>
      <c r="J24" s="55"/>
      <c r="K24" s="75" t="n">
        <v>4523674.99999999</v>
      </c>
    </row>
    <row r="25" customFormat="false" ht="19.85" hidden="false" customHeight="true" outlineLevel="0" collapsed="false">
      <c r="A25" s="0" t="n">
        <v>30</v>
      </c>
      <c r="B25" s="34" t="n">
        <v>38808</v>
      </c>
      <c r="C25" s="56" t="n">
        <f aca="false">K25*0.96</f>
        <v>6214914.24000001</v>
      </c>
      <c r="D25" s="29" t="s">
        <v>41</v>
      </c>
      <c r="E25" s="33" t="n">
        <f aca="false">IF(D25="totale",(C25/(A25*24))/F25,IF(D25="marché libre",(C25/(A25*24))/G25,"spécifier histo"))</f>
        <v>0.634693039215687</v>
      </c>
      <c r="F25" s="59" t="n">
        <v>13600</v>
      </c>
      <c r="G25" s="59" t="n">
        <f aca="false">F25-H25</f>
        <v>13600</v>
      </c>
      <c r="H25" s="59" t="n">
        <v>0</v>
      </c>
      <c r="J25" s="55"/>
      <c r="K25" s="75" t="n">
        <v>6473869.00000001</v>
      </c>
    </row>
    <row r="26" customFormat="false" ht="19.85" hidden="false" customHeight="true" outlineLevel="0" collapsed="false">
      <c r="A26" s="0" t="n">
        <v>31</v>
      </c>
      <c r="B26" s="31" t="n">
        <v>38838</v>
      </c>
      <c r="C26" s="56" t="n">
        <f aca="false">K26*0.96</f>
        <v>8224877.75999996</v>
      </c>
      <c r="D26" s="29" t="s">
        <v>41</v>
      </c>
      <c r="E26" s="33" t="n">
        <f aca="false">IF(D26="totale",(C26/(A26*24))/F26,IF(D26="marché libre",(C26/(A26*24))/G26,"spécifier histo"))</f>
        <v>0.812863472485765</v>
      </c>
      <c r="F26" s="59" t="n">
        <v>13600</v>
      </c>
      <c r="G26" s="59" t="n">
        <f aca="false">F26-H26</f>
        <v>13600</v>
      </c>
      <c r="H26" s="59" t="n">
        <v>0</v>
      </c>
      <c r="J26" s="55"/>
      <c r="K26" s="75" t="n">
        <v>8567580.99999996</v>
      </c>
    </row>
    <row r="27" customFormat="false" ht="19.85" hidden="false" customHeight="true" outlineLevel="0" collapsed="false">
      <c r="A27" s="0" t="n">
        <v>30</v>
      </c>
      <c r="B27" s="34" t="n">
        <v>38869</v>
      </c>
      <c r="C27" s="56" t="n">
        <f aca="false">K27*0.96</f>
        <v>7659494.40000001</v>
      </c>
      <c r="D27" s="29" t="s">
        <v>41</v>
      </c>
      <c r="E27" s="33" t="n">
        <f aca="false">IF(D27="totale",(C27/(A27*24))/F27,IF(D27="marché libre",(C27/(A27*24))/G27,"spécifier histo"))</f>
        <v>0.782219607843138</v>
      </c>
      <c r="F27" s="59" t="n">
        <v>13600</v>
      </c>
      <c r="G27" s="59" t="n">
        <f aca="false">F27-H27</f>
        <v>13600</v>
      </c>
      <c r="H27" s="59" t="n">
        <v>0</v>
      </c>
      <c r="J27" s="55"/>
      <c r="K27" s="75" t="n">
        <v>7978640.00000001</v>
      </c>
    </row>
    <row r="28" customFormat="false" ht="19.85" hidden="false" customHeight="true" outlineLevel="0" collapsed="false">
      <c r="A28" s="0" t="n">
        <v>31</v>
      </c>
      <c r="B28" s="31" t="n">
        <v>38899</v>
      </c>
      <c r="C28" s="56" t="n">
        <f aca="false">K28*0.96</f>
        <v>5841636.47999999</v>
      </c>
      <c r="D28" s="29" t="s">
        <v>41</v>
      </c>
      <c r="E28" s="33" t="n">
        <f aca="false">IF(D28="totale",(C28/(A28*24))/F28,IF(D28="marché libre",(C28/(A28*24))/G28,"spécifier histo"))</f>
        <v>0.57732808349146</v>
      </c>
      <c r="F28" s="59" t="n">
        <v>13600</v>
      </c>
      <c r="G28" s="59" t="n">
        <f aca="false">F28-H28</f>
        <v>13600</v>
      </c>
      <c r="H28" s="59" t="n">
        <v>0</v>
      </c>
      <c r="J28" s="73"/>
      <c r="K28" s="75" t="n">
        <v>6085037.99999999</v>
      </c>
    </row>
    <row r="29" customFormat="false" ht="19.85" hidden="false" customHeight="true" outlineLevel="0" collapsed="false">
      <c r="A29" s="0" t="n">
        <v>31</v>
      </c>
      <c r="B29" s="34" t="n">
        <v>38930</v>
      </c>
      <c r="C29" s="56" t="n">
        <f aca="false">K29*0.96</f>
        <v>6333120</v>
      </c>
      <c r="D29" s="29" t="s">
        <v>41</v>
      </c>
      <c r="E29" s="33" t="n">
        <f aca="false">IF(D29="totale",(C29/(A29*24))/F29,IF(D29="marché libre",(C29/(A29*24))/G29,"spécifier histo"))</f>
        <v>0.625901328273245</v>
      </c>
      <c r="F29" s="59" t="n">
        <v>13600</v>
      </c>
      <c r="G29" s="59" t="n">
        <f aca="false">F29-H29</f>
        <v>13600</v>
      </c>
      <c r="H29" s="59" t="n">
        <v>0</v>
      </c>
      <c r="J29" s="55"/>
      <c r="K29" s="75" t="n">
        <v>6597000</v>
      </c>
    </row>
    <row r="30" customFormat="false" ht="19.85" hidden="false" customHeight="true" outlineLevel="0" collapsed="false">
      <c r="A30" s="0" t="n">
        <v>30</v>
      </c>
      <c r="B30" s="31" t="n">
        <v>38961</v>
      </c>
      <c r="C30" s="56" t="n">
        <f aca="false">K30*0.96</f>
        <v>5880000</v>
      </c>
      <c r="D30" s="29" t="s">
        <v>41</v>
      </c>
      <c r="E30" s="33" t="n">
        <f aca="false">IF(D30="totale",(C30/(A30*24))/F30,IF(D30="marché libre",(C30/(A30*24))/G30,"spécifier histo"))</f>
        <v>0.600490196078431</v>
      </c>
      <c r="F30" s="59" t="n">
        <v>13600</v>
      </c>
      <c r="G30" s="59" t="n">
        <f aca="false">F30-H30</f>
        <v>13600</v>
      </c>
      <c r="H30" s="59" t="n">
        <v>0</v>
      </c>
      <c r="J30" s="55"/>
      <c r="K30" s="75" t="n">
        <v>6125000</v>
      </c>
    </row>
    <row r="31" customFormat="false" ht="19.85" hidden="false" customHeight="true" outlineLevel="0" collapsed="false">
      <c r="A31" s="0" t="n">
        <v>31</v>
      </c>
      <c r="B31" s="34" t="n">
        <v>38991</v>
      </c>
      <c r="C31" s="56" t="n">
        <f aca="false">K31*0.96</f>
        <v>5622720</v>
      </c>
      <c r="D31" s="29" t="s">
        <v>41</v>
      </c>
      <c r="E31" s="33" t="n">
        <f aca="false">IF(D31="totale",(C31/(A31*24))/F31,IF(D31="marché libre",(C31/(A31*24))/G31,"spécifier histo"))</f>
        <v>0.555692599620493</v>
      </c>
      <c r="F31" s="59" t="n">
        <v>13600</v>
      </c>
      <c r="G31" s="59" t="n">
        <f aca="false">F31-H31</f>
        <v>13600</v>
      </c>
      <c r="H31" s="59" t="n">
        <v>0</v>
      </c>
      <c r="J31" s="55"/>
      <c r="K31" s="75" t="n">
        <v>5857000</v>
      </c>
    </row>
    <row r="32" customFormat="false" ht="19.85" hidden="false" customHeight="true" outlineLevel="0" collapsed="false">
      <c r="A32" s="0" t="n">
        <v>30</v>
      </c>
      <c r="B32" s="31" t="n">
        <v>39022</v>
      </c>
      <c r="C32" s="56" t="n">
        <f aca="false">K32*0.96</f>
        <v>3314880</v>
      </c>
      <c r="D32" s="29" t="s">
        <v>41</v>
      </c>
      <c r="E32" s="33" t="n">
        <f aca="false">IF(D32="totale",(C32/(A32*24))/F32,IF(D32="marché libre",(C32/(A32*24))/G32,"spécifier histo"))</f>
        <v>0.338529411764706</v>
      </c>
      <c r="F32" s="59" t="n">
        <v>13600</v>
      </c>
      <c r="G32" s="59" t="n">
        <f aca="false">F32-H32</f>
        <v>13600</v>
      </c>
      <c r="H32" s="59" t="n">
        <v>0</v>
      </c>
      <c r="J32" s="55"/>
      <c r="K32" s="75" t="n">
        <v>3453000</v>
      </c>
    </row>
    <row r="33" customFormat="false" ht="19.85" hidden="false" customHeight="true" outlineLevel="0" collapsed="false">
      <c r="A33" s="0" t="n">
        <v>31</v>
      </c>
      <c r="B33" s="34" t="n">
        <v>39052</v>
      </c>
      <c r="C33" s="56" t="n">
        <f aca="false">K33*0.96</f>
        <v>3909120</v>
      </c>
      <c r="D33" s="29" t="s">
        <v>41</v>
      </c>
      <c r="E33" s="33" t="n">
        <f aca="false">IF(D33="totale",(C33/(A33*24))/F33,IF(D33="marché libre",(C33/(A33*24))/G33,"spécifier histo"))</f>
        <v>0.386337760910816</v>
      </c>
      <c r="F33" s="59" t="n">
        <v>13600</v>
      </c>
      <c r="G33" s="59" t="n">
        <f aca="false">F33-H33</f>
        <v>13600</v>
      </c>
      <c r="H33" s="59" t="n">
        <v>0</v>
      </c>
      <c r="J33" s="55"/>
      <c r="K33" s="75" t="n">
        <v>4072000</v>
      </c>
    </row>
    <row r="34" customFormat="false" ht="19.85" hidden="false" customHeight="true" outlineLevel="0" collapsed="false">
      <c r="A34" s="0" t="n">
        <v>31</v>
      </c>
      <c r="B34" s="31" t="n">
        <v>39083</v>
      </c>
      <c r="C34" s="56" t="n">
        <f aca="false">K34*0.96</f>
        <v>4246080.00000001</v>
      </c>
      <c r="D34" s="29" t="s">
        <v>41</v>
      </c>
      <c r="E34" s="33" t="n">
        <f aca="false">IF(D34="totale",(C34/(A34*24))/F34,IF(D34="marché libre",(C34/(A34*24))/G34,"spécifier histo"))</f>
        <v>0.419639468690703</v>
      </c>
      <c r="F34" s="59" t="n">
        <v>13600</v>
      </c>
      <c r="G34" s="59" t="n">
        <f aca="false">F34-H34</f>
        <v>13600</v>
      </c>
      <c r="H34" s="59" t="n">
        <v>0</v>
      </c>
      <c r="J34" s="55"/>
      <c r="K34" s="75" t="n">
        <v>4423000.00000001</v>
      </c>
    </row>
    <row r="35" customFormat="false" ht="19.85" hidden="false" customHeight="true" outlineLevel="0" collapsed="false">
      <c r="A35" s="0" t="n">
        <v>28</v>
      </c>
      <c r="B35" s="34" t="n">
        <v>39114</v>
      </c>
      <c r="C35" s="56" t="n">
        <f aca="false">K35*0.96</f>
        <v>4237440</v>
      </c>
      <c r="D35" s="29" t="s">
        <v>41</v>
      </c>
      <c r="E35" s="33" t="n">
        <f aca="false">IF(D35="totale",(C35/(A35*24))/F35,IF(D35="marché libre",(C35/(A35*24))/G35,"spécifier histo"))</f>
        <v>0.463655462184874</v>
      </c>
      <c r="F35" s="59" t="n">
        <v>13600</v>
      </c>
      <c r="G35" s="59" t="n">
        <f aca="false">F35-H35</f>
        <v>13600</v>
      </c>
      <c r="H35" s="59" t="n">
        <v>0</v>
      </c>
      <c r="J35" s="55"/>
      <c r="K35" s="75" t="n">
        <v>4414000</v>
      </c>
    </row>
    <row r="36" customFormat="false" ht="19.85" hidden="false" customHeight="true" outlineLevel="0" collapsed="false">
      <c r="A36" s="0" t="n">
        <v>31</v>
      </c>
      <c r="B36" s="31" t="n">
        <v>39142</v>
      </c>
      <c r="C36" s="56" t="n">
        <f aca="false">K36*0.96</f>
        <v>7395840</v>
      </c>
      <c r="D36" s="29" t="s">
        <v>41</v>
      </c>
      <c r="E36" s="33" t="n">
        <f aca="false">IF(D36="totale",(C36/(A36*24))/F36,IF(D36="marché libre",(C36/(A36*24))/G36,"spécifier histo"))</f>
        <v>0.730929791271347</v>
      </c>
      <c r="F36" s="59" t="n">
        <v>13600</v>
      </c>
      <c r="G36" s="59" t="n">
        <f aca="false">F36-H36</f>
        <v>13600</v>
      </c>
      <c r="H36" s="59" t="n">
        <v>0</v>
      </c>
      <c r="J36" s="55"/>
      <c r="K36" s="75" t="n">
        <v>7704000</v>
      </c>
    </row>
    <row r="37" customFormat="false" ht="19.85" hidden="false" customHeight="true" outlineLevel="0" collapsed="false">
      <c r="A37" s="0" t="n">
        <v>30</v>
      </c>
      <c r="B37" s="34" t="n">
        <v>39173</v>
      </c>
      <c r="C37" s="56" t="n">
        <f aca="false">K37*0.96</f>
        <v>5980800</v>
      </c>
      <c r="D37" s="29" t="s">
        <v>41</v>
      </c>
      <c r="E37" s="33" t="n">
        <f aca="false">IF(D37="totale",(C37/(A37*24))/F37,IF(D37="marché libre",(C37/(A37*24))/G37,"spécifier histo"))</f>
        <v>0.61078431372549</v>
      </c>
      <c r="F37" s="59" t="n">
        <v>13600</v>
      </c>
      <c r="G37" s="59" t="n">
        <f aca="false">F37-H37</f>
        <v>13600</v>
      </c>
      <c r="H37" s="59" t="n">
        <v>0</v>
      </c>
      <c r="J37" s="55"/>
      <c r="K37" s="75" t="n">
        <v>6230000</v>
      </c>
    </row>
    <row r="38" customFormat="false" ht="19.85" hidden="false" customHeight="true" outlineLevel="0" collapsed="false">
      <c r="A38" s="0" t="n">
        <v>31</v>
      </c>
      <c r="B38" s="31" t="n">
        <v>39203</v>
      </c>
      <c r="C38" s="56" t="n">
        <f aca="false">K38*0.96</f>
        <v>8745600</v>
      </c>
      <c r="D38" s="29" t="s">
        <v>41</v>
      </c>
      <c r="E38" s="33" t="n">
        <f aca="false">IF(D38="totale",(C38/(A38*24))/F38,IF(D38="marché libre",(C38/(A38*24))/G38,"spécifier histo"))</f>
        <v>0.864326375711575</v>
      </c>
      <c r="F38" s="59" t="n">
        <v>13600</v>
      </c>
      <c r="G38" s="59" t="n">
        <f aca="false">F38-H38</f>
        <v>13600</v>
      </c>
      <c r="H38" s="59" t="n">
        <v>0</v>
      </c>
      <c r="J38" s="55"/>
      <c r="K38" s="75" t="n">
        <v>9110000</v>
      </c>
    </row>
    <row r="39" customFormat="false" ht="19.85" hidden="false" customHeight="true" outlineLevel="0" collapsed="false">
      <c r="A39" s="0" t="n">
        <v>30</v>
      </c>
      <c r="B39" s="34" t="n">
        <v>39234</v>
      </c>
      <c r="C39" s="56" t="n">
        <f aca="false">K39*0.96</f>
        <v>9339840</v>
      </c>
      <c r="D39" s="29" t="s">
        <v>41</v>
      </c>
      <c r="E39" s="33" t="n">
        <f aca="false">IF(D39="totale",(C39/(A39*24))/F39,IF(D39="marché libre",(C39/(A39*24))/G39,"spécifier histo"))</f>
        <v>0.953823529411765</v>
      </c>
      <c r="F39" s="59" t="n">
        <v>13600</v>
      </c>
      <c r="G39" s="59" t="n">
        <f aca="false">F39-H39</f>
        <v>13600</v>
      </c>
      <c r="H39" s="59" t="n">
        <v>0</v>
      </c>
      <c r="J39" s="55"/>
      <c r="K39" s="75" t="n">
        <v>9729000</v>
      </c>
    </row>
    <row r="40" customFormat="false" ht="19.85" hidden="false" customHeight="true" outlineLevel="0" collapsed="false">
      <c r="A40" s="0" t="n">
        <v>31</v>
      </c>
      <c r="B40" s="31" t="n">
        <v>39264</v>
      </c>
      <c r="C40" s="56" t="n">
        <f aca="false">K40*0.96</f>
        <v>9042240</v>
      </c>
      <c r="D40" s="29" t="s">
        <v>41</v>
      </c>
      <c r="E40" s="33" t="n">
        <f aca="false">IF(D40="totale",(C40/(A40*24))/F40,IF(D40="marché libre",(C40/(A40*24))/G40,"spécifier histo"))</f>
        <v>0.893643263757116</v>
      </c>
      <c r="F40" s="59" t="n">
        <v>13600</v>
      </c>
      <c r="G40" s="59" t="n">
        <f aca="false">F40-H40</f>
        <v>13600</v>
      </c>
      <c r="H40" s="59" t="n">
        <v>0</v>
      </c>
      <c r="J40" s="55"/>
      <c r="K40" s="75" t="n">
        <v>9419000</v>
      </c>
    </row>
    <row r="41" customFormat="false" ht="19.85" hidden="false" customHeight="true" outlineLevel="0" collapsed="false">
      <c r="A41" s="0" t="n">
        <v>31</v>
      </c>
      <c r="B41" s="34" t="n">
        <v>39295</v>
      </c>
      <c r="C41" s="56" t="n">
        <f aca="false">K41*0.96</f>
        <v>6480960</v>
      </c>
      <c r="D41" s="29" t="s">
        <v>41</v>
      </c>
      <c r="E41" s="33" t="n">
        <f aca="false">IF(D41="totale",(C41/(A41*24))/F41,IF(D41="marché libre",(C41/(A41*24))/G41,"spécifier histo"))</f>
        <v>0.640512333965844</v>
      </c>
      <c r="F41" s="59" t="n">
        <v>13600</v>
      </c>
      <c r="G41" s="59" t="n">
        <f aca="false">F41-H41</f>
        <v>13600</v>
      </c>
      <c r="H41" s="59" t="n">
        <v>0</v>
      </c>
      <c r="J41" s="55"/>
      <c r="K41" s="75" t="n">
        <v>6751000</v>
      </c>
    </row>
    <row r="42" customFormat="false" ht="19.85" hidden="false" customHeight="true" outlineLevel="0" collapsed="false">
      <c r="A42" s="0" t="n">
        <v>30</v>
      </c>
      <c r="B42" s="31" t="n">
        <v>39326</v>
      </c>
      <c r="C42" s="56" t="n">
        <f aca="false">K42*0.96</f>
        <v>4928640</v>
      </c>
      <c r="D42" s="29" t="s">
        <v>41</v>
      </c>
      <c r="E42" s="33" t="n">
        <f aca="false">IF(D42="totale",(C42/(A42*24))/F42,IF(D42="marché libre",(C42/(A42*24))/G42,"spécifier histo"))</f>
        <v>0.503333333333333</v>
      </c>
      <c r="F42" s="59" t="n">
        <v>13600</v>
      </c>
      <c r="G42" s="59" t="n">
        <f aca="false">F42-H42</f>
        <v>13600</v>
      </c>
      <c r="H42" s="59" t="n">
        <v>0</v>
      </c>
      <c r="J42" s="55"/>
      <c r="K42" s="75" t="n">
        <v>5134000</v>
      </c>
    </row>
    <row r="43" customFormat="false" ht="19.85" hidden="false" customHeight="true" outlineLevel="0" collapsed="false">
      <c r="A43" s="0" t="n">
        <v>31</v>
      </c>
      <c r="B43" s="34" t="n">
        <v>39356</v>
      </c>
      <c r="C43" s="56" t="n">
        <f aca="false">K43*0.96</f>
        <v>4910400</v>
      </c>
      <c r="D43" s="29" t="s">
        <v>41</v>
      </c>
      <c r="E43" s="33" t="n">
        <f aca="false">IF(D43="totale",(C43/(A43*24))/F43,IF(D43="marché libre",(C43/(A43*24))/G43,"spécifier histo"))</f>
        <v>0.485294117647059</v>
      </c>
      <c r="F43" s="59" t="n">
        <v>13600</v>
      </c>
      <c r="G43" s="59" t="n">
        <f aca="false">F43-H43</f>
        <v>13600</v>
      </c>
      <c r="H43" s="59" t="n">
        <v>0</v>
      </c>
      <c r="J43" s="55"/>
      <c r="K43" s="75" t="n">
        <v>5115000</v>
      </c>
    </row>
    <row r="44" customFormat="false" ht="19.85" hidden="false" customHeight="true" outlineLevel="0" collapsed="false">
      <c r="A44" s="0" t="n">
        <v>30</v>
      </c>
      <c r="B44" s="31" t="n">
        <v>39387</v>
      </c>
      <c r="C44" s="56" t="n">
        <f aca="false">K44*0.96</f>
        <v>3461760</v>
      </c>
      <c r="D44" s="29" t="s">
        <v>41</v>
      </c>
      <c r="E44" s="33" t="n">
        <f aca="false">IF(D44="totale",(C44/(A44*24))/F44,IF(D44="marché libre",(C44/(A44*24))/G44,"spécifier histo"))</f>
        <v>0.353529411764706</v>
      </c>
      <c r="F44" s="59" t="n">
        <v>13600</v>
      </c>
      <c r="G44" s="59" t="n">
        <f aca="false">F44-H44</f>
        <v>13600</v>
      </c>
      <c r="H44" s="59" t="n">
        <v>0</v>
      </c>
      <c r="J44" s="55"/>
      <c r="K44" s="75" t="n">
        <v>3606000</v>
      </c>
    </row>
    <row r="45" customFormat="false" ht="19.85" hidden="false" customHeight="true" outlineLevel="0" collapsed="false">
      <c r="A45" s="0" t="n">
        <v>31</v>
      </c>
      <c r="B45" s="34" t="n">
        <v>39417</v>
      </c>
      <c r="C45" s="56" t="n">
        <f aca="false">K45*0.96</f>
        <v>5507520</v>
      </c>
      <c r="D45" s="29" t="s">
        <v>41</v>
      </c>
      <c r="E45" s="33" t="n">
        <f aca="false">IF(D45="totale",(C45/(A45*24))/F45,IF(D45="marché libre",(C45/(A45*24))/G45,"spécifier histo"))</f>
        <v>0.544307400379507</v>
      </c>
      <c r="F45" s="59" t="n">
        <v>13600</v>
      </c>
      <c r="G45" s="59" t="n">
        <f aca="false">F45-H45</f>
        <v>13600</v>
      </c>
      <c r="H45" s="59" t="n">
        <v>0</v>
      </c>
      <c r="J45" s="55"/>
      <c r="K45" s="75" t="n">
        <v>5737000</v>
      </c>
    </row>
    <row r="46" customFormat="false" ht="19.85" hidden="false" customHeight="true" outlineLevel="0" collapsed="false">
      <c r="A46" s="0" t="n">
        <v>31</v>
      </c>
      <c r="B46" s="31" t="n">
        <v>39448</v>
      </c>
      <c r="C46" s="56" t="n">
        <f aca="false">K46*0.96</f>
        <v>5148480</v>
      </c>
      <c r="D46" s="29" t="s">
        <v>41</v>
      </c>
      <c r="E46" s="33" t="n">
        <f aca="false">IF(D46="totale",(C46/(A46*24))/F46,IF(D46="marché libre",(C46/(A46*24))/G46,"spécifier histo"))</f>
        <v>0.508823529411765</v>
      </c>
      <c r="F46" s="59" t="n">
        <v>13600</v>
      </c>
      <c r="G46" s="59" t="n">
        <f aca="false">F46-H46</f>
        <v>13600</v>
      </c>
      <c r="H46" s="59" t="n">
        <v>0</v>
      </c>
      <c r="J46" s="55"/>
      <c r="K46" s="75" t="n">
        <v>5363000</v>
      </c>
    </row>
    <row r="47" customFormat="false" ht="19.85" hidden="false" customHeight="true" outlineLevel="0" collapsed="false">
      <c r="A47" s="0" t="n">
        <v>28</v>
      </c>
      <c r="B47" s="34" t="n">
        <v>39479</v>
      </c>
      <c r="C47" s="56" t="n">
        <f aca="false">K47*0.96</f>
        <v>3716160</v>
      </c>
      <c r="D47" s="29" t="s">
        <v>41</v>
      </c>
      <c r="E47" s="33" t="n">
        <f aca="false">IF(D47="totale",(C47/(A47*24))/F47,IF(D47="marché libre",(C47/(A47*24))/G47,"spécifier histo"))</f>
        <v>0.406617647058823</v>
      </c>
      <c r="F47" s="59" t="n">
        <v>13600</v>
      </c>
      <c r="G47" s="59" t="n">
        <f aca="false">F47-H47</f>
        <v>13600</v>
      </c>
      <c r="H47" s="59" t="n">
        <v>0</v>
      </c>
      <c r="J47" s="55"/>
      <c r="K47" s="75" t="n">
        <v>3871000</v>
      </c>
    </row>
    <row r="48" customFormat="false" ht="19.85" hidden="false" customHeight="true" outlineLevel="0" collapsed="false">
      <c r="A48" s="0" t="n">
        <v>31</v>
      </c>
      <c r="B48" s="31" t="n">
        <v>39508</v>
      </c>
      <c r="C48" s="56" t="n">
        <f aca="false">K48*0.96</f>
        <v>4875840</v>
      </c>
      <c r="D48" s="29" t="s">
        <v>41</v>
      </c>
      <c r="E48" s="33" t="n">
        <f aca="false">IF(D48="totale",(C48/(A48*24))/F48,IF(D48="marché libre",(C48/(A48*24))/G48,"spécifier histo"))</f>
        <v>0.481878557874763</v>
      </c>
      <c r="F48" s="59" t="n">
        <v>13600</v>
      </c>
      <c r="G48" s="59" t="n">
        <f aca="false">F48-H48</f>
        <v>13600</v>
      </c>
      <c r="H48" s="59" t="n">
        <v>0</v>
      </c>
      <c r="J48" s="55"/>
      <c r="K48" s="75" t="n">
        <v>5079000</v>
      </c>
    </row>
    <row r="49" customFormat="false" ht="19.85" hidden="false" customHeight="true" outlineLevel="0" collapsed="false">
      <c r="A49" s="0" t="n">
        <v>30</v>
      </c>
      <c r="B49" s="34" t="n">
        <v>39539</v>
      </c>
      <c r="C49" s="56" t="n">
        <f aca="false">K49*0.96</f>
        <v>4396800</v>
      </c>
      <c r="D49" s="29" t="s">
        <v>41</v>
      </c>
      <c r="E49" s="33" t="n">
        <f aca="false">IF(D49="totale",(C49/(A49*24))/F49,IF(D49="marché libre",(C49/(A49*24))/G49,"spécifier histo"))</f>
        <v>0.449019607843137</v>
      </c>
      <c r="F49" s="59" t="n">
        <v>13600</v>
      </c>
      <c r="G49" s="59" t="n">
        <f aca="false">F49-H49</f>
        <v>13600</v>
      </c>
      <c r="H49" s="59" t="n">
        <v>0</v>
      </c>
      <c r="J49" s="55"/>
      <c r="K49" s="75" t="n">
        <v>4580000</v>
      </c>
    </row>
    <row r="50" customFormat="false" ht="19.85" hidden="false" customHeight="true" outlineLevel="0" collapsed="false">
      <c r="A50" s="0" t="n">
        <v>31</v>
      </c>
      <c r="B50" s="31" t="n">
        <v>39569</v>
      </c>
      <c r="C50" s="56" t="n">
        <f aca="false">K50*0.96</f>
        <v>8943360</v>
      </c>
      <c r="D50" s="29" t="s">
        <v>41</v>
      </c>
      <c r="E50" s="33" t="n">
        <f aca="false">IF(D50="totale",(C50/(A50*24))/F50,IF(D50="marché libre",(C50/(A50*24))/G50,"spécifier histo"))</f>
        <v>0.883870967741935</v>
      </c>
      <c r="F50" s="59" t="n">
        <v>13600</v>
      </c>
      <c r="G50" s="59" t="n">
        <f aca="false">F50-H50</f>
        <v>13600</v>
      </c>
      <c r="H50" s="59" t="n">
        <v>0</v>
      </c>
      <c r="J50" s="55"/>
      <c r="K50" s="75" t="n">
        <v>9316000</v>
      </c>
    </row>
    <row r="51" customFormat="false" ht="19.85" hidden="false" customHeight="true" outlineLevel="0" collapsed="false">
      <c r="A51" s="0" t="n">
        <v>30</v>
      </c>
      <c r="B51" s="34" t="n">
        <v>39600</v>
      </c>
      <c r="C51" s="56" t="n">
        <f aca="false">K51*0.96</f>
        <v>8269440</v>
      </c>
      <c r="D51" s="29" t="s">
        <v>41</v>
      </c>
      <c r="E51" s="33" t="n">
        <f aca="false">IF(D51="totale",(C51/(A51*24))/F51,IF(D51="marché libre",(C51/(A51*24))/G51,"spécifier histo"))</f>
        <v>0.844509803921569</v>
      </c>
      <c r="F51" s="59" t="n">
        <v>13600</v>
      </c>
      <c r="G51" s="59" t="n">
        <f aca="false">F51-H51</f>
        <v>13600</v>
      </c>
      <c r="H51" s="59" t="n">
        <v>0</v>
      </c>
      <c r="J51" s="55"/>
      <c r="K51" s="75" t="n">
        <v>8614000</v>
      </c>
    </row>
    <row r="52" customFormat="false" ht="19.85" hidden="false" customHeight="true" outlineLevel="0" collapsed="false">
      <c r="A52" s="0" t="n">
        <v>31</v>
      </c>
      <c r="B52" s="31" t="n">
        <v>39630</v>
      </c>
      <c r="C52" s="56" t="n">
        <f aca="false">K52*0.96</f>
        <v>8827200</v>
      </c>
      <c r="D52" s="29" t="s">
        <v>41</v>
      </c>
      <c r="E52" s="33" t="n">
        <f aca="false">IF(D52="totale",(C52/(A52*24))/F52,IF(D52="marché libre",(C52/(A52*24))/G52,"spécifier histo"))</f>
        <v>0.872390891840607</v>
      </c>
      <c r="F52" s="59" t="n">
        <v>13600</v>
      </c>
      <c r="G52" s="59" t="n">
        <f aca="false">F52-H52</f>
        <v>13600</v>
      </c>
      <c r="H52" s="59" t="n">
        <v>0</v>
      </c>
      <c r="J52" s="55"/>
      <c r="K52" s="75" t="n">
        <v>9195000</v>
      </c>
    </row>
    <row r="53" customFormat="false" ht="19.85" hidden="false" customHeight="true" outlineLevel="0" collapsed="false">
      <c r="A53" s="0" t="n">
        <v>31</v>
      </c>
      <c r="B53" s="34" t="n">
        <v>39661</v>
      </c>
      <c r="C53" s="56" t="n">
        <f aca="false">K53*0.96</f>
        <v>5898240</v>
      </c>
      <c r="D53" s="29" t="s">
        <v>41</v>
      </c>
      <c r="E53" s="33" t="n">
        <f aca="false">IF(D53="totale",(C53/(A53*24))/F53,IF(D53="marché libre",(C53/(A53*24))/G53,"spécifier histo"))</f>
        <v>0.58292220113852</v>
      </c>
      <c r="F53" s="59" t="n">
        <v>13600</v>
      </c>
      <c r="G53" s="59" t="n">
        <f aca="false">F53-H53</f>
        <v>13600</v>
      </c>
      <c r="H53" s="59" t="n">
        <v>0</v>
      </c>
      <c r="J53" s="55"/>
      <c r="K53" s="75" t="n">
        <v>6144000</v>
      </c>
    </row>
    <row r="54" customFormat="false" ht="19.85" hidden="false" customHeight="true" outlineLevel="0" collapsed="false">
      <c r="A54" s="0" t="n">
        <v>30</v>
      </c>
      <c r="B54" s="31" t="n">
        <v>39692</v>
      </c>
      <c r="C54" s="56" t="n">
        <f aca="false">K54*0.96</f>
        <v>7990080</v>
      </c>
      <c r="D54" s="29" t="s">
        <v>41</v>
      </c>
      <c r="E54" s="33" t="n">
        <f aca="false">IF(D54="totale",(C54/(A54*24))/F54,IF(D54="marché libre",(C54/(A54*24))/G54,"spécifier histo"))</f>
        <v>0.815980392156863</v>
      </c>
      <c r="F54" s="59" t="n">
        <v>13600</v>
      </c>
      <c r="G54" s="59" t="n">
        <f aca="false">F54-H54</f>
        <v>13600</v>
      </c>
      <c r="H54" s="59" t="n">
        <v>0</v>
      </c>
      <c r="J54" s="55"/>
      <c r="K54" s="75" t="n">
        <v>8323000</v>
      </c>
    </row>
    <row r="55" customFormat="false" ht="19.85" hidden="false" customHeight="true" outlineLevel="0" collapsed="false">
      <c r="A55" s="0" t="n">
        <v>31</v>
      </c>
      <c r="B55" s="34" t="n">
        <v>39722</v>
      </c>
      <c r="C55" s="56" t="n">
        <f aca="false">K55*0.96</f>
        <v>4861440</v>
      </c>
      <c r="D55" s="29" t="s">
        <v>41</v>
      </c>
      <c r="E55" s="33" t="n">
        <f aca="false">IF(D55="totale",(C55/(A55*24))/F55,IF(D55="marché libre",(C55/(A55*24))/G55,"spécifier histo"))</f>
        <v>0.48045540796964</v>
      </c>
      <c r="F55" s="59" t="n">
        <v>13600</v>
      </c>
      <c r="G55" s="59" t="n">
        <f aca="false">F55-H55</f>
        <v>13600</v>
      </c>
      <c r="H55" s="59" t="n">
        <v>0</v>
      </c>
      <c r="J55" s="55"/>
      <c r="K55" s="75" t="n">
        <v>5064000</v>
      </c>
    </row>
    <row r="56" customFormat="false" ht="19.85" hidden="false" customHeight="true" outlineLevel="0" collapsed="false">
      <c r="A56" s="0" t="n">
        <v>30</v>
      </c>
      <c r="B56" s="31" t="n">
        <v>39753</v>
      </c>
      <c r="C56" s="56" t="n">
        <f aca="false">K56*0.96</f>
        <v>4682880</v>
      </c>
      <c r="D56" s="29" t="s">
        <v>41</v>
      </c>
      <c r="E56" s="33" t="n">
        <f aca="false">IF(D56="totale",(C56/(A56*24))/F56,IF(D56="marché libre",(C56/(A56*24))/G56,"spécifier histo"))</f>
        <v>0.478235294117647</v>
      </c>
      <c r="F56" s="59" t="n">
        <v>13600</v>
      </c>
      <c r="G56" s="59" t="n">
        <f aca="false">F56-H56</f>
        <v>13600</v>
      </c>
      <c r="H56" s="59" t="n">
        <v>0</v>
      </c>
      <c r="J56" s="55"/>
      <c r="K56" s="75" t="n">
        <v>4878000</v>
      </c>
    </row>
    <row r="57" customFormat="false" ht="19.85" hidden="false" customHeight="true" outlineLevel="0" collapsed="false">
      <c r="A57" s="0" t="n">
        <v>31</v>
      </c>
      <c r="B57" s="34" t="n">
        <v>39783</v>
      </c>
      <c r="C57" s="56" t="n">
        <f aca="false">K57*0.96</f>
        <v>4498560</v>
      </c>
      <c r="D57" s="29" t="s">
        <v>41</v>
      </c>
      <c r="E57" s="33" t="n">
        <f aca="false">IF(D57="totale",(C57/(A57*24))/F57,IF(D57="marché libre",(C57/(A57*24))/G57,"spécifier histo"))</f>
        <v>0.444592030360531</v>
      </c>
      <c r="F57" s="59" t="n">
        <v>13600</v>
      </c>
      <c r="G57" s="59" t="n">
        <f aca="false">F57-H57</f>
        <v>13600</v>
      </c>
      <c r="H57" s="59" t="n">
        <v>0</v>
      </c>
      <c r="J57" s="55"/>
      <c r="K57" s="75" t="n">
        <v>4686000</v>
      </c>
    </row>
    <row r="58" customFormat="false" ht="19.85" hidden="false" customHeight="true" outlineLevel="0" collapsed="false">
      <c r="A58" s="0" t="n">
        <v>31</v>
      </c>
      <c r="B58" s="31" t="n">
        <v>39814</v>
      </c>
      <c r="C58" s="56" t="n">
        <f aca="false">K58*0.96</f>
        <v>3833280</v>
      </c>
      <c r="D58" s="29" t="s">
        <v>41</v>
      </c>
      <c r="E58" s="33" t="n">
        <f aca="false">IF(D58="totale",(C58/(A58*24))/F58,IF(D58="marché libre",(C58/(A58*24))/G58,"spécifier histo"))</f>
        <v>0.378842504743833</v>
      </c>
      <c r="F58" s="59" t="n">
        <v>13600</v>
      </c>
      <c r="G58" s="59" t="n">
        <f aca="false">F58-H58</f>
        <v>13600</v>
      </c>
      <c r="H58" s="59" t="n">
        <v>0</v>
      </c>
      <c r="J58" s="55"/>
      <c r="K58" s="75" t="n">
        <v>3993000</v>
      </c>
    </row>
    <row r="59" customFormat="false" ht="19.85" hidden="false" customHeight="true" outlineLevel="0" collapsed="false">
      <c r="A59" s="0" t="n">
        <v>28</v>
      </c>
      <c r="B59" s="34" t="n">
        <v>39845</v>
      </c>
      <c r="C59" s="56" t="n">
        <f aca="false">K59*0.96</f>
        <v>3259200</v>
      </c>
      <c r="D59" s="29" t="s">
        <v>41</v>
      </c>
      <c r="E59" s="33" t="n">
        <f aca="false">IF(D59="totale",(C59/(A59*24))/F59,IF(D59="marché libre",(C59/(A59*24))/G59,"spécifier histo"))</f>
        <v>0.356617647058823</v>
      </c>
      <c r="F59" s="59" t="n">
        <v>13600</v>
      </c>
      <c r="G59" s="59" t="n">
        <f aca="false">F59-H59</f>
        <v>13600</v>
      </c>
      <c r="H59" s="59" t="n">
        <v>0</v>
      </c>
      <c r="J59" s="55"/>
      <c r="K59" s="75" t="n">
        <v>3395000</v>
      </c>
    </row>
    <row r="60" customFormat="false" ht="19.85" hidden="false" customHeight="true" outlineLevel="0" collapsed="false">
      <c r="A60" s="0" t="n">
        <v>31</v>
      </c>
      <c r="B60" s="31" t="n">
        <v>39873</v>
      </c>
      <c r="C60" s="56" t="n">
        <f aca="false">K60*0.96</f>
        <v>3745920</v>
      </c>
      <c r="D60" s="29" t="s">
        <v>41</v>
      </c>
      <c r="E60" s="33" t="n">
        <f aca="false">IF(D60="totale",(C60/(A60*24))/F60,IF(D60="marché libre",(C60/(A60*24))/G60,"spécifier histo"))</f>
        <v>0.370208728652751</v>
      </c>
      <c r="F60" s="59" t="n">
        <v>13600</v>
      </c>
      <c r="G60" s="59" t="n">
        <f aca="false">F60-H60</f>
        <v>13600</v>
      </c>
      <c r="H60" s="59" t="n">
        <v>0</v>
      </c>
      <c r="J60" s="55"/>
      <c r="K60" s="75" t="n">
        <v>3902000</v>
      </c>
    </row>
    <row r="61" customFormat="false" ht="19.85" hidden="false" customHeight="true" outlineLevel="0" collapsed="false">
      <c r="A61" s="0" t="n">
        <v>30</v>
      </c>
      <c r="B61" s="34" t="n">
        <v>39904</v>
      </c>
      <c r="C61" s="56" t="n">
        <f aca="false">K61*0.96</f>
        <v>4016640</v>
      </c>
      <c r="D61" s="29" t="s">
        <v>41</v>
      </c>
      <c r="E61" s="33" t="n">
        <f aca="false">IF(D61="totale",(C61/(A61*24))/F61,IF(D61="marché libre",(C61/(A61*24))/G61,"spécifier histo"))</f>
        <v>0.410196078431373</v>
      </c>
      <c r="F61" s="59" t="n">
        <v>13600</v>
      </c>
      <c r="G61" s="59" t="n">
        <f aca="false">F61-H61</f>
        <v>13600</v>
      </c>
      <c r="H61" s="59" t="n">
        <v>0</v>
      </c>
      <c r="J61" s="55"/>
      <c r="K61" s="75" t="n">
        <v>4184000</v>
      </c>
    </row>
    <row r="62" customFormat="false" ht="19.85" hidden="false" customHeight="true" outlineLevel="0" collapsed="false">
      <c r="A62" s="0" t="n">
        <v>31</v>
      </c>
      <c r="B62" s="31" t="n">
        <v>39934</v>
      </c>
      <c r="C62" s="56" t="n">
        <f aca="false">K62*0.96</f>
        <v>7731840</v>
      </c>
      <c r="D62" s="29" t="s">
        <v>41</v>
      </c>
      <c r="E62" s="33" t="n">
        <f aca="false">IF(D62="totale",(C62/(A62*24))/F62,IF(D62="marché libre",(C62/(A62*24))/G62,"spécifier histo"))</f>
        <v>0.764136622390892</v>
      </c>
      <c r="F62" s="59" t="n">
        <v>13600</v>
      </c>
      <c r="G62" s="59" t="n">
        <f aca="false">F62-H62</f>
        <v>13600</v>
      </c>
      <c r="H62" s="59" t="n">
        <v>0</v>
      </c>
      <c r="J62" s="55"/>
      <c r="K62" s="75" t="n">
        <v>8054000</v>
      </c>
    </row>
    <row r="63" customFormat="false" ht="19.85" hidden="false" customHeight="true" outlineLevel="0" collapsed="false">
      <c r="A63" s="0" t="n">
        <v>30</v>
      </c>
      <c r="B63" s="34" t="n">
        <v>39965</v>
      </c>
      <c r="C63" s="56" t="n">
        <f aca="false">K63*0.96</f>
        <v>7632000</v>
      </c>
      <c r="D63" s="29" t="s">
        <v>41</v>
      </c>
      <c r="E63" s="33" t="n">
        <f aca="false">IF(D63="totale",(C63/(A63*24))/F63,IF(D63="marché libre",(C63/(A63*24))/G63,"spécifier histo"))</f>
        <v>0.779411764705882</v>
      </c>
      <c r="F63" s="59" t="n">
        <v>13600</v>
      </c>
      <c r="G63" s="59" t="n">
        <f aca="false">F63-H63</f>
        <v>13600</v>
      </c>
      <c r="H63" s="59" t="n">
        <v>0</v>
      </c>
      <c r="J63" s="55"/>
      <c r="K63" s="75" t="n">
        <v>7950000</v>
      </c>
    </row>
    <row r="64" customFormat="false" ht="19.85" hidden="false" customHeight="true" outlineLevel="0" collapsed="false">
      <c r="A64" s="0" t="n">
        <v>31</v>
      </c>
      <c r="B64" s="31" t="n">
        <v>39995</v>
      </c>
      <c r="C64" s="56" t="n">
        <f aca="false">K64*0.96</f>
        <v>5612160</v>
      </c>
      <c r="D64" s="29" t="s">
        <v>41</v>
      </c>
      <c r="E64" s="33" t="n">
        <f aca="false">IF(D64="totale",(C64/(A64*24))/F64,IF(D64="marché libre",(C64/(A64*24))/G64,"spécifier histo"))</f>
        <v>0.554648956356736</v>
      </c>
      <c r="F64" s="59" t="n">
        <v>13600</v>
      </c>
      <c r="G64" s="59" t="n">
        <f aca="false">F64-H64</f>
        <v>13600</v>
      </c>
      <c r="H64" s="59" t="n">
        <v>0</v>
      </c>
      <c r="J64" s="55"/>
      <c r="K64" s="75" t="n">
        <v>5846000</v>
      </c>
    </row>
    <row r="65" customFormat="false" ht="19.85" hidden="false" customHeight="true" outlineLevel="0" collapsed="false">
      <c r="A65" s="0" t="n">
        <v>31</v>
      </c>
      <c r="B65" s="34" t="n">
        <v>40026</v>
      </c>
      <c r="C65" s="56" t="n">
        <f aca="false">K65*0.96</f>
        <v>2912640</v>
      </c>
      <c r="D65" s="29" t="s">
        <v>41</v>
      </c>
      <c r="E65" s="33" t="n">
        <f aca="false">IF(D65="totale",(C65/(A65*24))/F65,IF(D65="marché libre",(C65/(A65*24))/G65,"spécifier histo"))</f>
        <v>0.287855787476281</v>
      </c>
      <c r="F65" s="59" t="n">
        <v>13600</v>
      </c>
      <c r="G65" s="59" t="n">
        <f aca="false">F65-H65</f>
        <v>13600</v>
      </c>
      <c r="H65" s="59" t="n">
        <v>0</v>
      </c>
      <c r="J65" s="55"/>
      <c r="K65" s="75" t="n">
        <v>3034000</v>
      </c>
    </row>
    <row r="66" customFormat="false" ht="19.85" hidden="false" customHeight="true" outlineLevel="0" collapsed="false">
      <c r="A66" s="0" t="n">
        <v>30</v>
      </c>
      <c r="B66" s="31" t="n">
        <v>40057</v>
      </c>
      <c r="C66" s="56" t="n">
        <f aca="false">K66*0.96</f>
        <v>1811520</v>
      </c>
      <c r="D66" s="29" t="s">
        <v>41</v>
      </c>
      <c r="E66" s="33" t="n">
        <f aca="false">IF(D66="totale",(C66/(A66*24))/F66,IF(D66="marché libre",(C66/(A66*24))/G66,"spécifier histo"))</f>
        <v>0.185</v>
      </c>
      <c r="F66" s="59" t="n">
        <v>13600</v>
      </c>
      <c r="G66" s="59" t="n">
        <f aca="false">F66-H66</f>
        <v>13600</v>
      </c>
      <c r="H66" s="59" t="n">
        <v>0</v>
      </c>
      <c r="J66" s="55"/>
      <c r="K66" s="75" t="n">
        <v>1887000</v>
      </c>
    </row>
    <row r="67" customFormat="false" ht="19.85" hidden="false" customHeight="true" outlineLevel="0" collapsed="false">
      <c r="A67" s="0" t="n">
        <v>31</v>
      </c>
      <c r="B67" s="34" t="n">
        <v>40087</v>
      </c>
      <c r="C67" s="56" t="n">
        <f aca="false">K67*0.96</f>
        <v>1627200</v>
      </c>
      <c r="D67" s="29" t="s">
        <v>41</v>
      </c>
      <c r="E67" s="33" t="n">
        <f aca="false">IF(D67="totale",(C67/(A67*24))/F67,IF(D67="marché libre",(C67/(A67*24))/G67,"spécifier histo"))</f>
        <v>0.160815939278937</v>
      </c>
      <c r="F67" s="59" t="n">
        <v>13600</v>
      </c>
      <c r="G67" s="59" t="n">
        <f aca="false">F67-H67</f>
        <v>13600</v>
      </c>
      <c r="H67" s="59" t="n">
        <v>0</v>
      </c>
      <c r="J67" s="55"/>
      <c r="K67" s="75" t="n">
        <v>1695000</v>
      </c>
    </row>
    <row r="68" customFormat="false" ht="19.85" hidden="false" customHeight="true" outlineLevel="0" collapsed="false">
      <c r="A68" s="0" t="n">
        <v>30</v>
      </c>
      <c r="B68" s="31" t="n">
        <v>40118</v>
      </c>
      <c r="C68" s="56" t="n">
        <f aca="false">K68*0.96</f>
        <v>4076160</v>
      </c>
      <c r="D68" s="29" t="s">
        <v>41</v>
      </c>
      <c r="E68" s="33" t="n">
        <f aca="false">IF(D68="totale",(C68/(A68*24))/F68,IF(D68="marché libre",(C68/(A68*24))/G68,"spécifier histo"))</f>
        <v>0.416274509803922</v>
      </c>
      <c r="F68" s="59" t="n">
        <v>13600</v>
      </c>
      <c r="G68" s="59" t="n">
        <f aca="false">F68-H68</f>
        <v>13600</v>
      </c>
      <c r="H68" s="59" t="n">
        <v>0</v>
      </c>
      <c r="J68" s="55"/>
      <c r="K68" s="75" t="n">
        <v>4246000</v>
      </c>
    </row>
    <row r="69" customFormat="false" ht="19.85" hidden="false" customHeight="true" outlineLevel="0" collapsed="false">
      <c r="A69" s="0" t="n">
        <v>31</v>
      </c>
      <c r="B69" s="34" t="n">
        <v>40148</v>
      </c>
      <c r="C69" s="56" t="n">
        <f aca="false">K69*0.96</f>
        <v>5467200</v>
      </c>
      <c r="D69" s="29" t="s">
        <v>41</v>
      </c>
      <c r="E69" s="33" t="n">
        <f aca="false">IF(D69="totale",(C69/(A69*24))/F69,IF(D69="marché libre",(C69/(A69*24))/G69,"spécifier histo"))</f>
        <v>0.540322580645161</v>
      </c>
      <c r="F69" s="59" t="n">
        <v>13600</v>
      </c>
      <c r="G69" s="59" t="n">
        <f aca="false">F69-H69</f>
        <v>13600</v>
      </c>
      <c r="H69" s="59" t="n">
        <v>0</v>
      </c>
      <c r="J69" s="55"/>
      <c r="K69" s="75" t="n">
        <v>5695000</v>
      </c>
    </row>
    <row r="70" customFormat="false" ht="19.85" hidden="false" customHeight="true" outlineLevel="0" collapsed="false">
      <c r="A70" s="0" t="n">
        <v>31</v>
      </c>
      <c r="B70" s="31" t="n">
        <v>40179</v>
      </c>
      <c r="C70" s="56" t="n">
        <f aca="false">K70*0.96</f>
        <v>4870080</v>
      </c>
      <c r="D70" s="29" t="s">
        <v>41</v>
      </c>
      <c r="E70" s="33" t="n">
        <f aca="false">IF(D70="totale",(C70/(A70*24))/F70,IF(D70="marché libre",(C70/(A70*24))/G70,"spécifier histo"))</f>
        <v>0.481309297912713</v>
      </c>
      <c r="F70" s="59" t="n">
        <v>13600</v>
      </c>
      <c r="G70" s="59" t="n">
        <f aca="false">F70-H70</f>
        <v>13600</v>
      </c>
      <c r="H70" s="59" t="n">
        <v>0</v>
      </c>
      <c r="J70" s="55"/>
      <c r="K70" s="75" t="n">
        <v>5073000</v>
      </c>
    </row>
    <row r="71" customFormat="false" ht="19.85" hidden="false" customHeight="true" outlineLevel="0" collapsed="false">
      <c r="A71" s="0" t="n">
        <v>28</v>
      </c>
      <c r="B71" s="34" t="n">
        <v>40210</v>
      </c>
      <c r="C71" s="56" t="n">
        <f aca="false">K71*0.96</f>
        <v>4238400</v>
      </c>
      <c r="D71" s="29" t="s">
        <v>41</v>
      </c>
      <c r="E71" s="33" t="n">
        <f aca="false">IF(D71="totale",(C71/(A71*24))/F71,IF(D71="marché libre",(C71/(A71*24))/G71,"spécifier histo"))</f>
        <v>0.463760504201681</v>
      </c>
      <c r="F71" s="59" t="n">
        <v>13600</v>
      </c>
      <c r="G71" s="59" t="n">
        <f aca="false">F71-H71</f>
        <v>13600</v>
      </c>
      <c r="H71" s="59" t="n">
        <v>0</v>
      </c>
      <c r="J71" s="55"/>
      <c r="K71" s="75" t="n">
        <v>4415000</v>
      </c>
    </row>
    <row r="72" customFormat="false" ht="19.85" hidden="false" customHeight="true" outlineLevel="0" collapsed="false">
      <c r="A72" s="0" t="n">
        <v>31</v>
      </c>
      <c r="B72" s="31" t="n">
        <v>40238</v>
      </c>
      <c r="C72" s="56" t="n">
        <f aca="false">K72*0.96</f>
        <v>4549440</v>
      </c>
      <c r="D72" s="29" t="s">
        <v>41</v>
      </c>
      <c r="E72" s="33" t="n">
        <f aca="false">IF(D72="totale",(C72/(A72*24))/F72,IF(D72="marché libre",(C72/(A72*24))/G72,"spécifier histo"))</f>
        <v>0.449620493358634</v>
      </c>
      <c r="F72" s="59" t="n">
        <v>13600</v>
      </c>
      <c r="G72" s="59" t="n">
        <f aca="false">F72-H72</f>
        <v>13600</v>
      </c>
      <c r="H72" s="59" t="n">
        <v>0</v>
      </c>
      <c r="J72" s="55"/>
      <c r="K72" s="75" t="n">
        <v>4739000</v>
      </c>
    </row>
    <row r="73" customFormat="false" ht="19.85" hidden="false" customHeight="true" outlineLevel="0" collapsed="false">
      <c r="A73" s="0" t="n">
        <v>30</v>
      </c>
      <c r="B73" s="34" t="n">
        <v>40269</v>
      </c>
      <c r="C73" s="56" t="n">
        <f aca="false">K73*0.96</f>
        <v>5623680</v>
      </c>
      <c r="D73" s="29" t="s">
        <v>41</v>
      </c>
      <c r="E73" s="33" t="n">
        <f aca="false">IF(D73="totale",(C73/(A73*24))/F73,IF(D73="marché libre",(C73/(A73*24))/G73,"spécifier histo"))</f>
        <v>0.574313725490196</v>
      </c>
      <c r="F73" s="59" t="n">
        <v>13600</v>
      </c>
      <c r="G73" s="59" t="n">
        <f aca="false">F73-H73</f>
        <v>13600</v>
      </c>
      <c r="H73" s="59" t="n">
        <v>0</v>
      </c>
      <c r="J73" s="55"/>
      <c r="K73" s="75" t="n">
        <v>5858000</v>
      </c>
    </row>
    <row r="74" customFormat="false" ht="19.85" hidden="false" customHeight="true" outlineLevel="0" collapsed="false">
      <c r="A74" s="0" t="n">
        <v>31</v>
      </c>
      <c r="B74" s="31" t="n">
        <v>40299</v>
      </c>
      <c r="C74" s="56" t="n">
        <f aca="false">K74*0.96</f>
        <v>8966400</v>
      </c>
      <c r="D74" s="29" t="s">
        <v>41</v>
      </c>
      <c r="E74" s="33" t="n">
        <f aca="false">IF(D74="totale",(C74/(A74*24))/F74,IF(D74="marché libre",(C74/(A74*24))/G74,"spécifier histo"))</f>
        <v>0.886148007590133</v>
      </c>
      <c r="F74" s="59" t="n">
        <v>13600</v>
      </c>
      <c r="G74" s="59" t="n">
        <f aca="false">F74-H74</f>
        <v>13600</v>
      </c>
      <c r="H74" s="59" t="n">
        <v>0</v>
      </c>
      <c r="J74" s="55"/>
      <c r="K74" s="75" t="n">
        <v>9340000</v>
      </c>
    </row>
    <row r="75" customFormat="false" ht="19.85" hidden="false" customHeight="true" outlineLevel="0" collapsed="false">
      <c r="A75" s="0" t="n">
        <v>30</v>
      </c>
      <c r="B75" s="34" t="n">
        <v>40330</v>
      </c>
      <c r="C75" s="56" t="n">
        <f aca="false">K75*0.96</f>
        <v>9196800</v>
      </c>
      <c r="D75" s="29" t="s">
        <v>41</v>
      </c>
      <c r="E75" s="33" t="n">
        <f aca="false">IF(D75="totale",(C75/(A75*24))/F75,IF(D75="marché libre",(C75/(A75*24))/G75,"spécifier histo"))</f>
        <v>0.93921568627451</v>
      </c>
      <c r="F75" s="59" t="n">
        <v>13600</v>
      </c>
      <c r="G75" s="59" t="n">
        <f aca="false">F75-H75</f>
        <v>13600</v>
      </c>
      <c r="H75" s="59" t="n">
        <v>0</v>
      </c>
      <c r="J75" s="55"/>
      <c r="K75" s="75" t="n">
        <v>9580000</v>
      </c>
    </row>
    <row r="76" customFormat="false" ht="19.85" hidden="false" customHeight="true" outlineLevel="0" collapsed="false">
      <c r="A76" s="0" t="n">
        <v>31</v>
      </c>
      <c r="B76" s="31" t="n">
        <v>40360</v>
      </c>
      <c r="C76" s="56" t="n">
        <f aca="false">K76*0.96</f>
        <v>8148480</v>
      </c>
      <c r="D76" s="29" t="s">
        <v>41</v>
      </c>
      <c r="E76" s="33" t="n">
        <f aca="false">IF(D76="totale",(C76/(A76*24))/F76,IF(D76="marché libre",(C76/(A76*24))/G76,"spécifier histo"))</f>
        <v>0.805313092979127</v>
      </c>
      <c r="F76" s="59" t="n">
        <v>13600</v>
      </c>
      <c r="G76" s="59" t="n">
        <f aca="false">F76-H76</f>
        <v>13600</v>
      </c>
      <c r="H76" s="59" t="n">
        <v>0</v>
      </c>
      <c r="J76" s="55"/>
      <c r="K76" s="75" t="n">
        <v>8488000</v>
      </c>
    </row>
    <row r="77" customFormat="false" ht="19.85" hidden="false" customHeight="true" outlineLevel="0" collapsed="false">
      <c r="A77" s="0" t="n">
        <v>31</v>
      </c>
      <c r="B77" s="34" t="n">
        <v>40391</v>
      </c>
      <c r="C77" s="56" t="n">
        <f aca="false">K77*0.96</f>
        <v>6983040</v>
      </c>
      <c r="D77" s="29" t="s">
        <v>41</v>
      </c>
      <c r="E77" s="33" t="n">
        <f aca="false">IF(D77="totale",(C77/(A77*24))/F77,IF(D77="marché libre",(C77/(A77*24))/G77,"spécifier histo"))</f>
        <v>0.690132827324478</v>
      </c>
      <c r="F77" s="59" t="n">
        <v>13600</v>
      </c>
      <c r="G77" s="59" t="n">
        <f aca="false">F77-H77</f>
        <v>13600</v>
      </c>
      <c r="H77" s="59" t="n">
        <v>0</v>
      </c>
      <c r="J77" s="55"/>
      <c r="K77" s="75" t="n">
        <v>7274000</v>
      </c>
    </row>
    <row r="78" customFormat="false" ht="19.85" hidden="false" customHeight="true" outlineLevel="0" collapsed="false">
      <c r="A78" s="0" t="n">
        <v>30</v>
      </c>
      <c r="B78" s="31" t="n">
        <v>40422</v>
      </c>
      <c r="C78" s="56" t="n">
        <f aca="false">K78*0.96</f>
        <v>3336960</v>
      </c>
      <c r="D78" s="29" t="s">
        <v>41</v>
      </c>
      <c r="E78" s="33" t="n">
        <f aca="false">IF(D78="totale",(C78/(A78*24))/F78,IF(D78="marché libre",(C78/(A78*24))/G78,"spécifier histo"))</f>
        <v>0.34078431372549</v>
      </c>
      <c r="F78" s="59" t="n">
        <v>13600</v>
      </c>
      <c r="G78" s="59" t="n">
        <f aca="false">F78-H78</f>
        <v>13600</v>
      </c>
      <c r="H78" s="59" t="n">
        <v>0</v>
      </c>
      <c r="J78" s="55"/>
      <c r="K78" s="75" t="n">
        <v>3476000</v>
      </c>
    </row>
    <row r="79" customFormat="false" ht="19.85" hidden="false" customHeight="true" outlineLevel="0" collapsed="false">
      <c r="A79" s="0" t="n">
        <v>31</v>
      </c>
      <c r="B79" s="34" t="n">
        <v>40452</v>
      </c>
      <c r="C79" s="56" t="n">
        <f aca="false">K79*0.96</f>
        <v>1482240</v>
      </c>
      <c r="D79" s="29" t="s">
        <v>41</v>
      </c>
      <c r="E79" s="33" t="n">
        <f aca="false">IF(D79="totale",(C79/(A79*24))/F79,IF(D79="marché libre",(C79/(A79*24))/G79,"spécifier histo"))</f>
        <v>0.146489563567362</v>
      </c>
      <c r="F79" s="59" t="n">
        <v>13600</v>
      </c>
      <c r="G79" s="59" t="n">
        <f aca="false">F79-H79</f>
        <v>13600</v>
      </c>
      <c r="H79" s="59" t="n">
        <v>0</v>
      </c>
      <c r="J79" s="55"/>
      <c r="K79" s="75" t="n">
        <v>1544000</v>
      </c>
    </row>
    <row r="80" customFormat="false" ht="19.85" hidden="false" customHeight="true" outlineLevel="0" collapsed="false">
      <c r="A80" s="0" t="n">
        <v>30</v>
      </c>
      <c r="B80" s="31" t="n">
        <v>40483</v>
      </c>
      <c r="C80" s="56" t="n">
        <f aca="false">K80*0.96</f>
        <v>1291200</v>
      </c>
      <c r="D80" s="29" t="s">
        <v>41</v>
      </c>
      <c r="E80" s="33" t="n">
        <f aca="false">IF(D80="totale",(C80/(A80*24))/F80,IF(D80="marché libre",(C80/(A80*24))/G80,"spécifier histo"))</f>
        <v>0.131862745098039</v>
      </c>
      <c r="F80" s="59" t="n">
        <v>13600</v>
      </c>
      <c r="G80" s="59" t="n">
        <f aca="false">F80-H80</f>
        <v>13600</v>
      </c>
      <c r="H80" s="59" t="n">
        <v>0</v>
      </c>
      <c r="J80" s="55"/>
      <c r="K80" s="75" t="n">
        <v>1345000</v>
      </c>
    </row>
    <row r="81" customFormat="false" ht="19.85" hidden="false" customHeight="true" outlineLevel="0" collapsed="false">
      <c r="A81" s="0" t="n">
        <v>31</v>
      </c>
      <c r="B81" s="34" t="n">
        <v>40513</v>
      </c>
      <c r="C81" s="56" t="n">
        <f aca="false">K81*0.96</f>
        <v>6343680</v>
      </c>
      <c r="D81" s="29" t="s">
        <v>41</v>
      </c>
      <c r="E81" s="33" t="n">
        <f aca="false">IF(D81="totale",(C81/(A81*24))/F81,IF(D81="marché libre",(C81/(A81*24))/G81,"spécifier histo"))</f>
        <v>0.626944971537002</v>
      </c>
      <c r="F81" s="59" t="n">
        <v>13600</v>
      </c>
      <c r="G81" s="59" t="n">
        <f aca="false">F81-H81</f>
        <v>13600</v>
      </c>
      <c r="H81" s="59" t="n">
        <v>0</v>
      </c>
      <c r="J81" s="55"/>
      <c r="K81" s="75" t="n">
        <v>6608000</v>
      </c>
    </row>
    <row r="82" customFormat="false" ht="19.85" hidden="false" customHeight="true" outlineLevel="0" collapsed="false">
      <c r="A82" s="0" t="n">
        <v>31</v>
      </c>
      <c r="B82" s="31" t="n">
        <v>40544</v>
      </c>
      <c r="C82" s="56" t="n">
        <f aca="false">K82*0.96</f>
        <v>5056320</v>
      </c>
      <c r="D82" s="29" t="s">
        <v>41</v>
      </c>
      <c r="E82" s="33" t="n">
        <f aca="false">IF(D82="totale",(C82/(A82*24))/F82,IF(D82="marché libre",(C82/(A82*24))/G82,"spécifier histo"))</f>
        <v>0.499715370018975</v>
      </c>
      <c r="F82" s="59" t="n">
        <v>13600</v>
      </c>
      <c r="G82" s="59" t="n">
        <f aca="false">F82-H82</f>
        <v>13600</v>
      </c>
      <c r="H82" s="59" t="n">
        <v>0</v>
      </c>
      <c r="J82" s="55"/>
      <c r="K82" s="75" t="n">
        <v>5267000</v>
      </c>
    </row>
    <row r="83" customFormat="false" ht="19.85" hidden="false" customHeight="true" outlineLevel="0" collapsed="false">
      <c r="A83" s="0" t="n">
        <v>28</v>
      </c>
      <c r="B83" s="34" t="n">
        <v>40575</v>
      </c>
      <c r="C83" s="56" t="n">
        <f aca="false">K83*0.96</f>
        <v>2985600</v>
      </c>
      <c r="D83" s="29" t="s">
        <v>41</v>
      </c>
      <c r="E83" s="33" t="n">
        <f aca="false">IF(D83="totale",(C83/(A83*24))/F83,IF(D83="marché libre",(C83/(A83*24))/G83,"spécifier histo"))</f>
        <v>0.326680672268908</v>
      </c>
      <c r="F83" s="59" t="n">
        <v>13600</v>
      </c>
      <c r="G83" s="59" t="n">
        <f aca="false">F83-H83</f>
        <v>13600</v>
      </c>
      <c r="H83" s="59" t="n">
        <v>0</v>
      </c>
      <c r="J83" s="55"/>
      <c r="K83" s="75" t="n">
        <v>3110000</v>
      </c>
    </row>
    <row r="84" customFormat="false" ht="19.85" hidden="false" customHeight="true" outlineLevel="0" collapsed="false">
      <c r="A84" s="0" t="n">
        <v>31</v>
      </c>
      <c r="B84" s="31" t="n">
        <v>40603</v>
      </c>
      <c r="C84" s="56" t="n">
        <f aca="false">K84*0.96</f>
        <v>4401600</v>
      </c>
      <c r="D84" s="29" t="s">
        <v>41</v>
      </c>
      <c r="E84" s="33" t="n">
        <f aca="false">IF(D84="totale",(C84/(A84*24))/F84,IF(D84="marché libre",(C84/(A84*24))/G84,"spécifier histo"))</f>
        <v>0.435009487666034</v>
      </c>
      <c r="F84" s="59" t="n">
        <v>13600</v>
      </c>
      <c r="G84" s="59" t="n">
        <f aca="false">F84-H84</f>
        <v>13600</v>
      </c>
      <c r="H84" s="59" t="n">
        <v>0</v>
      </c>
      <c r="J84" s="55"/>
      <c r="K84" s="75" t="n">
        <v>4585000</v>
      </c>
    </row>
    <row r="85" customFormat="false" ht="19.85" hidden="false" customHeight="true" outlineLevel="0" collapsed="false">
      <c r="A85" s="0" t="n">
        <v>30</v>
      </c>
      <c r="B85" s="34" t="n">
        <v>40634</v>
      </c>
      <c r="C85" s="56" t="n">
        <f aca="false">K85*0.96</f>
        <v>5758080</v>
      </c>
      <c r="D85" s="29" t="s">
        <v>41</v>
      </c>
      <c r="E85" s="33" t="n">
        <f aca="false">IF(D85="totale",(C85/(A85*24))/F85,IF(D85="marché libre",(C85/(A85*24))/G85,"spécifier histo"))</f>
        <v>0.588039215686274</v>
      </c>
      <c r="F85" s="59" t="n">
        <v>13600</v>
      </c>
      <c r="G85" s="59" t="n">
        <f aca="false">F85-H85</f>
        <v>13600</v>
      </c>
      <c r="H85" s="59" t="n">
        <v>0</v>
      </c>
      <c r="J85" s="55"/>
      <c r="K85" s="75" t="n">
        <v>5998000</v>
      </c>
    </row>
    <row r="86" customFormat="false" ht="19.85" hidden="false" customHeight="true" outlineLevel="0" collapsed="false">
      <c r="A86" s="0" t="n">
        <v>31</v>
      </c>
      <c r="B86" s="31" t="n">
        <v>40664</v>
      </c>
      <c r="C86" s="56" t="n">
        <f aca="false">K86*0.96</f>
        <v>8235840</v>
      </c>
      <c r="D86" s="29" t="s">
        <v>41</v>
      </c>
      <c r="E86" s="33" t="n">
        <f aca="false">IF(D86="totale",(C86/(A86*24))/F86,IF(D86="marché libre",(C86/(A86*24))/G86,"spécifier histo"))</f>
        <v>0.813946869070209</v>
      </c>
      <c r="F86" s="59" t="n">
        <v>13600</v>
      </c>
      <c r="G86" s="59" t="n">
        <f aca="false">F86-H86</f>
        <v>13600</v>
      </c>
      <c r="H86" s="59" t="n">
        <v>0</v>
      </c>
      <c r="J86" s="55"/>
      <c r="K86" s="75" t="n">
        <v>8579000</v>
      </c>
    </row>
    <row r="87" customFormat="false" ht="19.85" hidden="false" customHeight="true" outlineLevel="0" collapsed="false">
      <c r="A87" s="0" t="n">
        <v>30</v>
      </c>
      <c r="B87" s="34" t="n">
        <v>40695</v>
      </c>
      <c r="C87" s="56" t="n">
        <f aca="false">K87*0.96</f>
        <v>8804160</v>
      </c>
      <c r="D87" s="29" t="s">
        <v>41</v>
      </c>
      <c r="E87" s="33" t="n">
        <f aca="false">IF(D87="totale",(C87/(A87*24))/F87,IF(D87="marché libre",(C87/(A87*24))/G87,"spécifier histo"))</f>
        <v>0.899117647058823</v>
      </c>
      <c r="F87" s="59" t="n">
        <v>13600</v>
      </c>
      <c r="G87" s="59" t="n">
        <f aca="false">F87-H87</f>
        <v>13600</v>
      </c>
      <c r="H87" s="59" t="n">
        <v>0</v>
      </c>
      <c r="J87" s="55"/>
      <c r="K87" s="75" t="n">
        <v>9171000</v>
      </c>
    </row>
    <row r="88" customFormat="false" ht="19.85" hidden="false" customHeight="true" outlineLevel="0" collapsed="false">
      <c r="A88" s="0" t="n">
        <v>31</v>
      </c>
      <c r="B88" s="31" t="n">
        <v>40725</v>
      </c>
      <c r="C88" s="56" t="n">
        <f aca="false">K88*0.96</f>
        <v>7932480</v>
      </c>
      <c r="D88" s="29" t="s">
        <v>41</v>
      </c>
      <c r="E88" s="33" t="n">
        <f aca="false">IF(D88="totale",(C88/(A88*24))/F88,IF(D88="marché libre",(C88/(A88*24))/G88,"spécifier histo"))</f>
        <v>0.783965844402277</v>
      </c>
      <c r="F88" s="59" t="n">
        <v>13600</v>
      </c>
      <c r="G88" s="59" t="n">
        <f aca="false">F88-H88</f>
        <v>13600</v>
      </c>
      <c r="H88" s="59" t="n">
        <v>0</v>
      </c>
      <c r="J88" s="55"/>
      <c r="K88" s="75" t="n">
        <v>8263000</v>
      </c>
    </row>
    <row r="89" customFormat="false" ht="19.85" hidden="false" customHeight="true" outlineLevel="0" collapsed="false">
      <c r="A89" s="0" t="n">
        <v>31</v>
      </c>
      <c r="B89" s="34" t="n">
        <v>40756</v>
      </c>
      <c r="C89" s="56" t="n">
        <f aca="false">K89*0.96</f>
        <v>5115840</v>
      </c>
      <c r="D89" s="29" t="s">
        <v>41</v>
      </c>
      <c r="E89" s="33" t="n">
        <f aca="false">IF(D89="totale",(C89/(A89*24))/F89,IF(D89="marché libre",(C89/(A89*24))/G89,"spécifier histo"))</f>
        <v>0.505597722960152</v>
      </c>
      <c r="F89" s="59" t="n">
        <v>13600</v>
      </c>
      <c r="G89" s="59" t="n">
        <f aca="false">F89-H89</f>
        <v>13600</v>
      </c>
      <c r="H89" s="59" t="n">
        <v>0</v>
      </c>
      <c r="J89" s="55"/>
      <c r="K89" s="75" t="n">
        <v>5329000</v>
      </c>
    </row>
    <row r="90" customFormat="false" ht="19.85" hidden="false" customHeight="true" outlineLevel="0" collapsed="false">
      <c r="A90" s="0" t="n">
        <v>30</v>
      </c>
      <c r="B90" s="31" t="n">
        <v>40787</v>
      </c>
      <c r="C90" s="56" t="n">
        <f aca="false">K90*0.96</f>
        <v>4130880</v>
      </c>
      <c r="D90" s="29" t="s">
        <v>41</v>
      </c>
      <c r="E90" s="33" t="n">
        <f aca="false">IF(D90="totale",(C90/(A90*24))/F90,IF(D90="marché libre",(C90/(A90*24))/G90,"spécifier histo"))</f>
        <v>0.421862745098039</v>
      </c>
      <c r="F90" s="59" t="n">
        <v>13600</v>
      </c>
      <c r="G90" s="59" t="n">
        <f aca="false">F90-H90</f>
        <v>13600</v>
      </c>
      <c r="H90" s="59" t="n">
        <v>0</v>
      </c>
      <c r="J90" s="55"/>
      <c r="K90" s="75" t="n">
        <v>4303000</v>
      </c>
    </row>
    <row r="91" customFormat="false" ht="19.85" hidden="false" customHeight="true" outlineLevel="0" collapsed="false">
      <c r="A91" s="0" t="n">
        <v>31</v>
      </c>
      <c r="B91" s="34" t="n">
        <v>40817</v>
      </c>
      <c r="C91" s="56" t="n">
        <f aca="false">K91*0.96</f>
        <v>4254720</v>
      </c>
      <c r="D91" s="29" t="s">
        <v>41</v>
      </c>
      <c r="E91" s="33" t="n">
        <f aca="false">IF(D91="totale",(C91/(A91*24))/F91,IF(D91="marché libre",(C91/(A91*24))/G91,"spécifier histo"))</f>
        <v>0.420493358633776</v>
      </c>
      <c r="F91" s="59" t="n">
        <v>13600</v>
      </c>
      <c r="G91" s="59" t="n">
        <f aca="false">F91-H91</f>
        <v>13600</v>
      </c>
      <c r="H91" s="59" t="n">
        <v>0</v>
      </c>
      <c r="J91" s="55"/>
      <c r="K91" s="75" t="n">
        <v>4432000</v>
      </c>
    </row>
    <row r="92" customFormat="false" ht="19.85" hidden="false" customHeight="true" outlineLevel="0" collapsed="false">
      <c r="A92" s="0" t="n">
        <v>30</v>
      </c>
      <c r="B92" s="31" t="n">
        <v>40848</v>
      </c>
      <c r="C92" s="56" t="n">
        <f aca="false">K92*0.96</f>
        <v>4816320</v>
      </c>
      <c r="D92" s="29" t="s">
        <v>41</v>
      </c>
      <c r="E92" s="33" t="n">
        <f aca="false">IF(D92="totale",(C92/(A92*24))/F92,IF(D92="marché libre",(C92/(A92*24))/G92,"spécifier histo"))</f>
        <v>0.491862745098039</v>
      </c>
      <c r="F92" s="59" t="n">
        <v>13600</v>
      </c>
      <c r="G92" s="59" t="n">
        <f aca="false">F92-H92</f>
        <v>13600</v>
      </c>
      <c r="H92" s="59" t="n">
        <v>0</v>
      </c>
      <c r="J92" s="55"/>
      <c r="K92" s="75" t="n">
        <v>5017000</v>
      </c>
    </row>
    <row r="93" customFormat="false" ht="19.85" hidden="false" customHeight="true" outlineLevel="0" collapsed="false">
      <c r="A93" s="0" t="n">
        <v>31</v>
      </c>
      <c r="B93" s="34" t="n">
        <v>40878</v>
      </c>
      <c r="C93" s="56" t="n">
        <f aca="false">K93*0.96</f>
        <v>5449920</v>
      </c>
      <c r="D93" s="29" t="s">
        <v>41</v>
      </c>
      <c r="E93" s="33" t="n">
        <f aca="false">IF(D93="totale",(C93/(A93*24))/F93,IF(D93="marché libre",(C93/(A93*24))/G93,"spécifier histo"))</f>
        <v>0.538614800759013</v>
      </c>
      <c r="F93" s="59" t="n">
        <v>13600</v>
      </c>
      <c r="G93" s="59" t="n">
        <f aca="false">F93-H93</f>
        <v>13600</v>
      </c>
      <c r="H93" s="59" t="n">
        <v>0</v>
      </c>
      <c r="J93" s="55"/>
      <c r="K93" s="75" t="n">
        <v>5677000</v>
      </c>
    </row>
    <row r="94" customFormat="false" ht="19.85" hidden="false" customHeight="true" outlineLevel="0" collapsed="false">
      <c r="A94" s="0" t="n">
        <v>31</v>
      </c>
      <c r="B94" s="31" t="n">
        <v>40909</v>
      </c>
      <c r="C94" s="56" t="n">
        <f aca="false">K94*0.96</f>
        <v>5895360</v>
      </c>
      <c r="D94" s="29" t="s">
        <v>41</v>
      </c>
      <c r="E94" s="33" t="n">
        <f aca="false">IF(D94="totale",(C94/(A94*24))/F94,IF(D94="marché libre",(C94/(A94*24))/G94,"spécifier histo"))</f>
        <v>0.582637571157495</v>
      </c>
      <c r="F94" s="59" t="n">
        <v>13600</v>
      </c>
      <c r="G94" s="59" t="n">
        <f aca="false">F94-H94</f>
        <v>13600</v>
      </c>
      <c r="H94" s="59" t="n">
        <v>0</v>
      </c>
      <c r="J94" s="55"/>
      <c r="K94" s="75" t="n">
        <v>6141000</v>
      </c>
    </row>
    <row r="95" customFormat="false" ht="19.85" hidden="false" customHeight="true" outlineLevel="0" collapsed="false">
      <c r="A95" s="0" t="n">
        <v>28</v>
      </c>
      <c r="B95" s="34" t="n">
        <v>40940</v>
      </c>
      <c r="C95" s="56" t="n">
        <f aca="false">K95*0.96</f>
        <v>5109120</v>
      </c>
      <c r="D95" s="29" t="s">
        <v>41</v>
      </c>
      <c r="E95" s="33" t="n">
        <f aca="false">IF(D95="totale",(C95/(A95*24))/F95,IF(D95="marché libre",(C95/(A95*24))/G95,"spécifier histo"))</f>
        <v>0.559033613445378</v>
      </c>
      <c r="F95" s="59" t="n">
        <v>13600</v>
      </c>
      <c r="G95" s="59" t="n">
        <f aca="false">F95-H95</f>
        <v>13600</v>
      </c>
      <c r="H95" s="59" t="n">
        <v>0</v>
      </c>
      <c r="J95" s="55"/>
      <c r="K95" s="75" t="n">
        <v>5322000</v>
      </c>
    </row>
    <row r="96" customFormat="false" ht="19.85" hidden="false" customHeight="true" outlineLevel="0" collapsed="false">
      <c r="A96" s="0" t="n">
        <v>31</v>
      </c>
      <c r="B96" s="31" t="n">
        <v>40969</v>
      </c>
      <c r="C96" s="56" t="n">
        <f aca="false">K96*0.96</f>
        <v>4634880</v>
      </c>
      <c r="D96" s="29" t="s">
        <v>41</v>
      </c>
      <c r="E96" s="33" t="n">
        <f aca="false">IF(D96="totale",(C96/(A96*24))/F96,IF(D96="marché libre",(C96/(A96*24))/G96,"spécifier histo"))</f>
        <v>0.458064516129032</v>
      </c>
      <c r="F96" s="59" t="n">
        <v>13600</v>
      </c>
      <c r="G96" s="59" t="n">
        <f aca="false">F96-H96</f>
        <v>13600</v>
      </c>
      <c r="H96" s="59" t="n">
        <v>0</v>
      </c>
      <c r="J96" s="55"/>
      <c r="K96" s="75" t="n">
        <v>4828000</v>
      </c>
    </row>
    <row r="97" customFormat="false" ht="19.85" hidden="false" customHeight="true" outlineLevel="0" collapsed="false">
      <c r="A97" s="0" t="n">
        <v>30</v>
      </c>
      <c r="B97" s="34" t="n">
        <v>41000</v>
      </c>
      <c r="C97" s="56" t="n">
        <f aca="false">K97*0.96</f>
        <v>4768320</v>
      </c>
      <c r="D97" s="29" t="s">
        <v>41</v>
      </c>
      <c r="E97" s="33" t="n">
        <f aca="false">IF(D97="totale",(C97/(A97*24))/F97,IF(D97="marché libre",(C97/(A97*24))/G97,"spécifier histo"))</f>
        <v>0.486960784313726</v>
      </c>
      <c r="F97" s="59" t="n">
        <v>13600</v>
      </c>
      <c r="G97" s="59" t="n">
        <f aca="false">F97-H97</f>
        <v>13600</v>
      </c>
      <c r="H97" s="59" t="n">
        <v>0</v>
      </c>
      <c r="J97" s="55"/>
      <c r="K97" s="75" t="n">
        <v>4967000</v>
      </c>
    </row>
    <row r="98" customFormat="false" ht="19.85" hidden="false" customHeight="true" outlineLevel="0" collapsed="false">
      <c r="A98" s="0" t="n">
        <v>31</v>
      </c>
      <c r="B98" s="31" t="n">
        <v>41030</v>
      </c>
      <c r="C98" s="56" t="n">
        <f aca="false">K98*0.96</f>
        <v>9713280</v>
      </c>
      <c r="D98" s="29" t="s">
        <v>41</v>
      </c>
      <c r="E98" s="33" t="n">
        <f aca="false">IF(D98="totale",(C98/(A98*24))/F98,IF(D98="marché libre",(C98/(A98*24))/G98,"spécifier histo"))</f>
        <v>0.959962049335863</v>
      </c>
      <c r="F98" s="59" t="n">
        <v>13600</v>
      </c>
      <c r="G98" s="59" t="n">
        <f aca="false">F98-H98</f>
        <v>13600</v>
      </c>
      <c r="H98" s="59" t="n">
        <v>0</v>
      </c>
      <c r="J98" s="55"/>
      <c r="K98" s="75" t="n">
        <v>10118000</v>
      </c>
    </row>
    <row r="99" customFormat="false" ht="19.85" hidden="false" customHeight="true" outlineLevel="0" collapsed="false">
      <c r="A99" s="0" t="n">
        <v>30</v>
      </c>
      <c r="B99" s="34" t="n">
        <v>41061</v>
      </c>
      <c r="C99" s="56" t="n">
        <f aca="false">K99*0.96</f>
        <v>9323520</v>
      </c>
      <c r="D99" s="29" t="s">
        <v>41</v>
      </c>
      <c r="E99" s="33" t="n">
        <f aca="false">IF(D99="totale",(C99/(A99*24))/F99,IF(D99="marché libre",(C99/(A99*24))/G99,"spécifier histo"))</f>
        <v>0.952156862745098</v>
      </c>
      <c r="F99" s="59" t="n">
        <v>13600</v>
      </c>
      <c r="G99" s="59" t="n">
        <f aca="false">F99-H99</f>
        <v>13600</v>
      </c>
      <c r="H99" s="59" t="n">
        <v>0</v>
      </c>
      <c r="J99" s="55"/>
      <c r="K99" s="75" t="n">
        <v>9712000</v>
      </c>
    </row>
    <row r="100" customFormat="false" ht="19.85" hidden="false" customHeight="true" outlineLevel="0" collapsed="false">
      <c r="A100" s="0" t="n">
        <v>31</v>
      </c>
      <c r="B100" s="31" t="n">
        <v>41091</v>
      </c>
      <c r="C100" s="56" t="n">
        <f aca="false">K100*0.96</f>
        <v>6844800</v>
      </c>
      <c r="D100" s="29" t="s">
        <v>41</v>
      </c>
      <c r="E100" s="33" t="n">
        <f aca="false">IF(D100="totale",(C100/(A100*24))/F100,IF(D100="marché libre",(C100/(A100*24))/G100,"spécifier histo"))</f>
        <v>0.676470588235294</v>
      </c>
      <c r="F100" s="59" t="n">
        <v>13600</v>
      </c>
      <c r="G100" s="59" t="n">
        <f aca="false">F100-H100</f>
        <v>13600</v>
      </c>
      <c r="H100" s="59" t="n">
        <v>0</v>
      </c>
      <c r="J100" s="55"/>
      <c r="K100" s="75" t="n">
        <v>7130000</v>
      </c>
    </row>
    <row r="101" customFormat="false" ht="19.85" hidden="false" customHeight="true" outlineLevel="0" collapsed="false">
      <c r="A101" s="0" t="n">
        <v>31</v>
      </c>
      <c r="B101" s="34" t="n">
        <v>41122</v>
      </c>
      <c r="C101" s="56" t="n">
        <f aca="false">K101*0.96</f>
        <v>3761280.00000006</v>
      </c>
      <c r="D101" s="29" t="s">
        <v>41</v>
      </c>
      <c r="E101" s="33" t="n">
        <f aca="false">IF(D101="totale",(C101/(A101*24))/F101,IF(D101="marché libre",(C101/(A101*24))/G101,"spécifier histo"))</f>
        <v>0.371726755218222</v>
      </c>
      <c r="F101" s="59" t="n">
        <v>13600</v>
      </c>
      <c r="G101" s="59" t="n">
        <f aca="false">F101-H101</f>
        <v>13600</v>
      </c>
      <c r="H101" s="59" t="n">
        <v>0</v>
      </c>
      <c r="J101" s="55"/>
      <c r="K101" s="75" t="n">
        <v>3918000.00000006</v>
      </c>
    </row>
    <row r="102" customFormat="false" ht="19.85" hidden="false" customHeight="true" outlineLevel="0" collapsed="false">
      <c r="A102" s="0" t="n">
        <v>30</v>
      </c>
      <c r="B102" s="31" t="n">
        <v>41153</v>
      </c>
      <c r="C102" s="56" t="n">
        <f aca="false">K102*0.96</f>
        <v>6931200</v>
      </c>
      <c r="D102" s="29" t="s">
        <v>41</v>
      </c>
      <c r="E102" s="33" t="n">
        <f aca="false">IF(D102="totale",(C102/(A102*24))/F102,IF(D102="marché libre",(C102/(A102*24))/G102,"spécifier histo"))</f>
        <v>0.707843137254902</v>
      </c>
      <c r="F102" s="59" t="n">
        <v>13600</v>
      </c>
      <c r="G102" s="59" t="n">
        <f aca="false">F102-H102</f>
        <v>13600</v>
      </c>
      <c r="H102" s="59" t="n">
        <v>0</v>
      </c>
      <c r="J102" s="55"/>
      <c r="K102" s="75" t="n">
        <v>7220000</v>
      </c>
    </row>
    <row r="103" customFormat="false" ht="19.85" hidden="false" customHeight="true" outlineLevel="0" collapsed="false">
      <c r="A103" s="0" t="n">
        <v>31</v>
      </c>
      <c r="B103" s="34" t="n">
        <v>41183</v>
      </c>
      <c r="C103" s="56" t="n">
        <f aca="false">K103*0.96</f>
        <v>6656640</v>
      </c>
      <c r="D103" s="29" t="s">
        <v>41</v>
      </c>
      <c r="E103" s="33" t="n">
        <f aca="false">IF(D103="totale",(C103/(A103*24))/F103,IF(D103="marché libre",(C103/(A103*24))/G103,"spécifier histo"))</f>
        <v>0.657874762808349</v>
      </c>
      <c r="F103" s="59" t="n">
        <v>13600</v>
      </c>
      <c r="G103" s="59" t="n">
        <f aca="false">F103-H103</f>
        <v>13600</v>
      </c>
      <c r="H103" s="59" t="n">
        <v>0</v>
      </c>
      <c r="J103" s="55"/>
      <c r="K103" s="75" t="n">
        <v>6934000</v>
      </c>
    </row>
    <row r="104" customFormat="false" ht="19.85" hidden="false" customHeight="true" outlineLevel="0" collapsed="false">
      <c r="A104" s="0" t="n">
        <v>30</v>
      </c>
      <c r="B104" s="31" t="n">
        <v>41214</v>
      </c>
      <c r="C104" s="56" t="n">
        <f aca="false">K104*0.96</f>
        <v>7434240</v>
      </c>
      <c r="D104" s="29" t="s">
        <v>41</v>
      </c>
      <c r="E104" s="33" t="n">
        <f aca="false">IF(D104="totale",(C104/(A104*24))/F104,IF(D104="marché libre",(C104/(A104*24))/G104,"spécifier histo"))</f>
        <v>0.75921568627451</v>
      </c>
      <c r="F104" s="59" t="n">
        <v>13600</v>
      </c>
      <c r="G104" s="59" t="n">
        <f aca="false">F104-H104</f>
        <v>13600</v>
      </c>
      <c r="H104" s="59" t="n">
        <v>0</v>
      </c>
      <c r="J104" s="55"/>
      <c r="K104" s="75" t="n">
        <v>7744000</v>
      </c>
    </row>
    <row r="105" customFormat="false" ht="19.85" hidden="false" customHeight="true" outlineLevel="0" collapsed="false">
      <c r="A105" s="0" t="n">
        <v>31</v>
      </c>
      <c r="B105" s="34" t="n">
        <v>41244</v>
      </c>
      <c r="C105" s="56" t="n">
        <f aca="false">K105*0.96</f>
        <v>7589760</v>
      </c>
      <c r="D105" s="29" t="s">
        <v>41</v>
      </c>
      <c r="E105" s="33" t="n">
        <f aca="false">IF(D105="totale",(C105/(A105*24))/F105,IF(D105="marché libre",(C105/(A105*24))/G105,"spécifier histo"))</f>
        <v>0.750094876660342</v>
      </c>
      <c r="F105" s="59" t="n">
        <v>13600</v>
      </c>
      <c r="G105" s="59" t="n">
        <f aca="false">F105-H105</f>
        <v>13600</v>
      </c>
      <c r="H105" s="59" t="n">
        <v>0</v>
      </c>
      <c r="J105" s="55"/>
      <c r="K105" s="75" t="n">
        <v>7906000</v>
      </c>
    </row>
    <row r="106" customFormat="false" ht="19.85" hidden="false" customHeight="true" outlineLevel="0" collapsed="false">
      <c r="A106" s="0" t="n">
        <v>31</v>
      </c>
      <c r="B106" s="31" t="n">
        <v>41275</v>
      </c>
      <c r="C106" s="56" t="n">
        <f aca="false">K106*0.96</f>
        <v>6459840</v>
      </c>
      <c r="D106" s="29" t="s">
        <v>41</v>
      </c>
      <c r="E106" s="33" t="n">
        <f aca="false">IF(D106="totale",(C106/(A106*24))/F106,IF(D106="marché libre",(C106/(A106*24))/G106,"spécifier histo"))</f>
        <v>0.63842504743833</v>
      </c>
      <c r="F106" s="59" t="n">
        <v>13600</v>
      </c>
      <c r="G106" s="59" t="n">
        <f aca="false">F106-H106</f>
        <v>13600</v>
      </c>
      <c r="H106" s="59" t="n">
        <v>0</v>
      </c>
      <c r="J106" s="55"/>
      <c r="K106" s="75" t="n">
        <v>6729000</v>
      </c>
    </row>
    <row r="107" customFormat="false" ht="19.85" hidden="false" customHeight="true" outlineLevel="0" collapsed="false">
      <c r="A107" s="0" t="n">
        <v>28</v>
      </c>
      <c r="B107" s="34" t="n">
        <v>41306</v>
      </c>
      <c r="C107" s="56" t="n">
        <f aca="false">K107*0.96</f>
        <v>5330880</v>
      </c>
      <c r="D107" s="29" t="s">
        <v>41</v>
      </c>
      <c r="E107" s="33" t="n">
        <f aca="false">IF(D107="totale",(C107/(A107*24))/F107,IF(D107="marché libre",(C107/(A107*24))/G107,"spécifier histo"))</f>
        <v>0.583298319327731</v>
      </c>
      <c r="F107" s="59" t="n">
        <v>13600</v>
      </c>
      <c r="G107" s="59" t="n">
        <f aca="false">F107-H107</f>
        <v>13600</v>
      </c>
      <c r="H107" s="59" t="n">
        <v>0</v>
      </c>
      <c r="J107" s="55"/>
      <c r="K107" s="75" t="n">
        <v>5553000</v>
      </c>
    </row>
    <row r="108" customFormat="false" ht="19.85" hidden="false" customHeight="true" outlineLevel="0" collapsed="false">
      <c r="A108" s="0" t="n">
        <v>31</v>
      </c>
      <c r="B108" s="31" t="n">
        <v>41334</v>
      </c>
      <c r="C108" s="56" t="n">
        <f aca="false">K108*0.96</f>
        <v>5292480</v>
      </c>
      <c r="D108" s="29" t="s">
        <v>41</v>
      </c>
      <c r="E108" s="33" t="n">
        <f aca="false">IF(D108="totale",(C108/(A108*24))/F108,IF(D108="marché libre",(C108/(A108*24))/G108,"spécifier histo"))</f>
        <v>0.523055028462998</v>
      </c>
      <c r="F108" s="59" t="n">
        <v>13600</v>
      </c>
      <c r="G108" s="59" t="n">
        <f aca="false">F108-H108</f>
        <v>13600</v>
      </c>
      <c r="H108" s="59" t="n">
        <v>0</v>
      </c>
      <c r="J108" s="55"/>
      <c r="K108" s="75" t="n">
        <v>5513000</v>
      </c>
    </row>
    <row r="109" customFormat="false" ht="19.85" hidden="false" customHeight="true" outlineLevel="0" collapsed="false">
      <c r="A109" s="0" t="n">
        <v>30</v>
      </c>
      <c r="B109" s="34" t="n">
        <v>41365</v>
      </c>
      <c r="C109" s="56" t="n">
        <f aca="false">K109*0.96</f>
        <v>7154880</v>
      </c>
      <c r="D109" s="29" t="s">
        <v>41</v>
      </c>
      <c r="E109" s="33" t="n">
        <f aca="false">IF(D109="totale",(C109/(A109*24))/F109,IF(D109="marché libre",(C109/(A109*24))/G109,"spécifier histo"))</f>
        <v>0.730686274509804</v>
      </c>
      <c r="F109" s="59" t="n">
        <v>13600</v>
      </c>
      <c r="G109" s="59" t="n">
        <f aca="false">F109-H109</f>
        <v>13600</v>
      </c>
      <c r="H109" s="59" t="n">
        <v>0</v>
      </c>
      <c r="J109" s="55"/>
      <c r="K109" s="75" t="n">
        <v>7453000</v>
      </c>
    </row>
    <row r="110" customFormat="false" ht="19.85" hidden="false" customHeight="true" outlineLevel="0" collapsed="false">
      <c r="A110" s="0" t="n">
        <v>31</v>
      </c>
      <c r="B110" s="31" t="n">
        <v>41395</v>
      </c>
      <c r="C110" s="56" t="n">
        <f aca="false">K110*0.96</f>
        <v>9551040</v>
      </c>
      <c r="D110" s="29" t="s">
        <v>41</v>
      </c>
      <c r="E110" s="33" t="n">
        <f aca="false">IF(D110="totale",(C110/(A110*24))/F110,IF(D110="marché libre",(C110/(A110*24))/G110,"spécifier histo"))</f>
        <v>0.94392789373814</v>
      </c>
      <c r="F110" s="59" t="n">
        <v>13600</v>
      </c>
      <c r="G110" s="59" t="n">
        <f aca="false">F110-H110</f>
        <v>13600</v>
      </c>
      <c r="H110" s="59" t="n">
        <v>0</v>
      </c>
      <c r="J110" s="55"/>
      <c r="K110" s="75" t="n">
        <v>9949000</v>
      </c>
    </row>
    <row r="111" customFormat="false" ht="19.85" hidden="false" customHeight="true" outlineLevel="0" collapsed="false">
      <c r="A111" s="0" t="n">
        <v>30</v>
      </c>
      <c r="B111" s="34" t="n">
        <v>41426</v>
      </c>
      <c r="C111" s="56" t="n">
        <f aca="false">K111*0.96</f>
        <v>9264960</v>
      </c>
      <c r="D111" s="29" t="s">
        <v>41</v>
      </c>
      <c r="E111" s="33" t="n">
        <f aca="false">IF(D111="totale",(C111/(A111*24))/F111,IF(D111="marché libre",(C111/(A111*24))/G111,"spécifier histo"))</f>
        <v>0.946176470588235</v>
      </c>
      <c r="F111" s="59" t="n">
        <v>13600</v>
      </c>
      <c r="G111" s="59" t="n">
        <f aca="false">F111-H111</f>
        <v>13600</v>
      </c>
      <c r="H111" s="59" t="n">
        <v>0</v>
      </c>
      <c r="J111" s="55"/>
      <c r="K111" s="75" t="n">
        <v>9651000</v>
      </c>
    </row>
    <row r="112" customFormat="false" ht="19.85" hidden="false" customHeight="true" outlineLevel="0" collapsed="false">
      <c r="A112" s="0" t="n">
        <v>31</v>
      </c>
      <c r="B112" s="31" t="n">
        <v>41456</v>
      </c>
      <c r="C112" s="56" t="n">
        <f aca="false">K112*0.96</f>
        <v>9112320</v>
      </c>
      <c r="D112" s="29" t="s">
        <v>41</v>
      </c>
      <c r="E112" s="33" t="n">
        <f aca="false">IF(D112="totale",(C112/(A112*24))/F112,IF(D112="marché libre",(C112/(A112*24))/G112,"spécifier histo"))</f>
        <v>0.900569259962049</v>
      </c>
      <c r="F112" s="59" t="n">
        <v>13600</v>
      </c>
      <c r="G112" s="59" t="n">
        <f aca="false">F112-H112</f>
        <v>13600</v>
      </c>
      <c r="H112" s="59" t="n">
        <v>0</v>
      </c>
      <c r="J112" s="55"/>
      <c r="K112" s="75" t="n">
        <v>9492000</v>
      </c>
    </row>
    <row r="113" customFormat="false" ht="19.85" hidden="false" customHeight="true" outlineLevel="0" collapsed="false">
      <c r="A113" s="0" t="n">
        <v>31</v>
      </c>
      <c r="B113" s="34" t="n">
        <v>41487</v>
      </c>
      <c r="C113" s="56" t="n">
        <f aca="false">K113*0.96</f>
        <v>6954240</v>
      </c>
      <c r="D113" s="29" t="s">
        <v>41</v>
      </c>
      <c r="E113" s="33" t="n">
        <f aca="false">IF(D113="totale",(C113/(A113*24))/F113,IF(D113="marché libre",(C113/(A113*24))/G113,"spécifier histo"))</f>
        <v>0.687286527514232</v>
      </c>
      <c r="F113" s="59" t="n">
        <v>13600</v>
      </c>
      <c r="G113" s="59" t="n">
        <f aca="false">F113-H113</f>
        <v>13600</v>
      </c>
      <c r="H113" s="59" t="n">
        <v>0</v>
      </c>
      <c r="J113" s="55"/>
      <c r="K113" s="75" t="n">
        <v>7244000</v>
      </c>
    </row>
    <row r="114" customFormat="false" ht="19.85" hidden="false" customHeight="true" outlineLevel="0" collapsed="false">
      <c r="A114" s="0" t="n">
        <v>30</v>
      </c>
      <c r="B114" s="31" t="n">
        <v>41518</v>
      </c>
      <c r="C114" s="56" t="n">
        <f aca="false">K114*0.96</f>
        <v>5299200</v>
      </c>
      <c r="D114" s="29" t="s">
        <v>41</v>
      </c>
      <c r="E114" s="33" t="n">
        <f aca="false">IF(D114="totale",(C114/(A114*24))/F114,IF(D114="marché libre",(C114/(A114*24))/G114,"spécifier histo"))</f>
        <v>0.541176470588235</v>
      </c>
      <c r="F114" s="59" t="n">
        <v>13600</v>
      </c>
      <c r="G114" s="59" t="n">
        <f aca="false">F114-H114</f>
        <v>13600</v>
      </c>
      <c r="H114" s="59" t="n">
        <v>0</v>
      </c>
      <c r="J114" s="55"/>
      <c r="K114" s="75" t="n">
        <v>5520000</v>
      </c>
    </row>
    <row r="115" customFormat="false" ht="19.85" hidden="false" customHeight="true" outlineLevel="0" collapsed="false">
      <c r="A115" s="0" t="n">
        <v>31</v>
      </c>
      <c r="B115" s="34" t="n">
        <v>41548</v>
      </c>
      <c r="C115" s="56" t="n">
        <f aca="false">K115*0.96</f>
        <v>6590400</v>
      </c>
      <c r="D115" s="29" t="s">
        <v>41</v>
      </c>
      <c r="E115" s="33" t="n">
        <f aca="false">IF(D115="totale",(C115/(A115*24))/F115,IF(D115="marché libre",(C115/(A115*24))/G115,"spécifier histo"))</f>
        <v>0.651328273244782</v>
      </c>
      <c r="F115" s="59" t="n">
        <v>13600</v>
      </c>
      <c r="G115" s="59" t="n">
        <f aca="false">F115-H115</f>
        <v>13600</v>
      </c>
      <c r="H115" s="59" t="n">
        <v>0</v>
      </c>
      <c r="J115" s="55"/>
      <c r="K115" s="75" t="n">
        <v>6865000</v>
      </c>
    </row>
    <row r="116" customFormat="false" ht="19.85" hidden="false" customHeight="true" outlineLevel="0" collapsed="false">
      <c r="A116" s="0" t="n">
        <v>30</v>
      </c>
      <c r="B116" s="31" t="n">
        <v>41579</v>
      </c>
      <c r="C116" s="56" t="n">
        <f aca="false">K116*0.96</f>
        <v>8283840</v>
      </c>
      <c r="D116" s="29" t="s">
        <v>41</v>
      </c>
      <c r="E116" s="33" t="n">
        <f aca="false">IF(D116="totale",(C116/(A116*24))/F116,IF(D116="marché libre",(C116/(A116*24))/G116,"spécifier histo"))</f>
        <v>0.845980392156863</v>
      </c>
      <c r="F116" s="59" t="n">
        <v>13600</v>
      </c>
      <c r="G116" s="59" t="n">
        <f aca="false">F116-H116</f>
        <v>13600</v>
      </c>
      <c r="H116" s="59" t="n">
        <v>0</v>
      </c>
      <c r="J116" s="55"/>
      <c r="K116" s="75" t="n">
        <v>8629000</v>
      </c>
    </row>
    <row r="117" customFormat="false" ht="19.85" hidden="false" customHeight="true" outlineLevel="0" collapsed="false">
      <c r="A117" s="0" t="n">
        <v>31</v>
      </c>
      <c r="B117" s="34" t="n">
        <v>41609</v>
      </c>
      <c r="C117" s="56" t="n">
        <f aca="false">K117*0.96</f>
        <v>5024640</v>
      </c>
      <c r="D117" s="29" t="s">
        <v>41</v>
      </c>
      <c r="E117" s="33" t="n">
        <f aca="false">IF(D117="totale",(C117/(A117*24))/F117,IF(D117="marché libre",(C117/(A117*24))/G117,"spécifier histo"))</f>
        <v>0.496584440227704</v>
      </c>
      <c r="F117" s="59" t="n">
        <v>13600</v>
      </c>
      <c r="G117" s="59" t="n">
        <f aca="false">F117-H117</f>
        <v>13600</v>
      </c>
      <c r="H117" s="59" t="n">
        <v>0</v>
      </c>
      <c r="J117" s="55"/>
      <c r="K117" s="75" t="n">
        <v>5234000</v>
      </c>
    </row>
    <row r="118" customFormat="false" ht="19.85" hidden="false" customHeight="true" outlineLevel="0" collapsed="false">
      <c r="A118" s="0" t="n">
        <v>31</v>
      </c>
      <c r="B118" s="31" t="n">
        <v>41640</v>
      </c>
      <c r="C118" s="56" t="n">
        <f aca="false">K118*0.96</f>
        <v>4753920</v>
      </c>
      <c r="D118" s="29" t="s">
        <v>41</v>
      </c>
      <c r="E118" s="33" t="n">
        <f aca="false">IF(D118="totale",(C118/(A118*24))/F118,IF(D118="marché libre",(C118/(A118*24))/G118,"spécifier histo"))</f>
        <v>0.469829222011385</v>
      </c>
      <c r="F118" s="59" t="n">
        <v>13600</v>
      </c>
      <c r="G118" s="59" t="n">
        <f aca="false">F118-H118</f>
        <v>13600</v>
      </c>
      <c r="H118" s="59" t="n">
        <v>0</v>
      </c>
      <c r="J118" s="55"/>
      <c r="K118" s="75" t="n">
        <v>4952000</v>
      </c>
    </row>
    <row r="119" customFormat="false" ht="19.85" hidden="false" customHeight="true" outlineLevel="0" collapsed="false">
      <c r="A119" s="0" t="n">
        <v>28</v>
      </c>
      <c r="B119" s="34" t="n">
        <v>41671</v>
      </c>
      <c r="C119" s="56" t="n">
        <f aca="false">K119*0.96</f>
        <v>4860480</v>
      </c>
      <c r="D119" s="29" t="s">
        <v>41</v>
      </c>
      <c r="E119" s="33" t="n">
        <f aca="false">IF(D119="totale",(C119/(A119*24))/F119,IF(D119="marché libre",(C119/(A119*24))/G119,"spécifier histo"))</f>
        <v>0.531827731092437</v>
      </c>
      <c r="F119" s="59" t="n">
        <v>13600</v>
      </c>
      <c r="G119" s="59" t="n">
        <f aca="false">F119-H119</f>
        <v>13600</v>
      </c>
      <c r="H119" s="59" t="n">
        <v>0</v>
      </c>
      <c r="J119" s="55"/>
      <c r="K119" s="75" t="n">
        <v>5063000</v>
      </c>
    </row>
    <row r="120" customFormat="false" ht="19.85" hidden="false" customHeight="true" outlineLevel="0" collapsed="false">
      <c r="A120" s="0" t="n">
        <v>31</v>
      </c>
      <c r="B120" s="31" t="n">
        <v>41699</v>
      </c>
      <c r="C120" s="56" t="n">
        <f aca="false">K120*0.96</f>
        <v>5773440</v>
      </c>
      <c r="D120" s="29" t="s">
        <v>41</v>
      </c>
      <c r="E120" s="33" t="n">
        <f aca="false">IF(D120="totale",(C120/(A120*24))/F120,IF(D120="marché libre",(C120/(A120*24))/G120,"spécifier histo"))</f>
        <v>0.570588235294118</v>
      </c>
      <c r="F120" s="59" t="n">
        <v>13600</v>
      </c>
      <c r="G120" s="59" t="n">
        <f aca="false">F120-H120</f>
        <v>13600</v>
      </c>
      <c r="H120" s="59" t="n">
        <v>0</v>
      </c>
      <c r="J120" s="55"/>
      <c r="K120" s="75" t="n">
        <v>6014000</v>
      </c>
    </row>
    <row r="121" customFormat="false" ht="19.85" hidden="false" customHeight="true" outlineLevel="0" collapsed="false">
      <c r="A121" s="0" t="n">
        <v>30</v>
      </c>
      <c r="B121" s="34" t="n">
        <v>41730</v>
      </c>
      <c r="C121" s="56" t="n">
        <f aca="false">K121*0.96</f>
        <v>7849920</v>
      </c>
      <c r="D121" s="29" t="s">
        <v>41</v>
      </c>
      <c r="E121" s="33" t="n">
        <f aca="false">IF(D121="totale",(C121/(A121*24))/F121,IF(D121="marché libre",(C121/(A121*24))/G121,"spécifier histo"))</f>
        <v>0.801666666666667</v>
      </c>
      <c r="F121" s="59" t="n">
        <v>13600</v>
      </c>
      <c r="G121" s="59" t="n">
        <f aca="false">F121-H121</f>
        <v>13600</v>
      </c>
      <c r="H121" s="59" t="n">
        <v>0</v>
      </c>
      <c r="J121" s="55"/>
      <c r="K121" s="75" t="n">
        <v>8177000</v>
      </c>
    </row>
    <row r="122" customFormat="false" ht="19.85" hidden="false" customHeight="true" outlineLevel="0" collapsed="false">
      <c r="A122" s="0" t="n">
        <v>31</v>
      </c>
      <c r="B122" s="31" t="n">
        <v>41760</v>
      </c>
      <c r="C122" s="56" t="n">
        <f aca="false">K122*0.96</f>
        <v>9371520</v>
      </c>
      <c r="D122" s="29" t="s">
        <v>41</v>
      </c>
      <c r="E122" s="33" t="n">
        <f aca="false">IF(D122="totale",(C122/(A122*24))/F122,IF(D122="marché libre",(C122/(A122*24))/G122,"spécifier histo"))</f>
        <v>0.926185958254269</v>
      </c>
      <c r="F122" s="59" t="n">
        <v>13600</v>
      </c>
      <c r="G122" s="59" t="n">
        <f aca="false">F122-H122</f>
        <v>13600</v>
      </c>
      <c r="H122" s="59" t="n">
        <v>0</v>
      </c>
      <c r="J122" s="55"/>
      <c r="K122" s="75" t="n">
        <v>9762000</v>
      </c>
    </row>
    <row r="123" customFormat="false" ht="19.85" hidden="false" customHeight="true" outlineLevel="0" collapsed="false">
      <c r="A123" s="0" t="n">
        <v>30</v>
      </c>
      <c r="B123" s="34" t="n">
        <v>41791</v>
      </c>
      <c r="C123" s="56" t="n">
        <f aca="false">K123*0.96</f>
        <v>8921280</v>
      </c>
      <c r="D123" s="29" t="s">
        <v>41</v>
      </c>
      <c r="E123" s="33" t="n">
        <f aca="false">IF(D123="totale",(C123/(A123*24))/F123,IF(D123="marché libre",(C123/(A123*24))/G123,"spécifier histo"))</f>
        <v>0.911078431372549</v>
      </c>
      <c r="F123" s="59" t="n">
        <v>13600</v>
      </c>
      <c r="G123" s="59" t="n">
        <f aca="false">F123-H123</f>
        <v>13600</v>
      </c>
      <c r="H123" s="59" t="n">
        <v>0</v>
      </c>
      <c r="J123" s="55"/>
      <c r="K123" s="75" t="n">
        <v>9293000</v>
      </c>
    </row>
    <row r="124" customFormat="false" ht="19.85" hidden="false" customHeight="true" outlineLevel="0" collapsed="false">
      <c r="A124" s="0" t="n">
        <v>31</v>
      </c>
      <c r="B124" s="31" t="n">
        <v>41821</v>
      </c>
      <c r="C124" s="56" t="n">
        <f aca="false">K124*0.96</f>
        <v>9249600</v>
      </c>
      <c r="D124" s="29" t="s">
        <v>41</v>
      </c>
      <c r="E124" s="33" t="n">
        <f aca="false">IF(D124="totale",(C124/(A124*24))/F124,IF(D124="marché libre",(C124/(A124*24))/G124,"spécifier histo"))</f>
        <v>0.914136622390892</v>
      </c>
      <c r="F124" s="59" t="n">
        <v>13600</v>
      </c>
      <c r="G124" s="59" t="n">
        <f aca="false">F124-H124</f>
        <v>13600</v>
      </c>
      <c r="H124" s="59" t="n">
        <v>0</v>
      </c>
      <c r="J124" s="55"/>
      <c r="K124" s="75" t="n">
        <v>9635000</v>
      </c>
    </row>
    <row r="125" customFormat="false" ht="19.85" hidden="false" customHeight="true" outlineLevel="0" collapsed="false">
      <c r="A125" s="0" t="n">
        <v>31</v>
      </c>
      <c r="B125" s="34" t="n">
        <v>41852</v>
      </c>
      <c r="C125" s="56" t="n">
        <f aca="false">K125*0.96</f>
        <v>6316800</v>
      </c>
      <c r="D125" s="29" t="s">
        <v>41</v>
      </c>
      <c r="E125" s="33" t="n">
        <f aca="false">IF(D125="totale",(C125/(A125*24))/F125,IF(D125="marché libre",(C125/(A125*24))/G125,"spécifier histo"))</f>
        <v>0.624288425047438</v>
      </c>
      <c r="F125" s="59" t="n">
        <v>13600</v>
      </c>
      <c r="G125" s="59" t="n">
        <f aca="false">F125-H125</f>
        <v>13600</v>
      </c>
      <c r="H125" s="59" t="n">
        <v>0</v>
      </c>
      <c r="J125" s="55"/>
      <c r="K125" s="75" t="n">
        <v>6580000</v>
      </c>
    </row>
    <row r="126" customFormat="false" ht="19.85" hidden="false" customHeight="true" outlineLevel="0" collapsed="false">
      <c r="A126" s="0" t="n">
        <v>30</v>
      </c>
      <c r="B126" s="31" t="n">
        <v>41883</v>
      </c>
      <c r="C126" s="56" t="n">
        <f aca="false">K126*0.96</f>
        <v>3476160</v>
      </c>
      <c r="D126" s="29" t="s">
        <v>41</v>
      </c>
      <c r="E126" s="33" t="n">
        <f aca="false">IF(D126="totale",(C126/(A126*24))/F126,IF(D126="marché libre",(C126/(A126*24))/G126,"spécifier histo"))</f>
        <v>0.355</v>
      </c>
      <c r="F126" s="59" t="n">
        <v>13600</v>
      </c>
      <c r="G126" s="59" t="n">
        <f aca="false">F126-H126</f>
        <v>13600</v>
      </c>
      <c r="H126" s="59" t="n">
        <v>0</v>
      </c>
      <c r="J126" s="55"/>
      <c r="K126" s="75" t="n">
        <v>3621000</v>
      </c>
    </row>
    <row r="127" customFormat="false" ht="19.85" hidden="false" customHeight="true" outlineLevel="0" collapsed="false">
      <c r="A127" s="0" t="n">
        <v>31</v>
      </c>
      <c r="B127" s="34" t="n">
        <v>41913</v>
      </c>
      <c r="C127" s="56" t="n">
        <f aca="false">K127*0.96</f>
        <v>2448960</v>
      </c>
      <c r="D127" s="29" t="s">
        <v>41</v>
      </c>
      <c r="E127" s="33" t="n">
        <f aca="false">IF(D127="totale",(C127/(A127*24))/F127,IF(D127="marché libre",(C127/(A127*24))/G127,"spécifier histo"))</f>
        <v>0.242030360531309</v>
      </c>
      <c r="F127" s="59" t="n">
        <v>13600</v>
      </c>
      <c r="G127" s="59" t="n">
        <f aca="false">F127-H127</f>
        <v>13600</v>
      </c>
      <c r="H127" s="59" t="n">
        <v>0</v>
      </c>
      <c r="J127" s="55"/>
      <c r="K127" s="75" t="n">
        <v>2551000</v>
      </c>
    </row>
    <row r="128" customFormat="false" ht="19.85" hidden="false" customHeight="true" outlineLevel="0" collapsed="false">
      <c r="A128" s="0" t="n">
        <v>30</v>
      </c>
      <c r="B128" s="31" t="n">
        <v>41944</v>
      </c>
      <c r="C128" s="56" t="n">
        <f aca="false">K128*0.96</f>
        <v>3512640</v>
      </c>
      <c r="D128" s="29" t="s">
        <v>41</v>
      </c>
      <c r="E128" s="33" t="n">
        <f aca="false">IF(D128="totale",(C128/(A128*24))/F128,IF(D128="marché libre",(C128/(A128*24))/G128,"spécifier histo"))</f>
        <v>0.358725490196078</v>
      </c>
      <c r="F128" s="59" t="n">
        <v>13600</v>
      </c>
      <c r="G128" s="59" t="n">
        <f aca="false">F128-H128</f>
        <v>13600</v>
      </c>
      <c r="H128" s="59" t="n">
        <v>0</v>
      </c>
      <c r="J128" s="55"/>
      <c r="K128" s="75" t="n">
        <v>3659000</v>
      </c>
    </row>
    <row r="129" customFormat="false" ht="19.95" hidden="false" customHeight="true" outlineLevel="0" collapsed="false">
      <c r="A129" s="0" t="n">
        <v>31</v>
      </c>
      <c r="B129" s="34" t="n">
        <v>41974</v>
      </c>
      <c r="C129" s="56" t="n">
        <f aca="false">K129*0.96</f>
        <v>3435840</v>
      </c>
      <c r="D129" s="29" t="s">
        <v>41</v>
      </c>
      <c r="E129" s="33" t="n">
        <f aca="false">IF(D129="totale",(C129/(A129*24))/F129,IF(D129="marché libre",(C129/(A129*24))/G129,"spécifier histo"))</f>
        <v>0.339563567362429</v>
      </c>
      <c r="F129" s="59" t="n">
        <v>13600</v>
      </c>
      <c r="G129" s="59" t="n">
        <f aca="false">F129-H129</f>
        <v>13600</v>
      </c>
      <c r="H129" s="59" t="n">
        <v>0</v>
      </c>
      <c r="J129" s="55"/>
      <c r="K129" s="75" t="n">
        <v>3579000</v>
      </c>
    </row>
    <row r="130" customFormat="false" ht="19.85" hidden="false" customHeight="true" outlineLevel="0" collapsed="false">
      <c r="A130" s="0" t="n">
        <v>31</v>
      </c>
      <c r="B130" s="31" t="n">
        <v>42005</v>
      </c>
      <c r="C130" s="56" t="n">
        <f aca="false">K130*0.96</f>
        <v>3857280</v>
      </c>
      <c r="D130" s="29" t="s">
        <v>41</v>
      </c>
      <c r="E130" s="33" t="n">
        <f aca="false">IF(D130="totale",(C130/(A130*24))/F130,IF(D130="marché libre",(C130/(A130*24))/G130,"spécifier histo"))</f>
        <v>0.381214421252372</v>
      </c>
      <c r="F130" s="59" t="n">
        <v>13600</v>
      </c>
      <c r="G130" s="59" t="n">
        <f aca="false">F130-H130</f>
        <v>13600</v>
      </c>
      <c r="H130" s="59" t="n">
        <v>0</v>
      </c>
      <c r="J130" s="55"/>
      <c r="K130" s="75" t="n">
        <v>4018000</v>
      </c>
    </row>
    <row r="131" customFormat="false" ht="19.85" hidden="false" customHeight="true" outlineLevel="0" collapsed="false">
      <c r="A131" s="0" t="n">
        <v>28</v>
      </c>
      <c r="B131" s="34" t="n">
        <v>42036</v>
      </c>
      <c r="C131" s="56" t="n">
        <f aca="false">K131*0.96</f>
        <v>3821760</v>
      </c>
      <c r="D131" s="29" t="s">
        <v>41</v>
      </c>
      <c r="E131" s="33" t="n">
        <f aca="false">IF(D131="totale",(C131/(A131*24))/F131,IF(D131="marché libre",(C131/(A131*24))/G131,"spécifier histo"))</f>
        <v>0.418172268907563</v>
      </c>
      <c r="F131" s="59" t="n">
        <v>13600</v>
      </c>
      <c r="G131" s="59" t="n">
        <f aca="false">F131-H131</f>
        <v>13600</v>
      </c>
      <c r="H131" s="59" t="n">
        <v>0</v>
      </c>
      <c r="J131" s="55"/>
      <c r="K131" s="75" t="n">
        <v>3981000</v>
      </c>
    </row>
    <row r="132" customFormat="false" ht="19.85" hidden="false" customHeight="true" outlineLevel="0" collapsed="false">
      <c r="A132" s="0" t="n">
        <v>31</v>
      </c>
      <c r="B132" s="31" t="n">
        <v>42064</v>
      </c>
      <c r="C132" s="56" t="n">
        <f aca="false">K132*0.96</f>
        <v>4703040</v>
      </c>
      <c r="D132" s="29" t="s">
        <v>41</v>
      </c>
      <c r="E132" s="33" t="n">
        <f aca="false">IF(D132="totale",(C132/(A132*24))/F132,IF(D132="marché libre",(C132/(A132*24))/G132,"spécifier histo"))</f>
        <v>0.464800759013283</v>
      </c>
      <c r="F132" s="59" t="n">
        <v>13600</v>
      </c>
      <c r="G132" s="59" t="n">
        <f aca="false">F132-H132</f>
        <v>13600</v>
      </c>
      <c r="H132" s="59" t="n">
        <v>0</v>
      </c>
      <c r="J132" s="55"/>
      <c r="K132" s="75" t="n">
        <v>4899000</v>
      </c>
    </row>
    <row r="133" customFormat="false" ht="19.85" hidden="false" customHeight="true" outlineLevel="0" collapsed="false">
      <c r="A133" s="0" t="n">
        <v>30</v>
      </c>
      <c r="B133" s="34" t="n">
        <v>42095</v>
      </c>
      <c r="C133" s="56" t="n">
        <f aca="false">K133*0.96</f>
        <v>7522560</v>
      </c>
      <c r="D133" s="29" t="s">
        <v>41</v>
      </c>
      <c r="E133" s="33" t="n">
        <f aca="false">IF(D133="totale",(C133/(A133*24))/F133,IF(D133="marché libre",(C133/(A133*24))/G133,"spécifier histo"))</f>
        <v>0.768235294117647</v>
      </c>
      <c r="F133" s="59" t="n">
        <v>13600</v>
      </c>
      <c r="G133" s="59" t="n">
        <f aca="false">F133-H133</f>
        <v>13600</v>
      </c>
      <c r="H133" s="59" t="n">
        <v>0</v>
      </c>
      <c r="J133" s="55"/>
      <c r="K133" s="75" t="n">
        <v>7836000</v>
      </c>
    </row>
    <row r="134" customFormat="false" ht="19.85" hidden="false" customHeight="true" outlineLevel="0" collapsed="false">
      <c r="A134" s="0" t="n">
        <v>31</v>
      </c>
      <c r="B134" s="31" t="n">
        <v>42125</v>
      </c>
      <c r="C134" s="56" t="n">
        <f aca="false">K134*0.96</f>
        <v>8852160</v>
      </c>
      <c r="D134" s="29" t="s">
        <v>41</v>
      </c>
      <c r="E134" s="33" t="n">
        <f aca="false">IF(D134="totale",(C134/(A134*24))/F134,IF(D134="marché libre",(C134/(A134*24))/G134,"spécifier histo"))</f>
        <v>0.874857685009488</v>
      </c>
      <c r="F134" s="59" t="n">
        <v>13600</v>
      </c>
      <c r="G134" s="59" t="n">
        <f aca="false">F134-H134</f>
        <v>13600</v>
      </c>
      <c r="H134" s="59" t="n">
        <v>0</v>
      </c>
      <c r="J134" s="55"/>
      <c r="K134" s="75" t="n">
        <v>9221000</v>
      </c>
    </row>
    <row r="135" customFormat="false" ht="19.85" hidden="false" customHeight="true" outlineLevel="0" collapsed="false">
      <c r="A135" s="0" t="n">
        <v>30</v>
      </c>
      <c r="B135" s="34" t="n">
        <v>42156</v>
      </c>
      <c r="C135" s="56" t="n">
        <f aca="false">K135*0.96</f>
        <v>8600640</v>
      </c>
      <c r="D135" s="29" t="s">
        <v>41</v>
      </c>
      <c r="E135" s="33" t="n">
        <f aca="false">IF(D135="totale",(C135/(A135*24))/F135,IF(D135="marché libre",(C135/(A135*24))/G135,"spécifier histo"))</f>
        <v>0.878333333333333</v>
      </c>
      <c r="F135" s="59" t="n">
        <v>13600</v>
      </c>
      <c r="G135" s="59" t="n">
        <f aca="false">F135-H135</f>
        <v>13600</v>
      </c>
      <c r="H135" s="59" t="n">
        <v>0</v>
      </c>
      <c r="J135" s="55"/>
      <c r="K135" s="75" t="n">
        <v>8959000</v>
      </c>
    </row>
    <row r="136" customFormat="false" ht="19.85" hidden="false" customHeight="true" outlineLevel="0" collapsed="false">
      <c r="A136" s="0" t="n">
        <v>31</v>
      </c>
      <c r="B136" s="31" t="n">
        <v>42186</v>
      </c>
      <c r="C136" s="56" t="n">
        <f aca="false">K136*0.96</f>
        <v>5042880</v>
      </c>
      <c r="D136" s="29" t="s">
        <v>41</v>
      </c>
      <c r="E136" s="33" t="n">
        <f aca="false">IF(D136="totale",(C136/(A136*24))/F136,IF(D136="marché libre",(C136/(A136*24))/G136,"spécifier histo"))</f>
        <v>0.498387096774194</v>
      </c>
      <c r="F136" s="59" t="n">
        <v>13600</v>
      </c>
      <c r="G136" s="59" t="n">
        <f aca="false">F136-H136</f>
        <v>13600</v>
      </c>
      <c r="H136" s="59" t="n">
        <v>0</v>
      </c>
      <c r="J136" s="55"/>
      <c r="K136" s="75" t="n">
        <v>5253000</v>
      </c>
    </row>
    <row r="137" customFormat="false" ht="19.85" hidden="false" customHeight="true" outlineLevel="0" collapsed="false">
      <c r="A137" s="0" t="n">
        <v>31</v>
      </c>
      <c r="B137" s="34" t="n">
        <v>42217</v>
      </c>
      <c r="C137" s="56" t="n">
        <f aca="false">K137*0.96</f>
        <v>3603840</v>
      </c>
      <c r="D137" s="29" t="s">
        <v>41</v>
      </c>
      <c r="E137" s="33" t="n">
        <f aca="false">IF(D137="totale",(C137/(A137*24))/F137,IF(D137="marché libre",(C137/(A137*24))/G137,"spécifier histo"))</f>
        <v>0.356166982922201</v>
      </c>
      <c r="F137" s="59" t="n">
        <v>13600</v>
      </c>
      <c r="G137" s="59" t="n">
        <f aca="false">F137-H137</f>
        <v>13600</v>
      </c>
      <c r="H137" s="59" t="n">
        <v>0</v>
      </c>
      <c r="J137" s="55"/>
      <c r="K137" s="75" t="n">
        <v>3754000</v>
      </c>
    </row>
    <row r="138" customFormat="false" ht="19.85" hidden="false" customHeight="true" outlineLevel="0" collapsed="false">
      <c r="A138" s="0" t="n">
        <v>30</v>
      </c>
      <c r="B138" s="31" t="n">
        <v>42248</v>
      </c>
      <c r="C138" s="56" t="n">
        <f aca="false">K138*0.96</f>
        <v>4176000</v>
      </c>
      <c r="D138" s="29" t="s">
        <v>41</v>
      </c>
      <c r="E138" s="33" t="n">
        <f aca="false">IF(D138="totale",(C138/(A138*24))/F138,IF(D138="marché libre",(C138/(A138*24))/G138,"spécifier histo"))</f>
        <v>0.426470588235294</v>
      </c>
      <c r="F138" s="59" t="n">
        <v>13600</v>
      </c>
      <c r="G138" s="59" t="n">
        <f aca="false">F138-H138</f>
        <v>13600</v>
      </c>
      <c r="H138" s="59" t="n">
        <v>0</v>
      </c>
      <c r="J138" s="55"/>
      <c r="K138" s="75" t="n">
        <v>4350000</v>
      </c>
    </row>
    <row r="139" customFormat="false" ht="19.85" hidden="false" customHeight="true" outlineLevel="0" collapsed="false">
      <c r="A139" s="0" t="n">
        <v>31</v>
      </c>
      <c r="B139" s="34" t="n">
        <v>42278</v>
      </c>
      <c r="C139" s="56" t="n">
        <f aca="false">K139*0.96</f>
        <v>5806080</v>
      </c>
      <c r="D139" s="29" t="s">
        <v>41</v>
      </c>
      <c r="E139" s="33" t="n">
        <f aca="false">IF(D139="totale",(C139/(A139*24))/F139,IF(D139="marché libre",(C139/(A139*24))/G139,"spécifier histo"))</f>
        <v>0.573814041745731</v>
      </c>
      <c r="F139" s="59" t="n">
        <v>13600</v>
      </c>
      <c r="G139" s="59" t="n">
        <f aca="false">F139-H139</f>
        <v>13600</v>
      </c>
      <c r="H139" s="59" t="n">
        <v>0</v>
      </c>
      <c r="J139" s="55"/>
      <c r="K139" s="75" t="n">
        <v>6048000</v>
      </c>
    </row>
    <row r="140" customFormat="false" ht="19.85" hidden="false" customHeight="true" outlineLevel="0" collapsed="false">
      <c r="A140" s="0" t="n">
        <v>30</v>
      </c>
      <c r="B140" s="31" t="n">
        <v>42309</v>
      </c>
      <c r="C140" s="56" t="n">
        <f aca="false">K140*0.96</f>
        <v>4111680</v>
      </c>
      <c r="D140" s="29" t="s">
        <v>41</v>
      </c>
      <c r="E140" s="33" t="n">
        <f aca="false">IF(D140="totale",(C140/(A140*24))/F140,IF(D140="marché libre",(C140/(A140*24))/G140,"spécifier histo"))</f>
        <v>0.419901960784314</v>
      </c>
      <c r="F140" s="59" t="n">
        <v>13600</v>
      </c>
      <c r="G140" s="59" t="n">
        <f aca="false">F140-H140</f>
        <v>13600</v>
      </c>
      <c r="H140" s="59" t="n">
        <v>0</v>
      </c>
      <c r="J140" s="55"/>
      <c r="K140" s="75" t="n">
        <v>4283000</v>
      </c>
    </row>
    <row r="141" customFormat="false" ht="19.85" hidden="false" customHeight="true" outlineLevel="0" collapsed="false">
      <c r="A141" s="0" t="n">
        <v>31</v>
      </c>
      <c r="B141" s="34" t="n">
        <v>42339</v>
      </c>
      <c r="C141" s="56" t="n">
        <f aca="false">K141*0.96</f>
        <v>2787840</v>
      </c>
      <c r="D141" s="29" t="s">
        <v>41</v>
      </c>
      <c r="E141" s="33" t="n">
        <f aca="false">IF(D141="totale",(C141/(A141*24))/F141,IF(D141="marché libre",(C141/(A141*24))/G141,"spécifier histo"))</f>
        <v>0.275521821631879</v>
      </c>
      <c r="F141" s="59" t="n">
        <v>13600</v>
      </c>
      <c r="G141" s="59" t="n">
        <f aca="false">F141-H141</f>
        <v>13600</v>
      </c>
      <c r="H141" s="58" t="n">
        <v>0</v>
      </c>
      <c r="J141" s="55"/>
      <c r="K141" s="75" t="n">
        <v>2904000</v>
      </c>
    </row>
    <row r="142" customFormat="false" ht="19.85" hidden="false" customHeight="true" outlineLevel="0" collapsed="false">
      <c r="A142" s="0" t="n">
        <v>31</v>
      </c>
      <c r="B142" s="31" t="n">
        <v>42370</v>
      </c>
      <c r="C142" s="56" t="n">
        <f aca="false">K142*0.96</f>
        <v>4318080</v>
      </c>
      <c r="D142" s="9" t="s">
        <v>41</v>
      </c>
      <c r="E142" s="33" t="n">
        <f aca="false">IF(D142="totale",(C142/(A142*24))/F142,IF(D142="marché libre",(C142/(A142*24))/G142,"spécifier histo"))</f>
        <v>0.426755218216319</v>
      </c>
      <c r="F142" s="59" t="n">
        <v>13600</v>
      </c>
      <c r="G142" s="59" t="n">
        <f aca="false">F142-H142</f>
        <v>13600</v>
      </c>
      <c r="H142" s="58" t="n">
        <v>0</v>
      </c>
      <c r="J142" s="55"/>
      <c r="K142" s="1" t="n">
        <v>4498000</v>
      </c>
    </row>
    <row r="143" customFormat="false" ht="19.85" hidden="false" customHeight="true" outlineLevel="0" collapsed="false">
      <c r="A143" s="0" t="n">
        <v>28</v>
      </c>
      <c r="B143" s="34" t="n">
        <v>42401</v>
      </c>
      <c r="C143" s="56" t="n">
        <f aca="false">K143*0.96</f>
        <v>6921600</v>
      </c>
      <c r="D143" s="9" t="s">
        <v>41</v>
      </c>
      <c r="E143" s="33" t="n">
        <f aca="false">IF(D143="totale",(C143/(A143*24))/F143,IF(D143="marché libre",(C143/(A143*24))/G143,"spécifier histo"))</f>
        <v>0.757352941176471</v>
      </c>
      <c r="F143" s="59" t="n">
        <v>13600</v>
      </c>
      <c r="G143" s="59" t="n">
        <f aca="false">F143-H143</f>
        <v>13600</v>
      </c>
      <c r="H143" s="58" t="n">
        <v>0</v>
      </c>
      <c r="J143" s="55"/>
      <c r="K143" s="1" t="n">
        <v>7210000</v>
      </c>
    </row>
    <row r="144" customFormat="false" ht="19.85" hidden="false" customHeight="true" outlineLevel="0" collapsed="false">
      <c r="A144" s="0" t="n">
        <v>31</v>
      </c>
      <c r="B144" s="31" t="n">
        <v>42430</v>
      </c>
      <c r="C144" s="56" t="n">
        <f aca="false">K144*0.96</f>
        <v>4084800</v>
      </c>
      <c r="D144" s="9" t="s">
        <v>41</v>
      </c>
      <c r="E144" s="33" t="n">
        <f aca="false">IF(D144="totale",(C144/(A144*24))/F144,IF(D144="marché libre",(C144/(A144*24))/G144,"spécifier histo"))</f>
        <v>0.403700189753321</v>
      </c>
      <c r="F144" s="59" t="n">
        <v>13600</v>
      </c>
      <c r="G144" s="59" t="n">
        <f aca="false">F144-H144</f>
        <v>13600</v>
      </c>
      <c r="H144" s="58" t="n">
        <v>0</v>
      </c>
      <c r="J144" s="55"/>
      <c r="K144" s="1" t="n">
        <v>4255000</v>
      </c>
    </row>
    <row r="145" customFormat="false" ht="19.85" hidden="false" customHeight="true" outlineLevel="0" collapsed="false">
      <c r="A145" s="0" t="n">
        <v>30</v>
      </c>
      <c r="B145" s="34" t="n">
        <v>42461</v>
      </c>
      <c r="C145" s="56" t="n">
        <f aca="false">K145*0.96</f>
        <v>5958720</v>
      </c>
      <c r="D145" s="9" t="s">
        <v>41</v>
      </c>
      <c r="E145" s="33" t="n">
        <f aca="false">IF(D145="totale",(C145/(A145*24))/F145,IF(D145="marché libre",(C145/(A145*24))/G145,"spécifier histo"))</f>
        <v>0.608529411764706</v>
      </c>
      <c r="F145" s="59" t="n">
        <v>13600</v>
      </c>
      <c r="G145" s="59" t="n">
        <f aca="false">F145-H145</f>
        <v>13600</v>
      </c>
      <c r="H145" s="58" t="n">
        <v>0</v>
      </c>
      <c r="J145" s="55"/>
      <c r="K145" s="1" t="n">
        <v>6207000</v>
      </c>
    </row>
    <row r="146" customFormat="false" ht="19.85" hidden="false" customHeight="true" outlineLevel="0" collapsed="false">
      <c r="A146" s="0" t="n">
        <v>31</v>
      </c>
      <c r="B146" s="31" t="n">
        <v>42491</v>
      </c>
      <c r="C146" s="56" t="n">
        <f aca="false">K146*0.96</f>
        <v>9020160</v>
      </c>
      <c r="D146" s="9" t="s">
        <v>41</v>
      </c>
      <c r="E146" s="33" t="n">
        <f aca="false">IF(D146="totale",(C146/(A146*24))/F146,IF(D146="marché libre",(C146/(A146*24))/G146,"spécifier histo"))</f>
        <v>0.89146110056926</v>
      </c>
      <c r="F146" s="59" t="n">
        <v>13600</v>
      </c>
      <c r="G146" s="59" t="n">
        <f aca="false">F146-H146</f>
        <v>13600</v>
      </c>
      <c r="H146" s="58" t="n">
        <v>0</v>
      </c>
      <c r="J146" s="55"/>
      <c r="K146" s="63" t="n">
        <v>9396000</v>
      </c>
    </row>
    <row r="147" customFormat="false" ht="19.85" hidden="false" customHeight="true" outlineLevel="0" collapsed="false">
      <c r="A147" s="0" t="n">
        <v>30</v>
      </c>
      <c r="B147" s="34" t="n">
        <v>42522</v>
      </c>
      <c r="C147" s="56" t="n">
        <f aca="false">K147*0.96</f>
        <v>9312000</v>
      </c>
      <c r="D147" s="9" t="s">
        <v>41</v>
      </c>
      <c r="E147" s="33" t="n">
        <f aca="false">IF(D147="totale",(C147/(A147*24))/F147,IF(D147="marché libre",(C147/(A147*24))/G147,"spécifier histo"))</f>
        <v>0.950980392156863</v>
      </c>
      <c r="F147" s="59" t="n">
        <v>13600</v>
      </c>
      <c r="G147" s="59" t="n">
        <f aca="false">F147-H147</f>
        <v>13600</v>
      </c>
      <c r="H147" s="58" t="n">
        <v>0</v>
      </c>
      <c r="J147" s="55"/>
      <c r="K147" s="63" t="n">
        <v>9700000</v>
      </c>
    </row>
    <row r="148" customFormat="false" ht="19.85" hidden="false" customHeight="true" outlineLevel="0" collapsed="false">
      <c r="A148" s="0" t="n">
        <v>31</v>
      </c>
      <c r="B148" s="31" t="n">
        <v>42552</v>
      </c>
      <c r="C148" s="56" t="n">
        <f aca="false">K148*0.96</f>
        <v>8736000</v>
      </c>
      <c r="D148" s="9" t="s">
        <v>41</v>
      </c>
      <c r="E148" s="33" t="n">
        <f aca="false">IF(D148="totale",(C148/(A148*24))/F148,IF(D148="marché libre",(C148/(A148*24))/G148,"spécifier histo"))</f>
        <v>0.863377609108159</v>
      </c>
      <c r="F148" s="59" t="n">
        <v>13600</v>
      </c>
      <c r="G148" s="59" t="n">
        <f aca="false">F148-H148</f>
        <v>13600</v>
      </c>
      <c r="H148" s="58" t="n">
        <v>0</v>
      </c>
      <c r="J148" s="55"/>
      <c r="K148" s="63" t="n">
        <v>9100000</v>
      </c>
    </row>
    <row r="149" customFormat="false" ht="19.85" hidden="false" customHeight="true" outlineLevel="0" collapsed="false">
      <c r="A149" s="0" t="n">
        <v>31</v>
      </c>
      <c r="B149" s="34" t="n">
        <v>42583</v>
      </c>
      <c r="C149" s="56" t="n">
        <f aca="false">K149*0.96</f>
        <v>5927040</v>
      </c>
      <c r="D149" s="9" t="s">
        <v>41</v>
      </c>
      <c r="E149" s="33" t="n">
        <f aca="false">IF(D149="totale",(C149/(A149*24))/F149,IF(D149="marché libre",(C149/(A149*24))/G149,"spécifier histo"))</f>
        <v>0.585768500948767</v>
      </c>
      <c r="F149" s="59" t="n">
        <v>13600</v>
      </c>
      <c r="G149" s="59" t="n">
        <f aca="false">F149-H149</f>
        <v>13600</v>
      </c>
      <c r="H149" s="58" t="n">
        <v>0</v>
      </c>
      <c r="J149" s="55"/>
      <c r="K149" s="1" t="n">
        <v>6174000</v>
      </c>
    </row>
    <row r="150" customFormat="false" ht="19.85" hidden="false" customHeight="true" outlineLevel="0" collapsed="false">
      <c r="A150" s="0" t="n">
        <v>30</v>
      </c>
      <c r="B150" s="31" t="n">
        <v>42614</v>
      </c>
      <c r="C150" s="56" t="n">
        <f aca="false">K150*0.96</f>
        <v>2782176</v>
      </c>
      <c r="D150" s="9" t="s">
        <v>41</v>
      </c>
      <c r="E150" s="33" t="n">
        <f aca="false">IF(D150="totale",(C150/(A150*24))/F150,IF(D150="marché libre",(C150/(A150*24))/G150,"spécifier histo"))</f>
        <v>0.284127450980392</v>
      </c>
      <c r="F150" s="59" t="n">
        <v>13600</v>
      </c>
      <c r="G150" s="59" t="n">
        <f aca="false">F150-H150</f>
        <v>13600</v>
      </c>
      <c r="H150" s="58" t="n">
        <v>0</v>
      </c>
      <c r="J150" s="55"/>
      <c r="K150" s="1" t="n">
        <v>2898100</v>
      </c>
    </row>
    <row r="151" customFormat="false" ht="19.85" hidden="false" customHeight="true" outlineLevel="0" collapsed="false">
      <c r="A151" s="0" t="n">
        <v>31</v>
      </c>
      <c r="B151" s="34" t="n">
        <v>42644</v>
      </c>
      <c r="C151" s="56" t="n">
        <f aca="false">K151*0.96</f>
        <v>2045760</v>
      </c>
      <c r="D151" s="9" t="s">
        <v>41</v>
      </c>
      <c r="E151" s="33" t="n">
        <f aca="false">IF(D151="totale",(C151/(A151*24))/F151,IF(D151="marché libre",(C151/(A151*24))/G151,"spécifier histo"))</f>
        <v>0.202182163187856</v>
      </c>
      <c r="F151" s="59" t="n">
        <v>13600</v>
      </c>
      <c r="G151" s="59" t="n">
        <f aca="false">F151-H151</f>
        <v>13600</v>
      </c>
      <c r="H151" s="58" t="n">
        <v>0</v>
      </c>
      <c r="J151" s="55"/>
      <c r="K151" s="1" t="n">
        <v>2131000</v>
      </c>
    </row>
    <row r="152" customFormat="false" ht="19.85" hidden="false" customHeight="true" outlineLevel="0" collapsed="false">
      <c r="A152" s="0" t="n">
        <v>30</v>
      </c>
      <c r="B152" s="31" t="n">
        <v>42675</v>
      </c>
      <c r="C152" s="56" t="n">
        <f aca="false">K152*0.96</f>
        <v>4747200</v>
      </c>
      <c r="D152" s="9" t="s">
        <v>41</v>
      </c>
      <c r="E152" s="33" t="n">
        <f aca="false">IF(D152="totale",(C152/(A152*24))/F152,IF(D152="marché libre",(C152/(A152*24))/G152,"spécifier histo"))</f>
        <v>0.484803921568627</v>
      </c>
      <c r="F152" s="59" t="n">
        <v>13600</v>
      </c>
      <c r="G152" s="59" t="n">
        <f aca="false">F152-H152</f>
        <v>13600</v>
      </c>
      <c r="H152" s="58" t="n">
        <v>0</v>
      </c>
      <c r="I152" s="1" t="s">
        <v>55</v>
      </c>
      <c r="J152" s="55"/>
      <c r="K152" s="1" t="n">
        <v>4945000</v>
      </c>
    </row>
    <row r="153" customFormat="false" ht="19.85" hidden="false" customHeight="true" outlineLevel="0" collapsed="false">
      <c r="A153" s="0" t="n">
        <v>31</v>
      </c>
      <c r="B153" s="34" t="n">
        <v>42705</v>
      </c>
      <c r="C153" s="56" t="n">
        <f aca="false">K153*0.96</f>
        <v>3743040</v>
      </c>
      <c r="D153" s="9" t="s">
        <v>41</v>
      </c>
      <c r="E153" s="33" t="n">
        <f aca="false">IF(D153="totale",(C153/(A153*24))/F153,IF(D153="marché libre",(C153/(A153*24))/G153,"spécifier histo"))</f>
        <v>0.369924098671727</v>
      </c>
      <c r="F153" s="59" t="n">
        <v>13600</v>
      </c>
      <c r="G153" s="59" t="n">
        <f aca="false">F153-H153</f>
        <v>13600</v>
      </c>
      <c r="H153" s="58" t="n">
        <v>0</v>
      </c>
      <c r="I153" s="1" t="s">
        <v>55</v>
      </c>
      <c r="J153" s="55"/>
      <c r="K153" s="1" t="n">
        <v>3899000</v>
      </c>
    </row>
    <row r="154" customFormat="false" ht="19.85" hidden="false" customHeight="true" outlineLevel="0" collapsed="false">
      <c r="A154" s="0" t="n">
        <v>31</v>
      </c>
      <c r="B154" s="31" t="n">
        <v>42736</v>
      </c>
      <c r="C154" s="64" t="n">
        <f aca="false">K154*0.96</f>
        <v>3743040</v>
      </c>
      <c r="D154" s="76" t="s">
        <v>41</v>
      </c>
      <c r="E154" s="66" t="n">
        <f aca="false">IF(D154="totale",(C154/(A154*24))/F154,IF(D154="marché libre",(C154/(A154*24))/G154,"spécifier histo"))</f>
        <v>0.369924098671727</v>
      </c>
      <c r="F154" s="67" t="n">
        <v>13600</v>
      </c>
      <c r="G154" s="67" t="n">
        <f aca="false">F154-H154</f>
        <v>13600</v>
      </c>
      <c r="H154" s="68" t="n">
        <v>0</v>
      </c>
      <c r="J154" s="30"/>
      <c r="K154" s="1" t="n">
        <v>3899000</v>
      </c>
    </row>
    <row r="155" customFormat="false" ht="19.85" hidden="false" customHeight="true" outlineLevel="0" collapsed="false">
      <c r="A155" s="0" t="n">
        <v>28</v>
      </c>
      <c r="B155" s="34" t="n">
        <v>42767</v>
      </c>
      <c r="C155" s="56" t="n">
        <f aca="false">K155*0.96</f>
        <v>2647680</v>
      </c>
      <c r="D155" s="9" t="s">
        <v>41</v>
      </c>
      <c r="E155" s="33" t="n">
        <f aca="false">IF(D155="totale",(C155/(A155*24))/F155,IF(D155="marché libre",(C155/(A155*24))/G155,"spécifier histo"))</f>
        <v>0.289705882352941</v>
      </c>
      <c r="F155" s="59" t="n">
        <v>13600</v>
      </c>
      <c r="G155" s="59" t="n">
        <f aca="false">F155-H155</f>
        <v>13600</v>
      </c>
      <c r="H155" s="58" t="n">
        <v>0</v>
      </c>
      <c r="J155" s="55"/>
      <c r="K155" s="1" t="n">
        <v>2758000</v>
      </c>
    </row>
    <row r="156" customFormat="false" ht="19.85" hidden="false" customHeight="true" outlineLevel="0" collapsed="false">
      <c r="A156" s="0" t="n">
        <v>31</v>
      </c>
      <c r="B156" s="31" t="n">
        <v>42795</v>
      </c>
      <c r="C156" s="56" t="n">
        <f aca="false">K156*0.96</f>
        <v>4472640</v>
      </c>
      <c r="D156" s="9" t="s">
        <v>41</v>
      </c>
      <c r="E156" s="33" t="n">
        <f aca="false">IF(D156="totale",(C156/(A156*24))/F156,IF(D156="marché libre",(C156/(A156*24))/G156,"spécifier histo"))</f>
        <v>0.442030360531309</v>
      </c>
      <c r="F156" s="59" t="n">
        <v>13600</v>
      </c>
      <c r="G156" s="59" t="n">
        <f aca="false">F156-H156</f>
        <v>13600</v>
      </c>
      <c r="H156" s="58" t="n">
        <v>0</v>
      </c>
      <c r="J156" s="55"/>
      <c r="K156" s="1" t="n">
        <v>4659000</v>
      </c>
    </row>
    <row r="157" customFormat="false" ht="19.85" hidden="false" customHeight="true" outlineLevel="0" collapsed="false">
      <c r="A157" s="0" t="n">
        <v>30</v>
      </c>
      <c r="B157" s="34" t="n">
        <v>42826</v>
      </c>
      <c r="C157" s="56" t="n">
        <f aca="false">K157*0.96</f>
        <v>3738240</v>
      </c>
      <c r="D157" s="9" t="s">
        <v>41</v>
      </c>
      <c r="E157" s="33" t="n">
        <f aca="false">IF(D157="totale",(C157/(A157*24))/F157,IF(D157="marché libre",(C157/(A157*24))/G157,"spécifier histo"))</f>
        <v>0.381764705882353</v>
      </c>
      <c r="F157" s="59" t="n">
        <v>13600</v>
      </c>
      <c r="G157" s="59" t="n">
        <f aca="false">F157-H157</f>
        <v>13600</v>
      </c>
      <c r="H157" s="58" t="n">
        <v>0</v>
      </c>
      <c r="J157" s="55"/>
      <c r="K157" s="1" t="n">
        <v>3894000</v>
      </c>
    </row>
    <row r="158" customFormat="false" ht="19.85" hidden="false" customHeight="true" outlineLevel="0" collapsed="false">
      <c r="A158" s="0" t="n">
        <v>31</v>
      </c>
      <c r="B158" s="31" t="n">
        <v>42856</v>
      </c>
      <c r="C158" s="56" t="n">
        <f aca="false">K158*0.96</f>
        <v>8192640</v>
      </c>
      <c r="D158" s="9" t="s">
        <v>41</v>
      </c>
      <c r="E158" s="33" t="n">
        <f aca="false">IF(D158="totale",(C158/(A158*24))/F158,IF(D158="marché libre",(C158/(A158*24))/G158,"spécifier histo"))</f>
        <v>0.809677419354839</v>
      </c>
      <c r="F158" s="59" t="n">
        <v>13600</v>
      </c>
      <c r="G158" s="59" t="n">
        <f aca="false">F158-H158</f>
        <v>13600</v>
      </c>
      <c r="H158" s="58" t="n">
        <v>0</v>
      </c>
      <c r="J158" s="55"/>
      <c r="K158" s="1" t="n">
        <v>8534000</v>
      </c>
    </row>
    <row r="159" customFormat="false" ht="22.45" hidden="false" customHeight="true" outlineLevel="0" collapsed="false">
      <c r="A159" s="0" t="n">
        <v>30</v>
      </c>
      <c r="B159" s="34" t="n">
        <v>42887</v>
      </c>
      <c r="C159" s="56" t="n">
        <f aca="false">K159*0.96</f>
        <v>8364480</v>
      </c>
      <c r="D159" s="9" t="s">
        <v>41</v>
      </c>
      <c r="E159" s="33" t="n">
        <f aca="false">IF(D159="totale",(C159/(A159*24))/F159,IF(D159="marché libre",(C159/(A159*24))/G159,"spécifier histo"))</f>
        <v>0.85421568627451</v>
      </c>
      <c r="F159" s="59" t="n">
        <v>13600</v>
      </c>
      <c r="G159" s="59" t="n">
        <f aca="false">F159-H159</f>
        <v>13600</v>
      </c>
      <c r="H159" s="58" t="n">
        <v>0</v>
      </c>
      <c r="J159" s="55"/>
      <c r="K159" s="1" t="n">
        <v>8713000</v>
      </c>
    </row>
    <row r="160" customFormat="false" ht="21.65" hidden="false" customHeight="true" outlineLevel="0" collapsed="false">
      <c r="A160" s="0" t="n">
        <v>31</v>
      </c>
      <c r="B160" s="31" t="n">
        <v>42917</v>
      </c>
      <c r="C160" s="56" t="n">
        <f aca="false">K160*0.96</f>
        <v>5902080</v>
      </c>
      <c r="D160" s="9" t="s">
        <v>41</v>
      </c>
      <c r="E160" s="33" t="n">
        <f aca="false">IF(D160="totale",(C160/(A160*24))/F160,IF(D160="marché libre",(C160/(A160*24))/G160,"spécifier histo"))</f>
        <v>0.583301707779886</v>
      </c>
      <c r="F160" s="59" t="n">
        <v>13600</v>
      </c>
      <c r="G160" s="59" t="n">
        <f aca="false">F160-H160</f>
        <v>13600</v>
      </c>
      <c r="H160" s="58" t="n">
        <v>0</v>
      </c>
      <c r="J160" s="55"/>
      <c r="K160" s="1" t="n">
        <v>6148000</v>
      </c>
    </row>
    <row r="161" customFormat="false" ht="21.65" hidden="false" customHeight="true" outlineLevel="0" collapsed="false">
      <c r="A161" s="0" t="n">
        <v>31</v>
      </c>
      <c r="B161" s="34" t="n">
        <v>42948</v>
      </c>
      <c r="C161" s="56" t="n">
        <f aca="false">K161*0.96</f>
        <v>4057920</v>
      </c>
      <c r="D161" s="9" t="s">
        <v>41</v>
      </c>
      <c r="E161" s="33" t="n">
        <f aca="false">IF(D161="totale",(C161/(A161*24))/F161,IF(D161="marché libre",(C161/(A161*24))/G161,"spécifier histo"))</f>
        <v>0.401043643263757</v>
      </c>
      <c r="F161" s="59" t="n">
        <v>13600</v>
      </c>
      <c r="G161" s="59" t="n">
        <f aca="false">F161-H161</f>
        <v>13600</v>
      </c>
      <c r="H161" s="58" t="n">
        <v>0</v>
      </c>
      <c r="J161" s="55"/>
      <c r="K161" s="1" t="n">
        <v>4227000</v>
      </c>
    </row>
    <row r="162" customFormat="false" ht="21.65" hidden="false" customHeight="true" outlineLevel="0" collapsed="false">
      <c r="A162" s="0" t="n">
        <v>30</v>
      </c>
      <c r="B162" s="31" t="n">
        <v>42979</v>
      </c>
      <c r="C162" s="56" t="n">
        <f aca="false">K162*0.96</f>
        <v>4070400</v>
      </c>
      <c r="D162" s="9" t="s">
        <v>41</v>
      </c>
      <c r="E162" s="33" t="n">
        <f aca="false">IF(D162="totale",(C162/(A162*24))/F162,IF(D162="marché libre",(C162/(A162*24))/G162,"spécifier histo"))</f>
        <v>0.415686274509804</v>
      </c>
      <c r="F162" s="59" t="n">
        <v>13600</v>
      </c>
      <c r="G162" s="59" t="n">
        <f aca="false">F162-H162</f>
        <v>13600</v>
      </c>
      <c r="H162" s="58" t="n">
        <v>0</v>
      </c>
      <c r="J162" s="55"/>
      <c r="K162" s="1" t="n">
        <v>4240000</v>
      </c>
    </row>
    <row r="163" customFormat="false" ht="21.65" hidden="false" customHeight="true" outlineLevel="0" collapsed="false">
      <c r="A163" s="0" t="n">
        <v>31</v>
      </c>
      <c r="B163" s="34" t="n">
        <v>43009</v>
      </c>
      <c r="C163" s="56" t="n">
        <f aca="false">K163*0.96</f>
        <v>2441280</v>
      </c>
      <c r="D163" s="9" t="s">
        <v>41</v>
      </c>
      <c r="E163" s="33" t="n">
        <f aca="false">IF(D163="totale",(C163/(A163*24))/F163,IF(D163="marché libre",(C163/(A163*24))/G163,"spécifier histo"))</f>
        <v>0.241271347248577</v>
      </c>
      <c r="F163" s="59" t="n">
        <v>13600</v>
      </c>
      <c r="G163" s="59" t="n">
        <f aca="false">F163-H163</f>
        <v>13600</v>
      </c>
      <c r="H163" s="58" t="n">
        <v>0</v>
      </c>
      <c r="J163" s="55"/>
      <c r="K163" s="1" t="n">
        <v>2543000</v>
      </c>
    </row>
    <row r="164" customFormat="false" ht="21.65" hidden="false" customHeight="true" outlineLevel="0" collapsed="false">
      <c r="A164" s="0" t="n">
        <v>30</v>
      </c>
      <c r="B164" s="31" t="n">
        <v>43040</v>
      </c>
      <c r="C164" s="56" t="n">
        <f aca="false">K164*0.96</f>
        <v>4304640</v>
      </c>
      <c r="D164" s="9" t="s">
        <v>41</v>
      </c>
      <c r="E164" s="33" t="n">
        <f aca="false">IF(D164="totale",(C164/(A164*24))/F164,IF(D164="marché libre",(C164/(A164*24))/G164,"spécifier histo"))</f>
        <v>0.439607843137255</v>
      </c>
      <c r="F164" s="59" t="n">
        <v>13600</v>
      </c>
      <c r="G164" s="59" t="n">
        <f aca="false">F164-H164</f>
        <v>13600</v>
      </c>
      <c r="H164" s="58" t="n">
        <v>0</v>
      </c>
      <c r="J164" s="55"/>
      <c r="K164" s="1" t="n">
        <v>4484000</v>
      </c>
    </row>
    <row r="165" customFormat="false" ht="21.65" hidden="false" customHeight="true" outlineLevel="0" collapsed="false">
      <c r="A165" s="0" t="n">
        <v>31</v>
      </c>
      <c r="B165" s="34" t="n">
        <v>43070</v>
      </c>
      <c r="C165" s="56" t="n">
        <f aca="false">K165*0.96</f>
        <v>4717440</v>
      </c>
      <c r="D165" s="9" t="s">
        <v>41</v>
      </c>
      <c r="E165" s="33" t="n">
        <f aca="false">IF(D165="totale",(C165/(A165*24))/F165,IF(D165="marché libre",(C165/(A165*24))/G165,"spécifier histo"))</f>
        <v>0.466223908918406</v>
      </c>
      <c r="F165" s="59" t="n">
        <v>13600</v>
      </c>
      <c r="G165" s="59" t="n">
        <f aca="false">F165-H165</f>
        <v>13600</v>
      </c>
      <c r="H165" s="58" t="n">
        <v>0</v>
      </c>
      <c r="J165" s="55"/>
      <c r="K165" s="1" t="n">
        <v>4914000</v>
      </c>
    </row>
    <row r="166" customFormat="false" ht="28.35" hidden="false" customHeight="true" outlineLevel="0" collapsed="false">
      <c r="A166" s="0" t="n">
        <v>31</v>
      </c>
      <c r="B166" s="31" t="n">
        <v>43101</v>
      </c>
      <c r="C166" s="56" t="n">
        <f aca="false">K166*0.96</f>
        <v>7433280</v>
      </c>
      <c r="D166" s="1" t="s">
        <v>41</v>
      </c>
      <c r="E166" s="33" t="n">
        <f aca="false">IF(D166="totale",(C166/(A166*24))/F166,IF(D166="marché libre",(C166/(A166*24))/G166,"spécifier histo"))</f>
        <v>0.734629981024668</v>
      </c>
      <c r="F166" s="59" t="n">
        <v>13600</v>
      </c>
      <c r="G166" s="59" t="n">
        <f aca="false">F166-H166</f>
        <v>13600</v>
      </c>
      <c r="H166" s="1" t="n">
        <v>0</v>
      </c>
      <c r="J166" s="30"/>
      <c r="K166" s="1" t="n">
        <v>7743000</v>
      </c>
    </row>
    <row r="167" customFormat="false" ht="28.35" hidden="false" customHeight="true" outlineLevel="0" collapsed="false">
      <c r="A167" s="0" t="n">
        <v>28</v>
      </c>
      <c r="B167" s="34" t="n">
        <v>43132</v>
      </c>
      <c r="C167" s="56" t="n">
        <f aca="false">K167*0.96</f>
        <v>5451840</v>
      </c>
      <c r="D167" s="1" t="s">
        <v>41</v>
      </c>
      <c r="E167" s="33" t="n">
        <f aca="false">IF(D167="totale",(C167/(A167*24))/F167,IF(D167="marché libre",(C167/(A167*24))/G167,"spécifier histo"))</f>
        <v>0.596533613445378</v>
      </c>
      <c r="F167" s="59" t="n">
        <v>13600</v>
      </c>
      <c r="G167" s="59" t="n">
        <f aca="false">F167-H167</f>
        <v>13600</v>
      </c>
      <c r="H167" s="1" t="n">
        <v>0</v>
      </c>
      <c r="K167" s="1" t="n">
        <v>5679000</v>
      </c>
    </row>
    <row r="168" customFormat="false" ht="28.35" hidden="false" customHeight="true" outlineLevel="0" collapsed="false">
      <c r="A168" s="0" t="n">
        <v>31</v>
      </c>
      <c r="B168" s="31" t="n">
        <v>43160</v>
      </c>
      <c r="C168" s="56" t="n">
        <f aca="false">K168*0.96</f>
        <v>3748800</v>
      </c>
      <c r="D168" s="1" t="s">
        <v>41</v>
      </c>
      <c r="E168" s="33" t="n">
        <f aca="false">IF(D168="totale",(C168/(A168*24))/F168,IF(D168="marché libre",(C168/(A168*24))/G168,"spécifier histo"))</f>
        <v>0.370493358633776</v>
      </c>
      <c r="F168" s="59" t="n">
        <v>13600</v>
      </c>
      <c r="G168" s="59" t="n">
        <f aca="false">F168-H168</f>
        <v>13600</v>
      </c>
      <c r="H168" s="1" t="n">
        <v>0</v>
      </c>
      <c r="K168" s="1" t="n">
        <v>3905000</v>
      </c>
    </row>
    <row r="169" customFormat="false" ht="28.35" hidden="false" customHeight="true" outlineLevel="0" collapsed="false">
      <c r="A169" s="0"/>
    </row>
    <row r="170" customFormat="false" ht="28.35" hidden="false" customHeight="true" outlineLevel="0" collapsed="false">
      <c r="A170" s="0"/>
    </row>
    <row r="171" customFormat="false" ht="28.35" hidden="false" customHeight="true" outlineLevel="0" collapsed="false">
      <c r="A171" s="0"/>
    </row>
    <row r="172" customFormat="false" ht="28.35" hidden="false" customHeight="true" outlineLevel="0" collapsed="false">
      <c r="A172" s="0"/>
    </row>
    <row r="173" customFormat="false" ht="28.35" hidden="false" customHeight="true" outlineLevel="0" collapsed="false">
      <c r="A173" s="0"/>
    </row>
    <row r="174" customFormat="false" ht="28.35" hidden="false" customHeight="true" outlineLevel="0" collapsed="false">
      <c r="A174" s="0"/>
    </row>
    <row r="175" customFormat="false" ht="28.35" hidden="false" customHeight="true" outlineLevel="0" collapsed="false">
      <c r="A175" s="0"/>
    </row>
    <row r="176" customFormat="false" ht="28.35" hidden="false" customHeight="true" outlineLevel="0" collapsed="false">
      <c r="A176" s="0"/>
    </row>
    <row r="177" customFormat="false" ht="28.35" hidden="false" customHeight="true" outlineLevel="0" collapsed="false">
      <c r="A177" s="0"/>
    </row>
    <row r="178" customFormat="false" ht="28.35" hidden="false" customHeight="true" outlineLevel="0" collapsed="false">
      <c r="A178" s="0"/>
    </row>
    <row r="179" customFormat="false" ht="28.35" hidden="false" customHeight="true" outlineLevel="0" collapsed="false">
      <c r="A179" s="0"/>
    </row>
    <row r="180" customFormat="false" ht="28.35" hidden="false" customHeight="true" outlineLevel="0" collapsed="false">
      <c r="A180" s="0"/>
    </row>
    <row r="181" customFormat="false" ht="28.35" hidden="false" customHeight="true" outlineLevel="0" collapsed="false">
      <c r="A181" s="0"/>
    </row>
    <row r="182" customFormat="false" ht="28.35" hidden="false" customHeight="true" outlineLevel="0" collapsed="false">
      <c r="A182" s="0"/>
    </row>
    <row r="183" customFormat="false" ht="28.35" hidden="false" customHeight="tru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row r="188" customFormat="false" ht="12.8" hidden="false" customHeight="false" outlineLevel="0" collapsed="false">
      <c r="A188" s="0"/>
    </row>
    <row r="189" customFormat="false" ht="12.8" hidden="false" customHeight="false" outlineLevel="0" collapsed="false">
      <c r="A189" s="0"/>
    </row>
    <row r="190" customFormat="false" ht="12.8" hidden="false" customHeight="false" outlineLevel="0" collapsed="false">
      <c r="A190" s="0"/>
    </row>
    <row r="191" customFormat="false" ht="12.8" hidden="false" customHeight="false" outlineLevel="0" collapsed="false">
      <c r="A191" s="0"/>
    </row>
    <row r="192" customFormat="false" ht="12.8" hidden="false" customHeight="false" outlineLevel="0" collapsed="false">
      <c r="A192" s="0"/>
    </row>
    <row r="193" customFormat="false" ht="12.8" hidden="false" customHeight="false" outlineLevel="0" collapsed="false">
      <c r="A193" s="0"/>
    </row>
    <row r="194" customFormat="false" ht="12.8" hidden="false" customHeight="false" outlineLevel="0" collapsed="false">
      <c r="A194" s="0"/>
    </row>
    <row r="195" customFormat="false" ht="12.8" hidden="false" customHeight="false" outlineLevel="0" collapsed="false">
      <c r="A195" s="0"/>
    </row>
    <row r="196" customFormat="false" ht="12.8" hidden="false" customHeight="false" outlineLevel="0" collapsed="false">
      <c r="A196" s="0"/>
    </row>
    <row r="197" customFormat="false" ht="12.8" hidden="false" customHeight="false" outlineLevel="0" collapsed="false">
      <c r="A197" s="0"/>
    </row>
    <row r="198" customFormat="false" ht="12.8" hidden="false" customHeight="false" outlineLevel="0" collapsed="false">
      <c r="A198" s="0"/>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1">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11">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5.xml><?xml version="1.0" encoding="utf-8"?>
<worksheet xmlns="http://schemas.openxmlformats.org/spreadsheetml/2006/main" xmlns:r="http://schemas.openxmlformats.org/officeDocument/2006/relationships">
  <sheetPr filterMode="false">
    <tabColor rgb="FF00CC33"/>
    <pageSetUpPr fitToPage="false"/>
  </sheetPr>
  <dimension ref="A1:W18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A8" activeCellId="0" sqref="A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9"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2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43</v>
      </c>
      <c r="C4" s="15" t="n">
        <v>302644</v>
      </c>
      <c r="D4" s="5" t="s">
        <v>44</v>
      </c>
      <c r="E4" s="14" t="s">
        <v>45</v>
      </c>
      <c r="F4" s="15" t="n">
        <v>31600</v>
      </c>
      <c r="G4" s="15" t="n">
        <v>30000</v>
      </c>
      <c r="H4" s="15" t="n">
        <v>28000</v>
      </c>
      <c r="I4" s="61" t="s">
        <v>59</v>
      </c>
      <c r="J4" s="15" t="n">
        <v>12000</v>
      </c>
      <c r="K4" s="16" t="s">
        <v>47</v>
      </c>
      <c r="L4" s="16" t="s">
        <v>48</v>
      </c>
      <c r="M4" s="15" t="n">
        <v>12000</v>
      </c>
      <c r="N4" s="17"/>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20" t="s">
        <v>25</v>
      </c>
      <c r="D6" s="20"/>
      <c r="F6" s="20" t="s">
        <v>26</v>
      </c>
      <c r="G6" s="19" t="s">
        <v>60</v>
      </c>
      <c r="H6" s="19"/>
      <c r="I6" s="19"/>
      <c r="J6" s="19"/>
      <c r="K6" s="19"/>
      <c r="L6" s="19"/>
      <c r="M6" s="19"/>
      <c r="N6" s="19"/>
      <c r="P6" s="21" t="n">
        <v>42736</v>
      </c>
      <c r="Q6" s="19" t="s">
        <v>27</v>
      </c>
      <c r="R6" s="9"/>
      <c r="S6" s="22"/>
      <c r="T6" s="5" t="s">
        <v>28</v>
      </c>
    </row>
    <row r="7" customFormat="false" ht="41.65" hidden="false" customHeight="true" outlineLevel="0" collapsed="false">
      <c r="A7" s="0"/>
      <c r="B7" s="0"/>
      <c r="C7" s="69" t="s">
        <v>50</v>
      </c>
      <c r="D7" s="69"/>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9" t="s">
        <v>51</v>
      </c>
      <c r="D9" s="29" t="s">
        <v>52</v>
      </c>
      <c r="E9" s="1" t="s">
        <v>35</v>
      </c>
      <c r="F9" s="9" t="s">
        <v>36</v>
      </c>
      <c r="G9" s="9" t="s">
        <v>37</v>
      </c>
      <c r="H9" s="9" t="s">
        <v>38</v>
      </c>
      <c r="I9" s="9" t="s">
        <v>39</v>
      </c>
      <c r="J9" s="30" t="s">
        <v>40</v>
      </c>
    </row>
    <row r="10" customFormat="false" ht="19.85" hidden="false" customHeight="true" outlineLevel="0" collapsed="false">
      <c r="A10" s="0" t="n">
        <v>31</v>
      </c>
      <c r="B10" s="31" t="n">
        <v>39083</v>
      </c>
      <c r="C10" s="56" t="n">
        <f aca="false">K10*0.96</f>
        <v>973004.16</v>
      </c>
      <c r="D10" s="29" t="s">
        <v>41</v>
      </c>
      <c r="E10" s="33" t="n">
        <f aca="false">IF(D10="totale",(C10/(A10*24))/F10,IF(D10="marché libre",(C10/(A10*24))/G10,"spécifier histo"))</f>
        <v>0.126970999060445</v>
      </c>
      <c r="F10" s="59" t="n">
        <v>10300</v>
      </c>
      <c r="G10" s="59" t="n">
        <f aca="false">F10-H10</f>
        <v>10300</v>
      </c>
      <c r="H10" s="59" t="n">
        <v>0</v>
      </c>
      <c r="J10" s="55"/>
      <c r="K10" s="9" t="n">
        <v>1013546</v>
      </c>
      <c r="O10" s="0"/>
      <c r="S10" s="0"/>
    </row>
    <row r="11" customFormat="false" ht="19.85" hidden="false" customHeight="true" outlineLevel="0" collapsed="false">
      <c r="A11" s="0" t="n">
        <v>28</v>
      </c>
      <c r="B11" s="34" t="n">
        <v>39114</v>
      </c>
      <c r="C11" s="56" t="n">
        <f aca="false">K11*0.96</f>
        <v>619328.639999998</v>
      </c>
      <c r="D11" s="29" t="s">
        <v>41</v>
      </c>
      <c r="E11" s="33" t="n">
        <f aca="false">IF(D11="totale",(C11/(A11*24))/F11,IF(D11="marché libre",(C11/(A11*24))/G11,"spécifier histo"))</f>
        <v>0.0894776699029123</v>
      </c>
      <c r="F11" s="59" t="n">
        <v>10300</v>
      </c>
      <c r="G11" s="59" t="n">
        <f aca="false">F11-H11</f>
        <v>10300</v>
      </c>
      <c r="H11" s="59" t="n">
        <v>0</v>
      </c>
      <c r="J11" s="55"/>
      <c r="K11" s="9" t="n">
        <v>645133.999999998</v>
      </c>
      <c r="O11" s="0"/>
      <c r="S11" s="0"/>
    </row>
    <row r="12" customFormat="false" ht="19.85" hidden="false" customHeight="true" outlineLevel="0" collapsed="false">
      <c r="A12" s="0" t="n">
        <v>31</v>
      </c>
      <c r="B12" s="31" t="n">
        <v>39142</v>
      </c>
      <c r="C12" s="56" t="n">
        <f aca="false">K12*0.96</f>
        <v>1332129.60000002</v>
      </c>
      <c r="D12" s="29" t="s">
        <v>41</v>
      </c>
      <c r="E12" s="33" t="n">
        <f aca="false">IF(D12="totale",(C12/(A12*24))/F12,IF(D12="marché libre",(C12/(A12*24))/G12,"spécifier histo"))</f>
        <v>0.173834638271221</v>
      </c>
      <c r="F12" s="59" t="n">
        <v>10300</v>
      </c>
      <c r="G12" s="59" t="n">
        <f aca="false">F12-H12</f>
        <v>10300</v>
      </c>
      <c r="H12" s="59" t="n">
        <v>0</v>
      </c>
      <c r="J12" s="55"/>
      <c r="K12" s="9" t="n">
        <v>1387635.00000002</v>
      </c>
      <c r="M12" s="0"/>
      <c r="N12" s="0"/>
      <c r="O12" s="0"/>
      <c r="P12" s="0"/>
      <c r="Q12" s="0"/>
      <c r="R12" s="0"/>
      <c r="S12" s="0"/>
      <c r="T12" s="0"/>
      <c r="U12" s="0"/>
      <c r="V12" s="0"/>
      <c r="W12" s="0"/>
    </row>
    <row r="13" customFormat="false" ht="19.85" hidden="false" customHeight="true" outlineLevel="0" collapsed="false">
      <c r="A13" s="0" t="n">
        <v>30</v>
      </c>
      <c r="B13" s="34" t="n">
        <v>39173</v>
      </c>
      <c r="C13" s="56" t="n">
        <f aca="false">K13*0.96</f>
        <v>5368890.24</v>
      </c>
      <c r="D13" s="29" t="s">
        <v>41</v>
      </c>
      <c r="E13" s="33" t="n">
        <f aca="false">IF(D13="totale",(C13/(A13*24))/F13,IF(D13="marché libre",(C13/(A13*24))/G13,"spécifier histo"))</f>
        <v>0.723960388349515</v>
      </c>
      <c r="F13" s="59" t="n">
        <v>10300</v>
      </c>
      <c r="G13" s="59" t="n">
        <f aca="false">F13-H13</f>
        <v>10300</v>
      </c>
      <c r="H13" s="59" t="n">
        <v>0</v>
      </c>
      <c r="J13" s="55"/>
      <c r="K13" s="9" t="n">
        <v>5592594</v>
      </c>
      <c r="M13" s="0"/>
      <c r="N13" s="0"/>
      <c r="O13" s="0"/>
      <c r="P13" s="0"/>
      <c r="Q13" s="0"/>
      <c r="R13" s="0"/>
      <c r="S13" s="0"/>
      <c r="T13" s="0"/>
      <c r="U13" s="0"/>
      <c r="V13" s="0"/>
      <c r="W13" s="0"/>
    </row>
    <row r="14" customFormat="false" ht="19.85" hidden="false" customHeight="true" outlineLevel="0" collapsed="false">
      <c r="A14" s="0" t="n">
        <v>31</v>
      </c>
      <c r="B14" s="31" t="n">
        <v>39203</v>
      </c>
      <c r="C14" s="56" t="n">
        <f aca="false">K14*0.96</f>
        <v>7226128.31999998</v>
      </c>
      <c r="D14" s="29" t="s">
        <v>41</v>
      </c>
      <c r="E14" s="33" t="n">
        <f aca="false">IF(D14="totale",(C14/(A14*24))/F14,IF(D14="marché libre",(C14/(A14*24))/G14,"spécifier histo"))</f>
        <v>0.942964860632631</v>
      </c>
      <c r="F14" s="59" t="n">
        <v>10300</v>
      </c>
      <c r="G14" s="59" t="n">
        <f aca="false">F14-H14</f>
        <v>10300</v>
      </c>
      <c r="H14" s="59" t="n">
        <v>0</v>
      </c>
      <c r="J14" s="55"/>
      <c r="K14" s="9" t="n">
        <v>7527216.99999998</v>
      </c>
      <c r="M14" s="0"/>
      <c r="N14" s="0"/>
      <c r="O14" s="0"/>
      <c r="P14" s="0"/>
      <c r="Q14" s="0"/>
      <c r="R14" s="0"/>
      <c r="S14" s="0"/>
      <c r="T14" s="0"/>
      <c r="U14" s="0"/>
      <c r="V14" s="0"/>
      <c r="W14" s="0"/>
    </row>
    <row r="15" customFormat="false" ht="19.85" hidden="false" customHeight="true" outlineLevel="0" collapsed="false">
      <c r="A15" s="0" t="n">
        <v>30</v>
      </c>
      <c r="B15" s="34" t="n">
        <v>39234</v>
      </c>
      <c r="C15" s="56" t="n">
        <f aca="false">K15*0.96</f>
        <v>6615210.24000001</v>
      </c>
      <c r="D15" s="29" t="s">
        <v>41</v>
      </c>
      <c r="E15" s="33" t="n">
        <f aca="false">IF(D15="totale",(C15/(A15*24))/F15,IF(D15="marché libre",(C15/(A15*24))/G15,"spécifier histo"))</f>
        <v>0.8920186407767</v>
      </c>
      <c r="F15" s="59" t="n">
        <v>10300</v>
      </c>
      <c r="G15" s="59" t="n">
        <f aca="false">F15-H15</f>
        <v>10300</v>
      </c>
      <c r="H15" s="59" t="n">
        <v>0</v>
      </c>
      <c r="J15" s="55"/>
      <c r="K15" s="9" t="n">
        <v>6890844.00000001</v>
      </c>
      <c r="M15" s="0"/>
      <c r="N15" s="0"/>
      <c r="O15" s="0"/>
      <c r="P15" s="0"/>
      <c r="Q15" s="0"/>
      <c r="R15" s="0"/>
      <c r="S15" s="0"/>
      <c r="T15" s="0"/>
      <c r="U15" s="0"/>
      <c r="V15" s="0"/>
      <c r="W15" s="0"/>
    </row>
    <row r="16" customFormat="false" ht="19.85" hidden="false" customHeight="true" outlineLevel="0" collapsed="false">
      <c r="A16" s="0" t="n">
        <v>31</v>
      </c>
      <c r="B16" s="31" t="n">
        <v>39264</v>
      </c>
      <c r="C16" s="56" t="n">
        <f aca="false">K16*0.96</f>
        <v>6004346.88000003</v>
      </c>
      <c r="D16" s="29" t="s">
        <v>41</v>
      </c>
      <c r="E16" s="33" t="n">
        <f aca="false">IF(D16="totale",(C16/(A16*24))/F16,IF(D16="marché libre",(C16/(A16*24))/G16,"spécifier histo"))</f>
        <v>0.783529971813346</v>
      </c>
      <c r="F16" s="59" t="n">
        <v>10300</v>
      </c>
      <c r="G16" s="59" t="n">
        <f aca="false">F16-H16</f>
        <v>10300</v>
      </c>
      <c r="H16" s="59" t="n">
        <v>0</v>
      </c>
      <c r="J16" s="55"/>
      <c r="K16" s="9" t="n">
        <v>6254528.00000003</v>
      </c>
      <c r="M16" s="0"/>
      <c r="N16" s="0"/>
      <c r="O16" s="0"/>
      <c r="P16" s="0"/>
      <c r="Q16" s="0"/>
      <c r="R16" s="0"/>
      <c r="S16" s="0"/>
      <c r="T16" s="0"/>
      <c r="U16" s="0"/>
      <c r="V16" s="0"/>
      <c r="W16" s="0"/>
    </row>
    <row r="17" customFormat="false" ht="19.85" hidden="false" customHeight="true" outlineLevel="0" collapsed="false">
      <c r="A17" s="0" t="n">
        <v>31</v>
      </c>
      <c r="B17" s="34" t="n">
        <v>39295</v>
      </c>
      <c r="C17" s="56" t="n">
        <f aca="false">K17*0.96</f>
        <v>3696814.08000003</v>
      </c>
      <c r="D17" s="29" t="s">
        <v>41</v>
      </c>
      <c r="E17" s="33" t="n">
        <f aca="false">IF(D17="totale",(C17/(A17*24))/F17,IF(D17="marché libre",(C17/(A17*24))/G17,"spécifier histo"))</f>
        <v>0.48241127466333</v>
      </c>
      <c r="F17" s="59" t="n">
        <v>10300</v>
      </c>
      <c r="G17" s="59" t="n">
        <f aca="false">F17-H17</f>
        <v>10300</v>
      </c>
      <c r="H17" s="59" t="n">
        <v>0</v>
      </c>
      <c r="J17" s="55"/>
      <c r="K17" s="9" t="n">
        <v>3850848.00000003</v>
      </c>
      <c r="M17" s="0"/>
      <c r="N17" s="0"/>
      <c r="O17" s="0"/>
      <c r="P17" s="0"/>
      <c r="Q17" s="0"/>
      <c r="R17" s="0"/>
      <c r="S17" s="0"/>
      <c r="T17" s="0"/>
      <c r="U17" s="0"/>
      <c r="V17" s="0"/>
      <c r="W17" s="0"/>
    </row>
    <row r="18" customFormat="false" ht="19.85" hidden="false" customHeight="true" outlineLevel="0" collapsed="false">
      <c r="A18" s="0" t="n">
        <v>30</v>
      </c>
      <c r="B18" s="31" t="n">
        <v>39326</v>
      </c>
      <c r="C18" s="56" t="n">
        <f aca="false">K18*0.96</f>
        <v>2390602.55999997</v>
      </c>
      <c r="D18" s="29" t="s">
        <v>41</v>
      </c>
      <c r="E18" s="33" t="n">
        <f aca="false">IF(D18="totale",(C18/(A18*24))/F18,IF(D18="marché libre",(C18/(A18*24))/G18,"spécifier histo"))</f>
        <v>0.322357411003232</v>
      </c>
      <c r="F18" s="59" t="n">
        <v>10300</v>
      </c>
      <c r="G18" s="59" t="n">
        <f aca="false">F18-H18</f>
        <v>10300</v>
      </c>
      <c r="H18" s="59" t="n">
        <v>0</v>
      </c>
      <c r="J18" s="55"/>
      <c r="K18" s="9" t="n">
        <v>2490210.99999997</v>
      </c>
      <c r="M18" s="0"/>
      <c r="N18" s="0"/>
      <c r="O18" s="0"/>
      <c r="P18" s="0"/>
      <c r="Q18" s="0"/>
      <c r="R18" s="0"/>
      <c r="S18" s="0"/>
      <c r="T18" s="0"/>
      <c r="U18" s="0"/>
      <c r="V18" s="0"/>
      <c r="W18" s="0"/>
    </row>
    <row r="19" customFormat="false" ht="19.85" hidden="false" customHeight="true" outlineLevel="0" collapsed="false">
      <c r="A19" s="0" t="n">
        <v>31</v>
      </c>
      <c r="B19" s="34" t="n">
        <v>39356</v>
      </c>
      <c r="C19" s="56" t="n">
        <f aca="false">K19*0.96</f>
        <v>2457818.88</v>
      </c>
      <c r="D19" s="29" t="s">
        <v>41</v>
      </c>
      <c r="E19" s="33" t="n">
        <f aca="false">IF(D19="totale",(C19/(A19*24))/F19,IF(D19="marché libre",(C19/(A19*24))/G19,"spécifier histo"))</f>
        <v>0.320730097087379</v>
      </c>
      <c r="F19" s="59" t="n">
        <v>10300</v>
      </c>
      <c r="G19" s="59" t="n">
        <f aca="false">F19-H19</f>
        <v>10300</v>
      </c>
      <c r="H19" s="59" t="n">
        <v>0</v>
      </c>
      <c r="J19" s="55"/>
      <c r="K19" s="9" t="n">
        <v>2560228</v>
      </c>
      <c r="M19" s="0"/>
      <c r="N19" s="0"/>
      <c r="O19" s="0"/>
      <c r="P19" s="0"/>
      <c r="Q19" s="0"/>
      <c r="R19" s="0"/>
      <c r="S19" s="0"/>
      <c r="T19" s="0"/>
      <c r="U19" s="0"/>
      <c r="V19" s="0"/>
      <c r="W19" s="0"/>
    </row>
    <row r="20" customFormat="false" ht="19.85" hidden="false" customHeight="true" outlineLevel="0" collapsed="false">
      <c r="A20" s="0" t="n">
        <v>30</v>
      </c>
      <c r="B20" s="31" t="n">
        <v>39387</v>
      </c>
      <c r="C20" s="56" t="n">
        <f aca="false">K20*0.96</f>
        <v>927484.799999977</v>
      </c>
      <c r="D20" s="29" t="s">
        <v>41</v>
      </c>
      <c r="E20" s="33" t="n">
        <f aca="false">IF(D20="totale",(C20/(A20*24))/F20,IF(D20="marché libre",(C20/(A20*24))/G20,"spécifier histo"))</f>
        <v>0.125065372168282</v>
      </c>
      <c r="F20" s="59" t="n">
        <v>10300</v>
      </c>
      <c r="G20" s="59" t="n">
        <f aca="false">F20-H20</f>
        <v>10300</v>
      </c>
      <c r="H20" s="59" t="n">
        <v>0</v>
      </c>
      <c r="J20" s="55"/>
      <c r="K20" s="9" t="n">
        <v>966129.999999976</v>
      </c>
      <c r="M20" s="0"/>
      <c r="N20" s="0"/>
      <c r="O20" s="0"/>
      <c r="P20" s="0"/>
      <c r="Q20" s="0"/>
      <c r="R20" s="0"/>
      <c r="S20" s="0"/>
      <c r="T20" s="0"/>
      <c r="U20" s="0"/>
      <c r="V20" s="0"/>
      <c r="W20" s="0"/>
    </row>
    <row r="21" customFormat="false" ht="19.85" hidden="false" customHeight="true" outlineLevel="0" collapsed="false">
      <c r="A21" s="0" t="n">
        <v>31</v>
      </c>
      <c r="B21" s="34" t="n">
        <v>39417</v>
      </c>
      <c r="C21" s="56" t="n">
        <f aca="false">K21*0.96</f>
        <v>831058.559999973</v>
      </c>
      <c r="D21" s="29" t="s">
        <v>41</v>
      </c>
      <c r="E21" s="33" t="n">
        <f aca="false">IF(D21="totale",(C21/(A21*24))/F21,IF(D21="marché libre",(C21/(A21*24))/G21,"spécifier histo"))</f>
        <v>0.108447979956151</v>
      </c>
      <c r="F21" s="59" t="n">
        <v>10300</v>
      </c>
      <c r="G21" s="59" t="n">
        <f aca="false">F21-H21</f>
        <v>10300</v>
      </c>
      <c r="H21" s="59" t="n">
        <v>0</v>
      </c>
      <c r="J21" s="55"/>
      <c r="K21" s="9" t="n">
        <v>865685.999999972</v>
      </c>
      <c r="M21" s="0"/>
      <c r="N21" s="0"/>
      <c r="O21" s="0"/>
      <c r="P21" s="0"/>
      <c r="Q21" s="0"/>
      <c r="R21" s="0"/>
      <c r="S21" s="0"/>
      <c r="T21" s="0"/>
      <c r="U21" s="0"/>
      <c r="V21" s="0"/>
      <c r="W21" s="0"/>
    </row>
    <row r="22" customFormat="false" ht="19.85" hidden="false" customHeight="true" outlineLevel="0" collapsed="false">
      <c r="A22" s="0" t="n">
        <v>31</v>
      </c>
      <c r="B22" s="31" t="n">
        <v>39448</v>
      </c>
      <c r="C22" s="56" t="n">
        <f aca="false">K22*0.96</f>
        <v>680502.720000017</v>
      </c>
      <c r="D22" s="29" t="s">
        <v>41</v>
      </c>
      <c r="E22" s="33" t="n">
        <f aca="false">IF(D22="totale",(C22/(A22*24))/F22,IF(D22="marché libre",(C22/(A22*24))/G22,"spécifier histo"))</f>
        <v>0.0888013780144088</v>
      </c>
      <c r="F22" s="59" t="n">
        <v>10300</v>
      </c>
      <c r="G22" s="59" t="n">
        <f aca="false">F22-H22</f>
        <v>10300</v>
      </c>
      <c r="H22" s="59" t="n">
        <v>0</v>
      </c>
      <c r="J22" s="55"/>
      <c r="K22" s="9" t="n">
        <v>708857.000000018</v>
      </c>
      <c r="M22" s="0"/>
      <c r="N22" s="0"/>
      <c r="O22" s="0"/>
      <c r="P22" s="0"/>
      <c r="Q22" s="0"/>
      <c r="R22" s="0"/>
      <c r="S22" s="0"/>
      <c r="T22" s="0"/>
      <c r="U22" s="0"/>
      <c r="V22" s="0"/>
      <c r="W22" s="0"/>
    </row>
    <row r="23" customFormat="false" ht="19.85" hidden="false" customHeight="true" outlineLevel="0" collapsed="false">
      <c r="A23" s="0" t="n">
        <v>28</v>
      </c>
      <c r="B23" s="34" t="n">
        <v>39479</v>
      </c>
      <c r="C23" s="56" t="n">
        <f aca="false">K23*0.96</f>
        <v>606405.119999978</v>
      </c>
      <c r="D23" s="29" t="s">
        <v>41</v>
      </c>
      <c r="E23" s="33" t="n">
        <f aca="false">IF(D23="totale",(C23/(A23*24))/F23,IF(D23="marché libre",(C23/(A23*24))/G23,"spécifier histo"))</f>
        <v>0.0876105409153921</v>
      </c>
      <c r="F23" s="59" t="n">
        <v>10300</v>
      </c>
      <c r="G23" s="59" t="n">
        <f aca="false">F23-H23</f>
        <v>10300</v>
      </c>
      <c r="H23" s="59" t="n">
        <v>0</v>
      </c>
      <c r="J23" s="55"/>
      <c r="K23" s="9" t="n">
        <v>631671.999999977</v>
      </c>
      <c r="M23" s="0"/>
      <c r="N23" s="0"/>
      <c r="O23" s="0"/>
      <c r="P23" s="0"/>
      <c r="Q23" s="0"/>
      <c r="R23" s="0"/>
      <c r="S23" s="0"/>
      <c r="T23" s="0"/>
      <c r="U23" s="0"/>
      <c r="V23" s="0"/>
      <c r="W23" s="0"/>
    </row>
    <row r="24" customFormat="false" ht="19.85" hidden="false" customHeight="true" outlineLevel="0" collapsed="false">
      <c r="A24" s="0" t="n">
        <v>31</v>
      </c>
      <c r="B24" s="31" t="n">
        <v>39508</v>
      </c>
      <c r="C24" s="56" t="n">
        <f aca="false">K24*0.96</f>
        <v>936330.240000012</v>
      </c>
      <c r="D24" s="29" t="s">
        <v>41</v>
      </c>
      <c r="E24" s="33" t="n">
        <f aca="false">IF(D24="totale",(C24/(A24*24))/F24,IF(D24="marché libre",(C24/(A24*24))/G24,"spécifier histo"))</f>
        <v>0.122185280300659</v>
      </c>
      <c r="F24" s="59" t="n">
        <v>10300</v>
      </c>
      <c r="G24" s="59" t="n">
        <f aca="false">F24-H24</f>
        <v>10300</v>
      </c>
      <c r="H24" s="59" t="n">
        <v>0</v>
      </c>
      <c r="J24" s="55"/>
      <c r="K24" s="9" t="n">
        <v>975344.000000012</v>
      </c>
      <c r="M24" s="0"/>
      <c r="O24" s="0"/>
      <c r="P24" s="0"/>
      <c r="S24" s="0"/>
      <c r="V24" s="0"/>
    </row>
    <row r="25" customFormat="false" ht="19.85" hidden="false" customHeight="true" outlineLevel="0" collapsed="false">
      <c r="A25" s="0" t="n">
        <v>30</v>
      </c>
      <c r="B25" s="34" t="n">
        <v>39539</v>
      </c>
      <c r="C25" s="56" t="n">
        <f aca="false">K25*0.96</f>
        <v>1888016.64000001</v>
      </c>
      <c r="D25" s="29" t="s">
        <v>41</v>
      </c>
      <c r="E25" s="33" t="n">
        <f aca="false">IF(D25="totale",(C25/(A25*24))/F25,IF(D25="marché libre",(C25/(A25*24))/G25,"spécifier histo"))</f>
        <v>0.254586925566344</v>
      </c>
      <c r="F25" s="59" t="n">
        <v>10300</v>
      </c>
      <c r="G25" s="59" t="n">
        <f aca="false">F25-H25</f>
        <v>10300</v>
      </c>
      <c r="H25" s="59" t="n">
        <v>0</v>
      </c>
      <c r="J25" s="55"/>
      <c r="K25" s="9" t="n">
        <v>1966684.00000001</v>
      </c>
      <c r="M25" s="0"/>
      <c r="O25" s="0"/>
      <c r="P25" s="0"/>
      <c r="S25" s="0"/>
      <c r="V25" s="0"/>
    </row>
    <row r="26" customFormat="false" ht="19.85" hidden="false" customHeight="true" outlineLevel="0" collapsed="false">
      <c r="A26" s="0" t="n">
        <v>31</v>
      </c>
      <c r="B26" s="31" t="n">
        <v>39569</v>
      </c>
      <c r="C26" s="56" t="n">
        <f aca="false">K26*0.96</f>
        <v>6985072.32000001</v>
      </c>
      <c r="D26" s="29" t="s">
        <v>41</v>
      </c>
      <c r="E26" s="33" t="n">
        <f aca="false">IF(D26="totale",(C26/(A26*24))/F26,IF(D26="marché libre",(C26/(A26*24))/G26,"spécifier histo"))</f>
        <v>0.911508549953023</v>
      </c>
      <c r="F26" s="59" t="n">
        <v>10300</v>
      </c>
      <c r="G26" s="59" t="n">
        <f aca="false">F26-H26</f>
        <v>10300</v>
      </c>
      <c r="H26" s="59" t="n">
        <v>0</v>
      </c>
      <c r="J26" s="55"/>
      <c r="K26" s="9" t="n">
        <v>7276117.00000001</v>
      </c>
      <c r="M26" s="0"/>
      <c r="O26" s="0"/>
      <c r="P26" s="0"/>
      <c r="S26" s="0"/>
      <c r="V26" s="0"/>
    </row>
    <row r="27" customFormat="false" ht="19.85" hidden="false" customHeight="true" outlineLevel="0" collapsed="false">
      <c r="A27" s="0" t="n">
        <v>30</v>
      </c>
      <c r="B27" s="34" t="n">
        <v>39600</v>
      </c>
      <c r="C27" s="56" t="n">
        <f aca="false">K27*0.96</f>
        <v>7171113.60000005</v>
      </c>
      <c r="D27" s="29" t="s">
        <v>41</v>
      </c>
      <c r="E27" s="33" t="n">
        <f aca="false">IF(D27="totale",(C27/(A27*24))/F27,IF(D27="marché libre",(C27/(A27*24))/G27,"spécifier histo"))</f>
        <v>0.966978640776705</v>
      </c>
      <c r="F27" s="59" t="n">
        <v>10300</v>
      </c>
      <c r="G27" s="59" t="n">
        <f aca="false">F27-H27</f>
        <v>10300</v>
      </c>
      <c r="H27" s="59" t="n">
        <v>0</v>
      </c>
      <c r="J27" s="55"/>
      <c r="K27" s="9" t="n">
        <v>7469910.00000005</v>
      </c>
      <c r="M27" s="0"/>
      <c r="O27" s="0"/>
      <c r="P27" s="0"/>
      <c r="S27" s="0"/>
      <c r="V27" s="0"/>
    </row>
    <row r="28" customFormat="false" ht="19.85" hidden="false" customHeight="true" outlineLevel="0" collapsed="false">
      <c r="A28" s="0" t="n">
        <v>31</v>
      </c>
      <c r="B28" s="31" t="n">
        <v>39630</v>
      </c>
      <c r="C28" s="56" t="n">
        <f aca="false">K28*0.96</f>
        <v>6126019.20000003</v>
      </c>
      <c r="D28" s="29" t="s">
        <v>41</v>
      </c>
      <c r="E28" s="33" t="n">
        <f aca="false">IF(D28="totale",(C28/(A28*24))/F28,IF(D28="marché libre",(C28/(A28*24))/G28,"spécifier histo"))</f>
        <v>0.799407453805203</v>
      </c>
      <c r="F28" s="59" t="n">
        <v>10300</v>
      </c>
      <c r="G28" s="59" t="n">
        <f aca="false">F28-H28</f>
        <v>10300</v>
      </c>
      <c r="H28" s="59" t="n">
        <v>0</v>
      </c>
      <c r="J28" s="55"/>
      <c r="K28" s="9" t="n">
        <v>6381270.00000003</v>
      </c>
      <c r="M28" s="0"/>
      <c r="O28" s="0"/>
      <c r="P28" s="0"/>
      <c r="S28" s="0"/>
      <c r="V28" s="0"/>
    </row>
    <row r="29" customFormat="false" ht="19.85" hidden="false" customHeight="true" outlineLevel="0" collapsed="false">
      <c r="A29" s="0" t="n">
        <v>31</v>
      </c>
      <c r="B29" s="34" t="n">
        <v>39661</v>
      </c>
      <c r="C29" s="56" t="n">
        <f aca="false">K29*0.96</f>
        <v>3451534.08</v>
      </c>
      <c r="D29" s="29" t="s">
        <v>41</v>
      </c>
      <c r="E29" s="33" t="n">
        <f aca="false">IF(D29="totale",(C29/(A29*24))/F29,IF(D29="marché libre",(C29/(A29*24))/G29,"spécifier histo"))</f>
        <v>0.450403758221109</v>
      </c>
      <c r="F29" s="59" t="n">
        <v>10300</v>
      </c>
      <c r="G29" s="59" t="n">
        <f aca="false">F29-H29</f>
        <v>10300</v>
      </c>
      <c r="H29" s="59" t="n">
        <v>0</v>
      </c>
      <c r="J29" s="55"/>
      <c r="K29" s="9" t="n">
        <v>3595348</v>
      </c>
      <c r="M29" s="0"/>
      <c r="O29" s="0"/>
      <c r="P29" s="0"/>
      <c r="S29" s="0"/>
      <c r="V29" s="0"/>
    </row>
    <row r="30" customFormat="false" ht="19.85" hidden="false" customHeight="true" outlineLevel="0" collapsed="false">
      <c r="A30" s="0" t="n">
        <v>30</v>
      </c>
      <c r="B30" s="31" t="n">
        <v>39692</v>
      </c>
      <c r="C30" s="56" t="n">
        <f aca="false">K30*0.96</f>
        <v>3028122.24000001</v>
      </c>
      <c r="D30" s="29" t="s">
        <v>41</v>
      </c>
      <c r="E30" s="33" t="n">
        <f aca="false">IF(D30="totale",(C30/(A30*24))/F30,IF(D30="marché libre",(C30/(A30*24))/G30,"spécifier histo"))</f>
        <v>0.408322847896441</v>
      </c>
      <c r="F30" s="59" t="n">
        <v>10300</v>
      </c>
      <c r="G30" s="59" t="n">
        <f aca="false">F30-H30</f>
        <v>10300</v>
      </c>
      <c r="H30" s="59" t="n">
        <v>0</v>
      </c>
      <c r="J30" s="55"/>
      <c r="K30" s="9" t="n">
        <v>3154294.00000001</v>
      </c>
      <c r="M30" s="0"/>
      <c r="O30" s="0"/>
      <c r="P30" s="0"/>
      <c r="S30" s="0"/>
      <c r="V30" s="0"/>
    </row>
    <row r="31" customFormat="false" ht="19.85" hidden="false" customHeight="true" outlineLevel="0" collapsed="false">
      <c r="A31" s="0" t="n">
        <v>31</v>
      </c>
      <c r="B31" s="34" t="n">
        <v>39722</v>
      </c>
      <c r="C31" s="56" t="n">
        <f aca="false">K31*0.96</f>
        <v>1868465.27999997</v>
      </c>
      <c r="D31" s="29" t="s">
        <v>41</v>
      </c>
      <c r="E31" s="33" t="n">
        <f aca="false">IF(D31="totale",(C31/(A31*24))/F31,IF(D31="marché libre",(C31/(A31*24))/G31,"spécifier histo"))</f>
        <v>0.243823113059815</v>
      </c>
      <c r="F31" s="59" t="n">
        <v>10300</v>
      </c>
      <c r="G31" s="59" t="n">
        <f aca="false">F31-H31</f>
        <v>10300</v>
      </c>
      <c r="H31" s="59" t="n">
        <v>0</v>
      </c>
      <c r="J31" s="55"/>
      <c r="K31" s="9" t="n">
        <v>1946317.99999997</v>
      </c>
      <c r="M31" s="0"/>
      <c r="O31" s="0"/>
      <c r="P31" s="0"/>
      <c r="S31" s="0"/>
      <c r="V31" s="0"/>
    </row>
    <row r="32" customFormat="false" ht="19.85" hidden="false" customHeight="true" outlineLevel="0" collapsed="false">
      <c r="A32" s="0" t="n">
        <v>30</v>
      </c>
      <c r="B32" s="31" t="n">
        <v>39753</v>
      </c>
      <c r="C32" s="56" t="n">
        <f aca="false">K32*0.96</f>
        <v>1465920.00000003</v>
      </c>
      <c r="D32" s="29" t="s">
        <v>41</v>
      </c>
      <c r="E32" s="33" t="n">
        <f aca="false">IF(D32="totale",(C32/(A32*24))/F32,IF(D32="marché libre",(C32/(A32*24))/G32,"spécifier histo"))</f>
        <v>0.197669902912625</v>
      </c>
      <c r="F32" s="59" t="n">
        <v>10300</v>
      </c>
      <c r="G32" s="59" t="n">
        <f aca="false">F32-H32</f>
        <v>10300</v>
      </c>
      <c r="H32" s="59" t="n">
        <v>0</v>
      </c>
      <c r="J32" s="55"/>
      <c r="K32" s="9" t="n">
        <v>1527000.00000003</v>
      </c>
      <c r="M32" s="0"/>
      <c r="O32" s="0"/>
      <c r="P32" s="0"/>
      <c r="S32" s="0"/>
      <c r="V32" s="0"/>
    </row>
    <row r="33" customFormat="false" ht="19.85" hidden="false" customHeight="true" outlineLevel="0" collapsed="false">
      <c r="A33" s="0" t="n">
        <v>31</v>
      </c>
      <c r="B33" s="34" t="n">
        <v>39783</v>
      </c>
      <c r="C33" s="56" t="n">
        <f aca="false">K33*0.96</f>
        <v>774816.000000006</v>
      </c>
      <c r="D33" s="29" t="s">
        <v>41</v>
      </c>
      <c r="E33" s="33" t="n">
        <f aca="false">IF(D33="totale",(C33/(A33*24))/F33,IF(D33="marché libre",(C33/(A33*24))/G33,"spécifier histo"))</f>
        <v>0.10110867522706</v>
      </c>
      <c r="F33" s="59" t="n">
        <v>10300</v>
      </c>
      <c r="G33" s="59" t="n">
        <f aca="false">F33-H33</f>
        <v>10300</v>
      </c>
      <c r="H33" s="59" t="n">
        <v>0</v>
      </c>
      <c r="J33" s="55"/>
      <c r="K33" s="9" t="n">
        <v>807100.000000006</v>
      </c>
      <c r="M33" s="0"/>
      <c r="O33" s="0"/>
      <c r="P33" s="0"/>
      <c r="S33" s="0"/>
      <c r="V33" s="0"/>
    </row>
    <row r="34" customFormat="false" ht="19.85" hidden="false" customHeight="true" outlineLevel="0" collapsed="false">
      <c r="A34" s="0" t="n">
        <v>31</v>
      </c>
      <c r="B34" s="31" t="n">
        <v>39814</v>
      </c>
      <c r="C34" s="56" t="n">
        <f aca="false">K34*0.96</f>
        <v>344256.000000019</v>
      </c>
      <c r="D34" s="29" t="s">
        <v>41</v>
      </c>
      <c r="E34" s="33" t="n">
        <f aca="false">IF(D34="totale",(C34/(A34*24))/F34,IF(D34="marché libre",(C34/(A34*24))/G34,"spécifier histo"))</f>
        <v>0.0449232696523671</v>
      </c>
      <c r="F34" s="59" t="n">
        <v>10300</v>
      </c>
      <c r="G34" s="59" t="n">
        <f aca="false">F34-H34</f>
        <v>10300</v>
      </c>
      <c r="H34" s="59" t="n">
        <v>0</v>
      </c>
      <c r="J34" s="55"/>
      <c r="K34" s="56" t="n">
        <v>358600.00000002</v>
      </c>
      <c r="M34" s="0"/>
      <c r="O34" s="0"/>
      <c r="P34" s="0"/>
      <c r="S34" s="0"/>
      <c r="V34" s="0"/>
    </row>
    <row r="35" customFormat="false" ht="19.85" hidden="false" customHeight="true" outlineLevel="0" collapsed="false">
      <c r="A35" s="0" t="n">
        <v>28</v>
      </c>
      <c r="B35" s="34" t="n">
        <v>39845</v>
      </c>
      <c r="C35" s="56" t="n">
        <f aca="false">K35*0.96</f>
        <v>266591.999999984</v>
      </c>
      <c r="D35" s="29" t="s">
        <v>41</v>
      </c>
      <c r="E35" s="33" t="n">
        <f aca="false">IF(D35="totale",(C35/(A35*24))/F35,IF(D35="marché libre",(C35/(A35*24))/G35,"spécifier histo"))</f>
        <v>0.0385159500693458</v>
      </c>
      <c r="F35" s="59" t="n">
        <v>10300</v>
      </c>
      <c r="G35" s="59" t="n">
        <f aca="false">F35-H35</f>
        <v>10300</v>
      </c>
      <c r="H35" s="59" t="n">
        <v>0</v>
      </c>
      <c r="J35" s="55"/>
      <c r="K35" s="56" t="n">
        <v>277699.999999983</v>
      </c>
      <c r="M35" s="0"/>
      <c r="O35" s="0"/>
      <c r="P35" s="0"/>
      <c r="S35" s="0"/>
      <c r="V35" s="0"/>
    </row>
    <row r="36" customFormat="false" ht="19.85" hidden="false" customHeight="true" outlineLevel="0" collapsed="false">
      <c r="A36" s="0" t="n">
        <v>31</v>
      </c>
      <c r="B36" s="31" t="n">
        <v>39873</v>
      </c>
      <c r="C36" s="56" t="n">
        <f aca="false">K36*0.96</f>
        <v>444191.999999969</v>
      </c>
      <c r="D36" s="29" t="s">
        <v>41</v>
      </c>
      <c r="E36" s="33" t="n">
        <f aca="false">IF(D36="totale",(C36/(A36*24))/F36,IF(D36="marché libre",(C36/(A36*24))/G36,"spécifier histo"))</f>
        <v>0.0579642968994636</v>
      </c>
      <c r="F36" s="59" t="n">
        <v>10300</v>
      </c>
      <c r="G36" s="59" t="n">
        <f aca="false">F36-H36</f>
        <v>10300</v>
      </c>
      <c r="H36" s="59" t="n">
        <v>0</v>
      </c>
      <c r="J36" s="55"/>
      <c r="K36" s="56" t="n">
        <v>462699.999999968</v>
      </c>
      <c r="M36" s="0"/>
      <c r="O36" s="0"/>
      <c r="P36" s="0"/>
      <c r="S36" s="0"/>
    </row>
    <row r="37" customFormat="false" ht="19.85" hidden="false" customHeight="true" outlineLevel="0" collapsed="false">
      <c r="A37" s="0" t="n">
        <v>30</v>
      </c>
      <c r="B37" s="34" t="n">
        <v>39904</v>
      </c>
      <c r="C37" s="56" t="n">
        <f aca="false">K37*0.96</f>
        <v>2903231.99999998</v>
      </c>
      <c r="D37" s="29" t="s">
        <v>41</v>
      </c>
      <c r="E37" s="33" t="n">
        <f aca="false">IF(D37="totale",(C37/(A37*24))/F37,IF(D37="marché libre",(C37/(A37*24))/G37,"spécifier histo"))</f>
        <v>0.391482200647247</v>
      </c>
      <c r="F37" s="59" t="n">
        <v>10300</v>
      </c>
      <c r="G37" s="59" t="n">
        <f aca="false">F37-H37</f>
        <v>10300</v>
      </c>
      <c r="H37" s="59" t="n">
        <v>0</v>
      </c>
      <c r="J37" s="55"/>
      <c r="K37" s="56" t="n">
        <v>3024199.99999998</v>
      </c>
      <c r="M37" s="0"/>
      <c r="O37" s="0"/>
      <c r="P37" s="0"/>
      <c r="S37" s="0"/>
    </row>
    <row r="38" customFormat="false" ht="19.85" hidden="false" customHeight="true" outlineLevel="0" collapsed="false">
      <c r="A38" s="0" t="n">
        <v>31</v>
      </c>
      <c r="B38" s="31" t="n">
        <v>39934</v>
      </c>
      <c r="C38" s="56" t="n">
        <f aca="false">K38*0.96</f>
        <v>6539712</v>
      </c>
      <c r="D38" s="29" t="s">
        <v>41</v>
      </c>
      <c r="E38" s="33" t="n">
        <f aca="false">IF(D38="totale",(C38/(A38*24))/F38,IF(D38="marché libre",(C38/(A38*24))/G38,"spécifier histo"))</f>
        <v>0.853391794550579</v>
      </c>
      <c r="F38" s="59" t="n">
        <v>10300</v>
      </c>
      <c r="G38" s="59" t="n">
        <f aca="false">F38-H38</f>
        <v>10300</v>
      </c>
      <c r="H38" s="59" t="n">
        <v>0</v>
      </c>
      <c r="J38" s="55"/>
      <c r="K38" s="56" t="n">
        <v>6812200</v>
      </c>
      <c r="M38" s="0"/>
      <c r="O38" s="0"/>
      <c r="P38" s="0"/>
      <c r="S38" s="0"/>
    </row>
    <row r="39" customFormat="false" ht="19.85" hidden="false" customHeight="true" outlineLevel="0" collapsed="false">
      <c r="A39" s="0" t="n">
        <v>30</v>
      </c>
      <c r="B39" s="34" t="n">
        <v>39965</v>
      </c>
      <c r="C39" s="56" t="n">
        <f aca="false">K39*0.96</f>
        <v>5536127.99999999</v>
      </c>
      <c r="D39" s="29" t="s">
        <v>41</v>
      </c>
      <c r="E39" s="33" t="n">
        <f aca="false">IF(D39="totale",(C39/(A39*24))/F39,IF(D39="marché libre",(C39/(A39*24))/G39,"spécifier histo"))</f>
        <v>0.74651132686084</v>
      </c>
      <c r="F39" s="59" t="n">
        <v>10300</v>
      </c>
      <c r="G39" s="59" t="n">
        <f aca="false">F39-H39</f>
        <v>10300</v>
      </c>
      <c r="H39" s="59" t="n">
        <v>0</v>
      </c>
      <c r="J39" s="55"/>
      <c r="K39" s="56" t="n">
        <v>5766799.99999999</v>
      </c>
      <c r="M39" s="0"/>
      <c r="O39" s="0"/>
      <c r="P39" s="0"/>
      <c r="S39" s="0"/>
    </row>
    <row r="40" customFormat="false" ht="19.85" hidden="false" customHeight="true" outlineLevel="0" collapsed="false">
      <c r="A40" s="0" t="n">
        <v>31</v>
      </c>
      <c r="B40" s="31" t="n">
        <v>39995</v>
      </c>
      <c r="C40" s="56" t="n">
        <f aca="false">K40*0.96</f>
        <v>3742560.00000007</v>
      </c>
      <c r="D40" s="29" t="s">
        <v>41</v>
      </c>
      <c r="E40" s="33" t="n">
        <f aca="false">IF(D40="totale",(C40/(A40*24))/F40,IF(D40="marché libre",(C40/(A40*24))/G40,"spécifier histo"))</f>
        <v>0.488380833072355</v>
      </c>
      <c r="F40" s="59" t="n">
        <v>10300</v>
      </c>
      <c r="G40" s="59" t="n">
        <f aca="false">F40-H40</f>
        <v>10300</v>
      </c>
      <c r="H40" s="59" t="n">
        <v>0</v>
      </c>
      <c r="J40" s="55"/>
      <c r="K40" s="56" t="n">
        <v>3898500.00000007</v>
      </c>
      <c r="M40" s="0"/>
      <c r="O40" s="0"/>
      <c r="P40" s="0"/>
      <c r="S40" s="0"/>
    </row>
    <row r="41" customFormat="false" ht="19.85" hidden="false" customHeight="true" outlineLevel="0" collapsed="false">
      <c r="A41" s="0" t="n">
        <v>31</v>
      </c>
      <c r="B41" s="34" t="n">
        <v>40026</v>
      </c>
      <c r="C41" s="56" t="n">
        <f aca="false">K41*0.96</f>
        <v>1505760</v>
      </c>
      <c r="D41" s="29" t="s">
        <v>41</v>
      </c>
      <c r="E41" s="33" t="n">
        <f aca="false">IF(D41="totale",(C41/(A41*24))/F41,IF(D41="marché libre",(C41/(A41*24))/G41,"spécifier histo"))</f>
        <v>0.196492326965236</v>
      </c>
      <c r="F41" s="59" t="n">
        <v>10300</v>
      </c>
      <c r="G41" s="59" t="n">
        <f aca="false">F41-H41</f>
        <v>10300</v>
      </c>
      <c r="H41" s="59" t="n">
        <v>0</v>
      </c>
      <c r="J41" s="55"/>
      <c r="K41" s="56" t="n">
        <v>1568500</v>
      </c>
      <c r="M41" s="0"/>
      <c r="O41" s="0"/>
      <c r="P41" s="0"/>
      <c r="S41" s="0"/>
    </row>
    <row r="42" customFormat="false" ht="19.85" hidden="false" customHeight="true" outlineLevel="0" collapsed="false">
      <c r="A42" s="0" t="n">
        <v>30</v>
      </c>
      <c r="B42" s="31" t="n">
        <v>40057</v>
      </c>
      <c r="C42" s="56" t="n">
        <f aca="false">K42*0.96</f>
        <v>1119935.99999995</v>
      </c>
      <c r="D42" s="29" t="s">
        <v>41</v>
      </c>
      <c r="E42" s="33" t="n">
        <f aca="false">IF(D42="totale",(C42/(A42*24))/F42,IF(D42="marché libre",(C42/(A42*24))/G42,"spécifier histo"))</f>
        <v>0.151016181229767</v>
      </c>
      <c r="F42" s="59" t="n">
        <v>10300</v>
      </c>
      <c r="G42" s="59" t="n">
        <f aca="false">F42-H42</f>
        <v>10300</v>
      </c>
      <c r="H42" s="59" t="n">
        <v>0</v>
      </c>
      <c r="J42" s="55"/>
      <c r="K42" s="56" t="n">
        <v>1166599.99999995</v>
      </c>
      <c r="M42" s="0"/>
      <c r="O42" s="0"/>
      <c r="P42" s="0"/>
      <c r="S42" s="0"/>
    </row>
    <row r="43" customFormat="false" ht="19.85" hidden="false" customHeight="true" outlineLevel="0" collapsed="false">
      <c r="A43" s="0" t="n">
        <v>31</v>
      </c>
      <c r="B43" s="34" t="n">
        <v>40087</v>
      </c>
      <c r="C43" s="56" t="n">
        <f aca="false">K43*0.96</f>
        <v>897888.000000045</v>
      </c>
      <c r="D43" s="29" t="s">
        <v>41</v>
      </c>
      <c r="E43" s="33" t="n">
        <f aca="false">IF(D43="totale",(C43/(A43*24))/F43,IF(D43="marché libre",(C43/(A43*24))/G43,"spécifier histo"))</f>
        <v>0.117168806764804</v>
      </c>
      <c r="F43" s="59" t="n">
        <v>10300</v>
      </c>
      <c r="G43" s="59" t="n">
        <f aca="false">F43-H43</f>
        <v>10300</v>
      </c>
      <c r="H43" s="59" t="n">
        <v>0</v>
      </c>
      <c r="J43" s="55"/>
      <c r="K43" s="56" t="n">
        <v>935300.000000047</v>
      </c>
      <c r="M43" s="0"/>
      <c r="O43" s="0"/>
      <c r="P43" s="0"/>
      <c r="S43" s="0"/>
    </row>
    <row r="44" customFormat="false" ht="19.85" hidden="false" customHeight="true" outlineLevel="0" collapsed="false">
      <c r="A44" s="0" t="n">
        <v>30</v>
      </c>
      <c r="B44" s="31" t="n">
        <v>40118</v>
      </c>
      <c r="C44" s="56" t="n">
        <f aca="false">K44*0.96</f>
        <v>2110272.00000001</v>
      </c>
      <c r="D44" s="29" t="s">
        <v>41</v>
      </c>
      <c r="E44" s="33" t="n">
        <f aca="false">IF(D44="totale",(C44/(A44*24))/F44,IF(D44="marché libre",(C44/(A44*24))/G44,"spécifier histo"))</f>
        <v>0.284556634304208</v>
      </c>
      <c r="F44" s="59" t="n">
        <v>10300</v>
      </c>
      <c r="G44" s="59" t="n">
        <f aca="false">F44-H44</f>
        <v>10300</v>
      </c>
      <c r="H44" s="59" t="n">
        <v>0</v>
      </c>
      <c r="J44" s="55"/>
      <c r="K44" s="56" t="n">
        <v>2198200.00000001</v>
      </c>
      <c r="M44" s="0"/>
      <c r="O44" s="0"/>
      <c r="P44" s="0"/>
      <c r="S44" s="0"/>
    </row>
    <row r="45" customFormat="false" ht="19.85" hidden="false" customHeight="true" outlineLevel="0" collapsed="false">
      <c r="A45" s="0" t="n">
        <v>31</v>
      </c>
      <c r="B45" s="34" t="n">
        <v>40148</v>
      </c>
      <c r="C45" s="56" t="n">
        <f aca="false">K45*0.96</f>
        <v>1447103.99999999</v>
      </c>
      <c r="D45" s="29" t="s">
        <v>41</v>
      </c>
      <c r="E45" s="33" t="n">
        <f aca="false">IF(D45="totale",(C45/(A45*24))/F45,IF(D45="marché libre",(C45/(A45*24))/G45,"spécifier histo"))</f>
        <v>0.188838083307233</v>
      </c>
      <c r="F45" s="59" t="n">
        <v>10300</v>
      </c>
      <c r="G45" s="59" t="n">
        <f aca="false">F45-H45</f>
        <v>10300</v>
      </c>
      <c r="H45" s="59" t="n">
        <v>0</v>
      </c>
      <c r="J45" s="55"/>
      <c r="K45" s="56" t="n">
        <v>1507399.99999999</v>
      </c>
      <c r="M45" s="0"/>
      <c r="O45" s="0"/>
      <c r="P45" s="0"/>
      <c r="S45" s="0"/>
    </row>
    <row r="46" customFormat="false" ht="19.85" hidden="false" customHeight="true" outlineLevel="0" collapsed="false">
      <c r="A46" s="0" t="n">
        <v>31</v>
      </c>
      <c r="B46" s="31" t="n">
        <v>40179</v>
      </c>
      <c r="C46" s="56" t="n">
        <f aca="false">K46*0.96</f>
        <v>649632.000000012</v>
      </c>
      <c r="D46" s="29" t="s">
        <v>41</v>
      </c>
      <c r="E46" s="33" t="n">
        <f aca="false">IF(D46="totale",(C46/(A46*24))/F46,IF(D46="marché libre",(C46/(A46*24))/G46,"spécifier histo"))</f>
        <v>0.084772940808019</v>
      </c>
      <c r="F46" s="59" t="n">
        <v>10300</v>
      </c>
      <c r="G46" s="59" t="n">
        <f aca="false">F46-H46</f>
        <v>10300</v>
      </c>
      <c r="H46" s="59" t="n">
        <v>0</v>
      </c>
      <c r="J46" s="55"/>
      <c r="K46" s="9" t="n">
        <v>676700.000000012</v>
      </c>
      <c r="M46" s="0"/>
      <c r="O46" s="0"/>
      <c r="P46" s="0"/>
      <c r="S46" s="0"/>
    </row>
    <row r="47" customFormat="false" ht="19.85" hidden="false" customHeight="true" outlineLevel="0" collapsed="false">
      <c r="A47" s="0" t="n">
        <v>28</v>
      </c>
      <c r="B47" s="34" t="n">
        <v>40210</v>
      </c>
      <c r="C47" s="56" t="n">
        <f aca="false">K47*0.96</f>
        <v>367487.999999988</v>
      </c>
      <c r="D47" s="29" t="s">
        <v>41</v>
      </c>
      <c r="E47" s="33" t="n">
        <f aca="false">IF(D47="totale",(C47/(A47*24))/F47,IF(D47="marché libre",(C47/(A47*24))/G47,"spécifier histo"))</f>
        <v>0.0530929264909831</v>
      </c>
      <c r="F47" s="59" t="n">
        <v>10300</v>
      </c>
      <c r="G47" s="59" t="n">
        <f aca="false">F47-H47</f>
        <v>10300</v>
      </c>
      <c r="H47" s="59" t="n">
        <v>0</v>
      </c>
      <c r="J47" s="55"/>
      <c r="K47" s="9" t="n">
        <v>382799.999999988</v>
      </c>
      <c r="M47" s="0"/>
      <c r="O47" s="0"/>
      <c r="P47" s="0"/>
      <c r="S47" s="0"/>
    </row>
    <row r="48" customFormat="false" ht="19.85" hidden="false" customHeight="true" outlineLevel="0" collapsed="false">
      <c r="A48" s="0" t="n">
        <v>31</v>
      </c>
      <c r="B48" s="31" t="n">
        <v>40238</v>
      </c>
      <c r="C48" s="56" t="n">
        <f aca="false">K48*0.96</f>
        <v>964031.999999981</v>
      </c>
      <c r="D48" s="29" t="s">
        <v>41</v>
      </c>
      <c r="E48" s="33" t="n">
        <f aca="false">IF(D48="totale",(C48/(A48*24))/F48,IF(D48="marché libre",(C48/(A48*24))/G48,"spécifier histo"))</f>
        <v>0.125800187911053</v>
      </c>
      <c r="F48" s="59" t="n">
        <v>10300</v>
      </c>
      <c r="G48" s="59" t="n">
        <f aca="false">F48-H48</f>
        <v>10300</v>
      </c>
      <c r="H48" s="59" t="n">
        <v>0</v>
      </c>
      <c r="J48" s="55"/>
      <c r="K48" s="9" t="n">
        <v>1004199.99999998</v>
      </c>
      <c r="O48" s="0"/>
      <c r="P48" s="0"/>
      <c r="S48" s="0"/>
    </row>
    <row r="49" customFormat="false" ht="19.85" hidden="false" customHeight="true" outlineLevel="0" collapsed="false">
      <c r="A49" s="0" t="n">
        <v>30</v>
      </c>
      <c r="B49" s="34" t="n">
        <v>40269</v>
      </c>
      <c r="C49" s="56" t="n">
        <f aca="false">K49*0.96</f>
        <v>3232512.00000004</v>
      </c>
      <c r="D49" s="29" t="s">
        <v>41</v>
      </c>
      <c r="E49" s="33" t="n">
        <f aca="false">IF(D49="totale",(C49/(A49*24))/F49,IF(D49="marché libre",(C49/(A49*24))/G49,"spécifier histo"))</f>
        <v>0.435883495145636</v>
      </c>
      <c r="F49" s="59" t="n">
        <v>10300</v>
      </c>
      <c r="G49" s="59" t="n">
        <f aca="false">F49-H49</f>
        <v>10300</v>
      </c>
      <c r="H49" s="59" t="n">
        <v>0</v>
      </c>
      <c r="J49" s="55"/>
      <c r="K49" s="9" t="n">
        <v>3367200.00000004</v>
      </c>
      <c r="O49" s="0"/>
      <c r="P49" s="0"/>
      <c r="S49" s="0"/>
    </row>
    <row r="50" customFormat="false" ht="19.85" hidden="false" customHeight="true" outlineLevel="0" collapsed="false">
      <c r="A50" s="0" t="n">
        <v>31</v>
      </c>
      <c r="B50" s="31" t="n">
        <v>40299</v>
      </c>
      <c r="C50" s="56" t="n">
        <f aca="false">K50*0.96</f>
        <v>6363072.00000001</v>
      </c>
      <c r="D50" s="29" t="s">
        <v>41</v>
      </c>
      <c r="E50" s="33" t="n">
        <f aca="false">IF(D50="totale",(C50/(A50*24))/F50,IF(D50="marché libre",(C50/(A50*24))/G50,"spécifier histo"))</f>
        <v>0.830341371750706</v>
      </c>
      <c r="F50" s="59" t="n">
        <v>10300</v>
      </c>
      <c r="G50" s="59" t="n">
        <f aca="false">F50-H50</f>
        <v>10300</v>
      </c>
      <c r="H50" s="59" t="n">
        <v>0</v>
      </c>
      <c r="J50" s="55"/>
      <c r="K50" s="9" t="n">
        <v>6628200.00000001</v>
      </c>
      <c r="O50" s="0"/>
      <c r="P50" s="0"/>
      <c r="S50" s="0"/>
    </row>
    <row r="51" customFormat="false" ht="19.85" hidden="false" customHeight="true" outlineLevel="0" collapsed="false">
      <c r="A51" s="0" t="n">
        <v>30</v>
      </c>
      <c r="B51" s="34" t="n">
        <v>40330</v>
      </c>
      <c r="C51" s="56" t="n">
        <f aca="false">K51*0.96</f>
        <v>7191455.99999995</v>
      </c>
      <c r="D51" s="29" t="s">
        <v>41</v>
      </c>
      <c r="E51" s="33" t="n">
        <f aca="false">IF(D51="totale",(C51/(A51*24))/F51,IF(D51="marché libre",(C51/(A51*24))/G51,"spécifier histo"))</f>
        <v>0.96972168284789</v>
      </c>
      <c r="F51" s="59" t="n">
        <v>10300</v>
      </c>
      <c r="G51" s="59" t="n">
        <f aca="false">F51-H51</f>
        <v>10300</v>
      </c>
      <c r="H51" s="59" t="n">
        <v>0</v>
      </c>
      <c r="J51" s="55"/>
      <c r="K51" s="9" t="n">
        <v>7491099.99999995</v>
      </c>
      <c r="O51" s="0"/>
      <c r="P51" s="0"/>
      <c r="S51" s="0"/>
    </row>
    <row r="52" customFormat="false" ht="19.85" hidden="false" customHeight="true" outlineLevel="0" collapsed="false">
      <c r="A52" s="0" t="n">
        <v>31</v>
      </c>
      <c r="B52" s="31" t="n">
        <v>40360</v>
      </c>
      <c r="C52" s="56" t="n">
        <f aca="false">K52*0.96</f>
        <v>5028480.00000003</v>
      </c>
      <c r="D52" s="29" t="s">
        <v>41</v>
      </c>
      <c r="E52" s="33" t="n">
        <f aca="false">IF(D52="totale",(C52/(A52*24))/F52,IF(D52="marché libre",(C52/(A52*24))/G52,"spécifier histo"))</f>
        <v>0.656185405574698</v>
      </c>
      <c r="F52" s="59" t="n">
        <v>10300</v>
      </c>
      <c r="G52" s="59" t="n">
        <f aca="false">F52-H52</f>
        <v>10300</v>
      </c>
      <c r="H52" s="59" t="n">
        <v>0</v>
      </c>
      <c r="J52" s="55"/>
      <c r="K52" s="9" t="n">
        <v>5238000.00000003</v>
      </c>
      <c r="O52" s="0"/>
      <c r="P52" s="0"/>
      <c r="S52" s="0"/>
    </row>
    <row r="53" customFormat="false" ht="19.85" hidden="false" customHeight="true" outlineLevel="0" collapsed="false">
      <c r="A53" s="0" t="n">
        <v>31</v>
      </c>
      <c r="B53" s="34" t="n">
        <v>40391</v>
      </c>
      <c r="C53" s="56" t="n">
        <f aca="false">K53*0.96</f>
        <v>1325856.00000003</v>
      </c>
      <c r="D53" s="29" t="s">
        <v>41</v>
      </c>
      <c r="E53" s="33" t="n">
        <f aca="false">IF(D53="totale",(C53/(A53*24))/F53,IF(D53="marché libre",(C53/(A53*24))/G53,"spécifier histo"))</f>
        <v>0.173015972439716</v>
      </c>
      <c r="F53" s="59" t="n">
        <v>10300</v>
      </c>
      <c r="G53" s="59" t="n">
        <f aca="false">F53-H53</f>
        <v>10300</v>
      </c>
      <c r="H53" s="59" t="n">
        <v>0</v>
      </c>
      <c r="J53" s="55"/>
      <c r="K53" s="9" t="n">
        <v>1381100.00000003</v>
      </c>
      <c r="O53" s="0"/>
      <c r="P53" s="0"/>
      <c r="S53" s="0"/>
    </row>
    <row r="54" customFormat="false" ht="19.85" hidden="false" customHeight="true" outlineLevel="0" collapsed="false">
      <c r="A54" s="0" t="n">
        <v>30</v>
      </c>
      <c r="B54" s="31" t="n">
        <v>40422</v>
      </c>
      <c r="C54" s="56" t="n">
        <f aca="false">K54*0.96</f>
        <v>0</v>
      </c>
      <c r="D54" s="29" t="s">
        <v>41</v>
      </c>
      <c r="E54" s="33" t="n">
        <f aca="false">IF(D54="totale",(C54/(A54*24))/F54,IF(D54="marché libre",(C54/(A54*24))/G54,"spécifier histo"))</f>
        <v>0</v>
      </c>
      <c r="F54" s="59" t="n">
        <v>10300</v>
      </c>
      <c r="G54" s="59" t="n">
        <f aca="false">F54-H54</f>
        <v>10300</v>
      </c>
      <c r="H54" s="59" t="n">
        <v>0</v>
      </c>
      <c r="I54" s="1" t="s">
        <v>54</v>
      </c>
      <c r="J54" s="55"/>
      <c r="K54" s="9" t="n">
        <v>0</v>
      </c>
      <c r="O54" s="0"/>
      <c r="P54" s="0"/>
      <c r="S54" s="0"/>
    </row>
    <row r="55" customFormat="false" ht="19.85" hidden="false" customHeight="true" outlineLevel="0" collapsed="false">
      <c r="A55" s="0" t="n">
        <v>31</v>
      </c>
      <c r="B55" s="34" t="n">
        <v>40452</v>
      </c>
      <c r="C55" s="56" t="n">
        <f aca="false">K55*0.96</f>
        <v>1335360.00000003</v>
      </c>
      <c r="D55" s="29" t="s">
        <v>41</v>
      </c>
      <c r="E55" s="33" t="n">
        <f aca="false">IF(D55="totale",(C55/(A55*24))/F55,IF(D55="marché libre",(C55/(A55*24))/G55,"spécifier histo"))</f>
        <v>0.174256185405578</v>
      </c>
      <c r="F55" s="59" t="n">
        <v>10300</v>
      </c>
      <c r="G55" s="59" t="n">
        <f aca="false">F55-H55</f>
        <v>10300</v>
      </c>
      <c r="H55" s="59" t="n">
        <v>0</v>
      </c>
      <c r="J55" s="55"/>
      <c r="K55" s="9" t="n">
        <v>1391000.00000003</v>
      </c>
      <c r="O55" s="0"/>
      <c r="P55" s="0"/>
      <c r="S55" s="0"/>
    </row>
    <row r="56" customFormat="false" ht="19.85" hidden="false" customHeight="true" outlineLevel="0" collapsed="false">
      <c r="A56" s="0" t="n">
        <v>30</v>
      </c>
      <c r="B56" s="31" t="n">
        <v>40483</v>
      </c>
      <c r="C56" s="56" t="n">
        <f aca="false">K56*0.96</f>
        <v>1032288.00000002</v>
      </c>
      <c r="D56" s="29" t="s">
        <v>41</v>
      </c>
      <c r="E56" s="33" t="n">
        <f aca="false">IF(D56="totale",(C56/(A56*24))/F56,IF(D56="marché libre",(C56/(A56*24))/G56,"spécifier histo"))</f>
        <v>0.139197411003239</v>
      </c>
      <c r="F56" s="59" t="n">
        <v>10300</v>
      </c>
      <c r="G56" s="59" t="n">
        <f aca="false">F56-H56</f>
        <v>10300</v>
      </c>
      <c r="H56" s="59" t="n">
        <v>0</v>
      </c>
      <c r="J56" s="55"/>
      <c r="K56" s="9" t="n">
        <v>1075300.00000002</v>
      </c>
      <c r="O56" s="0"/>
      <c r="P56" s="0"/>
      <c r="S56" s="0"/>
    </row>
    <row r="57" customFormat="false" ht="19.85" hidden="false" customHeight="true" outlineLevel="0" collapsed="false">
      <c r="A57" s="0" t="n">
        <v>31</v>
      </c>
      <c r="B57" s="34" t="n">
        <v>40513</v>
      </c>
      <c r="C57" s="56" t="n">
        <f aca="false">K57*0.96</f>
        <v>1907040.00000003</v>
      </c>
      <c r="D57" s="29" t="s">
        <v>41</v>
      </c>
      <c r="E57" s="33" t="n">
        <f aca="false">IF(D57="totale",(C57/(A57*24))/F57,IF(D57="marché libre",(C57/(A57*24))/G57,"spécifier histo"))</f>
        <v>0.248856874412782</v>
      </c>
      <c r="F57" s="59" t="n">
        <v>10300</v>
      </c>
      <c r="G57" s="59" t="n">
        <f aca="false">F57-H57</f>
        <v>10300</v>
      </c>
      <c r="H57" s="59" t="n">
        <v>0</v>
      </c>
      <c r="J57" s="55"/>
      <c r="K57" s="9" t="n">
        <v>1986500.00000003</v>
      </c>
      <c r="O57" s="0"/>
      <c r="P57" s="0"/>
      <c r="S57" s="0"/>
    </row>
    <row r="58" customFormat="false" ht="19.85" hidden="false" customHeight="true" outlineLevel="0" collapsed="false">
      <c r="A58" s="0" t="n">
        <v>31</v>
      </c>
      <c r="B58" s="31" t="n">
        <v>40544</v>
      </c>
      <c r="C58" s="56" t="n">
        <f aca="false">K58*0.96</f>
        <v>742272.000000067</v>
      </c>
      <c r="D58" s="29" t="s">
        <v>41</v>
      </c>
      <c r="E58" s="33" t="n">
        <f aca="false">IF(D58="totale",(C58/(A58*24))/F58,IF(D58="marché libre",(C58/(A58*24))/G58,"spécifier histo"))</f>
        <v>0.096861885374265</v>
      </c>
      <c r="F58" s="59" t="n">
        <v>10300</v>
      </c>
      <c r="G58" s="59" t="n">
        <f aca="false">F58-H58</f>
        <v>10300</v>
      </c>
      <c r="H58" s="59" t="n">
        <v>0</v>
      </c>
      <c r="J58" s="55"/>
      <c r="K58" s="9" t="n">
        <v>773200.00000007</v>
      </c>
      <c r="O58" s="0"/>
      <c r="P58" s="0"/>
      <c r="S58" s="0"/>
    </row>
    <row r="59" customFormat="false" ht="19.85" hidden="false" customHeight="true" outlineLevel="0" collapsed="false">
      <c r="A59" s="0" t="n">
        <v>28</v>
      </c>
      <c r="B59" s="34" t="n">
        <v>40575</v>
      </c>
      <c r="C59" s="56" t="n">
        <f aca="false">K59*0.96</f>
        <v>560640</v>
      </c>
      <c r="D59" s="29" t="s">
        <v>41</v>
      </c>
      <c r="E59" s="33" t="n">
        <f aca="false">IF(D59="totale",(C59/(A59*24))/F59,IF(D59="marché libre",(C59/(A59*24))/G59,"spécifier histo"))</f>
        <v>0.080998613037448</v>
      </c>
      <c r="F59" s="59" t="n">
        <v>10300</v>
      </c>
      <c r="G59" s="59" t="n">
        <f aca="false">F59-H59</f>
        <v>10300</v>
      </c>
      <c r="H59" s="59" t="n">
        <v>0</v>
      </c>
      <c r="J59" s="55"/>
      <c r="K59" s="9" t="n">
        <v>584000</v>
      </c>
      <c r="O59" s="0"/>
      <c r="P59" s="0"/>
      <c r="S59" s="0"/>
    </row>
    <row r="60" customFormat="false" ht="19.85" hidden="false" customHeight="true" outlineLevel="0" collapsed="false">
      <c r="A60" s="0" t="n">
        <v>31</v>
      </c>
      <c r="B60" s="31" t="n">
        <v>40603</v>
      </c>
      <c r="C60" s="56" t="n">
        <f aca="false">K60*0.96</f>
        <v>871872.000000012</v>
      </c>
      <c r="D60" s="29" t="s">
        <v>41</v>
      </c>
      <c r="E60" s="33" t="n">
        <f aca="false">IF(D60="totale",(C60/(A60*24))/F60,IF(D60="marché libre",(C60/(A60*24))/G60,"spécifier histo"))</f>
        <v>0.113773880363296</v>
      </c>
      <c r="F60" s="59" t="n">
        <v>10300</v>
      </c>
      <c r="G60" s="59" t="n">
        <f aca="false">F60-H60</f>
        <v>10300</v>
      </c>
      <c r="H60" s="59" t="n">
        <v>0</v>
      </c>
      <c r="J60" s="55"/>
      <c r="K60" s="9" t="n">
        <v>908200.000000012</v>
      </c>
      <c r="O60" s="0"/>
      <c r="P60" s="0"/>
      <c r="S60" s="0"/>
    </row>
    <row r="61" customFormat="false" ht="19.85" hidden="false" customHeight="true" outlineLevel="0" collapsed="false">
      <c r="A61" s="0" t="n">
        <v>30</v>
      </c>
      <c r="B61" s="34" t="n">
        <v>40634</v>
      </c>
      <c r="C61" s="56" t="n">
        <f aca="false">K61*0.96</f>
        <v>4482911.99999998</v>
      </c>
      <c r="D61" s="29" t="s">
        <v>41</v>
      </c>
      <c r="E61" s="33" t="n">
        <f aca="false">IF(D61="totale",(C61/(A61*24))/F61,IF(D61="marché libre",(C61/(A61*24))/G61,"spécifier histo"))</f>
        <v>0.604491909385111</v>
      </c>
      <c r="F61" s="59" t="n">
        <v>10300</v>
      </c>
      <c r="G61" s="59" t="n">
        <f aca="false">F61-H61</f>
        <v>10300</v>
      </c>
      <c r="H61" s="59" t="n">
        <v>0</v>
      </c>
      <c r="J61" s="55"/>
      <c r="K61" s="9" t="n">
        <v>4669699.99999998</v>
      </c>
      <c r="O61" s="0"/>
      <c r="P61" s="0"/>
      <c r="S61" s="0"/>
    </row>
    <row r="62" customFormat="false" ht="19.85" hidden="false" customHeight="true" outlineLevel="0" collapsed="false">
      <c r="A62" s="0" t="n">
        <v>31</v>
      </c>
      <c r="B62" s="31" t="n">
        <v>40664</v>
      </c>
      <c r="C62" s="56" t="n">
        <f aca="false">K62*0.96</f>
        <v>6934463.99999999</v>
      </c>
      <c r="D62" s="29" t="s">
        <v>41</v>
      </c>
      <c r="E62" s="33" t="n">
        <f aca="false">IF(D62="totale",(C62/(A62*24))/F62,IF(D62="marché libre",(C62/(A62*24))/G62,"spécifier histo"))</f>
        <v>0.90490447854682</v>
      </c>
      <c r="F62" s="59" t="n">
        <v>10300</v>
      </c>
      <c r="G62" s="59" t="n">
        <f aca="false">F62-H62</f>
        <v>10300</v>
      </c>
      <c r="H62" s="59" t="n">
        <v>0</v>
      </c>
      <c r="J62" s="55"/>
      <c r="K62" s="9" t="n">
        <v>7223399.99999999</v>
      </c>
      <c r="O62" s="0"/>
      <c r="P62" s="0"/>
      <c r="S62" s="0"/>
    </row>
    <row r="63" customFormat="false" ht="19.85" hidden="false" customHeight="true" outlineLevel="0" collapsed="false">
      <c r="A63" s="0" t="n">
        <v>30</v>
      </c>
      <c r="B63" s="34" t="n">
        <v>40695</v>
      </c>
      <c r="C63" s="56" t="n">
        <f aca="false">K63*0.96</f>
        <v>6088512.00000001</v>
      </c>
      <c r="D63" s="29" t="s">
        <v>41</v>
      </c>
      <c r="E63" s="33" t="n">
        <f aca="false">IF(D63="totale",(C63/(A63*24))/F63,IF(D63="marché libre",(C63/(A63*24))/G63,"spécifier histo"))</f>
        <v>0.820996763754046</v>
      </c>
      <c r="F63" s="59" t="n">
        <v>10300</v>
      </c>
      <c r="G63" s="59" t="n">
        <f aca="false">F63-H63</f>
        <v>10300</v>
      </c>
      <c r="H63" s="59" t="n">
        <v>0</v>
      </c>
      <c r="J63" s="55"/>
      <c r="K63" s="9" t="n">
        <v>6342200.00000001</v>
      </c>
      <c r="O63" s="0"/>
      <c r="P63" s="0"/>
      <c r="S63" s="0"/>
    </row>
    <row r="64" customFormat="false" ht="19.85" hidden="false" customHeight="true" outlineLevel="0" collapsed="false">
      <c r="A64" s="0" t="n">
        <v>31</v>
      </c>
      <c r="B64" s="31" t="n">
        <v>40725</v>
      </c>
      <c r="C64" s="56" t="n">
        <f aca="false">K64*0.96</f>
        <v>4801728.00000002</v>
      </c>
      <c r="D64" s="29" t="s">
        <v>41</v>
      </c>
      <c r="E64" s="33" t="n">
        <f aca="false">IF(D64="totale",(C64/(A64*24))/F64,IF(D64="marché libre",(C64/(A64*24))/G64,"spécifier histo"))</f>
        <v>0.626595678045727</v>
      </c>
      <c r="F64" s="59" t="n">
        <v>10300</v>
      </c>
      <c r="G64" s="59" t="n">
        <f aca="false">F64-H64</f>
        <v>10300</v>
      </c>
      <c r="H64" s="59" t="n">
        <v>0</v>
      </c>
      <c r="J64" s="55"/>
      <c r="K64" s="9" t="n">
        <v>5001800.00000002</v>
      </c>
      <c r="O64" s="0"/>
      <c r="P64" s="0"/>
      <c r="S64" s="0"/>
    </row>
    <row r="65" customFormat="false" ht="19.85" hidden="false" customHeight="true" outlineLevel="0" collapsed="false">
      <c r="A65" s="0" t="n">
        <v>31</v>
      </c>
      <c r="B65" s="34" t="n">
        <v>40756</v>
      </c>
      <c r="C65" s="56" t="n">
        <f aca="false">K65*0.96</f>
        <v>2364768.00000002</v>
      </c>
      <c r="D65" s="29" t="s">
        <v>41</v>
      </c>
      <c r="E65" s="33" t="n">
        <f aca="false">IF(D65="totale",(C65/(A65*24))/F65,IF(D65="marché libre",(C65/(A65*24))/G65,"spécifier histo"))</f>
        <v>0.308587535233325</v>
      </c>
      <c r="F65" s="59" t="n">
        <v>10300</v>
      </c>
      <c r="G65" s="59" t="n">
        <f aca="false">F65-H65</f>
        <v>10300</v>
      </c>
      <c r="H65" s="59" t="n">
        <v>0</v>
      </c>
      <c r="J65" s="55"/>
      <c r="K65" s="9" t="n">
        <v>2463300.00000002</v>
      </c>
      <c r="O65" s="0"/>
      <c r="P65" s="0"/>
      <c r="S65" s="0"/>
    </row>
    <row r="66" customFormat="false" ht="19.85" hidden="false" customHeight="true" outlineLevel="0" collapsed="false">
      <c r="A66" s="0" t="n">
        <v>30</v>
      </c>
      <c r="B66" s="31" t="n">
        <v>40787</v>
      </c>
      <c r="C66" s="56" t="n">
        <f aca="false">K66*0.96</f>
        <v>3117503.99999997</v>
      </c>
      <c r="D66" s="29" t="s">
        <v>41</v>
      </c>
      <c r="E66" s="33" t="n">
        <f aca="false">IF(D66="totale",(C66/(A66*24))/F66,IF(D66="marché libre",(C66/(A66*24))/G66,"spécifier histo"))</f>
        <v>0.42037540453074</v>
      </c>
      <c r="F66" s="59" t="n">
        <v>10300</v>
      </c>
      <c r="G66" s="59" t="n">
        <f aca="false">F66-H66</f>
        <v>10300</v>
      </c>
      <c r="H66" s="59" t="n">
        <v>0</v>
      </c>
      <c r="J66" s="55"/>
      <c r="K66" s="9" t="n">
        <v>3247399.99999997</v>
      </c>
      <c r="O66" s="0"/>
      <c r="P66" s="0"/>
      <c r="S66" s="0"/>
    </row>
    <row r="67" customFormat="false" ht="19.85" hidden="false" customHeight="true" outlineLevel="0" collapsed="false">
      <c r="A67" s="0" t="n">
        <v>31</v>
      </c>
      <c r="B67" s="34" t="n">
        <v>40817</v>
      </c>
      <c r="C67" s="56" t="n">
        <f aca="false">K67*0.96</f>
        <v>2453376.00000003</v>
      </c>
      <c r="D67" s="29" t="s">
        <v>41</v>
      </c>
      <c r="E67" s="33" t="n">
        <f aca="false">IF(D67="totale",(C67/(A67*24))/F67,IF(D67="marché libre",(C67/(A67*24))/G67,"spécifier histo"))</f>
        <v>0.320150328844351</v>
      </c>
      <c r="F67" s="59" t="n">
        <v>10300</v>
      </c>
      <c r="G67" s="59" t="n">
        <f aca="false">F67-H67</f>
        <v>10300</v>
      </c>
      <c r="H67" s="59" t="n">
        <v>0</v>
      </c>
      <c r="J67" s="55"/>
      <c r="K67" s="9" t="n">
        <v>2555600.00000003</v>
      </c>
      <c r="O67" s="0"/>
      <c r="P67" s="0"/>
      <c r="S67" s="0"/>
    </row>
    <row r="68" customFormat="false" ht="19.85" hidden="false" customHeight="true" outlineLevel="0" collapsed="false">
      <c r="A68" s="0" t="n">
        <v>30</v>
      </c>
      <c r="B68" s="31" t="n">
        <v>40848</v>
      </c>
      <c r="C68" s="56" t="n">
        <f aca="false">K68*0.96</f>
        <v>2079648.00000002</v>
      </c>
      <c r="D68" s="29" t="s">
        <v>41</v>
      </c>
      <c r="E68" s="33" t="n">
        <f aca="false">IF(D68="totale",(C68/(A68*24))/F68,IF(D68="marché libre",(C68/(A68*24))/G68,"spécifier histo"))</f>
        <v>0.280427184466022</v>
      </c>
      <c r="F68" s="59" t="n">
        <v>10300</v>
      </c>
      <c r="G68" s="59" t="n">
        <f aca="false">F68-H68</f>
        <v>10300</v>
      </c>
      <c r="H68" s="59" t="n">
        <v>0</v>
      </c>
      <c r="J68" s="55"/>
      <c r="K68" s="9" t="n">
        <v>2166300.00000002</v>
      </c>
      <c r="O68" s="0"/>
      <c r="P68" s="0"/>
      <c r="S68" s="0"/>
    </row>
    <row r="69" customFormat="false" ht="19.85" hidden="false" customHeight="true" outlineLevel="0" collapsed="false">
      <c r="A69" s="0" t="n">
        <v>31</v>
      </c>
      <c r="B69" s="34" t="n">
        <v>40878</v>
      </c>
      <c r="C69" s="56" t="n">
        <f aca="false">K69*0.96</f>
        <v>954816.000000061</v>
      </c>
      <c r="D69" s="29" t="s">
        <v>41</v>
      </c>
      <c r="E69" s="33" t="n">
        <f aca="false">IF(D69="totale",(C69/(A69*24))/F69,IF(D69="marché libre",(C69/(A69*24))/G69,"spécifier histo"))</f>
        <v>0.124597557156287</v>
      </c>
      <c r="F69" s="59" t="n">
        <v>10300</v>
      </c>
      <c r="G69" s="59" t="n">
        <f aca="false">F69-H69</f>
        <v>10300</v>
      </c>
      <c r="H69" s="59" t="n">
        <v>0</v>
      </c>
      <c r="J69" s="55"/>
      <c r="K69" s="9" t="n">
        <v>994600.000000064</v>
      </c>
      <c r="O69" s="0"/>
      <c r="P69" s="0"/>
      <c r="S69" s="0"/>
    </row>
    <row r="70" customFormat="false" ht="19.85" hidden="false" customHeight="true" outlineLevel="0" collapsed="false">
      <c r="A70" s="0" t="n">
        <v>31</v>
      </c>
      <c r="B70" s="31" t="n">
        <v>40909</v>
      </c>
      <c r="C70" s="56" t="n">
        <f aca="false">K70*0.96</f>
        <v>772704.000000022</v>
      </c>
      <c r="D70" s="29" t="s">
        <v>41</v>
      </c>
      <c r="E70" s="33" t="n">
        <f aca="false">IF(D70="totale",(C70/(A70*24))/F70,IF(D70="marché libre",(C70/(A70*24))/G70,"spécifier histo"))</f>
        <v>0.100833072345759</v>
      </c>
      <c r="F70" s="59" t="n">
        <v>10300</v>
      </c>
      <c r="G70" s="59" t="n">
        <f aca="false">F70-H70</f>
        <v>10300</v>
      </c>
      <c r="H70" s="59" t="n">
        <v>0</v>
      </c>
      <c r="J70" s="55"/>
      <c r="K70" s="9" t="n">
        <v>804900.000000023</v>
      </c>
      <c r="O70" s="0"/>
      <c r="P70" s="0"/>
      <c r="S70" s="0"/>
    </row>
    <row r="71" customFormat="false" ht="19.85" hidden="false" customHeight="true" outlineLevel="0" collapsed="false">
      <c r="A71" s="0" t="n">
        <v>28</v>
      </c>
      <c r="B71" s="34" t="n">
        <v>40940</v>
      </c>
      <c r="C71" s="56" t="n">
        <f aca="false">K71*0.96</f>
        <v>323040.000000028</v>
      </c>
      <c r="D71" s="29" t="s">
        <v>41</v>
      </c>
      <c r="E71" s="33" t="n">
        <f aca="false">IF(D71="totale",(C71/(A71*24))/F71,IF(D71="marché libre",(C71/(A71*24))/G71,"spécifier histo"))</f>
        <v>0.0466712898751774</v>
      </c>
      <c r="F71" s="59" t="n">
        <v>10300</v>
      </c>
      <c r="G71" s="59" t="n">
        <f aca="false">F71-H71</f>
        <v>10300</v>
      </c>
      <c r="H71" s="59" t="n">
        <v>0</v>
      </c>
      <c r="J71" s="55"/>
      <c r="K71" s="9" t="n">
        <v>336500.000000029</v>
      </c>
      <c r="O71" s="0"/>
      <c r="P71" s="0"/>
      <c r="S71" s="0"/>
    </row>
    <row r="72" customFormat="false" ht="19.85" hidden="false" customHeight="true" outlineLevel="0" collapsed="false">
      <c r="A72" s="0" t="n">
        <v>31</v>
      </c>
      <c r="B72" s="31" t="n">
        <v>40969</v>
      </c>
      <c r="C72" s="56" t="n">
        <f aca="false">K72*0.96</f>
        <v>1852320.00000003</v>
      </c>
      <c r="D72" s="29" t="s">
        <v>41</v>
      </c>
      <c r="E72" s="33" t="n">
        <f aca="false">IF(D72="totale",(C72/(A72*24))/F72,IF(D72="marché libre",(C72/(A72*24))/G72,"spécifier histo"))</f>
        <v>0.241716254306299</v>
      </c>
      <c r="F72" s="59" t="n">
        <v>10300</v>
      </c>
      <c r="G72" s="59" t="n">
        <f aca="false">F72-H72</f>
        <v>10300</v>
      </c>
      <c r="H72" s="59" t="n">
        <v>0</v>
      </c>
      <c r="J72" s="55"/>
      <c r="K72" s="9" t="n">
        <v>1929500.00000003</v>
      </c>
      <c r="O72" s="0"/>
      <c r="P72" s="0"/>
    </row>
    <row r="73" customFormat="false" ht="19.85" hidden="false" customHeight="true" outlineLevel="0" collapsed="false">
      <c r="A73" s="0" t="n">
        <v>30</v>
      </c>
      <c r="B73" s="34" t="n">
        <v>41000</v>
      </c>
      <c r="C73" s="56" t="n">
        <f aca="false">K73*0.96</f>
        <v>2817888.00000002</v>
      </c>
      <c r="D73" s="29" t="s">
        <v>41</v>
      </c>
      <c r="E73" s="33" t="n">
        <f aca="false">IF(D73="totale",(C73/(A73*24))/F73,IF(D73="marché libre",(C73/(A73*24))/G73,"spécifier histo"))</f>
        <v>0.379974110032365</v>
      </c>
      <c r="F73" s="59" t="n">
        <v>10300</v>
      </c>
      <c r="G73" s="59" t="n">
        <f aca="false">F73-H73</f>
        <v>10300</v>
      </c>
      <c r="H73" s="59" t="n">
        <v>0</v>
      </c>
      <c r="J73" s="55"/>
      <c r="K73" s="9" t="n">
        <v>2935300.00000002</v>
      </c>
      <c r="O73" s="0"/>
      <c r="P73" s="0"/>
    </row>
    <row r="74" customFormat="false" ht="19.85" hidden="false" customHeight="true" outlineLevel="0" collapsed="false">
      <c r="A74" s="0" t="n">
        <v>31</v>
      </c>
      <c r="B74" s="31" t="n">
        <v>41030</v>
      </c>
      <c r="C74" s="56" t="n">
        <f aca="false">K74*0.96</f>
        <v>7375871.99999995</v>
      </c>
      <c r="D74" s="29" t="s">
        <v>41</v>
      </c>
      <c r="E74" s="33" t="n">
        <f aca="false">IF(D74="totale",(C74/(A74*24))/F74,IF(D74="marché libre",(C74/(A74*24))/G74,"spécifier histo"))</f>
        <v>0.96250548073911</v>
      </c>
      <c r="F74" s="59" t="n">
        <v>10300</v>
      </c>
      <c r="G74" s="59" t="n">
        <f aca="false">F74-H74</f>
        <v>10300</v>
      </c>
      <c r="H74" s="59" t="n">
        <v>0</v>
      </c>
      <c r="J74" s="55"/>
      <c r="K74" s="9" t="n">
        <v>7683199.99999995</v>
      </c>
      <c r="O74" s="0"/>
      <c r="P74" s="0"/>
    </row>
    <row r="75" customFormat="false" ht="19.85" hidden="false" customHeight="true" outlineLevel="0" collapsed="false">
      <c r="A75" s="0" t="n">
        <v>30</v>
      </c>
      <c r="B75" s="34" t="n">
        <v>41061</v>
      </c>
      <c r="C75" s="56" t="n">
        <f aca="false">K75*0.96</f>
        <v>7117920</v>
      </c>
      <c r="D75" s="29" t="s">
        <v>41</v>
      </c>
      <c r="E75" s="33" t="n">
        <f aca="false">IF(D75="totale",(C75/(A75*24))/F75,IF(D75="marché libre",(C75/(A75*24))/G75,"spécifier histo"))</f>
        <v>0.959805825242718</v>
      </c>
      <c r="F75" s="59" t="n">
        <v>10300</v>
      </c>
      <c r="G75" s="59" t="n">
        <f aca="false">F75-H75</f>
        <v>10300</v>
      </c>
      <c r="H75" s="59" t="n">
        <v>0</v>
      </c>
      <c r="J75" s="55"/>
      <c r="K75" s="9" t="n">
        <v>7414500</v>
      </c>
      <c r="P75" s="0"/>
    </row>
    <row r="76" customFormat="false" ht="19.85" hidden="false" customHeight="true" outlineLevel="0" collapsed="false">
      <c r="A76" s="0" t="n">
        <v>31</v>
      </c>
      <c r="B76" s="31" t="n">
        <v>41091</v>
      </c>
      <c r="C76" s="56" t="n">
        <f aca="false">K76*0.96</f>
        <v>4288032.00000001</v>
      </c>
      <c r="D76" s="29" t="s">
        <v>41</v>
      </c>
      <c r="E76" s="33" t="n">
        <f aca="false">IF(D76="totale",(C76/(A76*24))/F76,IF(D76="marché libre",(C76/(A76*24))/G76,"spécifier histo"))</f>
        <v>0.559561540870656</v>
      </c>
      <c r="F76" s="59" t="n">
        <v>10300</v>
      </c>
      <c r="G76" s="59" t="n">
        <f aca="false">F76-H76</f>
        <v>10300</v>
      </c>
      <c r="H76" s="59" t="n">
        <v>0</v>
      </c>
      <c r="J76" s="55"/>
      <c r="K76" s="9" t="n">
        <v>4466700.00000001</v>
      </c>
      <c r="P76" s="0"/>
    </row>
    <row r="77" customFormat="false" ht="19.85" hidden="false" customHeight="true" outlineLevel="0" collapsed="false">
      <c r="A77" s="0" t="n">
        <v>31</v>
      </c>
      <c r="B77" s="34" t="n">
        <v>41122</v>
      </c>
      <c r="C77" s="56" t="n">
        <f aca="false">K77*0.96</f>
        <v>2099520</v>
      </c>
      <c r="D77" s="29" t="s">
        <v>41</v>
      </c>
      <c r="E77" s="33" t="n">
        <f aca="false">IF(D77="totale",(C77/(A77*24))/F77,IF(D77="marché libre",(C77/(A77*24))/G77,"spécifier histo"))</f>
        <v>0.273974318822424</v>
      </c>
      <c r="F77" s="59" t="n">
        <v>10300</v>
      </c>
      <c r="G77" s="59" t="n">
        <f aca="false">F77-H77</f>
        <v>10300</v>
      </c>
      <c r="H77" s="59" t="n">
        <v>0</v>
      </c>
      <c r="J77" s="55"/>
      <c r="K77" s="9" t="n">
        <v>2187000</v>
      </c>
      <c r="P77" s="0"/>
    </row>
    <row r="78" customFormat="false" ht="19.85" hidden="false" customHeight="true" outlineLevel="0" collapsed="false">
      <c r="A78" s="0" t="n">
        <v>30</v>
      </c>
      <c r="B78" s="31" t="n">
        <v>41153</v>
      </c>
      <c r="C78" s="56" t="n">
        <f aca="false">K78*0.96</f>
        <v>5150879.99999997</v>
      </c>
      <c r="D78" s="29" t="s">
        <v>41</v>
      </c>
      <c r="E78" s="33" t="n">
        <f aca="false">IF(D78="totale",(C78/(A78*24))/F78,IF(D78="marché libre",(C78/(A78*24))/G78,"spécifier histo"))</f>
        <v>0.694563106796113</v>
      </c>
      <c r="F78" s="59" t="n">
        <v>10300</v>
      </c>
      <c r="G78" s="59" t="n">
        <f aca="false">F78-H78</f>
        <v>10300</v>
      </c>
      <c r="H78" s="59" t="n">
        <v>0</v>
      </c>
      <c r="J78" s="55"/>
      <c r="K78" s="9" t="n">
        <v>5365499.99999997</v>
      </c>
      <c r="P78" s="0"/>
    </row>
    <row r="79" customFormat="false" ht="19.85" hidden="false" customHeight="true" outlineLevel="0" collapsed="false">
      <c r="A79" s="0" t="n">
        <v>31</v>
      </c>
      <c r="B79" s="34" t="n">
        <v>41183</v>
      </c>
      <c r="C79" s="56" t="n">
        <f aca="false">K79*0.96</f>
        <v>4117151.99999998</v>
      </c>
      <c r="D79" s="29" t="s">
        <v>41</v>
      </c>
      <c r="E79" s="33" t="n">
        <f aca="false">IF(D79="totale",(C79/(A79*24))/F79,IF(D79="marché libre",(C79/(A79*24))/G79,"spécifier histo"))</f>
        <v>0.537262762292512</v>
      </c>
      <c r="F79" s="59" t="n">
        <v>10300</v>
      </c>
      <c r="G79" s="59" t="n">
        <f aca="false">F79-H79</f>
        <v>10300</v>
      </c>
      <c r="H79" s="59" t="n">
        <v>0</v>
      </c>
      <c r="J79" s="55"/>
      <c r="K79" s="9" t="n">
        <v>4288699.99999998</v>
      </c>
      <c r="P79" s="0"/>
    </row>
    <row r="80" customFormat="false" ht="19.85" hidden="false" customHeight="true" outlineLevel="0" collapsed="false">
      <c r="A80" s="0" t="n">
        <v>30</v>
      </c>
      <c r="B80" s="31" t="n">
        <v>41214</v>
      </c>
      <c r="C80" s="56" t="n">
        <f aca="false">K80*0.96</f>
        <v>3222815.99999992</v>
      </c>
      <c r="D80" s="29" t="s">
        <v>41</v>
      </c>
      <c r="E80" s="33" t="n">
        <f aca="false">IF(D80="totale",(C80/(A80*24))/F80,IF(D80="marché libre",(C80/(A80*24))/G80,"spécifier histo"))</f>
        <v>0.434576051779925</v>
      </c>
      <c r="F80" s="59" t="n">
        <v>10300</v>
      </c>
      <c r="G80" s="59" t="n">
        <f aca="false">F80-H80</f>
        <v>10300</v>
      </c>
      <c r="H80" s="59" t="n">
        <v>0</v>
      </c>
      <c r="J80" s="55"/>
      <c r="K80" s="9" t="n">
        <v>3357099.99999992</v>
      </c>
      <c r="P80" s="0"/>
    </row>
    <row r="81" customFormat="false" ht="19.85" hidden="false" customHeight="true" outlineLevel="0" collapsed="false">
      <c r="A81" s="0" t="n">
        <v>31</v>
      </c>
      <c r="B81" s="34" t="n">
        <v>41244</v>
      </c>
      <c r="C81" s="56" t="n">
        <f aca="false">K81*0.96</f>
        <v>1180320</v>
      </c>
      <c r="D81" s="29" t="s">
        <v>41</v>
      </c>
      <c r="E81" s="33" t="n">
        <f aca="false">IF(D81="totale",(C81/(A81*24))/F81,IF(D81="marché libre",(C81/(A81*24))/G81,"spécifier histo"))</f>
        <v>0.154024428437206</v>
      </c>
      <c r="F81" s="59" t="n">
        <v>10300</v>
      </c>
      <c r="G81" s="59" t="n">
        <f aca="false">F81-H81</f>
        <v>10300</v>
      </c>
      <c r="H81" s="59" t="n">
        <v>0</v>
      </c>
      <c r="J81" s="55"/>
      <c r="K81" s="9" t="n">
        <v>1229500</v>
      </c>
      <c r="P81" s="0"/>
    </row>
    <row r="82" customFormat="false" ht="19.85" hidden="false" customHeight="true" outlineLevel="0" collapsed="false">
      <c r="A82" s="0" t="n">
        <v>31</v>
      </c>
      <c r="B82" s="31" t="n">
        <v>41275</v>
      </c>
      <c r="C82" s="56" t="n">
        <f aca="false">K82*0.96</f>
        <v>881952.000000067</v>
      </c>
      <c r="D82" s="29" t="s">
        <v>41</v>
      </c>
      <c r="E82" s="33" t="n">
        <f aca="false">IF(D82="totale",(C82/(A82*24))/F82,IF(D82="marché libre",(C82/(A82*24))/G82,"spécifier histo"))</f>
        <v>0.11508925775134</v>
      </c>
      <c r="F82" s="59" t="n">
        <v>10300</v>
      </c>
      <c r="G82" s="59" t="n">
        <f aca="false">F82-H82</f>
        <v>10300</v>
      </c>
      <c r="H82" s="59" t="n">
        <v>0</v>
      </c>
      <c r="J82" s="55"/>
      <c r="K82" s="56" t="n">
        <v>918700.00000007</v>
      </c>
      <c r="P82" s="0"/>
    </row>
    <row r="83" customFormat="false" ht="19.85" hidden="false" customHeight="true" outlineLevel="0" collapsed="false">
      <c r="A83" s="0" t="n">
        <v>28</v>
      </c>
      <c r="B83" s="34" t="n">
        <v>41306</v>
      </c>
      <c r="C83" s="56" t="n">
        <f aca="false">K83*0.96</f>
        <v>673248.000000017</v>
      </c>
      <c r="D83" s="29" t="s">
        <v>41</v>
      </c>
      <c r="E83" s="33" t="n">
        <f aca="false">IF(D83="totale",(C83/(A83*24))/F83,IF(D83="marché libre",(C83/(A83*24))/G83,"spécifier histo"))</f>
        <v>0.0972676837725406</v>
      </c>
      <c r="F83" s="59" t="n">
        <v>10300</v>
      </c>
      <c r="G83" s="59" t="n">
        <f aca="false">F83-H83</f>
        <v>10300</v>
      </c>
      <c r="H83" s="59" t="n">
        <v>0</v>
      </c>
      <c r="J83" s="55"/>
      <c r="K83" s="56" t="n">
        <v>701300.000000018</v>
      </c>
      <c r="P83" s="0"/>
    </row>
    <row r="84" customFormat="false" ht="19.85" hidden="false" customHeight="true" outlineLevel="0" collapsed="false">
      <c r="A84" s="0" t="n">
        <v>31</v>
      </c>
      <c r="B84" s="31" t="n">
        <v>41334</v>
      </c>
      <c r="C84" s="56" t="n">
        <f aca="false">K84*0.96</f>
        <v>611136.000000006</v>
      </c>
      <c r="D84" s="29" t="s">
        <v>41</v>
      </c>
      <c r="E84" s="33" t="n">
        <f aca="false">IF(D84="totale",(C84/(A84*24))/F84,IF(D84="marché libre",(C84/(A84*24))/G84,"spécifier histo"))</f>
        <v>0.0797494519260891</v>
      </c>
      <c r="F84" s="59" t="n">
        <v>10300</v>
      </c>
      <c r="G84" s="59" t="n">
        <f aca="false">F84-H84</f>
        <v>10300</v>
      </c>
      <c r="H84" s="59" t="n">
        <v>0</v>
      </c>
      <c r="J84" s="55"/>
      <c r="K84" s="56" t="n">
        <v>636600.000000006</v>
      </c>
      <c r="P84" s="0"/>
    </row>
    <row r="85" customFormat="false" ht="19.85" hidden="false" customHeight="true" outlineLevel="0" collapsed="false">
      <c r="A85" s="0" t="n">
        <v>30</v>
      </c>
      <c r="B85" s="34" t="n">
        <v>41365</v>
      </c>
      <c r="C85" s="56" t="n">
        <f aca="false">K85*0.96</f>
        <v>3511391.99999998</v>
      </c>
      <c r="D85" s="29" t="s">
        <v>41</v>
      </c>
      <c r="E85" s="33" t="n">
        <f aca="false">IF(D85="totale",(C85/(A85*24))/F85,IF(D85="marché libre",(C85/(A85*24))/G85,"spécifier histo"))</f>
        <v>0.473488673139156</v>
      </c>
      <c r="F85" s="59" t="n">
        <v>10300</v>
      </c>
      <c r="G85" s="59" t="n">
        <f aca="false">F85-H85</f>
        <v>10300</v>
      </c>
      <c r="H85" s="59" t="n">
        <v>0</v>
      </c>
      <c r="J85" s="55"/>
      <c r="K85" s="56" t="n">
        <v>3657699.99999998</v>
      </c>
      <c r="P85" s="0"/>
    </row>
    <row r="86" customFormat="false" ht="19.85" hidden="false" customHeight="true" outlineLevel="0" collapsed="false">
      <c r="A86" s="0" t="n">
        <v>31</v>
      </c>
      <c r="B86" s="31" t="n">
        <v>41395</v>
      </c>
      <c r="C86" s="56" t="n">
        <f aca="false">K86*0.96</f>
        <v>6506687.99999999</v>
      </c>
      <c r="D86" s="29" t="s">
        <v>41</v>
      </c>
      <c r="E86" s="33" t="n">
        <f aca="false">IF(D86="totale",(C86/(A86*24))/F86,IF(D86="marché libre",(C86/(A86*24))/G86,"spécifier histo"))</f>
        <v>0.849082367679297</v>
      </c>
      <c r="F86" s="59" t="n">
        <v>10300</v>
      </c>
      <c r="G86" s="59" t="n">
        <f aca="false">F86-H86</f>
        <v>10300</v>
      </c>
      <c r="H86" s="59" t="n">
        <v>0</v>
      </c>
      <c r="J86" s="55"/>
      <c r="K86" s="56" t="n">
        <v>6777799.99999999</v>
      </c>
      <c r="P86" s="0"/>
    </row>
    <row r="87" customFormat="false" ht="19.85" hidden="false" customHeight="true" outlineLevel="0" collapsed="false">
      <c r="A87" s="0" t="n">
        <v>30</v>
      </c>
      <c r="B87" s="34" t="n">
        <v>41426</v>
      </c>
      <c r="C87" s="56" t="n">
        <f aca="false">K87*0.96</f>
        <v>6987935.99999992</v>
      </c>
      <c r="D87" s="29" t="s">
        <v>41</v>
      </c>
      <c r="E87" s="33" t="n">
        <f aca="false">IF(D87="totale",(C87/(A87*24))/F87,IF(D87="marché libre",(C87/(A87*24))/G87,"spécifier histo"))</f>
        <v>0.942278317152093</v>
      </c>
      <c r="F87" s="59" t="n">
        <v>10300</v>
      </c>
      <c r="G87" s="59" t="n">
        <f aca="false">F87-H87</f>
        <v>10300</v>
      </c>
      <c r="H87" s="59" t="n">
        <v>0</v>
      </c>
      <c r="J87" s="55"/>
      <c r="K87" s="56" t="n">
        <v>7279099.99999992</v>
      </c>
      <c r="P87" s="0"/>
    </row>
    <row r="88" customFormat="false" ht="19.85" hidden="false" customHeight="true" outlineLevel="0" collapsed="false">
      <c r="A88" s="0" t="n">
        <v>31</v>
      </c>
      <c r="B88" s="31" t="n">
        <v>41456</v>
      </c>
      <c r="C88" s="56" t="n">
        <f aca="false">K88*0.96</f>
        <v>7380960.00000012</v>
      </c>
      <c r="D88" s="29" t="s">
        <v>41</v>
      </c>
      <c r="E88" s="33" t="n">
        <f aca="false">IF(D88="totale",(C88/(A88*24))/F88,IF(D88="marché libre",(C88/(A88*24))/G88,"spécifier histo"))</f>
        <v>0.963169433134998</v>
      </c>
      <c r="F88" s="59" t="n">
        <v>10300</v>
      </c>
      <c r="G88" s="59" t="n">
        <f aca="false">F88-H88</f>
        <v>10300</v>
      </c>
      <c r="H88" s="59" t="n">
        <v>0</v>
      </c>
      <c r="J88" s="55"/>
      <c r="K88" s="56" t="n">
        <v>7688500.00000012</v>
      </c>
      <c r="P88" s="0"/>
    </row>
    <row r="89" customFormat="false" ht="19.85" hidden="false" customHeight="true" outlineLevel="0" collapsed="false">
      <c r="A89" s="0" t="n">
        <v>31</v>
      </c>
      <c r="B89" s="34" t="n">
        <v>41487</v>
      </c>
      <c r="C89" s="56" t="n">
        <f aca="false">K89*0.96</f>
        <v>4498944.00000002</v>
      </c>
      <c r="D89" s="29" t="s">
        <v>41</v>
      </c>
      <c r="E89" s="33" t="n">
        <f aca="false">IF(D89="totale",(C89/(A89*24))/F89,IF(D89="marché libre",(C89/(A89*24))/G89,"spécifier histo"))</f>
        <v>0.587084246789855</v>
      </c>
      <c r="F89" s="59" t="n">
        <v>10300</v>
      </c>
      <c r="G89" s="59" t="n">
        <f aca="false">F89-H89</f>
        <v>10300</v>
      </c>
      <c r="H89" s="59" t="n">
        <v>0</v>
      </c>
      <c r="J89" s="55"/>
      <c r="K89" s="56" t="n">
        <v>4686400.00000002</v>
      </c>
      <c r="P89" s="0"/>
    </row>
    <row r="90" customFormat="false" ht="19.85" hidden="false" customHeight="true" outlineLevel="0" collapsed="false">
      <c r="A90" s="0" t="n">
        <v>30</v>
      </c>
      <c r="B90" s="31" t="n">
        <v>41518</v>
      </c>
      <c r="C90" s="56" t="n">
        <f aca="false">K90*0.96</f>
        <v>3146304.00000013</v>
      </c>
      <c r="D90" s="29" t="s">
        <v>41</v>
      </c>
      <c r="E90" s="33" t="n">
        <f aca="false">IF(D90="totale",(C90/(A90*24))/F90,IF(D90="marché libre",(C90/(A90*24))/G90,"spécifier histo"))</f>
        <v>0.424258899676394</v>
      </c>
      <c r="F90" s="59" t="n">
        <v>10300</v>
      </c>
      <c r="G90" s="59" t="n">
        <f aca="false">F90-H90</f>
        <v>10300</v>
      </c>
      <c r="H90" s="59" t="n">
        <v>0</v>
      </c>
      <c r="J90" s="55"/>
      <c r="K90" s="56" t="n">
        <v>3277400.00000014</v>
      </c>
      <c r="P90" s="0"/>
    </row>
    <row r="91" customFormat="false" ht="19.85" hidden="false" customHeight="true" outlineLevel="0" collapsed="false">
      <c r="A91" s="0" t="n">
        <v>31</v>
      </c>
      <c r="B91" s="34" t="n">
        <v>41548</v>
      </c>
      <c r="C91" s="56" t="n">
        <f aca="false">K91*0.96</f>
        <v>4409760</v>
      </c>
      <c r="D91" s="29" t="s">
        <v>41</v>
      </c>
      <c r="E91" s="33" t="n">
        <f aca="false">IF(D91="totale",(C91/(A91*24))/F91,IF(D91="marché libre",(C91/(A91*24))/G91,"spécifier histo"))</f>
        <v>0.575446288756655</v>
      </c>
      <c r="F91" s="59" t="n">
        <v>10300</v>
      </c>
      <c r="G91" s="59" t="n">
        <f aca="false">F91-H91</f>
        <v>10300</v>
      </c>
      <c r="H91" s="59" t="n">
        <v>0</v>
      </c>
      <c r="J91" s="55"/>
      <c r="K91" s="56" t="n">
        <v>4593500</v>
      </c>
      <c r="P91" s="0"/>
    </row>
    <row r="92" customFormat="false" ht="19.85" hidden="false" customHeight="true" outlineLevel="0" collapsed="false">
      <c r="A92" s="0" t="n">
        <v>30</v>
      </c>
      <c r="B92" s="31" t="n">
        <v>41579</v>
      </c>
      <c r="C92" s="56" t="n">
        <f aca="false">K92*0.96</f>
        <v>3683903.99999997</v>
      </c>
      <c r="D92" s="29" t="s">
        <v>41</v>
      </c>
      <c r="E92" s="33" t="n">
        <f aca="false">IF(D92="totale",(C92/(A92*24))/F92,IF(D92="marché libre",(C92/(A92*24))/G92,"spécifier histo"))</f>
        <v>0.496750809061485</v>
      </c>
      <c r="F92" s="59" t="n">
        <v>10300</v>
      </c>
      <c r="G92" s="59" t="n">
        <f aca="false">F92-H92</f>
        <v>10300</v>
      </c>
      <c r="H92" s="59" t="n">
        <v>0</v>
      </c>
      <c r="J92" s="55"/>
      <c r="K92" s="56" t="n">
        <v>3837399.99999997</v>
      </c>
      <c r="P92" s="0"/>
    </row>
    <row r="93" customFormat="false" ht="19.85" hidden="false" customHeight="true" outlineLevel="0" collapsed="false">
      <c r="A93" s="0" t="n">
        <v>31</v>
      </c>
      <c r="B93" s="34" t="n">
        <v>41609</v>
      </c>
      <c r="C93" s="56" t="n">
        <f aca="false">K93*0.96</f>
        <v>1075776.00000014</v>
      </c>
      <c r="D93" s="29" t="s">
        <v>41</v>
      </c>
      <c r="E93" s="33" t="n">
        <f aca="false">IF(D93="totale",(C93/(A93*24))/F93,IF(D93="marché libre",(C93/(A93*24))/G93,"spécifier histo"))</f>
        <v>0.140382085812734</v>
      </c>
      <c r="F93" s="59" t="n">
        <v>10300</v>
      </c>
      <c r="G93" s="59" t="n">
        <f aca="false">F93-H93</f>
        <v>10300</v>
      </c>
      <c r="H93" s="59" t="n">
        <v>0</v>
      </c>
      <c r="J93" s="55"/>
      <c r="K93" s="56" t="n">
        <v>1120600.00000015</v>
      </c>
      <c r="P93" s="0"/>
    </row>
    <row r="94" customFormat="false" ht="19.85" hidden="false" customHeight="true" outlineLevel="0" collapsed="false">
      <c r="A94" s="0" t="n">
        <v>31</v>
      </c>
      <c r="B94" s="31" t="n">
        <v>41640</v>
      </c>
      <c r="C94" s="56" t="n">
        <f aca="false">K94*0.96</f>
        <v>654432.000000012</v>
      </c>
      <c r="D94" s="29" t="s">
        <v>41</v>
      </c>
      <c r="E94" s="33" t="n">
        <f aca="false">IF(D94="totale",(C94/(A94*24))/F94,IF(D94="marché libre",(C94/(A94*24))/G94,"spécifier histo"))</f>
        <v>0.0853993109927982</v>
      </c>
      <c r="F94" s="59" t="n">
        <v>10300</v>
      </c>
      <c r="G94" s="59" t="n">
        <f aca="false">F94-H94</f>
        <v>10300</v>
      </c>
      <c r="H94" s="59" t="n">
        <v>0</v>
      </c>
      <c r="J94" s="55"/>
      <c r="K94" s="56" t="n">
        <v>681700.000000012</v>
      </c>
      <c r="P94" s="0"/>
    </row>
    <row r="95" customFormat="false" ht="19.85" hidden="false" customHeight="true" outlineLevel="0" collapsed="false">
      <c r="A95" s="0" t="n">
        <v>28</v>
      </c>
      <c r="B95" s="34" t="n">
        <v>41671</v>
      </c>
      <c r="C95" s="56" t="n">
        <f aca="false">K95*0.96</f>
        <v>423648.000000045</v>
      </c>
      <c r="D95" s="29" t="s">
        <v>41</v>
      </c>
      <c r="E95" s="33" t="n">
        <f aca="false">IF(D95="totale",(C95/(A95*24))/F95,IF(D95="marché libre",(C95/(A95*24))/G95,"spécifier histo"))</f>
        <v>0.0612066574202562</v>
      </c>
      <c r="F95" s="59" t="n">
        <v>10300</v>
      </c>
      <c r="G95" s="59" t="n">
        <f aca="false">F95-H95</f>
        <v>10300</v>
      </c>
      <c r="H95" s="59" t="n">
        <v>0</v>
      </c>
      <c r="J95" s="55"/>
      <c r="K95" s="56" t="n">
        <v>441300.000000047</v>
      </c>
      <c r="P95" s="0"/>
    </row>
    <row r="96" customFormat="false" ht="19.85" hidden="false" customHeight="true" outlineLevel="0" collapsed="false">
      <c r="A96" s="0" t="n">
        <v>31</v>
      </c>
      <c r="B96" s="31" t="n">
        <v>41699</v>
      </c>
      <c r="C96" s="56" t="n">
        <f aca="false">K96*0.96</f>
        <v>1075488.00000005</v>
      </c>
      <c r="D96" s="29" t="s">
        <v>41</v>
      </c>
      <c r="E96" s="33" t="n">
        <f aca="false">IF(D96="totale",(C96/(A96*24))/F96,IF(D96="marché libre",(C96/(A96*24))/G96,"spécifier histo"))</f>
        <v>0.140344503601635</v>
      </c>
      <c r="F96" s="59" t="n">
        <v>10300</v>
      </c>
      <c r="G96" s="59" t="n">
        <f aca="false">F96-H96</f>
        <v>10300</v>
      </c>
      <c r="H96" s="59" t="n">
        <v>0</v>
      </c>
      <c r="J96" s="55"/>
      <c r="K96" s="56" t="n">
        <v>1120300.00000005</v>
      </c>
      <c r="P96" s="0"/>
    </row>
    <row r="97" customFormat="false" ht="19.85" hidden="false" customHeight="true" outlineLevel="0" collapsed="false">
      <c r="A97" s="0" t="n">
        <v>30</v>
      </c>
      <c r="B97" s="34" t="n">
        <v>41730</v>
      </c>
      <c r="C97" s="56" t="n">
        <f aca="false">K97*0.96</f>
        <v>4477536.00000009</v>
      </c>
      <c r="D97" s="29" t="s">
        <v>41</v>
      </c>
      <c r="E97" s="33" t="n">
        <f aca="false">IF(D97="totale",(C97/(A97*24))/F97,IF(D97="marché libre",(C97/(A97*24))/G97,"spécifier histo"))</f>
        <v>0.603766990291274</v>
      </c>
      <c r="F97" s="59" t="n">
        <v>10300</v>
      </c>
      <c r="G97" s="59" t="n">
        <f aca="false">F97-H97</f>
        <v>10300</v>
      </c>
      <c r="H97" s="59" t="n">
        <v>0</v>
      </c>
      <c r="J97" s="55"/>
      <c r="K97" s="56" t="n">
        <v>4664100.00000009</v>
      </c>
      <c r="P97" s="0"/>
    </row>
    <row r="98" customFormat="false" ht="19.85" hidden="false" customHeight="true" outlineLevel="0" collapsed="false">
      <c r="A98" s="0" t="n">
        <v>31</v>
      </c>
      <c r="B98" s="31" t="n">
        <v>41760</v>
      </c>
      <c r="C98" s="56" t="n">
        <f aca="false">K98*0.96</f>
        <v>6216480</v>
      </c>
      <c r="D98" s="29" t="s">
        <v>41</v>
      </c>
      <c r="E98" s="33" t="n">
        <f aca="false">IF(D98="totale",(C98/(A98*24))/F98,IF(D98="marché libre",(C98/(A98*24))/G98,"spécifier histo"))</f>
        <v>0.811212026307548</v>
      </c>
      <c r="F98" s="59" t="n">
        <v>10300</v>
      </c>
      <c r="G98" s="59" t="n">
        <f aca="false">F98-H98</f>
        <v>10300</v>
      </c>
      <c r="H98" s="59" t="n">
        <v>0</v>
      </c>
      <c r="J98" s="55"/>
      <c r="K98" s="56" t="n">
        <v>6475500</v>
      </c>
      <c r="P98" s="0"/>
    </row>
    <row r="99" customFormat="false" ht="19.85" hidden="false" customHeight="true" outlineLevel="0" collapsed="false">
      <c r="A99" s="0" t="n">
        <v>30</v>
      </c>
      <c r="B99" s="34" t="n">
        <v>41791</v>
      </c>
      <c r="C99" s="56" t="n">
        <f aca="false">K99*0.96</f>
        <v>7089408.00000005</v>
      </c>
      <c r="D99" s="29" t="s">
        <v>41</v>
      </c>
      <c r="E99" s="33" t="n">
        <f aca="false">IF(D99="totale",(C99/(A99*24))/F99,IF(D99="marché libre",(C99/(A99*24))/G99,"spécifier histo"))</f>
        <v>0.95596116504855</v>
      </c>
      <c r="F99" s="59" t="n">
        <v>10300</v>
      </c>
      <c r="G99" s="59" t="n">
        <f aca="false">F99-H99</f>
        <v>10300</v>
      </c>
      <c r="H99" s="59" t="n">
        <v>0</v>
      </c>
      <c r="J99" s="55"/>
      <c r="K99" s="56" t="n">
        <v>7384800.00000005</v>
      </c>
      <c r="P99" s="0"/>
    </row>
    <row r="100" customFormat="false" ht="19.85" hidden="false" customHeight="true" outlineLevel="0" collapsed="false">
      <c r="A100" s="0" t="n">
        <v>31</v>
      </c>
      <c r="B100" s="31" t="n">
        <v>41821</v>
      </c>
      <c r="C100" s="56" t="n">
        <f aca="false">K100*0.96</f>
        <v>7233311.99999995</v>
      </c>
      <c r="D100" s="29" t="s">
        <v>41</v>
      </c>
      <c r="E100" s="33" t="n">
        <f aca="false">IF(D100="totale",(C100/(A100*24))/F100,IF(D100="marché libre",(C100/(A100*24))/G100,"spécifier histo"))</f>
        <v>0.943902286251168</v>
      </c>
      <c r="F100" s="59" t="n">
        <v>10300</v>
      </c>
      <c r="G100" s="59" t="n">
        <f aca="false">F100-H100</f>
        <v>10300</v>
      </c>
      <c r="H100" s="59" t="n">
        <v>0</v>
      </c>
      <c r="J100" s="55"/>
      <c r="K100" s="56" t="n">
        <v>7534699.99999995</v>
      </c>
      <c r="P100" s="0"/>
    </row>
    <row r="101" customFormat="false" ht="19.85" hidden="false" customHeight="true" outlineLevel="0" collapsed="false">
      <c r="A101" s="0" t="n">
        <v>31</v>
      </c>
      <c r="B101" s="34" t="n">
        <v>41852</v>
      </c>
      <c r="C101" s="56" t="n">
        <f aca="false">K101*0.96</f>
        <v>4678367.99999999</v>
      </c>
      <c r="D101" s="29" t="s">
        <v>41</v>
      </c>
      <c r="E101" s="33" t="n">
        <f aca="false">IF(D101="totale",(C101/(A101*24))/F101,IF(D101="marché libre",(C101/(A101*24))/G101,"spécifier histo"))</f>
        <v>0.610497964296898</v>
      </c>
      <c r="F101" s="59" t="n">
        <v>10300</v>
      </c>
      <c r="G101" s="59" t="n">
        <f aca="false">F101-H101</f>
        <v>10300</v>
      </c>
      <c r="H101" s="59" t="n">
        <v>0</v>
      </c>
      <c r="J101" s="55"/>
      <c r="K101" s="56" t="n">
        <v>4873299.99999999</v>
      </c>
      <c r="P101" s="0"/>
    </row>
    <row r="102" customFormat="false" ht="19.85" hidden="false" customHeight="true" outlineLevel="0" collapsed="false">
      <c r="A102" s="0" t="n">
        <v>30</v>
      </c>
      <c r="B102" s="31" t="n">
        <v>41883</v>
      </c>
      <c r="C102" s="56" t="n">
        <f aca="false">K102*0.96</f>
        <v>1527552.00000001</v>
      </c>
      <c r="D102" s="29" t="s">
        <v>41</v>
      </c>
      <c r="E102" s="33" t="n">
        <f aca="false">IF(D102="totale",(C102/(A102*24))/F102,IF(D102="marché libre",(C102/(A102*24))/G102,"spécifier histo"))</f>
        <v>0.205980582524273</v>
      </c>
      <c r="F102" s="59" t="n">
        <v>10300</v>
      </c>
      <c r="G102" s="59" t="n">
        <f aca="false">F102-H102</f>
        <v>10300</v>
      </c>
      <c r="H102" s="59" t="n">
        <v>0</v>
      </c>
      <c r="J102" s="55"/>
      <c r="K102" s="56" t="n">
        <v>1591200.00000001</v>
      </c>
      <c r="P102" s="0"/>
    </row>
    <row r="103" customFormat="false" ht="19.85" hidden="false" customHeight="true" outlineLevel="0" collapsed="false">
      <c r="A103" s="0" t="n">
        <v>31</v>
      </c>
      <c r="B103" s="34" t="n">
        <v>41913</v>
      </c>
      <c r="C103" s="56" t="n">
        <f aca="false">K103*0.96</f>
        <v>1017695.99999998</v>
      </c>
      <c r="D103" s="29" t="s">
        <v>41</v>
      </c>
      <c r="E103" s="33" t="n">
        <f aca="false">IF(D103="totale",(C103/(A103*24))/F103,IF(D103="marché libre",(C103/(A103*24))/G103,"spécifier histo"))</f>
        <v>0.132803006576884</v>
      </c>
      <c r="F103" s="59" t="n">
        <v>10300</v>
      </c>
      <c r="G103" s="59" t="n">
        <f aca="false">F103-H103</f>
        <v>10300</v>
      </c>
      <c r="H103" s="59" t="n">
        <v>0</v>
      </c>
      <c r="J103" s="55"/>
      <c r="K103" s="56" t="n">
        <v>1060099.99999998</v>
      </c>
      <c r="P103" s="0"/>
    </row>
    <row r="104" customFormat="false" ht="19.85" hidden="false" customHeight="true" outlineLevel="0" collapsed="false">
      <c r="A104" s="0" t="n">
        <v>30</v>
      </c>
      <c r="B104" s="31" t="n">
        <v>41944</v>
      </c>
      <c r="C104" s="56" t="n">
        <f aca="false">K104*0.96</f>
        <v>1793856.00000003</v>
      </c>
      <c r="D104" s="29" t="s">
        <v>41</v>
      </c>
      <c r="E104" s="33" t="n">
        <f aca="false">IF(D104="totale",(C104/(A104*24))/F104,IF(D104="marché libre",(C104/(A104*24))/G104,"spécifier histo"))</f>
        <v>0.241889967637544</v>
      </c>
      <c r="F104" s="59" t="n">
        <v>10300</v>
      </c>
      <c r="G104" s="59" t="n">
        <f aca="false">F104-H104</f>
        <v>10300</v>
      </c>
      <c r="H104" s="59" t="n">
        <v>0</v>
      </c>
      <c r="J104" s="55"/>
      <c r="K104" s="56" t="n">
        <v>1868600.00000003</v>
      </c>
      <c r="P104" s="0"/>
    </row>
    <row r="105" customFormat="false" ht="19.95" hidden="false" customHeight="true" outlineLevel="0" collapsed="false">
      <c r="A105" s="0" t="n">
        <v>31</v>
      </c>
      <c r="B105" s="34" t="n">
        <v>41974</v>
      </c>
      <c r="C105" s="56" t="n">
        <f aca="false">K105*0.96</f>
        <v>1077791.9999999</v>
      </c>
      <c r="D105" s="29" t="s">
        <v>41</v>
      </c>
      <c r="E105" s="33" t="n">
        <f aca="false">IF(D105="totale",(C105/(A105*24))/F105,IF(D105="marché libre",(C105/(A105*24))/G105,"spécifier histo"))</f>
        <v>0.14064516129031</v>
      </c>
      <c r="F105" s="59" t="n">
        <v>10300</v>
      </c>
      <c r="G105" s="59" t="n">
        <f aca="false">F105-H105</f>
        <v>10300</v>
      </c>
      <c r="H105" s="59" t="n">
        <v>0</v>
      </c>
      <c r="J105" s="55"/>
      <c r="K105" s="56" t="n">
        <v>1122699.9999999</v>
      </c>
      <c r="P105" s="0"/>
    </row>
    <row r="106" customFormat="false" ht="19.85" hidden="false" customHeight="true" outlineLevel="0" collapsed="false">
      <c r="A106" s="0" t="n">
        <v>31</v>
      </c>
      <c r="B106" s="31" t="n">
        <v>42005</v>
      </c>
      <c r="C106" s="56" t="n">
        <f aca="false">K106*0.96</f>
        <v>654047.999999933</v>
      </c>
      <c r="D106" s="29" t="s">
        <v>41</v>
      </c>
      <c r="E106" s="33" t="n">
        <f aca="false">IF(D106="totale",(C106/(A106*24))/F106,IF(D106="marché libre",(C106/(A106*24))/G106,"spécifier histo"))</f>
        <v>0.0853492013780056</v>
      </c>
      <c r="F106" s="59" t="n">
        <v>10300</v>
      </c>
      <c r="G106" s="59" t="n">
        <f aca="false">F106-H106</f>
        <v>10300</v>
      </c>
      <c r="H106" s="59" t="n">
        <v>0</v>
      </c>
      <c r="J106" s="55"/>
      <c r="K106" s="56" t="n">
        <v>681299.99999993</v>
      </c>
      <c r="P106" s="0"/>
    </row>
    <row r="107" customFormat="false" ht="19.85" hidden="false" customHeight="true" outlineLevel="0" collapsed="false">
      <c r="A107" s="0" t="n">
        <v>28</v>
      </c>
      <c r="B107" s="34" t="n">
        <v>42036</v>
      </c>
      <c r="C107" s="56" t="n">
        <f aca="false">K107*0.96</f>
        <v>247200.000000111</v>
      </c>
      <c r="D107" s="29" t="s">
        <v>41</v>
      </c>
      <c r="E107" s="33" t="n">
        <f aca="false">IF(D107="totale",(C107/(A107*24))/F107,IF(D107="marché libre",(C107/(A107*24))/G107,"spécifier histo"))</f>
        <v>0.0357142857143018</v>
      </c>
      <c r="F107" s="59" t="n">
        <v>10300</v>
      </c>
      <c r="G107" s="59" t="n">
        <f aca="false">F107-H107</f>
        <v>10300</v>
      </c>
      <c r="H107" s="59" t="n">
        <v>0</v>
      </c>
      <c r="J107" s="55"/>
      <c r="K107" s="56" t="n">
        <v>257500.000000116</v>
      </c>
      <c r="P107" s="0"/>
    </row>
    <row r="108" customFormat="false" ht="19.85" hidden="false" customHeight="true" outlineLevel="0" collapsed="false">
      <c r="A108" s="0" t="n">
        <v>31</v>
      </c>
      <c r="B108" s="31" t="n">
        <v>42064</v>
      </c>
      <c r="C108" s="56" t="n">
        <f aca="false">K108*0.96</f>
        <v>754079.999999944</v>
      </c>
      <c r="D108" s="29" t="s">
        <v>41</v>
      </c>
      <c r="E108" s="33" t="n">
        <f aca="false">IF(D108="totale",(C108/(A108*24))/F108,IF(D108="marché libre",(C108/(A108*24))/G108,"spécifier histo"))</f>
        <v>0.0984027560288058</v>
      </c>
      <c r="F108" s="59" t="n">
        <v>10300</v>
      </c>
      <c r="G108" s="59" t="n">
        <f aca="false">F108-H108</f>
        <v>10300</v>
      </c>
      <c r="H108" s="59" t="n">
        <v>0</v>
      </c>
      <c r="J108" s="55"/>
      <c r="K108" s="56" t="n">
        <v>785499.999999942</v>
      </c>
    </row>
    <row r="109" customFormat="false" ht="19.85" hidden="false" customHeight="true" outlineLevel="0" collapsed="false">
      <c r="A109" s="0" t="n">
        <v>30</v>
      </c>
      <c r="B109" s="34" t="n">
        <v>42095</v>
      </c>
      <c r="C109" s="56" t="n">
        <f aca="false">K109*0.96</f>
        <v>4172447.99999999</v>
      </c>
      <c r="D109" s="29" t="s">
        <v>41</v>
      </c>
      <c r="E109" s="33" t="n">
        <f aca="false">IF(D109="totale",(C109/(A109*24))/F109,IF(D109="marché libre",(C109/(A109*24))/G109,"spécifier histo"))</f>
        <v>0.562627831715209</v>
      </c>
      <c r="F109" s="59" t="n">
        <v>10300</v>
      </c>
      <c r="G109" s="59" t="n">
        <f aca="false">F109-H109</f>
        <v>10300</v>
      </c>
      <c r="H109" s="59" t="n">
        <v>0</v>
      </c>
      <c r="J109" s="55"/>
      <c r="K109" s="9" t="n">
        <v>4346299.99999999</v>
      </c>
    </row>
    <row r="110" customFormat="false" ht="19.85" hidden="false" customHeight="true" outlineLevel="0" collapsed="false">
      <c r="A110" s="0" t="n">
        <v>31</v>
      </c>
      <c r="B110" s="31" t="n">
        <v>42125</v>
      </c>
      <c r="C110" s="56" t="n">
        <f aca="false">K110*0.96</f>
        <v>7031904.00000013</v>
      </c>
      <c r="D110" s="29" t="s">
        <v>41</v>
      </c>
      <c r="E110" s="33" t="n">
        <f aca="false">IF(D110="totale",(C110/(A110*24))/F110,IF(D110="marché libre",(C110/(A110*24))/G110,"spécifier histo"))</f>
        <v>0.917619793297857</v>
      </c>
      <c r="F110" s="59" t="n">
        <v>10300</v>
      </c>
      <c r="G110" s="59" t="n">
        <f aca="false">F110-H110</f>
        <v>10300</v>
      </c>
      <c r="H110" s="59" t="n">
        <v>0</v>
      </c>
      <c r="J110" s="55"/>
      <c r="K110" s="9" t="n">
        <v>7324900.00000014</v>
      </c>
    </row>
    <row r="111" customFormat="false" ht="19.85" hidden="false" customHeight="true" outlineLevel="0" collapsed="false">
      <c r="A111" s="0" t="n">
        <v>30</v>
      </c>
      <c r="B111" s="34" t="n">
        <v>42156</v>
      </c>
      <c r="C111" s="56" t="n">
        <f aca="false">K111*0.96</f>
        <v>6464832.00000007</v>
      </c>
      <c r="D111" s="29" t="s">
        <v>41</v>
      </c>
      <c r="E111" s="33" t="n">
        <f aca="false">IF(D111="totale",(C111/(A111*24))/F111,IF(D111="marché libre",(C111/(A111*24))/G111,"spécifier histo"))</f>
        <v>0.871741100323634</v>
      </c>
      <c r="F111" s="59" t="n">
        <v>10300</v>
      </c>
      <c r="G111" s="59" t="n">
        <f aca="false">F111-H111</f>
        <v>10300</v>
      </c>
      <c r="H111" s="59" t="n">
        <v>0</v>
      </c>
      <c r="J111" s="55"/>
      <c r="K111" s="9" t="n">
        <v>6734200.00000007</v>
      </c>
    </row>
    <row r="112" customFormat="false" ht="19.85" hidden="false" customHeight="true" outlineLevel="0" collapsed="false">
      <c r="A112" s="0" t="n">
        <v>31</v>
      </c>
      <c r="B112" s="31" t="n">
        <v>42186</v>
      </c>
      <c r="C112" s="56" t="n">
        <f aca="false">K112*0.96</f>
        <v>2719775.99999992</v>
      </c>
      <c r="D112" s="29" t="s">
        <v>41</v>
      </c>
      <c r="E112" s="33" t="n">
        <f aca="false">IF(D112="totale",(C112/(A112*24))/F112,IF(D112="marché libre",(C112/(A112*24))/G112,"spécifier histo"))</f>
        <v>0.354913874099583</v>
      </c>
      <c r="F112" s="59" t="n">
        <v>10300</v>
      </c>
      <c r="G112" s="59" t="n">
        <f aca="false">F112-H112</f>
        <v>10300</v>
      </c>
      <c r="H112" s="59" t="n">
        <v>0</v>
      </c>
      <c r="J112" s="55"/>
      <c r="K112" s="9" t="n">
        <v>2833099.99999992</v>
      </c>
    </row>
    <row r="113" customFormat="false" ht="19.85" hidden="false" customHeight="true" outlineLevel="0" collapsed="false">
      <c r="A113" s="0" t="n">
        <v>31</v>
      </c>
      <c r="B113" s="34" t="n">
        <v>42217</v>
      </c>
      <c r="C113" s="56" t="n">
        <f aca="false">K113*0.96</f>
        <v>1902240.00000016</v>
      </c>
      <c r="D113" s="29" t="s">
        <v>41</v>
      </c>
      <c r="E113" s="33" t="n">
        <f aca="false">IF(D113="totale",(C113/(A113*24))/F113,IF(D113="marché libre",(C113/(A113*24))/G113,"spécifier histo"))</f>
        <v>0.24823050422802</v>
      </c>
      <c r="F113" s="59" t="n">
        <v>10300</v>
      </c>
      <c r="G113" s="59" t="n">
        <f aca="false">F113-H113</f>
        <v>10300</v>
      </c>
      <c r="H113" s="59" t="n">
        <v>0</v>
      </c>
      <c r="J113" s="55"/>
      <c r="K113" s="9" t="n">
        <v>1981500.00000017</v>
      </c>
    </row>
    <row r="114" customFormat="false" ht="19.85" hidden="false" customHeight="true" outlineLevel="0" collapsed="false">
      <c r="A114" s="0" t="n">
        <v>30</v>
      </c>
      <c r="B114" s="31" t="n">
        <v>42248</v>
      </c>
      <c r="C114" s="56" t="n">
        <f aca="false">K114*0.96</f>
        <v>2762783.99999991</v>
      </c>
      <c r="D114" s="29" t="s">
        <v>41</v>
      </c>
      <c r="E114" s="33" t="n">
        <f aca="false">IF(D114="totale",(C114/(A114*24))/F114,IF(D114="marché libre",(C114/(A114*24))/G114,"spécifier histo"))</f>
        <v>0.372543689320377</v>
      </c>
      <c r="F114" s="59" t="n">
        <v>10300</v>
      </c>
      <c r="G114" s="59" t="n">
        <f aca="false">F114-H114</f>
        <v>10300</v>
      </c>
      <c r="H114" s="59" t="n">
        <v>0</v>
      </c>
      <c r="J114" s="55"/>
      <c r="K114" s="9" t="n">
        <v>2877899.99999991</v>
      </c>
    </row>
    <row r="115" customFormat="false" ht="19.85" hidden="false" customHeight="true" outlineLevel="0" collapsed="false">
      <c r="A115" s="0" t="n">
        <v>31</v>
      </c>
      <c r="B115" s="34" t="n">
        <v>42278</v>
      </c>
      <c r="C115" s="56" t="n">
        <f aca="false">K115*0.96</f>
        <v>3186719.99999984</v>
      </c>
      <c r="D115" s="29" t="s">
        <v>41</v>
      </c>
      <c r="E115" s="33" t="n">
        <f aca="false">IF(D115="totale",(C115/(A115*24))/F115,IF(D115="marché libre",(C115/(A115*24))/G115,"spécifier histo"))</f>
        <v>0.415847165674893</v>
      </c>
      <c r="F115" s="59" t="n">
        <v>10300</v>
      </c>
      <c r="G115" s="59" t="n">
        <f aca="false">F115-H115</f>
        <v>10300</v>
      </c>
      <c r="H115" s="59" t="n">
        <v>0</v>
      </c>
      <c r="J115" s="55"/>
      <c r="K115" s="9" t="n">
        <v>3319499.99999983</v>
      </c>
    </row>
    <row r="116" customFormat="false" ht="19.85" hidden="false" customHeight="true" outlineLevel="0" collapsed="false">
      <c r="A116" s="0" t="n">
        <v>30</v>
      </c>
      <c r="B116" s="31" t="n">
        <v>42309</v>
      </c>
      <c r="C116" s="56" t="n">
        <f aca="false">K116*0.96</f>
        <v>1362719.99999994</v>
      </c>
      <c r="D116" s="29" t="s">
        <v>41</v>
      </c>
      <c r="E116" s="33" t="n">
        <f aca="false">IF(D116="totale",(C116/(A116*24))/F116,IF(D116="marché libre",(C116/(A116*24))/G116,"spécifier histo"))</f>
        <v>0.183754045307436</v>
      </c>
      <c r="F116" s="59" t="n">
        <v>10300</v>
      </c>
      <c r="G116" s="59" t="n">
        <f aca="false">F116-H116</f>
        <v>10300</v>
      </c>
      <c r="H116" s="59" t="n">
        <v>0</v>
      </c>
      <c r="J116" s="55"/>
      <c r="K116" s="9" t="n">
        <v>1419499.99999994</v>
      </c>
    </row>
    <row r="117" customFormat="false" ht="19.85" hidden="false" customHeight="true" outlineLevel="0" collapsed="false">
      <c r="A117" s="0" t="n">
        <v>31</v>
      </c>
      <c r="B117" s="34" t="n">
        <v>42339</v>
      </c>
      <c r="C117" s="56" t="n">
        <f aca="false">K117*0.96</f>
        <v>1013663.99999997</v>
      </c>
      <c r="D117" s="29" t="s">
        <v>41</v>
      </c>
      <c r="E117" s="33" t="n">
        <f aca="false">IF(D117="totale",(C117/(A117*24))/F117,IF(D117="marché libre",(C117/(A117*24))/G117,"spécifier histo"))</f>
        <v>0.132276855621669</v>
      </c>
      <c r="F117" s="59" t="n">
        <v>10300</v>
      </c>
      <c r="G117" s="59" t="n">
        <f aca="false">F117-H117</f>
        <v>10300</v>
      </c>
      <c r="H117" s="59" t="n">
        <v>0</v>
      </c>
      <c r="J117" s="55"/>
      <c r="K117" s="9" t="n">
        <v>1055899.99999997</v>
      </c>
    </row>
    <row r="118" customFormat="false" ht="19.85" hidden="false" customHeight="true" outlineLevel="0" collapsed="false">
      <c r="A118" s="0" t="n">
        <v>31</v>
      </c>
      <c r="B118" s="31" t="n">
        <v>42370</v>
      </c>
      <c r="C118" s="56" t="n">
        <f aca="false">K118*0.96</f>
        <v>741504</v>
      </c>
      <c r="D118" s="29" t="s">
        <v>41</v>
      </c>
      <c r="E118" s="33" t="n">
        <f aca="false">IF(D118="totale",(C118/(A118*24))/F118,IF(D118="marché libre",(C118/(A118*24))/G118,"spécifier histo"))</f>
        <v>0.0967616661446915</v>
      </c>
      <c r="F118" s="59" t="n">
        <v>10300</v>
      </c>
      <c r="G118" s="59" t="n">
        <f aca="false">F118-H118</f>
        <v>10300</v>
      </c>
      <c r="H118" s="59" t="n">
        <v>0</v>
      </c>
      <c r="J118" s="55"/>
      <c r="K118" s="1" t="n">
        <v>772400</v>
      </c>
    </row>
    <row r="119" customFormat="false" ht="19.85" hidden="false" customHeight="true" outlineLevel="0" collapsed="false">
      <c r="A119" s="0" t="n">
        <v>28</v>
      </c>
      <c r="B119" s="34" t="n">
        <v>42401</v>
      </c>
      <c r="C119" s="56" t="n">
        <f aca="false">K119*0.96</f>
        <v>740448</v>
      </c>
      <c r="D119" s="29" t="s">
        <v>41</v>
      </c>
      <c r="E119" s="33" t="n">
        <f aca="false">IF(D119="totale",(C119/(A119*24))/F119,IF(D119="marché libre",(C119/(A119*24))/G119,"spécifier histo"))</f>
        <v>0.106976421636616</v>
      </c>
      <c r="F119" s="59" t="n">
        <v>10300</v>
      </c>
      <c r="G119" s="59" t="n">
        <f aca="false">F119-H119</f>
        <v>10300</v>
      </c>
      <c r="H119" s="59" t="n">
        <v>0</v>
      </c>
      <c r="J119" s="55"/>
      <c r="K119" s="1" t="n">
        <v>771300</v>
      </c>
    </row>
    <row r="120" customFormat="false" ht="19.85" hidden="false" customHeight="true" outlineLevel="0" collapsed="false">
      <c r="A120" s="0" t="n">
        <v>31</v>
      </c>
      <c r="B120" s="31" t="n">
        <v>42430</v>
      </c>
      <c r="C120" s="56" t="n">
        <f aca="false">K120*0.96</f>
        <v>521952</v>
      </c>
      <c r="D120" s="29" t="s">
        <v>41</v>
      </c>
      <c r="E120" s="33" t="n">
        <f aca="false">IF(D120="totale",(C120/(A120*24))/F120,IF(D120="marché libre",(C120/(A120*24))/G120,"spécifier histo"))</f>
        <v>0.0681114938928907</v>
      </c>
      <c r="F120" s="59" t="n">
        <v>10300</v>
      </c>
      <c r="G120" s="59" t="n">
        <f aca="false">F120-H120</f>
        <v>10300</v>
      </c>
      <c r="H120" s="59" t="n">
        <v>0</v>
      </c>
      <c r="J120" s="55"/>
      <c r="K120" s="1" t="n">
        <v>543700</v>
      </c>
    </row>
    <row r="121" customFormat="false" ht="19.85" hidden="false" customHeight="true" outlineLevel="0" collapsed="false">
      <c r="A121" s="0" t="n">
        <v>30</v>
      </c>
      <c r="B121" s="34" t="n">
        <v>42461</v>
      </c>
      <c r="C121" s="56" t="n">
        <f aca="false">K121*0.96</f>
        <v>4007904</v>
      </c>
      <c r="D121" s="29" t="s">
        <v>41</v>
      </c>
      <c r="E121" s="33" t="n">
        <f aca="false">IF(D121="totale",(C121/(A121*24))/F121,IF(D121="marché libre",(C121/(A121*24))/G121,"spécifier histo"))</f>
        <v>0.540440129449838</v>
      </c>
      <c r="F121" s="59" t="n">
        <v>10300</v>
      </c>
      <c r="G121" s="59" t="n">
        <f aca="false">F121-H121</f>
        <v>10300</v>
      </c>
      <c r="H121" s="59" t="n">
        <v>0</v>
      </c>
      <c r="J121" s="55"/>
      <c r="K121" s="1" t="n">
        <v>4174900</v>
      </c>
    </row>
    <row r="122" customFormat="false" ht="19.85" hidden="false" customHeight="true" outlineLevel="0" collapsed="false">
      <c r="A122" s="0" t="n">
        <v>31</v>
      </c>
      <c r="B122" s="31" t="n">
        <v>42491</v>
      </c>
      <c r="C122" s="56" t="n">
        <f aca="false">K122*0.96</f>
        <v>6291264</v>
      </c>
      <c r="D122" s="29" t="s">
        <v>41</v>
      </c>
      <c r="E122" s="33" t="n">
        <f aca="false">IF(D122="totale",(C122/(A122*24))/F122,IF(D122="marché libre",(C122/(A122*24))/G122,"spécifier histo"))</f>
        <v>0.820970873786408</v>
      </c>
      <c r="F122" s="59" t="n">
        <v>10300</v>
      </c>
      <c r="G122" s="59" t="n">
        <f aca="false">F122-H122</f>
        <v>10300</v>
      </c>
      <c r="H122" s="59" t="n">
        <v>0</v>
      </c>
      <c r="J122" s="55"/>
      <c r="K122" s="63" t="n">
        <v>6553400</v>
      </c>
    </row>
    <row r="123" customFormat="false" ht="19.85" hidden="false" customHeight="true" outlineLevel="0" collapsed="false">
      <c r="A123" s="0" t="n">
        <v>30</v>
      </c>
      <c r="B123" s="34" t="n">
        <v>42522</v>
      </c>
      <c r="C123" s="56" t="n">
        <f aca="false">K123*0.96</f>
        <v>7054944</v>
      </c>
      <c r="D123" s="29" t="s">
        <v>41</v>
      </c>
      <c r="E123" s="33" t="n">
        <f aca="false">IF(D123="totale",(C123/(A123*24))/F123,IF(D123="marché libre",(C123/(A123*24))/G123,"spécifier histo"))</f>
        <v>0.951313915857605</v>
      </c>
      <c r="F123" s="59" t="n">
        <v>10300</v>
      </c>
      <c r="G123" s="59" t="n">
        <f aca="false">F123-H123</f>
        <v>10300</v>
      </c>
      <c r="H123" s="59" t="n">
        <v>0</v>
      </c>
      <c r="J123" s="55"/>
      <c r="K123" s="63" t="n">
        <v>7348900</v>
      </c>
    </row>
    <row r="124" customFormat="false" ht="19.85" hidden="false" customHeight="true" outlineLevel="0" collapsed="false">
      <c r="A124" s="0" t="n">
        <v>31</v>
      </c>
      <c r="B124" s="31" t="n">
        <v>42552</v>
      </c>
      <c r="C124" s="56" t="n">
        <f aca="false">K124*0.96</f>
        <v>6128256</v>
      </c>
      <c r="D124" s="29" t="s">
        <v>41</v>
      </c>
      <c r="E124" s="33" t="n">
        <f aca="false">IF(D124="totale",(C124/(A124*24))/F124,IF(D124="marché libre",(C124/(A124*24))/G124,"spécifier histo"))</f>
        <v>0.799699342311306</v>
      </c>
      <c r="F124" s="59" t="n">
        <v>10300</v>
      </c>
      <c r="G124" s="59" t="n">
        <f aca="false">F124-H124</f>
        <v>10300</v>
      </c>
      <c r="H124" s="59" t="n">
        <v>0</v>
      </c>
      <c r="J124" s="55"/>
      <c r="K124" s="63" t="n">
        <v>6383600</v>
      </c>
    </row>
    <row r="125" customFormat="false" ht="19.85" hidden="false" customHeight="true" outlineLevel="0" collapsed="false">
      <c r="A125" s="0" t="n">
        <v>31</v>
      </c>
      <c r="B125" s="34" t="n">
        <v>42583</v>
      </c>
      <c r="C125" s="56" t="n">
        <f aca="false">K125*0.96</f>
        <v>3122208</v>
      </c>
      <c r="D125" s="29" t="s">
        <v>41</v>
      </c>
      <c r="E125" s="33" t="n">
        <f aca="false">IF(D125="totale",(C125/(A125*24))/F125,IF(D125="marché libre",(C125/(A125*24))/G125,"spécifier histo"))</f>
        <v>0.407428750391481</v>
      </c>
      <c r="F125" s="59" t="n">
        <v>10300</v>
      </c>
      <c r="G125" s="59" t="n">
        <f aca="false">F125-H125</f>
        <v>10300</v>
      </c>
      <c r="H125" s="59" t="n">
        <v>0</v>
      </c>
      <c r="J125" s="55"/>
      <c r="K125" s="1" t="n">
        <v>3252300</v>
      </c>
    </row>
    <row r="126" customFormat="false" ht="19.85" hidden="false" customHeight="true" outlineLevel="0" collapsed="false">
      <c r="A126" s="0" t="n">
        <v>30</v>
      </c>
      <c r="B126" s="31" t="n">
        <v>42614</v>
      </c>
      <c r="C126" s="56" t="n">
        <f aca="false">K126*0.96</f>
        <v>1709952</v>
      </c>
      <c r="D126" s="29" t="s">
        <v>41</v>
      </c>
      <c r="E126" s="33" t="n">
        <f aca="false">IF(D126="totale",(C126/(A126*24))/F126,IF(D126="marché libre",(C126/(A126*24))/G126,"spécifier histo"))</f>
        <v>0.230576051779935</v>
      </c>
      <c r="F126" s="59" t="n">
        <v>10300</v>
      </c>
      <c r="G126" s="59" t="n">
        <f aca="false">F126-H126</f>
        <v>10300</v>
      </c>
      <c r="H126" s="59" t="n">
        <v>0</v>
      </c>
      <c r="J126" s="55"/>
      <c r="K126" s="1" t="n">
        <v>1781200</v>
      </c>
    </row>
    <row r="127" customFormat="false" ht="19.85" hidden="false" customHeight="true" outlineLevel="0" collapsed="false">
      <c r="A127" s="0" t="n">
        <v>31</v>
      </c>
      <c r="B127" s="34" t="n">
        <v>42644</v>
      </c>
      <c r="C127" s="56" t="n">
        <f aca="false">K127*0.96</f>
        <v>1399680</v>
      </c>
      <c r="D127" s="29" t="s">
        <v>41</v>
      </c>
      <c r="E127" s="33" t="n">
        <f aca="false">IF(D127="totale",(C127/(A127*24))/F127,IF(D127="marché libre",(C127/(A127*24))/G127,"spécifier histo"))</f>
        <v>0.182649545881616</v>
      </c>
      <c r="F127" s="59" t="n">
        <v>10300</v>
      </c>
      <c r="G127" s="59" t="n">
        <f aca="false">F127-H127</f>
        <v>10300</v>
      </c>
      <c r="H127" s="59" t="n">
        <v>0</v>
      </c>
      <c r="J127" s="55"/>
      <c r="K127" s="1" t="n">
        <v>1458000</v>
      </c>
    </row>
    <row r="128" customFormat="false" ht="19.85" hidden="false" customHeight="true" outlineLevel="0" collapsed="false">
      <c r="A128" s="0" t="n">
        <v>30</v>
      </c>
      <c r="B128" s="31" t="n">
        <v>42675</v>
      </c>
      <c r="C128" s="56" t="n">
        <f aca="false">K128*0.96</f>
        <v>2175648</v>
      </c>
      <c r="D128" s="29" t="s">
        <v>41</v>
      </c>
      <c r="E128" s="33" t="n">
        <f aca="false">IF(D128="totale",(C128/(A128*24))/F128,IF(D128="marché libre",(C128/(A128*24))/G128,"spécifier histo"))</f>
        <v>0.29337216828479</v>
      </c>
      <c r="F128" s="59" t="n">
        <v>10300</v>
      </c>
      <c r="G128" s="59" t="n">
        <f aca="false">F128-H128</f>
        <v>10300</v>
      </c>
      <c r="H128" s="59" t="n">
        <v>0</v>
      </c>
      <c r="I128" s="1" t="s">
        <v>55</v>
      </c>
      <c r="J128" s="55"/>
      <c r="K128" s="1" t="n">
        <v>2266300</v>
      </c>
    </row>
    <row r="129" customFormat="false" ht="19.85" hidden="false" customHeight="true" outlineLevel="0" collapsed="false">
      <c r="A129" s="0" t="n">
        <v>31</v>
      </c>
      <c r="B129" s="34" t="n">
        <v>42705</v>
      </c>
      <c r="C129" s="56" t="n">
        <f aca="false">K129*0.96</f>
        <v>459168</v>
      </c>
      <c r="D129" s="29" t="s">
        <v>41</v>
      </c>
      <c r="E129" s="33" t="n">
        <f aca="false">IF(D129="totale",(C129/(A129*24))/F129,IF(D129="marché libre",(C129/(A129*24))/G129,"spécifier histo"))</f>
        <v>0.0599185718759787</v>
      </c>
      <c r="F129" s="59" t="n">
        <v>10300</v>
      </c>
      <c r="G129" s="59" t="n">
        <f aca="false">F129-H129</f>
        <v>10300</v>
      </c>
      <c r="H129" s="59" t="n">
        <v>0</v>
      </c>
      <c r="I129" s="1" t="s">
        <v>55</v>
      </c>
      <c r="J129" s="55"/>
      <c r="K129" s="1" t="n">
        <v>478300</v>
      </c>
    </row>
    <row r="130" customFormat="false" ht="19.85" hidden="false" customHeight="true" outlineLevel="0" collapsed="false">
      <c r="A130" s="0" t="n">
        <v>31</v>
      </c>
      <c r="B130" s="31" t="n">
        <v>42736</v>
      </c>
      <c r="C130" s="64" t="n">
        <f aca="false">K130*0.96</f>
        <v>182304</v>
      </c>
      <c r="D130" s="65" t="s">
        <v>41</v>
      </c>
      <c r="E130" s="66" t="n">
        <f aca="false">IF(D130="totale",(C130/(A130*24))/F130,IF(D130="marché libre",(C130/(A130*24))/G130,"spécifier histo"))</f>
        <v>0.0237895396179142</v>
      </c>
      <c r="F130" s="67" t="n">
        <v>10300</v>
      </c>
      <c r="G130" s="67" t="n">
        <f aca="false">F130-H130</f>
        <v>10300</v>
      </c>
      <c r="H130" s="67" t="n">
        <v>0</v>
      </c>
      <c r="J130" s="30"/>
      <c r="K130" s="1" t="n">
        <v>189900</v>
      </c>
      <c r="L130" s="0"/>
    </row>
    <row r="131" customFormat="false" ht="19.85" hidden="false" customHeight="true" outlineLevel="0" collapsed="false">
      <c r="A131" s="0" t="n">
        <v>28</v>
      </c>
      <c r="B131" s="34" t="n">
        <v>42767</v>
      </c>
      <c r="C131" s="56" t="n">
        <f aca="false">K131*0.96</f>
        <v>121440</v>
      </c>
      <c r="D131" s="29" t="s">
        <v>41</v>
      </c>
      <c r="E131" s="33" t="n">
        <f aca="false">IF(D131="totale",(C131/(A131*24))/F131,IF(D131="marché libre",(C131/(A131*24))/G131,"spécifier histo"))</f>
        <v>0.0175450762829404</v>
      </c>
      <c r="F131" s="59" t="n">
        <v>10300</v>
      </c>
      <c r="G131" s="59" t="n">
        <f aca="false">F131-H131</f>
        <v>10300</v>
      </c>
      <c r="H131" s="59" t="n">
        <v>0</v>
      </c>
      <c r="J131" s="55"/>
      <c r="K131" s="1" t="n">
        <v>126500</v>
      </c>
      <c r="L131" s="0"/>
    </row>
    <row r="132" customFormat="false" ht="19.85" hidden="false" customHeight="true" outlineLevel="0" collapsed="false">
      <c r="A132" s="0" t="n">
        <v>31</v>
      </c>
      <c r="B132" s="31" t="n">
        <v>42795</v>
      </c>
      <c r="C132" s="56" t="n">
        <f aca="false">K132*0.96</f>
        <v>1184256</v>
      </c>
      <c r="D132" s="29" t="s">
        <v>41</v>
      </c>
      <c r="E132" s="33" t="n">
        <f aca="false">IF(D132="totale",(C132/(A132*24))/F132,IF(D132="marché libre",(C132/(A132*24))/G132,"spécifier histo"))</f>
        <v>0.154538051988725</v>
      </c>
      <c r="F132" s="59" t="n">
        <v>10300</v>
      </c>
      <c r="G132" s="59" t="n">
        <f aca="false">F132-H132</f>
        <v>10300</v>
      </c>
      <c r="H132" s="59" t="n">
        <v>0</v>
      </c>
      <c r="J132" s="55"/>
      <c r="K132" s="1" t="n">
        <v>1233600</v>
      </c>
      <c r="L132" s="0"/>
    </row>
    <row r="133" customFormat="false" ht="19.85" hidden="false" customHeight="true" outlineLevel="0" collapsed="false">
      <c r="A133" s="0" t="n">
        <v>30</v>
      </c>
      <c r="B133" s="34" t="n">
        <v>42826</v>
      </c>
      <c r="C133" s="56" t="n">
        <f aca="false">K133*0.96</f>
        <v>2672448</v>
      </c>
      <c r="D133" s="29" t="s">
        <v>41</v>
      </c>
      <c r="E133" s="33" t="n">
        <f aca="false">IF(D133="totale",(C133/(A133*24))/F133,IF(D133="marché libre",(C133/(A133*24))/G133,"spécifier histo"))</f>
        <v>0.360362459546926</v>
      </c>
      <c r="F133" s="59" t="n">
        <v>10300</v>
      </c>
      <c r="G133" s="59" t="n">
        <f aca="false">F133-H133</f>
        <v>10300</v>
      </c>
      <c r="H133" s="59" t="n">
        <v>0</v>
      </c>
      <c r="J133" s="55"/>
      <c r="K133" s="1" t="n">
        <v>2783800</v>
      </c>
    </row>
    <row r="134" customFormat="false" ht="19.85" hidden="false" customHeight="true" outlineLevel="0" collapsed="false">
      <c r="A134" s="0" t="n">
        <v>31</v>
      </c>
      <c r="B134" s="31" t="n">
        <v>42856</v>
      </c>
      <c r="C134" s="56" t="n">
        <f aca="false">K134*0.96</f>
        <v>5793408</v>
      </c>
      <c r="D134" s="29" t="s">
        <v>41</v>
      </c>
      <c r="E134" s="33" t="n">
        <f aca="false">IF(D134="totale",(C134/(A134*24))/F134,IF(D134="marché libre",(C134/(A134*24))/G134,"spécifier histo"))</f>
        <v>0.756003758221109</v>
      </c>
      <c r="F134" s="59" t="n">
        <v>10300</v>
      </c>
      <c r="G134" s="59" t="n">
        <f aca="false">F134-H134</f>
        <v>10300</v>
      </c>
      <c r="H134" s="59" t="n">
        <v>0</v>
      </c>
      <c r="J134" s="55"/>
      <c r="K134" s="1" t="n">
        <v>6034800</v>
      </c>
    </row>
    <row r="135" customFormat="false" ht="22.45" hidden="false" customHeight="true" outlineLevel="0" collapsed="false">
      <c r="A135" s="0" t="n">
        <v>30</v>
      </c>
      <c r="B135" s="34" t="n">
        <v>42887</v>
      </c>
      <c r="C135" s="56" t="n">
        <f aca="false">K135*0.96</f>
        <v>6204000</v>
      </c>
      <c r="D135" s="29" t="s">
        <v>41</v>
      </c>
      <c r="E135" s="33" t="n">
        <f aca="false">IF(D135="totale",(C135/(A135*24))/F135,IF(D135="marché libre",(C135/(A135*24))/G135,"spécifier histo"))</f>
        <v>0.836569579288026</v>
      </c>
      <c r="F135" s="59" t="n">
        <v>10300</v>
      </c>
      <c r="G135" s="59" t="n">
        <f aca="false">F135-H135</f>
        <v>10300</v>
      </c>
      <c r="H135" s="59" t="n">
        <v>0</v>
      </c>
      <c r="J135" s="55"/>
      <c r="K135" s="1" t="n">
        <v>6462500</v>
      </c>
    </row>
    <row r="136" customFormat="false" ht="21.65" hidden="false" customHeight="true" outlineLevel="0" collapsed="false">
      <c r="A136" s="0" t="n">
        <v>31</v>
      </c>
      <c r="B136" s="31" t="n">
        <v>42917</v>
      </c>
      <c r="C136" s="56" t="n">
        <f aca="false">K136*0.96</f>
        <v>3715584</v>
      </c>
      <c r="D136" s="29" t="s">
        <v>41</v>
      </c>
      <c r="E136" s="33" t="n">
        <f aca="false">IF(D136="totale",(C136/(A136*24))/F136,IF(D136="marché libre",(C136/(A136*24))/G136,"spécifier histo"))</f>
        <v>0.484860632633887</v>
      </c>
      <c r="F136" s="59" t="n">
        <v>10300</v>
      </c>
      <c r="G136" s="59" t="n">
        <f aca="false">F136-H136</f>
        <v>10300</v>
      </c>
      <c r="H136" s="59" t="n">
        <v>0</v>
      </c>
      <c r="J136" s="55"/>
      <c r="K136" s="1" t="n">
        <v>3870400</v>
      </c>
    </row>
    <row r="137" customFormat="false" ht="21.65" hidden="false" customHeight="true" outlineLevel="0" collapsed="false">
      <c r="A137" s="0" t="n">
        <v>31</v>
      </c>
      <c r="B137" s="34" t="n">
        <v>42948</v>
      </c>
      <c r="C137" s="56" t="n">
        <f aca="false">K137*0.96</f>
        <v>2394528</v>
      </c>
      <c r="D137" s="29" t="s">
        <v>41</v>
      </c>
      <c r="E137" s="33" t="n">
        <f aca="false">IF(D137="totale",(C137/(A137*24))/F137,IF(D137="marché libre",(C137/(A137*24))/G137,"spécifier histo"))</f>
        <v>0.312471030378954</v>
      </c>
      <c r="F137" s="59" t="n">
        <v>10300</v>
      </c>
      <c r="G137" s="59" t="n">
        <f aca="false">F137-H137</f>
        <v>10300</v>
      </c>
      <c r="H137" s="59" t="n">
        <v>0</v>
      </c>
      <c r="J137" s="55"/>
      <c r="K137" s="1" t="n">
        <v>2494300</v>
      </c>
    </row>
    <row r="138" customFormat="false" ht="21.65" hidden="false" customHeight="true" outlineLevel="0" collapsed="false">
      <c r="A138" s="0" t="n">
        <v>30</v>
      </c>
      <c r="B138" s="31" t="n">
        <v>42979</v>
      </c>
      <c r="C138" s="56" t="n">
        <f aca="false">K138*0.96</f>
        <v>2995776</v>
      </c>
      <c r="D138" s="29" t="s">
        <v>41</v>
      </c>
      <c r="E138" s="33" t="n">
        <f aca="false">IF(D138="totale",(C138/(A138*24))/F138,IF(D138="marché libre",(C138/(A138*24))/G138,"spécifier histo"))</f>
        <v>0.403961165048544</v>
      </c>
      <c r="F138" s="59" t="n">
        <v>10300</v>
      </c>
      <c r="G138" s="59" t="n">
        <f aca="false">F138-H138</f>
        <v>10300</v>
      </c>
      <c r="H138" s="59" t="n">
        <v>0</v>
      </c>
      <c r="J138" s="55"/>
      <c r="K138" s="1" t="n">
        <v>3120600</v>
      </c>
    </row>
    <row r="139" customFormat="false" ht="21.65" hidden="false" customHeight="true" outlineLevel="0" collapsed="false">
      <c r="A139" s="0" t="n">
        <v>31</v>
      </c>
      <c r="B139" s="34" t="n">
        <v>43009</v>
      </c>
      <c r="C139" s="56" t="n">
        <f aca="false">K139*0.96</f>
        <v>1554432</v>
      </c>
      <c r="D139" s="29" t="s">
        <v>41</v>
      </c>
      <c r="E139" s="33" t="n">
        <f aca="false">IF(D139="totale",(C139/(A139*24))/F139,IF(D139="marché libre",(C139/(A139*24))/G139,"spécifier histo"))</f>
        <v>0.202843720638898</v>
      </c>
      <c r="F139" s="59" t="n">
        <v>10300</v>
      </c>
      <c r="G139" s="59" t="n">
        <f aca="false">F139-H139</f>
        <v>10300</v>
      </c>
      <c r="H139" s="59" t="n">
        <v>0</v>
      </c>
      <c r="J139" s="55"/>
      <c r="K139" s="1" t="n">
        <v>1619200</v>
      </c>
    </row>
    <row r="140" customFormat="false" ht="21.65" hidden="false" customHeight="true" outlineLevel="0" collapsed="false">
      <c r="A140" s="0" t="n">
        <v>30</v>
      </c>
      <c r="B140" s="31" t="n">
        <v>43040</v>
      </c>
      <c r="C140" s="56" t="n">
        <f aca="false">K140*0.96</f>
        <v>943584</v>
      </c>
      <c r="D140" s="29" t="s">
        <v>41</v>
      </c>
      <c r="E140" s="33" t="n">
        <f aca="false">IF(D140="totale",(C140/(A140*24))/F140,IF(D140="marché libre",(C140/(A140*24))/G140,"spécifier histo"))</f>
        <v>0.127236245954693</v>
      </c>
      <c r="F140" s="59" t="n">
        <v>10300</v>
      </c>
      <c r="G140" s="59" t="n">
        <f aca="false">F140-H140</f>
        <v>10300</v>
      </c>
      <c r="H140" s="59" t="n">
        <v>0</v>
      </c>
      <c r="J140" s="55"/>
      <c r="K140" s="1" t="n">
        <v>982900</v>
      </c>
    </row>
    <row r="141" customFormat="false" ht="21.65" hidden="false" customHeight="true" outlineLevel="0" collapsed="false">
      <c r="A141" s="0" t="n">
        <v>31</v>
      </c>
      <c r="B141" s="34" t="n">
        <v>43070</v>
      </c>
      <c r="C141" s="56" t="n">
        <f aca="false">K141*0.96</f>
        <v>800448</v>
      </c>
      <c r="D141" s="29" t="s">
        <v>41</v>
      </c>
      <c r="E141" s="33" t="n">
        <f aca="false">IF(D141="totale",(C141/(A141*24))/F141,IF(D141="marché libre",(C141/(A141*24))/G141,"spécifier histo"))</f>
        <v>0.10445349201378</v>
      </c>
      <c r="F141" s="59" t="n">
        <v>10300</v>
      </c>
      <c r="G141" s="59" t="n">
        <f aca="false">F141-H141</f>
        <v>10300</v>
      </c>
      <c r="H141" s="59" t="n">
        <v>0</v>
      </c>
      <c r="J141" s="55"/>
      <c r="K141" s="1" t="n">
        <v>833800</v>
      </c>
    </row>
    <row r="142" customFormat="false" ht="28.35" hidden="false" customHeight="true" outlineLevel="0" collapsed="false">
      <c r="A142" s="0" t="n">
        <v>31</v>
      </c>
      <c r="B142" s="31" t="n">
        <v>43101</v>
      </c>
      <c r="C142" s="56" t="n">
        <f aca="false">K142*0.96</f>
        <v>1871808</v>
      </c>
      <c r="D142" s="29" t="s">
        <v>41</v>
      </c>
      <c r="E142" s="33" t="n">
        <f aca="false">IF(D142="totale",(C142/(A142*24))/F142,IF(D142="marché libre",(C142/(A142*24))/G142,"spécifier histo"))</f>
        <v>0.244259317256499</v>
      </c>
      <c r="F142" s="59" t="n">
        <v>10300</v>
      </c>
      <c r="G142" s="59" t="n">
        <f aca="false">F142-H142</f>
        <v>10300</v>
      </c>
      <c r="H142" s="59" t="n">
        <v>0</v>
      </c>
      <c r="J142" s="30"/>
      <c r="K142" s="1" t="n">
        <v>1949800</v>
      </c>
    </row>
    <row r="143" customFormat="false" ht="28.35" hidden="false" customHeight="true" outlineLevel="0" collapsed="false">
      <c r="A143" s="0" t="n">
        <v>28</v>
      </c>
      <c r="B143" s="34" t="n">
        <v>43132</v>
      </c>
      <c r="C143" s="56" t="n">
        <f aca="false">K143*0.96</f>
        <v>675648</v>
      </c>
      <c r="D143" s="29" t="s">
        <v>41</v>
      </c>
      <c r="E143" s="33" t="n">
        <f aca="false">IF(D143="totale",(C143/(A143*24))/F143,IF(D143="marché libre",(C143/(A143*24))/G143,"spécifier histo"))</f>
        <v>0.0976144244105409</v>
      </c>
      <c r="F143" s="59" t="n">
        <v>10300</v>
      </c>
      <c r="G143" s="59" t="n">
        <f aca="false">F143-H143</f>
        <v>10300</v>
      </c>
      <c r="H143" s="59" t="n">
        <v>0</v>
      </c>
      <c r="K143" s="1" t="n">
        <v>703800</v>
      </c>
    </row>
    <row r="144" customFormat="false" ht="28.35" hidden="false" customHeight="true" outlineLevel="0" collapsed="false">
      <c r="A144" s="0" t="n">
        <v>31</v>
      </c>
      <c r="B144" s="31" t="n">
        <v>43160</v>
      </c>
      <c r="C144" s="56" t="n">
        <f aca="false">K144*0.96</f>
        <v>621408</v>
      </c>
      <c r="D144" s="29" t="s">
        <v>41</v>
      </c>
      <c r="E144" s="33" t="n">
        <f aca="false">IF(D144="totale",(C144/(A144*24))/F144,IF(D144="marché libre",(C144/(A144*24))/G144,"spécifier histo"))</f>
        <v>0.0810898841215158</v>
      </c>
      <c r="F144" s="59" t="n">
        <v>10300</v>
      </c>
      <c r="G144" s="59" t="n">
        <f aca="false">F144-H144</f>
        <v>10300</v>
      </c>
      <c r="H144" s="59" t="n">
        <v>0</v>
      </c>
      <c r="K144" s="1" t="n">
        <v>647300</v>
      </c>
    </row>
    <row r="145" customFormat="false" ht="28.35" hidden="false" customHeight="true" outlineLevel="0" collapsed="false">
      <c r="A145" s="0"/>
    </row>
    <row r="146" customFormat="false" ht="28.35" hidden="false" customHeight="true" outlineLevel="0" collapsed="false">
      <c r="A146" s="0"/>
    </row>
    <row r="147" customFormat="false" ht="28.35" hidden="false" customHeight="true" outlineLevel="0" collapsed="false">
      <c r="A147" s="0"/>
    </row>
    <row r="148" customFormat="false" ht="28.35" hidden="false" customHeight="true" outlineLevel="0" collapsed="false">
      <c r="A148" s="0"/>
    </row>
    <row r="149" customFormat="false" ht="28.35" hidden="false" customHeight="true" outlineLevel="0" collapsed="false">
      <c r="A149" s="0"/>
    </row>
    <row r="150" customFormat="false" ht="28.35" hidden="false" customHeight="true" outlineLevel="0" collapsed="false">
      <c r="A150" s="0"/>
    </row>
    <row r="151" customFormat="false" ht="28.35" hidden="false" customHeight="true" outlineLevel="0" collapsed="false">
      <c r="A151" s="0"/>
    </row>
    <row r="152" customFormat="false" ht="28.35" hidden="false" customHeight="true" outlineLevel="0" collapsed="false">
      <c r="A152" s="0"/>
    </row>
    <row r="153" customFormat="false" ht="28.35" hidden="false" customHeight="true" outlineLevel="0" collapsed="false">
      <c r="A153" s="0"/>
    </row>
    <row r="154" customFormat="false" ht="28.35" hidden="false" customHeight="true" outlineLevel="0" collapsed="false">
      <c r="A154" s="0"/>
    </row>
    <row r="155" customFormat="false" ht="28.35" hidden="false" customHeight="true" outlineLevel="0" collapsed="false">
      <c r="A155" s="0"/>
    </row>
    <row r="156" customFormat="false" ht="28.35" hidden="false" customHeight="true" outlineLevel="0" collapsed="false">
      <c r="A156" s="0"/>
    </row>
    <row r="157" customFormat="false" ht="28.35" hidden="false" customHeight="true" outlineLevel="0" collapsed="false">
      <c r="A157" s="0"/>
    </row>
    <row r="158" customFormat="false" ht="28.35" hidden="false" customHeight="true" outlineLevel="0" collapsed="false">
      <c r="A158" s="0"/>
    </row>
    <row r="159" customFormat="false" ht="28.35" hidden="false" customHeight="true" outlineLevel="0" collapsed="false">
      <c r="A159" s="0"/>
    </row>
    <row r="160" customFormat="false" ht="12.8" hidden="false" customHeight="false" outlineLevel="0" collapsed="false">
      <c r="A160" s="0"/>
    </row>
    <row r="161" customFormat="false" ht="12.8" hidden="false" customHeight="false" outlineLevel="0" collapsed="false">
      <c r="A161" s="0"/>
    </row>
    <row r="162" customFormat="false" ht="12.8" hidden="false" customHeight="false" outlineLevel="0" collapsed="false">
      <c r="A162" s="0"/>
    </row>
    <row r="163" customFormat="false" ht="12.8" hidden="false" customHeight="false" outlineLevel="0" collapsed="false">
      <c r="A163" s="0"/>
    </row>
    <row r="164" customFormat="false" ht="12.8" hidden="false" customHeight="false" outlineLevel="0" collapsed="false">
      <c r="A164" s="0"/>
    </row>
    <row r="165" customFormat="false" ht="12.8" hidden="false" customHeight="false" outlineLevel="0" collapsed="false">
      <c r="A165" s="0"/>
    </row>
    <row r="166" customFormat="false" ht="12.8" hidden="false" customHeight="false" outlineLevel="0" collapsed="false">
      <c r="A166" s="0"/>
    </row>
    <row r="167" customFormat="false" ht="12.8" hidden="false" customHeight="false" outlineLevel="0" collapsed="false">
      <c r="A167" s="0"/>
    </row>
    <row r="168" customFormat="false" ht="12.8" hidden="false" customHeight="false" outlineLevel="0" collapsed="false">
      <c r="A168" s="0"/>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row r="173" customFormat="false" ht="12.8" hidden="false" customHeight="false" outlineLevel="0" collapsed="false">
      <c r="A173" s="0"/>
    </row>
    <row r="174" customFormat="false" ht="12.8" hidden="false" customHeight="false" outlineLevel="0" collapsed="false">
      <c r="A174" s="0"/>
    </row>
    <row r="175" customFormat="false" ht="12.8" hidden="false" customHeight="false" outlineLevel="0" collapsed="false">
      <c r="A175" s="0"/>
    </row>
    <row r="176" customFormat="false" ht="12.8" hidden="false" customHeight="false" outlineLevel="0" collapsed="false">
      <c r="A176" s="0"/>
    </row>
    <row r="177" customFormat="false" ht="12.8" hidden="false" customHeight="false" outlineLevel="0" collapsed="false">
      <c r="A177" s="0"/>
    </row>
    <row r="178" customFormat="false" ht="12.8" hidden="false" customHeight="false" outlineLevel="0" collapsed="false">
      <c r="A178" s="0"/>
    </row>
    <row r="179" customFormat="false" ht="12.8" hidden="false" customHeight="false" outlineLevel="0" collapsed="false">
      <c r="A179" s="0"/>
    </row>
    <row r="180" customFormat="false" ht="12.8" hidden="false" customHeight="false" outlineLevel="0" collapsed="false">
      <c r="A180" s="0"/>
    </row>
    <row r="181" customFormat="false" ht="12.8" hidden="false" customHeight="false" outlineLevel="0" collapsed="false">
      <c r="A181" s="0"/>
    </row>
    <row r="182" customFormat="false" ht="12.8" hidden="false" customHeight="false" outlineLevel="0" collapsed="false">
      <c r="A182" s="0"/>
    </row>
    <row r="183" customFormat="false" ht="12.8" hidden="false" customHeight="fals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4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42">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43">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144">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6.xml><?xml version="1.0" encoding="utf-8"?>
<worksheet xmlns="http://schemas.openxmlformats.org/spreadsheetml/2006/main" xmlns:r="http://schemas.openxmlformats.org/officeDocument/2006/relationships">
  <sheetPr filterMode="false">
    <tabColor rgb="FF00FF66"/>
    <pageSetUpPr fitToPage="false"/>
  </sheetPr>
  <dimension ref="A1:V21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80" activePane="bottomRight" state="frozen"/>
      <selection pane="topLeft" activeCell="A1" activeCellId="0" sqref="A1"/>
      <selection pane="topRight" activeCell="B1" activeCellId="0" sqref="B1"/>
      <selection pane="bottomLeft" activeCell="A180" activeCellId="0" sqref="A180"/>
      <selection pane="bottomRight" activeCell="B184" activeCellId="0" sqref="B184"/>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61</v>
      </c>
      <c r="C4" s="5" t="n">
        <v>20094</v>
      </c>
      <c r="D4" s="5" t="s">
        <v>62</v>
      </c>
      <c r="E4" s="14" t="s">
        <v>63</v>
      </c>
      <c r="F4" s="15" t="n">
        <f aca="false">580+380+320</f>
        <v>1280</v>
      </c>
      <c r="G4" s="15" t="n">
        <v>1050</v>
      </c>
      <c r="H4" s="15" t="n">
        <v>600</v>
      </c>
      <c r="I4" s="16" t="s">
        <v>64</v>
      </c>
      <c r="J4" s="15" t="n">
        <f aca="false">600+650</f>
        <v>1250</v>
      </c>
      <c r="K4" s="16" t="s">
        <v>65</v>
      </c>
      <c r="L4" s="16" t="s">
        <v>66</v>
      </c>
      <c r="M4" s="16" t="s">
        <v>66</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t="s">
        <v>67</v>
      </c>
      <c r="H6" s="20"/>
      <c r="I6" s="20"/>
      <c r="J6" s="20"/>
      <c r="K6" s="20"/>
      <c r="L6" s="20"/>
      <c r="M6" s="20"/>
      <c r="N6" s="20"/>
      <c r="P6" s="21" t="n">
        <v>42005</v>
      </c>
      <c r="Q6" s="19" t="s">
        <v>27</v>
      </c>
      <c r="R6" s="9"/>
      <c r="S6" s="22"/>
      <c r="T6" s="5" t="s">
        <v>28</v>
      </c>
    </row>
    <row r="7" customFormat="false" ht="41.65" hidden="false" customHeight="true" outlineLevel="0" collapsed="false">
      <c r="A7" s="0"/>
      <c r="B7" s="0"/>
      <c r="C7" s="23" t="s">
        <v>68</v>
      </c>
      <c r="D7" s="23"/>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4.95" hidden="false" customHeight="true" outlineLevel="0" collapsed="false">
      <c r="A10" s="0" t="n">
        <v>31</v>
      </c>
      <c r="B10" s="31" t="n">
        <v>37987</v>
      </c>
      <c r="C10" s="32" t="n">
        <v>474900</v>
      </c>
      <c r="D10" s="29" t="s">
        <v>41</v>
      </c>
      <c r="E10" s="33" t="n">
        <f aca="false">IF(D10="totale",(C10/(A10*24))/F10,IF(D10="marché libre",(C10/(A10*24))/G10,"spécifier histo"))</f>
        <v>0.607910906298003</v>
      </c>
      <c r="F10" s="9" t="n">
        <v>1050</v>
      </c>
      <c r="G10" s="9" t="n">
        <f aca="false">F10-H10</f>
        <v>1050</v>
      </c>
      <c r="H10" s="9" t="n">
        <f aca="false">0</f>
        <v>0</v>
      </c>
      <c r="I10" s="9"/>
      <c r="J10" s="30"/>
    </row>
    <row r="11" customFormat="false" ht="24.95" hidden="false" customHeight="true" outlineLevel="0" collapsed="false">
      <c r="A11" s="0" t="n">
        <v>28</v>
      </c>
      <c r="B11" s="34" t="n">
        <v>38018</v>
      </c>
      <c r="C11" s="32" t="n">
        <v>405600</v>
      </c>
      <c r="D11" s="29" t="s">
        <v>41</v>
      </c>
      <c r="E11" s="33" t="n">
        <f aca="false">IF(D11="totale",(C11/(A11*24))/F11,IF(D11="marché libre",(C11/(A11*24))/G11,"spécifier histo"))</f>
        <v>0.574829931972789</v>
      </c>
      <c r="F11" s="9" t="n">
        <v>1050</v>
      </c>
      <c r="G11" s="9" t="n">
        <f aca="false">F11-H11</f>
        <v>1050</v>
      </c>
      <c r="H11" s="9" t="n">
        <f aca="false">0</f>
        <v>0</v>
      </c>
      <c r="I11" s="9"/>
      <c r="J11" s="30"/>
    </row>
    <row r="12" customFormat="false" ht="24.95" hidden="false" customHeight="true" outlineLevel="0" collapsed="false">
      <c r="A12" s="0" t="n">
        <v>31</v>
      </c>
      <c r="B12" s="31" t="n">
        <v>38047</v>
      </c>
      <c r="C12" s="32" t="n">
        <v>290400</v>
      </c>
      <c r="D12" s="29" t="s">
        <v>41</v>
      </c>
      <c r="E12" s="33" t="n">
        <f aca="false">IF(D12="totale",(C12/(A12*24))/F12,IF(D12="marché libre",(C12/(A12*24))/G12,"spécifier histo"))</f>
        <v>0.37173579109063</v>
      </c>
      <c r="F12" s="9" t="n">
        <v>1050</v>
      </c>
      <c r="G12" s="9" t="n">
        <f aca="false">F12-H12</f>
        <v>1050</v>
      </c>
      <c r="H12" s="9" t="n">
        <f aca="false">0</f>
        <v>0</v>
      </c>
      <c r="I12" s="9"/>
      <c r="J12" s="30"/>
    </row>
    <row r="13" customFormat="false" ht="24.95" hidden="false" customHeight="true" outlineLevel="0" collapsed="false">
      <c r="A13" s="0" t="n">
        <v>30</v>
      </c>
      <c r="B13" s="34" t="n">
        <v>38078</v>
      </c>
      <c r="C13" s="32" t="n">
        <v>257400</v>
      </c>
      <c r="D13" s="29" t="s">
        <v>41</v>
      </c>
      <c r="E13" s="33" t="n">
        <f aca="false">IF(D13="totale",(C13/(A13*24))/F13,IF(D13="marché libre",(C13/(A13*24))/G13,"spécifier histo"))</f>
        <v>0.34047619047619</v>
      </c>
      <c r="F13" s="9" t="n">
        <v>1050</v>
      </c>
      <c r="G13" s="9" t="n">
        <f aca="false">F13-H13</f>
        <v>1050</v>
      </c>
      <c r="H13" s="9" t="n">
        <f aca="false">0</f>
        <v>0</v>
      </c>
      <c r="I13" s="9"/>
      <c r="J13" s="30"/>
    </row>
    <row r="14" customFormat="false" ht="24.95" hidden="false" customHeight="true" outlineLevel="0" collapsed="false">
      <c r="A14" s="0" t="n">
        <v>31</v>
      </c>
      <c r="B14" s="31" t="n">
        <v>38108</v>
      </c>
      <c r="C14" s="32" t="n">
        <v>142800</v>
      </c>
      <c r="D14" s="29" t="s">
        <v>41</v>
      </c>
      <c r="E14" s="33" t="n">
        <f aca="false">IF(D14="totale",(C14/(A14*24))/F14,IF(D14="marché libre",(C14/(A14*24))/G14,"spécifier histo"))</f>
        <v>0.182795698924731</v>
      </c>
      <c r="F14" s="9" t="n">
        <v>1050</v>
      </c>
      <c r="G14" s="9" t="n">
        <f aca="false">F14-H14</f>
        <v>1050</v>
      </c>
      <c r="H14" s="9" t="n">
        <f aca="false">0</f>
        <v>0</v>
      </c>
      <c r="I14" s="9"/>
      <c r="J14" s="30"/>
    </row>
    <row r="15" customFormat="false" ht="24.95" hidden="false" customHeight="true" outlineLevel="0" collapsed="false">
      <c r="A15" s="0" t="n">
        <v>30</v>
      </c>
      <c r="B15" s="34" t="n">
        <v>38139</v>
      </c>
      <c r="C15" s="32" t="n">
        <v>0</v>
      </c>
      <c r="D15" s="29" t="s">
        <v>41</v>
      </c>
      <c r="E15" s="33" t="n">
        <f aca="false">IF(D15="totale",(C15/(A15*24))/F15,IF(D15="marché libre",(C15/(A15*24))/G15,"spécifier histo"))</f>
        <v>0</v>
      </c>
      <c r="F15" s="9" t="n">
        <v>1050</v>
      </c>
      <c r="G15" s="9" t="n">
        <f aca="false">F15-H15</f>
        <v>1050</v>
      </c>
      <c r="H15" s="9" t="n">
        <f aca="false">0</f>
        <v>0</v>
      </c>
      <c r="I15" s="9"/>
      <c r="J15" s="30"/>
    </row>
    <row r="16" customFormat="false" ht="24.95" hidden="false" customHeight="true" outlineLevel="0" collapsed="false">
      <c r="A16" s="0" t="n">
        <v>31</v>
      </c>
      <c r="B16" s="31" t="n">
        <v>38169</v>
      </c>
      <c r="C16" s="32" t="n">
        <v>43800</v>
      </c>
      <c r="D16" s="29" t="s">
        <v>41</v>
      </c>
      <c r="E16" s="33" t="n">
        <f aca="false">IF(D16="totale",(C16/(A16*24))/F16,IF(D16="marché libre",(C16/(A16*24))/G16,"spécifier histo"))</f>
        <v>0.0560675883256528</v>
      </c>
      <c r="F16" s="9" t="n">
        <v>1050</v>
      </c>
      <c r="G16" s="9" t="n">
        <f aca="false">F16-H16</f>
        <v>1050</v>
      </c>
      <c r="H16" s="9" t="n">
        <f aca="false">0</f>
        <v>0</v>
      </c>
      <c r="I16" s="9"/>
      <c r="J16" s="30"/>
    </row>
    <row r="17" customFormat="false" ht="24.95" hidden="false" customHeight="true" outlineLevel="0" collapsed="false">
      <c r="A17" s="0" t="n">
        <v>31</v>
      </c>
      <c r="B17" s="34" t="n">
        <v>38200</v>
      </c>
      <c r="C17" s="32" t="n">
        <v>10800</v>
      </c>
      <c r="D17" s="29" t="s">
        <v>41</v>
      </c>
      <c r="E17" s="33" t="n">
        <f aca="false">IF(D17="totale",(C17/(A17*24))/F17,IF(D17="marché libre",(C17/(A17*24))/G17,"spécifier histo"))</f>
        <v>0.0138248847926267</v>
      </c>
      <c r="F17" s="9" t="n">
        <v>1050</v>
      </c>
      <c r="G17" s="9" t="n">
        <f aca="false">F17-H17</f>
        <v>1050</v>
      </c>
      <c r="H17" s="9" t="n">
        <f aca="false">0</f>
        <v>0</v>
      </c>
      <c r="I17" s="9"/>
      <c r="J17" s="30"/>
    </row>
    <row r="18" customFormat="false" ht="24.95" hidden="false" customHeight="true" outlineLevel="0" collapsed="false">
      <c r="A18" s="0" t="n">
        <v>30</v>
      </c>
      <c r="B18" s="31" t="n">
        <v>38231</v>
      </c>
      <c r="C18" s="32" t="n">
        <v>0</v>
      </c>
      <c r="D18" s="29" t="s">
        <v>41</v>
      </c>
      <c r="E18" s="33" t="n">
        <f aca="false">IF(D18="totale",(C18/(A18*24))/F18,IF(D18="marché libre",(C18/(A18*24))/G18,"spécifier histo"))</f>
        <v>0</v>
      </c>
      <c r="F18" s="9" t="n">
        <v>1050</v>
      </c>
      <c r="G18" s="9" t="n">
        <f aca="false">F18-H18</f>
        <v>1050</v>
      </c>
      <c r="H18" s="9" t="n">
        <f aca="false">0</f>
        <v>0</v>
      </c>
      <c r="I18" s="9"/>
      <c r="J18" s="30"/>
    </row>
    <row r="19" customFormat="false" ht="24.95" hidden="false" customHeight="true" outlineLevel="0" collapsed="false">
      <c r="A19" s="0" t="n">
        <v>31</v>
      </c>
      <c r="B19" s="34" t="n">
        <v>38261</v>
      </c>
      <c r="C19" s="32" t="n">
        <v>59100</v>
      </c>
      <c r="D19" s="29" t="s">
        <v>41</v>
      </c>
      <c r="E19" s="33" t="n">
        <f aca="false">IF(D19="totale",(C19/(A19*24))/F19,IF(D19="marché libre",(C19/(A19*24))/G19,"spécifier histo"))</f>
        <v>0.075652841781874</v>
      </c>
      <c r="F19" s="9" t="n">
        <v>1050</v>
      </c>
      <c r="G19" s="9" t="n">
        <f aca="false">F19-H19</f>
        <v>1050</v>
      </c>
      <c r="H19" s="9" t="n">
        <f aca="false">0</f>
        <v>0</v>
      </c>
      <c r="I19" s="9"/>
      <c r="J19" s="30"/>
    </row>
    <row r="20" customFormat="false" ht="24.95" hidden="false" customHeight="true" outlineLevel="0" collapsed="false">
      <c r="A20" s="0" t="n">
        <v>30</v>
      </c>
      <c r="B20" s="31" t="n">
        <v>38292</v>
      </c>
      <c r="C20" s="32" t="n">
        <v>46500</v>
      </c>
      <c r="D20" s="29" t="s">
        <v>41</v>
      </c>
      <c r="E20" s="33" t="n">
        <f aca="false">IF(D20="totale",(C20/(A20*24))/F20,IF(D20="marché libre",(C20/(A20*24))/G20,"spécifier histo"))</f>
        <v>0.0615079365079365</v>
      </c>
      <c r="F20" s="9" t="n">
        <v>1050</v>
      </c>
      <c r="G20" s="9" t="n">
        <f aca="false">F20-H20</f>
        <v>1050</v>
      </c>
      <c r="H20" s="9" t="n">
        <f aca="false">0</f>
        <v>0</v>
      </c>
      <c r="I20" s="9"/>
      <c r="J20" s="30"/>
    </row>
    <row r="21" customFormat="false" ht="24.95" hidden="false" customHeight="true" outlineLevel="0" collapsed="false">
      <c r="A21" s="0" t="n">
        <v>31</v>
      </c>
      <c r="B21" s="34" t="n">
        <v>38322</v>
      </c>
      <c r="C21" s="32" t="n">
        <v>249300</v>
      </c>
      <c r="D21" s="29" t="s">
        <v>41</v>
      </c>
      <c r="E21" s="33" t="n">
        <f aca="false">IF(D21="totale",(C21/(A21*24))/F21,IF(D21="marché libre",(C21/(A21*24))/G21,"spécifier histo"))</f>
        <v>0.319124423963134</v>
      </c>
      <c r="F21" s="9" t="n">
        <v>1050</v>
      </c>
      <c r="G21" s="9" t="n">
        <f aca="false">F21-H21</f>
        <v>1050</v>
      </c>
      <c r="H21" s="9" t="n">
        <f aca="false">0</f>
        <v>0</v>
      </c>
      <c r="I21" s="9"/>
      <c r="J21" s="30"/>
    </row>
    <row r="22" customFormat="false" ht="24.95" hidden="false" customHeight="true" outlineLevel="0" collapsed="false">
      <c r="A22" s="0" t="n">
        <v>31</v>
      </c>
      <c r="B22" s="31" t="n">
        <v>38353</v>
      </c>
      <c r="C22" s="32" t="n">
        <v>334500</v>
      </c>
      <c r="D22" s="29" t="s">
        <v>41</v>
      </c>
      <c r="E22" s="33" t="n">
        <f aca="false">IF(D22="totale",(C22/(A22*24))/F22,IF(D22="marché libre",(C22/(A22*24))/G22,"spécifier histo"))</f>
        <v>0.428187403993856</v>
      </c>
      <c r="F22" s="9" t="n">
        <v>1050</v>
      </c>
      <c r="G22" s="9" t="n">
        <f aca="false">F22-H22</f>
        <v>1050</v>
      </c>
      <c r="H22" s="9" t="n">
        <f aca="false">0</f>
        <v>0</v>
      </c>
      <c r="I22" s="9"/>
      <c r="J22" s="30"/>
    </row>
    <row r="23" customFormat="false" ht="24.95" hidden="false" customHeight="true" outlineLevel="0" collapsed="false">
      <c r="A23" s="0" t="n">
        <v>28</v>
      </c>
      <c r="B23" s="34" t="n">
        <v>38384</v>
      </c>
      <c r="C23" s="32" t="n">
        <v>331500</v>
      </c>
      <c r="D23" s="29" t="s">
        <v>41</v>
      </c>
      <c r="E23" s="33" t="n">
        <f aca="false">IF(D23="totale",(C23/(A23*24))/F23,IF(D23="marché libre",(C23/(A23*24))/G23,"spécifier histo"))</f>
        <v>0.469812925170068</v>
      </c>
      <c r="F23" s="9" t="n">
        <v>1050</v>
      </c>
      <c r="G23" s="9" t="n">
        <f aca="false">F23-H23</f>
        <v>1050</v>
      </c>
      <c r="H23" s="9" t="n">
        <f aca="false">0</f>
        <v>0</v>
      </c>
      <c r="I23" s="9"/>
      <c r="J23" s="30"/>
    </row>
    <row r="24" customFormat="false" ht="24.95" hidden="false" customHeight="true" outlineLevel="0" collapsed="false">
      <c r="A24" s="0" t="n">
        <v>31</v>
      </c>
      <c r="B24" s="31" t="n">
        <v>38412</v>
      </c>
      <c r="C24" s="32" t="n">
        <v>296700</v>
      </c>
      <c r="D24" s="29" t="s">
        <v>41</v>
      </c>
      <c r="E24" s="33" t="n">
        <f aca="false">IF(D24="totale",(C24/(A24*24))/F24,IF(D24="marché libre",(C24/(A24*24))/G24,"spécifier histo"))</f>
        <v>0.379800307219662</v>
      </c>
      <c r="F24" s="9" t="n">
        <v>1050</v>
      </c>
      <c r="G24" s="9" t="n">
        <f aca="false">F24-H24</f>
        <v>1050</v>
      </c>
      <c r="H24" s="9" t="n">
        <f aca="false">0</f>
        <v>0</v>
      </c>
      <c r="I24" s="9"/>
      <c r="J24" s="30"/>
    </row>
    <row r="25" customFormat="false" ht="24.95" hidden="false" customHeight="true" outlineLevel="0" collapsed="false">
      <c r="A25" s="0" t="n">
        <v>30</v>
      </c>
      <c r="B25" s="34" t="n">
        <v>38443</v>
      </c>
      <c r="C25" s="32" t="n">
        <v>180300</v>
      </c>
      <c r="D25" s="29" t="s">
        <v>41</v>
      </c>
      <c r="E25" s="33" t="n">
        <f aca="false">IF(D25="totale",(C25/(A25*24))/F25,IF(D25="marché libre",(C25/(A25*24))/G25,"spécifier histo"))</f>
        <v>0.238492063492063</v>
      </c>
      <c r="F25" s="9" t="n">
        <v>1050</v>
      </c>
      <c r="G25" s="9" t="n">
        <f aca="false">F25-H25</f>
        <v>1050</v>
      </c>
      <c r="H25" s="9" t="n">
        <f aca="false">0</f>
        <v>0</v>
      </c>
      <c r="I25" s="9"/>
      <c r="J25" s="30"/>
    </row>
    <row r="26" customFormat="false" ht="24.95" hidden="false" customHeight="true" outlineLevel="0" collapsed="false">
      <c r="A26" s="0" t="n">
        <v>31</v>
      </c>
      <c r="B26" s="31" t="n">
        <v>38473</v>
      </c>
      <c r="C26" s="32" t="n">
        <v>149100</v>
      </c>
      <c r="D26" s="29" t="s">
        <v>41</v>
      </c>
      <c r="E26" s="33" t="n">
        <f aca="false">IF(D26="totale",(C26/(A26*24))/F26,IF(D26="marché libre",(C26/(A26*24))/G26,"spécifier histo"))</f>
        <v>0.190860215053763</v>
      </c>
      <c r="F26" s="9" t="n">
        <v>1050</v>
      </c>
      <c r="G26" s="9" t="n">
        <f aca="false">F26-H26</f>
        <v>1050</v>
      </c>
      <c r="H26" s="9" t="n">
        <f aca="false">0</f>
        <v>0</v>
      </c>
      <c r="I26" s="9"/>
      <c r="J26" s="30"/>
    </row>
    <row r="27" customFormat="false" ht="24.95" hidden="false" customHeight="true" outlineLevel="0" collapsed="false">
      <c r="A27" s="0" t="n">
        <v>30</v>
      </c>
      <c r="B27" s="34" t="n">
        <v>38504</v>
      </c>
      <c r="C27" s="32" t="n">
        <v>21900</v>
      </c>
      <c r="D27" s="29" t="s">
        <v>41</v>
      </c>
      <c r="E27" s="33" t="n">
        <f aca="false">IF(D27="totale",(C27/(A27*24))/F27,IF(D27="marché libre",(C27/(A27*24))/G27,"spécifier histo"))</f>
        <v>0.028968253968254</v>
      </c>
      <c r="F27" s="9" t="n">
        <v>1050</v>
      </c>
      <c r="G27" s="9" t="n">
        <f aca="false">F27-H27</f>
        <v>1050</v>
      </c>
      <c r="H27" s="9" t="n">
        <f aca="false">0</f>
        <v>0</v>
      </c>
      <c r="I27" s="9"/>
      <c r="J27" s="30"/>
    </row>
    <row r="28" customFormat="false" ht="24.95" hidden="false" customHeight="true" outlineLevel="0" collapsed="false">
      <c r="A28" s="0" t="n">
        <v>31</v>
      </c>
      <c r="B28" s="31" t="n">
        <v>38534</v>
      </c>
      <c r="C28" s="32" t="n">
        <v>2700</v>
      </c>
      <c r="D28" s="29" t="s">
        <v>41</v>
      </c>
      <c r="E28" s="33" t="n">
        <f aca="false">IF(D28="totale",(C28/(A28*24))/F28,IF(D28="marché libre",(C28/(A28*24))/G28,"spécifier histo"))</f>
        <v>0.00345622119815668</v>
      </c>
      <c r="F28" s="9" t="n">
        <v>1050</v>
      </c>
      <c r="G28" s="9" t="n">
        <f aca="false">F28-H28</f>
        <v>1050</v>
      </c>
      <c r="H28" s="9" t="n">
        <f aca="false">0</f>
        <v>0</v>
      </c>
      <c r="I28" s="9"/>
      <c r="J28" s="30"/>
    </row>
    <row r="29" customFormat="false" ht="24.95" hidden="false" customHeight="true" outlineLevel="0" collapsed="false">
      <c r="A29" s="0" t="n">
        <v>31</v>
      </c>
      <c r="B29" s="34" t="n">
        <v>38565</v>
      </c>
      <c r="C29" s="32" t="n">
        <v>0</v>
      </c>
      <c r="D29" s="29" t="s">
        <v>41</v>
      </c>
      <c r="E29" s="33" t="n">
        <f aca="false">IF(D29="totale",(C29/(A29*24))/F29,IF(D29="marché libre",(C29/(A29*24))/G29,"spécifier histo"))</f>
        <v>0</v>
      </c>
      <c r="F29" s="9" t="n">
        <v>1050</v>
      </c>
      <c r="G29" s="9" t="n">
        <f aca="false">F29-H29</f>
        <v>1050</v>
      </c>
      <c r="H29" s="9" t="n">
        <f aca="false">0</f>
        <v>0</v>
      </c>
      <c r="I29" s="9"/>
      <c r="J29" s="30"/>
    </row>
    <row r="30" customFormat="false" ht="24.95" hidden="false" customHeight="true" outlineLevel="0" collapsed="false">
      <c r="A30" s="0" t="n">
        <v>30</v>
      </c>
      <c r="B30" s="31" t="n">
        <v>38596</v>
      </c>
      <c r="C30" s="32" t="n">
        <v>0</v>
      </c>
      <c r="D30" s="29" t="s">
        <v>41</v>
      </c>
      <c r="E30" s="33" t="n">
        <f aca="false">IF(D30="totale",(C30/(A30*24))/F30,IF(D30="marché libre",(C30/(A30*24))/G30,"spécifier histo"))</f>
        <v>0</v>
      </c>
      <c r="F30" s="9" t="n">
        <v>1050</v>
      </c>
      <c r="G30" s="9" t="n">
        <f aca="false">F30-H30</f>
        <v>1050</v>
      </c>
      <c r="H30" s="9" t="n">
        <f aca="false">0</f>
        <v>0</v>
      </c>
      <c r="I30" s="9"/>
      <c r="J30" s="30"/>
    </row>
    <row r="31" customFormat="false" ht="24.95" hidden="false" customHeight="true" outlineLevel="0" collapsed="false">
      <c r="A31" s="0" t="n">
        <v>31</v>
      </c>
      <c r="B31" s="34" t="n">
        <v>38626</v>
      </c>
      <c r="C31" s="32" t="n">
        <v>26700</v>
      </c>
      <c r="D31" s="29" t="s">
        <v>41</v>
      </c>
      <c r="E31" s="33" t="n">
        <f aca="false">IF(D31="totale",(C31/(A31*24))/F31,IF(D31="marché libre",(C31/(A31*24))/G31,"spécifier histo"))</f>
        <v>0.0341781874039939</v>
      </c>
      <c r="F31" s="9" t="n">
        <v>1050</v>
      </c>
      <c r="G31" s="9" t="n">
        <f aca="false">F31-H31</f>
        <v>1050</v>
      </c>
      <c r="H31" s="9" t="n">
        <f aca="false">0</f>
        <v>0</v>
      </c>
      <c r="I31" s="9"/>
      <c r="J31" s="30"/>
    </row>
    <row r="32" customFormat="false" ht="24.95" hidden="false" customHeight="true" outlineLevel="0" collapsed="false">
      <c r="A32" s="0" t="n">
        <v>30</v>
      </c>
      <c r="B32" s="31" t="n">
        <v>38657</v>
      </c>
      <c r="C32" s="32" t="n">
        <v>134100</v>
      </c>
      <c r="D32" s="29" t="s">
        <v>41</v>
      </c>
      <c r="E32" s="33" t="n">
        <f aca="false">IF(D32="totale",(C32/(A32*24))/F32,IF(D32="marché libre",(C32/(A32*24))/G32,"spécifier histo"))</f>
        <v>0.177380952380952</v>
      </c>
      <c r="F32" s="9" t="n">
        <v>1050</v>
      </c>
      <c r="G32" s="9" t="n">
        <f aca="false">F32-H32</f>
        <v>1050</v>
      </c>
      <c r="H32" s="9" t="n">
        <f aca="false">0</f>
        <v>0</v>
      </c>
      <c r="I32" s="9"/>
      <c r="J32" s="30"/>
    </row>
    <row r="33" customFormat="false" ht="24.95" hidden="false" customHeight="true" outlineLevel="0" collapsed="false">
      <c r="A33" s="0" t="n">
        <v>31</v>
      </c>
      <c r="B33" s="34" t="n">
        <v>38687</v>
      </c>
      <c r="C33" s="32" t="n">
        <v>138300</v>
      </c>
      <c r="D33" s="29" t="s">
        <v>41</v>
      </c>
      <c r="E33" s="33" t="n">
        <f aca="false">IF(D33="totale",(C33/(A33*24))/F33,IF(D33="marché libre",(C33/(A33*24))/G33,"spécifier histo"))</f>
        <v>0.177035330261137</v>
      </c>
      <c r="F33" s="9" t="n">
        <v>1050</v>
      </c>
      <c r="G33" s="9" t="n">
        <f aca="false">F33-H33</f>
        <v>1050</v>
      </c>
      <c r="H33" s="9" t="n">
        <f aca="false">0</f>
        <v>0</v>
      </c>
      <c r="I33" s="9"/>
      <c r="J33" s="30"/>
    </row>
    <row r="34" customFormat="false" ht="24.95" hidden="false" customHeight="true" outlineLevel="0" collapsed="false">
      <c r="A34" s="0" t="n">
        <v>31</v>
      </c>
      <c r="B34" s="31" t="n">
        <v>38718</v>
      </c>
      <c r="C34" s="32" t="n">
        <v>230100</v>
      </c>
      <c r="D34" s="29" t="s">
        <v>41</v>
      </c>
      <c r="E34" s="33" t="n">
        <f aca="false">IF(D34="totale",(C34/(A34*24))/F34,IF(D34="marché libre",(C34/(A34*24))/G34,"spécifier histo"))</f>
        <v>0.294546850998464</v>
      </c>
      <c r="F34" s="9" t="n">
        <v>1050</v>
      </c>
      <c r="G34" s="9" t="n">
        <f aca="false">F34-H34</f>
        <v>1050</v>
      </c>
      <c r="H34" s="9" t="n">
        <f aca="false">0</f>
        <v>0</v>
      </c>
      <c r="I34" s="9"/>
      <c r="J34" s="30"/>
    </row>
    <row r="35" customFormat="false" ht="24.95" hidden="false" customHeight="true" outlineLevel="0" collapsed="false">
      <c r="A35" s="0" t="n">
        <v>28</v>
      </c>
      <c r="B35" s="34" t="n">
        <v>38749</v>
      </c>
      <c r="C35" s="32" t="n">
        <v>269400</v>
      </c>
      <c r="D35" s="29" t="s">
        <v>41</v>
      </c>
      <c r="E35" s="33" t="n">
        <f aca="false">IF(D35="totale",(C35/(A35*24))/F35,IF(D35="marché libre",(C35/(A35*24))/G35,"spécifier histo"))</f>
        <v>0.381802721088435</v>
      </c>
      <c r="F35" s="9" t="n">
        <v>1050</v>
      </c>
      <c r="G35" s="9" t="n">
        <f aca="false">F35-H35</f>
        <v>1050</v>
      </c>
      <c r="H35" s="9" t="n">
        <f aca="false">0</f>
        <v>0</v>
      </c>
      <c r="I35" s="9"/>
      <c r="J35" s="30"/>
    </row>
    <row r="36" customFormat="false" ht="24.95" hidden="false" customHeight="true" outlineLevel="0" collapsed="false">
      <c r="A36" s="0" t="n">
        <v>31</v>
      </c>
      <c r="B36" s="31" t="n">
        <v>38777</v>
      </c>
      <c r="C36" s="32" t="n">
        <v>610200</v>
      </c>
      <c r="D36" s="29" t="s">
        <v>41</v>
      </c>
      <c r="E36" s="33" t="n">
        <f aca="false">IF(D36="totale",(C36/(A36*24))/F36,IF(D36="marché libre",(C36/(A36*24))/G36,"spécifier histo"))</f>
        <v>0.78110599078341</v>
      </c>
      <c r="F36" s="9" t="n">
        <v>1050</v>
      </c>
      <c r="G36" s="9" t="n">
        <f aca="false">F36-H36</f>
        <v>1050</v>
      </c>
      <c r="H36" s="9" t="n">
        <f aca="false">0</f>
        <v>0</v>
      </c>
      <c r="I36" s="9"/>
      <c r="J36" s="30"/>
    </row>
    <row r="37" customFormat="false" ht="24.95" hidden="false" customHeight="true" outlineLevel="0" collapsed="false">
      <c r="A37" s="0" t="n">
        <v>30</v>
      </c>
      <c r="B37" s="34" t="n">
        <v>38808</v>
      </c>
      <c r="C37" s="32" t="n">
        <v>260100</v>
      </c>
      <c r="D37" s="29" t="s">
        <v>41</v>
      </c>
      <c r="E37" s="33" t="n">
        <f aca="false">IF(D37="totale",(C37/(A37*24))/F37,IF(D37="marché libre",(C37/(A37*24))/G37,"spécifier histo"))</f>
        <v>0.344047619047619</v>
      </c>
      <c r="F37" s="9" t="n">
        <v>1050</v>
      </c>
      <c r="G37" s="9" t="n">
        <f aca="false">F37-H37</f>
        <v>1050</v>
      </c>
      <c r="H37" s="9" t="n">
        <f aca="false">0</f>
        <v>0</v>
      </c>
      <c r="I37" s="9"/>
      <c r="J37" s="30"/>
    </row>
    <row r="38" customFormat="false" ht="24.95" hidden="false" customHeight="true" outlineLevel="0" collapsed="false">
      <c r="A38" s="0" t="n">
        <v>31</v>
      </c>
      <c r="B38" s="31" t="n">
        <v>38838</v>
      </c>
      <c r="C38" s="32" t="n">
        <v>134100</v>
      </c>
      <c r="D38" s="29" t="s">
        <v>41</v>
      </c>
      <c r="E38" s="33" t="n">
        <f aca="false">IF(D38="totale",(C38/(A38*24))/F38,IF(D38="marché libre",(C38/(A38*24))/G38,"spécifier histo"))</f>
        <v>0.171658986175115</v>
      </c>
      <c r="F38" s="9" t="n">
        <v>1050</v>
      </c>
      <c r="G38" s="9" t="n">
        <f aca="false">F38-H38</f>
        <v>1050</v>
      </c>
      <c r="H38" s="9" t="n">
        <f aca="false">0</f>
        <v>0</v>
      </c>
      <c r="I38" s="9"/>
      <c r="J38" s="30"/>
    </row>
    <row r="39" customFormat="false" ht="24.95" hidden="false" customHeight="true" outlineLevel="0" collapsed="false">
      <c r="A39" s="0" t="n">
        <v>30</v>
      </c>
      <c r="B39" s="34" t="n">
        <v>38869</v>
      </c>
      <c r="C39" s="32" t="n">
        <v>36000</v>
      </c>
      <c r="D39" s="29" t="s">
        <v>41</v>
      </c>
      <c r="E39" s="33" t="n">
        <f aca="false">IF(D39="totale",(C39/(A39*24))/F39,IF(D39="marché libre",(C39/(A39*24))/G39,"spécifier histo"))</f>
        <v>0.0476190476190476</v>
      </c>
      <c r="F39" s="9" t="n">
        <v>1050</v>
      </c>
      <c r="G39" s="9" t="n">
        <f aca="false">F39-H39</f>
        <v>1050</v>
      </c>
      <c r="H39" s="9" t="n">
        <f aca="false">0</f>
        <v>0</v>
      </c>
      <c r="I39" s="9"/>
      <c r="J39" s="30"/>
    </row>
    <row r="40" customFormat="false" ht="24.95" hidden="false" customHeight="true" outlineLevel="0" collapsed="false">
      <c r="A40" s="0" t="n">
        <v>31</v>
      </c>
      <c r="B40" s="31" t="n">
        <v>38899</v>
      </c>
      <c r="C40" s="32" t="n">
        <v>0</v>
      </c>
      <c r="D40" s="29" t="s">
        <v>41</v>
      </c>
      <c r="E40" s="33" t="n">
        <f aca="false">IF(D40="totale",(C40/(A40*24))/F40,IF(D40="marché libre",(C40/(A40*24))/G40,"spécifier histo"))</f>
        <v>0</v>
      </c>
      <c r="F40" s="9" t="n">
        <v>1050</v>
      </c>
      <c r="G40" s="9" t="n">
        <f aca="false">F40-H40</f>
        <v>1050</v>
      </c>
      <c r="H40" s="9" t="n">
        <f aca="false">0</f>
        <v>0</v>
      </c>
      <c r="I40" s="9"/>
      <c r="J40" s="30"/>
    </row>
    <row r="41" customFormat="false" ht="24.95" hidden="false" customHeight="true" outlineLevel="0" collapsed="false">
      <c r="A41" s="0" t="n">
        <v>31</v>
      </c>
      <c r="B41" s="34" t="n">
        <v>38930</v>
      </c>
      <c r="C41" s="32" t="n">
        <v>0</v>
      </c>
      <c r="D41" s="29" t="s">
        <v>41</v>
      </c>
      <c r="E41" s="33" t="n">
        <f aca="false">IF(D41="totale",(C41/(A41*24))/F41,IF(D41="marché libre",(C41/(A41*24))/G41,"spécifier histo"))</f>
        <v>0</v>
      </c>
      <c r="F41" s="9" t="n">
        <v>1050</v>
      </c>
      <c r="G41" s="9" t="n">
        <f aca="false">F41-H41</f>
        <v>1050</v>
      </c>
      <c r="H41" s="9" t="n">
        <f aca="false">0</f>
        <v>0</v>
      </c>
      <c r="I41" s="9"/>
      <c r="J41" s="30"/>
    </row>
    <row r="42" customFormat="false" ht="24.95" hidden="false" customHeight="true" outlineLevel="0" collapsed="false">
      <c r="A42" s="0" t="n">
        <v>30</v>
      </c>
      <c r="B42" s="31" t="n">
        <v>38961</v>
      </c>
      <c r="C42" s="32" t="n">
        <v>0</v>
      </c>
      <c r="D42" s="29" t="s">
        <v>41</v>
      </c>
      <c r="E42" s="33" t="n">
        <f aca="false">IF(D42="totale",(C42/(A42*24))/F42,IF(D42="marché libre",(C42/(A42*24))/G42,"spécifier histo"))</f>
        <v>0</v>
      </c>
      <c r="F42" s="9" t="n">
        <v>1050</v>
      </c>
      <c r="G42" s="9" t="n">
        <f aca="false">F42-H42</f>
        <v>1050</v>
      </c>
      <c r="H42" s="9" t="n">
        <f aca="false">0</f>
        <v>0</v>
      </c>
      <c r="I42" s="9"/>
      <c r="J42" s="30"/>
    </row>
    <row r="43" customFormat="false" ht="24.95" hidden="false" customHeight="true" outlineLevel="0" collapsed="false">
      <c r="A43" s="0" t="n">
        <v>31</v>
      </c>
      <c r="B43" s="34" t="n">
        <v>38991</v>
      </c>
      <c r="C43" s="32" t="n">
        <v>50100</v>
      </c>
      <c r="D43" s="29" t="s">
        <v>41</v>
      </c>
      <c r="E43" s="33" t="n">
        <f aca="false">IF(D43="totale",(C43/(A43*24))/F43,IF(D43="marché libre",(C43/(A43*24))/G43,"spécifier histo"))</f>
        <v>0.0641321044546851</v>
      </c>
      <c r="F43" s="9" t="n">
        <v>1050</v>
      </c>
      <c r="G43" s="9" t="n">
        <f aca="false">F43-H43</f>
        <v>1050</v>
      </c>
      <c r="H43" s="9" t="n">
        <f aca="false">0</f>
        <v>0</v>
      </c>
      <c r="I43" s="9"/>
      <c r="J43" s="30"/>
    </row>
    <row r="44" customFormat="false" ht="24.95" hidden="false" customHeight="true" outlineLevel="0" collapsed="false">
      <c r="A44" s="0" t="n">
        <v>30</v>
      </c>
      <c r="B44" s="31" t="n">
        <v>39022</v>
      </c>
      <c r="C44" s="32" t="n">
        <v>116400</v>
      </c>
      <c r="D44" s="29" t="s">
        <v>41</v>
      </c>
      <c r="E44" s="33" t="n">
        <f aca="false">IF(D44="totale",(C44/(A44*24))/F44,IF(D44="marché libre",(C44/(A44*24))/G44,"spécifier histo"))</f>
        <v>0.153968253968254</v>
      </c>
      <c r="F44" s="9" t="n">
        <v>1050</v>
      </c>
      <c r="G44" s="9" t="n">
        <f aca="false">F44-H44</f>
        <v>1050</v>
      </c>
      <c r="H44" s="9" t="n">
        <f aca="false">0</f>
        <v>0</v>
      </c>
      <c r="I44" s="9"/>
      <c r="J44" s="30"/>
    </row>
    <row r="45" customFormat="false" ht="24.95" hidden="false" customHeight="true" outlineLevel="0" collapsed="false">
      <c r="A45" s="0" t="n">
        <v>31</v>
      </c>
      <c r="B45" s="34" t="n">
        <v>39052</v>
      </c>
      <c r="C45" s="32" t="n">
        <v>474900</v>
      </c>
      <c r="D45" s="29" t="s">
        <v>41</v>
      </c>
      <c r="E45" s="33" t="n">
        <f aca="false">IF(D45="totale",(C45/(A45*24))/F45,IF(D45="marché libre",(C45/(A45*24))/G45,"spécifier histo"))</f>
        <v>0.607910906298003</v>
      </c>
      <c r="F45" s="9" t="n">
        <v>1050</v>
      </c>
      <c r="G45" s="9" t="n">
        <f aca="false">F45-H45</f>
        <v>1050</v>
      </c>
      <c r="H45" s="9" t="n">
        <f aca="false">0</f>
        <v>0</v>
      </c>
      <c r="I45" s="9"/>
      <c r="J45" s="30"/>
    </row>
    <row r="46" customFormat="false" ht="24.95" hidden="false" customHeight="true" outlineLevel="0" collapsed="false">
      <c r="A46" s="0" t="n">
        <v>31</v>
      </c>
      <c r="B46" s="31" t="n">
        <v>39083</v>
      </c>
      <c r="C46" s="32" t="n">
        <v>588400</v>
      </c>
      <c r="D46" s="29" t="s">
        <v>41</v>
      </c>
      <c r="E46" s="33" t="n">
        <f aca="false">IF(D46="totale",(C46/(A46*24))/F46,IF(D46="marché libre",(C46/(A46*24))/G46,"spécifier histo"))</f>
        <v>0.753200204813108</v>
      </c>
      <c r="F46" s="9" t="n">
        <v>1050</v>
      </c>
      <c r="G46" s="9" t="n">
        <f aca="false">F46-H46</f>
        <v>1050</v>
      </c>
      <c r="H46" s="9" t="n">
        <f aca="false">0</f>
        <v>0</v>
      </c>
      <c r="I46" s="9"/>
      <c r="J46" s="30"/>
    </row>
    <row r="47" customFormat="false" ht="24.95" hidden="false" customHeight="true" outlineLevel="0" collapsed="false">
      <c r="A47" s="0" t="n">
        <v>28</v>
      </c>
      <c r="B47" s="34" t="n">
        <v>39114</v>
      </c>
      <c r="C47" s="32" t="n">
        <v>577800</v>
      </c>
      <c r="D47" s="29" t="s">
        <v>41</v>
      </c>
      <c r="E47" s="33" t="n">
        <f aca="false">IF(D47="totale",(C47/(A47*24))/F47,IF(D47="marché libre",(C47/(A47*24))/G47,"spécifier histo"))</f>
        <v>0.818877551020408</v>
      </c>
      <c r="F47" s="9" t="n">
        <v>1050</v>
      </c>
      <c r="G47" s="9" t="n">
        <f aca="false">F47-H47</f>
        <v>1050</v>
      </c>
      <c r="H47" s="9" t="n">
        <f aca="false">0</f>
        <v>0</v>
      </c>
      <c r="I47" s="9"/>
      <c r="J47" s="30"/>
    </row>
    <row r="48" customFormat="false" ht="24.95" hidden="false" customHeight="true" outlineLevel="0" collapsed="false">
      <c r="A48" s="0" t="n">
        <v>31</v>
      </c>
      <c r="B48" s="31" t="n">
        <v>39142</v>
      </c>
      <c r="C48" s="32" t="n">
        <v>583800</v>
      </c>
      <c r="D48" s="29" t="s">
        <v>41</v>
      </c>
      <c r="E48" s="33" t="n">
        <f aca="false">IF(D48="totale",(C48/(A48*24))/F48,IF(D48="marché libre",(C48/(A48*24))/G48,"spécifier histo"))</f>
        <v>0.747311827956989</v>
      </c>
      <c r="F48" s="9" t="n">
        <v>1050</v>
      </c>
      <c r="G48" s="9" t="n">
        <f aca="false">F48-H48</f>
        <v>1050</v>
      </c>
      <c r="H48" s="9" t="n">
        <f aca="false">0</f>
        <v>0</v>
      </c>
      <c r="I48" s="9"/>
      <c r="J48" s="30"/>
    </row>
    <row r="49" customFormat="false" ht="24.95" hidden="false" customHeight="true" outlineLevel="0" collapsed="false">
      <c r="A49" s="0" t="n">
        <v>30</v>
      </c>
      <c r="B49" s="34" t="n">
        <v>39173</v>
      </c>
      <c r="C49" s="32" t="n">
        <v>252900</v>
      </c>
      <c r="D49" s="29" t="s">
        <v>41</v>
      </c>
      <c r="E49" s="33" t="n">
        <f aca="false">IF(D49="totale",(C49/(A49*24))/F49,IF(D49="marché libre",(C49/(A49*24))/G49,"spécifier histo"))</f>
        <v>0.334523809523809</v>
      </c>
      <c r="F49" s="9" t="n">
        <v>1050</v>
      </c>
      <c r="G49" s="9" t="n">
        <f aca="false">F49-H49</f>
        <v>1050</v>
      </c>
      <c r="H49" s="9" t="n">
        <f aca="false">0</f>
        <v>0</v>
      </c>
      <c r="I49" s="9"/>
      <c r="J49" s="30"/>
    </row>
    <row r="50" customFormat="false" ht="24.95" hidden="false" customHeight="true" outlineLevel="0" collapsed="false">
      <c r="A50" s="0" t="n">
        <v>31</v>
      </c>
      <c r="B50" s="31" t="n">
        <v>39203</v>
      </c>
      <c r="C50" s="32" t="n">
        <v>114600</v>
      </c>
      <c r="D50" s="29" t="s">
        <v>41</v>
      </c>
      <c r="E50" s="33" t="n">
        <f aca="false">IF(D50="totale",(C50/(A50*24))/F50,IF(D50="marché libre",(C50/(A50*24))/G50,"spécifier histo"))</f>
        <v>0.146697388632873</v>
      </c>
      <c r="F50" s="9" t="n">
        <v>1050</v>
      </c>
      <c r="G50" s="9" t="n">
        <f aca="false">F50-H50</f>
        <v>1050</v>
      </c>
      <c r="H50" s="9" t="n">
        <f aca="false">0</f>
        <v>0</v>
      </c>
      <c r="I50" s="9"/>
      <c r="J50" s="30"/>
    </row>
    <row r="51" customFormat="false" ht="24.95" hidden="false" customHeight="true" outlineLevel="0" collapsed="false">
      <c r="A51" s="0" t="n">
        <v>30</v>
      </c>
      <c r="B51" s="34" t="n">
        <v>39234</v>
      </c>
      <c r="C51" s="32" t="n">
        <v>208500</v>
      </c>
      <c r="D51" s="29" t="s">
        <v>41</v>
      </c>
      <c r="E51" s="33" t="n">
        <f aca="false">IF(D51="totale",(C51/(A51*24))/F51,IF(D51="marché libre",(C51/(A51*24))/G51,"spécifier histo"))</f>
        <v>0.275793650793651</v>
      </c>
      <c r="F51" s="9" t="n">
        <v>1050</v>
      </c>
      <c r="G51" s="9" t="n">
        <f aca="false">F51-H51</f>
        <v>1050</v>
      </c>
      <c r="H51" s="9" t="n">
        <f aca="false">0</f>
        <v>0</v>
      </c>
      <c r="I51" s="9"/>
      <c r="J51" s="30"/>
    </row>
    <row r="52" customFormat="false" ht="24.95" hidden="false" customHeight="true" outlineLevel="0" collapsed="false">
      <c r="A52" s="0" t="n">
        <v>31</v>
      </c>
      <c r="B52" s="31" t="n">
        <v>39264</v>
      </c>
      <c r="C52" s="32" t="n">
        <v>320400</v>
      </c>
      <c r="D52" s="29" t="s">
        <v>41</v>
      </c>
      <c r="E52" s="33" t="n">
        <f aca="false">IF(D52="totale",(C52/(A52*24))/F52,IF(D52="marché libre",(C52/(A52*24))/G52,"spécifier histo"))</f>
        <v>0.410138248847926</v>
      </c>
      <c r="F52" s="9" t="n">
        <v>1050</v>
      </c>
      <c r="G52" s="9" t="n">
        <f aca="false">F52-H52</f>
        <v>1050</v>
      </c>
      <c r="H52" s="9" t="n">
        <f aca="false">0</f>
        <v>0</v>
      </c>
      <c r="I52" s="9"/>
      <c r="J52" s="30"/>
    </row>
    <row r="53" customFormat="false" ht="24.95" hidden="false" customHeight="true" outlineLevel="0" collapsed="false">
      <c r="A53" s="0" t="n">
        <v>31</v>
      </c>
      <c r="B53" s="34" t="n">
        <v>39295</v>
      </c>
      <c r="C53" s="32" t="n">
        <v>250800</v>
      </c>
      <c r="D53" s="29" t="s">
        <v>41</v>
      </c>
      <c r="E53" s="33" t="n">
        <f aca="false">IF(D53="totale",(C53/(A53*24))/F53,IF(D53="marché libre",(C53/(A53*24))/G53,"spécifier histo"))</f>
        <v>0.321044546850998</v>
      </c>
      <c r="F53" s="9" t="n">
        <v>1050</v>
      </c>
      <c r="G53" s="9" t="n">
        <f aca="false">F53-H53</f>
        <v>1050</v>
      </c>
      <c r="H53" s="9" t="n">
        <f aca="false">0</f>
        <v>0</v>
      </c>
      <c r="I53" s="9"/>
      <c r="J53" s="30"/>
    </row>
    <row r="54" customFormat="false" ht="24.95" hidden="false" customHeight="true" outlineLevel="0" collapsed="false">
      <c r="A54" s="0" t="n">
        <v>30</v>
      </c>
      <c r="B54" s="31" t="n">
        <v>39326</v>
      </c>
      <c r="C54" s="32" t="n">
        <v>110400</v>
      </c>
      <c r="D54" s="29" t="s">
        <v>41</v>
      </c>
      <c r="E54" s="33" t="n">
        <f aca="false">IF(D54="totale",(C54/(A54*24))/F54,IF(D54="marché libre",(C54/(A54*24))/G54,"spécifier histo"))</f>
        <v>0.146031746031746</v>
      </c>
      <c r="F54" s="9" t="n">
        <v>1050</v>
      </c>
      <c r="G54" s="9" t="n">
        <f aca="false">F54-H54</f>
        <v>1050</v>
      </c>
      <c r="H54" s="9" t="n">
        <f aca="false">0</f>
        <v>0</v>
      </c>
      <c r="I54" s="9"/>
      <c r="J54" s="30"/>
    </row>
    <row r="55" customFormat="false" ht="24.95" hidden="false" customHeight="true" outlineLevel="0" collapsed="false">
      <c r="A55" s="0" t="n">
        <v>31</v>
      </c>
      <c r="B55" s="34" t="n">
        <v>39356</v>
      </c>
      <c r="C55" s="32" t="n">
        <v>157800</v>
      </c>
      <c r="D55" s="29" t="s">
        <v>41</v>
      </c>
      <c r="E55" s="33" t="n">
        <f aca="false">IF(D55="totale",(C55/(A55*24))/F55,IF(D55="marché libre",(C55/(A55*24))/G55,"spécifier histo"))</f>
        <v>0.201996927803379</v>
      </c>
      <c r="F55" s="9" t="n">
        <v>1050</v>
      </c>
      <c r="G55" s="9" t="n">
        <f aca="false">F55-H55</f>
        <v>1050</v>
      </c>
      <c r="H55" s="9" t="n">
        <f aca="false">0</f>
        <v>0</v>
      </c>
      <c r="I55" s="9"/>
      <c r="J55" s="30"/>
    </row>
    <row r="56" customFormat="false" ht="24.95" hidden="false" customHeight="true" outlineLevel="0" collapsed="false">
      <c r="A56" s="0" t="n">
        <v>30</v>
      </c>
      <c r="B56" s="31" t="n">
        <v>39387</v>
      </c>
      <c r="C56" s="32" t="n">
        <v>186900</v>
      </c>
      <c r="D56" s="29" t="s">
        <v>41</v>
      </c>
      <c r="E56" s="33" t="n">
        <f aca="false">IF(D56="totale",(C56/(A56*24))/F56,IF(D56="marché libre",(C56/(A56*24))/G56,"spécifier histo"))</f>
        <v>0.247222222222222</v>
      </c>
      <c r="F56" s="9" t="n">
        <v>1050</v>
      </c>
      <c r="G56" s="9" t="n">
        <f aca="false">F56-H56</f>
        <v>1050</v>
      </c>
      <c r="H56" s="9" t="n">
        <f aca="false">0</f>
        <v>0</v>
      </c>
      <c r="I56" s="9"/>
      <c r="J56" s="30"/>
    </row>
    <row r="57" customFormat="false" ht="24.95" hidden="false" customHeight="true" outlineLevel="0" collapsed="false">
      <c r="A57" s="0" t="n">
        <v>31</v>
      </c>
      <c r="B57" s="34" t="n">
        <v>39417</v>
      </c>
      <c r="C57" s="32" t="n">
        <v>452100</v>
      </c>
      <c r="D57" s="29" t="s">
        <v>41</v>
      </c>
      <c r="E57" s="33" t="n">
        <f aca="false">IF(D57="totale",(C57/(A57*24))/F57,IF(D57="marché libre",(C57/(A57*24))/G57,"spécifier histo"))</f>
        <v>0.578725038402458</v>
      </c>
      <c r="F57" s="9" t="n">
        <v>1050</v>
      </c>
      <c r="G57" s="9" t="n">
        <f aca="false">F57-H57</f>
        <v>1050</v>
      </c>
      <c r="H57" s="9" t="n">
        <f aca="false">0</f>
        <v>0</v>
      </c>
      <c r="I57" s="9"/>
      <c r="J57" s="30"/>
    </row>
    <row r="58" customFormat="false" ht="24.95" hidden="false" customHeight="true" outlineLevel="0" collapsed="false">
      <c r="A58" s="0" t="n">
        <v>31</v>
      </c>
      <c r="B58" s="31" t="n">
        <v>39448</v>
      </c>
      <c r="C58" s="32" t="n">
        <v>576600</v>
      </c>
      <c r="D58" s="29" t="s">
        <v>41</v>
      </c>
      <c r="E58" s="33" t="n">
        <f aca="false">IF(D58="totale",(C58/(A58*24))/F58,IF(D58="marché libre",(C58/(A58*24))/G58,"spécifier histo"))</f>
        <v>0.738095238095238</v>
      </c>
      <c r="F58" s="9" t="n">
        <v>1050</v>
      </c>
      <c r="G58" s="9" t="n">
        <f aca="false">F58-H58</f>
        <v>1050</v>
      </c>
      <c r="H58" s="9" t="n">
        <f aca="false">0</f>
        <v>0</v>
      </c>
      <c r="I58" s="9"/>
      <c r="J58" s="30"/>
    </row>
    <row r="59" customFormat="false" ht="24.95" hidden="false" customHeight="true" outlineLevel="0" collapsed="false">
      <c r="A59" s="0" t="n">
        <v>28</v>
      </c>
      <c r="B59" s="34" t="n">
        <v>39479</v>
      </c>
      <c r="C59" s="32" t="n">
        <v>438000</v>
      </c>
      <c r="D59" s="29" t="s">
        <v>41</v>
      </c>
      <c r="E59" s="33" t="n">
        <f aca="false">IF(D59="totale",(C59/(A59*24))/F59,IF(D59="marché libre",(C59/(A59*24))/G59,"spécifier histo"))</f>
        <v>0.620748299319728</v>
      </c>
      <c r="F59" s="9" t="n">
        <v>1050</v>
      </c>
      <c r="G59" s="9" t="n">
        <f aca="false">F59-H59</f>
        <v>1050</v>
      </c>
      <c r="H59" s="9" t="n">
        <f aca="false">0</f>
        <v>0</v>
      </c>
      <c r="I59" s="9"/>
      <c r="J59" s="30"/>
    </row>
    <row r="60" customFormat="false" ht="24.95" hidden="false" customHeight="true" outlineLevel="0" collapsed="false">
      <c r="A60" s="0" t="n">
        <v>31</v>
      </c>
      <c r="B60" s="31" t="n">
        <v>39508</v>
      </c>
      <c r="C60" s="32" t="n">
        <v>584400</v>
      </c>
      <c r="D60" s="29" t="s">
        <v>41</v>
      </c>
      <c r="E60" s="33" t="n">
        <f aca="false">IF(D60="totale",(C60/(A60*24))/F60,IF(D60="marché libre",(C60/(A60*24))/G60,"spécifier histo"))</f>
        <v>0.748079877112135</v>
      </c>
      <c r="F60" s="9" t="n">
        <v>1050</v>
      </c>
      <c r="G60" s="9" t="n">
        <f aca="false">F60-H60</f>
        <v>1050</v>
      </c>
      <c r="H60" s="9" t="n">
        <f aca="false">0</f>
        <v>0</v>
      </c>
      <c r="I60" s="9"/>
      <c r="J60" s="30"/>
    </row>
    <row r="61" customFormat="false" ht="24.95" hidden="false" customHeight="true" outlineLevel="0" collapsed="false">
      <c r="A61" s="0" t="n">
        <v>30</v>
      </c>
      <c r="B61" s="34" t="n">
        <v>39539</v>
      </c>
      <c r="C61" s="32" t="n">
        <v>385500</v>
      </c>
      <c r="D61" s="29" t="s">
        <v>41</v>
      </c>
      <c r="E61" s="33" t="n">
        <f aca="false">IF(D61="totale",(C61/(A61*24))/F61,IF(D61="marché libre",(C61/(A61*24))/G61,"spécifier histo"))</f>
        <v>0.509920634920635</v>
      </c>
      <c r="F61" s="9" t="n">
        <v>1050</v>
      </c>
      <c r="G61" s="9" t="n">
        <f aca="false">F61-H61</f>
        <v>1050</v>
      </c>
      <c r="H61" s="9" t="n">
        <f aca="false">0</f>
        <v>0</v>
      </c>
      <c r="I61" s="9"/>
      <c r="J61" s="30"/>
    </row>
    <row r="62" customFormat="false" ht="24.95" hidden="false" customHeight="true" outlineLevel="0" collapsed="false">
      <c r="A62" s="0" t="n">
        <v>31</v>
      </c>
      <c r="B62" s="31" t="n">
        <v>39569</v>
      </c>
      <c r="C62" s="32" t="n">
        <v>260700</v>
      </c>
      <c r="D62" s="29" t="s">
        <v>41</v>
      </c>
      <c r="E62" s="33" t="n">
        <f aca="false">IF(D62="totale",(C62/(A62*24))/F62,IF(D62="marché libre",(C62/(A62*24))/G62,"spécifier histo"))</f>
        <v>0.333717357910906</v>
      </c>
      <c r="F62" s="9" t="n">
        <v>1050</v>
      </c>
      <c r="G62" s="9" t="n">
        <f aca="false">F62-H62</f>
        <v>1050</v>
      </c>
      <c r="H62" s="9" t="n">
        <f aca="false">0</f>
        <v>0</v>
      </c>
      <c r="I62" s="9"/>
      <c r="J62" s="30"/>
    </row>
    <row r="63" customFormat="false" ht="24.95" hidden="false" customHeight="true" outlineLevel="0" collapsed="false">
      <c r="A63" s="0" t="n">
        <v>30</v>
      </c>
      <c r="B63" s="34" t="n">
        <v>39600</v>
      </c>
      <c r="C63" s="32" t="n">
        <v>185100</v>
      </c>
      <c r="D63" s="29" t="s">
        <v>41</v>
      </c>
      <c r="E63" s="33" t="n">
        <f aca="false">IF(D63="totale",(C63/(A63*24))/F63,IF(D63="marché libre",(C63/(A63*24))/G63,"spécifier histo"))</f>
        <v>0.24484126984127</v>
      </c>
      <c r="F63" s="9" t="n">
        <v>1050</v>
      </c>
      <c r="G63" s="9" t="n">
        <f aca="false">F63-H63</f>
        <v>1050</v>
      </c>
      <c r="H63" s="9" t="n">
        <f aca="false">0</f>
        <v>0</v>
      </c>
      <c r="I63" s="9"/>
      <c r="J63" s="30"/>
    </row>
    <row r="64" customFormat="false" ht="24.95" hidden="false" customHeight="true" outlineLevel="0" collapsed="false">
      <c r="A64" s="0" t="n">
        <v>31</v>
      </c>
      <c r="B64" s="31" t="n">
        <v>39630</v>
      </c>
      <c r="C64" s="32" t="n">
        <v>3600</v>
      </c>
      <c r="D64" s="29" t="s">
        <v>41</v>
      </c>
      <c r="E64" s="33" t="n">
        <f aca="false">IF(D64="totale",(C64/(A64*24))/F64,IF(D64="marché libre",(C64/(A64*24))/G64,"spécifier histo"))</f>
        <v>0.00460829493087558</v>
      </c>
      <c r="F64" s="9" t="n">
        <v>1050</v>
      </c>
      <c r="G64" s="9" t="n">
        <f aca="false">F64-H64</f>
        <v>1050</v>
      </c>
      <c r="H64" s="9" t="n">
        <f aca="false">0</f>
        <v>0</v>
      </c>
      <c r="I64" s="9"/>
      <c r="J64" s="30"/>
    </row>
    <row r="65" customFormat="false" ht="24.95" hidden="false" customHeight="true" outlineLevel="0" collapsed="false">
      <c r="A65" s="0" t="n">
        <v>31</v>
      </c>
      <c r="B65" s="34" t="n">
        <v>39661</v>
      </c>
      <c r="C65" s="32" t="n">
        <v>0</v>
      </c>
      <c r="D65" s="29" t="s">
        <v>41</v>
      </c>
      <c r="E65" s="33" t="n">
        <f aca="false">IF(D65="totale",(C65/(A65*24))/F65,IF(D65="marché libre",(C65/(A65*24))/G65,"spécifier histo"))</f>
        <v>0</v>
      </c>
      <c r="F65" s="9" t="n">
        <v>1050</v>
      </c>
      <c r="G65" s="9" t="n">
        <f aca="false">F65-H65</f>
        <v>1050</v>
      </c>
      <c r="H65" s="9" t="n">
        <f aca="false">0</f>
        <v>0</v>
      </c>
      <c r="I65" s="9"/>
      <c r="J65" s="30"/>
    </row>
    <row r="66" customFormat="false" ht="24.95" hidden="false" customHeight="true" outlineLevel="0" collapsed="false">
      <c r="A66" s="0" t="n">
        <v>30</v>
      </c>
      <c r="B66" s="31" t="n">
        <v>39692</v>
      </c>
      <c r="C66" s="32" t="n">
        <v>0</v>
      </c>
      <c r="D66" s="29" t="s">
        <v>41</v>
      </c>
      <c r="E66" s="33" t="n">
        <f aca="false">IF(D66="totale",(C66/(A66*24))/F66,IF(D66="marché libre",(C66/(A66*24))/G66,"spécifier histo"))</f>
        <v>0</v>
      </c>
      <c r="F66" s="9" t="n">
        <v>1050</v>
      </c>
      <c r="G66" s="9" t="n">
        <f aca="false">F66-H66</f>
        <v>1050</v>
      </c>
      <c r="H66" s="9" t="n">
        <f aca="false">0</f>
        <v>0</v>
      </c>
      <c r="I66" s="9"/>
      <c r="J66" s="30"/>
    </row>
    <row r="67" customFormat="false" ht="24.95" hidden="false" customHeight="true" outlineLevel="0" collapsed="false">
      <c r="A67" s="0" t="n">
        <v>31</v>
      </c>
      <c r="B67" s="34" t="n">
        <v>39722</v>
      </c>
      <c r="C67" s="32" t="n">
        <v>44700</v>
      </c>
      <c r="D67" s="29" t="s">
        <v>41</v>
      </c>
      <c r="E67" s="33" t="n">
        <f aca="false">IF(D67="totale",(C67/(A67*24))/F67,IF(D67="marché libre",(C67/(A67*24))/G67,"spécifier histo"))</f>
        <v>0.0572196620583717</v>
      </c>
      <c r="F67" s="9" t="n">
        <v>1050</v>
      </c>
      <c r="G67" s="9" t="n">
        <f aca="false">F67-H67</f>
        <v>1050</v>
      </c>
      <c r="H67" s="9" t="n">
        <f aca="false">0</f>
        <v>0</v>
      </c>
      <c r="I67" s="9"/>
      <c r="J67" s="30"/>
    </row>
    <row r="68" customFormat="false" ht="24.95" hidden="false" customHeight="true" outlineLevel="0" collapsed="false">
      <c r="A68" s="0" t="n">
        <v>30</v>
      </c>
      <c r="B68" s="31" t="n">
        <v>39753</v>
      </c>
      <c r="C68" s="32" t="n">
        <v>355800</v>
      </c>
      <c r="D68" s="29" t="s">
        <v>41</v>
      </c>
      <c r="E68" s="33" t="n">
        <f aca="false">IF(D68="totale",(C68/(A68*24))/F68,IF(D68="marché libre",(C68/(A68*24))/G68,"spécifier histo"))</f>
        <v>0.470634920634921</v>
      </c>
      <c r="F68" s="9" t="n">
        <v>1050</v>
      </c>
      <c r="G68" s="9" t="n">
        <f aca="false">F68-H68</f>
        <v>1050</v>
      </c>
      <c r="H68" s="9" t="n">
        <f aca="false">0</f>
        <v>0</v>
      </c>
      <c r="I68" s="9"/>
      <c r="J68" s="30"/>
    </row>
    <row r="69" customFormat="false" ht="24.95" hidden="false" customHeight="true" outlineLevel="0" collapsed="false">
      <c r="A69" s="0" t="n">
        <v>31</v>
      </c>
      <c r="B69" s="34" t="n">
        <v>39783</v>
      </c>
      <c r="C69" s="32" t="n">
        <v>552000</v>
      </c>
      <c r="D69" s="29" t="s">
        <v>41</v>
      </c>
      <c r="E69" s="33" t="n">
        <f aca="false">IF(D69="totale",(C69/(A69*24))/F69,IF(D69="marché libre",(C69/(A69*24))/G69,"spécifier histo"))</f>
        <v>0.706605222734255</v>
      </c>
      <c r="F69" s="9" t="n">
        <v>1050</v>
      </c>
      <c r="G69" s="9" t="n">
        <f aca="false">F69-H69</f>
        <v>1050</v>
      </c>
      <c r="H69" s="9" t="n">
        <f aca="false">0</f>
        <v>0</v>
      </c>
      <c r="I69" s="9"/>
      <c r="J69" s="30"/>
    </row>
    <row r="70" customFormat="false" ht="24.95" hidden="false" customHeight="true" outlineLevel="0" collapsed="false">
      <c r="A70" s="0" t="n">
        <v>31</v>
      </c>
      <c r="B70" s="31" t="n">
        <v>39814</v>
      </c>
      <c r="C70" s="32" t="n">
        <v>266400</v>
      </c>
      <c r="D70" s="29" t="s">
        <v>41</v>
      </c>
      <c r="E70" s="33" t="n">
        <f aca="false">IF(D70="totale",(C70/(A70*24))/F70,IF(D70="marché libre",(C70/(A70*24))/G70,"spécifier histo"))</f>
        <v>0.341013824884793</v>
      </c>
      <c r="F70" s="9" t="n">
        <v>1050</v>
      </c>
      <c r="G70" s="9" t="n">
        <f aca="false">F70-H70</f>
        <v>1050</v>
      </c>
      <c r="H70" s="9" t="n">
        <f aca="false">0</f>
        <v>0</v>
      </c>
      <c r="I70" s="9"/>
      <c r="J70" s="30"/>
    </row>
    <row r="71" customFormat="false" ht="24.95" hidden="false" customHeight="true" outlineLevel="0" collapsed="false">
      <c r="A71" s="0" t="n">
        <v>28</v>
      </c>
      <c r="B71" s="34" t="n">
        <v>39845</v>
      </c>
      <c r="C71" s="32" t="n">
        <v>492600</v>
      </c>
      <c r="D71" s="29" t="s">
        <v>41</v>
      </c>
      <c r="E71" s="33" t="n">
        <f aca="false">IF(D71="totale",(C71/(A71*24))/F71,IF(D71="marché libre",(C71/(A71*24))/G71,"spécifier histo"))</f>
        <v>0.69812925170068</v>
      </c>
      <c r="F71" s="9" t="n">
        <v>1050</v>
      </c>
      <c r="G71" s="9" t="n">
        <f aca="false">F71-H71</f>
        <v>1050</v>
      </c>
      <c r="H71" s="9" t="n">
        <f aca="false">0</f>
        <v>0</v>
      </c>
      <c r="I71" s="9"/>
      <c r="J71" s="30"/>
    </row>
    <row r="72" customFormat="false" ht="24.95" hidden="false" customHeight="true" outlineLevel="0" collapsed="false">
      <c r="A72" s="0" t="n">
        <v>31</v>
      </c>
      <c r="B72" s="31" t="n">
        <v>39873</v>
      </c>
      <c r="C72" s="32" t="n">
        <v>290100</v>
      </c>
      <c r="D72" s="29" t="s">
        <v>41</v>
      </c>
      <c r="E72" s="33" t="n">
        <f aca="false">IF(D72="totale",(C72/(A72*24))/F72,IF(D72="marché libre",(C72/(A72*24))/G72,"spécifier histo"))</f>
        <v>0.371351766513057</v>
      </c>
      <c r="F72" s="9" t="n">
        <v>1050</v>
      </c>
      <c r="G72" s="9" t="n">
        <f aca="false">F72-H72</f>
        <v>1050</v>
      </c>
      <c r="H72" s="9" t="n">
        <f aca="false">0</f>
        <v>0</v>
      </c>
      <c r="I72" s="9"/>
      <c r="J72" s="30"/>
    </row>
    <row r="73" customFormat="false" ht="24.95" hidden="false" customHeight="true" outlineLevel="0" collapsed="false">
      <c r="A73" s="0" t="n">
        <v>30</v>
      </c>
      <c r="B73" s="34" t="n">
        <v>39904</v>
      </c>
      <c r="C73" s="32" t="n">
        <v>112800</v>
      </c>
      <c r="D73" s="29" t="s">
        <v>41</v>
      </c>
      <c r="E73" s="33" t="n">
        <f aca="false">IF(D73="totale",(C73/(A73*24))/F73,IF(D73="marché libre",(C73/(A73*24))/G73,"spécifier histo"))</f>
        <v>0.149206349206349</v>
      </c>
      <c r="F73" s="9" t="n">
        <v>1050</v>
      </c>
      <c r="G73" s="9" t="n">
        <f aca="false">F73-H73</f>
        <v>1050</v>
      </c>
      <c r="H73" s="9" t="n">
        <f aca="false">0</f>
        <v>0</v>
      </c>
      <c r="I73" s="9"/>
      <c r="J73" s="30"/>
    </row>
    <row r="74" customFormat="false" ht="24.95" hidden="false" customHeight="true" outlineLevel="0" collapsed="false">
      <c r="A74" s="0" t="n">
        <v>31</v>
      </c>
      <c r="B74" s="31" t="n">
        <v>39934</v>
      </c>
      <c r="C74" s="32" t="n">
        <v>226200</v>
      </c>
      <c r="D74" s="29" t="s">
        <v>41</v>
      </c>
      <c r="E74" s="33" t="n">
        <f aca="false">IF(D74="totale",(C74/(A74*24))/F74,IF(D74="marché libre",(C74/(A74*24))/G74,"spécifier histo"))</f>
        <v>0.289554531490015</v>
      </c>
      <c r="F74" s="9" t="n">
        <v>1050</v>
      </c>
      <c r="G74" s="9" t="n">
        <f aca="false">F74-H74</f>
        <v>1050</v>
      </c>
      <c r="H74" s="9" t="n">
        <f aca="false">0</f>
        <v>0</v>
      </c>
      <c r="I74" s="9"/>
      <c r="J74" s="30"/>
    </row>
    <row r="75" customFormat="false" ht="24.95" hidden="false" customHeight="true" outlineLevel="0" collapsed="false">
      <c r="A75" s="0" t="n">
        <v>30</v>
      </c>
      <c r="B75" s="34" t="n">
        <v>39965</v>
      </c>
      <c r="C75" s="32" t="n">
        <v>83700</v>
      </c>
      <c r="D75" s="29" t="s">
        <v>41</v>
      </c>
      <c r="E75" s="33" t="n">
        <f aca="false">IF(D75="totale",(C75/(A75*24))/F75,IF(D75="marché libre",(C75/(A75*24))/G75,"spécifier histo"))</f>
        <v>0.110714285714286</v>
      </c>
      <c r="F75" s="9" t="n">
        <v>1050</v>
      </c>
      <c r="G75" s="9" t="n">
        <f aca="false">F75-H75</f>
        <v>1050</v>
      </c>
      <c r="H75" s="9" t="n">
        <f aca="false">0</f>
        <v>0</v>
      </c>
      <c r="I75" s="9"/>
      <c r="J75" s="30"/>
    </row>
    <row r="76" customFormat="false" ht="24.95" hidden="false" customHeight="true" outlineLevel="0" collapsed="false">
      <c r="A76" s="0" t="n">
        <v>31</v>
      </c>
      <c r="B76" s="31" t="n">
        <v>39995</v>
      </c>
      <c r="C76" s="32" t="n">
        <v>16800</v>
      </c>
      <c r="D76" s="29" t="s">
        <v>41</v>
      </c>
      <c r="E76" s="33" t="n">
        <f aca="false">IF(D76="totale",(C76/(A76*24))/F76,IF(D76="marché libre",(C76/(A76*24))/G76,"spécifier histo"))</f>
        <v>0.021505376344086</v>
      </c>
      <c r="F76" s="9" t="n">
        <v>1050</v>
      </c>
      <c r="G76" s="9" t="n">
        <f aca="false">F76-H76</f>
        <v>1050</v>
      </c>
      <c r="H76" s="9" t="n">
        <f aca="false">0</f>
        <v>0</v>
      </c>
      <c r="I76" s="9"/>
      <c r="J76" s="30"/>
    </row>
    <row r="77" customFormat="false" ht="24.95" hidden="false" customHeight="true" outlineLevel="0" collapsed="false">
      <c r="A77" s="0" t="n">
        <v>31</v>
      </c>
      <c r="B77" s="34" t="n">
        <v>40026</v>
      </c>
      <c r="C77" s="32" t="n">
        <v>5700</v>
      </c>
      <c r="D77" s="29" t="s">
        <v>41</v>
      </c>
      <c r="E77" s="33" t="n">
        <f aca="false">IF(D77="totale",(C77/(A77*24))/F77,IF(D77="marché libre",(C77/(A77*24))/G77,"spécifier histo"))</f>
        <v>0.00729646697388633</v>
      </c>
      <c r="F77" s="9" t="n">
        <v>1050</v>
      </c>
      <c r="G77" s="9" t="n">
        <f aca="false">F77-H77</f>
        <v>1050</v>
      </c>
      <c r="H77" s="9" t="n">
        <f aca="false">0</f>
        <v>0</v>
      </c>
      <c r="I77" s="9"/>
      <c r="J77" s="30"/>
    </row>
    <row r="78" customFormat="false" ht="24.95" hidden="false" customHeight="true" outlineLevel="0" collapsed="false">
      <c r="A78" s="0" t="n">
        <v>30</v>
      </c>
      <c r="B78" s="31" t="n">
        <v>40057</v>
      </c>
      <c r="C78" s="32" t="n">
        <v>300</v>
      </c>
      <c r="D78" s="29" t="s">
        <v>41</v>
      </c>
      <c r="E78" s="33" t="n">
        <f aca="false">IF(D78="totale",(C78/(A78*24))/F78,IF(D78="marché libre",(C78/(A78*24))/G78,"spécifier histo"))</f>
        <v>0.000396825396825397</v>
      </c>
      <c r="F78" s="9" t="n">
        <v>1050</v>
      </c>
      <c r="G78" s="9" t="n">
        <f aca="false">F78-H78</f>
        <v>1050</v>
      </c>
      <c r="H78" s="9" t="n">
        <f aca="false">0</f>
        <v>0</v>
      </c>
      <c r="I78" s="9"/>
      <c r="J78" s="30"/>
    </row>
    <row r="79" customFormat="false" ht="24.95" hidden="false" customHeight="true" outlineLevel="0" collapsed="false">
      <c r="A79" s="0" t="n">
        <v>31</v>
      </c>
      <c r="B79" s="34" t="n">
        <v>40087</v>
      </c>
      <c r="C79" s="32" t="n">
        <v>1500</v>
      </c>
      <c r="D79" s="29" t="s">
        <v>41</v>
      </c>
      <c r="E79" s="33" t="n">
        <f aca="false">IF(D79="totale",(C79/(A79*24))/F79,IF(D79="marché libre",(C79/(A79*24))/G79,"spécifier histo"))</f>
        <v>0.00192012288786482</v>
      </c>
      <c r="F79" s="9" t="n">
        <v>1050</v>
      </c>
      <c r="G79" s="9" t="n">
        <f aca="false">F79-H79</f>
        <v>1050</v>
      </c>
      <c r="H79" s="9" t="n">
        <f aca="false">0</f>
        <v>0</v>
      </c>
      <c r="I79" s="9"/>
      <c r="J79" s="30"/>
    </row>
    <row r="80" customFormat="false" ht="24.95" hidden="false" customHeight="true" outlineLevel="0" collapsed="false">
      <c r="A80" s="0" t="n">
        <v>30</v>
      </c>
      <c r="B80" s="31" t="n">
        <v>40118</v>
      </c>
      <c r="C80" s="32" t="n">
        <v>200700</v>
      </c>
      <c r="D80" s="29" t="s">
        <v>41</v>
      </c>
      <c r="E80" s="33" t="n">
        <f aca="false">IF(D80="totale",(C80/(A80*24))/F80,IF(D80="marché libre",(C80/(A80*24))/G80,"spécifier histo"))</f>
        <v>0.26547619047619</v>
      </c>
      <c r="F80" s="9" t="n">
        <v>1050</v>
      </c>
      <c r="G80" s="9" t="n">
        <f aca="false">F80-H80</f>
        <v>1050</v>
      </c>
      <c r="H80" s="9" t="n">
        <f aca="false">0</f>
        <v>0</v>
      </c>
      <c r="I80" s="9"/>
      <c r="J80" s="30"/>
    </row>
    <row r="81" customFormat="false" ht="24.95" hidden="false" customHeight="true" outlineLevel="0" collapsed="false">
      <c r="A81" s="0" t="n">
        <v>31</v>
      </c>
      <c r="B81" s="34" t="n">
        <v>40148</v>
      </c>
      <c r="C81" s="32" t="n">
        <v>540600</v>
      </c>
      <c r="D81" s="29" t="s">
        <v>41</v>
      </c>
      <c r="E81" s="33" t="n">
        <f aca="false">IF(D81="totale",(C81/(A81*24))/F81,IF(D81="marché libre",(C81/(A81*24))/G81,"spécifier histo"))</f>
        <v>0.692012288786482</v>
      </c>
      <c r="F81" s="9" t="n">
        <v>1050</v>
      </c>
      <c r="G81" s="9" t="n">
        <f aca="false">F81-H81</f>
        <v>1050</v>
      </c>
      <c r="H81" s="9" t="n">
        <f aca="false">0</f>
        <v>0</v>
      </c>
      <c r="I81" s="9"/>
      <c r="J81" s="30"/>
    </row>
    <row r="82" customFormat="false" ht="24.95" hidden="false" customHeight="true" outlineLevel="0" collapsed="false">
      <c r="A82" s="0" t="n">
        <v>31</v>
      </c>
      <c r="B82" s="31" t="n">
        <v>40179</v>
      </c>
      <c r="C82" s="32" t="n">
        <v>559800</v>
      </c>
      <c r="D82" s="29" t="s">
        <v>41</v>
      </c>
      <c r="E82" s="33" t="n">
        <f aca="false">IF(D82="totale",(C82/(A82*24))/F82,IF(D82="marché libre",(C82/(A82*24))/G82,"spécifier histo"))</f>
        <v>0.716589861751152</v>
      </c>
      <c r="F82" s="9" t="n">
        <v>1050</v>
      </c>
      <c r="G82" s="9" t="n">
        <f aca="false">F82-H82</f>
        <v>1050</v>
      </c>
      <c r="H82" s="9" t="n">
        <f aca="false">0</f>
        <v>0</v>
      </c>
      <c r="I82" s="9"/>
      <c r="J82" s="30"/>
    </row>
    <row r="83" customFormat="false" ht="24.95" hidden="false" customHeight="true" outlineLevel="0" collapsed="false">
      <c r="A83" s="0" t="n">
        <v>28</v>
      </c>
      <c r="B83" s="34" t="n">
        <v>40210</v>
      </c>
      <c r="C83" s="32" t="n">
        <v>450900</v>
      </c>
      <c r="D83" s="29" t="s">
        <v>41</v>
      </c>
      <c r="E83" s="33" t="n">
        <f aca="false">IF(D83="totale",(C83/(A83*24))/F83,IF(D83="marché libre",(C83/(A83*24))/G83,"spécifier histo"))</f>
        <v>0.639030612244898</v>
      </c>
      <c r="F83" s="9" t="n">
        <v>1050</v>
      </c>
      <c r="G83" s="9" t="n">
        <f aca="false">F83-H83</f>
        <v>1050</v>
      </c>
      <c r="H83" s="9" t="n">
        <f aca="false">0</f>
        <v>0</v>
      </c>
      <c r="I83" s="9"/>
      <c r="J83" s="30"/>
    </row>
    <row r="84" customFormat="false" ht="24.95" hidden="false" customHeight="true" outlineLevel="0" collapsed="false">
      <c r="A84" s="0" t="n">
        <v>31</v>
      </c>
      <c r="B84" s="31" t="n">
        <v>40238</v>
      </c>
      <c r="C84" s="32" t="n">
        <v>459600</v>
      </c>
      <c r="D84" s="29" t="s">
        <v>41</v>
      </c>
      <c r="E84" s="33" t="n">
        <f aca="false">IF(D84="totale",(C84/(A84*24))/F84,IF(D84="marché libre",(C84/(A84*24))/G84,"spécifier histo"))</f>
        <v>0.588325652841782</v>
      </c>
      <c r="F84" s="9" t="n">
        <v>1050</v>
      </c>
      <c r="G84" s="9" t="n">
        <f aca="false">F84-H84</f>
        <v>1050</v>
      </c>
      <c r="H84" s="9" t="n">
        <f aca="false">0</f>
        <v>0</v>
      </c>
      <c r="I84" s="9"/>
      <c r="J84" s="30"/>
    </row>
    <row r="85" customFormat="false" ht="24.95" hidden="false" customHeight="true" outlineLevel="0" collapsed="false">
      <c r="A85" s="0" t="n">
        <v>30</v>
      </c>
      <c r="B85" s="34" t="n">
        <v>40269</v>
      </c>
      <c r="C85" s="32" t="n">
        <v>339000</v>
      </c>
      <c r="D85" s="29" t="s">
        <v>41</v>
      </c>
      <c r="E85" s="33" t="n">
        <f aca="false">IF(D85="totale",(C85/(A85*24))/F85,IF(D85="marché libre",(C85/(A85*24))/G85,"spécifier histo"))</f>
        <v>0.448412698412698</v>
      </c>
      <c r="F85" s="9" t="n">
        <v>1050</v>
      </c>
      <c r="G85" s="9" t="n">
        <f aca="false">F85-H85</f>
        <v>1050</v>
      </c>
      <c r="H85" s="9" t="n">
        <f aca="false">0</f>
        <v>0</v>
      </c>
      <c r="I85" s="9"/>
      <c r="J85" s="30"/>
    </row>
    <row r="86" customFormat="false" ht="24.95" hidden="false" customHeight="true" outlineLevel="0" collapsed="false">
      <c r="A86" s="0" t="n">
        <v>31</v>
      </c>
      <c r="B86" s="31" t="n">
        <v>40299</v>
      </c>
      <c r="C86" s="32" t="n">
        <v>58500</v>
      </c>
      <c r="D86" s="29" t="s">
        <v>41</v>
      </c>
      <c r="E86" s="33" t="n">
        <f aca="false">IF(D86="totale",(C86/(A86*24))/F86,IF(D86="marché libre",(C86/(A86*24))/G86,"spécifier histo"))</f>
        <v>0.0748847926267281</v>
      </c>
      <c r="F86" s="9" t="n">
        <v>1050</v>
      </c>
      <c r="G86" s="9" t="n">
        <f aca="false">F86-H86</f>
        <v>1050</v>
      </c>
      <c r="H86" s="9" t="n">
        <f aca="false">0</f>
        <v>0</v>
      </c>
      <c r="I86" s="9"/>
      <c r="J86" s="30"/>
    </row>
    <row r="87" customFormat="false" ht="24.95" hidden="false" customHeight="true" outlineLevel="0" collapsed="false">
      <c r="A87" s="0" t="n">
        <v>30</v>
      </c>
      <c r="B87" s="34" t="n">
        <v>40330</v>
      </c>
      <c r="C87" s="32" t="n">
        <v>28800</v>
      </c>
      <c r="D87" s="29" t="s">
        <v>41</v>
      </c>
      <c r="E87" s="33" t="n">
        <f aca="false">IF(D87="totale",(C87/(A87*24))/F87,IF(D87="marché libre",(C87/(A87*24))/G87,"spécifier histo"))</f>
        <v>0.0380952380952381</v>
      </c>
      <c r="F87" s="9" t="n">
        <v>1050</v>
      </c>
      <c r="G87" s="9" t="n">
        <f aca="false">F87-H87</f>
        <v>1050</v>
      </c>
      <c r="H87" s="9" t="n">
        <f aca="false">0</f>
        <v>0</v>
      </c>
      <c r="I87" s="9"/>
      <c r="J87" s="30"/>
    </row>
    <row r="88" customFormat="false" ht="24.95" hidden="false" customHeight="true" outlineLevel="0" collapsed="false">
      <c r="A88" s="0" t="n">
        <v>31</v>
      </c>
      <c r="B88" s="31" t="n">
        <v>40360</v>
      </c>
      <c r="C88" s="32" t="n">
        <v>0</v>
      </c>
      <c r="D88" s="29" t="s">
        <v>41</v>
      </c>
      <c r="E88" s="33" t="n">
        <f aca="false">IF(D88="totale",(C88/(A88*24))/F88,IF(D88="marché libre",(C88/(A88*24))/G88,"spécifier histo"))</f>
        <v>0</v>
      </c>
      <c r="F88" s="9" t="n">
        <v>1050</v>
      </c>
      <c r="G88" s="9" t="n">
        <f aca="false">F88-H88</f>
        <v>1050</v>
      </c>
      <c r="H88" s="9" t="n">
        <f aca="false">0</f>
        <v>0</v>
      </c>
      <c r="I88" s="9"/>
      <c r="J88" s="30"/>
    </row>
    <row r="89" customFormat="false" ht="24.95" hidden="false" customHeight="true" outlineLevel="0" collapsed="false">
      <c r="A89" s="0" t="n">
        <v>31</v>
      </c>
      <c r="B89" s="34" t="n">
        <v>40391</v>
      </c>
      <c r="C89" s="32" t="n">
        <v>0</v>
      </c>
      <c r="D89" s="29" t="s">
        <v>41</v>
      </c>
      <c r="E89" s="33" t="n">
        <f aca="false">IF(D89="totale",(C89/(A89*24))/F89,IF(D89="marché libre",(C89/(A89*24))/G89,"spécifier histo"))</f>
        <v>0</v>
      </c>
      <c r="F89" s="9" t="n">
        <v>1050</v>
      </c>
      <c r="G89" s="9" t="n">
        <f aca="false">F89-H89</f>
        <v>1050</v>
      </c>
      <c r="H89" s="9" t="n">
        <f aca="false">0</f>
        <v>0</v>
      </c>
      <c r="I89" s="9"/>
      <c r="J89" s="30"/>
    </row>
    <row r="90" customFormat="false" ht="24.95" hidden="false" customHeight="true" outlineLevel="0" collapsed="false">
      <c r="A90" s="0" t="n">
        <v>30</v>
      </c>
      <c r="B90" s="31" t="n">
        <v>40422</v>
      </c>
      <c r="C90" s="32" t="n">
        <v>0</v>
      </c>
      <c r="D90" s="29" t="s">
        <v>41</v>
      </c>
      <c r="E90" s="33" t="n">
        <f aca="false">IF(D90="totale",(C90/(A90*24))/F90,IF(D90="marché libre",(C90/(A90*24))/G90,"spécifier histo"))</f>
        <v>0</v>
      </c>
      <c r="F90" s="9" t="n">
        <v>1050</v>
      </c>
      <c r="G90" s="9" t="n">
        <f aca="false">F90-H90</f>
        <v>1050</v>
      </c>
      <c r="H90" s="9" t="n">
        <f aca="false">0</f>
        <v>0</v>
      </c>
      <c r="I90" s="9"/>
      <c r="J90" s="30"/>
    </row>
    <row r="91" customFormat="false" ht="24.95" hidden="false" customHeight="true" outlineLevel="0" collapsed="false">
      <c r="A91" s="0" t="n">
        <v>31</v>
      </c>
      <c r="B91" s="34" t="n">
        <v>40452</v>
      </c>
      <c r="C91" s="32" t="n">
        <v>900</v>
      </c>
      <c r="D91" s="29" t="s">
        <v>41</v>
      </c>
      <c r="E91" s="33" t="n">
        <f aca="false">IF(D91="totale",(C91/(A91*24))/F91,IF(D91="marché libre",(C91/(A91*24))/G91,"spécifier histo"))</f>
        <v>0.00115207373271889</v>
      </c>
      <c r="F91" s="9" t="n">
        <v>1050</v>
      </c>
      <c r="G91" s="9" t="n">
        <f aca="false">F91-H91</f>
        <v>1050</v>
      </c>
      <c r="H91" s="9" t="n">
        <f aca="false">0</f>
        <v>0</v>
      </c>
      <c r="I91" s="9"/>
      <c r="J91" s="30"/>
    </row>
    <row r="92" customFormat="false" ht="24.95" hidden="false" customHeight="true" outlineLevel="0" collapsed="false">
      <c r="A92" s="0" t="n">
        <v>30</v>
      </c>
      <c r="B92" s="31" t="n">
        <v>40483</v>
      </c>
      <c r="C92" s="32" t="n">
        <v>217500</v>
      </c>
      <c r="D92" s="29" t="s">
        <v>41</v>
      </c>
      <c r="E92" s="33" t="n">
        <f aca="false">IF(D92="totale",(C92/(A92*24))/F92,IF(D92="marché libre",(C92/(A92*24))/G92,"spécifier histo"))</f>
        <v>0.287698412698413</v>
      </c>
      <c r="F92" s="9" t="n">
        <v>1050</v>
      </c>
      <c r="G92" s="9" t="n">
        <f aca="false">F92-H92</f>
        <v>1050</v>
      </c>
      <c r="H92" s="9" t="n">
        <f aca="false">0</f>
        <v>0</v>
      </c>
      <c r="I92" s="9"/>
      <c r="J92" s="30"/>
    </row>
    <row r="93" customFormat="false" ht="24.95" hidden="false" customHeight="true" outlineLevel="0" collapsed="false">
      <c r="A93" s="0" t="n">
        <v>31</v>
      </c>
      <c r="B93" s="34" t="n">
        <v>40513</v>
      </c>
      <c r="C93" s="32" t="n">
        <v>312900</v>
      </c>
      <c r="D93" s="29" t="s">
        <v>41</v>
      </c>
      <c r="E93" s="33" t="n">
        <f aca="false">IF(D93="totale",(C93/(A93*24))/F93,IF(D93="marché libre",(C93/(A93*24))/G93,"spécifier histo"))</f>
        <v>0.400537634408602</v>
      </c>
      <c r="F93" s="9" t="n">
        <v>1050</v>
      </c>
      <c r="G93" s="9" t="n">
        <f aca="false">F93-H93</f>
        <v>1050</v>
      </c>
      <c r="H93" s="9" t="n">
        <f aca="false">0</f>
        <v>0</v>
      </c>
      <c r="I93" s="9"/>
      <c r="J93" s="30"/>
    </row>
    <row r="94" customFormat="false" ht="24.95" hidden="false" customHeight="true" outlineLevel="0" collapsed="false">
      <c r="A94" s="0" t="n">
        <v>31</v>
      </c>
      <c r="B94" s="31" t="n">
        <v>40544</v>
      </c>
      <c r="C94" s="32" t="n">
        <v>305700</v>
      </c>
      <c r="D94" s="29" t="s">
        <v>41</v>
      </c>
      <c r="E94" s="33" t="n">
        <f aca="false">IF(D94="totale",(C94/(A94*24))/F94,IF(D94="marché libre",(C94/(A94*24))/G94,"spécifier histo"))</f>
        <v>0.391321044546851</v>
      </c>
      <c r="F94" s="9" t="n">
        <v>1050</v>
      </c>
      <c r="G94" s="9" t="n">
        <f aca="false">F94-H94</f>
        <v>1050</v>
      </c>
      <c r="H94" s="9" t="n">
        <f aca="false">0</f>
        <v>0</v>
      </c>
      <c r="I94" s="9"/>
      <c r="J94" s="30"/>
    </row>
    <row r="95" customFormat="false" ht="24.95" hidden="false" customHeight="true" outlineLevel="0" collapsed="false">
      <c r="A95" s="0" t="n">
        <v>28</v>
      </c>
      <c r="B95" s="34" t="n">
        <v>40575</v>
      </c>
      <c r="C95" s="32" t="n">
        <v>206100</v>
      </c>
      <c r="D95" s="29" t="s">
        <v>41</v>
      </c>
      <c r="E95" s="33" t="n">
        <f aca="false">IF(D95="totale",(C95/(A95*24))/F95,IF(D95="marché libre",(C95/(A95*24))/G95,"spécifier histo"))</f>
        <v>0.292091836734694</v>
      </c>
      <c r="F95" s="9" t="n">
        <v>1050</v>
      </c>
      <c r="G95" s="9" t="n">
        <f aca="false">F95-H95</f>
        <v>1050</v>
      </c>
      <c r="H95" s="9" t="n">
        <f aca="false">0</f>
        <v>0</v>
      </c>
      <c r="I95" s="9"/>
      <c r="J95" s="30"/>
    </row>
    <row r="96" customFormat="false" ht="24.95" hidden="false" customHeight="true" outlineLevel="0" collapsed="false">
      <c r="A96" s="0" t="n">
        <v>31</v>
      </c>
      <c r="B96" s="31" t="n">
        <v>40603</v>
      </c>
      <c r="C96" s="32" t="n">
        <v>160200</v>
      </c>
      <c r="D96" s="29" t="s">
        <v>41</v>
      </c>
      <c r="E96" s="33" t="n">
        <f aca="false">IF(D96="totale",(C96/(A96*24))/F96,IF(D96="marché libre",(C96/(A96*24))/G96,"spécifier histo"))</f>
        <v>0.205069124423963</v>
      </c>
      <c r="F96" s="9" t="n">
        <v>1050</v>
      </c>
      <c r="G96" s="9" t="n">
        <f aca="false">F96-H96</f>
        <v>1050</v>
      </c>
      <c r="H96" s="9" t="n">
        <f aca="false">0</f>
        <v>0</v>
      </c>
      <c r="I96" s="9"/>
      <c r="J96" s="30"/>
    </row>
    <row r="97" customFormat="false" ht="24.95" hidden="false" customHeight="true" outlineLevel="0" collapsed="false">
      <c r="A97" s="0" t="n">
        <v>30</v>
      </c>
      <c r="B97" s="34" t="n">
        <v>40634</v>
      </c>
      <c r="C97" s="32" t="n">
        <v>34500</v>
      </c>
      <c r="D97" s="29" t="s">
        <v>41</v>
      </c>
      <c r="E97" s="33" t="n">
        <f aca="false">IF(D97="totale",(C97/(A97*24))/F97,IF(D97="marché libre",(C97/(A97*24))/G97,"spécifier histo"))</f>
        <v>0.0456349206349206</v>
      </c>
      <c r="F97" s="9" t="n">
        <v>1050</v>
      </c>
      <c r="G97" s="9" t="n">
        <f aca="false">F97-H97</f>
        <v>1050</v>
      </c>
      <c r="H97" s="9" t="n">
        <f aca="false">0</f>
        <v>0</v>
      </c>
      <c r="I97" s="9"/>
      <c r="J97" s="30"/>
    </row>
    <row r="98" customFormat="false" ht="24.95" hidden="false" customHeight="true" outlineLevel="0" collapsed="false">
      <c r="A98" s="0" t="n">
        <v>31</v>
      </c>
      <c r="B98" s="31" t="n">
        <v>40664</v>
      </c>
      <c r="C98" s="32" t="n">
        <v>0</v>
      </c>
      <c r="D98" s="29" t="s">
        <v>41</v>
      </c>
      <c r="E98" s="33" t="n">
        <f aca="false">IF(D98="totale",(C98/(A98*24))/F98,IF(D98="marché libre",(C98/(A98*24))/G98,"spécifier histo"))</f>
        <v>0</v>
      </c>
      <c r="F98" s="9" t="n">
        <v>1050</v>
      </c>
      <c r="G98" s="9" t="n">
        <f aca="false">F98-H98</f>
        <v>1050</v>
      </c>
      <c r="H98" s="9" t="n">
        <f aca="false">0</f>
        <v>0</v>
      </c>
      <c r="I98" s="9"/>
      <c r="J98" s="30"/>
    </row>
    <row r="99" customFormat="false" ht="24.95" hidden="false" customHeight="true" outlineLevel="0" collapsed="false">
      <c r="A99" s="0" t="n">
        <v>30</v>
      </c>
      <c r="B99" s="34" t="n">
        <v>40695</v>
      </c>
      <c r="C99" s="32" t="n">
        <v>0</v>
      </c>
      <c r="D99" s="29" t="s">
        <v>41</v>
      </c>
      <c r="E99" s="33" t="n">
        <f aca="false">IF(D99="totale",(C99/(A99*24))/F99,IF(D99="marché libre",(C99/(A99*24))/G99,"spécifier histo"))</f>
        <v>0</v>
      </c>
      <c r="F99" s="9" t="n">
        <v>1050</v>
      </c>
      <c r="G99" s="9" t="n">
        <f aca="false">F99-H99</f>
        <v>1050</v>
      </c>
      <c r="H99" s="9" t="n">
        <f aca="false">0</f>
        <v>0</v>
      </c>
      <c r="I99" s="9"/>
      <c r="J99" s="30"/>
    </row>
    <row r="100" customFormat="false" ht="24.95" hidden="false" customHeight="true" outlineLevel="0" collapsed="false">
      <c r="A100" s="0" t="n">
        <v>31</v>
      </c>
      <c r="B100" s="31" t="n">
        <v>40725</v>
      </c>
      <c r="C100" s="32" t="n">
        <v>0</v>
      </c>
      <c r="D100" s="29" t="s">
        <v>41</v>
      </c>
      <c r="E100" s="33" t="n">
        <f aca="false">IF(D100="totale",(C100/(A100*24))/F100,IF(D100="marché libre",(C100/(A100*24))/G100,"spécifier histo"))</f>
        <v>0</v>
      </c>
      <c r="F100" s="9" t="n">
        <v>1050</v>
      </c>
      <c r="G100" s="9" t="n">
        <f aca="false">F100-H100</f>
        <v>1050</v>
      </c>
      <c r="H100" s="9" t="n">
        <f aca="false">0</f>
        <v>0</v>
      </c>
      <c r="I100" s="9"/>
      <c r="J100" s="30"/>
    </row>
    <row r="101" customFormat="false" ht="24.95" hidden="false" customHeight="true" outlineLevel="0" collapsed="false">
      <c r="A101" s="0" t="n">
        <v>31</v>
      </c>
      <c r="B101" s="34" t="n">
        <v>40756</v>
      </c>
      <c r="C101" s="32" t="n">
        <v>0</v>
      </c>
      <c r="D101" s="29" t="s">
        <v>41</v>
      </c>
      <c r="E101" s="33" t="n">
        <f aca="false">IF(D101="totale",(C101/(A101*24))/F101,IF(D101="marché libre",(C101/(A101*24))/G101,"spécifier histo"))</f>
        <v>0</v>
      </c>
      <c r="F101" s="9" t="n">
        <v>1050</v>
      </c>
      <c r="G101" s="9" t="n">
        <f aca="false">F101-H101</f>
        <v>1050</v>
      </c>
      <c r="H101" s="9" t="n">
        <f aca="false">0</f>
        <v>0</v>
      </c>
      <c r="I101" s="9"/>
      <c r="J101" s="30"/>
    </row>
    <row r="102" customFormat="false" ht="24.95" hidden="false" customHeight="true" outlineLevel="0" collapsed="false">
      <c r="A102" s="0" t="n">
        <v>30</v>
      </c>
      <c r="B102" s="31" t="n">
        <v>40787</v>
      </c>
      <c r="C102" s="32" t="n">
        <v>0</v>
      </c>
      <c r="D102" s="29" t="s">
        <v>41</v>
      </c>
      <c r="E102" s="33" t="n">
        <f aca="false">IF(D102="totale",(C102/(A102*24))/F102,IF(D102="marché libre",(C102/(A102*24))/G102,"spécifier histo"))</f>
        <v>0</v>
      </c>
      <c r="F102" s="9" t="n">
        <v>1050</v>
      </c>
      <c r="G102" s="9" t="n">
        <f aca="false">F102-H102</f>
        <v>1050</v>
      </c>
      <c r="H102" s="9" t="n">
        <f aca="false">0</f>
        <v>0</v>
      </c>
      <c r="I102" s="9"/>
      <c r="J102" s="30"/>
    </row>
    <row r="103" customFormat="false" ht="24.95" hidden="false" customHeight="true" outlineLevel="0" collapsed="false">
      <c r="A103" s="0" t="n">
        <v>31</v>
      </c>
      <c r="B103" s="34" t="n">
        <v>40817</v>
      </c>
      <c r="C103" s="32" t="n">
        <v>0</v>
      </c>
      <c r="D103" s="29" t="s">
        <v>41</v>
      </c>
      <c r="E103" s="33" t="n">
        <f aca="false">IF(D103="totale",(C103/(A103*24))/F103,IF(D103="marché libre",(C103/(A103*24))/G103,"spécifier histo"))</f>
        <v>0</v>
      </c>
      <c r="F103" s="9" t="n">
        <v>1050</v>
      </c>
      <c r="G103" s="9" t="n">
        <f aca="false">F103-H103</f>
        <v>1050</v>
      </c>
      <c r="H103" s="9" t="n">
        <f aca="false">0</f>
        <v>0</v>
      </c>
      <c r="I103" s="9"/>
      <c r="J103" s="30"/>
    </row>
    <row r="104" customFormat="false" ht="24.95" hidden="false" customHeight="true" outlineLevel="0" collapsed="false">
      <c r="A104" s="0" t="n">
        <v>30</v>
      </c>
      <c r="B104" s="31" t="n">
        <v>40848</v>
      </c>
      <c r="C104" s="32" t="n">
        <v>0</v>
      </c>
      <c r="D104" s="29" t="s">
        <v>41</v>
      </c>
      <c r="E104" s="33" t="n">
        <f aca="false">IF(D104="totale",(C104/(A104*24))/F104,IF(D104="marché libre",(C104/(A104*24))/G104,"spécifier histo"))</f>
        <v>0</v>
      </c>
      <c r="F104" s="9" t="n">
        <v>1050</v>
      </c>
      <c r="G104" s="9" t="n">
        <f aca="false">F104-H104</f>
        <v>1050</v>
      </c>
      <c r="H104" s="9" t="n">
        <f aca="false">0</f>
        <v>0</v>
      </c>
      <c r="I104" s="9"/>
      <c r="J104" s="30"/>
    </row>
    <row r="105" customFormat="false" ht="24.95" hidden="false" customHeight="true" outlineLevel="0" collapsed="false">
      <c r="A105" s="0" t="n">
        <v>31</v>
      </c>
      <c r="B105" s="34" t="n">
        <v>40878</v>
      </c>
      <c r="C105" s="32" t="n">
        <v>392700</v>
      </c>
      <c r="D105" s="29" t="s">
        <v>41</v>
      </c>
      <c r="E105" s="33" t="n">
        <f aca="false">IF(D105="totale",(C105/(A105*24))/F105,IF(D105="marché libre",(C105/(A105*24))/G105,"spécifier histo"))</f>
        <v>0.502688172043011</v>
      </c>
      <c r="F105" s="9" t="n">
        <v>1050</v>
      </c>
      <c r="G105" s="9" t="n">
        <f aca="false">F105-H105</f>
        <v>1050</v>
      </c>
      <c r="H105" s="9" t="n">
        <f aca="false">0</f>
        <v>0</v>
      </c>
      <c r="I105" s="9"/>
      <c r="J105" s="30"/>
    </row>
    <row r="106" customFormat="false" ht="24.95" hidden="false" customHeight="true" outlineLevel="0" collapsed="false">
      <c r="A106" s="0" t="n">
        <v>31</v>
      </c>
      <c r="B106" s="31" t="n">
        <v>40909</v>
      </c>
      <c r="C106" s="32" t="n">
        <v>415500</v>
      </c>
      <c r="D106" s="29" t="s">
        <v>41</v>
      </c>
      <c r="E106" s="33" t="n">
        <f aca="false">IF(D106="totale",(C106/(A106*24))/F106,IF(D106="marché libre",(C106/(A106*24))/G106,"spécifier histo"))</f>
        <v>0.531874039938556</v>
      </c>
      <c r="F106" s="9" t="n">
        <v>1050</v>
      </c>
      <c r="G106" s="9" t="n">
        <f aca="false">F106-H106</f>
        <v>1050</v>
      </c>
      <c r="H106" s="9" t="n">
        <f aca="false">0</f>
        <v>0</v>
      </c>
      <c r="I106" s="9"/>
      <c r="J106" s="30"/>
    </row>
    <row r="107" customFormat="false" ht="24.95" hidden="false" customHeight="true" outlineLevel="0" collapsed="false">
      <c r="A107" s="0" t="n">
        <v>28</v>
      </c>
      <c r="B107" s="34" t="n">
        <v>40940</v>
      </c>
      <c r="C107" s="32" t="n">
        <v>230400</v>
      </c>
      <c r="D107" s="29" t="s">
        <v>41</v>
      </c>
      <c r="E107" s="33" t="n">
        <f aca="false">IF(D107="totale",(C107/(A107*24))/F107,IF(D107="marché libre",(C107/(A107*24))/G107,"spécifier histo"))</f>
        <v>0.326530612244898</v>
      </c>
      <c r="F107" s="9" t="n">
        <v>1050</v>
      </c>
      <c r="G107" s="9" t="n">
        <f aca="false">F107-H107</f>
        <v>1050</v>
      </c>
      <c r="H107" s="9" t="n">
        <f aca="false">0</f>
        <v>0</v>
      </c>
      <c r="I107" s="9"/>
      <c r="J107" s="30"/>
    </row>
    <row r="108" customFormat="false" ht="24.95" hidden="false" customHeight="true" outlineLevel="0" collapsed="false">
      <c r="A108" s="0" t="n">
        <v>31</v>
      </c>
      <c r="B108" s="31" t="n">
        <v>40969</v>
      </c>
      <c r="C108" s="32" t="n">
        <v>144000</v>
      </c>
      <c r="D108" s="29" t="s">
        <v>41</v>
      </c>
      <c r="E108" s="33" t="n">
        <f aca="false">IF(D108="totale",(C108/(A108*24))/F108,IF(D108="marché libre",(C108/(A108*24))/G108,"spécifier histo"))</f>
        <v>0.184331797235023</v>
      </c>
      <c r="F108" s="9" t="n">
        <v>1050</v>
      </c>
      <c r="G108" s="9" t="n">
        <f aca="false">F108-H108</f>
        <v>1050</v>
      </c>
      <c r="H108" s="9" t="n">
        <f aca="false">0</f>
        <v>0</v>
      </c>
      <c r="I108" s="9"/>
      <c r="J108" s="30"/>
    </row>
    <row r="109" customFormat="false" ht="24.95" hidden="false" customHeight="true" outlineLevel="0" collapsed="false">
      <c r="A109" s="0" t="n">
        <v>30</v>
      </c>
      <c r="B109" s="34" t="n">
        <v>41000</v>
      </c>
      <c r="C109" s="32" t="n">
        <v>143700</v>
      </c>
      <c r="D109" s="29" t="s">
        <v>41</v>
      </c>
      <c r="E109" s="33" t="n">
        <f aca="false">IF(D109="totale",(C109/(A109*24))/F109,IF(D109="marché libre",(C109/(A109*24))/G109,"spécifier histo"))</f>
        <v>0.190079365079365</v>
      </c>
      <c r="F109" s="9" t="n">
        <v>1050</v>
      </c>
      <c r="G109" s="9" t="n">
        <f aca="false">F109-H109</f>
        <v>1050</v>
      </c>
      <c r="H109" s="9" t="n">
        <f aca="false">0</f>
        <v>0</v>
      </c>
      <c r="I109" s="9"/>
      <c r="J109" s="30"/>
    </row>
    <row r="110" customFormat="false" ht="24.95" hidden="false" customHeight="true" outlineLevel="0" collapsed="false">
      <c r="A110" s="0" t="n">
        <v>31</v>
      </c>
      <c r="B110" s="31" t="n">
        <v>41030</v>
      </c>
      <c r="C110" s="32" t="n">
        <v>338400</v>
      </c>
      <c r="D110" s="29" t="s">
        <v>41</v>
      </c>
      <c r="E110" s="33" t="n">
        <f aca="false">IF(D110="totale",(C110/(A110*24))/F110,IF(D110="marché libre",(C110/(A110*24))/G110,"spécifier histo"))</f>
        <v>0.433179723502304</v>
      </c>
      <c r="F110" s="9" t="n">
        <v>1050</v>
      </c>
      <c r="G110" s="9" t="n">
        <f aca="false">F110-H110</f>
        <v>1050</v>
      </c>
      <c r="H110" s="9" t="n">
        <f aca="false">0</f>
        <v>0</v>
      </c>
      <c r="I110" s="9"/>
      <c r="J110" s="30"/>
    </row>
    <row r="111" customFormat="false" ht="24.95" hidden="false" customHeight="true" outlineLevel="0" collapsed="false">
      <c r="A111" s="0" t="n">
        <v>30</v>
      </c>
      <c r="B111" s="34" t="n">
        <v>41061</v>
      </c>
      <c r="C111" s="32" t="n">
        <v>86100</v>
      </c>
      <c r="D111" s="29" t="s">
        <v>41</v>
      </c>
      <c r="E111" s="33" t="n">
        <f aca="false">IF(D111="totale",(C111/(A111*24))/F111,IF(D111="marché libre",(C111/(A111*24))/G111,"spécifier histo"))</f>
        <v>0.113888888888889</v>
      </c>
      <c r="F111" s="9" t="n">
        <v>1050</v>
      </c>
      <c r="G111" s="9" t="n">
        <f aca="false">F111-H111</f>
        <v>1050</v>
      </c>
      <c r="H111" s="9" t="n">
        <f aca="false">0</f>
        <v>0</v>
      </c>
      <c r="I111" s="9"/>
      <c r="J111" s="30"/>
    </row>
    <row r="112" customFormat="false" ht="24.95" hidden="false" customHeight="true" outlineLevel="0" collapsed="false">
      <c r="A112" s="0" t="n">
        <v>31</v>
      </c>
      <c r="B112" s="31" t="n">
        <v>41091</v>
      </c>
      <c r="C112" s="32" t="n">
        <v>63300</v>
      </c>
      <c r="D112" s="29" t="s">
        <v>41</v>
      </c>
      <c r="E112" s="33" t="n">
        <f aca="false">IF(D112="totale",(C112/(A112*24))/F112,IF(D112="marché libre",(C112/(A112*24))/G112,"spécifier histo"))</f>
        <v>0.0810291858678955</v>
      </c>
      <c r="F112" s="9" t="n">
        <v>1050</v>
      </c>
      <c r="G112" s="9" t="n">
        <f aca="false">F112-H112</f>
        <v>1050</v>
      </c>
      <c r="H112" s="9" t="n">
        <f aca="false">0</f>
        <v>0</v>
      </c>
      <c r="I112" s="9"/>
      <c r="J112" s="30"/>
    </row>
    <row r="113" customFormat="false" ht="24.95" hidden="false" customHeight="true" outlineLevel="0" collapsed="false">
      <c r="A113" s="0" t="n">
        <v>31</v>
      </c>
      <c r="B113" s="34" t="n">
        <v>41122</v>
      </c>
      <c r="C113" s="32" t="n">
        <v>14100</v>
      </c>
      <c r="D113" s="29" t="s">
        <v>41</v>
      </c>
      <c r="E113" s="33" t="n">
        <f aca="false">IF(D113="totale",(C113/(A113*24))/F113,IF(D113="marché libre",(C113/(A113*24))/G113,"spécifier histo"))</f>
        <v>0.0180491551459293</v>
      </c>
      <c r="F113" s="9" t="n">
        <v>1050</v>
      </c>
      <c r="G113" s="9" t="n">
        <f aca="false">F113-H113</f>
        <v>1050</v>
      </c>
      <c r="H113" s="9" t="n">
        <f aca="false">0</f>
        <v>0</v>
      </c>
      <c r="I113" s="9"/>
      <c r="J113" s="30"/>
    </row>
    <row r="114" customFormat="false" ht="24.95" hidden="false" customHeight="true" outlineLevel="0" collapsed="false">
      <c r="A114" s="0" t="n">
        <v>30</v>
      </c>
      <c r="B114" s="31" t="n">
        <v>41153</v>
      </c>
      <c r="C114" s="32" t="n">
        <v>4800</v>
      </c>
      <c r="D114" s="29" t="s">
        <v>41</v>
      </c>
      <c r="E114" s="33" t="n">
        <f aca="false">IF(D114="totale",(C114/(A114*24))/F114,IF(D114="marché libre",(C114/(A114*24))/G114,"spécifier histo"))</f>
        <v>0.00634920634920635</v>
      </c>
      <c r="F114" s="9" t="n">
        <v>1050</v>
      </c>
      <c r="G114" s="9" t="n">
        <f aca="false">F114-H114</f>
        <v>1050</v>
      </c>
      <c r="H114" s="9" t="n">
        <f aca="false">0</f>
        <v>0</v>
      </c>
      <c r="I114" s="9"/>
      <c r="J114" s="30"/>
    </row>
    <row r="115" customFormat="false" ht="24.95" hidden="false" customHeight="true" outlineLevel="0" collapsed="false">
      <c r="A115" s="0" t="n">
        <v>31</v>
      </c>
      <c r="B115" s="34" t="n">
        <v>41183</v>
      </c>
      <c r="C115" s="32" t="n">
        <v>0</v>
      </c>
      <c r="D115" s="29" t="s">
        <v>41</v>
      </c>
      <c r="E115" s="33" t="n">
        <f aca="false">IF(D115="totale",(C115/(A115*24))/F115,IF(D115="marché libre",(C115/(A115*24))/G115,"spécifier histo"))</f>
        <v>0</v>
      </c>
      <c r="F115" s="9" t="n">
        <v>1050</v>
      </c>
      <c r="G115" s="9" t="n">
        <f aca="false">F115-H115</f>
        <v>1050</v>
      </c>
      <c r="H115" s="9" t="n">
        <f aca="false">0</f>
        <v>0</v>
      </c>
      <c r="I115" s="9"/>
      <c r="J115" s="30" t="n">
        <f aca="false">580+380+320</f>
        <v>1280</v>
      </c>
    </row>
    <row r="116" customFormat="false" ht="24.95" hidden="false" customHeight="true" outlineLevel="0" collapsed="false">
      <c r="A116" s="0" t="n">
        <v>30</v>
      </c>
      <c r="B116" s="31" t="n">
        <v>41214</v>
      </c>
      <c r="C116" s="32" t="n">
        <v>271500</v>
      </c>
      <c r="D116" s="29" t="s">
        <v>41</v>
      </c>
      <c r="E116" s="33" t="n">
        <f aca="false">IF(D116="totale",(C116/(A116*24))/F116,IF(D116="marché libre",(C116/(A116*24))/G116,"spécifier histo"))</f>
        <v>0.359126984126984</v>
      </c>
      <c r="F116" s="9" t="n">
        <v>1050</v>
      </c>
      <c r="G116" s="9" t="n">
        <f aca="false">F116-H116</f>
        <v>1050</v>
      </c>
      <c r="H116" s="9" t="n">
        <f aca="false">0</f>
        <v>0</v>
      </c>
      <c r="I116" s="9"/>
      <c r="J116" s="30"/>
    </row>
    <row r="117" customFormat="false" ht="24.95" hidden="false" customHeight="true" outlineLevel="0" collapsed="false">
      <c r="A117" s="0" t="n">
        <v>31</v>
      </c>
      <c r="B117" s="34" t="n">
        <v>41244</v>
      </c>
      <c r="C117" s="32" t="n">
        <v>512400</v>
      </c>
      <c r="D117" s="29" t="s">
        <v>41</v>
      </c>
      <c r="E117" s="33" t="n">
        <f aca="false">IF(D117="totale",(C117/(A117*24))/F117,IF(D117="marché libre",(C117/(A117*24))/G117,"spécifier histo"))</f>
        <v>0.655913978494624</v>
      </c>
      <c r="F117" s="9" t="n">
        <v>1050</v>
      </c>
      <c r="G117" s="9" t="n">
        <f aca="false">F117-H117</f>
        <v>1050</v>
      </c>
      <c r="H117" s="9" t="n">
        <f aca="false">0</f>
        <v>0</v>
      </c>
      <c r="I117" s="9"/>
      <c r="J117" s="30"/>
      <c r="L117" s="35" t="s">
        <v>69</v>
      </c>
      <c r="M117" s="35"/>
      <c r="N117" s="35"/>
      <c r="O117" s="36"/>
      <c r="P117" s="36"/>
      <c r="Q117" s="36"/>
    </row>
    <row r="118" customFormat="false" ht="24.95" hidden="false" customHeight="true" outlineLevel="0" collapsed="false">
      <c r="A118" s="0" t="n">
        <v>31</v>
      </c>
      <c r="B118" s="37" t="n">
        <v>41275</v>
      </c>
      <c r="C118" s="38" t="n">
        <v>624000</v>
      </c>
      <c r="D118" s="39" t="s">
        <v>41</v>
      </c>
      <c r="E118" s="40" t="n">
        <f aca="false">IF(D118="totale",(C118/(A118*24))/F118,IF(D118="marché libre",(C118/(A118*24))/G118,"spécifier histo"))</f>
        <v>0.798771121351767</v>
      </c>
      <c r="F118" s="41" t="n">
        <v>1050</v>
      </c>
      <c r="G118" s="41" t="n">
        <f aca="false">F118-H118</f>
        <v>490</v>
      </c>
      <c r="H118" s="41" t="n">
        <v>560</v>
      </c>
      <c r="I118" s="42" t="s">
        <v>70</v>
      </c>
      <c r="J118" s="30" t="s">
        <v>71</v>
      </c>
      <c r="L118" s="43"/>
      <c r="M118" s="43"/>
      <c r="N118" s="43"/>
      <c r="O118" s="36"/>
      <c r="P118" s="36"/>
      <c r="Q118" s="36"/>
    </row>
    <row r="119" customFormat="false" ht="24.95" hidden="false" customHeight="true" outlineLevel="0" collapsed="false">
      <c r="A119" s="0" t="n">
        <v>28</v>
      </c>
      <c r="B119" s="34" t="n">
        <v>41306</v>
      </c>
      <c r="C119" s="1" t="n">
        <v>556800</v>
      </c>
      <c r="D119" s="29" t="s">
        <v>41</v>
      </c>
      <c r="E119" s="33" t="n">
        <f aca="false">IF(D119="totale",(C119/(A119*24))/F119,IF(D119="marché libre",(C119/(A119*24))/G119,"spécifier histo"))</f>
        <v>0.789115646258503</v>
      </c>
      <c r="F119" s="9" t="n">
        <v>1050</v>
      </c>
      <c r="G119" s="9" t="n">
        <f aca="false">F119-H119</f>
        <v>490</v>
      </c>
      <c r="H119" s="9" t="n">
        <v>560</v>
      </c>
      <c r="I119" s="9"/>
      <c r="J119" s="30"/>
      <c r="L119" s="43"/>
      <c r="M119" s="77" t="s">
        <v>72</v>
      </c>
      <c r="N119" s="77"/>
      <c r="O119" s="45"/>
      <c r="P119" s="78" t="s">
        <v>73</v>
      </c>
      <c r="Q119" s="78"/>
    </row>
    <row r="120" customFormat="false" ht="24.95" hidden="false" customHeight="true" outlineLevel="0" collapsed="false">
      <c r="A120" s="0" t="n">
        <v>31</v>
      </c>
      <c r="B120" s="31" t="n">
        <v>41334</v>
      </c>
      <c r="C120" s="1" t="n">
        <v>562800</v>
      </c>
      <c r="D120" s="29" t="s">
        <v>41</v>
      </c>
      <c r="E120" s="33" t="n">
        <f aca="false">IF(D120="totale",(C120/(A120*24))/F120,IF(D120="marché libre",(C120/(A120*24))/G120,"spécifier histo"))</f>
        <v>0.720430107526882</v>
      </c>
      <c r="F120" s="9" t="n">
        <v>1050</v>
      </c>
      <c r="G120" s="9" t="n">
        <f aca="false">F120-H120</f>
        <v>490</v>
      </c>
      <c r="H120" s="9" t="n">
        <v>560</v>
      </c>
      <c r="I120" s="9"/>
      <c r="J120" s="30"/>
      <c r="L120" s="79" t="s">
        <v>74</v>
      </c>
      <c r="M120" s="80" t="s">
        <v>75</v>
      </c>
      <c r="N120" s="81" t="s">
        <v>76</v>
      </c>
      <c r="O120" s="36"/>
      <c r="P120" s="80" t="s">
        <v>75</v>
      </c>
      <c r="Q120" s="81" t="s">
        <v>76</v>
      </c>
    </row>
    <row r="121" customFormat="false" ht="24.95" hidden="false" customHeight="true" outlineLevel="0" collapsed="false">
      <c r="A121" s="0" t="n">
        <v>30</v>
      </c>
      <c r="B121" s="34" t="n">
        <v>41365</v>
      </c>
      <c r="C121" s="1" t="n">
        <v>399000</v>
      </c>
      <c r="D121" s="29" t="s">
        <v>41</v>
      </c>
      <c r="E121" s="33" t="n">
        <f aca="false">IF(D121="totale",(C121/(A121*24))/F121,IF(D121="marché libre",(C121/(A121*24))/G121,"spécifier histo"))</f>
        <v>0.527777777777778</v>
      </c>
      <c r="F121" s="9" t="n">
        <v>1050</v>
      </c>
      <c r="G121" s="9" t="n">
        <f aca="false">F121-H121</f>
        <v>490</v>
      </c>
      <c r="H121" s="9" t="n">
        <v>560</v>
      </c>
      <c r="I121" s="9"/>
      <c r="J121" s="30"/>
      <c r="L121" s="82"/>
      <c r="M121" s="83"/>
      <c r="N121" s="84"/>
      <c r="O121" s="36"/>
      <c r="P121" s="83"/>
      <c r="Q121" s="83"/>
    </row>
    <row r="122" customFormat="false" ht="24.95" hidden="false" customHeight="true" outlineLevel="0" collapsed="false">
      <c r="A122" s="0" t="n">
        <v>31</v>
      </c>
      <c r="B122" s="31" t="n">
        <v>41395</v>
      </c>
      <c r="C122" s="1" t="n">
        <v>268865</v>
      </c>
      <c r="D122" s="29" t="s">
        <v>41</v>
      </c>
      <c r="E122" s="33" t="n">
        <f aca="false">IF(D122="totale",(C122/(A122*24))/F122,IF(D122="marché libre",(C122/(A122*24))/G122,"spécifier histo"))</f>
        <v>0.344169226830517</v>
      </c>
      <c r="F122" s="9" t="n">
        <v>1050</v>
      </c>
      <c r="G122" s="9" t="n">
        <f aca="false">F122-H122</f>
        <v>490</v>
      </c>
      <c r="H122" s="9" t="n">
        <v>560</v>
      </c>
      <c r="I122" s="9"/>
      <c r="J122" s="30"/>
      <c r="L122" s="85" t="s">
        <v>77</v>
      </c>
      <c r="M122" s="86"/>
      <c r="N122" s="86"/>
      <c r="O122" s="36"/>
      <c r="P122" s="86" t="n">
        <v>624000</v>
      </c>
      <c r="Q122" s="86" t="n">
        <v>70787</v>
      </c>
      <c r="S122" s="0"/>
    </row>
    <row r="123" customFormat="false" ht="24.95" hidden="false" customHeight="true" outlineLevel="0" collapsed="false">
      <c r="A123" s="0" t="n">
        <v>30</v>
      </c>
      <c r="B123" s="34" t="n">
        <v>41426</v>
      </c>
      <c r="C123" s="1" t="n">
        <v>73200</v>
      </c>
      <c r="D123" s="29" t="s">
        <v>41</v>
      </c>
      <c r="E123" s="33" t="n">
        <f aca="false">IF(D123="totale",(C123/(A123*24))/F123,IF(D123="marché libre",(C123/(A123*24))/G123,"spécifier histo"))</f>
        <v>0.0968253968253968</v>
      </c>
      <c r="F123" s="9" t="n">
        <v>1050</v>
      </c>
      <c r="G123" s="9" t="n">
        <f aca="false">F123-H123</f>
        <v>490</v>
      </c>
      <c r="H123" s="9" t="n">
        <v>560</v>
      </c>
      <c r="I123" s="9"/>
      <c r="J123" s="30"/>
      <c r="L123" s="85" t="s">
        <v>78</v>
      </c>
      <c r="M123" s="87"/>
      <c r="N123" s="87"/>
      <c r="O123" s="36"/>
      <c r="P123" s="87" t="n">
        <v>556800</v>
      </c>
      <c r="Q123" s="87" t="n">
        <v>63163</v>
      </c>
      <c r="S123" s="0"/>
    </row>
    <row r="124" customFormat="false" ht="24.95" hidden="false" customHeight="true" outlineLevel="0" collapsed="false">
      <c r="A124" s="0" t="n">
        <v>31</v>
      </c>
      <c r="B124" s="31" t="n">
        <v>41456</v>
      </c>
      <c r="C124" s="1" t="n">
        <v>2400</v>
      </c>
      <c r="D124" s="29" t="s">
        <v>41</v>
      </c>
      <c r="E124" s="33" t="n">
        <f aca="false">IF(D124="totale",(C124/(A124*24))/F124,IF(D124="marché libre",(C124/(A124*24))/G124,"spécifier histo"))</f>
        <v>0.00307219662058372</v>
      </c>
      <c r="F124" s="9" t="n">
        <v>1050</v>
      </c>
      <c r="G124" s="9" t="n">
        <f aca="false">F124-H124</f>
        <v>490</v>
      </c>
      <c r="H124" s="9" t="n">
        <v>560</v>
      </c>
      <c r="I124" s="9"/>
      <c r="J124" s="30"/>
      <c r="L124" s="88" t="s">
        <v>79</v>
      </c>
      <c r="M124" s="86"/>
      <c r="N124" s="86"/>
      <c r="O124" s="36"/>
      <c r="P124" s="86" t="n">
        <v>562800</v>
      </c>
      <c r="Q124" s="86" t="n">
        <v>63844</v>
      </c>
      <c r="S124" s="0"/>
    </row>
    <row r="125" customFormat="false" ht="24.95" hidden="false" customHeight="true" outlineLevel="0" collapsed="false">
      <c r="A125" s="0" t="n">
        <v>31</v>
      </c>
      <c r="B125" s="34" t="n">
        <v>41487</v>
      </c>
      <c r="C125" s="1" t="n">
        <v>9225</v>
      </c>
      <c r="D125" s="29" t="s">
        <v>41</v>
      </c>
      <c r="E125" s="33" t="n">
        <f aca="false">IF(D125="totale",(C125/(A125*24))/F125,IF(D125="marché libre",(C125/(A125*24))/G125,"spécifier histo"))</f>
        <v>0.0118087557603687</v>
      </c>
      <c r="F125" s="9" t="n">
        <v>1050</v>
      </c>
      <c r="G125" s="9" t="n">
        <f aca="false">F125-H125</f>
        <v>490</v>
      </c>
      <c r="H125" s="9" t="n">
        <v>560</v>
      </c>
      <c r="I125" s="9"/>
      <c r="J125" s="30"/>
      <c r="L125" s="88" t="s">
        <v>80</v>
      </c>
      <c r="M125" s="86" t="n">
        <v>399000</v>
      </c>
      <c r="N125" s="86" t="n">
        <v>15880</v>
      </c>
      <c r="O125" s="36"/>
      <c r="P125" s="86"/>
      <c r="Q125" s="86"/>
      <c r="S125" s="0"/>
    </row>
    <row r="126" customFormat="false" ht="24.95" hidden="false" customHeight="true" outlineLevel="0" collapsed="false">
      <c r="A126" s="0" t="n">
        <v>30</v>
      </c>
      <c r="B126" s="31" t="n">
        <v>41518</v>
      </c>
      <c r="C126" s="1" t="n">
        <v>0</v>
      </c>
      <c r="D126" s="29" t="s">
        <v>41</v>
      </c>
      <c r="E126" s="33" t="n">
        <f aca="false">IF(D126="totale",(C126/(A126*24))/F126,IF(D126="marché libre",(C126/(A126*24))/G126,"spécifier histo"))</f>
        <v>0</v>
      </c>
      <c r="F126" s="9" t="n">
        <v>1050</v>
      </c>
      <c r="G126" s="9" t="n">
        <f aca="false">F126-H126</f>
        <v>490</v>
      </c>
      <c r="H126" s="9" t="n">
        <v>560</v>
      </c>
      <c r="I126" s="9"/>
      <c r="J126" s="30"/>
      <c r="L126" s="85" t="s">
        <v>81</v>
      </c>
      <c r="M126" s="86" t="n">
        <v>268865</v>
      </c>
      <c r="N126" s="86" t="n">
        <v>8980</v>
      </c>
      <c r="O126" s="36"/>
      <c r="P126" s="86"/>
      <c r="Q126" s="86"/>
      <c r="S126" s="0"/>
    </row>
    <row r="127" customFormat="false" ht="24.95" hidden="false" customHeight="true" outlineLevel="0" collapsed="false">
      <c r="A127" s="0" t="n">
        <v>31</v>
      </c>
      <c r="B127" s="34" t="n">
        <v>41548</v>
      </c>
      <c r="C127" s="1" t="n">
        <v>10200</v>
      </c>
      <c r="D127" s="29" t="s">
        <v>41</v>
      </c>
      <c r="E127" s="33" t="n">
        <f aca="false">IF(D127="totale",(C127/(A127*24))/F127,IF(D127="marché libre",(C127/(A127*24))/G127,"spécifier histo"))</f>
        <v>0.0130568356374808</v>
      </c>
      <c r="F127" s="9" t="n">
        <v>1050</v>
      </c>
      <c r="G127" s="9" t="n">
        <f aca="false">F127-H127</f>
        <v>490</v>
      </c>
      <c r="H127" s="9" t="n">
        <v>560</v>
      </c>
      <c r="I127" s="9"/>
      <c r="J127" s="30"/>
      <c r="L127" s="85" t="s">
        <v>82</v>
      </c>
      <c r="M127" s="86" t="n">
        <f aca="false">70216+2984</f>
        <v>73200</v>
      </c>
      <c r="N127" s="86" t="n">
        <v>1995</v>
      </c>
      <c r="O127" s="36"/>
      <c r="P127" s="86"/>
      <c r="Q127" s="86"/>
      <c r="S127" s="0"/>
    </row>
    <row r="128" customFormat="false" ht="24.95" hidden="false" customHeight="true" outlineLevel="0" collapsed="false">
      <c r="A128" s="0" t="n">
        <v>30</v>
      </c>
      <c r="B128" s="31" t="n">
        <v>41579</v>
      </c>
      <c r="C128" s="1" t="n">
        <v>77810</v>
      </c>
      <c r="D128" s="29" t="s">
        <v>41</v>
      </c>
      <c r="E128" s="33" t="n">
        <f aca="false">IF(D128="totale",(C128/(A128*24))/F128,IF(D128="marché libre",(C128/(A128*24))/G128,"spécifier histo"))</f>
        <v>0.10292328042328</v>
      </c>
      <c r="F128" s="9" t="n">
        <v>1050</v>
      </c>
      <c r="G128" s="9" t="n">
        <f aca="false">F128-H128</f>
        <v>490</v>
      </c>
      <c r="H128" s="9" t="n">
        <v>560</v>
      </c>
      <c r="I128" s="9"/>
      <c r="J128" s="30"/>
      <c r="L128" s="85" t="s">
        <v>83</v>
      </c>
      <c r="M128" s="86" t="n">
        <v>2400</v>
      </c>
      <c r="N128" s="86" t="n">
        <v>59</v>
      </c>
      <c r="O128" s="36"/>
      <c r="P128" s="86"/>
      <c r="Q128" s="86"/>
      <c r="S128" s="0"/>
    </row>
    <row r="129" customFormat="false" ht="24.95" hidden="false" customHeight="true" outlineLevel="0" collapsed="false">
      <c r="A129" s="0" t="n">
        <v>31</v>
      </c>
      <c r="B129" s="34" t="n">
        <v>41609</v>
      </c>
      <c r="C129" s="1" t="n">
        <v>106035</v>
      </c>
      <c r="D129" s="29" t="s">
        <v>41</v>
      </c>
      <c r="E129" s="33" t="n">
        <f aca="false">IF(D129="totale",(C129/(A129*24))/F129,IF(D129="marché libre",(C129/(A129*24))/G129,"spécifier histo"))</f>
        <v>0.135733486943164</v>
      </c>
      <c r="F129" s="9" t="n">
        <v>1050</v>
      </c>
      <c r="G129" s="9" t="n">
        <f aca="false">F129-H129</f>
        <v>490</v>
      </c>
      <c r="H129" s="9" t="n">
        <v>560</v>
      </c>
      <c r="I129" s="9"/>
      <c r="J129" s="30"/>
      <c r="L129" s="85" t="s">
        <v>84</v>
      </c>
      <c r="M129" s="86" t="n">
        <v>9225</v>
      </c>
      <c r="N129" s="86" t="n">
        <v>260</v>
      </c>
      <c r="O129" s="36"/>
      <c r="P129" s="86"/>
      <c r="Q129" s="86"/>
      <c r="S129" s="0"/>
    </row>
    <row r="130" customFormat="false" ht="24.95" hidden="false" customHeight="true" outlineLevel="0" collapsed="false">
      <c r="A130" s="0" t="n">
        <v>31</v>
      </c>
      <c r="B130" s="31" t="n">
        <v>41640</v>
      </c>
      <c r="C130" s="1" t="n">
        <f aca="false">M142+P142</f>
        <v>613041</v>
      </c>
      <c r="D130" s="29" t="s">
        <v>41</v>
      </c>
      <c r="E130" s="33" t="n">
        <f aca="false">IF(D130="totale",(C130/(A130*24))/F130,IF(D130="marché libre",(C130/(A130*24))/G130,"spécifier histo"))</f>
        <v>0.784742703533026</v>
      </c>
      <c r="F130" s="9" t="n">
        <v>1050</v>
      </c>
      <c r="G130" s="9" t="n">
        <f aca="false">F130-H130</f>
        <v>490</v>
      </c>
      <c r="H130" s="9" t="n">
        <v>560</v>
      </c>
      <c r="I130" s="9"/>
      <c r="J130" s="30"/>
      <c r="L130" s="88" t="s">
        <v>85</v>
      </c>
      <c r="M130" s="86" t="n">
        <v>0</v>
      </c>
      <c r="N130" s="86" t="n">
        <v>0</v>
      </c>
      <c r="O130" s="36"/>
      <c r="P130" s="86"/>
      <c r="Q130" s="86"/>
      <c r="S130" s="0"/>
    </row>
    <row r="131" customFormat="false" ht="24.95" hidden="false" customHeight="true" outlineLevel="0" collapsed="false">
      <c r="A131" s="0" t="n">
        <v>28</v>
      </c>
      <c r="B131" s="34" t="n">
        <v>41671</v>
      </c>
      <c r="C131" s="1" t="n">
        <f aca="false">M143+P143</f>
        <v>435497</v>
      </c>
      <c r="D131" s="29" t="s">
        <v>41</v>
      </c>
      <c r="E131" s="33" t="n">
        <f aca="false">IF(D131="totale",(C131/(A131*24))/F131,IF(D131="marché libre",(C131/(A131*24))/G131,"spécifier histo"))</f>
        <v>0.617200963718821</v>
      </c>
      <c r="F131" s="9" t="n">
        <v>1050</v>
      </c>
      <c r="G131" s="9" t="n">
        <f aca="false">F131-H131</f>
        <v>490</v>
      </c>
      <c r="H131" s="9" t="n">
        <v>560</v>
      </c>
      <c r="I131" s="9"/>
      <c r="J131" s="30"/>
      <c r="L131" s="85" t="s">
        <v>86</v>
      </c>
      <c r="M131" s="86" t="n">
        <v>10200</v>
      </c>
      <c r="N131" s="86" t="n">
        <v>455</v>
      </c>
      <c r="O131" s="36"/>
      <c r="P131" s="86"/>
      <c r="Q131" s="86"/>
      <c r="S131" s="0"/>
    </row>
    <row r="132" customFormat="false" ht="24.95" hidden="false" customHeight="true" outlineLevel="0" collapsed="false">
      <c r="A132" s="0" t="n">
        <v>31</v>
      </c>
      <c r="B132" s="31" t="n">
        <v>41699</v>
      </c>
      <c r="C132" s="1" t="n">
        <f aca="false">M144+P144</f>
        <v>413863</v>
      </c>
      <c r="D132" s="29" t="s">
        <v>41</v>
      </c>
      <c r="E132" s="33" t="n">
        <f aca="false">IF(D132="totale",(C132/(A132*24))/F132,IF(D132="marché libre",(C132/(A132*24))/G132,"spécifier histo"))</f>
        <v>0.529778545826933</v>
      </c>
      <c r="F132" s="9" t="n">
        <v>1050</v>
      </c>
      <c r="G132" s="9" t="n">
        <f aca="false">F132-H132</f>
        <v>490</v>
      </c>
      <c r="H132" s="9" t="n">
        <v>560</v>
      </c>
      <c r="I132" s="9"/>
      <c r="J132" s="30"/>
      <c r="L132" s="85" t="s">
        <v>87</v>
      </c>
      <c r="M132" s="86" t="n">
        <v>77810</v>
      </c>
      <c r="N132" s="86" t="n">
        <v>3855</v>
      </c>
      <c r="O132" s="36"/>
      <c r="P132" s="86"/>
      <c r="Q132" s="86"/>
      <c r="S132" s="0"/>
    </row>
    <row r="133" customFormat="false" ht="24.95" hidden="false" customHeight="true" outlineLevel="0" collapsed="false">
      <c r="A133" s="0" t="n">
        <v>30</v>
      </c>
      <c r="B133" s="34" t="n">
        <v>41730</v>
      </c>
      <c r="C133" s="1" t="n">
        <f aca="false">M145+P145</f>
        <v>228267</v>
      </c>
      <c r="D133" s="29" t="s">
        <v>41</v>
      </c>
      <c r="E133" s="33" t="n">
        <f aca="false">IF(D133="totale",(C133/(A133*24))/F133,IF(D133="marché libre",(C133/(A133*24))/G133,"spécifier histo"))</f>
        <v>0.301940476190476</v>
      </c>
      <c r="F133" s="9" t="n">
        <v>1050</v>
      </c>
      <c r="G133" s="9" t="n">
        <f aca="false">F133-H133</f>
        <v>490</v>
      </c>
      <c r="H133" s="9" t="n">
        <v>560</v>
      </c>
      <c r="I133" s="9"/>
      <c r="J133" s="30"/>
      <c r="L133" s="85" t="s">
        <v>88</v>
      </c>
      <c r="M133" s="86" t="n">
        <v>106035</v>
      </c>
      <c r="N133" s="86" t="n">
        <v>5323</v>
      </c>
      <c r="O133" s="36"/>
      <c r="P133" s="86"/>
      <c r="Q133" s="86"/>
      <c r="S133" s="0"/>
    </row>
    <row r="134" customFormat="false" ht="24.95" hidden="false" customHeight="true" outlineLevel="0" collapsed="false">
      <c r="A134" s="0" t="n">
        <v>31</v>
      </c>
      <c r="B134" s="31" t="n">
        <v>41760</v>
      </c>
      <c r="C134" s="1" t="n">
        <f aca="false">M146+P146</f>
        <v>363426</v>
      </c>
      <c r="D134" s="29" t="s">
        <v>41</v>
      </c>
      <c r="E134" s="33" t="n">
        <f aca="false">IF(D134="totale",(C134/(A134*24))/F134,IF(D134="marché libre",(C134/(A134*24))/G134,"spécifier histo"))</f>
        <v>0.465215053763441</v>
      </c>
      <c r="F134" s="9" t="n">
        <v>1050</v>
      </c>
      <c r="G134" s="9" t="n">
        <f aca="false">F134-H134</f>
        <v>490</v>
      </c>
      <c r="H134" s="9" t="n">
        <v>560</v>
      </c>
      <c r="I134" s="9"/>
      <c r="J134" s="30"/>
      <c r="L134" s="85"/>
      <c r="M134" s="86"/>
      <c r="N134" s="86"/>
      <c r="O134" s="36"/>
      <c r="P134" s="86"/>
      <c r="Q134" s="86"/>
    </row>
    <row r="135" customFormat="false" ht="24.95" hidden="false" customHeight="true" outlineLevel="0" collapsed="false">
      <c r="A135" s="0" t="n">
        <v>30</v>
      </c>
      <c r="B135" s="34" t="n">
        <v>41791</v>
      </c>
      <c r="C135" s="1" t="n">
        <f aca="false">M147+P147</f>
        <v>119641</v>
      </c>
      <c r="D135" s="29" t="s">
        <v>41</v>
      </c>
      <c r="E135" s="33" t="n">
        <f aca="false">IF(D135="totale",(C135/(A135*24))/F135,IF(D135="marché libre",(C135/(A135*24))/G135,"spécifier histo"))</f>
        <v>0.158255291005291</v>
      </c>
      <c r="F135" s="9" t="n">
        <v>1050</v>
      </c>
      <c r="G135" s="9" t="n">
        <f aca="false">F135-H135</f>
        <v>490</v>
      </c>
      <c r="H135" s="9" t="n">
        <v>560</v>
      </c>
      <c r="I135" s="9"/>
      <c r="J135" s="30"/>
      <c r="L135" s="89" t="s">
        <v>89</v>
      </c>
      <c r="M135" s="90" t="n">
        <f aca="false">SUM(M122:M133)</f>
        <v>946735</v>
      </c>
      <c r="N135" s="90" t="n">
        <f aca="false">SUM(N122:N133)</f>
        <v>36807</v>
      </c>
      <c r="O135" s="36"/>
      <c r="P135" s="90" t="n">
        <f aca="false">SUM(P122:P134)</f>
        <v>1743600</v>
      </c>
      <c r="Q135" s="90" t="n">
        <f aca="false">SUM(Q122:Q134)</f>
        <v>197794</v>
      </c>
    </row>
    <row r="136" customFormat="false" ht="24.95" hidden="false" customHeight="true" outlineLevel="0" collapsed="false">
      <c r="A136" s="0" t="n">
        <v>31</v>
      </c>
      <c r="B136" s="31" t="n">
        <v>41821</v>
      </c>
      <c r="C136" s="1" t="n">
        <f aca="false">M148+P148</f>
        <v>40520</v>
      </c>
      <c r="D136" s="29" t="s">
        <v>41</v>
      </c>
      <c r="E136" s="33" t="n">
        <f aca="false">IF(D136="totale",(C136/(A136*24))/F136,IF(D136="marché libre",(C136/(A136*24))/G136,"spécifier histo"))</f>
        <v>0.0518689196108551</v>
      </c>
      <c r="F136" s="9" t="n">
        <v>1050</v>
      </c>
      <c r="G136" s="9" t="n">
        <f aca="false">F136-H136</f>
        <v>490</v>
      </c>
      <c r="H136" s="9" t="n">
        <v>560</v>
      </c>
      <c r="I136" s="9"/>
      <c r="J136" s="30"/>
      <c r="L136" s="36"/>
      <c r="M136" s="36"/>
      <c r="N136" s="36"/>
      <c r="O136" s="36"/>
      <c r="P136" s="36"/>
      <c r="Q136" s="36"/>
    </row>
    <row r="137" customFormat="false" ht="24.95" hidden="false" customHeight="true" outlineLevel="0" collapsed="false">
      <c r="A137" s="0" t="n">
        <v>31</v>
      </c>
      <c r="B137" s="34" t="n">
        <v>41852</v>
      </c>
      <c r="C137" s="1" t="n">
        <f aca="false">M149+P149</f>
        <v>117151</v>
      </c>
      <c r="D137" s="29" t="s">
        <v>41</v>
      </c>
      <c r="E137" s="33" t="n">
        <f aca="false">IF(D137="totale",(C137/(A137*24))/F137,IF(D137="marché libre",(C137/(A137*24))/G137,"spécifier histo"))</f>
        <v>0.149962877624168</v>
      </c>
      <c r="F137" s="9" t="n">
        <v>1050</v>
      </c>
      <c r="G137" s="9" t="n">
        <f aca="false">F137-H137</f>
        <v>490</v>
      </c>
      <c r="H137" s="9" t="n">
        <v>560</v>
      </c>
      <c r="I137" s="9"/>
      <c r="J137" s="30"/>
      <c r="L137" s="36"/>
      <c r="M137" s="54" t="s">
        <v>90</v>
      </c>
      <c r="N137" s="36"/>
      <c r="O137" s="36"/>
      <c r="P137" s="36"/>
      <c r="Q137" s="36"/>
    </row>
    <row r="138" customFormat="false" ht="24.95" hidden="false" customHeight="true" outlineLevel="0" collapsed="false">
      <c r="A138" s="0" t="n">
        <v>30</v>
      </c>
      <c r="B138" s="31" t="n">
        <v>41883</v>
      </c>
      <c r="C138" s="1" t="n">
        <f aca="false">M150+P150</f>
        <v>14023</v>
      </c>
      <c r="D138" s="29" t="s">
        <v>41</v>
      </c>
      <c r="E138" s="33" t="n">
        <f aca="false">IF(D138="totale",(C138/(A138*24))/F138,IF(D138="marché libre",(C138/(A138*24))/G138,"spécifier histo"))</f>
        <v>0.0185489417989418</v>
      </c>
      <c r="F138" s="9" t="n">
        <v>1050</v>
      </c>
      <c r="G138" s="9" t="n">
        <f aca="false">F138-H138</f>
        <v>490</v>
      </c>
      <c r="H138" s="9" t="n">
        <v>560</v>
      </c>
      <c r="I138" s="9"/>
      <c r="J138" s="30"/>
      <c r="L138" s="36"/>
      <c r="M138" s="36"/>
      <c r="N138" s="36"/>
      <c r="O138" s="36"/>
      <c r="P138" s="36"/>
      <c r="Q138" s="36"/>
    </row>
    <row r="139" customFormat="false" ht="24.95" hidden="false" customHeight="true" outlineLevel="0" collapsed="false">
      <c r="A139" s="0" t="n">
        <v>31</v>
      </c>
      <c r="B139" s="34" t="n">
        <v>41913</v>
      </c>
      <c r="C139" s="1" t="n">
        <f aca="false">M151+P151</f>
        <v>63097</v>
      </c>
      <c r="D139" s="29" t="s">
        <v>41</v>
      </c>
      <c r="E139" s="33" t="n">
        <f aca="false">IF(D139="totale",(C139/(A139*24))/F139,IF(D139="marché libre",(C139/(A139*24))/G139,"spécifier histo"))</f>
        <v>0.0807693292370712</v>
      </c>
      <c r="F139" s="9" t="n">
        <v>1050</v>
      </c>
      <c r="G139" s="9" t="n">
        <f aca="false">F139-H139</f>
        <v>490</v>
      </c>
      <c r="H139" s="9" t="n">
        <v>560</v>
      </c>
      <c r="I139" s="9"/>
      <c r="J139" s="30"/>
      <c r="L139" s="43"/>
      <c r="M139" s="77" t="s">
        <v>72</v>
      </c>
      <c r="N139" s="77"/>
      <c r="O139" s="45"/>
      <c r="P139" s="78" t="s">
        <v>73</v>
      </c>
      <c r="Q139" s="78"/>
    </row>
    <row r="140" customFormat="false" ht="24.95" hidden="false" customHeight="true" outlineLevel="0" collapsed="false">
      <c r="A140" s="0" t="n">
        <v>30</v>
      </c>
      <c r="B140" s="31" t="n">
        <v>41944</v>
      </c>
      <c r="C140" s="1" t="n">
        <f aca="false">M152+P152</f>
        <v>0</v>
      </c>
      <c r="D140" s="29" t="s">
        <v>41</v>
      </c>
      <c r="E140" s="33" t="n">
        <f aca="false">IF(D140="totale",(C140/(A140*24))/F140,IF(D140="marché libre",(C140/(A140*24))/G140,"spécifier histo"))</f>
        <v>0</v>
      </c>
      <c r="F140" s="9" t="n">
        <v>1050</v>
      </c>
      <c r="G140" s="9" t="n">
        <f aca="false">F140-H140</f>
        <v>490</v>
      </c>
      <c r="H140" s="9" t="n">
        <v>560</v>
      </c>
      <c r="I140" s="55"/>
      <c r="J140" s="55"/>
      <c r="L140" s="79" t="s">
        <v>74</v>
      </c>
      <c r="M140" s="80" t="s">
        <v>75</v>
      </c>
      <c r="N140" s="81" t="s">
        <v>76</v>
      </c>
      <c r="O140" s="36"/>
      <c r="P140" s="80" t="s">
        <v>75</v>
      </c>
      <c r="Q140" s="81" t="s">
        <v>76</v>
      </c>
    </row>
    <row r="141" customFormat="false" ht="24.95" hidden="false" customHeight="true" outlineLevel="0" collapsed="false">
      <c r="A141" s="0" t="n">
        <v>31</v>
      </c>
      <c r="B141" s="34" t="n">
        <v>41974</v>
      </c>
      <c r="C141" s="1" t="n">
        <f aca="false">M153+P153</f>
        <v>0</v>
      </c>
      <c r="D141" s="29" t="s">
        <v>41</v>
      </c>
      <c r="E141" s="33" t="n">
        <f aca="false">IF(D141="totale",(C141/(A141*24))/F141,IF(D141="marché libre",(C141/(A141*24))/G141,"spécifier histo"))</f>
        <v>0</v>
      </c>
      <c r="F141" s="9" t="n">
        <v>1050</v>
      </c>
      <c r="G141" s="9" t="n">
        <f aca="false">F141-H141</f>
        <v>490</v>
      </c>
      <c r="H141" s="9" t="n">
        <v>560</v>
      </c>
      <c r="I141" s="55"/>
      <c r="J141" s="55"/>
      <c r="L141" s="82"/>
      <c r="M141" s="83"/>
      <c r="N141" s="84"/>
      <c r="O141" s="36"/>
      <c r="P141" s="83"/>
      <c r="Q141" s="84"/>
    </row>
    <row r="142" customFormat="false" ht="19.85" hidden="false" customHeight="true" outlineLevel="0" collapsed="false">
      <c r="A142" s="0" t="n">
        <v>31</v>
      </c>
      <c r="B142" s="91" t="n">
        <v>42005</v>
      </c>
      <c r="C142" s="92" t="n">
        <f aca="false">M154+P154</f>
        <v>0</v>
      </c>
      <c r="D142" s="93" t="s">
        <v>42</v>
      </c>
      <c r="E142" s="94" t="n">
        <f aca="false">IF(D142="totale",(C142/(A142*24))/F142,IF(D142="marché libre",(C142/(A142*24))/G142,"spécifier histo"))</f>
        <v>0</v>
      </c>
      <c r="F142" s="95" t="n">
        <v>1050</v>
      </c>
      <c r="G142" s="95" t="n">
        <f aca="false">F142-H142</f>
        <v>490</v>
      </c>
      <c r="H142" s="95" t="n">
        <v>560</v>
      </c>
      <c r="I142" s="55"/>
      <c r="J142" s="55"/>
      <c r="L142" s="85" t="s">
        <v>77</v>
      </c>
      <c r="M142" s="86" t="n">
        <v>613041</v>
      </c>
      <c r="N142" s="86" t="n">
        <v>24234</v>
      </c>
      <c r="O142" s="36"/>
      <c r="P142" s="86"/>
      <c r="Q142" s="86"/>
      <c r="S142" s="0"/>
    </row>
    <row r="143" customFormat="false" ht="19.85" hidden="false" customHeight="true" outlineLevel="0" collapsed="false">
      <c r="A143" s="0" t="n">
        <v>28</v>
      </c>
      <c r="B143" s="34" t="n">
        <v>42036</v>
      </c>
      <c r="C143" s="56" t="n">
        <v>222051</v>
      </c>
      <c r="D143" s="57" t="s">
        <v>42</v>
      </c>
      <c r="E143" s="33" t="n">
        <f aca="false">IF(D143="totale",(C143/(A143*24))/F143,IF(D143="marché libre",(C143/(A143*24))/G143,"spécifier histo"))</f>
        <v>0.674353134110787</v>
      </c>
      <c r="F143" s="9" t="n">
        <v>1050</v>
      </c>
      <c r="G143" s="9" t="n">
        <f aca="false">F143-H143</f>
        <v>490</v>
      </c>
      <c r="H143" s="9" t="n">
        <v>560</v>
      </c>
      <c r="I143" s="55"/>
      <c r="J143" s="55"/>
      <c r="L143" s="85" t="s">
        <v>78</v>
      </c>
      <c r="M143" s="87" t="n">
        <v>246174</v>
      </c>
      <c r="N143" s="87" t="n">
        <v>13318</v>
      </c>
      <c r="O143" s="36"/>
      <c r="P143" s="87" t="n">
        <v>189323</v>
      </c>
      <c r="Q143" s="87" t="n">
        <v>28707</v>
      </c>
      <c r="S143" s="0"/>
    </row>
    <row r="144" customFormat="false" ht="19.85" hidden="false" customHeight="true" outlineLevel="0" collapsed="false">
      <c r="A144" s="0" t="n">
        <v>31</v>
      </c>
      <c r="B144" s="31" t="n">
        <v>42064</v>
      </c>
      <c r="C144" s="56" t="n">
        <v>121482</v>
      </c>
      <c r="D144" s="57" t="s">
        <v>42</v>
      </c>
      <c r="E144" s="33" t="n">
        <f aca="false">IF(D144="totale",(C144/(A144*24))/F144,IF(D144="marché libre",(C144/(A144*24))/G144,"spécifier histo"))</f>
        <v>0.333229098090849</v>
      </c>
      <c r="F144" s="9" t="n">
        <v>1050</v>
      </c>
      <c r="G144" s="9" t="n">
        <f aca="false">F144-H144</f>
        <v>490</v>
      </c>
      <c r="H144" s="9" t="n">
        <v>560</v>
      </c>
      <c r="J144" s="55"/>
      <c r="L144" s="88" t="s">
        <v>79</v>
      </c>
      <c r="M144" s="86" t="n">
        <v>134046</v>
      </c>
      <c r="N144" s="86" t="n">
        <v>6407</v>
      </c>
      <c r="O144" s="36"/>
      <c r="P144" s="86" t="n">
        <v>279817</v>
      </c>
      <c r="Q144" s="86" t="n">
        <v>42429</v>
      </c>
      <c r="S144" s="0"/>
    </row>
    <row r="145" customFormat="false" ht="19.85" hidden="false" customHeight="true" outlineLevel="0" collapsed="false">
      <c r="A145" s="0" t="n">
        <v>30</v>
      </c>
      <c r="B145" s="34" t="n">
        <v>42095</v>
      </c>
      <c r="C145" s="56" t="n">
        <v>5616</v>
      </c>
      <c r="D145" s="57" t="s">
        <v>42</v>
      </c>
      <c r="E145" s="33" t="n">
        <f aca="false">IF(D145="totale",(C145/(A145*24))/F145,IF(D145="marché libre",(C145/(A145*24))/G145,"spécifier histo"))</f>
        <v>0.0159183673469388</v>
      </c>
      <c r="F145" s="9" t="n">
        <v>1050</v>
      </c>
      <c r="G145" s="9" t="n">
        <f aca="false">F145-H145</f>
        <v>490</v>
      </c>
      <c r="H145" s="9" t="n">
        <v>560</v>
      </c>
      <c r="J145" s="55"/>
      <c r="L145" s="88" t="s">
        <v>80</v>
      </c>
      <c r="M145" s="86" t="n">
        <v>46679</v>
      </c>
      <c r="N145" s="86" t="n">
        <v>1540</v>
      </c>
      <c r="O145" s="36"/>
      <c r="P145" s="86" t="n">
        <v>181588</v>
      </c>
      <c r="Q145" s="86" t="n">
        <v>13100</v>
      </c>
      <c r="S145" s="0"/>
    </row>
    <row r="146" customFormat="false" ht="19.85" hidden="false" customHeight="true" outlineLevel="0" collapsed="false">
      <c r="A146" s="0" t="n">
        <v>31</v>
      </c>
      <c r="B146" s="31" t="n">
        <v>42125</v>
      </c>
      <c r="C146" s="56" t="n">
        <v>2470</v>
      </c>
      <c r="D146" s="57" t="s">
        <v>42</v>
      </c>
      <c r="E146" s="33" t="n">
        <f aca="false">IF(D146="totale",(C146/(A146*24))/F146,IF(D146="marché libre",(C146/(A146*24))/G146,"spécifier histo"))</f>
        <v>0.00677529076146588</v>
      </c>
      <c r="F146" s="9" t="n">
        <v>1050</v>
      </c>
      <c r="G146" s="9" t="n">
        <f aca="false">F146-H146</f>
        <v>490</v>
      </c>
      <c r="H146" s="9" t="n">
        <v>560</v>
      </c>
      <c r="J146" s="55"/>
      <c r="L146" s="85" t="s">
        <v>81</v>
      </c>
      <c r="M146" s="86" t="n">
        <v>178572</v>
      </c>
      <c r="N146" s="86" t="n">
        <v>5268</v>
      </c>
      <c r="O146" s="36"/>
      <c r="P146" s="86" t="n">
        <v>184854</v>
      </c>
      <c r="Q146" s="86" t="n">
        <v>13335</v>
      </c>
      <c r="S146" s="0"/>
    </row>
    <row r="147" customFormat="false" ht="19.85" hidden="false" customHeight="true" outlineLevel="0" collapsed="false">
      <c r="A147" s="0" t="n">
        <v>30</v>
      </c>
      <c r="B147" s="34" t="n">
        <v>42156</v>
      </c>
      <c r="C147" s="56" t="n">
        <v>0</v>
      </c>
      <c r="D147" s="57" t="s">
        <v>42</v>
      </c>
      <c r="E147" s="33" t="n">
        <f aca="false">IF(D147="totale",(C147/(A147*24))/F147,IF(D147="marché libre",(C147/(A147*24))/G147,"spécifier histo"))</f>
        <v>0</v>
      </c>
      <c r="F147" s="9" t="n">
        <v>1050</v>
      </c>
      <c r="G147" s="9" t="n">
        <f aca="false">F147-H147</f>
        <v>490</v>
      </c>
      <c r="H147" s="9" t="n">
        <v>560</v>
      </c>
      <c r="J147" s="55"/>
      <c r="L147" s="85" t="s">
        <v>82</v>
      </c>
      <c r="M147" s="86" t="n">
        <v>2736</v>
      </c>
      <c r="N147" s="86" t="n">
        <v>88</v>
      </c>
      <c r="O147" s="36"/>
      <c r="P147" s="86" t="n">
        <v>116905</v>
      </c>
      <c r="Q147" s="86" t="n">
        <v>8434</v>
      </c>
      <c r="S147" s="0"/>
    </row>
    <row r="148" customFormat="false" ht="19.85" hidden="false" customHeight="true" outlineLevel="0" collapsed="false">
      <c r="A148" s="0" t="n">
        <v>31</v>
      </c>
      <c r="B148" s="31" t="n">
        <v>42186</v>
      </c>
      <c r="C148" s="56" t="n">
        <v>0</v>
      </c>
      <c r="D148" s="57" t="s">
        <v>42</v>
      </c>
      <c r="E148" s="33" t="n">
        <f aca="false">IF(D148="totale",(C148/(A148*24))/F148,IF(D148="marché libre",(C148/(A148*24))/G148,"spécifier histo"))</f>
        <v>0</v>
      </c>
      <c r="F148" s="9" t="n">
        <v>1050</v>
      </c>
      <c r="G148" s="9" t="n">
        <f aca="false">F148-H148</f>
        <v>490</v>
      </c>
      <c r="H148" s="9" t="n">
        <v>560</v>
      </c>
      <c r="J148" s="55"/>
      <c r="L148" s="85" t="s">
        <v>83</v>
      </c>
      <c r="M148" s="86" t="n">
        <v>190</v>
      </c>
      <c r="N148" s="86" t="n">
        <v>7</v>
      </c>
      <c r="O148" s="36"/>
      <c r="P148" s="86" t="n">
        <v>40330</v>
      </c>
      <c r="Q148" s="86" t="n">
        <v>2909</v>
      </c>
      <c r="S148" s="0"/>
    </row>
    <row r="149" customFormat="false" ht="19.85" hidden="false" customHeight="true" outlineLevel="0" collapsed="false">
      <c r="A149" s="0" t="n">
        <v>31</v>
      </c>
      <c r="B149" s="34" t="n">
        <v>42217</v>
      </c>
      <c r="C149" s="56" t="n">
        <v>1996</v>
      </c>
      <c r="D149" s="57" t="s">
        <v>42</v>
      </c>
      <c r="E149" s="33" t="n">
        <f aca="false">IF(D149="totale",(C149/(A149*24))/F149,IF(D149="marché libre",(C149/(A149*24))/G149,"spécifier histo"))</f>
        <v>0.0054750932631117</v>
      </c>
      <c r="F149" s="9" t="n">
        <v>1050</v>
      </c>
      <c r="G149" s="9" t="n">
        <f aca="false">F149-H149</f>
        <v>490</v>
      </c>
      <c r="H149" s="9" t="n">
        <v>560</v>
      </c>
      <c r="J149" s="55"/>
      <c r="L149" s="85" t="s">
        <v>84</v>
      </c>
      <c r="M149" s="86" t="n">
        <v>12301</v>
      </c>
      <c r="N149" s="86" t="n">
        <v>336</v>
      </c>
      <c r="O149" s="36"/>
      <c r="P149" s="86" t="n">
        <v>104850</v>
      </c>
      <c r="Q149" s="86" t="n">
        <v>7564</v>
      </c>
      <c r="R149" s="0"/>
      <c r="S149" s="0"/>
      <c r="T149" s="0"/>
    </row>
    <row r="150" customFormat="false" ht="19.85" hidden="false" customHeight="true" outlineLevel="0" collapsed="false">
      <c r="A150" s="0" t="n">
        <v>30</v>
      </c>
      <c r="B150" s="31" t="n">
        <v>42248</v>
      </c>
      <c r="C150" s="56" t="n">
        <v>160</v>
      </c>
      <c r="D150" s="57" t="s">
        <v>42</v>
      </c>
      <c r="E150" s="33" t="n">
        <f aca="false">IF(D150="totale",(C150/(A150*24))/F150,IF(D150="marché libre",(C150/(A150*24))/G150,"spécifier histo"))</f>
        <v>0.000453514739229025</v>
      </c>
      <c r="F150" s="9" t="n">
        <v>1050</v>
      </c>
      <c r="G150" s="9" t="n">
        <f aca="false">F150-H150</f>
        <v>490</v>
      </c>
      <c r="H150" s="9" t="n">
        <v>560</v>
      </c>
      <c r="J150" s="55"/>
      <c r="L150" s="88" t="s">
        <v>85</v>
      </c>
      <c r="M150" s="86" t="n">
        <v>81</v>
      </c>
      <c r="N150" s="86" t="n">
        <v>3</v>
      </c>
      <c r="O150" s="36"/>
      <c r="P150" s="86" t="n">
        <v>13942</v>
      </c>
      <c r="Q150" s="86" t="n">
        <v>1006</v>
      </c>
      <c r="R150" s="0"/>
      <c r="S150" s="0"/>
      <c r="T150" s="0"/>
    </row>
    <row r="151" customFormat="false" ht="19.85" hidden="false" customHeight="true" outlineLevel="0" collapsed="false">
      <c r="A151" s="0" t="n">
        <v>31</v>
      </c>
      <c r="B151" s="34" t="n">
        <v>42278</v>
      </c>
      <c r="C151" s="56" t="n">
        <v>0</v>
      </c>
      <c r="D151" s="57" t="s">
        <v>42</v>
      </c>
      <c r="E151" s="33" t="n">
        <f aca="false">IF(D151="totale",(C151/(A151*24))/F151,IF(D151="marché libre",(C151/(A151*24))/G151,"spécifier histo"))</f>
        <v>0</v>
      </c>
      <c r="F151" s="9" t="n">
        <v>1050</v>
      </c>
      <c r="G151" s="9" t="n">
        <f aca="false">F151-H151</f>
        <v>490</v>
      </c>
      <c r="H151" s="9" t="n">
        <v>560</v>
      </c>
      <c r="J151" s="55"/>
      <c r="K151" s="55"/>
      <c r="L151" s="85" t="s">
        <v>86</v>
      </c>
      <c r="M151" s="86" t="n">
        <v>337</v>
      </c>
      <c r="N151" s="86" t="n">
        <v>16</v>
      </c>
      <c r="O151" s="36"/>
      <c r="P151" s="86" t="n">
        <v>62760</v>
      </c>
      <c r="Q151" s="86" t="n">
        <v>4528</v>
      </c>
      <c r="R151" s="0"/>
      <c r="S151" s="0"/>
      <c r="T151" s="0"/>
    </row>
    <row r="152" customFormat="false" ht="19.85" hidden="false" customHeight="true" outlineLevel="0" collapsed="false">
      <c r="A152" s="0" t="n">
        <v>30</v>
      </c>
      <c r="B152" s="31" t="n">
        <v>42309</v>
      </c>
      <c r="C152" s="56" t="n">
        <v>0</v>
      </c>
      <c r="D152" s="57" t="s">
        <v>42</v>
      </c>
      <c r="E152" s="33" t="n">
        <f aca="false">IF(D152="totale",(C152/(A152*24))/F152,IF(D152="marché libre",(C152/(A152*24))/G152,"spécifier histo"))</f>
        <v>0</v>
      </c>
      <c r="F152" s="9" t="n">
        <v>1050</v>
      </c>
      <c r="G152" s="9" t="n">
        <f aca="false">F152-H152</f>
        <v>490</v>
      </c>
      <c r="H152" s="9" t="n">
        <v>560</v>
      </c>
      <c r="J152" s="55"/>
      <c r="K152" s="55"/>
      <c r="L152" s="85" t="s">
        <v>87</v>
      </c>
      <c r="M152" s="86"/>
      <c r="N152" s="86"/>
      <c r="O152" s="36"/>
      <c r="P152" s="86"/>
      <c r="Q152" s="86"/>
      <c r="R152" s="0"/>
      <c r="S152" s="0"/>
      <c r="T152" s="0"/>
    </row>
    <row r="153" customFormat="false" ht="19.85" hidden="false" customHeight="true" outlineLevel="0" collapsed="false">
      <c r="A153" s="0" t="n">
        <v>31</v>
      </c>
      <c r="B153" s="34" t="n">
        <v>42339</v>
      </c>
      <c r="C153" s="56" t="n">
        <v>0</v>
      </c>
      <c r="D153" s="57" t="s">
        <v>42</v>
      </c>
      <c r="E153" s="33" t="n">
        <f aca="false">IF(D153="totale",(C153/(A153*24))/F153,IF(D153="marché libre",(C153/(A153*24))/G153,"spécifier histo"))</f>
        <v>0</v>
      </c>
      <c r="F153" s="9" t="n">
        <v>1050</v>
      </c>
      <c r="G153" s="9" t="n">
        <f aca="false">F153-H153</f>
        <v>490</v>
      </c>
      <c r="H153" s="9" t="n">
        <v>560</v>
      </c>
      <c r="J153" s="55"/>
      <c r="K153" s="55"/>
      <c r="L153" s="85" t="s">
        <v>88</v>
      </c>
      <c r="M153" s="86"/>
      <c r="N153" s="86"/>
      <c r="O153" s="36"/>
      <c r="P153" s="86"/>
      <c r="Q153" s="86"/>
      <c r="R153" s="0"/>
      <c r="S153" s="0"/>
      <c r="T153" s="0"/>
    </row>
    <row r="154" customFormat="false" ht="19.85" hidden="false" customHeight="true" outlineLevel="0" collapsed="false">
      <c r="A154" s="0" t="n">
        <v>31</v>
      </c>
      <c r="B154" s="31" t="n">
        <v>42370</v>
      </c>
      <c r="C154" s="56" t="n">
        <v>204332</v>
      </c>
      <c r="D154" s="57" t="s">
        <v>42</v>
      </c>
      <c r="E154" s="33" t="n">
        <f aca="false">IF(D154="totale",(C154/(A154*24))/F154,IF(D154="marché libre",(C154/(A154*24))/G154,"spécifier histo"))</f>
        <v>0.560489357033136</v>
      </c>
      <c r="F154" s="9" t="n">
        <v>1050</v>
      </c>
      <c r="G154" s="9" t="n">
        <f aca="false">F154-H154</f>
        <v>490</v>
      </c>
      <c r="H154" s="9" t="n">
        <v>560</v>
      </c>
      <c r="J154" s="55"/>
      <c r="K154" s="55"/>
      <c r="L154" s="85"/>
      <c r="M154" s="86"/>
      <c r="N154" s="86"/>
      <c r="O154" s="36"/>
      <c r="P154" s="86"/>
      <c r="Q154" s="86"/>
      <c r="R154" s="0"/>
      <c r="S154" s="0"/>
      <c r="T154" s="0"/>
    </row>
    <row r="155" customFormat="false" ht="19.85" hidden="false" customHeight="true" outlineLevel="0" collapsed="false">
      <c r="A155" s="0" t="n">
        <v>28</v>
      </c>
      <c r="B155" s="34" t="n">
        <v>42401</v>
      </c>
      <c r="C155" s="56" t="n">
        <v>199066</v>
      </c>
      <c r="D155" s="57" t="s">
        <v>42</v>
      </c>
      <c r="E155" s="33" t="n">
        <f aca="false">IF(D155="totale",(C155/(A155*24))/F155,IF(D155="marché libre",(C155/(A155*24))/G155,"spécifier histo"))</f>
        <v>0.604549319727891</v>
      </c>
      <c r="F155" s="9" t="n">
        <v>1050</v>
      </c>
      <c r="G155" s="9" t="n">
        <f aca="false">F155-H155</f>
        <v>490</v>
      </c>
      <c r="H155" s="9" t="n">
        <v>560</v>
      </c>
      <c r="J155" s="55"/>
      <c r="K155" s="55"/>
      <c r="L155" s="89" t="s">
        <v>89</v>
      </c>
      <c r="M155" s="90" t="n">
        <f aca="false">SUM(M142:M153)</f>
        <v>1234157</v>
      </c>
      <c r="N155" s="90" t="n">
        <f aca="false">SUM(N142:N153)</f>
        <v>51217</v>
      </c>
      <c r="O155" s="36"/>
      <c r="P155" s="90" t="n">
        <f aca="false">SUM(P142:P153)</f>
        <v>1174369</v>
      </c>
      <c r="Q155" s="90" t="n">
        <f aca="false">SUM(Q142:Q153)</f>
        <v>122012</v>
      </c>
      <c r="R155" s="0"/>
      <c r="S155" s="0"/>
      <c r="T155" s="0"/>
    </row>
    <row r="156" customFormat="false" ht="19.85" hidden="false" customHeight="true" outlineLevel="0" collapsed="false">
      <c r="A156" s="0" t="n">
        <v>31</v>
      </c>
      <c r="B156" s="31" t="n">
        <v>42430</v>
      </c>
      <c r="C156" s="56" t="n">
        <v>142230</v>
      </c>
      <c r="D156" s="57" t="s">
        <v>42</v>
      </c>
      <c r="E156" s="33" t="n">
        <f aca="false">IF(D156="totale",(C156/(A156*24))/F156,IF(D156="marché libre",(C156/(A156*24))/G156,"spécifier histo"))</f>
        <v>0.390141540487163</v>
      </c>
      <c r="F156" s="9" t="n">
        <v>1050</v>
      </c>
      <c r="G156" s="9" t="n">
        <f aca="false">F156-H156</f>
        <v>490</v>
      </c>
      <c r="H156" s="9" t="n">
        <v>560</v>
      </c>
      <c r="J156" s="55"/>
      <c r="K156" s="55"/>
      <c r="L156" s="0"/>
      <c r="M156" s="0"/>
      <c r="N156" s="0"/>
      <c r="O156" s="0"/>
      <c r="P156" s="0"/>
      <c r="Q156" s="0"/>
      <c r="R156" s="0"/>
      <c r="S156" s="0"/>
      <c r="T156" s="0"/>
    </row>
    <row r="157" customFormat="false" ht="19.85" hidden="false" customHeight="true" outlineLevel="0" collapsed="false">
      <c r="A157" s="0" t="n">
        <v>30</v>
      </c>
      <c r="B157" s="34" t="n">
        <v>42461</v>
      </c>
      <c r="C157" s="56" t="n">
        <v>136381</v>
      </c>
      <c r="D157" s="57" t="s">
        <v>42</v>
      </c>
      <c r="E157" s="33" t="n">
        <f aca="false">IF(D157="totale",(C157/(A157*24))/F157,IF(D157="marché libre",(C157/(A157*24))/G157,"spécifier histo"))</f>
        <v>0.38656746031746</v>
      </c>
      <c r="F157" s="9" t="n">
        <v>1050</v>
      </c>
      <c r="G157" s="9" t="n">
        <f aca="false">F157-H157</f>
        <v>490</v>
      </c>
      <c r="H157" s="9" t="n">
        <v>560</v>
      </c>
      <c r="J157" s="55"/>
      <c r="K157" s="55"/>
      <c r="L157" s="0"/>
      <c r="M157" s="0"/>
      <c r="N157" s="0"/>
      <c r="O157" s="0"/>
      <c r="P157" s="0"/>
      <c r="Q157" s="0"/>
      <c r="R157" s="0"/>
      <c r="S157" s="0"/>
      <c r="T157" s="0"/>
    </row>
    <row r="158" customFormat="false" ht="19.85" hidden="false" customHeight="true" outlineLevel="0" collapsed="false">
      <c r="A158" s="0" t="n">
        <v>31</v>
      </c>
      <c r="B158" s="31" t="n">
        <v>42491</v>
      </c>
      <c r="C158" s="56" t="n">
        <v>155</v>
      </c>
      <c r="D158" s="57" t="s">
        <v>42</v>
      </c>
      <c r="E158" s="33" t="n">
        <f aca="false">IF(D158="totale",(C158/(A158*24))/F158,IF(D158="marché libre",(C158/(A158*24))/G158,"spécifier histo"))</f>
        <v>0.000425170068027211</v>
      </c>
      <c r="F158" s="9" t="n">
        <v>1050</v>
      </c>
      <c r="G158" s="9" t="n">
        <f aca="false">F158-H158</f>
        <v>490</v>
      </c>
      <c r="H158" s="9" t="n">
        <v>560</v>
      </c>
      <c r="J158" s="55"/>
      <c r="K158" s="55"/>
      <c r="L158" s="0"/>
      <c r="M158" s="0"/>
      <c r="N158" s="0"/>
      <c r="O158" s="0"/>
      <c r="P158" s="0"/>
      <c r="Q158" s="0"/>
      <c r="R158" s="0"/>
      <c r="S158" s="0"/>
      <c r="T158" s="0"/>
    </row>
    <row r="159" customFormat="false" ht="19.85" hidden="false" customHeight="true" outlineLevel="0" collapsed="false">
      <c r="A159" s="0" t="n">
        <v>30</v>
      </c>
      <c r="B159" s="34" t="n">
        <v>42522</v>
      </c>
      <c r="C159" s="56" t="n">
        <v>0</v>
      </c>
      <c r="D159" s="57" t="s">
        <v>42</v>
      </c>
      <c r="E159" s="33" t="n">
        <f aca="false">IF(D159="totale",(C159/(A159*24))/F159,IF(D159="marché libre",(C159/(A159*24))/G159,"spécifier histo"))</f>
        <v>0</v>
      </c>
      <c r="F159" s="9" t="n">
        <v>1050</v>
      </c>
      <c r="G159" s="9" t="n">
        <f aca="false">F159-H159</f>
        <v>490</v>
      </c>
      <c r="H159" s="9" t="n">
        <v>560</v>
      </c>
      <c r="I159" s="58"/>
      <c r="J159" s="55"/>
      <c r="K159" s="55"/>
      <c r="L159" s="0"/>
      <c r="M159" s="0"/>
      <c r="N159" s="0"/>
      <c r="O159" s="0"/>
      <c r="P159" s="0"/>
      <c r="Q159" s="0"/>
      <c r="R159" s="0"/>
      <c r="S159" s="0"/>
      <c r="T159" s="0"/>
    </row>
    <row r="160" customFormat="false" ht="19.85" hidden="false" customHeight="true" outlineLevel="0" collapsed="false">
      <c r="A160" s="0" t="n">
        <v>31</v>
      </c>
      <c r="B160" s="31" t="n">
        <v>42552</v>
      </c>
      <c r="C160" s="56" t="n">
        <v>0</v>
      </c>
      <c r="D160" s="57" t="s">
        <v>42</v>
      </c>
      <c r="E160" s="33" t="n">
        <f aca="false">IF(D160="totale",(C160/(A160*24))/F160,IF(D160="marché libre",(C160/(A160*24))/G160,"spécifier histo"))</f>
        <v>0</v>
      </c>
      <c r="F160" s="9" t="n">
        <v>1050</v>
      </c>
      <c r="G160" s="9" t="n">
        <f aca="false">F160-H160</f>
        <v>490</v>
      </c>
      <c r="H160" s="9" t="n">
        <v>560</v>
      </c>
      <c r="I160" s="58"/>
      <c r="J160" s="55"/>
      <c r="K160" s="55"/>
      <c r="L160" s="0"/>
      <c r="M160" s="0"/>
      <c r="N160" s="0"/>
      <c r="O160" s="0"/>
      <c r="P160" s="0"/>
      <c r="Q160" s="0"/>
      <c r="R160" s="0"/>
      <c r="S160" s="0"/>
      <c r="T160" s="0"/>
    </row>
    <row r="161" customFormat="false" ht="19.85" hidden="false" customHeight="true" outlineLevel="0" collapsed="false">
      <c r="A161" s="0" t="n">
        <v>31</v>
      </c>
      <c r="B161" s="34" t="n">
        <v>42583</v>
      </c>
      <c r="C161" s="56" t="n">
        <v>0</v>
      </c>
      <c r="D161" s="57" t="s">
        <v>42</v>
      </c>
      <c r="E161" s="33" t="n">
        <f aca="false">IF(D161="totale",(C161/(A161*24))/F161,IF(D161="marché libre",(C161/(A161*24))/G161,"spécifier histo"))</f>
        <v>0</v>
      </c>
      <c r="F161" s="9" t="n">
        <v>1050</v>
      </c>
      <c r="G161" s="9" t="n">
        <f aca="false">F161-H161</f>
        <v>490</v>
      </c>
      <c r="H161" s="9" t="n">
        <v>560</v>
      </c>
      <c r="I161" s="58"/>
      <c r="J161" s="55"/>
      <c r="K161" s="55"/>
      <c r="L161" s="0"/>
      <c r="M161" s="0"/>
      <c r="N161" s="0"/>
      <c r="O161" s="0"/>
      <c r="P161" s="0"/>
      <c r="Q161" s="0"/>
      <c r="R161" s="0"/>
      <c r="S161" s="0"/>
      <c r="T161" s="0"/>
    </row>
    <row r="162" customFormat="false" ht="19.85" hidden="false" customHeight="true" outlineLevel="0" collapsed="false">
      <c r="A162" s="0" t="n">
        <v>30</v>
      </c>
      <c r="B162" s="31" t="n">
        <v>42614</v>
      </c>
      <c r="C162" s="56" t="n">
        <v>0</v>
      </c>
      <c r="D162" s="57" t="s">
        <v>42</v>
      </c>
      <c r="E162" s="33" t="n">
        <f aca="false">IF(D162="totale",(C162/(A162*24))/F162,IF(D162="marché libre",(C162/(A162*24))/G162,"spécifier histo"))</f>
        <v>0</v>
      </c>
      <c r="F162" s="9" t="n">
        <v>1050</v>
      </c>
      <c r="G162" s="9" t="n">
        <f aca="false">F162-H162</f>
        <v>490</v>
      </c>
      <c r="H162" s="9" t="n">
        <v>560</v>
      </c>
      <c r="I162" s="58"/>
      <c r="J162" s="55"/>
      <c r="K162" s="55"/>
      <c r="L162" s="0"/>
      <c r="M162" s="0"/>
      <c r="N162" s="0"/>
      <c r="O162" s="0"/>
      <c r="P162" s="0"/>
      <c r="Q162" s="0"/>
      <c r="R162" s="0"/>
      <c r="S162" s="0"/>
      <c r="T162" s="0"/>
    </row>
    <row r="163" customFormat="false" ht="19.85" hidden="false" customHeight="true" outlineLevel="0" collapsed="false">
      <c r="A163" s="0" t="n">
        <v>31</v>
      </c>
      <c r="B163" s="34" t="n">
        <v>42644</v>
      </c>
      <c r="C163" s="56" t="n">
        <v>0</v>
      </c>
      <c r="D163" s="57" t="s">
        <v>42</v>
      </c>
      <c r="E163" s="33" t="n">
        <f aca="false">IF(D163="totale",(C163/(A163*24))/F163,IF(D163="marché libre",(C163/(A163*24))/G163,"spécifier histo"))</f>
        <v>0</v>
      </c>
      <c r="F163" s="9" t="n">
        <v>1050</v>
      </c>
      <c r="G163" s="9" t="n">
        <f aca="false">F163-H163</f>
        <v>490</v>
      </c>
      <c r="H163" s="9" t="n">
        <v>560</v>
      </c>
      <c r="I163" s="58"/>
      <c r="J163" s="55"/>
      <c r="K163" s="55"/>
      <c r="L163" s="0"/>
      <c r="M163" s="0"/>
      <c r="N163" s="0"/>
      <c r="O163" s="0"/>
      <c r="P163" s="0"/>
      <c r="Q163" s="0"/>
      <c r="R163" s="0"/>
      <c r="S163" s="0"/>
      <c r="T163" s="0"/>
    </row>
    <row r="164" customFormat="false" ht="19.85" hidden="false" customHeight="true" outlineLevel="0" collapsed="false">
      <c r="A164" s="0" t="n">
        <v>30</v>
      </c>
      <c r="B164" s="31" t="n">
        <v>42675</v>
      </c>
      <c r="C164" s="59" t="n">
        <v>0</v>
      </c>
      <c r="D164" s="57" t="s">
        <v>42</v>
      </c>
      <c r="E164" s="33" t="n">
        <f aca="false">IF(D164="totale",(C164/(A164*24))/F164,IF(D164="marché libre",(C164/(A164*24))/G164,"spécifier histo"))</f>
        <v>0</v>
      </c>
      <c r="F164" s="9" t="n">
        <v>1050</v>
      </c>
      <c r="G164" s="9" t="n">
        <f aca="false">F164-H164</f>
        <v>490</v>
      </c>
      <c r="H164" s="9" t="n">
        <v>560</v>
      </c>
      <c r="I164" s="58"/>
      <c r="J164" s="55"/>
      <c r="K164" s="55"/>
      <c r="L164" s="0"/>
      <c r="M164" s="0"/>
      <c r="N164" s="0"/>
      <c r="O164" s="0"/>
      <c r="P164" s="0"/>
      <c r="Q164" s="0"/>
      <c r="R164" s="0"/>
      <c r="S164" s="0"/>
      <c r="T164" s="0"/>
    </row>
    <row r="165" customFormat="false" ht="19.85" hidden="false" customHeight="true" outlineLevel="0" collapsed="false">
      <c r="A165" s="0" t="n">
        <v>31</v>
      </c>
      <c r="B165" s="34" t="n">
        <v>42705</v>
      </c>
      <c r="C165" s="60" t="n">
        <v>0</v>
      </c>
      <c r="D165" s="57" t="s">
        <v>42</v>
      </c>
      <c r="E165" s="33" t="n">
        <f aca="false">IF(D165="totale",(C165/(A165*24))/F165,IF(D165="marché libre",(C165/(A165*24))/G165,"spécifier histo"))</f>
        <v>0</v>
      </c>
      <c r="F165" s="9" t="n">
        <v>1050</v>
      </c>
      <c r="G165" s="9" t="n">
        <f aca="false">F165-H165</f>
        <v>490</v>
      </c>
      <c r="H165" s="9" t="n">
        <v>560</v>
      </c>
      <c r="I165" s="58"/>
      <c r="J165" s="55"/>
      <c r="K165" s="55"/>
      <c r="L165" s="0"/>
      <c r="O165" s="0"/>
      <c r="Q165" s="0"/>
    </row>
    <row r="166" customFormat="false" ht="19.85" hidden="false" customHeight="true" outlineLevel="0" collapsed="false">
      <c r="A166" s="0" t="n">
        <v>31</v>
      </c>
      <c r="B166" s="31" t="n">
        <v>42736</v>
      </c>
      <c r="C166" s="9" t="n">
        <v>0</v>
      </c>
      <c r="D166" s="57" t="s">
        <v>42</v>
      </c>
      <c r="E166" s="33" t="n">
        <f aca="false">IF(D166="totale",(C166/(A166*24))/F166,IF(D166="marché libre",(C166/(A166*24))/G166,"spécifier histo"))</f>
        <v>0</v>
      </c>
      <c r="F166" s="9" t="n">
        <v>1050</v>
      </c>
      <c r="G166" s="9" t="n">
        <f aca="false">F166-H166</f>
        <v>490</v>
      </c>
      <c r="H166" s="9" t="n">
        <v>560</v>
      </c>
      <c r="I166" s="58"/>
      <c r="J166" s="30"/>
      <c r="L166" s="0"/>
      <c r="O166" s="0"/>
      <c r="Q166" s="0"/>
    </row>
    <row r="167" customFormat="false" ht="19.85" hidden="false" customHeight="true" outlineLevel="0" collapsed="false">
      <c r="A167" s="0" t="n">
        <v>28</v>
      </c>
      <c r="B167" s="34" t="n">
        <v>42767</v>
      </c>
      <c r="C167" s="1" t="n">
        <v>39916</v>
      </c>
      <c r="D167" s="57" t="s">
        <v>42</v>
      </c>
      <c r="E167" s="33" t="n">
        <f aca="false">IF(D167="totale",(C167/(A167*24))/F167,IF(D167="marché libre",(C167/(A167*24))/G167,"spécifier histo"))</f>
        <v>0.121222060252673</v>
      </c>
      <c r="F167" s="9" t="n">
        <v>1050</v>
      </c>
      <c r="G167" s="9" t="n">
        <f aca="false">F167-H167</f>
        <v>490</v>
      </c>
      <c r="H167" s="9" t="n">
        <v>560</v>
      </c>
      <c r="I167" s="58"/>
      <c r="J167" s="55"/>
      <c r="L167" s="0"/>
      <c r="O167" s="0"/>
      <c r="Q167" s="0"/>
    </row>
    <row r="168" customFormat="false" ht="19.85" hidden="false" customHeight="true" outlineLevel="0" collapsed="false">
      <c r="A168" s="0" t="n">
        <v>31</v>
      </c>
      <c r="B168" s="31" t="n">
        <v>42795</v>
      </c>
      <c r="C168" s="1" t="n">
        <v>142519</v>
      </c>
      <c r="D168" s="57" t="s">
        <v>42</v>
      </c>
      <c r="E168" s="33" t="n">
        <f aca="false">IF(D168="totale",(C168/(A168*24))/F168,IF(D168="marché libre",(C168/(A168*24))/G168,"spécifier histo"))</f>
        <v>0.390934276936581</v>
      </c>
      <c r="F168" s="9" t="n">
        <v>1050</v>
      </c>
      <c r="G168" s="9" t="n">
        <f aca="false">F168-H168</f>
        <v>490</v>
      </c>
      <c r="H168" s="9" t="n">
        <v>560</v>
      </c>
      <c r="I168" s="58"/>
      <c r="J168" s="55"/>
      <c r="L168" s="0"/>
      <c r="O168" s="0"/>
      <c r="Q168" s="0"/>
    </row>
    <row r="169" customFormat="false" ht="19.85" hidden="false" customHeight="true" outlineLevel="0" collapsed="false">
      <c r="A169" s="0" t="n">
        <v>30</v>
      </c>
      <c r="B169" s="34" t="n">
        <v>42826</v>
      </c>
      <c r="C169" s="1" t="n">
        <v>0</v>
      </c>
      <c r="D169" s="57" t="s">
        <v>42</v>
      </c>
      <c r="E169" s="33" t="n">
        <f aca="false">IF(D169="totale",(C169/(A169*24))/F169,IF(D169="marché libre",(C169/(A169*24))/G169,"spécifier histo"))</f>
        <v>0</v>
      </c>
      <c r="F169" s="9" t="n">
        <v>1050</v>
      </c>
      <c r="G169" s="9" t="n">
        <f aca="false">F169-H169</f>
        <v>490</v>
      </c>
      <c r="H169" s="9" t="n">
        <v>560</v>
      </c>
      <c r="I169" s="58"/>
      <c r="J169" s="55"/>
      <c r="L169" s="0"/>
      <c r="O169" s="0"/>
      <c r="Q169" s="0"/>
    </row>
    <row r="170" customFormat="false" ht="19.85" hidden="false" customHeight="true" outlineLevel="0" collapsed="false">
      <c r="A170" s="0" t="n">
        <v>31</v>
      </c>
      <c r="B170" s="31" t="n">
        <v>42856</v>
      </c>
      <c r="C170" s="1" t="n">
        <v>0</v>
      </c>
      <c r="D170" s="57" t="s">
        <v>42</v>
      </c>
      <c r="E170" s="33" t="n">
        <f aca="false">IF(D170="totale",(C170/(A170*24))/F170,IF(D170="marché libre",(C170/(A170*24))/G170,"spécifier histo"))</f>
        <v>0</v>
      </c>
      <c r="F170" s="9" t="n">
        <v>1050</v>
      </c>
      <c r="G170" s="9" t="n">
        <f aca="false">F170-H170</f>
        <v>490</v>
      </c>
      <c r="H170" s="9" t="n">
        <v>560</v>
      </c>
      <c r="I170" s="58"/>
      <c r="J170" s="55"/>
      <c r="L170" s="0"/>
      <c r="O170" s="0"/>
      <c r="Q170" s="0"/>
    </row>
    <row r="171" customFormat="false" ht="22.45" hidden="false" customHeight="true" outlineLevel="0" collapsed="false">
      <c r="A171" s="0" t="n">
        <v>30</v>
      </c>
      <c r="B171" s="34" t="n">
        <v>42887</v>
      </c>
      <c r="C171" s="1" t="n">
        <v>0</v>
      </c>
      <c r="D171" s="57" t="s">
        <v>42</v>
      </c>
      <c r="E171" s="33" t="n">
        <f aca="false">IF(D171="totale",(C171/(A171*24))/F171,IF(D171="marché libre",(C171/(A171*24))/G171,"spécifier histo"))</f>
        <v>0</v>
      </c>
      <c r="F171" s="9" t="n">
        <v>1050</v>
      </c>
      <c r="G171" s="9" t="n">
        <f aca="false">F171-H171</f>
        <v>490</v>
      </c>
      <c r="H171" s="9" t="n">
        <v>560</v>
      </c>
      <c r="I171" s="58"/>
      <c r="J171" s="55"/>
      <c r="L171" s="0"/>
      <c r="O171" s="0"/>
      <c r="Q171" s="0"/>
    </row>
    <row r="172" customFormat="false" ht="21.65" hidden="false" customHeight="true" outlineLevel="0" collapsed="false">
      <c r="A172" s="0" t="n">
        <v>31</v>
      </c>
      <c r="B172" s="31" t="n">
        <v>42917</v>
      </c>
      <c r="C172" s="1" t="n">
        <v>0</v>
      </c>
      <c r="D172" s="57" t="s">
        <v>42</v>
      </c>
      <c r="E172" s="33" t="n">
        <f aca="false">IF(D172="totale",(C172/(A172*24))/F172,IF(D172="marché libre",(C172/(A172*24))/G172,"spécifier histo"))</f>
        <v>0</v>
      </c>
      <c r="F172" s="9" t="n">
        <v>1050</v>
      </c>
      <c r="G172" s="9" t="n">
        <f aca="false">F172-H172</f>
        <v>490</v>
      </c>
      <c r="H172" s="9" t="n">
        <v>560</v>
      </c>
      <c r="I172" s="58"/>
      <c r="J172" s="55"/>
      <c r="L172" s="0"/>
      <c r="O172" s="0"/>
      <c r="Q172" s="0"/>
    </row>
    <row r="173" customFormat="false" ht="21.65" hidden="false" customHeight="true" outlineLevel="0" collapsed="false">
      <c r="A173" s="0" t="n">
        <v>31</v>
      </c>
      <c r="B173" s="34" t="n">
        <v>42948</v>
      </c>
      <c r="C173" s="1" t="n">
        <v>0</v>
      </c>
      <c r="D173" s="57" t="s">
        <v>42</v>
      </c>
      <c r="E173" s="33" t="n">
        <f aca="false">IF(D173="totale",(C173/(A173*24))/F173,IF(D173="marché libre",(C173/(A173*24))/G173,"spécifier histo"))</f>
        <v>0</v>
      </c>
      <c r="F173" s="9" t="n">
        <v>1050</v>
      </c>
      <c r="G173" s="9" t="n">
        <f aca="false">F173-H173</f>
        <v>490</v>
      </c>
      <c r="H173" s="9" t="n">
        <v>560</v>
      </c>
      <c r="I173" s="58"/>
      <c r="J173" s="55"/>
      <c r="L173" s="0"/>
      <c r="O173" s="0"/>
      <c r="Q173" s="0"/>
    </row>
    <row r="174" customFormat="false" ht="21.65" hidden="false" customHeight="true" outlineLevel="0" collapsed="false">
      <c r="A174" s="0" t="n">
        <v>30</v>
      </c>
      <c r="B174" s="31" t="n">
        <v>42979</v>
      </c>
      <c r="C174" s="1" t="n">
        <v>0</v>
      </c>
      <c r="D174" s="57" t="s">
        <v>42</v>
      </c>
      <c r="E174" s="33" t="n">
        <f aca="false">IF(D174="totale",(C174/(A174*24))/F174,IF(D174="marché libre",(C174/(A174*24))/G174,"spécifier histo"))</f>
        <v>0</v>
      </c>
      <c r="F174" s="9" t="n">
        <v>1050</v>
      </c>
      <c r="G174" s="9" t="n">
        <f aca="false">F174-H174</f>
        <v>490</v>
      </c>
      <c r="H174" s="9" t="n">
        <v>560</v>
      </c>
      <c r="J174" s="55"/>
      <c r="L174" s="0"/>
      <c r="O174" s="0"/>
      <c r="Q174" s="0"/>
    </row>
    <row r="175" customFormat="false" ht="21.65" hidden="false" customHeight="true" outlineLevel="0" collapsed="false">
      <c r="A175" s="0" t="n">
        <v>31</v>
      </c>
      <c r="B175" s="34" t="n">
        <v>43009</v>
      </c>
      <c r="C175" s="1" t="n">
        <v>0</v>
      </c>
      <c r="D175" s="57" t="s">
        <v>42</v>
      </c>
      <c r="E175" s="33" t="n">
        <f aca="false">IF(D175="totale",(C175/(A175*24))/F175,IF(D175="marché libre",(C175/(A175*24))/G175,"spécifier histo"))</f>
        <v>0</v>
      </c>
      <c r="F175" s="9" t="n">
        <v>1050</v>
      </c>
      <c r="G175" s="9" t="n">
        <f aca="false">F175-H175</f>
        <v>490</v>
      </c>
      <c r="H175" s="9" t="n">
        <v>560</v>
      </c>
      <c r="J175" s="55"/>
      <c r="L175" s="0"/>
      <c r="O175" s="0"/>
      <c r="Q175" s="0"/>
    </row>
    <row r="176" customFormat="false" ht="21.65" hidden="false" customHeight="true" outlineLevel="0" collapsed="false">
      <c r="A176" s="0" t="n">
        <v>30</v>
      </c>
      <c r="B176" s="31" t="n">
        <v>43040</v>
      </c>
      <c r="C176" s="1" t="n">
        <v>32</v>
      </c>
      <c r="D176" s="57" t="s">
        <v>42</v>
      </c>
      <c r="E176" s="33" t="n">
        <f aca="false">IF(D176="totale",(C176/(A176*24))/F176,IF(D176="marché libre",(C176/(A176*24))/G176,"spécifier histo"))</f>
        <v>9.0702947845805E-005</v>
      </c>
      <c r="F176" s="9" t="n">
        <v>1050</v>
      </c>
      <c r="G176" s="9" t="n">
        <f aca="false">F176-H176</f>
        <v>490</v>
      </c>
      <c r="H176" s="9" t="n">
        <v>560</v>
      </c>
      <c r="J176" s="55"/>
      <c r="L176" s="0"/>
      <c r="O176" s="0"/>
      <c r="Q176" s="0"/>
    </row>
    <row r="177" customFormat="false" ht="21.65" hidden="false" customHeight="true" outlineLevel="0" collapsed="false">
      <c r="A177" s="0" t="n">
        <v>31</v>
      </c>
      <c r="B177" s="34" t="n">
        <v>43070</v>
      </c>
      <c r="C177" s="1" t="n">
        <v>182446</v>
      </c>
      <c r="D177" s="57" t="s">
        <v>42</v>
      </c>
      <c r="E177" s="33" t="n">
        <f aca="false">IF(D177="totale",(C177/(A177*24))/F177,IF(D177="marché libre",(C177/(A177*24))/G177,"spécifier histo"))</f>
        <v>0.500455343427694</v>
      </c>
      <c r="F177" s="9" t="n">
        <v>1050</v>
      </c>
      <c r="G177" s="9" t="n">
        <f aca="false">F177-H177</f>
        <v>490</v>
      </c>
      <c r="H177" s="9" t="n">
        <v>560</v>
      </c>
      <c r="J177" s="55"/>
      <c r="L177" s="0"/>
      <c r="Q177" s="0"/>
    </row>
    <row r="178" customFormat="false" ht="28.35" hidden="false" customHeight="true" outlineLevel="0" collapsed="false">
      <c r="A178" s="0" t="n">
        <v>31</v>
      </c>
      <c r="B178" s="31" t="n">
        <v>43101</v>
      </c>
      <c r="C178" s="26" t="n">
        <v>326040</v>
      </c>
      <c r="D178" s="57" t="s">
        <v>42</v>
      </c>
      <c r="E178" s="33" t="n">
        <f aca="false">IF(D178="totale",(C178/(A178*24))/F178,IF(D178="marché libre",(C178/(A178*24))/G178,"spécifier histo"))</f>
        <v>0.894338380513496</v>
      </c>
      <c r="F178" s="9" t="n">
        <v>1050</v>
      </c>
      <c r="G178" s="9" t="n">
        <f aca="false">F178-H178</f>
        <v>490</v>
      </c>
      <c r="H178" s="9" t="n">
        <v>560</v>
      </c>
      <c r="J178" s="30"/>
      <c r="L178" s="0"/>
      <c r="Q178" s="0"/>
    </row>
    <row r="179" customFormat="false" ht="28.35" hidden="false" customHeight="true" outlineLevel="0" collapsed="false">
      <c r="A179" s="0" t="n">
        <v>28</v>
      </c>
      <c r="B179" s="34" t="n">
        <v>43132</v>
      </c>
      <c r="C179" s="26" t="n">
        <v>326040</v>
      </c>
      <c r="D179" s="57" t="s">
        <v>42</v>
      </c>
      <c r="E179" s="33" t="n">
        <f aca="false">IF(D179="totale",(C179/(A179*24))/F179,IF(D179="marché libre",(C179/(A179*24))/G179,"spécifier histo"))</f>
        <v>0.990160349854227</v>
      </c>
      <c r="F179" s="9" t="n">
        <v>1050</v>
      </c>
      <c r="G179" s="9" t="n">
        <f aca="false">F179-H179</f>
        <v>490</v>
      </c>
      <c r="H179" s="9" t="n">
        <v>560</v>
      </c>
      <c r="L179" s="0"/>
      <c r="Q179" s="0"/>
    </row>
    <row r="180" customFormat="false" ht="28.35" hidden="false" customHeight="true" outlineLevel="0" collapsed="false">
      <c r="A180" s="0" t="n">
        <v>31</v>
      </c>
      <c r="B180" s="31" t="n">
        <v>43160</v>
      </c>
      <c r="C180" s="26" t="n">
        <v>338347</v>
      </c>
      <c r="D180" s="57" t="s">
        <v>42</v>
      </c>
      <c r="E180" s="33" t="n">
        <f aca="false">IF(D180="totale",(C180/(A180*24))/F180,IF(D180="marché libre",(C180/(A180*24))/G180,"spécifier histo"))</f>
        <v>0.928096883914856</v>
      </c>
      <c r="F180" s="9" t="n">
        <v>1050</v>
      </c>
      <c r="G180" s="9" t="n">
        <f aca="false">F180-H180</f>
        <v>490</v>
      </c>
      <c r="H180" s="9" t="n">
        <v>560</v>
      </c>
      <c r="L180" s="0"/>
      <c r="Q180" s="0"/>
    </row>
    <row r="181" customFormat="false" ht="28.35" hidden="false" customHeight="true" outlineLevel="0" collapsed="false">
      <c r="A181" s="0" t="n">
        <v>30</v>
      </c>
      <c r="B181" s="34" t="n">
        <v>43191</v>
      </c>
      <c r="C181" s="26" t="n">
        <v>203989</v>
      </c>
      <c r="D181" s="57" t="s">
        <v>42</v>
      </c>
      <c r="E181" s="33" t="n">
        <f aca="false">IF(D181="totale",(C181/(A181*24))/F181,IF(D181="marché libre",(C181/(A181*24))/G181,"spécifier histo"))</f>
        <v>0.578200113378685</v>
      </c>
      <c r="F181" s="9" t="n">
        <v>1050</v>
      </c>
      <c r="G181" s="9" t="n">
        <f aca="false">F181-H181</f>
        <v>490</v>
      </c>
      <c r="H181" s="9" t="n">
        <v>560</v>
      </c>
      <c r="L181" s="0"/>
      <c r="Q181" s="0"/>
    </row>
    <row r="182" customFormat="false" ht="28.35" hidden="false" customHeight="true" outlineLevel="0" collapsed="false">
      <c r="A182" s="0" t="n">
        <v>31</v>
      </c>
      <c r="B182" s="31" t="n">
        <v>43221</v>
      </c>
      <c r="C182" s="26" t="n">
        <v>200213.17</v>
      </c>
      <c r="D182" s="57" t="s">
        <v>42</v>
      </c>
      <c r="E182" s="33" t="n">
        <f aca="false">IF(D182="totale",(C182/(A182*24))/F182,IF(D182="marché libre",(C182/(A182*24))/G182,"spécifier histo"))</f>
        <v>0.549191271669958</v>
      </c>
      <c r="F182" s="9" t="n">
        <v>1050</v>
      </c>
      <c r="G182" s="9" t="n">
        <f aca="false">F182-H182</f>
        <v>490</v>
      </c>
      <c r="H182" s="9" t="n">
        <v>560</v>
      </c>
      <c r="L182" s="0"/>
      <c r="Q182" s="0"/>
    </row>
    <row r="183" customFormat="false" ht="28.35" hidden="false" customHeight="true" outlineLevel="0" collapsed="false">
      <c r="A183" s="0" t="n">
        <v>30</v>
      </c>
      <c r="B183" s="34" t="n">
        <v>43252</v>
      </c>
      <c r="C183" s="26" t="n">
        <v>18803</v>
      </c>
      <c r="D183" s="57" t="s">
        <v>42</v>
      </c>
      <c r="E183" s="33" t="n">
        <f aca="false">IF(D183="totale",(C183/(A183*24))/F183,IF(D183="marché libre",(C183/(A183*24))/G183,"spécifier histo"))</f>
        <v>0.053296485260771</v>
      </c>
      <c r="F183" s="9" t="n">
        <v>1050</v>
      </c>
      <c r="G183" s="9" t="n">
        <f aca="false">F183-H183</f>
        <v>490</v>
      </c>
      <c r="H183" s="9" t="n">
        <v>560</v>
      </c>
      <c r="L183" s="0"/>
      <c r="Q183" s="0"/>
    </row>
    <row r="184" customFormat="false" ht="28.35" hidden="false" customHeight="true" outlineLevel="0" collapsed="false">
      <c r="A184" s="0"/>
      <c r="L184" s="0"/>
      <c r="Q184" s="0"/>
    </row>
    <row r="185" customFormat="false" ht="28.35" hidden="false" customHeight="true" outlineLevel="0" collapsed="false">
      <c r="A185" s="0"/>
      <c r="L185" s="0"/>
      <c r="Q185" s="0"/>
    </row>
    <row r="186" customFormat="false" ht="28.35" hidden="false" customHeight="true" outlineLevel="0" collapsed="false">
      <c r="A186" s="0"/>
      <c r="L186" s="0"/>
      <c r="Q186" s="0"/>
    </row>
    <row r="187" customFormat="false" ht="28.35" hidden="false" customHeight="true" outlineLevel="0" collapsed="false">
      <c r="A187" s="0"/>
      <c r="L187" s="0"/>
      <c r="Q187" s="0"/>
    </row>
    <row r="188" customFormat="false" ht="28.35" hidden="false" customHeight="true" outlineLevel="0" collapsed="false">
      <c r="A188" s="0"/>
      <c r="L188" s="0"/>
      <c r="Q188" s="0"/>
    </row>
    <row r="189" customFormat="false" ht="28.35" hidden="false" customHeight="true" outlineLevel="0" collapsed="false">
      <c r="A189" s="0"/>
      <c r="L189" s="0"/>
      <c r="Q189" s="0"/>
    </row>
    <row r="190" customFormat="false" ht="12.8" hidden="false" customHeight="false" outlineLevel="0" collapsed="false">
      <c r="A190" s="0"/>
      <c r="L190" s="0"/>
      <c r="Q190" s="0"/>
    </row>
    <row r="191" customFormat="false" ht="12.8" hidden="false" customHeight="false" outlineLevel="0" collapsed="false">
      <c r="A191" s="0"/>
      <c r="L191" s="0"/>
      <c r="Q191" s="0"/>
    </row>
    <row r="192" customFormat="false" ht="12.8" hidden="false" customHeight="false" outlineLevel="0" collapsed="false">
      <c r="A192" s="0"/>
      <c r="L192" s="0"/>
      <c r="Q192" s="0"/>
    </row>
    <row r="193" customFormat="false" ht="12.8" hidden="false" customHeight="false" outlineLevel="0" collapsed="false">
      <c r="A193" s="0"/>
      <c r="L193" s="0"/>
      <c r="Q193" s="0"/>
    </row>
    <row r="194" customFormat="false" ht="12.8" hidden="false" customHeight="false" outlineLevel="0" collapsed="false">
      <c r="A194" s="0"/>
      <c r="L194" s="0"/>
      <c r="Q194" s="0"/>
    </row>
    <row r="195" customFormat="false" ht="12.8" hidden="false" customHeight="false" outlineLevel="0" collapsed="false">
      <c r="A195" s="0"/>
      <c r="L195" s="0"/>
    </row>
    <row r="196" customFormat="false" ht="12.8" hidden="false" customHeight="false" outlineLevel="0" collapsed="false">
      <c r="A196" s="0"/>
      <c r="L196" s="0"/>
    </row>
    <row r="197" customFormat="false" ht="12.8" hidden="false" customHeight="false" outlineLevel="0" collapsed="false">
      <c r="A197" s="0"/>
      <c r="L197" s="0"/>
    </row>
    <row r="198" customFormat="false" ht="12.8" hidden="false" customHeight="false" outlineLevel="0" collapsed="false">
      <c r="A198" s="0"/>
      <c r="L198" s="0"/>
    </row>
    <row r="199" customFormat="false" ht="12.8" hidden="false" customHeight="false" outlineLevel="0" collapsed="false">
      <c r="A199" s="0"/>
      <c r="L199" s="0"/>
    </row>
    <row r="200" customFormat="false" ht="12.8" hidden="false" customHeight="false" outlineLevel="0" collapsed="false">
      <c r="A200" s="0"/>
      <c r="L200" s="0"/>
    </row>
    <row r="201" customFormat="false" ht="12.8" hidden="false" customHeight="false" outlineLevel="0" collapsed="false">
      <c r="A201" s="0"/>
      <c r="L201" s="0"/>
    </row>
    <row r="202" customFormat="false" ht="12.8" hidden="false" customHeight="false" outlineLevel="0" collapsed="false">
      <c r="A202" s="0"/>
      <c r="L202" s="0"/>
    </row>
    <row r="203" customFormat="false" ht="12.8" hidden="false" customHeight="false" outlineLevel="0" collapsed="false">
      <c r="A203" s="0"/>
      <c r="L203" s="0"/>
    </row>
    <row r="204" customFormat="false" ht="12.8" hidden="false" customHeight="false" outlineLevel="0" collapsed="false">
      <c r="A204" s="0"/>
      <c r="L204" s="0"/>
    </row>
    <row r="205" customFormat="false" ht="12.8" hidden="false" customHeight="false" outlineLevel="0" collapsed="false">
      <c r="A205" s="0"/>
      <c r="L205" s="0"/>
    </row>
    <row r="206" customFormat="false" ht="12.8" hidden="false" customHeight="false" outlineLevel="0" collapsed="false">
      <c r="A206" s="0"/>
      <c r="L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row r="212" customFormat="false" ht="12.8" hidden="false" customHeight="false" outlineLevel="0" collapsed="false">
      <c r="A212" s="0"/>
    </row>
    <row r="213" customFormat="false" ht="12.8" hidden="false" customHeight="fals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sheetData>
  <mergeCells count="17">
    <mergeCell ref="B1:E2"/>
    <mergeCell ref="F1:N1"/>
    <mergeCell ref="F2:I2"/>
    <mergeCell ref="J2:K2"/>
    <mergeCell ref="L2:M2"/>
    <mergeCell ref="N2:N3"/>
    <mergeCell ref="U2:U3"/>
    <mergeCell ref="T4:V4"/>
    <mergeCell ref="C6:D6"/>
    <mergeCell ref="F6:F7"/>
    <mergeCell ref="G6:N7"/>
    <mergeCell ref="C7:D7"/>
    <mergeCell ref="L117:N117"/>
    <mergeCell ref="M119:N119"/>
    <mergeCell ref="P119:Q119"/>
    <mergeCell ref="M139:N139"/>
    <mergeCell ref="P139:Q139"/>
  </mergeCells>
  <conditionalFormatting sqref="E1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1">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2">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13">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conditionalFormatting sqref="E14">
    <cfRule type="cellIs" priority="18" operator="greaterThan" aboveAverage="0" equalAverage="0" bottom="0" percent="0" rank="0" text="" dxfId="0">
      <formula>1</formula>
    </cfRule>
    <cfRule type="cellIs" priority="19" operator="equal" aboveAverage="0" equalAverage="0" bottom="0" percent="0" rank="0" text="" dxfId="1">
      <formula>0</formula>
    </cfRule>
    <cfRule type="cellIs" priority="20" operator="lessThan" aboveAverage="0" equalAverage="0" bottom="0" percent="0" rank="0" text="" dxfId="2">
      <formula>0.2</formula>
    </cfRule>
    <cfRule type="cellIs" priority="21" operator="greaterThan" aboveAverage="0" equalAverage="0" bottom="0" percent="0" rank="0" text="" dxfId="3">
      <formula>0.8</formula>
    </cfRule>
  </conditionalFormatting>
  <conditionalFormatting sqref="E15">
    <cfRule type="cellIs" priority="22" operator="greaterThan" aboveAverage="0" equalAverage="0" bottom="0" percent="0" rank="0" text="" dxfId="0">
      <formula>1</formula>
    </cfRule>
    <cfRule type="cellIs" priority="23" operator="equal" aboveAverage="0" equalAverage="0" bottom="0" percent="0" rank="0" text="" dxfId="1">
      <formula>0</formula>
    </cfRule>
    <cfRule type="cellIs" priority="24" operator="lessThan" aboveAverage="0" equalAverage="0" bottom="0" percent="0" rank="0" text="" dxfId="2">
      <formula>0.2</formula>
    </cfRule>
    <cfRule type="cellIs" priority="25" operator="greaterThan" aboveAverage="0" equalAverage="0" bottom="0" percent="0" rank="0" text="" dxfId="3">
      <formula>0.8</formula>
    </cfRule>
  </conditionalFormatting>
  <conditionalFormatting sqref="E16">
    <cfRule type="cellIs" priority="26" operator="greaterThan" aboveAverage="0" equalAverage="0" bottom="0" percent="0" rank="0" text="" dxfId="0">
      <formula>1</formula>
    </cfRule>
    <cfRule type="cellIs" priority="27" operator="equal" aboveAverage="0" equalAverage="0" bottom="0" percent="0" rank="0" text="" dxfId="1">
      <formula>0</formula>
    </cfRule>
    <cfRule type="cellIs" priority="28" operator="lessThan" aboveAverage="0" equalAverage="0" bottom="0" percent="0" rank="0" text="" dxfId="2">
      <formula>0.2</formula>
    </cfRule>
    <cfRule type="cellIs" priority="29" operator="greaterThan" aboveAverage="0" equalAverage="0" bottom="0" percent="0" rank="0" text="" dxfId="3">
      <formula>0.8</formula>
    </cfRule>
  </conditionalFormatting>
  <conditionalFormatting sqref="E17">
    <cfRule type="cellIs" priority="30" operator="greaterThan" aboveAverage="0" equalAverage="0" bottom="0" percent="0" rank="0" text="" dxfId="0">
      <formula>1</formula>
    </cfRule>
    <cfRule type="cellIs" priority="31" operator="equal" aboveAverage="0" equalAverage="0" bottom="0" percent="0" rank="0" text="" dxfId="1">
      <formula>0</formula>
    </cfRule>
    <cfRule type="cellIs" priority="32" operator="lessThan" aboveAverage="0" equalAverage="0" bottom="0" percent="0" rank="0" text="" dxfId="2">
      <formula>0.2</formula>
    </cfRule>
    <cfRule type="cellIs" priority="33" operator="greaterThan" aboveAverage="0" equalAverage="0" bottom="0" percent="0" rank="0" text="" dxfId="3">
      <formula>0.8</formula>
    </cfRule>
  </conditionalFormatting>
  <conditionalFormatting sqref="E18">
    <cfRule type="cellIs" priority="34" operator="greaterThan" aboveAverage="0" equalAverage="0" bottom="0" percent="0" rank="0" text="" dxfId="0">
      <formula>1</formula>
    </cfRule>
    <cfRule type="cellIs" priority="35" operator="equal" aboveAverage="0" equalAverage="0" bottom="0" percent="0" rank="0" text="" dxfId="1">
      <formula>0</formula>
    </cfRule>
    <cfRule type="cellIs" priority="36" operator="lessThan" aboveAverage="0" equalAverage="0" bottom="0" percent="0" rank="0" text="" dxfId="2">
      <formula>0.2</formula>
    </cfRule>
    <cfRule type="cellIs" priority="37" operator="greaterThan" aboveAverage="0" equalAverage="0" bottom="0" percent="0" rank="0" text="" dxfId="3">
      <formula>0.8</formula>
    </cfRule>
  </conditionalFormatting>
  <conditionalFormatting sqref="E19">
    <cfRule type="cellIs" priority="38" operator="greaterThan" aboveAverage="0" equalAverage="0" bottom="0" percent="0" rank="0" text="" dxfId="0">
      <formula>1</formula>
    </cfRule>
    <cfRule type="cellIs" priority="39" operator="equal" aboveAverage="0" equalAverage="0" bottom="0" percent="0" rank="0" text="" dxfId="1">
      <formula>0</formula>
    </cfRule>
    <cfRule type="cellIs" priority="40" operator="lessThan" aboveAverage="0" equalAverage="0" bottom="0" percent="0" rank="0" text="" dxfId="2">
      <formula>0.2</formula>
    </cfRule>
    <cfRule type="cellIs" priority="41" operator="greaterThan" aboveAverage="0" equalAverage="0" bottom="0" percent="0" rank="0" text="" dxfId="3">
      <formula>0.8</formula>
    </cfRule>
  </conditionalFormatting>
  <conditionalFormatting sqref="E20">
    <cfRule type="cellIs" priority="42" operator="greaterThan" aboveAverage="0" equalAverage="0" bottom="0" percent="0" rank="0" text="" dxfId="0">
      <formula>1</formula>
    </cfRule>
    <cfRule type="cellIs" priority="43" operator="equal" aboveAverage="0" equalAverage="0" bottom="0" percent="0" rank="0" text="" dxfId="1">
      <formula>0</formula>
    </cfRule>
    <cfRule type="cellIs" priority="44" operator="lessThan" aboveAverage="0" equalAverage="0" bottom="0" percent="0" rank="0" text="" dxfId="2">
      <formula>0.2</formula>
    </cfRule>
    <cfRule type="cellIs" priority="45" operator="greaterThan" aboveAverage="0" equalAverage="0" bottom="0" percent="0" rank="0" text="" dxfId="3">
      <formula>0.8</formula>
    </cfRule>
  </conditionalFormatting>
  <conditionalFormatting sqref="E21">
    <cfRule type="cellIs" priority="46" operator="greaterThan" aboveAverage="0" equalAverage="0" bottom="0" percent="0" rank="0" text="" dxfId="0">
      <formula>1</formula>
    </cfRule>
    <cfRule type="cellIs" priority="47" operator="equal" aboveAverage="0" equalAverage="0" bottom="0" percent="0" rank="0" text="" dxfId="1">
      <formula>0</formula>
    </cfRule>
    <cfRule type="cellIs" priority="48" operator="lessThan" aboveAverage="0" equalAverage="0" bottom="0" percent="0" rank="0" text="" dxfId="2">
      <formula>0.2</formula>
    </cfRule>
    <cfRule type="cellIs" priority="49" operator="greaterThan" aboveAverage="0" equalAverage="0" bottom="0" percent="0" rank="0" text="" dxfId="3">
      <formula>0.8</formula>
    </cfRule>
  </conditionalFormatting>
  <conditionalFormatting sqref="E22">
    <cfRule type="cellIs" priority="50" operator="greaterThan" aboveAverage="0" equalAverage="0" bottom="0" percent="0" rank="0" text="" dxfId="0">
      <formula>1</formula>
    </cfRule>
    <cfRule type="cellIs" priority="51" operator="equal" aboveAverage="0" equalAverage="0" bottom="0" percent="0" rank="0" text="" dxfId="1">
      <formula>0</formula>
    </cfRule>
    <cfRule type="cellIs" priority="52" operator="lessThan" aboveAverage="0" equalAverage="0" bottom="0" percent="0" rank="0" text="" dxfId="2">
      <formula>0.2</formula>
    </cfRule>
    <cfRule type="cellIs" priority="53" operator="greaterThan" aboveAverage="0" equalAverage="0" bottom="0" percent="0" rank="0" text="" dxfId="3">
      <formula>0.8</formula>
    </cfRule>
  </conditionalFormatting>
  <conditionalFormatting sqref="E23">
    <cfRule type="cellIs" priority="54" operator="greaterThan" aboveAverage="0" equalAverage="0" bottom="0" percent="0" rank="0" text="" dxfId="0">
      <formula>1</formula>
    </cfRule>
    <cfRule type="cellIs" priority="55" operator="equal" aboveAverage="0" equalAverage="0" bottom="0" percent="0" rank="0" text="" dxfId="1">
      <formula>0</formula>
    </cfRule>
    <cfRule type="cellIs" priority="56" operator="lessThan" aboveAverage="0" equalAverage="0" bottom="0" percent="0" rank="0" text="" dxfId="2">
      <formula>0.2</formula>
    </cfRule>
    <cfRule type="cellIs" priority="57" operator="greaterThan" aboveAverage="0" equalAverage="0" bottom="0" percent="0" rank="0" text="" dxfId="3">
      <formula>0.8</formula>
    </cfRule>
  </conditionalFormatting>
  <conditionalFormatting sqref="E24">
    <cfRule type="cellIs" priority="58" operator="greaterThan" aboveAverage="0" equalAverage="0" bottom="0" percent="0" rank="0" text="" dxfId="0">
      <formula>1</formula>
    </cfRule>
    <cfRule type="cellIs" priority="59" operator="equal" aboveAverage="0" equalAverage="0" bottom="0" percent="0" rank="0" text="" dxfId="1">
      <formula>0</formula>
    </cfRule>
    <cfRule type="cellIs" priority="60" operator="lessThan" aboveAverage="0" equalAverage="0" bottom="0" percent="0" rank="0" text="" dxfId="2">
      <formula>0.2</formula>
    </cfRule>
    <cfRule type="cellIs" priority="61" operator="greaterThan" aboveAverage="0" equalAverage="0" bottom="0" percent="0" rank="0" text="" dxfId="3">
      <formula>0.8</formula>
    </cfRule>
  </conditionalFormatting>
  <conditionalFormatting sqref="E25">
    <cfRule type="cellIs" priority="62" operator="greaterThan" aboveAverage="0" equalAverage="0" bottom="0" percent="0" rank="0" text="" dxfId="0">
      <formula>1</formula>
    </cfRule>
    <cfRule type="cellIs" priority="63" operator="equal" aboveAverage="0" equalAverage="0" bottom="0" percent="0" rank="0" text="" dxfId="1">
      <formula>0</formula>
    </cfRule>
    <cfRule type="cellIs" priority="64" operator="lessThan" aboveAverage="0" equalAverage="0" bottom="0" percent="0" rank="0" text="" dxfId="2">
      <formula>0.2</formula>
    </cfRule>
    <cfRule type="cellIs" priority="65" operator="greaterThan" aboveAverage="0" equalAverage="0" bottom="0" percent="0" rank="0" text="" dxfId="3">
      <formula>0.8</formula>
    </cfRule>
  </conditionalFormatting>
  <conditionalFormatting sqref="E26">
    <cfRule type="cellIs" priority="66" operator="greaterThan" aboveAverage="0" equalAverage="0" bottom="0" percent="0" rank="0" text="" dxfId="0">
      <formula>1</formula>
    </cfRule>
    <cfRule type="cellIs" priority="67" operator="equal" aboveAverage="0" equalAverage="0" bottom="0" percent="0" rank="0" text="" dxfId="1">
      <formula>0</formula>
    </cfRule>
    <cfRule type="cellIs" priority="68" operator="lessThan" aboveAverage="0" equalAverage="0" bottom="0" percent="0" rank="0" text="" dxfId="2">
      <formula>0.2</formula>
    </cfRule>
    <cfRule type="cellIs" priority="69" operator="greaterThan" aboveAverage="0" equalAverage="0" bottom="0" percent="0" rank="0" text="" dxfId="3">
      <formula>0.8</formula>
    </cfRule>
  </conditionalFormatting>
  <conditionalFormatting sqref="E27">
    <cfRule type="cellIs" priority="70" operator="greaterThan" aboveAverage="0" equalAverage="0" bottom="0" percent="0" rank="0" text="" dxfId="0">
      <formula>1</formula>
    </cfRule>
    <cfRule type="cellIs" priority="71" operator="equal" aboveAverage="0" equalAverage="0" bottom="0" percent="0" rank="0" text="" dxfId="1">
      <formula>0</formula>
    </cfRule>
    <cfRule type="cellIs" priority="72" operator="lessThan" aboveAverage="0" equalAverage="0" bottom="0" percent="0" rank="0" text="" dxfId="2">
      <formula>0.2</formula>
    </cfRule>
    <cfRule type="cellIs" priority="73" operator="greaterThan" aboveAverage="0" equalAverage="0" bottom="0" percent="0" rank="0" text="" dxfId="3">
      <formula>0.8</formula>
    </cfRule>
  </conditionalFormatting>
  <conditionalFormatting sqref="E28">
    <cfRule type="cellIs" priority="74" operator="greaterThan" aboveAverage="0" equalAverage="0" bottom="0" percent="0" rank="0" text="" dxfId="0">
      <formula>1</formula>
    </cfRule>
    <cfRule type="cellIs" priority="75" operator="equal" aboveAverage="0" equalAverage="0" bottom="0" percent="0" rank="0" text="" dxfId="1">
      <formula>0</formula>
    </cfRule>
    <cfRule type="cellIs" priority="76" operator="lessThan" aboveAverage="0" equalAverage="0" bottom="0" percent="0" rank="0" text="" dxfId="2">
      <formula>0.2</formula>
    </cfRule>
    <cfRule type="cellIs" priority="77" operator="greaterThan" aboveAverage="0" equalAverage="0" bottom="0" percent="0" rank="0" text="" dxfId="3">
      <formula>0.8</formula>
    </cfRule>
  </conditionalFormatting>
  <conditionalFormatting sqref="E29">
    <cfRule type="cellIs" priority="78" operator="greaterThan" aboveAverage="0" equalAverage="0" bottom="0" percent="0" rank="0" text="" dxfId="0">
      <formula>1</formula>
    </cfRule>
    <cfRule type="cellIs" priority="79" operator="equal" aboveAverage="0" equalAverage="0" bottom="0" percent="0" rank="0" text="" dxfId="1">
      <formula>0</formula>
    </cfRule>
    <cfRule type="cellIs" priority="80" operator="lessThan" aboveAverage="0" equalAverage="0" bottom="0" percent="0" rank="0" text="" dxfId="2">
      <formula>0.2</formula>
    </cfRule>
    <cfRule type="cellIs" priority="81" operator="greaterThan" aboveAverage="0" equalAverage="0" bottom="0" percent="0" rank="0" text="" dxfId="3">
      <formula>0.8</formula>
    </cfRule>
  </conditionalFormatting>
  <conditionalFormatting sqref="E30">
    <cfRule type="cellIs" priority="82" operator="greaterThan" aboveAverage="0" equalAverage="0" bottom="0" percent="0" rank="0" text="" dxfId="0">
      <formula>1</formula>
    </cfRule>
    <cfRule type="cellIs" priority="83" operator="equal" aboveAverage="0" equalAverage="0" bottom="0" percent="0" rank="0" text="" dxfId="1">
      <formula>0</formula>
    </cfRule>
    <cfRule type="cellIs" priority="84" operator="lessThan" aboveAverage="0" equalAverage="0" bottom="0" percent="0" rank="0" text="" dxfId="2">
      <formula>0.2</formula>
    </cfRule>
    <cfRule type="cellIs" priority="85" operator="greaterThan" aboveAverage="0" equalAverage="0" bottom="0" percent="0" rank="0" text="" dxfId="3">
      <formula>0.8</formula>
    </cfRule>
  </conditionalFormatting>
  <conditionalFormatting sqref="E31">
    <cfRule type="cellIs" priority="86" operator="greaterThan" aboveAverage="0" equalAverage="0" bottom="0" percent="0" rank="0" text="" dxfId="0">
      <formula>1</formula>
    </cfRule>
    <cfRule type="cellIs" priority="87" operator="equal" aboveAverage="0" equalAverage="0" bottom="0" percent="0" rank="0" text="" dxfId="1">
      <formula>0</formula>
    </cfRule>
    <cfRule type="cellIs" priority="88" operator="lessThan" aboveAverage="0" equalAverage="0" bottom="0" percent="0" rank="0" text="" dxfId="2">
      <formula>0.2</formula>
    </cfRule>
    <cfRule type="cellIs" priority="89" operator="greaterThan" aboveAverage="0" equalAverage="0" bottom="0" percent="0" rank="0" text="" dxfId="3">
      <formula>0.8</formula>
    </cfRule>
  </conditionalFormatting>
  <conditionalFormatting sqref="E32">
    <cfRule type="cellIs" priority="90" operator="greaterThan" aboveAverage="0" equalAverage="0" bottom="0" percent="0" rank="0" text="" dxfId="0">
      <formula>1</formula>
    </cfRule>
    <cfRule type="cellIs" priority="91" operator="equal" aboveAverage="0" equalAverage="0" bottom="0" percent="0" rank="0" text="" dxfId="1">
      <formula>0</formula>
    </cfRule>
    <cfRule type="cellIs" priority="92" operator="lessThan" aboveAverage="0" equalAverage="0" bottom="0" percent="0" rank="0" text="" dxfId="2">
      <formula>0.2</formula>
    </cfRule>
    <cfRule type="cellIs" priority="93" operator="greaterThan" aboveAverage="0" equalAverage="0" bottom="0" percent="0" rank="0" text="" dxfId="3">
      <formula>0.8</formula>
    </cfRule>
  </conditionalFormatting>
  <conditionalFormatting sqref="E33">
    <cfRule type="cellIs" priority="94" operator="greaterThan" aboveAverage="0" equalAverage="0" bottom="0" percent="0" rank="0" text="" dxfId="0">
      <formula>1</formula>
    </cfRule>
    <cfRule type="cellIs" priority="95" operator="equal" aboveAverage="0" equalAverage="0" bottom="0" percent="0" rank="0" text="" dxfId="1">
      <formula>0</formula>
    </cfRule>
    <cfRule type="cellIs" priority="96" operator="lessThan" aboveAverage="0" equalAverage="0" bottom="0" percent="0" rank="0" text="" dxfId="2">
      <formula>0.2</formula>
    </cfRule>
    <cfRule type="cellIs" priority="97" operator="greaterThan" aboveAverage="0" equalAverage="0" bottom="0" percent="0" rank="0" text="" dxfId="3">
      <formula>0.8</formula>
    </cfRule>
  </conditionalFormatting>
  <conditionalFormatting sqref="E34">
    <cfRule type="cellIs" priority="98" operator="greaterThan" aboveAverage="0" equalAverage="0" bottom="0" percent="0" rank="0" text="" dxfId="0">
      <formula>1</formula>
    </cfRule>
    <cfRule type="cellIs" priority="99" operator="equal" aboveAverage="0" equalAverage="0" bottom="0" percent="0" rank="0" text="" dxfId="1">
      <formula>0</formula>
    </cfRule>
    <cfRule type="cellIs" priority="100" operator="lessThan" aboveAverage="0" equalAverage="0" bottom="0" percent="0" rank="0" text="" dxfId="2">
      <formula>0.2</formula>
    </cfRule>
    <cfRule type="cellIs" priority="101" operator="greaterThan" aboveAverage="0" equalAverage="0" bottom="0" percent="0" rank="0" text="" dxfId="3">
      <formula>0.8</formula>
    </cfRule>
  </conditionalFormatting>
  <conditionalFormatting sqref="E35">
    <cfRule type="cellIs" priority="102" operator="greaterThan" aboveAverage="0" equalAverage="0" bottom="0" percent="0" rank="0" text="" dxfId="0">
      <formula>1</formula>
    </cfRule>
    <cfRule type="cellIs" priority="103" operator="equal" aboveAverage="0" equalAverage="0" bottom="0" percent="0" rank="0" text="" dxfId="1">
      <formula>0</formula>
    </cfRule>
    <cfRule type="cellIs" priority="104" operator="lessThan" aboveAverage="0" equalAverage="0" bottom="0" percent="0" rank="0" text="" dxfId="2">
      <formula>0.2</formula>
    </cfRule>
    <cfRule type="cellIs" priority="105" operator="greaterThan" aboveAverage="0" equalAverage="0" bottom="0" percent="0" rank="0" text="" dxfId="3">
      <formula>0.8</formula>
    </cfRule>
  </conditionalFormatting>
  <conditionalFormatting sqref="E36">
    <cfRule type="cellIs" priority="106" operator="greaterThan" aboveAverage="0" equalAverage="0" bottom="0" percent="0" rank="0" text="" dxfId="0">
      <formula>1</formula>
    </cfRule>
    <cfRule type="cellIs" priority="107" operator="equal" aboveAverage="0" equalAverage="0" bottom="0" percent="0" rank="0" text="" dxfId="1">
      <formula>0</formula>
    </cfRule>
    <cfRule type="cellIs" priority="108" operator="lessThan" aboveAverage="0" equalAverage="0" bottom="0" percent="0" rank="0" text="" dxfId="2">
      <formula>0.2</formula>
    </cfRule>
    <cfRule type="cellIs" priority="109" operator="greaterThan" aboveAverage="0" equalAverage="0" bottom="0" percent="0" rank="0" text="" dxfId="3">
      <formula>0.8</formula>
    </cfRule>
  </conditionalFormatting>
  <conditionalFormatting sqref="E37">
    <cfRule type="cellIs" priority="110" operator="greaterThan" aboveAverage="0" equalAverage="0" bottom="0" percent="0" rank="0" text="" dxfId="0">
      <formula>1</formula>
    </cfRule>
    <cfRule type="cellIs" priority="111" operator="equal" aboveAverage="0" equalAverage="0" bottom="0" percent="0" rank="0" text="" dxfId="1">
      <formula>0</formula>
    </cfRule>
    <cfRule type="cellIs" priority="112" operator="lessThan" aboveAverage="0" equalAverage="0" bottom="0" percent="0" rank="0" text="" dxfId="2">
      <formula>0.2</formula>
    </cfRule>
    <cfRule type="cellIs" priority="113" operator="greaterThan" aboveAverage="0" equalAverage="0" bottom="0" percent="0" rank="0" text="" dxfId="3">
      <formula>0.8</formula>
    </cfRule>
  </conditionalFormatting>
  <conditionalFormatting sqref="E38">
    <cfRule type="cellIs" priority="114" operator="greaterThan" aboveAverage="0" equalAverage="0" bottom="0" percent="0" rank="0" text="" dxfId="0">
      <formula>1</formula>
    </cfRule>
    <cfRule type="cellIs" priority="115" operator="equal" aboveAverage="0" equalAverage="0" bottom="0" percent="0" rank="0" text="" dxfId="1">
      <formula>0</formula>
    </cfRule>
    <cfRule type="cellIs" priority="116" operator="lessThan" aboveAverage="0" equalAverage="0" bottom="0" percent="0" rank="0" text="" dxfId="2">
      <formula>0.2</formula>
    </cfRule>
    <cfRule type="cellIs" priority="117" operator="greaterThan" aboveAverage="0" equalAverage="0" bottom="0" percent="0" rank="0" text="" dxfId="3">
      <formula>0.8</formula>
    </cfRule>
  </conditionalFormatting>
  <conditionalFormatting sqref="E39">
    <cfRule type="cellIs" priority="118" operator="greaterThan" aboveAverage="0" equalAverage="0" bottom="0" percent="0" rank="0" text="" dxfId="0">
      <formula>1</formula>
    </cfRule>
    <cfRule type="cellIs" priority="119" operator="equal" aboveAverage="0" equalAverage="0" bottom="0" percent="0" rank="0" text="" dxfId="1">
      <formula>0</formula>
    </cfRule>
    <cfRule type="cellIs" priority="120" operator="lessThan" aboveAverage="0" equalAverage="0" bottom="0" percent="0" rank="0" text="" dxfId="2">
      <formula>0.2</formula>
    </cfRule>
    <cfRule type="cellIs" priority="121" operator="greaterThan" aboveAverage="0" equalAverage="0" bottom="0" percent="0" rank="0" text="" dxfId="3">
      <formula>0.8</formula>
    </cfRule>
  </conditionalFormatting>
  <conditionalFormatting sqref="E40">
    <cfRule type="cellIs" priority="122" operator="greaterThan" aboveAverage="0" equalAverage="0" bottom="0" percent="0" rank="0" text="" dxfId="0">
      <formula>1</formula>
    </cfRule>
    <cfRule type="cellIs" priority="123" operator="equal" aboveAverage="0" equalAverage="0" bottom="0" percent="0" rank="0" text="" dxfId="1">
      <formula>0</formula>
    </cfRule>
    <cfRule type="cellIs" priority="124" operator="lessThan" aboveAverage="0" equalAverage="0" bottom="0" percent="0" rank="0" text="" dxfId="2">
      <formula>0.2</formula>
    </cfRule>
    <cfRule type="cellIs" priority="125" operator="greaterThan" aboveAverage="0" equalAverage="0" bottom="0" percent="0" rank="0" text="" dxfId="3">
      <formula>0.8</formula>
    </cfRule>
  </conditionalFormatting>
  <conditionalFormatting sqref="E41">
    <cfRule type="cellIs" priority="126" operator="greaterThan" aboveAverage="0" equalAverage="0" bottom="0" percent="0" rank="0" text="" dxfId="0">
      <formula>1</formula>
    </cfRule>
    <cfRule type="cellIs" priority="127" operator="equal" aboveAverage="0" equalAverage="0" bottom="0" percent="0" rank="0" text="" dxfId="1">
      <formula>0</formula>
    </cfRule>
    <cfRule type="cellIs" priority="128" operator="lessThan" aboveAverage="0" equalAverage="0" bottom="0" percent="0" rank="0" text="" dxfId="2">
      <formula>0.2</formula>
    </cfRule>
    <cfRule type="cellIs" priority="129" operator="greaterThan" aboveAverage="0" equalAverage="0" bottom="0" percent="0" rank="0" text="" dxfId="3">
      <formula>0.8</formula>
    </cfRule>
  </conditionalFormatting>
  <conditionalFormatting sqref="E42">
    <cfRule type="cellIs" priority="130" operator="greaterThan" aboveAverage="0" equalAverage="0" bottom="0" percent="0" rank="0" text="" dxfId="0">
      <formula>1</formula>
    </cfRule>
    <cfRule type="cellIs" priority="131" operator="equal" aboveAverage="0" equalAverage="0" bottom="0" percent="0" rank="0" text="" dxfId="1">
      <formula>0</formula>
    </cfRule>
    <cfRule type="cellIs" priority="132" operator="lessThan" aboveAverage="0" equalAverage="0" bottom="0" percent="0" rank="0" text="" dxfId="2">
      <formula>0.2</formula>
    </cfRule>
    <cfRule type="cellIs" priority="133" operator="greaterThan" aboveAverage="0" equalAverage="0" bottom="0" percent="0" rank="0" text="" dxfId="3">
      <formula>0.8</formula>
    </cfRule>
  </conditionalFormatting>
  <conditionalFormatting sqref="E43">
    <cfRule type="cellIs" priority="134" operator="greaterThan" aboveAverage="0" equalAverage="0" bottom="0" percent="0" rank="0" text="" dxfId="0">
      <formula>1</formula>
    </cfRule>
    <cfRule type="cellIs" priority="135" operator="equal" aboveAverage="0" equalAverage="0" bottom="0" percent="0" rank="0" text="" dxfId="1">
      <formula>0</formula>
    </cfRule>
    <cfRule type="cellIs" priority="136" operator="lessThan" aboveAverage="0" equalAverage="0" bottom="0" percent="0" rank="0" text="" dxfId="2">
      <formula>0.2</formula>
    </cfRule>
    <cfRule type="cellIs" priority="137" operator="greaterThan" aboveAverage="0" equalAverage="0" bottom="0" percent="0" rank="0" text="" dxfId="3">
      <formula>0.8</formula>
    </cfRule>
  </conditionalFormatting>
  <conditionalFormatting sqref="E44">
    <cfRule type="cellIs" priority="138" operator="greaterThan" aboveAverage="0" equalAverage="0" bottom="0" percent="0" rank="0" text="" dxfId="0">
      <formula>1</formula>
    </cfRule>
    <cfRule type="cellIs" priority="139" operator="equal" aboveAverage="0" equalAverage="0" bottom="0" percent="0" rank="0" text="" dxfId="1">
      <formula>0</formula>
    </cfRule>
    <cfRule type="cellIs" priority="140" operator="lessThan" aboveAverage="0" equalAverage="0" bottom="0" percent="0" rank="0" text="" dxfId="2">
      <formula>0.2</formula>
    </cfRule>
    <cfRule type="cellIs" priority="141" operator="greaterThan" aboveAverage="0" equalAverage="0" bottom="0" percent="0" rank="0" text="" dxfId="3">
      <formula>0.8</formula>
    </cfRule>
  </conditionalFormatting>
  <conditionalFormatting sqref="E45">
    <cfRule type="cellIs" priority="142" operator="greaterThan" aboveAverage="0" equalAverage="0" bottom="0" percent="0" rank="0" text="" dxfId="0">
      <formula>1</formula>
    </cfRule>
    <cfRule type="cellIs" priority="143" operator="equal" aboveAverage="0" equalAverage="0" bottom="0" percent="0" rank="0" text="" dxfId="1">
      <formula>0</formula>
    </cfRule>
    <cfRule type="cellIs" priority="144" operator="lessThan" aboveAverage="0" equalAverage="0" bottom="0" percent="0" rank="0" text="" dxfId="2">
      <formula>0.2</formula>
    </cfRule>
    <cfRule type="cellIs" priority="145" operator="greaterThan" aboveAverage="0" equalAverage="0" bottom="0" percent="0" rank="0" text="" dxfId="3">
      <formula>0.8</formula>
    </cfRule>
  </conditionalFormatting>
  <conditionalFormatting sqref="E46">
    <cfRule type="cellIs" priority="146" operator="greaterThan" aboveAverage="0" equalAverage="0" bottom="0" percent="0" rank="0" text="" dxfId="0">
      <formula>1</formula>
    </cfRule>
    <cfRule type="cellIs" priority="147" operator="equal" aboveAverage="0" equalAverage="0" bottom="0" percent="0" rank="0" text="" dxfId="1">
      <formula>0</formula>
    </cfRule>
    <cfRule type="cellIs" priority="148" operator="lessThan" aboveAverage="0" equalAverage="0" bottom="0" percent="0" rank="0" text="" dxfId="2">
      <formula>0.2</formula>
    </cfRule>
    <cfRule type="cellIs" priority="149" operator="greaterThan" aboveAverage="0" equalAverage="0" bottom="0" percent="0" rank="0" text="" dxfId="3">
      <formula>0.8</formula>
    </cfRule>
  </conditionalFormatting>
  <conditionalFormatting sqref="E47">
    <cfRule type="cellIs" priority="150" operator="greaterThan" aboveAverage="0" equalAverage="0" bottom="0" percent="0" rank="0" text="" dxfId="0">
      <formula>1</formula>
    </cfRule>
    <cfRule type="cellIs" priority="151" operator="equal" aboveAverage="0" equalAverage="0" bottom="0" percent="0" rank="0" text="" dxfId="1">
      <formula>0</formula>
    </cfRule>
    <cfRule type="cellIs" priority="152" operator="lessThan" aboveAverage="0" equalAverage="0" bottom="0" percent="0" rank="0" text="" dxfId="2">
      <formula>0.2</formula>
    </cfRule>
    <cfRule type="cellIs" priority="153" operator="greaterThan" aboveAverage="0" equalAverage="0" bottom="0" percent="0" rank="0" text="" dxfId="3">
      <formula>0.8</formula>
    </cfRule>
  </conditionalFormatting>
  <conditionalFormatting sqref="E48">
    <cfRule type="cellIs" priority="154" operator="greaterThan" aboveAverage="0" equalAverage="0" bottom="0" percent="0" rank="0" text="" dxfId="0">
      <formula>1</formula>
    </cfRule>
    <cfRule type="cellIs" priority="155" operator="equal" aboveAverage="0" equalAverage="0" bottom="0" percent="0" rank="0" text="" dxfId="1">
      <formula>0</formula>
    </cfRule>
    <cfRule type="cellIs" priority="156" operator="lessThan" aboveAverage="0" equalAverage="0" bottom="0" percent="0" rank="0" text="" dxfId="2">
      <formula>0.2</formula>
    </cfRule>
    <cfRule type="cellIs" priority="157" operator="greaterThan" aboveAverage="0" equalAverage="0" bottom="0" percent="0" rank="0" text="" dxfId="3">
      <formula>0.8</formula>
    </cfRule>
  </conditionalFormatting>
  <conditionalFormatting sqref="E49">
    <cfRule type="cellIs" priority="158" operator="greaterThan" aboveAverage="0" equalAverage="0" bottom="0" percent="0" rank="0" text="" dxfId="0">
      <formula>1</formula>
    </cfRule>
    <cfRule type="cellIs" priority="159" operator="equal" aboveAverage="0" equalAverage="0" bottom="0" percent="0" rank="0" text="" dxfId="1">
      <formula>0</formula>
    </cfRule>
    <cfRule type="cellIs" priority="160" operator="lessThan" aboveAverage="0" equalAverage="0" bottom="0" percent="0" rank="0" text="" dxfId="2">
      <formula>0.2</formula>
    </cfRule>
    <cfRule type="cellIs" priority="161" operator="greaterThan" aboveAverage="0" equalAverage="0" bottom="0" percent="0" rank="0" text="" dxfId="3">
      <formula>0.8</formula>
    </cfRule>
  </conditionalFormatting>
  <conditionalFormatting sqref="E50">
    <cfRule type="cellIs" priority="162" operator="greaterThan" aboveAverage="0" equalAverage="0" bottom="0" percent="0" rank="0" text="" dxfId="0">
      <formula>1</formula>
    </cfRule>
    <cfRule type="cellIs" priority="163" operator="equal" aboveAverage="0" equalAverage="0" bottom="0" percent="0" rank="0" text="" dxfId="1">
      <formula>0</formula>
    </cfRule>
    <cfRule type="cellIs" priority="164" operator="lessThan" aboveAverage="0" equalAverage="0" bottom="0" percent="0" rank="0" text="" dxfId="2">
      <formula>0.2</formula>
    </cfRule>
    <cfRule type="cellIs" priority="165" operator="greaterThan" aboveAverage="0" equalAverage="0" bottom="0" percent="0" rank="0" text="" dxfId="3">
      <formula>0.8</formula>
    </cfRule>
  </conditionalFormatting>
  <conditionalFormatting sqref="E51">
    <cfRule type="cellIs" priority="166" operator="greaterThan" aboveAverage="0" equalAverage="0" bottom="0" percent="0" rank="0" text="" dxfId="0">
      <formula>1</formula>
    </cfRule>
    <cfRule type="cellIs" priority="167" operator="equal" aboveAverage="0" equalAverage="0" bottom="0" percent="0" rank="0" text="" dxfId="1">
      <formula>0</formula>
    </cfRule>
    <cfRule type="cellIs" priority="168" operator="lessThan" aboveAverage="0" equalAverage="0" bottom="0" percent="0" rank="0" text="" dxfId="2">
      <formula>0.2</formula>
    </cfRule>
    <cfRule type="cellIs" priority="169" operator="greaterThan" aboveAverage="0" equalAverage="0" bottom="0" percent="0" rank="0" text="" dxfId="3">
      <formula>0.8</formula>
    </cfRule>
  </conditionalFormatting>
  <conditionalFormatting sqref="E52">
    <cfRule type="cellIs" priority="170" operator="greaterThan" aboveAverage="0" equalAverage="0" bottom="0" percent="0" rank="0" text="" dxfId="0">
      <formula>1</formula>
    </cfRule>
    <cfRule type="cellIs" priority="171" operator="equal" aboveAverage="0" equalAverage="0" bottom="0" percent="0" rank="0" text="" dxfId="1">
      <formula>0</formula>
    </cfRule>
    <cfRule type="cellIs" priority="172" operator="lessThan" aboveAverage="0" equalAverage="0" bottom="0" percent="0" rank="0" text="" dxfId="2">
      <formula>0.2</formula>
    </cfRule>
    <cfRule type="cellIs" priority="173" operator="greaterThan" aboveAverage="0" equalAverage="0" bottom="0" percent="0" rank="0" text="" dxfId="3">
      <formula>0.8</formula>
    </cfRule>
  </conditionalFormatting>
  <conditionalFormatting sqref="E53">
    <cfRule type="cellIs" priority="174" operator="greaterThan" aboveAverage="0" equalAverage="0" bottom="0" percent="0" rank="0" text="" dxfId="0">
      <formula>1</formula>
    </cfRule>
    <cfRule type="cellIs" priority="175" operator="equal" aboveAverage="0" equalAverage="0" bottom="0" percent="0" rank="0" text="" dxfId="1">
      <formula>0</formula>
    </cfRule>
    <cfRule type="cellIs" priority="176" operator="lessThan" aboveAverage="0" equalAverage="0" bottom="0" percent="0" rank="0" text="" dxfId="2">
      <formula>0.2</formula>
    </cfRule>
    <cfRule type="cellIs" priority="177" operator="greaterThan" aboveAverage="0" equalAverage="0" bottom="0" percent="0" rank="0" text="" dxfId="3">
      <formula>0.8</formula>
    </cfRule>
  </conditionalFormatting>
  <conditionalFormatting sqref="E54">
    <cfRule type="cellIs" priority="178" operator="greaterThan" aboveAverage="0" equalAverage="0" bottom="0" percent="0" rank="0" text="" dxfId="0">
      <formula>1</formula>
    </cfRule>
    <cfRule type="cellIs" priority="179" operator="equal" aboveAverage="0" equalAverage="0" bottom="0" percent="0" rank="0" text="" dxfId="1">
      <formula>0</formula>
    </cfRule>
    <cfRule type="cellIs" priority="180" operator="lessThan" aboveAverage="0" equalAverage="0" bottom="0" percent="0" rank="0" text="" dxfId="2">
      <formula>0.2</formula>
    </cfRule>
    <cfRule type="cellIs" priority="181" operator="greaterThan" aboveAverage="0" equalAverage="0" bottom="0" percent="0" rank="0" text="" dxfId="3">
      <formula>0.8</formula>
    </cfRule>
  </conditionalFormatting>
  <conditionalFormatting sqref="E55">
    <cfRule type="cellIs" priority="182" operator="greaterThan" aboveAverage="0" equalAverage="0" bottom="0" percent="0" rank="0" text="" dxfId="0">
      <formula>1</formula>
    </cfRule>
    <cfRule type="cellIs" priority="183" operator="equal" aboveAverage="0" equalAverage="0" bottom="0" percent="0" rank="0" text="" dxfId="1">
      <formula>0</formula>
    </cfRule>
    <cfRule type="cellIs" priority="184" operator="lessThan" aboveAverage="0" equalAverage="0" bottom="0" percent="0" rank="0" text="" dxfId="2">
      <formula>0.2</formula>
    </cfRule>
    <cfRule type="cellIs" priority="185" operator="greaterThan" aboveAverage="0" equalAverage="0" bottom="0" percent="0" rank="0" text="" dxfId="3">
      <formula>0.8</formula>
    </cfRule>
  </conditionalFormatting>
  <conditionalFormatting sqref="E56">
    <cfRule type="cellIs" priority="186" operator="greaterThan" aboveAverage="0" equalAverage="0" bottom="0" percent="0" rank="0" text="" dxfId="0">
      <formula>1</formula>
    </cfRule>
    <cfRule type="cellIs" priority="187" operator="equal" aboveAverage="0" equalAverage="0" bottom="0" percent="0" rank="0" text="" dxfId="1">
      <formula>0</formula>
    </cfRule>
    <cfRule type="cellIs" priority="188" operator="lessThan" aboveAverage="0" equalAverage="0" bottom="0" percent="0" rank="0" text="" dxfId="2">
      <formula>0.2</formula>
    </cfRule>
    <cfRule type="cellIs" priority="189" operator="greaterThan" aboveAverage="0" equalAverage="0" bottom="0" percent="0" rank="0" text="" dxfId="3">
      <formula>0.8</formula>
    </cfRule>
  </conditionalFormatting>
  <conditionalFormatting sqref="E57">
    <cfRule type="cellIs" priority="190" operator="greaterThan" aboveAverage="0" equalAverage="0" bottom="0" percent="0" rank="0" text="" dxfId="0">
      <formula>1</formula>
    </cfRule>
    <cfRule type="cellIs" priority="191" operator="equal" aboveAverage="0" equalAverage="0" bottom="0" percent="0" rank="0" text="" dxfId="1">
      <formula>0</formula>
    </cfRule>
    <cfRule type="cellIs" priority="192" operator="lessThan" aboveAverage="0" equalAverage="0" bottom="0" percent="0" rank="0" text="" dxfId="2">
      <formula>0.2</formula>
    </cfRule>
    <cfRule type="cellIs" priority="193" operator="greaterThan" aboveAverage="0" equalAverage="0" bottom="0" percent="0" rank="0" text="" dxfId="3">
      <formula>0.8</formula>
    </cfRule>
  </conditionalFormatting>
  <conditionalFormatting sqref="E58">
    <cfRule type="cellIs" priority="194" operator="greaterThan" aboveAverage="0" equalAverage="0" bottom="0" percent="0" rank="0" text="" dxfId="0">
      <formula>1</formula>
    </cfRule>
    <cfRule type="cellIs" priority="195" operator="equal" aboveAverage="0" equalAverage="0" bottom="0" percent="0" rank="0" text="" dxfId="1">
      <formula>0</formula>
    </cfRule>
    <cfRule type="cellIs" priority="196" operator="lessThan" aboveAverage="0" equalAverage="0" bottom="0" percent="0" rank="0" text="" dxfId="2">
      <formula>0.2</formula>
    </cfRule>
    <cfRule type="cellIs" priority="197" operator="greaterThan" aboveAverage="0" equalAverage="0" bottom="0" percent="0" rank="0" text="" dxfId="3">
      <formula>0.8</formula>
    </cfRule>
  </conditionalFormatting>
  <conditionalFormatting sqref="E59">
    <cfRule type="cellIs" priority="198" operator="greaterThan" aboveAverage="0" equalAverage="0" bottom="0" percent="0" rank="0" text="" dxfId="0">
      <formula>1</formula>
    </cfRule>
    <cfRule type="cellIs" priority="199" operator="equal" aboveAverage="0" equalAverage="0" bottom="0" percent="0" rank="0" text="" dxfId="1">
      <formula>0</formula>
    </cfRule>
    <cfRule type="cellIs" priority="200" operator="lessThan" aboveAverage="0" equalAverage="0" bottom="0" percent="0" rank="0" text="" dxfId="2">
      <formula>0.2</formula>
    </cfRule>
    <cfRule type="cellIs" priority="201" operator="greaterThan" aboveAverage="0" equalAverage="0" bottom="0" percent="0" rank="0" text="" dxfId="3">
      <formula>0.8</formula>
    </cfRule>
  </conditionalFormatting>
  <conditionalFormatting sqref="E60">
    <cfRule type="cellIs" priority="202" operator="greaterThan" aboveAverage="0" equalAverage="0" bottom="0" percent="0" rank="0" text="" dxfId="0">
      <formula>1</formula>
    </cfRule>
    <cfRule type="cellIs" priority="203" operator="equal" aboveAverage="0" equalAverage="0" bottom="0" percent="0" rank="0" text="" dxfId="1">
      <formula>0</formula>
    </cfRule>
    <cfRule type="cellIs" priority="204" operator="lessThan" aboveAverage="0" equalAverage="0" bottom="0" percent="0" rank="0" text="" dxfId="2">
      <formula>0.2</formula>
    </cfRule>
    <cfRule type="cellIs" priority="205" operator="greaterThan" aboveAverage="0" equalAverage="0" bottom="0" percent="0" rank="0" text="" dxfId="3">
      <formula>0.8</formula>
    </cfRule>
  </conditionalFormatting>
  <conditionalFormatting sqref="E61">
    <cfRule type="cellIs" priority="206" operator="greaterThan" aboveAverage="0" equalAverage="0" bottom="0" percent="0" rank="0" text="" dxfId="0">
      <formula>1</formula>
    </cfRule>
    <cfRule type="cellIs" priority="207" operator="equal" aboveAverage="0" equalAverage="0" bottom="0" percent="0" rank="0" text="" dxfId="1">
      <formula>0</formula>
    </cfRule>
    <cfRule type="cellIs" priority="208" operator="lessThan" aboveAverage="0" equalAverage="0" bottom="0" percent="0" rank="0" text="" dxfId="2">
      <formula>0.2</formula>
    </cfRule>
    <cfRule type="cellIs" priority="209" operator="greaterThan" aboveAverage="0" equalAverage="0" bottom="0" percent="0" rank="0" text="" dxfId="3">
      <formula>0.8</formula>
    </cfRule>
  </conditionalFormatting>
  <conditionalFormatting sqref="E62">
    <cfRule type="cellIs" priority="210" operator="greaterThan" aboveAverage="0" equalAverage="0" bottom="0" percent="0" rank="0" text="" dxfId="0">
      <formula>1</formula>
    </cfRule>
    <cfRule type="cellIs" priority="211" operator="equal" aboveAverage="0" equalAverage="0" bottom="0" percent="0" rank="0" text="" dxfId="1">
      <formula>0</formula>
    </cfRule>
    <cfRule type="cellIs" priority="212" operator="lessThan" aboveAverage="0" equalAverage="0" bottom="0" percent="0" rank="0" text="" dxfId="2">
      <formula>0.2</formula>
    </cfRule>
    <cfRule type="cellIs" priority="213" operator="greaterThan" aboveAverage="0" equalAverage="0" bottom="0" percent="0" rank="0" text="" dxfId="3">
      <formula>0.8</formula>
    </cfRule>
  </conditionalFormatting>
  <conditionalFormatting sqref="E63">
    <cfRule type="cellIs" priority="214" operator="greaterThan" aboveAverage="0" equalAverage="0" bottom="0" percent="0" rank="0" text="" dxfId="0">
      <formula>1</formula>
    </cfRule>
    <cfRule type="cellIs" priority="215" operator="equal" aboveAverage="0" equalAverage="0" bottom="0" percent="0" rank="0" text="" dxfId="1">
      <formula>0</formula>
    </cfRule>
    <cfRule type="cellIs" priority="216" operator="lessThan" aboveAverage="0" equalAverage="0" bottom="0" percent="0" rank="0" text="" dxfId="2">
      <formula>0.2</formula>
    </cfRule>
    <cfRule type="cellIs" priority="217" operator="greaterThan" aboveAverage="0" equalAverage="0" bottom="0" percent="0" rank="0" text="" dxfId="3">
      <formula>0.8</formula>
    </cfRule>
  </conditionalFormatting>
  <conditionalFormatting sqref="E64">
    <cfRule type="cellIs" priority="218" operator="greaterThan" aboveAverage="0" equalAverage="0" bottom="0" percent="0" rank="0" text="" dxfId="0">
      <formula>1</formula>
    </cfRule>
    <cfRule type="cellIs" priority="219" operator="equal" aboveAverage="0" equalAverage="0" bottom="0" percent="0" rank="0" text="" dxfId="1">
      <formula>0</formula>
    </cfRule>
    <cfRule type="cellIs" priority="220" operator="lessThan" aboveAverage="0" equalAverage="0" bottom="0" percent="0" rank="0" text="" dxfId="2">
      <formula>0.2</formula>
    </cfRule>
    <cfRule type="cellIs" priority="221" operator="greaterThan" aboveAverage="0" equalAverage="0" bottom="0" percent="0" rank="0" text="" dxfId="3">
      <formula>0.8</formula>
    </cfRule>
  </conditionalFormatting>
  <conditionalFormatting sqref="E65">
    <cfRule type="cellIs" priority="222" operator="greaterThan" aboveAverage="0" equalAverage="0" bottom="0" percent="0" rank="0" text="" dxfId="0">
      <formula>1</formula>
    </cfRule>
    <cfRule type="cellIs" priority="223" operator="equal" aboveAverage="0" equalAverage="0" bottom="0" percent="0" rank="0" text="" dxfId="1">
      <formula>0</formula>
    </cfRule>
    <cfRule type="cellIs" priority="224" operator="lessThan" aboveAverage="0" equalAverage="0" bottom="0" percent="0" rank="0" text="" dxfId="2">
      <formula>0.2</formula>
    </cfRule>
    <cfRule type="cellIs" priority="225" operator="greaterThan" aboveAverage="0" equalAverage="0" bottom="0" percent="0" rank="0" text="" dxfId="3">
      <formula>0.8</formula>
    </cfRule>
  </conditionalFormatting>
  <conditionalFormatting sqref="E66">
    <cfRule type="cellIs" priority="226" operator="greaterThan" aboveAverage="0" equalAverage="0" bottom="0" percent="0" rank="0" text="" dxfId="0">
      <formula>1</formula>
    </cfRule>
    <cfRule type="cellIs" priority="227" operator="equal" aboveAverage="0" equalAverage="0" bottom="0" percent="0" rank="0" text="" dxfId="1">
      <formula>0</formula>
    </cfRule>
    <cfRule type="cellIs" priority="228" operator="lessThan" aboveAverage="0" equalAverage="0" bottom="0" percent="0" rank="0" text="" dxfId="2">
      <formula>0.2</formula>
    </cfRule>
    <cfRule type="cellIs" priority="229" operator="greaterThan" aboveAverage="0" equalAverage="0" bottom="0" percent="0" rank="0" text="" dxfId="3">
      <formula>0.8</formula>
    </cfRule>
  </conditionalFormatting>
  <conditionalFormatting sqref="E67">
    <cfRule type="cellIs" priority="230" operator="greaterThan" aboveAverage="0" equalAverage="0" bottom="0" percent="0" rank="0" text="" dxfId="0">
      <formula>1</formula>
    </cfRule>
    <cfRule type="cellIs" priority="231" operator="equal" aboveAverage="0" equalAverage="0" bottom="0" percent="0" rank="0" text="" dxfId="1">
      <formula>0</formula>
    </cfRule>
    <cfRule type="cellIs" priority="232" operator="lessThan" aboveAverage="0" equalAverage="0" bottom="0" percent="0" rank="0" text="" dxfId="2">
      <formula>0.2</formula>
    </cfRule>
    <cfRule type="cellIs" priority="233" operator="greaterThan" aboveAverage="0" equalAverage="0" bottom="0" percent="0" rank="0" text="" dxfId="3">
      <formula>0.8</formula>
    </cfRule>
  </conditionalFormatting>
  <conditionalFormatting sqref="E68">
    <cfRule type="cellIs" priority="234" operator="greaterThan" aboveAverage="0" equalAverage="0" bottom="0" percent="0" rank="0" text="" dxfId="0">
      <formula>1</formula>
    </cfRule>
    <cfRule type="cellIs" priority="235" operator="equal" aboveAverage="0" equalAverage="0" bottom="0" percent="0" rank="0" text="" dxfId="1">
      <formula>0</formula>
    </cfRule>
    <cfRule type="cellIs" priority="236" operator="lessThan" aboveAverage="0" equalAverage="0" bottom="0" percent="0" rank="0" text="" dxfId="2">
      <formula>0.2</formula>
    </cfRule>
    <cfRule type="cellIs" priority="237" operator="greaterThan" aboveAverage="0" equalAverage="0" bottom="0" percent="0" rank="0" text="" dxfId="3">
      <formula>0.8</formula>
    </cfRule>
  </conditionalFormatting>
  <conditionalFormatting sqref="E69">
    <cfRule type="cellIs" priority="238" operator="greaterThan" aboveAverage="0" equalAverage="0" bottom="0" percent="0" rank="0" text="" dxfId="0">
      <formula>1</formula>
    </cfRule>
    <cfRule type="cellIs" priority="239" operator="equal" aboveAverage="0" equalAverage="0" bottom="0" percent="0" rank="0" text="" dxfId="1">
      <formula>0</formula>
    </cfRule>
    <cfRule type="cellIs" priority="240" operator="lessThan" aboveAverage="0" equalAverage="0" bottom="0" percent="0" rank="0" text="" dxfId="2">
      <formula>0.2</formula>
    </cfRule>
    <cfRule type="cellIs" priority="241" operator="greaterThan" aboveAverage="0" equalAverage="0" bottom="0" percent="0" rank="0" text="" dxfId="3">
      <formula>0.8</formula>
    </cfRule>
  </conditionalFormatting>
  <conditionalFormatting sqref="E70">
    <cfRule type="cellIs" priority="242" operator="greaterThan" aboveAverage="0" equalAverage="0" bottom="0" percent="0" rank="0" text="" dxfId="0">
      <formula>1</formula>
    </cfRule>
    <cfRule type="cellIs" priority="243" operator="equal" aboveAverage="0" equalAverage="0" bottom="0" percent="0" rank="0" text="" dxfId="1">
      <formula>0</formula>
    </cfRule>
    <cfRule type="cellIs" priority="244" operator="lessThan" aboveAverage="0" equalAverage="0" bottom="0" percent="0" rank="0" text="" dxfId="2">
      <formula>0.2</formula>
    </cfRule>
    <cfRule type="cellIs" priority="245" operator="greaterThan" aboveAverage="0" equalAverage="0" bottom="0" percent="0" rank="0" text="" dxfId="3">
      <formula>0.8</formula>
    </cfRule>
  </conditionalFormatting>
  <conditionalFormatting sqref="E71">
    <cfRule type="cellIs" priority="246" operator="greaterThan" aboveAverage="0" equalAverage="0" bottom="0" percent="0" rank="0" text="" dxfId="0">
      <formula>1</formula>
    </cfRule>
    <cfRule type="cellIs" priority="247" operator="equal" aboveAverage="0" equalAverage="0" bottom="0" percent="0" rank="0" text="" dxfId="1">
      <formula>0</formula>
    </cfRule>
    <cfRule type="cellIs" priority="248" operator="lessThan" aboveAverage="0" equalAverage="0" bottom="0" percent="0" rank="0" text="" dxfId="2">
      <formula>0.2</formula>
    </cfRule>
    <cfRule type="cellIs" priority="249" operator="greaterThan" aboveAverage="0" equalAverage="0" bottom="0" percent="0" rank="0" text="" dxfId="3">
      <formula>0.8</formula>
    </cfRule>
  </conditionalFormatting>
  <conditionalFormatting sqref="E72">
    <cfRule type="cellIs" priority="250" operator="greaterThan" aboveAverage="0" equalAverage="0" bottom="0" percent="0" rank="0" text="" dxfId="0">
      <formula>1</formula>
    </cfRule>
    <cfRule type="cellIs" priority="251" operator="equal" aboveAverage="0" equalAverage="0" bottom="0" percent="0" rank="0" text="" dxfId="1">
      <formula>0</formula>
    </cfRule>
    <cfRule type="cellIs" priority="252" operator="lessThan" aboveAverage="0" equalAverage="0" bottom="0" percent="0" rank="0" text="" dxfId="2">
      <formula>0.2</formula>
    </cfRule>
    <cfRule type="cellIs" priority="253" operator="greaterThan" aboveAverage="0" equalAverage="0" bottom="0" percent="0" rank="0" text="" dxfId="3">
      <formula>0.8</formula>
    </cfRule>
  </conditionalFormatting>
  <conditionalFormatting sqref="E73">
    <cfRule type="cellIs" priority="254" operator="greaterThan" aboveAverage="0" equalAverage="0" bottom="0" percent="0" rank="0" text="" dxfId="0">
      <formula>1</formula>
    </cfRule>
    <cfRule type="cellIs" priority="255" operator="equal" aboveAverage="0" equalAverage="0" bottom="0" percent="0" rank="0" text="" dxfId="1">
      <formula>0</formula>
    </cfRule>
    <cfRule type="cellIs" priority="256" operator="lessThan" aboveAverage="0" equalAverage="0" bottom="0" percent="0" rank="0" text="" dxfId="2">
      <formula>0.2</formula>
    </cfRule>
    <cfRule type="cellIs" priority="257" operator="greaterThan" aboveAverage="0" equalAverage="0" bottom="0" percent="0" rank="0" text="" dxfId="3">
      <formula>0.8</formula>
    </cfRule>
  </conditionalFormatting>
  <conditionalFormatting sqref="E74">
    <cfRule type="cellIs" priority="258" operator="greaterThan" aboveAverage="0" equalAverage="0" bottom="0" percent="0" rank="0" text="" dxfId="0">
      <formula>1</formula>
    </cfRule>
    <cfRule type="cellIs" priority="259" operator="equal" aboveAverage="0" equalAverage="0" bottom="0" percent="0" rank="0" text="" dxfId="1">
      <formula>0</formula>
    </cfRule>
    <cfRule type="cellIs" priority="260" operator="lessThan" aboveAverage="0" equalAverage="0" bottom="0" percent="0" rank="0" text="" dxfId="2">
      <formula>0.2</formula>
    </cfRule>
    <cfRule type="cellIs" priority="261" operator="greaterThan" aboveAverage="0" equalAverage="0" bottom="0" percent="0" rank="0" text="" dxfId="3">
      <formula>0.8</formula>
    </cfRule>
  </conditionalFormatting>
  <conditionalFormatting sqref="E75">
    <cfRule type="cellIs" priority="262" operator="greaterThan" aboveAverage="0" equalAverage="0" bottom="0" percent="0" rank="0" text="" dxfId="0">
      <formula>1</formula>
    </cfRule>
    <cfRule type="cellIs" priority="263" operator="equal" aboveAverage="0" equalAverage="0" bottom="0" percent="0" rank="0" text="" dxfId="1">
      <formula>0</formula>
    </cfRule>
    <cfRule type="cellIs" priority="264" operator="lessThan" aboveAverage="0" equalAverage="0" bottom="0" percent="0" rank="0" text="" dxfId="2">
      <formula>0.2</formula>
    </cfRule>
    <cfRule type="cellIs" priority="265" operator="greaterThan" aboveAverage="0" equalAverage="0" bottom="0" percent="0" rank="0" text="" dxfId="3">
      <formula>0.8</formula>
    </cfRule>
  </conditionalFormatting>
  <conditionalFormatting sqref="E76">
    <cfRule type="cellIs" priority="266" operator="greaterThan" aboveAverage="0" equalAverage="0" bottom="0" percent="0" rank="0" text="" dxfId="0">
      <formula>1</formula>
    </cfRule>
    <cfRule type="cellIs" priority="267" operator="equal" aboveAverage="0" equalAverage="0" bottom="0" percent="0" rank="0" text="" dxfId="1">
      <formula>0</formula>
    </cfRule>
    <cfRule type="cellIs" priority="268" operator="lessThan" aboveAverage="0" equalAverage="0" bottom="0" percent="0" rank="0" text="" dxfId="2">
      <formula>0.2</formula>
    </cfRule>
    <cfRule type="cellIs" priority="269" operator="greaterThan" aboveAverage="0" equalAverage="0" bottom="0" percent="0" rank="0" text="" dxfId="3">
      <formula>0.8</formula>
    </cfRule>
  </conditionalFormatting>
  <conditionalFormatting sqref="E77">
    <cfRule type="cellIs" priority="270" operator="greaterThan" aboveAverage="0" equalAverage="0" bottom="0" percent="0" rank="0" text="" dxfId="0">
      <formula>1</formula>
    </cfRule>
    <cfRule type="cellIs" priority="271" operator="equal" aboveAverage="0" equalAverage="0" bottom="0" percent="0" rank="0" text="" dxfId="1">
      <formula>0</formula>
    </cfRule>
    <cfRule type="cellIs" priority="272" operator="lessThan" aboveAverage="0" equalAverage="0" bottom="0" percent="0" rank="0" text="" dxfId="2">
      <formula>0.2</formula>
    </cfRule>
    <cfRule type="cellIs" priority="273" operator="greaterThan" aboveAverage="0" equalAverage="0" bottom="0" percent="0" rank="0" text="" dxfId="3">
      <formula>0.8</formula>
    </cfRule>
  </conditionalFormatting>
  <conditionalFormatting sqref="E78">
    <cfRule type="cellIs" priority="274" operator="greaterThan" aboveAverage="0" equalAverage="0" bottom="0" percent="0" rank="0" text="" dxfId="0">
      <formula>1</formula>
    </cfRule>
    <cfRule type="cellIs" priority="275" operator="equal" aboveAverage="0" equalAverage="0" bottom="0" percent="0" rank="0" text="" dxfId="1">
      <formula>0</formula>
    </cfRule>
    <cfRule type="cellIs" priority="276" operator="lessThan" aboveAverage="0" equalAverage="0" bottom="0" percent="0" rank="0" text="" dxfId="2">
      <formula>0.2</formula>
    </cfRule>
    <cfRule type="cellIs" priority="277" operator="greaterThan" aboveAverage="0" equalAverage="0" bottom="0" percent="0" rank="0" text="" dxfId="3">
      <formula>0.8</formula>
    </cfRule>
  </conditionalFormatting>
  <conditionalFormatting sqref="E79">
    <cfRule type="cellIs" priority="278" operator="greaterThan" aboveAverage="0" equalAverage="0" bottom="0" percent="0" rank="0" text="" dxfId="0">
      <formula>1</formula>
    </cfRule>
    <cfRule type="cellIs" priority="279" operator="equal" aboveAverage="0" equalAverage="0" bottom="0" percent="0" rank="0" text="" dxfId="1">
      <formula>0</formula>
    </cfRule>
    <cfRule type="cellIs" priority="280" operator="lessThan" aboveAverage="0" equalAverage="0" bottom="0" percent="0" rank="0" text="" dxfId="2">
      <formula>0.2</formula>
    </cfRule>
    <cfRule type="cellIs" priority="281" operator="greaterThan" aboveAverage="0" equalAverage="0" bottom="0" percent="0" rank="0" text="" dxfId="3">
      <formula>0.8</formula>
    </cfRule>
  </conditionalFormatting>
  <conditionalFormatting sqref="E80">
    <cfRule type="cellIs" priority="282" operator="greaterThan" aboveAverage="0" equalAverage="0" bottom="0" percent="0" rank="0" text="" dxfId="0">
      <formula>1</formula>
    </cfRule>
    <cfRule type="cellIs" priority="283" operator="equal" aboveAverage="0" equalAverage="0" bottom="0" percent="0" rank="0" text="" dxfId="1">
      <formula>0</formula>
    </cfRule>
    <cfRule type="cellIs" priority="284" operator="lessThan" aboveAverage="0" equalAverage="0" bottom="0" percent="0" rank="0" text="" dxfId="2">
      <formula>0.2</formula>
    </cfRule>
    <cfRule type="cellIs" priority="285" operator="greaterThan" aboveAverage="0" equalAverage="0" bottom="0" percent="0" rank="0" text="" dxfId="3">
      <formula>0.8</formula>
    </cfRule>
  </conditionalFormatting>
  <conditionalFormatting sqref="E81">
    <cfRule type="cellIs" priority="286" operator="greaterThan" aboveAverage="0" equalAverage="0" bottom="0" percent="0" rank="0" text="" dxfId="0">
      <formula>1</formula>
    </cfRule>
    <cfRule type="cellIs" priority="287" operator="equal" aboveAverage="0" equalAverage="0" bottom="0" percent="0" rank="0" text="" dxfId="1">
      <formula>0</formula>
    </cfRule>
    <cfRule type="cellIs" priority="288" operator="lessThan" aboveAverage="0" equalAverage="0" bottom="0" percent="0" rank="0" text="" dxfId="2">
      <formula>0.2</formula>
    </cfRule>
    <cfRule type="cellIs" priority="289" operator="greaterThan" aboveAverage="0" equalAverage="0" bottom="0" percent="0" rank="0" text="" dxfId="3">
      <formula>0.8</formula>
    </cfRule>
  </conditionalFormatting>
  <conditionalFormatting sqref="E82">
    <cfRule type="cellIs" priority="290" operator="greaterThan" aboveAverage="0" equalAverage="0" bottom="0" percent="0" rank="0" text="" dxfId="0">
      <formula>1</formula>
    </cfRule>
    <cfRule type="cellIs" priority="291" operator="equal" aboveAverage="0" equalAverage="0" bottom="0" percent="0" rank="0" text="" dxfId="1">
      <formula>0</formula>
    </cfRule>
    <cfRule type="cellIs" priority="292" operator="lessThan" aboveAverage="0" equalAverage="0" bottom="0" percent="0" rank="0" text="" dxfId="2">
      <formula>0.2</formula>
    </cfRule>
    <cfRule type="cellIs" priority="293" operator="greaterThan" aboveAverage="0" equalAverage="0" bottom="0" percent="0" rank="0" text="" dxfId="3">
      <formula>0.8</formula>
    </cfRule>
  </conditionalFormatting>
  <conditionalFormatting sqref="E83">
    <cfRule type="cellIs" priority="294" operator="greaterThan" aboveAverage="0" equalAverage="0" bottom="0" percent="0" rank="0" text="" dxfId="0">
      <formula>1</formula>
    </cfRule>
    <cfRule type="cellIs" priority="295" operator="equal" aboveAverage="0" equalAverage="0" bottom="0" percent="0" rank="0" text="" dxfId="1">
      <formula>0</formula>
    </cfRule>
    <cfRule type="cellIs" priority="296" operator="lessThan" aboveAverage="0" equalAverage="0" bottom="0" percent="0" rank="0" text="" dxfId="2">
      <formula>0.2</formula>
    </cfRule>
    <cfRule type="cellIs" priority="297" operator="greaterThan" aboveAverage="0" equalAverage="0" bottom="0" percent="0" rank="0" text="" dxfId="3">
      <formula>0.8</formula>
    </cfRule>
  </conditionalFormatting>
  <conditionalFormatting sqref="E84">
    <cfRule type="cellIs" priority="298" operator="greaterThan" aboveAverage="0" equalAverage="0" bottom="0" percent="0" rank="0" text="" dxfId="0">
      <formula>1</formula>
    </cfRule>
    <cfRule type="cellIs" priority="299" operator="equal" aboveAverage="0" equalAverage="0" bottom="0" percent="0" rank="0" text="" dxfId="1">
      <formula>0</formula>
    </cfRule>
    <cfRule type="cellIs" priority="300" operator="lessThan" aboveAverage="0" equalAverage="0" bottom="0" percent="0" rank="0" text="" dxfId="2">
      <formula>0.2</formula>
    </cfRule>
    <cfRule type="cellIs" priority="301" operator="greaterThan" aboveAverage="0" equalAverage="0" bottom="0" percent="0" rank="0" text="" dxfId="3">
      <formula>0.8</formula>
    </cfRule>
  </conditionalFormatting>
  <conditionalFormatting sqref="E85">
    <cfRule type="cellIs" priority="302" operator="greaterThan" aboveAverage="0" equalAverage="0" bottom="0" percent="0" rank="0" text="" dxfId="0">
      <formula>1</formula>
    </cfRule>
    <cfRule type="cellIs" priority="303" operator="equal" aboveAverage="0" equalAverage="0" bottom="0" percent="0" rank="0" text="" dxfId="1">
      <formula>0</formula>
    </cfRule>
    <cfRule type="cellIs" priority="304" operator="lessThan" aboveAverage="0" equalAverage="0" bottom="0" percent="0" rank="0" text="" dxfId="2">
      <formula>0.2</formula>
    </cfRule>
    <cfRule type="cellIs" priority="305" operator="greaterThan" aboveAverage="0" equalAverage="0" bottom="0" percent="0" rank="0" text="" dxfId="3">
      <formula>0.8</formula>
    </cfRule>
  </conditionalFormatting>
  <conditionalFormatting sqref="E86">
    <cfRule type="cellIs" priority="306" operator="greaterThan" aboveAverage="0" equalAverage="0" bottom="0" percent="0" rank="0" text="" dxfId="0">
      <formula>1</formula>
    </cfRule>
    <cfRule type="cellIs" priority="307" operator="equal" aboveAverage="0" equalAverage="0" bottom="0" percent="0" rank="0" text="" dxfId="1">
      <formula>0</formula>
    </cfRule>
    <cfRule type="cellIs" priority="308" operator="lessThan" aboveAverage="0" equalAverage="0" bottom="0" percent="0" rank="0" text="" dxfId="2">
      <formula>0.2</formula>
    </cfRule>
    <cfRule type="cellIs" priority="309" operator="greaterThan" aboveAverage="0" equalAverage="0" bottom="0" percent="0" rank="0" text="" dxfId="3">
      <formula>0.8</formula>
    </cfRule>
  </conditionalFormatting>
  <conditionalFormatting sqref="E87">
    <cfRule type="cellIs" priority="310" operator="greaterThan" aboveAverage="0" equalAverage="0" bottom="0" percent="0" rank="0" text="" dxfId="0">
      <formula>1</formula>
    </cfRule>
    <cfRule type="cellIs" priority="311" operator="equal" aboveAverage="0" equalAverage="0" bottom="0" percent="0" rank="0" text="" dxfId="1">
      <formula>0</formula>
    </cfRule>
    <cfRule type="cellIs" priority="312" operator="lessThan" aboveAverage="0" equalAverage="0" bottom="0" percent="0" rank="0" text="" dxfId="2">
      <formula>0.2</formula>
    </cfRule>
    <cfRule type="cellIs" priority="313" operator="greaterThan" aboveAverage="0" equalAverage="0" bottom="0" percent="0" rank="0" text="" dxfId="3">
      <formula>0.8</formula>
    </cfRule>
  </conditionalFormatting>
  <conditionalFormatting sqref="E88">
    <cfRule type="cellIs" priority="314" operator="greaterThan" aboveAverage="0" equalAverage="0" bottom="0" percent="0" rank="0" text="" dxfId="0">
      <formula>1</formula>
    </cfRule>
    <cfRule type="cellIs" priority="315" operator="equal" aboveAverage="0" equalAverage="0" bottom="0" percent="0" rank="0" text="" dxfId="1">
      <formula>0</formula>
    </cfRule>
    <cfRule type="cellIs" priority="316" operator="lessThan" aboveAverage="0" equalAverage="0" bottom="0" percent="0" rank="0" text="" dxfId="2">
      <formula>0.2</formula>
    </cfRule>
    <cfRule type="cellIs" priority="317" operator="greaterThan" aboveAverage="0" equalAverage="0" bottom="0" percent="0" rank="0" text="" dxfId="3">
      <formula>0.8</formula>
    </cfRule>
  </conditionalFormatting>
  <conditionalFormatting sqref="E89">
    <cfRule type="cellIs" priority="318" operator="greaterThan" aboveAverage="0" equalAverage="0" bottom="0" percent="0" rank="0" text="" dxfId="0">
      <formula>1</formula>
    </cfRule>
    <cfRule type="cellIs" priority="319" operator="equal" aboveAverage="0" equalAverage="0" bottom="0" percent="0" rank="0" text="" dxfId="1">
      <formula>0</formula>
    </cfRule>
    <cfRule type="cellIs" priority="320" operator="lessThan" aboveAverage="0" equalAverage="0" bottom="0" percent="0" rank="0" text="" dxfId="2">
      <formula>0.2</formula>
    </cfRule>
    <cfRule type="cellIs" priority="321" operator="greaterThan" aboveAverage="0" equalAverage="0" bottom="0" percent="0" rank="0" text="" dxfId="3">
      <formula>0.8</formula>
    </cfRule>
  </conditionalFormatting>
  <conditionalFormatting sqref="E90">
    <cfRule type="cellIs" priority="322" operator="greaterThan" aboveAverage="0" equalAverage="0" bottom="0" percent="0" rank="0" text="" dxfId="0">
      <formula>1</formula>
    </cfRule>
    <cfRule type="cellIs" priority="323" operator="equal" aboveAverage="0" equalAverage="0" bottom="0" percent="0" rank="0" text="" dxfId="1">
      <formula>0</formula>
    </cfRule>
    <cfRule type="cellIs" priority="324" operator="lessThan" aboveAverage="0" equalAverage="0" bottom="0" percent="0" rank="0" text="" dxfId="2">
      <formula>0.2</formula>
    </cfRule>
    <cfRule type="cellIs" priority="325" operator="greaterThan" aboveAverage="0" equalAverage="0" bottom="0" percent="0" rank="0" text="" dxfId="3">
      <formula>0.8</formula>
    </cfRule>
  </conditionalFormatting>
  <conditionalFormatting sqref="E91">
    <cfRule type="cellIs" priority="326" operator="greaterThan" aboveAverage="0" equalAverage="0" bottom="0" percent="0" rank="0" text="" dxfId="0">
      <formula>1</formula>
    </cfRule>
    <cfRule type="cellIs" priority="327" operator="equal" aboveAverage="0" equalAverage="0" bottom="0" percent="0" rank="0" text="" dxfId="1">
      <formula>0</formula>
    </cfRule>
    <cfRule type="cellIs" priority="328" operator="lessThan" aboveAverage="0" equalAverage="0" bottom="0" percent="0" rank="0" text="" dxfId="2">
      <formula>0.2</formula>
    </cfRule>
    <cfRule type="cellIs" priority="329" operator="greaterThan" aboveAverage="0" equalAverage="0" bottom="0" percent="0" rank="0" text="" dxfId="3">
      <formula>0.8</formula>
    </cfRule>
  </conditionalFormatting>
  <conditionalFormatting sqref="E92">
    <cfRule type="cellIs" priority="330" operator="greaterThan" aboveAverage="0" equalAverage="0" bottom="0" percent="0" rank="0" text="" dxfId="0">
      <formula>1</formula>
    </cfRule>
    <cfRule type="cellIs" priority="331" operator="equal" aboveAverage="0" equalAverage="0" bottom="0" percent="0" rank="0" text="" dxfId="1">
      <formula>0</formula>
    </cfRule>
    <cfRule type="cellIs" priority="332" operator="lessThan" aboveAverage="0" equalAverage="0" bottom="0" percent="0" rank="0" text="" dxfId="2">
      <formula>0.2</formula>
    </cfRule>
    <cfRule type="cellIs" priority="333" operator="greaterThan" aboveAverage="0" equalAverage="0" bottom="0" percent="0" rank="0" text="" dxfId="3">
      <formula>0.8</formula>
    </cfRule>
  </conditionalFormatting>
  <conditionalFormatting sqref="E93">
    <cfRule type="cellIs" priority="334" operator="greaterThan" aboveAverage="0" equalAverage="0" bottom="0" percent="0" rank="0" text="" dxfId="0">
      <formula>1</formula>
    </cfRule>
    <cfRule type="cellIs" priority="335" operator="equal" aboveAverage="0" equalAverage="0" bottom="0" percent="0" rank="0" text="" dxfId="1">
      <formula>0</formula>
    </cfRule>
    <cfRule type="cellIs" priority="336" operator="lessThan" aboveAverage="0" equalAverage="0" bottom="0" percent="0" rank="0" text="" dxfId="2">
      <formula>0.2</formula>
    </cfRule>
    <cfRule type="cellIs" priority="337" operator="greaterThan" aboveAverage="0" equalAverage="0" bottom="0" percent="0" rank="0" text="" dxfId="3">
      <formula>0.8</formula>
    </cfRule>
  </conditionalFormatting>
  <conditionalFormatting sqref="E94">
    <cfRule type="cellIs" priority="338" operator="greaterThan" aboveAverage="0" equalAverage="0" bottom="0" percent="0" rank="0" text="" dxfId="0">
      <formula>1</formula>
    </cfRule>
    <cfRule type="cellIs" priority="339" operator="equal" aboveAverage="0" equalAverage="0" bottom="0" percent="0" rank="0" text="" dxfId="1">
      <formula>0</formula>
    </cfRule>
    <cfRule type="cellIs" priority="340" operator="lessThan" aboveAverage="0" equalAverage="0" bottom="0" percent="0" rank="0" text="" dxfId="2">
      <formula>0.2</formula>
    </cfRule>
    <cfRule type="cellIs" priority="341" operator="greaterThan" aboveAverage="0" equalAverage="0" bottom="0" percent="0" rank="0" text="" dxfId="3">
      <formula>0.8</formula>
    </cfRule>
  </conditionalFormatting>
  <conditionalFormatting sqref="E95">
    <cfRule type="cellIs" priority="342" operator="greaterThan" aboveAverage="0" equalAverage="0" bottom="0" percent="0" rank="0" text="" dxfId="0">
      <formula>1</formula>
    </cfRule>
    <cfRule type="cellIs" priority="343" operator="equal" aboveAverage="0" equalAverage="0" bottom="0" percent="0" rank="0" text="" dxfId="1">
      <formula>0</formula>
    </cfRule>
    <cfRule type="cellIs" priority="344" operator="lessThan" aboveAverage="0" equalAverage="0" bottom="0" percent="0" rank="0" text="" dxfId="2">
      <formula>0.2</formula>
    </cfRule>
    <cfRule type="cellIs" priority="345" operator="greaterThan" aboveAverage="0" equalAverage="0" bottom="0" percent="0" rank="0" text="" dxfId="3">
      <formula>0.8</formula>
    </cfRule>
  </conditionalFormatting>
  <conditionalFormatting sqref="E96">
    <cfRule type="cellIs" priority="346" operator="greaterThan" aboveAverage="0" equalAverage="0" bottom="0" percent="0" rank="0" text="" dxfId="0">
      <formula>1</formula>
    </cfRule>
    <cfRule type="cellIs" priority="347" operator="equal" aboveAverage="0" equalAverage="0" bottom="0" percent="0" rank="0" text="" dxfId="1">
      <formula>0</formula>
    </cfRule>
    <cfRule type="cellIs" priority="348" operator="lessThan" aboveAverage="0" equalAverage="0" bottom="0" percent="0" rank="0" text="" dxfId="2">
      <formula>0.2</formula>
    </cfRule>
    <cfRule type="cellIs" priority="349" operator="greaterThan" aboveAverage="0" equalAverage="0" bottom="0" percent="0" rank="0" text="" dxfId="3">
      <formula>0.8</formula>
    </cfRule>
  </conditionalFormatting>
  <conditionalFormatting sqref="E97">
    <cfRule type="cellIs" priority="350" operator="greaterThan" aboveAverage="0" equalAverage="0" bottom="0" percent="0" rank="0" text="" dxfId="0">
      <formula>1</formula>
    </cfRule>
    <cfRule type="cellIs" priority="351" operator="equal" aboveAverage="0" equalAverage="0" bottom="0" percent="0" rank="0" text="" dxfId="1">
      <formula>0</formula>
    </cfRule>
    <cfRule type="cellIs" priority="352" operator="lessThan" aboveAverage="0" equalAverage="0" bottom="0" percent="0" rank="0" text="" dxfId="2">
      <formula>0.2</formula>
    </cfRule>
    <cfRule type="cellIs" priority="353" operator="greaterThan" aboveAverage="0" equalAverage="0" bottom="0" percent="0" rank="0" text="" dxfId="3">
      <formula>0.8</formula>
    </cfRule>
  </conditionalFormatting>
  <conditionalFormatting sqref="E98">
    <cfRule type="cellIs" priority="354" operator="greaterThan" aboveAverage="0" equalAverage="0" bottom="0" percent="0" rank="0" text="" dxfId="0">
      <formula>1</formula>
    </cfRule>
    <cfRule type="cellIs" priority="355" operator="equal" aboveAverage="0" equalAverage="0" bottom="0" percent="0" rank="0" text="" dxfId="1">
      <formula>0</formula>
    </cfRule>
    <cfRule type="cellIs" priority="356" operator="lessThan" aboveAverage="0" equalAverage="0" bottom="0" percent="0" rank="0" text="" dxfId="2">
      <formula>0.2</formula>
    </cfRule>
    <cfRule type="cellIs" priority="357" operator="greaterThan" aboveAverage="0" equalAverage="0" bottom="0" percent="0" rank="0" text="" dxfId="3">
      <formula>0.8</formula>
    </cfRule>
  </conditionalFormatting>
  <conditionalFormatting sqref="E99">
    <cfRule type="cellIs" priority="358" operator="greaterThan" aboveAverage="0" equalAverage="0" bottom="0" percent="0" rank="0" text="" dxfId="0">
      <formula>1</formula>
    </cfRule>
    <cfRule type="cellIs" priority="359" operator="equal" aboveAverage="0" equalAverage="0" bottom="0" percent="0" rank="0" text="" dxfId="1">
      <formula>0</formula>
    </cfRule>
    <cfRule type="cellIs" priority="360" operator="lessThan" aboveAverage="0" equalAverage="0" bottom="0" percent="0" rank="0" text="" dxfId="2">
      <formula>0.2</formula>
    </cfRule>
    <cfRule type="cellIs" priority="361" operator="greaterThan" aboveAverage="0" equalAverage="0" bottom="0" percent="0" rank="0" text="" dxfId="3">
      <formula>0.8</formula>
    </cfRule>
  </conditionalFormatting>
  <conditionalFormatting sqref="E100">
    <cfRule type="cellIs" priority="362" operator="greaterThan" aboveAverage="0" equalAverage="0" bottom="0" percent="0" rank="0" text="" dxfId="0">
      <formula>1</formula>
    </cfRule>
    <cfRule type="cellIs" priority="363" operator="equal" aboveAverage="0" equalAverage="0" bottom="0" percent="0" rank="0" text="" dxfId="1">
      <formula>0</formula>
    </cfRule>
    <cfRule type="cellIs" priority="364" operator="lessThan" aboveAverage="0" equalAverage="0" bottom="0" percent="0" rank="0" text="" dxfId="2">
      <formula>0.2</formula>
    </cfRule>
    <cfRule type="cellIs" priority="365" operator="greaterThan" aboveAverage="0" equalAverage="0" bottom="0" percent="0" rank="0" text="" dxfId="3">
      <formula>0.8</formula>
    </cfRule>
  </conditionalFormatting>
  <conditionalFormatting sqref="E101">
    <cfRule type="cellIs" priority="366" operator="greaterThan" aboveAverage="0" equalAverage="0" bottom="0" percent="0" rank="0" text="" dxfId="0">
      <formula>1</formula>
    </cfRule>
    <cfRule type="cellIs" priority="367" operator="equal" aboveAverage="0" equalAverage="0" bottom="0" percent="0" rank="0" text="" dxfId="1">
      <formula>0</formula>
    </cfRule>
    <cfRule type="cellIs" priority="368" operator="lessThan" aboveAverage="0" equalAverage="0" bottom="0" percent="0" rank="0" text="" dxfId="2">
      <formula>0.2</formula>
    </cfRule>
    <cfRule type="cellIs" priority="369" operator="greaterThan" aboveAverage="0" equalAverage="0" bottom="0" percent="0" rank="0" text="" dxfId="3">
      <formula>0.8</formula>
    </cfRule>
  </conditionalFormatting>
  <conditionalFormatting sqref="E102">
    <cfRule type="cellIs" priority="370" operator="greaterThan" aboveAverage="0" equalAverage="0" bottom="0" percent="0" rank="0" text="" dxfId="0">
      <formula>1</formula>
    </cfRule>
    <cfRule type="cellIs" priority="371" operator="equal" aboveAverage="0" equalAverage="0" bottom="0" percent="0" rank="0" text="" dxfId="1">
      <formula>0</formula>
    </cfRule>
    <cfRule type="cellIs" priority="372" operator="lessThan" aboveAverage="0" equalAverage="0" bottom="0" percent="0" rank="0" text="" dxfId="2">
      <formula>0.2</formula>
    </cfRule>
    <cfRule type="cellIs" priority="373" operator="greaterThan" aboveAverage="0" equalAverage="0" bottom="0" percent="0" rank="0" text="" dxfId="3">
      <formula>0.8</formula>
    </cfRule>
  </conditionalFormatting>
  <conditionalFormatting sqref="E103">
    <cfRule type="cellIs" priority="374" operator="greaterThan" aboveAverage="0" equalAverage="0" bottom="0" percent="0" rank="0" text="" dxfId="0">
      <formula>1</formula>
    </cfRule>
    <cfRule type="cellIs" priority="375" operator="equal" aboveAverage="0" equalAverage="0" bottom="0" percent="0" rank="0" text="" dxfId="1">
      <formula>0</formula>
    </cfRule>
    <cfRule type="cellIs" priority="376" operator="lessThan" aboveAverage="0" equalAverage="0" bottom="0" percent="0" rank="0" text="" dxfId="2">
      <formula>0.2</formula>
    </cfRule>
    <cfRule type="cellIs" priority="377" operator="greaterThan" aboveAverage="0" equalAverage="0" bottom="0" percent="0" rank="0" text="" dxfId="3">
      <formula>0.8</formula>
    </cfRule>
  </conditionalFormatting>
  <conditionalFormatting sqref="E104">
    <cfRule type="cellIs" priority="378" operator="greaterThan" aboveAverage="0" equalAverage="0" bottom="0" percent="0" rank="0" text="" dxfId="0">
      <formula>1</formula>
    </cfRule>
    <cfRule type="cellIs" priority="379" operator="equal" aboveAverage="0" equalAverage="0" bottom="0" percent="0" rank="0" text="" dxfId="1">
      <formula>0</formula>
    </cfRule>
    <cfRule type="cellIs" priority="380" operator="lessThan" aboveAverage="0" equalAverage="0" bottom="0" percent="0" rank="0" text="" dxfId="2">
      <formula>0.2</formula>
    </cfRule>
    <cfRule type="cellIs" priority="381" operator="greaterThan" aboveAverage="0" equalAverage="0" bottom="0" percent="0" rank="0" text="" dxfId="3">
      <formula>0.8</formula>
    </cfRule>
  </conditionalFormatting>
  <conditionalFormatting sqref="E105">
    <cfRule type="cellIs" priority="382" operator="greaterThan" aboveAverage="0" equalAverage="0" bottom="0" percent="0" rank="0" text="" dxfId="0">
      <formula>1</formula>
    </cfRule>
    <cfRule type="cellIs" priority="383" operator="equal" aboveAverage="0" equalAverage="0" bottom="0" percent="0" rank="0" text="" dxfId="1">
      <formula>0</formula>
    </cfRule>
    <cfRule type="cellIs" priority="384" operator="lessThan" aboveAverage="0" equalAverage="0" bottom="0" percent="0" rank="0" text="" dxfId="2">
      <formula>0.2</formula>
    </cfRule>
    <cfRule type="cellIs" priority="385" operator="greaterThan" aboveAverage="0" equalAverage="0" bottom="0" percent="0" rank="0" text="" dxfId="3">
      <formula>0.8</formula>
    </cfRule>
  </conditionalFormatting>
  <conditionalFormatting sqref="E106">
    <cfRule type="cellIs" priority="386" operator="greaterThan" aboveAverage="0" equalAverage="0" bottom="0" percent="0" rank="0" text="" dxfId="0">
      <formula>1</formula>
    </cfRule>
    <cfRule type="cellIs" priority="387" operator="equal" aboveAverage="0" equalAverage="0" bottom="0" percent="0" rank="0" text="" dxfId="1">
      <formula>0</formula>
    </cfRule>
    <cfRule type="cellIs" priority="388" operator="lessThan" aboveAverage="0" equalAverage="0" bottom="0" percent="0" rank="0" text="" dxfId="2">
      <formula>0.2</formula>
    </cfRule>
    <cfRule type="cellIs" priority="389" operator="greaterThan" aboveAverage="0" equalAverage="0" bottom="0" percent="0" rank="0" text="" dxfId="3">
      <formula>0.8</formula>
    </cfRule>
  </conditionalFormatting>
  <conditionalFormatting sqref="E107">
    <cfRule type="cellIs" priority="390" operator="greaterThan" aboveAverage="0" equalAverage="0" bottom="0" percent="0" rank="0" text="" dxfId="0">
      <formula>1</formula>
    </cfRule>
    <cfRule type="cellIs" priority="391" operator="equal" aboveAverage="0" equalAverage="0" bottom="0" percent="0" rank="0" text="" dxfId="1">
      <formula>0</formula>
    </cfRule>
    <cfRule type="cellIs" priority="392" operator="lessThan" aboveAverage="0" equalAverage="0" bottom="0" percent="0" rank="0" text="" dxfId="2">
      <formula>0.2</formula>
    </cfRule>
    <cfRule type="cellIs" priority="393" operator="greaterThan" aboveAverage="0" equalAverage="0" bottom="0" percent="0" rank="0" text="" dxfId="3">
      <formula>0.8</formula>
    </cfRule>
  </conditionalFormatting>
  <conditionalFormatting sqref="E108">
    <cfRule type="cellIs" priority="394" operator="greaterThan" aboveAverage="0" equalAverage="0" bottom="0" percent="0" rank="0" text="" dxfId="0">
      <formula>1</formula>
    </cfRule>
    <cfRule type="cellIs" priority="395" operator="equal" aboveAverage="0" equalAverage="0" bottom="0" percent="0" rank="0" text="" dxfId="1">
      <formula>0</formula>
    </cfRule>
    <cfRule type="cellIs" priority="396" operator="lessThan" aboveAverage="0" equalAverage="0" bottom="0" percent="0" rank="0" text="" dxfId="2">
      <formula>0.2</formula>
    </cfRule>
    <cfRule type="cellIs" priority="397" operator="greaterThan" aboveAverage="0" equalAverage="0" bottom="0" percent="0" rank="0" text="" dxfId="3">
      <formula>0.8</formula>
    </cfRule>
  </conditionalFormatting>
  <conditionalFormatting sqref="E109">
    <cfRule type="cellIs" priority="398" operator="greaterThan" aboveAverage="0" equalAverage="0" bottom="0" percent="0" rank="0" text="" dxfId="0">
      <formula>1</formula>
    </cfRule>
    <cfRule type="cellIs" priority="399" operator="equal" aboveAverage="0" equalAverage="0" bottom="0" percent="0" rank="0" text="" dxfId="1">
      <formula>0</formula>
    </cfRule>
    <cfRule type="cellIs" priority="400" operator="lessThan" aboveAverage="0" equalAverage="0" bottom="0" percent="0" rank="0" text="" dxfId="2">
      <formula>0.2</formula>
    </cfRule>
    <cfRule type="cellIs" priority="401" operator="greaterThan" aboveAverage="0" equalAverage="0" bottom="0" percent="0" rank="0" text="" dxfId="3">
      <formula>0.8</formula>
    </cfRule>
  </conditionalFormatting>
  <conditionalFormatting sqref="E110">
    <cfRule type="cellIs" priority="402" operator="greaterThan" aboveAverage="0" equalAverage="0" bottom="0" percent="0" rank="0" text="" dxfId="0">
      <formula>1</formula>
    </cfRule>
    <cfRule type="cellIs" priority="403" operator="equal" aboveAverage="0" equalAverage="0" bottom="0" percent="0" rank="0" text="" dxfId="1">
      <formula>0</formula>
    </cfRule>
    <cfRule type="cellIs" priority="404" operator="lessThan" aboveAverage="0" equalAverage="0" bottom="0" percent="0" rank="0" text="" dxfId="2">
      <formula>0.2</formula>
    </cfRule>
    <cfRule type="cellIs" priority="405" operator="greaterThan" aboveAverage="0" equalAverage="0" bottom="0" percent="0" rank="0" text="" dxfId="3">
      <formula>0.8</formula>
    </cfRule>
  </conditionalFormatting>
  <conditionalFormatting sqref="E111">
    <cfRule type="cellIs" priority="406" operator="greaterThan" aboveAverage="0" equalAverage="0" bottom="0" percent="0" rank="0" text="" dxfId="0">
      <formula>1</formula>
    </cfRule>
    <cfRule type="cellIs" priority="407" operator="equal" aboveAverage="0" equalAverage="0" bottom="0" percent="0" rank="0" text="" dxfId="1">
      <formula>0</formula>
    </cfRule>
    <cfRule type="cellIs" priority="408" operator="lessThan" aboveAverage="0" equalAverage="0" bottom="0" percent="0" rank="0" text="" dxfId="2">
      <formula>0.2</formula>
    </cfRule>
    <cfRule type="cellIs" priority="409" operator="greaterThan" aboveAverage="0" equalAverage="0" bottom="0" percent="0" rank="0" text="" dxfId="3">
      <formula>0.8</formula>
    </cfRule>
  </conditionalFormatting>
  <conditionalFormatting sqref="E112">
    <cfRule type="cellIs" priority="410" operator="greaterThan" aboveAverage="0" equalAverage="0" bottom="0" percent="0" rank="0" text="" dxfId="0">
      <formula>1</formula>
    </cfRule>
    <cfRule type="cellIs" priority="411" operator="equal" aboveAverage="0" equalAverage="0" bottom="0" percent="0" rank="0" text="" dxfId="1">
      <formula>0</formula>
    </cfRule>
    <cfRule type="cellIs" priority="412" operator="lessThan" aboveAverage="0" equalAverage="0" bottom="0" percent="0" rank="0" text="" dxfId="2">
      <formula>0.2</formula>
    </cfRule>
    <cfRule type="cellIs" priority="413" operator="greaterThan" aboveAverage="0" equalAverage="0" bottom="0" percent="0" rank="0" text="" dxfId="3">
      <formula>0.8</formula>
    </cfRule>
  </conditionalFormatting>
  <conditionalFormatting sqref="E113">
    <cfRule type="cellIs" priority="414" operator="greaterThan" aboveAverage="0" equalAverage="0" bottom="0" percent="0" rank="0" text="" dxfId="0">
      <formula>1</formula>
    </cfRule>
    <cfRule type="cellIs" priority="415" operator="equal" aboveAverage="0" equalAverage="0" bottom="0" percent="0" rank="0" text="" dxfId="1">
      <formula>0</formula>
    </cfRule>
    <cfRule type="cellIs" priority="416" operator="lessThan" aboveAverage="0" equalAverage="0" bottom="0" percent="0" rank="0" text="" dxfId="2">
      <formula>0.2</formula>
    </cfRule>
    <cfRule type="cellIs" priority="417" operator="greaterThan" aboveAverage="0" equalAverage="0" bottom="0" percent="0" rank="0" text="" dxfId="3">
      <formula>0.8</formula>
    </cfRule>
  </conditionalFormatting>
  <conditionalFormatting sqref="E114">
    <cfRule type="cellIs" priority="418" operator="greaterThan" aboveAverage="0" equalAverage="0" bottom="0" percent="0" rank="0" text="" dxfId="0">
      <formula>1</formula>
    </cfRule>
    <cfRule type="cellIs" priority="419" operator="equal" aboveAverage="0" equalAverage="0" bottom="0" percent="0" rank="0" text="" dxfId="1">
      <formula>0</formula>
    </cfRule>
    <cfRule type="cellIs" priority="420" operator="lessThan" aboveAverage="0" equalAverage="0" bottom="0" percent="0" rank="0" text="" dxfId="2">
      <formula>0.2</formula>
    </cfRule>
    <cfRule type="cellIs" priority="421" operator="greaterThan" aboveAverage="0" equalAverage="0" bottom="0" percent="0" rank="0" text="" dxfId="3">
      <formula>0.8</formula>
    </cfRule>
  </conditionalFormatting>
  <conditionalFormatting sqref="E115">
    <cfRule type="cellIs" priority="422" operator="greaterThan" aboveAverage="0" equalAverage="0" bottom="0" percent="0" rank="0" text="" dxfId="0">
      <formula>1</formula>
    </cfRule>
    <cfRule type="cellIs" priority="423" operator="equal" aboveAverage="0" equalAverage="0" bottom="0" percent="0" rank="0" text="" dxfId="1">
      <formula>0</formula>
    </cfRule>
    <cfRule type="cellIs" priority="424" operator="lessThan" aboveAverage="0" equalAverage="0" bottom="0" percent="0" rank="0" text="" dxfId="2">
      <formula>0.2</formula>
    </cfRule>
    <cfRule type="cellIs" priority="425" operator="greaterThan" aboveAverage="0" equalAverage="0" bottom="0" percent="0" rank="0" text="" dxfId="3">
      <formula>0.8</formula>
    </cfRule>
  </conditionalFormatting>
  <conditionalFormatting sqref="E116">
    <cfRule type="cellIs" priority="426" operator="greaterThan" aboveAverage="0" equalAverage="0" bottom="0" percent="0" rank="0" text="" dxfId="0">
      <formula>1</formula>
    </cfRule>
    <cfRule type="cellIs" priority="427" operator="equal" aboveAverage="0" equalAverage="0" bottom="0" percent="0" rank="0" text="" dxfId="1">
      <formula>0</formula>
    </cfRule>
    <cfRule type="cellIs" priority="428" operator="lessThan" aboveAverage="0" equalAverage="0" bottom="0" percent="0" rank="0" text="" dxfId="2">
      <formula>0.2</formula>
    </cfRule>
    <cfRule type="cellIs" priority="429" operator="greaterThan" aboveAverage="0" equalAverage="0" bottom="0" percent="0" rank="0" text="" dxfId="3">
      <formula>0.8</formula>
    </cfRule>
  </conditionalFormatting>
  <conditionalFormatting sqref="E117">
    <cfRule type="cellIs" priority="430" operator="greaterThan" aboveAverage="0" equalAverage="0" bottom="0" percent="0" rank="0" text="" dxfId="0">
      <formula>1</formula>
    </cfRule>
    <cfRule type="cellIs" priority="431" operator="equal" aboveAverage="0" equalAverage="0" bottom="0" percent="0" rank="0" text="" dxfId="1">
      <formula>0</formula>
    </cfRule>
    <cfRule type="cellIs" priority="432" operator="lessThan" aboveAverage="0" equalAverage="0" bottom="0" percent="0" rank="0" text="" dxfId="2">
      <formula>0.2</formula>
    </cfRule>
    <cfRule type="cellIs" priority="433" operator="greaterThan" aboveAverage="0" equalAverage="0" bottom="0" percent="0" rank="0" text="" dxfId="3">
      <formula>0.8</formula>
    </cfRule>
  </conditionalFormatting>
  <conditionalFormatting sqref="E118">
    <cfRule type="cellIs" priority="434" operator="greaterThan" aboveAverage="0" equalAverage="0" bottom="0" percent="0" rank="0" text="" dxfId="0">
      <formula>1</formula>
    </cfRule>
    <cfRule type="cellIs" priority="435" operator="equal" aboveAverage="0" equalAverage="0" bottom="0" percent="0" rank="0" text="" dxfId="1">
      <formula>0</formula>
    </cfRule>
    <cfRule type="cellIs" priority="436" operator="lessThan" aboveAverage="0" equalAverage="0" bottom="0" percent="0" rank="0" text="" dxfId="2">
      <formula>0.2</formula>
    </cfRule>
    <cfRule type="cellIs" priority="437" operator="greaterThan" aboveAverage="0" equalAverage="0" bottom="0" percent="0" rank="0" text="" dxfId="3">
      <formula>0.8</formula>
    </cfRule>
  </conditionalFormatting>
  <conditionalFormatting sqref="E119">
    <cfRule type="cellIs" priority="438" operator="greaterThan" aboveAverage="0" equalAverage="0" bottom="0" percent="0" rank="0" text="" dxfId="0">
      <formula>1</formula>
    </cfRule>
    <cfRule type="cellIs" priority="439" operator="equal" aboveAverage="0" equalAverage="0" bottom="0" percent="0" rank="0" text="" dxfId="1">
      <formula>0</formula>
    </cfRule>
    <cfRule type="cellIs" priority="440" operator="lessThan" aboveAverage="0" equalAverage="0" bottom="0" percent="0" rank="0" text="" dxfId="2">
      <formula>0.2</formula>
    </cfRule>
    <cfRule type="cellIs" priority="441" operator="greaterThan" aboveAverage="0" equalAverage="0" bottom="0" percent="0" rank="0" text="" dxfId="3">
      <formula>0.8</formula>
    </cfRule>
  </conditionalFormatting>
  <conditionalFormatting sqref="E120">
    <cfRule type="cellIs" priority="442" operator="greaterThan" aboveAverage="0" equalAverage="0" bottom="0" percent="0" rank="0" text="" dxfId="0">
      <formula>1</formula>
    </cfRule>
    <cfRule type="cellIs" priority="443" operator="equal" aboveAverage="0" equalAverage="0" bottom="0" percent="0" rank="0" text="" dxfId="1">
      <formula>0</formula>
    </cfRule>
    <cfRule type="cellIs" priority="444" operator="lessThan" aboveAverage="0" equalAverage="0" bottom="0" percent="0" rank="0" text="" dxfId="2">
      <formula>0.2</formula>
    </cfRule>
    <cfRule type="cellIs" priority="445" operator="greaterThan" aboveAverage="0" equalAverage="0" bottom="0" percent="0" rank="0" text="" dxfId="3">
      <formula>0.8</formula>
    </cfRule>
  </conditionalFormatting>
  <conditionalFormatting sqref="E121">
    <cfRule type="cellIs" priority="446" operator="greaterThan" aboveAverage="0" equalAverage="0" bottom="0" percent="0" rank="0" text="" dxfId="0">
      <formula>1</formula>
    </cfRule>
    <cfRule type="cellIs" priority="447" operator="equal" aboveAverage="0" equalAverage="0" bottom="0" percent="0" rank="0" text="" dxfId="1">
      <formula>0</formula>
    </cfRule>
    <cfRule type="cellIs" priority="448" operator="lessThan" aboveAverage="0" equalAverage="0" bottom="0" percent="0" rank="0" text="" dxfId="2">
      <formula>0.2</formula>
    </cfRule>
    <cfRule type="cellIs" priority="449" operator="greaterThan" aboveAverage="0" equalAverage="0" bottom="0" percent="0" rank="0" text="" dxfId="3">
      <formula>0.8</formula>
    </cfRule>
  </conditionalFormatting>
  <conditionalFormatting sqref="E122">
    <cfRule type="cellIs" priority="450" operator="greaterThan" aboveAverage="0" equalAverage="0" bottom="0" percent="0" rank="0" text="" dxfId="0">
      <formula>1</formula>
    </cfRule>
    <cfRule type="cellIs" priority="451" operator="equal" aboveAverage="0" equalAverage="0" bottom="0" percent="0" rank="0" text="" dxfId="1">
      <formula>0</formula>
    </cfRule>
    <cfRule type="cellIs" priority="452" operator="lessThan" aboveAverage="0" equalAverage="0" bottom="0" percent="0" rank="0" text="" dxfId="2">
      <formula>0.2</formula>
    </cfRule>
    <cfRule type="cellIs" priority="453" operator="greaterThan" aboveAverage="0" equalAverage="0" bottom="0" percent="0" rank="0" text="" dxfId="3">
      <formula>0.8</formula>
    </cfRule>
  </conditionalFormatting>
  <conditionalFormatting sqref="E123">
    <cfRule type="cellIs" priority="454" operator="greaterThan" aboveAverage="0" equalAverage="0" bottom="0" percent="0" rank="0" text="" dxfId="0">
      <formula>1</formula>
    </cfRule>
    <cfRule type="cellIs" priority="455" operator="equal" aboveAverage="0" equalAverage="0" bottom="0" percent="0" rank="0" text="" dxfId="1">
      <formula>0</formula>
    </cfRule>
    <cfRule type="cellIs" priority="456" operator="lessThan" aboveAverage="0" equalAverage="0" bottom="0" percent="0" rank="0" text="" dxfId="2">
      <formula>0.2</formula>
    </cfRule>
    <cfRule type="cellIs" priority="457" operator="greaterThan" aboveAverage="0" equalAverage="0" bottom="0" percent="0" rank="0" text="" dxfId="3">
      <formula>0.8</formula>
    </cfRule>
  </conditionalFormatting>
  <conditionalFormatting sqref="E124">
    <cfRule type="cellIs" priority="458" operator="greaterThan" aboveAverage="0" equalAverage="0" bottom="0" percent="0" rank="0" text="" dxfId="0">
      <formula>1</formula>
    </cfRule>
    <cfRule type="cellIs" priority="459" operator="equal" aboveAverage="0" equalAverage="0" bottom="0" percent="0" rank="0" text="" dxfId="1">
      <formula>0</formula>
    </cfRule>
    <cfRule type="cellIs" priority="460" operator="lessThan" aboveAverage="0" equalAverage="0" bottom="0" percent="0" rank="0" text="" dxfId="2">
      <formula>0.2</formula>
    </cfRule>
    <cfRule type="cellIs" priority="461" operator="greaterThan" aboveAverage="0" equalAverage="0" bottom="0" percent="0" rank="0" text="" dxfId="3">
      <formula>0.8</formula>
    </cfRule>
  </conditionalFormatting>
  <conditionalFormatting sqref="E125">
    <cfRule type="cellIs" priority="462" operator="greaterThan" aboveAverage="0" equalAverage="0" bottom="0" percent="0" rank="0" text="" dxfId="0">
      <formula>1</formula>
    </cfRule>
    <cfRule type="cellIs" priority="463" operator="equal" aboveAverage="0" equalAverage="0" bottom="0" percent="0" rank="0" text="" dxfId="1">
      <formula>0</formula>
    </cfRule>
    <cfRule type="cellIs" priority="464" operator="lessThan" aboveAverage="0" equalAverage="0" bottom="0" percent="0" rank="0" text="" dxfId="2">
      <formula>0.2</formula>
    </cfRule>
    <cfRule type="cellIs" priority="465" operator="greaterThan" aboveAverage="0" equalAverage="0" bottom="0" percent="0" rank="0" text="" dxfId="3">
      <formula>0.8</formula>
    </cfRule>
  </conditionalFormatting>
  <conditionalFormatting sqref="E126">
    <cfRule type="cellIs" priority="466" operator="greaterThan" aboveAverage="0" equalAverage="0" bottom="0" percent="0" rank="0" text="" dxfId="0">
      <formula>1</formula>
    </cfRule>
    <cfRule type="cellIs" priority="467" operator="equal" aboveAverage="0" equalAverage="0" bottom="0" percent="0" rank="0" text="" dxfId="1">
      <formula>0</formula>
    </cfRule>
    <cfRule type="cellIs" priority="468" operator="lessThan" aboveAverage="0" equalAverage="0" bottom="0" percent="0" rank="0" text="" dxfId="2">
      <formula>0.2</formula>
    </cfRule>
    <cfRule type="cellIs" priority="469" operator="greaterThan" aboveAverage="0" equalAverage="0" bottom="0" percent="0" rank="0" text="" dxfId="3">
      <formula>0.8</formula>
    </cfRule>
  </conditionalFormatting>
  <conditionalFormatting sqref="E127">
    <cfRule type="cellIs" priority="470" operator="greaterThan" aboveAverage="0" equalAverage="0" bottom="0" percent="0" rank="0" text="" dxfId="0">
      <formula>1</formula>
    </cfRule>
    <cfRule type="cellIs" priority="471" operator="equal" aboveAverage="0" equalAverage="0" bottom="0" percent="0" rank="0" text="" dxfId="1">
      <formula>0</formula>
    </cfRule>
    <cfRule type="cellIs" priority="472" operator="lessThan" aboveAverage="0" equalAverage="0" bottom="0" percent="0" rank="0" text="" dxfId="2">
      <formula>0.2</formula>
    </cfRule>
    <cfRule type="cellIs" priority="473" operator="greaterThan" aboveAverage="0" equalAverage="0" bottom="0" percent="0" rank="0" text="" dxfId="3">
      <formula>0.8</formula>
    </cfRule>
  </conditionalFormatting>
  <conditionalFormatting sqref="E128">
    <cfRule type="cellIs" priority="474" operator="greaterThan" aboveAverage="0" equalAverage="0" bottom="0" percent="0" rank="0" text="" dxfId="0">
      <formula>1</formula>
    </cfRule>
    <cfRule type="cellIs" priority="475" operator="equal" aboveAverage="0" equalAverage="0" bottom="0" percent="0" rank="0" text="" dxfId="1">
      <formula>0</formula>
    </cfRule>
    <cfRule type="cellIs" priority="476" operator="lessThan" aboveAverage="0" equalAverage="0" bottom="0" percent="0" rank="0" text="" dxfId="2">
      <formula>0.2</formula>
    </cfRule>
    <cfRule type="cellIs" priority="477" operator="greaterThan" aboveAverage="0" equalAverage="0" bottom="0" percent="0" rank="0" text="" dxfId="3">
      <formula>0.8</formula>
    </cfRule>
  </conditionalFormatting>
  <conditionalFormatting sqref="E129">
    <cfRule type="cellIs" priority="478" operator="greaterThan" aboveAverage="0" equalAverage="0" bottom="0" percent="0" rank="0" text="" dxfId="0">
      <formula>1</formula>
    </cfRule>
    <cfRule type="cellIs" priority="479" operator="equal" aboveAverage="0" equalAverage="0" bottom="0" percent="0" rank="0" text="" dxfId="1">
      <formula>0</formula>
    </cfRule>
    <cfRule type="cellIs" priority="480" operator="lessThan" aboveAverage="0" equalAverage="0" bottom="0" percent="0" rank="0" text="" dxfId="2">
      <formula>0.2</formula>
    </cfRule>
    <cfRule type="cellIs" priority="481" operator="greaterThan" aboveAverage="0" equalAverage="0" bottom="0" percent="0" rank="0" text="" dxfId="3">
      <formula>0.8</formula>
    </cfRule>
  </conditionalFormatting>
  <conditionalFormatting sqref="E130">
    <cfRule type="cellIs" priority="482" operator="greaterThan" aboveAverage="0" equalAverage="0" bottom="0" percent="0" rank="0" text="" dxfId="0">
      <formula>1</formula>
    </cfRule>
    <cfRule type="cellIs" priority="483" operator="equal" aboveAverage="0" equalAverage="0" bottom="0" percent="0" rank="0" text="" dxfId="1">
      <formula>0</formula>
    </cfRule>
    <cfRule type="cellIs" priority="484" operator="lessThan" aboveAverage="0" equalAverage="0" bottom="0" percent="0" rank="0" text="" dxfId="2">
      <formula>0.2</formula>
    </cfRule>
    <cfRule type="cellIs" priority="485" operator="greaterThan" aboveAverage="0" equalAverage="0" bottom="0" percent="0" rank="0" text="" dxfId="3">
      <formula>0.8</formula>
    </cfRule>
  </conditionalFormatting>
  <conditionalFormatting sqref="E131">
    <cfRule type="cellIs" priority="486" operator="greaterThan" aboveAverage="0" equalAverage="0" bottom="0" percent="0" rank="0" text="" dxfId="0">
      <formula>1</formula>
    </cfRule>
    <cfRule type="cellIs" priority="487" operator="equal" aboveAverage="0" equalAverage="0" bottom="0" percent="0" rank="0" text="" dxfId="1">
      <formula>0</formula>
    </cfRule>
    <cfRule type="cellIs" priority="488" operator="lessThan" aboveAverage="0" equalAverage="0" bottom="0" percent="0" rank="0" text="" dxfId="2">
      <formula>0.2</formula>
    </cfRule>
    <cfRule type="cellIs" priority="489" operator="greaterThan" aboveAverage="0" equalAverage="0" bottom="0" percent="0" rank="0" text="" dxfId="3">
      <formula>0.8</formula>
    </cfRule>
  </conditionalFormatting>
  <conditionalFormatting sqref="E132">
    <cfRule type="cellIs" priority="490" operator="greaterThan" aboveAverage="0" equalAverage="0" bottom="0" percent="0" rank="0" text="" dxfId="0">
      <formula>1</formula>
    </cfRule>
    <cfRule type="cellIs" priority="491" operator="equal" aboveAverage="0" equalAverage="0" bottom="0" percent="0" rank="0" text="" dxfId="1">
      <formula>0</formula>
    </cfRule>
    <cfRule type="cellIs" priority="492" operator="lessThan" aboveAverage="0" equalAverage="0" bottom="0" percent="0" rank="0" text="" dxfId="2">
      <formula>0.2</formula>
    </cfRule>
    <cfRule type="cellIs" priority="493" operator="greaterThan" aboveAverage="0" equalAverage="0" bottom="0" percent="0" rank="0" text="" dxfId="3">
      <formula>0.8</formula>
    </cfRule>
  </conditionalFormatting>
  <conditionalFormatting sqref="E133">
    <cfRule type="cellIs" priority="494" operator="greaterThan" aboveAverage="0" equalAverage="0" bottom="0" percent="0" rank="0" text="" dxfId="0">
      <formula>1</formula>
    </cfRule>
    <cfRule type="cellIs" priority="495" operator="equal" aboveAverage="0" equalAverage="0" bottom="0" percent="0" rank="0" text="" dxfId="1">
      <formula>0</formula>
    </cfRule>
    <cfRule type="cellIs" priority="496" operator="lessThan" aboveAverage="0" equalAverage="0" bottom="0" percent="0" rank="0" text="" dxfId="2">
      <formula>0.2</formula>
    </cfRule>
    <cfRule type="cellIs" priority="497" operator="greaterThan" aboveAverage="0" equalAverage="0" bottom="0" percent="0" rank="0" text="" dxfId="3">
      <formula>0.8</formula>
    </cfRule>
  </conditionalFormatting>
  <conditionalFormatting sqref="E134">
    <cfRule type="cellIs" priority="498" operator="greaterThan" aboveAverage="0" equalAverage="0" bottom="0" percent="0" rank="0" text="" dxfId="0">
      <formula>1</formula>
    </cfRule>
    <cfRule type="cellIs" priority="499" operator="equal" aboveAverage="0" equalAverage="0" bottom="0" percent="0" rank="0" text="" dxfId="1">
      <formula>0</formula>
    </cfRule>
    <cfRule type="cellIs" priority="500" operator="lessThan" aboveAverage="0" equalAverage="0" bottom="0" percent="0" rank="0" text="" dxfId="2">
      <formula>0.2</formula>
    </cfRule>
    <cfRule type="cellIs" priority="501" operator="greaterThan" aboveAverage="0" equalAverage="0" bottom="0" percent="0" rank="0" text="" dxfId="3">
      <formula>0.8</formula>
    </cfRule>
  </conditionalFormatting>
  <conditionalFormatting sqref="E135">
    <cfRule type="cellIs" priority="502" operator="greaterThan" aboveAverage="0" equalAverage="0" bottom="0" percent="0" rank="0" text="" dxfId="0">
      <formula>1</formula>
    </cfRule>
    <cfRule type="cellIs" priority="503" operator="equal" aboveAverage="0" equalAverage="0" bottom="0" percent="0" rank="0" text="" dxfId="1">
      <formula>0</formula>
    </cfRule>
    <cfRule type="cellIs" priority="504" operator="lessThan" aboveAverage="0" equalAverage="0" bottom="0" percent="0" rank="0" text="" dxfId="2">
      <formula>0.2</formula>
    </cfRule>
    <cfRule type="cellIs" priority="505" operator="greaterThan" aboveAverage="0" equalAverage="0" bottom="0" percent="0" rank="0" text="" dxfId="3">
      <formula>0.8</formula>
    </cfRule>
  </conditionalFormatting>
  <conditionalFormatting sqref="E136">
    <cfRule type="cellIs" priority="506" operator="greaterThan" aboveAverage="0" equalAverage="0" bottom="0" percent="0" rank="0" text="" dxfId="0">
      <formula>1</formula>
    </cfRule>
    <cfRule type="cellIs" priority="507" operator="equal" aboveAverage="0" equalAverage="0" bottom="0" percent="0" rank="0" text="" dxfId="1">
      <formula>0</formula>
    </cfRule>
    <cfRule type="cellIs" priority="508" operator="lessThan" aboveAverage="0" equalAverage="0" bottom="0" percent="0" rank="0" text="" dxfId="2">
      <formula>0.2</formula>
    </cfRule>
    <cfRule type="cellIs" priority="509" operator="greaterThan" aboveAverage="0" equalAverage="0" bottom="0" percent="0" rank="0" text="" dxfId="3">
      <formula>0.8</formula>
    </cfRule>
  </conditionalFormatting>
  <conditionalFormatting sqref="E137">
    <cfRule type="cellIs" priority="510" operator="greaterThan" aboveAverage="0" equalAverage="0" bottom="0" percent="0" rank="0" text="" dxfId="0">
      <formula>1</formula>
    </cfRule>
    <cfRule type="cellIs" priority="511" operator="equal" aboveAverage="0" equalAverage="0" bottom="0" percent="0" rank="0" text="" dxfId="1">
      <formula>0</formula>
    </cfRule>
    <cfRule type="cellIs" priority="512" operator="lessThan" aboveAverage="0" equalAverage="0" bottom="0" percent="0" rank="0" text="" dxfId="2">
      <formula>0.2</formula>
    </cfRule>
    <cfRule type="cellIs" priority="513" operator="greaterThan" aboveAverage="0" equalAverage="0" bottom="0" percent="0" rank="0" text="" dxfId="3">
      <formula>0.8</formula>
    </cfRule>
  </conditionalFormatting>
  <conditionalFormatting sqref="E138">
    <cfRule type="cellIs" priority="514" operator="greaterThan" aboveAverage="0" equalAverage="0" bottom="0" percent="0" rank="0" text="" dxfId="0">
      <formula>1</formula>
    </cfRule>
    <cfRule type="cellIs" priority="515" operator="equal" aboveAverage="0" equalAverage="0" bottom="0" percent="0" rank="0" text="" dxfId="1">
      <formula>0</formula>
    </cfRule>
    <cfRule type="cellIs" priority="516" operator="lessThan" aboveAverage="0" equalAverage="0" bottom="0" percent="0" rank="0" text="" dxfId="2">
      <formula>0.2</formula>
    </cfRule>
    <cfRule type="cellIs" priority="517" operator="greaterThan" aboveAverage="0" equalAverage="0" bottom="0" percent="0" rank="0" text="" dxfId="3">
      <formula>0.8</formula>
    </cfRule>
  </conditionalFormatting>
  <conditionalFormatting sqref="E139">
    <cfRule type="cellIs" priority="518" operator="greaterThan" aboveAverage="0" equalAverage="0" bottom="0" percent="0" rank="0" text="" dxfId="0">
      <formula>1</formula>
    </cfRule>
    <cfRule type="cellIs" priority="519" operator="equal" aboveAverage="0" equalAverage="0" bottom="0" percent="0" rank="0" text="" dxfId="1">
      <formula>0</formula>
    </cfRule>
    <cfRule type="cellIs" priority="520" operator="lessThan" aboveAverage="0" equalAverage="0" bottom="0" percent="0" rank="0" text="" dxfId="2">
      <formula>0.2</formula>
    </cfRule>
    <cfRule type="cellIs" priority="521" operator="greaterThan" aboveAverage="0" equalAverage="0" bottom="0" percent="0" rank="0" text="" dxfId="3">
      <formula>0.8</formula>
    </cfRule>
  </conditionalFormatting>
  <conditionalFormatting sqref="E140">
    <cfRule type="cellIs" priority="522" operator="greaterThan" aboveAverage="0" equalAverage="0" bottom="0" percent="0" rank="0" text="" dxfId="0">
      <formula>1</formula>
    </cfRule>
    <cfRule type="cellIs" priority="523" operator="equal" aboveAverage="0" equalAverage="0" bottom="0" percent="0" rank="0" text="" dxfId="1">
      <formula>0</formula>
    </cfRule>
    <cfRule type="cellIs" priority="524" operator="lessThan" aboveAverage="0" equalAverage="0" bottom="0" percent="0" rank="0" text="" dxfId="2">
      <formula>0.2</formula>
    </cfRule>
    <cfRule type="cellIs" priority="525" operator="greaterThan" aboveAverage="0" equalAverage="0" bottom="0" percent="0" rank="0" text="" dxfId="3">
      <formula>0.8</formula>
    </cfRule>
  </conditionalFormatting>
  <conditionalFormatting sqref="E141">
    <cfRule type="cellIs" priority="526" operator="greaterThan" aboveAverage="0" equalAverage="0" bottom="0" percent="0" rank="0" text="" dxfId="0">
      <formula>1</formula>
    </cfRule>
    <cfRule type="cellIs" priority="527" operator="equal" aboveAverage="0" equalAverage="0" bottom="0" percent="0" rank="0" text="" dxfId="1">
      <formula>0</formula>
    </cfRule>
    <cfRule type="cellIs" priority="528" operator="lessThan" aboveAverage="0" equalAverage="0" bottom="0" percent="0" rank="0" text="" dxfId="2">
      <formula>0.2</formula>
    </cfRule>
    <cfRule type="cellIs" priority="529" operator="greaterThan" aboveAverage="0" equalAverage="0" bottom="0" percent="0" rank="0" text="" dxfId="3">
      <formula>0.8</formula>
    </cfRule>
  </conditionalFormatting>
  <conditionalFormatting sqref="E142">
    <cfRule type="cellIs" priority="530" operator="greaterThan" aboveAverage="0" equalAverage="0" bottom="0" percent="0" rank="0" text="" dxfId="0">
      <formula>1</formula>
    </cfRule>
    <cfRule type="cellIs" priority="531" operator="equal" aboveAverage="0" equalAverage="0" bottom="0" percent="0" rank="0" text="" dxfId="1">
      <formula>0</formula>
    </cfRule>
    <cfRule type="cellIs" priority="532" operator="lessThan" aboveAverage="0" equalAverage="0" bottom="0" percent="0" rank="0" text="" dxfId="2">
      <formula>0.2</formula>
    </cfRule>
    <cfRule type="cellIs" priority="533" operator="greaterThan" aboveAverage="0" equalAverage="0" bottom="0" percent="0" rank="0" text="" dxfId="3">
      <formula>0.8</formula>
    </cfRule>
  </conditionalFormatting>
  <conditionalFormatting sqref="E143">
    <cfRule type="cellIs" priority="534" operator="greaterThan" aboveAverage="0" equalAverage="0" bottom="0" percent="0" rank="0" text="" dxfId="0">
      <formula>1</formula>
    </cfRule>
    <cfRule type="cellIs" priority="535" operator="equal" aboveAverage="0" equalAverage="0" bottom="0" percent="0" rank="0" text="" dxfId="1">
      <formula>0</formula>
    </cfRule>
    <cfRule type="cellIs" priority="536" operator="lessThan" aboveAverage="0" equalAverage="0" bottom="0" percent="0" rank="0" text="" dxfId="2">
      <formula>0.2</formula>
    </cfRule>
    <cfRule type="cellIs" priority="537" operator="greaterThan" aboveAverage="0" equalAverage="0" bottom="0" percent="0" rank="0" text="" dxfId="3">
      <formula>0.8</formula>
    </cfRule>
  </conditionalFormatting>
  <conditionalFormatting sqref="E144">
    <cfRule type="cellIs" priority="538" operator="greaterThan" aboveAverage="0" equalAverage="0" bottom="0" percent="0" rank="0" text="" dxfId="0">
      <formula>1</formula>
    </cfRule>
    <cfRule type="cellIs" priority="539" operator="equal" aboveAverage="0" equalAverage="0" bottom="0" percent="0" rank="0" text="" dxfId="1">
      <formula>0</formula>
    </cfRule>
    <cfRule type="cellIs" priority="540" operator="lessThan" aboveAverage="0" equalAverage="0" bottom="0" percent="0" rank="0" text="" dxfId="2">
      <formula>0.2</formula>
    </cfRule>
    <cfRule type="cellIs" priority="541" operator="greaterThan" aboveAverage="0" equalAverage="0" bottom="0" percent="0" rank="0" text="" dxfId="3">
      <formula>0.8</formula>
    </cfRule>
  </conditionalFormatting>
  <conditionalFormatting sqref="E145">
    <cfRule type="cellIs" priority="542" operator="greaterThan" aboveAverage="0" equalAverage="0" bottom="0" percent="0" rank="0" text="" dxfId="0">
      <formula>1</formula>
    </cfRule>
    <cfRule type="cellIs" priority="543" operator="equal" aboveAverage="0" equalAverage="0" bottom="0" percent="0" rank="0" text="" dxfId="1">
      <formula>0</formula>
    </cfRule>
    <cfRule type="cellIs" priority="544" operator="lessThan" aboveAverage="0" equalAverage="0" bottom="0" percent="0" rank="0" text="" dxfId="2">
      <formula>0.2</formula>
    </cfRule>
    <cfRule type="cellIs" priority="545" operator="greaterThan" aboveAverage="0" equalAverage="0" bottom="0" percent="0" rank="0" text="" dxfId="3">
      <formula>0.8</formula>
    </cfRule>
  </conditionalFormatting>
  <conditionalFormatting sqref="E146">
    <cfRule type="cellIs" priority="546" operator="greaterThan" aboveAverage="0" equalAverage="0" bottom="0" percent="0" rank="0" text="" dxfId="0">
      <formula>1</formula>
    </cfRule>
    <cfRule type="cellIs" priority="547" operator="equal" aboveAverage="0" equalAverage="0" bottom="0" percent="0" rank="0" text="" dxfId="1">
      <formula>0</formula>
    </cfRule>
    <cfRule type="cellIs" priority="548" operator="lessThan" aboveAverage="0" equalAverage="0" bottom="0" percent="0" rank="0" text="" dxfId="2">
      <formula>0.2</formula>
    </cfRule>
    <cfRule type="cellIs" priority="549" operator="greaterThan" aboveAverage="0" equalAverage="0" bottom="0" percent="0" rank="0" text="" dxfId="3">
      <formula>0.8</formula>
    </cfRule>
  </conditionalFormatting>
  <conditionalFormatting sqref="E147">
    <cfRule type="cellIs" priority="550" operator="greaterThan" aboveAverage="0" equalAverage="0" bottom="0" percent="0" rank="0" text="" dxfId="0">
      <formula>1</formula>
    </cfRule>
    <cfRule type="cellIs" priority="551" operator="equal" aboveAverage="0" equalAverage="0" bottom="0" percent="0" rank="0" text="" dxfId="1">
      <formula>0</formula>
    </cfRule>
    <cfRule type="cellIs" priority="552" operator="lessThan" aboveAverage="0" equalAverage="0" bottom="0" percent="0" rank="0" text="" dxfId="2">
      <formula>0.2</formula>
    </cfRule>
    <cfRule type="cellIs" priority="553" operator="greaterThan" aboveAverage="0" equalAverage="0" bottom="0" percent="0" rank="0" text="" dxfId="3">
      <formula>0.8</formula>
    </cfRule>
  </conditionalFormatting>
  <conditionalFormatting sqref="E148">
    <cfRule type="cellIs" priority="554" operator="greaterThan" aboveAverage="0" equalAverage="0" bottom="0" percent="0" rank="0" text="" dxfId="0">
      <formula>1</formula>
    </cfRule>
    <cfRule type="cellIs" priority="555" operator="equal" aboveAverage="0" equalAverage="0" bottom="0" percent="0" rank="0" text="" dxfId="1">
      <formula>0</formula>
    </cfRule>
    <cfRule type="cellIs" priority="556" operator="lessThan" aboveAverage="0" equalAverage="0" bottom="0" percent="0" rank="0" text="" dxfId="2">
      <formula>0.2</formula>
    </cfRule>
    <cfRule type="cellIs" priority="557" operator="greaterThan" aboveAverage="0" equalAverage="0" bottom="0" percent="0" rank="0" text="" dxfId="3">
      <formula>0.8</formula>
    </cfRule>
  </conditionalFormatting>
  <conditionalFormatting sqref="E149">
    <cfRule type="cellIs" priority="558" operator="greaterThan" aboveAverage="0" equalAverage="0" bottom="0" percent="0" rank="0" text="" dxfId="0">
      <formula>1</formula>
    </cfRule>
    <cfRule type="cellIs" priority="559" operator="equal" aboveAverage="0" equalAverage="0" bottom="0" percent="0" rank="0" text="" dxfId="1">
      <formula>0</formula>
    </cfRule>
    <cfRule type="cellIs" priority="560" operator="lessThan" aboveAverage="0" equalAverage="0" bottom="0" percent="0" rank="0" text="" dxfId="2">
      <formula>0.2</formula>
    </cfRule>
    <cfRule type="cellIs" priority="561" operator="greaterThan" aboveAverage="0" equalAverage="0" bottom="0" percent="0" rank="0" text="" dxfId="3">
      <formula>0.8</formula>
    </cfRule>
  </conditionalFormatting>
  <conditionalFormatting sqref="E150">
    <cfRule type="cellIs" priority="562" operator="greaterThan" aboveAverage="0" equalAverage="0" bottom="0" percent="0" rank="0" text="" dxfId="0">
      <formula>1</formula>
    </cfRule>
    <cfRule type="cellIs" priority="563" operator="equal" aboveAverage="0" equalAverage="0" bottom="0" percent="0" rank="0" text="" dxfId="1">
      <formula>0</formula>
    </cfRule>
    <cfRule type="cellIs" priority="564" operator="lessThan" aboveAverage="0" equalAverage="0" bottom="0" percent="0" rank="0" text="" dxfId="2">
      <formula>0.2</formula>
    </cfRule>
    <cfRule type="cellIs" priority="565" operator="greaterThan" aboveAverage="0" equalAverage="0" bottom="0" percent="0" rank="0" text="" dxfId="3">
      <formula>0.8</formula>
    </cfRule>
  </conditionalFormatting>
  <conditionalFormatting sqref="E151">
    <cfRule type="cellIs" priority="566" operator="greaterThan" aboveAverage="0" equalAverage="0" bottom="0" percent="0" rank="0" text="" dxfId="0">
      <formula>1</formula>
    </cfRule>
    <cfRule type="cellIs" priority="567" operator="equal" aboveAverage="0" equalAverage="0" bottom="0" percent="0" rank="0" text="" dxfId="1">
      <formula>0</formula>
    </cfRule>
    <cfRule type="cellIs" priority="568" operator="lessThan" aboveAverage="0" equalAverage="0" bottom="0" percent="0" rank="0" text="" dxfId="2">
      <formula>0.2</formula>
    </cfRule>
    <cfRule type="cellIs" priority="569" operator="greaterThan" aboveAverage="0" equalAverage="0" bottom="0" percent="0" rank="0" text="" dxfId="3">
      <formula>0.8</formula>
    </cfRule>
  </conditionalFormatting>
  <conditionalFormatting sqref="E152">
    <cfRule type="cellIs" priority="570" operator="greaterThan" aboveAverage="0" equalAverage="0" bottom="0" percent="0" rank="0" text="" dxfId="0">
      <formula>1</formula>
    </cfRule>
    <cfRule type="cellIs" priority="571" operator="equal" aboveAverage="0" equalAverage="0" bottom="0" percent="0" rank="0" text="" dxfId="1">
      <formula>0</formula>
    </cfRule>
    <cfRule type="cellIs" priority="572" operator="lessThan" aboveAverage="0" equalAverage="0" bottom="0" percent="0" rank="0" text="" dxfId="2">
      <formula>0.2</formula>
    </cfRule>
    <cfRule type="cellIs" priority="573" operator="greaterThan" aboveAverage="0" equalAverage="0" bottom="0" percent="0" rank="0" text="" dxfId="3">
      <formula>0.8</formula>
    </cfRule>
  </conditionalFormatting>
  <conditionalFormatting sqref="E153">
    <cfRule type="cellIs" priority="574" operator="greaterThan" aboveAverage="0" equalAverage="0" bottom="0" percent="0" rank="0" text="" dxfId="0">
      <formula>1</formula>
    </cfRule>
    <cfRule type="cellIs" priority="575" operator="equal" aboveAverage="0" equalAverage="0" bottom="0" percent="0" rank="0" text="" dxfId="1">
      <formula>0</formula>
    </cfRule>
    <cfRule type="cellIs" priority="576" operator="lessThan" aboveAverage="0" equalAverage="0" bottom="0" percent="0" rank="0" text="" dxfId="2">
      <formula>0.2</formula>
    </cfRule>
    <cfRule type="cellIs" priority="577" operator="greaterThan" aboveAverage="0" equalAverage="0" bottom="0" percent="0" rank="0" text="" dxfId="3">
      <formula>0.8</formula>
    </cfRule>
  </conditionalFormatting>
  <conditionalFormatting sqref="E154">
    <cfRule type="cellIs" priority="578" operator="greaterThan" aboveAverage="0" equalAverage="0" bottom="0" percent="0" rank="0" text="" dxfId="0">
      <formula>1</formula>
    </cfRule>
    <cfRule type="cellIs" priority="579" operator="equal" aboveAverage="0" equalAverage="0" bottom="0" percent="0" rank="0" text="" dxfId="1">
      <formula>0</formula>
    </cfRule>
    <cfRule type="cellIs" priority="580" operator="lessThan" aboveAverage="0" equalAverage="0" bottom="0" percent="0" rank="0" text="" dxfId="2">
      <formula>0.2</formula>
    </cfRule>
    <cfRule type="cellIs" priority="581" operator="greaterThan" aboveAverage="0" equalAverage="0" bottom="0" percent="0" rank="0" text="" dxfId="3">
      <formula>0.8</formula>
    </cfRule>
  </conditionalFormatting>
  <conditionalFormatting sqref="E155">
    <cfRule type="cellIs" priority="582" operator="greaterThan" aboveAverage="0" equalAverage="0" bottom="0" percent="0" rank="0" text="" dxfId="0">
      <formula>1</formula>
    </cfRule>
    <cfRule type="cellIs" priority="583" operator="equal" aboveAverage="0" equalAverage="0" bottom="0" percent="0" rank="0" text="" dxfId="1">
      <formula>0</formula>
    </cfRule>
    <cfRule type="cellIs" priority="584" operator="lessThan" aboveAverage="0" equalAverage="0" bottom="0" percent="0" rank="0" text="" dxfId="2">
      <formula>0.2</formula>
    </cfRule>
    <cfRule type="cellIs" priority="585" operator="greaterThan" aboveAverage="0" equalAverage="0" bottom="0" percent="0" rank="0" text="" dxfId="3">
      <formula>0.8</formula>
    </cfRule>
  </conditionalFormatting>
  <conditionalFormatting sqref="E156">
    <cfRule type="cellIs" priority="586" operator="greaterThan" aboveAverage="0" equalAverage="0" bottom="0" percent="0" rank="0" text="" dxfId="0">
      <formula>1</formula>
    </cfRule>
    <cfRule type="cellIs" priority="587" operator="equal" aboveAverage="0" equalAverage="0" bottom="0" percent="0" rank="0" text="" dxfId="1">
      <formula>0</formula>
    </cfRule>
    <cfRule type="cellIs" priority="588" operator="lessThan" aboveAverage="0" equalAverage="0" bottom="0" percent="0" rank="0" text="" dxfId="2">
      <formula>0.2</formula>
    </cfRule>
    <cfRule type="cellIs" priority="589" operator="greaterThan" aboveAverage="0" equalAverage="0" bottom="0" percent="0" rank="0" text="" dxfId="3">
      <formula>0.8</formula>
    </cfRule>
  </conditionalFormatting>
  <conditionalFormatting sqref="E157">
    <cfRule type="cellIs" priority="590" operator="greaterThan" aboveAverage="0" equalAverage="0" bottom="0" percent="0" rank="0" text="" dxfId="0">
      <formula>1</formula>
    </cfRule>
    <cfRule type="cellIs" priority="591" operator="equal" aboveAverage="0" equalAverage="0" bottom="0" percent="0" rank="0" text="" dxfId="1">
      <formula>0</formula>
    </cfRule>
    <cfRule type="cellIs" priority="592" operator="lessThan" aboveAverage="0" equalAverage="0" bottom="0" percent="0" rank="0" text="" dxfId="2">
      <formula>0.2</formula>
    </cfRule>
    <cfRule type="cellIs" priority="593" operator="greaterThan" aboveAverage="0" equalAverage="0" bottom="0" percent="0" rank="0" text="" dxfId="3">
      <formula>0.8</formula>
    </cfRule>
  </conditionalFormatting>
  <conditionalFormatting sqref="E158">
    <cfRule type="cellIs" priority="594" operator="greaterThan" aboveAverage="0" equalAverage="0" bottom="0" percent="0" rank="0" text="" dxfId="0">
      <formula>1</formula>
    </cfRule>
    <cfRule type="cellIs" priority="595" operator="equal" aboveAverage="0" equalAverage="0" bottom="0" percent="0" rank="0" text="" dxfId="1">
      <formula>0</formula>
    </cfRule>
    <cfRule type="cellIs" priority="596" operator="lessThan" aboveAverage="0" equalAverage="0" bottom="0" percent="0" rank="0" text="" dxfId="2">
      <formula>0.2</formula>
    </cfRule>
    <cfRule type="cellIs" priority="597" operator="greaterThan" aboveAverage="0" equalAverage="0" bottom="0" percent="0" rank="0" text="" dxfId="3">
      <formula>0.8</formula>
    </cfRule>
  </conditionalFormatting>
  <conditionalFormatting sqref="E159">
    <cfRule type="cellIs" priority="598" operator="greaterThan" aboveAverage="0" equalAverage="0" bottom="0" percent="0" rank="0" text="" dxfId="0">
      <formula>1</formula>
    </cfRule>
    <cfRule type="cellIs" priority="599" operator="equal" aboveAverage="0" equalAverage="0" bottom="0" percent="0" rank="0" text="" dxfId="1">
      <formula>0</formula>
    </cfRule>
    <cfRule type="cellIs" priority="600" operator="lessThan" aboveAverage="0" equalAverage="0" bottom="0" percent="0" rank="0" text="" dxfId="2">
      <formula>0.2</formula>
    </cfRule>
    <cfRule type="cellIs" priority="601" operator="greaterThan" aboveAverage="0" equalAverage="0" bottom="0" percent="0" rank="0" text="" dxfId="3">
      <formula>0.8</formula>
    </cfRule>
  </conditionalFormatting>
  <conditionalFormatting sqref="E160">
    <cfRule type="cellIs" priority="602" operator="greaterThan" aboveAverage="0" equalAverage="0" bottom="0" percent="0" rank="0" text="" dxfId="0">
      <formula>1</formula>
    </cfRule>
    <cfRule type="cellIs" priority="603" operator="equal" aboveAverage="0" equalAverage="0" bottom="0" percent="0" rank="0" text="" dxfId="1">
      <formula>0</formula>
    </cfRule>
    <cfRule type="cellIs" priority="604" operator="lessThan" aboveAverage="0" equalAverage="0" bottom="0" percent="0" rank="0" text="" dxfId="2">
      <formula>0.2</formula>
    </cfRule>
    <cfRule type="cellIs" priority="605" operator="greaterThan" aboveAverage="0" equalAverage="0" bottom="0" percent="0" rank="0" text="" dxfId="3">
      <formula>0.8</formula>
    </cfRule>
  </conditionalFormatting>
  <conditionalFormatting sqref="E161">
    <cfRule type="cellIs" priority="606" operator="greaterThan" aboveAverage="0" equalAverage="0" bottom="0" percent="0" rank="0" text="" dxfId="0">
      <formula>1</formula>
    </cfRule>
    <cfRule type="cellIs" priority="607" operator="equal" aboveAverage="0" equalAverage="0" bottom="0" percent="0" rank="0" text="" dxfId="1">
      <formula>0</formula>
    </cfRule>
    <cfRule type="cellIs" priority="608" operator="lessThan" aboveAverage="0" equalAverage="0" bottom="0" percent="0" rank="0" text="" dxfId="2">
      <formula>0.2</formula>
    </cfRule>
    <cfRule type="cellIs" priority="609" operator="greaterThan" aboveAverage="0" equalAverage="0" bottom="0" percent="0" rank="0" text="" dxfId="3">
      <formula>0.8</formula>
    </cfRule>
  </conditionalFormatting>
  <conditionalFormatting sqref="E162">
    <cfRule type="cellIs" priority="610" operator="greaterThan" aboveAverage="0" equalAverage="0" bottom="0" percent="0" rank="0" text="" dxfId="0">
      <formula>1</formula>
    </cfRule>
    <cfRule type="cellIs" priority="611" operator="equal" aboveAverage="0" equalAverage="0" bottom="0" percent="0" rank="0" text="" dxfId="1">
      <formula>0</formula>
    </cfRule>
    <cfRule type="cellIs" priority="612" operator="lessThan" aboveAverage="0" equalAverage="0" bottom="0" percent="0" rank="0" text="" dxfId="2">
      <formula>0.2</formula>
    </cfRule>
    <cfRule type="cellIs" priority="613" operator="greaterThan" aboveAverage="0" equalAverage="0" bottom="0" percent="0" rank="0" text="" dxfId="3">
      <formula>0.8</formula>
    </cfRule>
  </conditionalFormatting>
  <conditionalFormatting sqref="E163">
    <cfRule type="cellIs" priority="614" operator="greaterThan" aboveAverage="0" equalAverage="0" bottom="0" percent="0" rank="0" text="" dxfId="0">
      <formula>1</formula>
    </cfRule>
    <cfRule type="cellIs" priority="615" operator="equal" aboveAverage="0" equalAverage="0" bottom="0" percent="0" rank="0" text="" dxfId="1">
      <formula>0</formula>
    </cfRule>
    <cfRule type="cellIs" priority="616" operator="lessThan" aboveAverage="0" equalAverage="0" bottom="0" percent="0" rank="0" text="" dxfId="2">
      <formula>0.2</formula>
    </cfRule>
    <cfRule type="cellIs" priority="617" operator="greaterThan" aboveAverage="0" equalAverage="0" bottom="0" percent="0" rank="0" text="" dxfId="3">
      <formula>0.8</formula>
    </cfRule>
  </conditionalFormatting>
  <conditionalFormatting sqref="E164">
    <cfRule type="cellIs" priority="618" operator="greaterThan" aboveAverage="0" equalAverage="0" bottom="0" percent="0" rank="0" text="" dxfId="0">
      <formula>1</formula>
    </cfRule>
    <cfRule type="cellIs" priority="619" operator="equal" aboveAverage="0" equalAverage="0" bottom="0" percent="0" rank="0" text="" dxfId="1">
      <formula>0</formula>
    </cfRule>
    <cfRule type="cellIs" priority="620" operator="lessThan" aboveAverage="0" equalAverage="0" bottom="0" percent="0" rank="0" text="" dxfId="2">
      <formula>0.2</formula>
    </cfRule>
    <cfRule type="cellIs" priority="621" operator="greaterThan" aboveAverage="0" equalAverage="0" bottom="0" percent="0" rank="0" text="" dxfId="3">
      <formula>0.8</formula>
    </cfRule>
  </conditionalFormatting>
  <conditionalFormatting sqref="E165">
    <cfRule type="cellIs" priority="622" operator="greaterThan" aboveAverage="0" equalAverage="0" bottom="0" percent="0" rank="0" text="" dxfId="0">
      <formula>1</formula>
    </cfRule>
    <cfRule type="cellIs" priority="623" operator="equal" aboveAverage="0" equalAverage="0" bottom="0" percent="0" rank="0" text="" dxfId="1">
      <formula>0</formula>
    </cfRule>
    <cfRule type="cellIs" priority="624" operator="lessThan" aboveAverage="0" equalAverage="0" bottom="0" percent="0" rank="0" text="" dxfId="2">
      <formula>0.2</formula>
    </cfRule>
    <cfRule type="cellIs" priority="625" operator="greaterThan" aboveAverage="0" equalAverage="0" bottom="0" percent="0" rank="0" text="" dxfId="3">
      <formula>0.8</formula>
    </cfRule>
  </conditionalFormatting>
  <conditionalFormatting sqref="E166">
    <cfRule type="cellIs" priority="626" operator="greaterThan" aboveAverage="0" equalAverage="0" bottom="0" percent="0" rank="0" text="" dxfId="0">
      <formula>1</formula>
    </cfRule>
    <cfRule type="cellIs" priority="627" operator="equal" aboveAverage="0" equalAverage="0" bottom="0" percent="0" rank="0" text="" dxfId="1">
      <formula>0</formula>
    </cfRule>
    <cfRule type="cellIs" priority="628" operator="lessThan" aboveAverage="0" equalAverage="0" bottom="0" percent="0" rank="0" text="" dxfId="2">
      <formula>0.2</formula>
    </cfRule>
    <cfRule type="cellIs" priority="629" operator="greaterThan" aboveAverage="0" equalAverage="0" bottom="0" percent="0" rank="0" text="" dxfId="3">
      <formula>0.8</formula>
    </cfRule>
  </conditionalFormatting>
  <conditionalFormatting sqref="E167">
    <cfRule type="cellIs" priority="630" operator="greaterThan" aboveAverage="0" equalAverage="0" bottom="0" percent="0" rank="0" text="" dxfId="0">
      <formula>1</formula>
    </cfRule>
    <cfRule type="cellIs" priority="631" operator="equal" aboveAverage="0" equalAverage="0" bottom="0" percent="0" rank="0" text="" dxfId="1">
      <formula>0</formula>
    </cfRule>
    <cfRule type="cellIs" priority="632" operator="lessThan" aboveAverage="0" equalAverage="0" bottom="0" percent="0" rank="0" text="" dxfId="2">
      <formula>0.2</formula>
    </cfRule>
    <cfRule type="cellIs" priority="633" operator="greaterThan" aboveAverage="0" equalAverage="0" bottom="0" percent="0" rank="0" text="" dxfId="3">
      <formula>0.8</formula>
    </cfRule>
  </conditionalFormatting>
  <conditionalFormatting sqref="E168">
    <cfRule type="cellIs" priority="634" operator="greaterThan" aboveAverage="0" equalAverage="0" bottom="0" percent="0" rank="0" text="" dxfId="0">
      <formula>1</formula>
    </cfRule>
    <cfRule type="cellIs" priority="635" operator="equal" aboveAverage="0" equalAverage="0" bottom="0" percent="0" rank="0" text="" dxfId="1">
      <formula>0</formula>
    </cfRule>
    <cfRule type="cellIs" priority="636" operator="lessThan" aboveAverage="0" equalAverage="0" bottom="0" percent="0" rank="0" text="" dxfId="2">
      <formula>0.2</formula>
    </cfRule>
    <cfRule type="cellIs" priority="637" operator="greaterThan" aboveAverage="0" equalAverage="0" bottom="0" percent="0" rank="0" text="" dxfId="3">
      <formula>0.8</formula>
    </cfRule>
  </conditionalFormatting>
  <conditionalFormatting sqref="E169">
    <cfRule type="cellIs" priority="638" operator="greaterThan" aboveAverage="0" equalAverage="0" bottom="0" percent="0" rank="0" text="" dxfId="0">
      <formula>1</formula>
    </cfRule>
    <cfRule type="cellIs" priority="639" operator="equal" aboveAverage="0" equalAverage="0" bottom="0" percent="0" rank="0" text="" dxfId="1">
      <formula>0</formula>
    </cfRule>
    <cfRule type="cellIs" priority="640" operator="lessThan" aboveAverage="0" equalAverage="0" bottom="0" percent="0" rank="0" text="" dxfId="2">
      <formula>0.2</formula>
    </cfRule>
    <cfRule type="cellIs" priority="641" operator="greaterThan" aboveAverage="0" equalAverage="0" bottom="0" percent="0" rank="0" text="" dxfId="3">
      <formula>0.8</formula>
    </cfRule>
  </conditionalFormatting>
  <conditionalFormatting sqref="E170">
    <cfRule type="cellIs" priority="642" operator="greaterThan" aboveAverage="0" equalAverage="0" bottom="0" percent="0" rank="0" text="" dxfId="0">
      <formula>1</formula>
    </cfRule>
    <cfRule type="cellIs" priority="643" operator="equal" aboveAverage="0" equalAverage="0" bottom="0" percent="0" rank="0" text="" dxfId="1">
      <formula>0</formula>
    </cfRule>
    <cfRule type="cellIs" priority="644" operator="lessThan" aboveAverage="0" equalAverage="0" bottom="0" percent="0" rank="0" text="" dxfId="2">
      <formula>0.2</formula>
    </cfRule>
    <cfRule type="cellIs" priority="645" operator="greaterThan" aboveAverage="0" equalAverage="0" bottom="0" percent="0" rank="0" text="" dxfId="3">
      <formula>0.8</formula>
    </cfRule>
  </conditionalFormatting>
  <conditionalFormatting sqref="E171">
    <cfRule type="cellIs" priority="646" operator="greaterThan" aboveAverage="0" equalAverage="0" bottom="0" percent="0" rank="0" text="" dxfId="0">
      <formula>1</formula>
    </cfRule>
    <cfRule type="cellIs" priority="647" operator="equal" aboveAverage="0" equalAverage="0" bottom="0" percent="0" rank="0" text="" dxfId="1">
      <formula>0</formula>
    </cfRule>
    <cfRule type="cellIs" priority="648" operator="lessThan" aboveAverage="0" equalAverage="0" bottom="0" percent="0" rank="0" text="" dxfId="2">
      <formula>0.2</formula>
    </cfRule>
    <cfRule type="cellIs" priority="649" operator="greaterThan" aboveAverage="0" equalAverage="0" bottom="0" percent="0" rank="0" text="" dxfId="3">
      <formula>0.8</formula>
    </cfRule>
  </conditionalFormatting>
  <conditionalFormatting sqref="E172">
    <cfRule type="cellIs" priority="650" operator="greaterThan" aboveAverage="0" equalAverage="0" bottom="0" percent="0" rank="0" text="" dxfId="0">
      <formula>1</formula>
    </cfRule>
    <cfRule type="cellIs" priority="651" operator="equal" aboveAverage="0" equalAverage="0" bottom="0" percent="0" rank="0" text="" dxfId="1">
      <formula>0</formula>
    </cfRule>
    <cfRule type="cellIs" priority="652" operator="lessThan" aboveAverage="0" equalAverage="0" bottom="0" percent="0" rank="0" text="" dxfId="2">
      <formula>0.2</formula>
    </cfRule>
    <cfRule type="cellIs" priority="653" operator="greaterThan" aboveAverage="0" equalAverage="0" bottom="0" percent="0" rank="0" text="" dxfId="3">
      <formula>0.8</formula>
    </cfRule>
  </conditionalFormatting>
  <conditionalFormatting sqref="E173">
    <cfRule type="cellIs" priority="654" operator="greaterThan" aboveAverage="0" equalAverage="0" bottom="0" percent="0" rank="0" text="" dxfId="0">
      <formula>1</formula>
    </cfRule>
    <cfRule type="cellIs" priority="655" operator="equal" aboveAverage="0" equalAverage="0" bottom="0" percent="0" rank="0" text="" dxfId="1">
      <formula>0</formula>
    </cfRule>
    <cfRule type="cellIs" priority="656" operator="lessThan" aboveAverage="0" equalAverage="0" bottom="0" percent="0" rank="0" text="" dxfId="2">
      <formula>0.2</formula>
    </cfRule>
    <cfRule type="cellIs" priority="657" operator="greaterThan" aboveAverage="0" equalAverage="0" bottom="0" percent="0" rank="0" text="" dxfId="3">
      <formula>0.8</formula>
    </cfRule>
  </conditionalFormatting>
  <conditionalFormatting sqref="E174">
    <cfRule type="cellIs" priority="658" operator="greaterThan" aboveAverage="0" equalAverage="0" bottom="0" percent="0" rank="0" text="" dxfId="0">
      <formula>1</formula>
    </cfRule>
    <cfRule type="cellIs" priority="659" operator="equal" aboveAverage="0" equalAverage="0" bottom="0" percent="0" rank="0" text="" dxfId="1">
      <formula>0</formula>
    </cfRule>
    <cfRule type="cellIs" priority="660" operator="lessThan" aboveAverage="0" equalAverage="0" bottom="0" percent="0" rank="0" text="" dxfId="2">
      <formula>0.2</formula>
    </cfRule>
    <cfRule type="cellIs" priority="661" operator="greaterThan" aboveAverage="0" equalAverage="0" bottom="0" percent="0" rank="0" text="" dxfId="3">
      <formula>0.8</formula>
    </cfRule>
  </conditionalFormatting>
  <conditionalFormatting sqref="E175">
    <cfRule type="cellIs" priority="662" operator="greaterThan" aboveAverage="0" equalAverage="0" bottom="0" percent="0" rank="0" text="" dxfId="0">
      <formula>1</formula>
    </cfRule>
    <cfRule type="cellIs" priority="663" operator="equal" aboveAverage="0" equalAverage="0" bottom="0" percent="0" rank="0" text="" dxfId="1">
      <formula>0</formula>
    </cfRule>
    <cfRule type="cellIs" priority="664" operator="lessThan" aboveAverage="0" equalAverage="0" bottom="0" percent="0" rank="0" text="" dxfId="2">
      <formula>0.2</formula>
    </cfRule>
    <cfRule type="cellIs" priority="665" operator="greaterThan" aboveAverage="0" equalAverage="0" bottom="0" percent="0" rank="0" text="" dxfId="3">
      <formula>0.8</formula>
    </cfRule>
  </conditionalFormatting>
  <conditionalFormatting sqref="E176">
    <cfRule type="cellIs" priority="666" operator="greaterThan" aboveAverage="0" equalAverage="0" bottom="0" percent="0" rank="0" text="" dxfId="0">
      <formula>1</formula>
    </cfRule>
    <cfRule type="cellIs" priority="667" operator="equal" aboveAverage="0" equalAverage="0" bottom="0" percent="0" rank="0" text="" dxfId="1">
      <formula>0</formula>
    </cfRule>
    <cfRule type="cellIs" priority="668" operator="lessThan" aboveAverage="0" equalAverage="0" bottom="0" percent="0" rank="0" text="" dxfId="2">
      <formula>0.2</formula>
    </cfRule>
    <cfRule type="cellIs" priority="669" operator="greaterThan" aboveAverage="0" equalAverage="0" bottom="0" percent="0" rank="0" text="" dxfId="3">
      <formula>0.8</formula>
    </cfRule>
  </conditionalFormatting>
  <conditionalFormatting sqref="E177">
    <cfRule type="cellIs" priority="670" operator="greaterThan" aboveAverage="0" equalAverage="0" bottom="0" percent="0" rank="0" text="" dxfId="0">
      <formula>1</formula>
    </cfRule>
    <cfRule type="cellIs" priority="671" operator="equal" aboveAverage="0" equalAverage="0" bottom="0" percent="0" rank="0" text="" dxfId="1">
      <formula>0</formula>
    </cfRule>
    <cfRule type="cellIs" priority="672" operator="lessThan" aboveAverage="0" equalAverage="0" bottom="0" percent="0" rank="0" text="" dxfId="2">
      <formula>0.2</formula>
    </cfRule>
    <cfRule type="cellIs" priority="673" operator="greaterThan" aboveAverage="0" equalAverage="0" bottom="0" percent="0" rank="0" text="" dxfId="3">
      <formula>0.8</formula>
    </cfRule>
  </conditionalFormatting>
  <conditionalFormatting sqref="E178">
    <cfRule type="cellIs" priority="674" operator="greaterThan" aboveAverage="0" equalAverage="0" bottom="0" percent="0" rank="0" text="" dxfId="0">
      <formula>1</formula>
    </cfRule>
    <cfRule type="cellIs" priority="675" operator="equal" aboveAverage="0" equalAverage="0" bottom="0" percent="0" rank="0" text="" dxfId="1">
      <formula>0</formula>
    </cfRule>
    <cfRule type="cellIs" priority="676" operator="lessThan" aboveAverage="0" equalAverage="0" bottom="0" percent="0" rank="0" text="" dxfId="2">
      <formula>0.2</formula>
    </cfRule>
    <cfRule type="cellIs" priority="677" operator="greaterThan" aboveAverage="0" equalAverage="0" bottom="0" percent="0" rank="0" text="" dxfId="3">
      <formula>0.8</formula>
    </cfRule>
  </conditionalFormatting>
  <conditionalFormatting sqref="E180:E183">
    <cfRule type="cellIs" priority="678" operator="greaterThan" aboveAverage="0" equalAverage="0" bottom="0" percent="0" rank="0" text="" dxfId="0">
      <formula>1</formula>
    </cfRule>
    <cfRule type="cellIs" priority="679" operator="equal" aboveAverage="0" equalAverage="0" bottom="0" percent="0" rank="0" text="" dxfId="1">
      <formula>0</formula>
    </cfRule>
    <cfRule type="cellIs" priority="680" operator="lessThan" aboveAverage="0" equalAverage="0" bottom="0" percent="0" rank="0" text="" dxfId="2">
      <formula>0.2</formula>
    </cfRule>
    <cfRule type="cellIs" priority="681" operator="greaterThan" aboveAverage="0" equalAverage="0" bottom="0" percent="0" rank="0" text="" dxfId="3">
      <formula>0.8</formula>
    </cfRule>
  </conditionalFormatting>
  <conditionalFormatting sqref="E179">
    <cfRule type="cellIs" priority="682" operator="greaterThan" aboveAverage="0" equalAverage="0" bottom="0" percent="0" rank="0" text="" dxfId="0">
      <formula>1</formula>
    </cfRule>
    <cfRule type="cellIs" priority="683" operator="equal" aboveAverage="0" equalAverage="0" bottom="0" percent="0" rank="0" text="" dxfId="1">
      <formula>0</formula>
    </cfRule>
    <cfRule type="cellIs" priority="684" operator="lessThan" aboveAverage="0" equalAverage="0" bottom="0" percent="0" rank="0" text="" dxfId="2">
      <formula>0.2</formula>
    </cfRule>
    <cfRule type="cellIs" priority="68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tabColor rgb="FF3FAF46"/>
    <pageSetUpPr fitToPage="false"/>
  </sheetPr>
  <dimension ref="A1:AC24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35" activePane="bottomRight" state="frozen"/>
      <selection pane="topLeft" activeCell="A1" activeCellId="0" sqref="A1"/>
      <selection pane="topRight" activeCell="B1" activeCellId="0" sqref="B1"/>
      <selection pane="bottomLeft" activeCell="A235" activeCellId="0" sqref="A235"/>
      <selection pane="bottomRight" activeCell="B249" activeCellId="0" sqref="B249"/>
    </sheetView>
  </sheetViews>
  <sheetFormatPr defaultRowHeight="12.8" zeroHeight="false" outlineLevelRow="0" outlineLevelCol="0"/>
  <cols>
    <col collapsed="false" customWidth="true" hidden="false" outlineLevel="0" max="1" min="1" style="9" width="3.37"/>
    <col collapsed="false" customWidth="true" hidden="false" outlineLevel="0" max="2" min="2" style="9" width="17.13"/>
    <col collapsed="false" customWidth="true" hidden="false" outlineLevel="0" max="3" min="3" style="9" width="14.81"/>
    <col collapsed="false" customWidth="true" hidden="false" outlineLevel="0" max="4" min="4" style="9" width="16.07"/>
    <col collapsed="false" customWidth="true" hidden="false" outlineLevel="0" max="5" min="5" style="9" width="19.14"/>
    <col collapsed="false" customWidth="true" hidden="false" outlineLevel="0" max="6" min="6" style="9" width="16.07"/>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9"/>
    <col collapsed="false" customWidth="true" hidden="false" outlineLevel="0" max="11" min="11" style="9" width="13.12"/>
    <col collapsed="false" customWidth="true" hidden="false" outlineLevel="0" max="12" min="12" style="9" width="19.91"/>
    <col collapsed="false" customWidth="true" hidden="false" outlineLevel="0" max="13" min="13" style="9" width="16.07"/>
    <col collapsed="false" customWidth="true" hidden="false" outlineLevel="0" max="14" min="14" style="9" width="15.42"/>
    <col collapsed="false" customWidth="true" hidden="false" outlineLevel="0" max="15" min="15" style="9" width="9.13"/>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96" t="s">
        <v>0</v>
      </c>
      <c r="C1" s="96"/>
      <c r="D1" s="96"/>
      <c r="E1" s="96"/>
      <c r="F1" s="97" t="s">
        <v>1</v>
      </c>
      <c r="G1" s="97"/>
      <c r="H1" s="97"/>
      <c r="I1" s="97"/>
      <c r="J1" s="97"/>
      <c r="K1" s="97"/>
      <c r="L1" s="97"/>
      <c r="M1" s="97"/>
      <c r="N1" s="97"/>
      <c r="O1" s="97"/>
    </row>
    <row r="2" customFormat="false" ht="30.8" hidden="false" customHeight="true" outlineLevel="0" collapsed="false">
      <c r="B2" s="96"/>
      <c r="C2" s="96"/>
      <c r="D2" s="96"/>
      <c r="E2" s="96"/>
      <c r="F2" s="97" t="s">
        <v>2</v>
      </c>
      <c r="G2" s="97"/>
      <c r="H2" s="97"/>
      <c r="I2" s="97"/>
      <c r="J2" s="97" t="s">
        <v>3</v>
      </c>
      <c r="K2" s="97"/>
      <c r="L2" s="97"/>
      <c r="M2" s="97" t="s">
        <v>4</v>
      </c>
      <c r="N2" s="97"/>
      <c r="O2" s="97" t="s">
        <v>5</v>
      </c>
      <c r="Q2" s="4"/>
      <c r="R2" s="5" t="s">
        <v>6</v>
      </c>
      <c r="T2" s="6"/>
      <c r="U2" s="7" t="s">
        <v>7</v>
      </c>
    </row>
    <row r="3" customFormat="false" ht="40.8" hidden="false" customHeight="true" outlineLevel="0" collapsed="false">
      <c r="B3" s="20" t="s">
        <v>9</v>
      </c>
      <c r="C3" s="20" t="s">
        <v>10</v>
      </c>
      <c r="D3" s="20" t="s">
        <v>11</v>
      </c>
      <c r="E3" s="98" t="s">
        <v>12</v>
      </c>
      <c r="F3" s="20" t="s">
        <v>13</v>
      </c>
      <c r="G3" s="20" t="s">
        <v>14</v>
      </c>
      <c r="H3" s="20" t="s">
        <v>15</v>
      </c>
      <c r="I3" s="20" t="s">
        <v>16</v>
      </c>
      <c r="J3" s="20" t="s">
        <v>17</v>
      </c>
      <c r="K3" s="20" t="s">
        <v>91</v>
      </c>
      <c r="L3" s="20" t="s">
        <v>18</v>
      </c>
      <c r="M3" s="20" t="s">
        <v>19</v>
      </c>
      <c r="N3" s="20" t="s">
        <v>17</v>
      </c>
      <c r="O3" s="97"/>
      <c r="Q3" s="12"/>
      <c r="R3" s="5" t="s">
        <v>20</v>
      </c>
      <c r="T3" s="13"/>
      <c r="U3" s="7" t="s">
        <v>21</v>
      </c>
    </row>
    <row r="4" customFormat="false" ht="44.15" hidden="false" customHeight="true" outlineLevel="0" collapsed="false">
      <c r="B4" s="99" t="s">
        <v>92</v>
      </c>
      <c r="C4" s="99" t="n">
        <v>20129</v>
      </c>
      <c r="D4" s="99" t="s">
        <v>93</v>
      </c>
      <c r="E4" s="100" t="s">
        <v>94</v>
      </c>
      <c r="F4" s="15" t="n">
        <v>125</v>
      </c>
      <c r="G4" s="15" t="n">
        <v>115</v>
      </c>
      <c r="H4" s="15" t="n">
        <v>125</v>
      </c>
      <c r="I4" s="15" t="s">
        <v>95</v>
      </c>
      <c r="J4" s="15"/>
      <c r="K4" s="15"/>
      <c r="L4" s="15"/>
      <c r="M4" s="15"/>
      <c r="N4" s="15"/>
      <c r="O4" s="101"/>
      <c r="Q4" s="17"/>
      <c r="R4" s="16" t="s">
        <v>23</v>
      </c>
      <c r="T4" s="18"/>
      <c r="U4" s="19" t="s">
        <v>24</v>
      </c>
      <c r="V4" s="19"/>
      <c r="W4" s="19"/>
    </row>
    <row r="5" customFormat="false" ht="28.35" hidden="false" customHeight="true" outlineLevel="0" collapsed="false">
      <c r="T5" s="0"/>
      <c r="U5" s="0"/>
    </row>
    <row r="6" customFormat="false" ht="28.35" hidden="false" customHeight="true" outlineLevel="0" collapsed="false">
      <c r="B6" s="0"/>
      <c r="C6" s="10" t="s">
        <v>25</v>
      </c>
      <c r="D6" s="10"/>
      <c r="F6" s="20" t="s">
        <v>26</v>
      </c>
      <c r="G6" s="15"/>
      <c r="H6" s="15"/>
      <c r="I6" s="15"/>
      <c r="J6" s="15"/>
      <c r="K6" s="15"/>
      <c r="L6" s="15"/>
      <c r="M6" s="15"/>
      <c r="N6" s="15"/>
      <c r="O6" s="15"/>
      <c r="Q6" s="21" t="n">
        <v>41365</v>
      </c>
      <c r="R6" s="19" t="s">
        <v>27</v>
      </c>
      <c r="T6" s="22"/>
      <c r="U6" s="5" t="s">
        <v>28</v>
      </c>
    </row>
    <row r="7" customFormat="false" ht="44.95" hidden="false" customHeight="true" outlineLevel="0" collapsed="false">
      <c r="B7" s="0"/>
      <c r="C7" s="102" t="s">
        <v>96</v>
      </c>
      <c r="D7" s="102"/>
      <c r="F7" s="20"/>
      <c r="G7" s="20"/>
      <c r="H7" s="15"/>
      <c r="I7" s="15"/>
      <c r="J7" s="15"/>
      <c r="K7" s="15"/>
      <c r="L7" s="15"/>
      <c r="M7" s="15"/>
      <c r="N7" s="15"/>
      <c r="O7" s="15"/>
      <c r="Q7" s="24"/>
      <c r="R7" s="5" t="s">
        <v>29</v>
      </c>
      <c r="T7" s="25"/>
      <c r="U7" s="5" t="s">
        <v>30</v>
      </c>
    </row>
    <row r="8" customFormat="false" ht="28.3" hidden="false" customHeight="true" outlineLevel="0" collapsed="false">
      <c r="Q8" s="1"/>
      <c r="R8" s="1"/>
      <c r="T8" s="27"/>
      <c r="U8" s="16" t="s">
        <v>31</v>
      </c>
    </row>
    <row r="9" customFormat="false" ht="42.45" hidden="false" customHeight="true" outlineLevel="0" collapsed="false">
      <c r="A9" s="1"/>
      <c r="B9" s="9" t="s">
        <v>32</v>
      </c>
      <c r="C9" s="9" t="s">
        <v>51</v>
      </c>
      <c r="D9" s="9" t="s">
        <v>52</v>
      </c>
      <c r="E9" s="1" t="s">
        <v>35</v>
      </c>
      <c r="F9" s="9" t="s">
        <v>97</v>
      </c>
      <c r="G9" s="9" t="s">
        <v>37</v>
      </c>
      <c r="H9" s="9" t="s">
        <v>38</v>
      </c>
      <c r="I9" s="9" t="s">
        <v>39</v>
      </c>
      <c r="J9" s="103" t="s">
        <v>40</v>
      </c>
      <c r="K9" s="103"/>
    </row>
    <row r="10" customFormat="false" ht="13.5" hidden="false" customHeight="true" outlineLevel="0" collapsed="false">
      <c r="A10" s="0" t="n">
        <v>30</v>
      </c>
      <c r="B10" s="31" t="n">
        <v>36100</v>
      </c>
      <c r="C10" s="104" t="n">
        <v>15000</v>
      </c>
      <c r="D10" s="29" t="s">
        <v>42</v>
      </c>
      <c r="E10" s="33" t="n">
        <f aca="false">IF(D10="totale",(C10/(A10*24))/F10,IF(D10="marché libre",(C10/(A10*24))/G10,"spécifier histo"))</f>
        <v>0.181159420289855</v>
      </c>
      <c r="F10" s="9" t="n">
        <v>115</v>
      </c>
      <c r="G10" s="9" t="n">
        <f aca="false">F10-H10</f>
        <v>115</v>
      </c>
      <c r="H10" s="9" t="n">
        <v>0</v>
      </c>
      <c r="J10" s="105"/>
      <c r="K10" s="0"/>
      <c r="L10" s="0"/>
      <c r="M10" s="0"/>
      <c r="N10" s="0"/>
      <c r="O10" s="0"/>
      <c r="P10" s="0"/>
      <c r="Q10" s="0"/>
      <c r="R10" s="0"/>
      <c r="S10" s="0"/>
      <c r="T10" s="0"/>
      <c r="U10" s="0"/>
      <c r="V10" s="0"/>
      <c r="W10" s="0"/>
      <c r="X10" s="0"/>
    </row>
    <row r="11" customFormat="false" ht="13.5" hidden="false" customHeight="true" outlineLevel="0" collapsed="false">
      <c r="A11" s="0" t="n">
        <v>31</v>
      </c>
      <c r="B11" s="34" t="n">
        <v>36130</v>
      </c>
      <c r="C11" s="104" t="n">
        <v>27460</v>
      </c>
      <c r="D11" s="29" t="s">
        <v>42</v>
      </c>
      <c r="E11" s="33" t="n">
        <f aca="false">IF(D11="totale",(C11/(A11*24))/F11,IF(D11="marché libre",(C11/(A11*24))/G11,"spécifier histo"))</f>
        <v>0.320944366526414</v>
      </c>
      <c r="F11" s="9" t="n">
        <v>115</v>
      </c>
      <c r="G11" s="9" t="n">
        <f aca="false">F11-H11</f>
        <v>115</v>
      </c>
      <c r="H11" s="9" t="n">
        <v>0</v>
      </c>
      <c r="J11" s="105"/>
      <c r="K11" s="0"/>
      <c r="L11" s="0"/>
      <c r="M11" s="0"/>
      <c r="N11" s="0"/>
      <c r="O11" s="0"/>
      <c r="P11" s="0"/>
      <c r="Q11" s="0"/>
      <c r="R11" s="0"/>
      <c r="S11" s="0"/>
      <c r="T11" s="0"/>
      <c r="U11" s="0"/>
      <c r="V11" s="0"/>
      <c r="W11" s="0"/>
      <c r="X11" s="0"/>
    </row>
    <row r="12" customFormat="false" ht="13.5" hidden="false" customHeight="true" outlineLevel="0" collapsed="false">
      <c r="A12" s="0" t="n">
        <v>31</v>
      </c>
      <c r="B12" s="31" t="n">
        <v>36161</v>
      </c>
      <c r="C12" s="104" t="n">
        <v>42000</v>
      </c>
      <c r="D12" s="29" t="s">
        <v>42</v>
      </c>
      <c r="E12" s="33" t="n">
        <f aca="false">IF(D12="totale",(C12/(A12*24))/F12,IF(D12="marché libre",(C12/(A12*24))/G12,"spécifier histo"))</f>
        <v>0.490883590462833</v>
      </c>
      <c r="F12" s="9" t="n">
        <v>115</v>
      </c>
      <c r="G12" s="9" t="n">
        <f aca="false">F12-H12</f>
        <v>115</v>
      </c>
      <c r="H12" s="9" t="n">
        <v>0</v>
      </c>
      <c r="J12" s="105"/>
      <c r="K12" s="0"/>
      <c r="L12" s="0"/>
      <c r="M12" s="0"/>
      <c r="N12" s="0"/>
      <c r="O12" s="0"/>
      <c r="P12" s="0"/>
      <c r="Q12" s="0"/>
      <c r="R12" s="0"/>
      <c r="S12" s="0"/>
      <c r="T12" s="0"/>
      <c r="U12" s="0"/>
      <c r="V12" s="0"/>
      <c r="W12" s="0"/>
      <c r="X12" s="0"/>
    </row>
    <row r="13" customFormat="false" ht="13.5" hidden="false" customHeight="true" outlineLevel="0" collapsed="false">
      <c r="A13" s="0" t="n">
        <v>28</v>
      </c>
      <c r="B13" s="34" t="n">
        <v>36192</v>
      </c>
      <c r="C13" s="104" t="n">
        <v>31460</v>
      </c>
      <c r="D13" s="29" t="s">
        <v>42</v>
      </c>
      <c r="E13" s="33" t="n">
        <f aca="false">IF(D13="totale",(C13/(A13*24))/F13,IF(D13="marché libre",(C13/(A13*24))/G13,"spécifier histo"))</f>
        <v>0.407091097308489</v>
      </c>
      <c r="F13" s="9" t="n">
        <v>115</v>
      </c>
      <c r="G13" s="9" t="n">
        <f aca="false">F13-H13</f>
        <v>115</v>
      </c>
      <c r="H13" s="9" t="n">
        <v>0</v>
      </c>
      <c r="J13" s="0"/>
      <c r="K13" s="0"/>
      <c r="L13" s="0"/>
      <c r="M13" s="0"/>
      <c r="N13" s="0"/>
      <c r="O13" s="0"/>
      <c r="P13" s="0"/>
      <c r="Q13" s="0"/>
      <c r="R13" s="0"/>
      <c r="S13" s="0"/>
      <c r="T13" s="0"/>
      <c r="U13" s="0"/>
      <c r="V13" s="0"/>
      <c r="W13" s="0"/>
      <c r="X13" s="0"/>
    </row>
    <row r="14" customFormat="false" ht="13.5" hidden="false" customHeight="true" outlineLevel="0" collapsed="false">
      <c r="A14" s="0" t="n">
        <v>31</v>
      </c>
      <c r="B14" s="31" t="n">
        <v>36220</v>
      </c>
      <c r="C14" s="104" t="n">
        <v>35960</v>
      </c>
      <c r="D14" s="29" t="s">
        <v>42</v>
      </c>
      <c r="E14" s="33" t="n">
        <f aca="false">IF(D14="totale",(C14/(A14*24))/F14,IF(D14="marché libre",(C14/(A14*24))/G14,"spécifier histo"))</f>
        <v>0.420289855072464</v>
      </c>
      <c r="F14" s="9" t="n">
        <v>115</v>
      </c>
      <c r="G14" s="9" t="n">
        <f aca="false">F14-H14</f>
        <v>115</v>
      </c>
      <c r="H14" s="9" t="n">
        <v>0</v>
      </c>
      <c r="J14" s="0"/>
      <c r="K14" s="0"/>
      <c r="L14" s="0"/>
      <c r="M14" s="0"/>
      <c r="N14" s="0"/>
      <c r="O14" s="0"/>
      <c r="P14" s="0"/>
      <c r="Q14" s="0"/>
      <c r="R14" s="0"/>
      <c r="S14" s="0"/>
      <c r="T14" s="0"/>
      <c r="U14" s="0"/>
      <c r="V14" s="0"/>
      <c r="W14" s="0"/>
      <c r="X14" s="0"/>
    </row>
    <row r="15" customFormat="false" ht="13.5" hidden="false" customHeight="true" outlineLevel="0" collapsed="false">
      <c r="A15" s="0" t="n">
        <v>30</v>
      </c>
      <c r="B15" s="34" t="n">
        <v>36251</v>
      </c>
      <c r="C15" s="104" t="n">
        <v>31980</v>
      </c>
      <c r="D15" s="29" t="s">
        <v>42</v>
      </c>
      <c r="E15" s="33" t="n">
        <f aca="false">IF(D15="totale",(C15/(A15*24))/F15,IF(D15="marché libre",(C15/(A15*24))/G15,"spécifier histo"))</f>
        <v>0.386231884057971</v>
      </c>
      <c r="F15" s="9" t="n">
        <v>115</v>
      </c>
      <c r="G15" s="9" t="n">
        <f aca="false">F15-H15</f>
        <v>115</v>
      </c>
      <c r="H15" s="9" t="n">
        <v>0</v>
      </c>
      <c r="J15" s="103"/>
      <c r="K15" s="0"/>
      <c r="Q15" s="0"/>
      <c r="U15" s="0"/>
      <c r="W15" s="0"/>
    </row>
    <row r="16" customFormat="false" ht="13.5" hidden="false" customHeight="true" outlineLevel="0" collapsed="false">
      <c r="A16" s="0" t="n">
        <v>31</v>
      </c>
      <c r="B16" s="31" t="n">
        <v>36281</v>
      </c>
      <c r="C16" s="104" t="n">
        <v>4040</v>
      </c>
      <c r="D16" s="29" t="s">
        <v>42</v>
      </c>
      <c r="E16" s="33" t="n">
        <f aca="false">IF(D16="totale",(C16/(A16*24))/F16,IF(D16="marché libre",(C16/(A16*24))/G16,"spécifier histo"))</f>
        <v>0.0472183263207106</v>
      </c>
      <c r="F16" s="9" t="n">
        <v>115</v>
      </c>
      <c r="G16" s="9" t="n">
        <f aca="false">F16-H16</f>
        <v>115</v>
      </c>
      <c r="H16" s="9" t="n">
        <v>0</v>
      </c>
      <c r="J16" s="103"/>
      <c r="K16" s="0"/>
      <c r="Q16" s="0"/>
      <c r="U16" s="0"/>
      <c r="W16" s="0"/>
    </row>
    <row r="17" customFormat="false" ht="13.5" hidden="false" customHeight="true" outlineLevel="0" collapsed="false">
      <c r="A17" s="0" t="n">
        <v>30</v>
      </c>
      <c r="B17" s="34" t="n">
        <v>36312</v>
      </c>
      <c r="C17" s="104" t="n">
        <v>0</v>
      </c>
      <c r="D17" s="29" t="s">
        <v>42</v>
      </c>
      <c r="E17" s="33" t="n">
        <f aca="false">IF(D17="totale",(C17/(A17*24))/F17,IF(D17="marché libre",(C17/(A17*24))/G17,"spécifier histo"))</f>
        <v>0</v>
      </c>
      <c r="F17" s="9" t="n">
        <v>115</v>
      </c>
      <c r="G17" s="9" t="n">
        <f aca="false">F17-H17</f>
        <v>115</v>
      </c>
      <c r="H17" s="9" t="n">
        <v>0</v>
      </c>
      <c r="J17" s="103"/>
      <c r="K17" s="0"/>
      <c r="Q17" s="0"/>
      <c r="U17" s="0"/>
      <c r="W17" s="0"/>
    </row>
    <row r="18" customFormat="false" ht="13.5" hidden="false" customHeight="true" outlineLevel="0" collapsed="false">
      <c r="A18" s="0" t="n">
        <v>31</v>
      </c>
      <c r="B18" s="31" t="n">
        <v>36342</v>
      </c>
      <c r="C18" s="104" t="n">
        <v>0</v>
      </c>
      <c r="D18" s="29" t="s">
        <v>42</v>
      </c>
      <c r="E18" s="33" t="n">
        <f aca="false">IF(D18="totale",(C18/(A18*24))/F18,IF(D18="marché libre",(C18/(A18*24))/G18,"spécifier histo"))</f>
        <v>0</v>
      </c>
      <c r="F18" s="9" t="n">
        <v>115</v>
      </c>
      <c r="G18" s="9" t="n">
        <f aca="false">F18-H18</f>
        <v>115</v>
      </c>
      <c r="H18" s="9" t="n">
        <v>0</v>
      </c>
      <c r="J18" s="103"/>
      <c r="K18" s="0"/>
      <c r="Q18" s="0"/>
      <c r="U18" s="0"/>
      <c r="W18" s="0"/>
    </row>
    <row r="19" customFormat="false" ht="13.5" hidden="false" customHeight="true" outlineLevel="0" collapsed="false">
      <c r="A19" s="0" t="n">
        <v>31</v>
      </c>
      <c r="B19" s="34" t="n">
        <v>36373</v>
      </c>
      <c r="C19" s="104" t="n">
        <v>0</v>
      </c>
      <c r="D19" s="29" t="s">
        <v>42</v>
      </c>
      <c r="E19" s="33" t="n">
        <f aca="false">IF(D19="totale",(C19/(A19*24))/F19,IF(D19="marché libre",(C19/(A19*24))/G19,"spécifier histo"))</f>
        <v>0</v>
      </c>
      <c r="F19" s="9" t="n">
        <v>115</v>
      </c>
      <c r="G19" s="9" t="n">
        <f aca="false">F19-H19</f>
        <v>115</v>
      </c>
      <c r="H19" s="9" t="n">
        <v>0</v>
      </c>
      <c r="J19" s="103"/>
      <c r="K19" s="0"/>
      <c r="Q19" s="0"/>
      <c r="U19" s="0"/>
      <c r="W19" s="0"/>
    </row>
    <row r="20" customFormat="false" ht="13.5" hidden="false" customHeight="true" outlineLevel="0" collapsed="false">
      <c r="A20" s="0" t="n">
        <v>30</v>
      </c>
      <c r="B20" s="31" t="n">
        <v>36404</v>
      </c>
      <c r="C20" s="104" t="n">
        <v>0</v>
      </c>
      <c r="D20" s="29" t="s">
        <v>42</v>
      </c>
      <c r="E20" s="33" t="n">
        <f aca="false">IF(D20="totale",(C20/(A20*24))/F20,IF(D20="marché libre",(C20/(A20*24))/G20,"spécifier histo"))</f>
        <v>0</v>
      </c>
      <c r="F20" s="9" t="n">
        <v>115</v>
      </c>
      <c r="G20" s="9" t="n">
        <f aca="false">F20-H20</f>
        <v>115</v>
      </c>
      <c r="H20" s="9" t="n">
        <v>0</v>
      </c>
      <c r="J20" s="103"/>
      <c r="K20" s="0"/>
      <c r="Q20" s="0"/>
      <c r="U20" s="0"/>
      <c r="W20" s="0"/>
    </row>
    <row r="21" customFormat="false" ht="13.5" hidden="false" customHeight="true" outlineLevel="0" collapsed="false">
      <c r="A21" s="0" t="n">
        <v>31</v>
      </c>
      <c r="B21" s="34" t="n">
        <v>36434</v>
      </c>
      <c r="C21" s="104" t="n">
        <v>0</v>
      </c>
      <c r="D21" s="29" t="s">
        <v>42</v>
      </c>
      <c r="E21" s="33" t="n">
        <f aca="false">IF(D21="totale",(C21/(A21*24))/F21,IF(D21="marché libre",(C21/(A21*24))/G21,"spécifier histo"))</f>
        <v>0</v>
      </c>
      <c r="F21" s="9" t="n">
        <v>115</v>
      </c>
      <c r="G21" s="9" t="n">
        <f aca="false">F21-H21</f>
        <v>115</v>
      </c>
      <c r="H21" s="9" t="n">
        <v>0</v>
      </c>
      <c r="J21" s="103"/>
      <c r="K21" s="0"/>
      <c r="Q21" s="0"/>
      <c r="U21" s="0"/>
      <c r="W21" s="0"/>
    </row>
    <row r="22" customFormat="false" ht="13.5" hidden="false" customHeight="true" outlineLevel="0" collapsed="false">
      <c r="A22" s="0" t="n">
        <v>30</v>
      </c>
      <c r="B22" s="31" t="n">
        <v>36465</v>
      </c>
      <c r="C22" s="104" t="n">
        <v>6260</v>
      </c>
      <c r="D22" s="29" t="s">
        <v>42</v>
      </c>
      <c r="E22" s="33" t="n">
        <f aca="false">IF(D22="totale",(C22/(A22*24))/F22,IF(D22="marché libre",(C22/(A22*24))/G22,"spécifier histo"))</f>
        <v>0.0756038647342995</v>
      </c>
      <c r="F22" s="9" t="n">
        <v>115</v>
      </c>
      <c r="G22" s="9" t="n">
        <f aca="false">F22-H22</f>
        <v>115</v>
      </c>
      <c r="H22" s="9" t="n">
        <v>0</v>
      </c>
      <c r="J22" s="103"/>
      <c r="K22" s="0"/>
      <c r="Q22" s="0"/>
      <c r="U22" s="0"/>
      <c r="W22" s="0"/>
    </row>
    <row r="23" customFormat="false" ht="13.5" hidden="false" customHeight="true" outlineLevel="0" collapsed="false">
      <c r="A23" s="0" t="n">
        <v>31</v>
      </c>
      <c r="B23" s="34" t="n">
        <v>36495</v>
      </c>
      <c r="C23" s="104" t="n">
        <v>23920</v>
      </c>
      <c r="D23" s="29" t="s">
        <v>42</v>
      </c>
      <c r="E23" s="33" t="n">
        <f aca="false">IF(D23="totale",(C23/(A23*24))/F23,IF(D23="marché libre",(C23/(A23*24))/G23,"spécifier histo"))</f>
        <v>0.279569892473118</v>
      </c>
      <c r="F23" s="9" t="n">
        <v>115</v>
      </c>
      <c r="G23" s="9" t="n">
        <f aca="false">F23-H23</f>
        <v>115</v>
      </c>
      <c r="H23" s="9" t="n">
        <v>0</v>
      </c>
      <c r="J23" s="103"/>
      <c r="K23" s="0"/>
      <c r="Q23" s="0"/>
      <c r="U23" s="0"/>
      <c r="W23" s="0"/>
    </row>
    <row r="24" customFormat="false" ht="13.5" hidden="false" customHeight="true" outlineLevel="0" collapsed="false">
      <c r="A24" s="0" t="n">
        <v>31</v>
      </c>
      <c r="B24" s="31" t="n">
        <v>36526</v>
      </c>
      <c r="C24" s="104" t="n">
        <v>36980</v>
      </c>
      <c r="D24" s="29" t="s">
        <v>42</v>
      </c>
      <c r="E24" s="33" t="n">
        <f aca="false">IF(D24="totale",(C24/(A24*24))/F24,IF(D24="marché libre",(C24/(A24*24))/G24,"spécifier histo"))</f>
        <v>0.43221131369799</v>
      </c>
      <c r="F24" s="9" t="n">
        <v>115</v>
      </c>
      <c r="G24" s="9" t="n">
        <f aca="false">F24-H24</f>
        <v>115</v>
      </c>
      <c r="H24" s="9" t="n">
        <v>0</v>
      </c>
      <c r="J24" s="103"/>
      <c r="K24" s="0"/>
      <c r="Q24" s="0"/>
      <c r="U24" s="0"/>
      <c r="W24" s="0"/>
    </row>
    <row r="25" customFormat="false" ht="13.5" hidden="false" customHeight="true" outlineLevel="0" collapsed="false">
      <c r="A25" s="0" t="n">
        <v>28</v>
      </c>
      <c r="B25" s="34" t="n">
        <v>36557</v>
      </c>
      <c r="C25" s="104" t="n">
        <v>32280</v>
      </c>
      <c r="D25" s="29" t="s">
        <v>42</v>
      </c>
      <c r="E25" s="33" t="n">
        <f aca="false">IF(D25="totale",(C25/(A25*24))/F25,IF(D25="marché libre",(C25/(A25*24))/G25,"spécifier histo"))</f>
        <v>0.417701863354037</v>
      </c>
      <c r="F25" s="9" t="n">
        <v>115</v>
      </c>
      <c r="G25" s="9" t="n">
        <f aca="false">F25-H25</f>
        <v>115</v>
      </c>
      <c r="H25" s="9" t="n">
        <v>0</v>
      </c>
      <c r="J25" s="106"/>
      <c r="K25" s="0"/>
      <c r="Q25" s="0"/>
      <c r="U25" s="0"/>
      <c r="W25" s="0"/>
    </row>
    <row r="26" customFormat="false" ht="13.5" hidden="false" customHeight="true" outlineLevel="0" collapsed="false">
      <c r="A26" s="0" t="n">
        <v>31</v>
      </c>
      <c r="B26" s="31" t="n">
        <v>36586</v>
      </c>
      <c r="C26" s="104" t="n">
        <v>37080</v>
      </c>
      <c r="D26" s="29" t="s">
        <v>42</v>
      </c>
      <c r="E26" s="33" t="n">
        <f aca="false">IF(D26="totale",(C26/(A26*24))/F26,IF(D26="marché libre",(C26/(A26*24))/G26,"spécifier histo"))</f>
        <v>0.433380084151473</v>
      </c>
      <c r="F26" s="9" t="n">
        <v>115</v>
      </c>
      <c r="G26" s="9" t="n">
        <f aca="false">F26-H26</f>
        <v>115</v>
      </c>
      <c r="H26" s="9" t="n">
        <v>0</v>
      </c>
      <c r="J26" s="103"/>
      <c r="K26" s="0"/>
      <c r="Q26" s="0"/>
      <c r="U26" s="0"/>
      <c r="W26" s="0"/>
    </row>
    <row r="27" customFormat="false" ht="13.5" hidden="false" customHeight="true" outlineLevel="0" collapsed="false">
      <c r="A27" s="0" t="n">
        <v>30</v>
      </c>
      <c r="B27" s="34" t="n">
        <v>36617</v>
      </c>
      <c r="C27" s="104" t="n">
        <v>3136</v>
      </c>
      <c r="D27" s="29" t="s">
        <v>42</v>
      </c>
      <c r="E27" s="33" t="n">
        <f aca="false">IF(D27="totale",(C27/(A27*24))/F27,IF(D27="marché libre",(C27/(A27*24))/G27,"spécifier histo"))</f>
        <v>0.0378743961352657</v>
      </c>
      <c r="F27" s="9" t="n">
        <v>115</v>
      </c>
      <c r="G27" s="9" t="n">
        <f aca="false">F27-H27</f>
        <v>115</v>
      </c>
      <c r="H27" s="9" t="n">
        <v>0</v>
      </c>
      <c r="J27" s="103"/>
      <c r="K27" s="0"/>
      <c r="Q27" s="0"/>
      <c r="U27" s="0"/>
    </row>
    <row r="28" customFormat="false" ht="13.5" hidden="false" customHeight="true" outlineLevel="0" collapsed="false">
      <c r="A28" s="0" t="n">
        <v>31</v>
      </c>
      <c r="B28" s="31" t="n">
        <v>36647</v>
      </c>
      <c r="C28" s="104" t="n">
        <v>0</v>
      </c>
      <c r="D28" s="29" t="s">
        <v>42</v>
      </c>
      <c r="E28" s="33" t="n">
        <f aca="false">IF(D28="totale",(C28/(A28*24))/F28,IF(D28="marché libre",(C28/(A28*24))/G28,"spécifier histo"))</f>
        <v>0</v>
      </c>
      <c r="F28" s="9" t="n">
        <v>115</v>
      </c>
      <c r="G28" s="9" t="n">
        <f aca="false">F28-H28</f>
        <v>115</v>
      </c>
      <c r="H28" s="9" t="n">
        <v>0</v>
      </c>
      <c r="J28" s="103"/>
      <c r="K28" s="0"/>
      <c r="Q28" s="0"/>
      <c r="U28" s="0"/>
    </row>
    <row r="29" customFormat="false" ht="13.5" hidden="false" customHeight="true" outlineLevel="0" collapsed="false">
      <c r="A29" s="0" t="n">
        <v>30</v>
      </c>
      <c r="B29" s="34" t="n">
        <v>36678</v>
      </c>
      <c r="C29" s="104" t="n">
        <v>0</v>
      </c>
      <c r="D29" s="29" t="s">
        <v>42</v>
      </c>
      <c r="E29" s="33" t="n">
        <f aca="false">IF(D29="totale",(C29/(A29*24))/F29,IF(D29="marché libre",(C29/(A29*24))/G29,"spécifier histo"))</f>
        <v>0</v>
      </c>
      <c r="F29" s="9" t="n">
        <v>115</v>
      </c>
      <c r="G29" s="9" t="n">
        <f aca="false">F29-H29</f>
        <v>115</v>
      </c>
      <c r="H29" s="9" t="n">
        <v>0</v>
      </c>
      <c r="J29" s="103"/>
      <c r="K29" s="0"/>
      <c r="Q29" s="0"/>
      <c r="U29" s="0"/>
    </row>
    <row r="30" customFormat="false" ht="13.5" hidden="false" customHeight="true" outlineLevel="0" collapsed="false">
      <c r="A30" s="0" t="n">
        <v>31</v>
      </c>
      <c r="B30" s="31" t="n">
        <v>36708</v>
      </c>
      <c r="C30" s="104" t="n">
        <v>0</v>
      </c>
      <c r="D30" s="29" t="s">
        <v>42</v>
      </c>
      <c r="E30" s="33" t="n">
        <f aca="false">IF(D30="totale",(C30/(A30*24))/F30,IF(D30="marché libre",(C30/(A30*24))/G30,"spécifier histo"))</f>
        <v>0</v>
      </c>
      <c r="F30" s="9" t="n">
        <v>115</v>
      </c>
      <c r="G30" s="9" t="n">
        <f aca="false">F30-H30</f>
        <v>115</v>
      </c>
      <c r="H30" s="9" t="n">
        <v>0</v>
      </c>
      <c r="J30" s="103"/>
      <c r="K30" s="0"/>
      <c r="Q30" s="0"/>
      <c r="U30" s="0"/>
    </row>
    <row r="31" customFormat="false" ht="13.5" hidden="false" customHeight="true" outlineLevel="0" collapsed="false">
      <c r="A31" s="0" t="n">
        <v>31</v>
      </c>
      <c r="B31" s="34" t="n">
        <v>36739</v>
      </c>
      <c r="C31" s="104" t="n">
        <v>0</v>
      </c>
      <c r="D31" s="29" t="s">
        <v>42</v>
      </c>
      <c r="E31" s="33" t="n">
        <f aca="false">IF(D31="totale",(C31/(A31*24))/F31,IF(D31="marché libre",(C31/(A31*24))/G31,"spécifier histo"))</f>
        <v>0</v>
      </c>
      <c r="F31" s="9" t="n">
        <v>115</v>
      </c>
      <c r="G31" s="9" t="n">
        <f aca="false">F31-H31</f>
        <v>115</v>
      </c>
      <c r="H31" s="9" t="n">
        <v>0</v>
      </c>
      <c r="J31" s="103"/>
      <c r="K31" s="0"/>
      <c r="Q31" s="0"/>
      <c r="U31" s="0"/>
    </row>
    <row r="32" customFormat="false" ht="13.5" hidden="false" customHeight="true" outlineLevel="0" collapsed="false">
      <c r="A32" s="0" t="n">
        <v>30</v>
      </c>
      <c r="B32" s="31" t="n">
        <v>36770</v>
      </c>
      <c r="C32" s="104" t="n">
        <v>0</v>
      </c>
      <c r="D32" s="29" t="s">
        <v>42</v>
      </c>
      <c r="E32" s="33" t="n">
        <f aca="false">IF(D32="totale",(C32/(A32*24))/F32,IF(D32="marché libre",(C32/(A32*24))/G32,"spécifier histo"))</f>
        <v>0</v>
      </c>
      <c r="F32" s="9" t="n">
        <v>115</v>
      </c>
      <c r="G32" s="9" t="n">
        <f aca="false">F32-H32</f>
        <v>115</v>
      </c>
      <c r="H32" s="9" t="n">
        <v>0</v>
      </c>
      <c r="J32" s="103"/>
      <c r="K32" s="0"/>
      <c r="Q32" s="0"/>
      <c r="U32" s="0"/>
    </row>
    <row r="33" customFormat="false" ht="13.5" hidden="false" customHeight="true" outlineLevel="0" collapsed="false">
      <c r="A33" s="0" t="n">
        <v>31</v>
      </c>
      <c r="B33" s="34" t="n">
        <v>36800</v>
      </c>
      <c r="C33" s="104" t="n">
        <v>880</v>
      </c>
      <c r="D33" s="29" t="s">
        <v>42</v>
      </c>
      <c r="E33" s="33" t="n">
        <f aca="false">IF(D33="totale",(C33/(A33*24))/F33,IF(D33="marché libre",(C33/(A33*24))/G33,"spécifier histo"))</f>
        <v>0.0102851799906498</v>
      </c>
      <c r="F33" s="9" t="n">
        <v>115</v>
      </c>
      <c r="G33" s="9" t="n">
        <f aca="false">F33-H33</f>
        <v>115</v>
      </c>
      <c r="H33" s="9" t="n">
        <v>0</v>
      </c>
      <c r="J33" s="103"/>
      <c r="K33" s="0"/>
      <c r="Q33" s="0"/>
      <c r="U33" s="0"/>
    </row>
    <row r="34" customFormat="false" ht="13.5" hidden="false" customHeight="true" outlineLevel="0" collapsed="false">
      <c r="A34" s="0" t="n">
        <v>30</v>
      </c>
      <c r="B34" s="31" t="n">
        <v>36831</v>
      </c>
      <c r="C34" s="104" t="n">
        <v>21180</v>
      </c>
      <c r="D34" s="29" t="s">
        <v>42</v>
      </c>
      <c r="E34" s="33" t="n">
        <f aca="false">IF(D34="totale",(C34/(A34*24))/F34,IF(D34="marché libre",(C34/(A34*24))/G34,"spécifier histo"))</f>
        <v>0.255797101449275</v>
      </c>
      <c r="F34" s="9" t="n">
        <v>115</v>
      </c>
      <c r="G34" s="9" t="n">
        <f aca="false">F34-H34</f>
        <v>115</v>
      </c>
      <c r="H34" s="9" t="n">
        <v>0</v>
      </c>
      <c r="J34" s="103"/>
      <c r="K34" s="0"/>
      <c r="Q34" s="0"/>
      <c r="U34" s="0"/>
    </row>
    <row r="35" customFormat="false" ht="13.5" hidden="false" customHeight="true" outlineLevel="0" collapsed="false">
      <c r="A35" s="0" t="n">
        <v>31</v>
      </c>
      <c r="B35" s="34" t="n">
        <v>36861</v>
      </c>
      <c r="C35" s="104" t="n">
        <v>27700</v>
      </c>
      <c r="D35" s="29" t="s">
        <v>42</v>
      </c>
      <c r="E35" s="33" t="n">
        <f aca="false">IF(D35="totale",(C35/(A35*24))/F35,IF(D35="marché libre",(C35/(A35*24))/G35,"spécifier histo"))</f>
        <v>0.323749415614773</v>
      </c>
      <c r="F35" s="9" t="n">
        <v>115</v>
      </c>
      <c r="G35" s="9" t="n">
        <f aca="false">F35-H35</f>
        <v>115</v>
      </c>
      <c r="H35" s="9" t="n">
        <v>0</v>
      </c>
      <c r="J35" s="103"/>
      <c r="K35" s="0"/>
      <c r="Q35" s="0"/>
      <c r="U35" s="0"/>
    </row>
    <row r="36" customFormat="false" ht="13.5" hidden="false" customHeight="true" outlineLevel="0" collapsed="false">
      <c r="A36" s="0" t="n">
        <v>31</v>
      </c>
      <c r="B36" s="31" t="n">
        <v>36892</v>
      </c>
      <c r="C36" s="104" t="n">
        <v>31360</v>
      </c>
      <c r="D36" s="29" t="s">
        <v>42</v>
      </c>
      <c r="E36" s="33" t="n">
        <f aca="false">IF(D36="totale",(C36/(A36*24))/F36,IF(D36="marché libre",(C36/(A36*24))/G36,"spécifier histo"))</f>
        <v>0.366526414212249</v>
      </c>
      <c r="F36" s="9" t="n">
        <v>115</v>
      </c>
      <c r="G36" s="9" t="n">
        <f aca="false">F36-H36</f>
        <v>115</v>
      </c>
      <c r="H36" s="9" t="n">
        <v>0</v>
      </c>
      <c r="J36" s="103"/>
      <c r="K36" s="0"/>
      <c r="Q36" s="0"/>
      <c r="U36" s="0"/>
    </row>
    <row r="37" customFormat="false" ht="13.5" hidden="false" customHeight="true" outlineLevel="0" collapsed="false">
      <c r="A37" s="0" t="n">
        <v>28</v>
      </c>
      <c r="B37" s="34" t="n">
        <v>36923</v>
      </c>
      <c r="C37" s="104" t="n">
        <v>31600</v>
      </c>
      <c r="D37" s="29" t="s">
        <v>42</v>
      </c>
      <c r="E37" s="33" t="n">
        <f aca="false">IF(D37="totale",(C37/(A37*24))/F37,IF(D37="marché libre",(C37/(A37*24))/G37,"spécifier histo"))</f>
        <v>0.408902691511387</v>
      </c>
      <c r="F37" s="9" t="n">
        <v>115</v>
      </c>
      <c r="G37" s="9" t="n">
        <f aca="false">F37-H37</f>
        <v>115</v>
      </c>
      <c r="H37" s="9" t="n">
        <v>0</v>
      </c>
      <c r="J37" s="103"/>
      <c r="K37" s="0"/>
      <c r="Q37" s="0"/>
      <c r="U37" s="0"/>
    </row>
    <row r="38" customFormat="false" ht="13.5" hidden="false" customHeight="true" outlineLevel="0" collapsed="false">
      <c r="A38" s="0" t="n">
        <v>31</v>
      </c>
      <c r="B38" s="31" t="n">
        <v>36951</v>
      </c>
      <c r="C38" s="104" t="n">
        <v>32540</v>
      </c>
      <c r="D38" s="29" t="s">
        <v>42</v>
      </c>
      <c r="E38" s="33" t="n">
        <f aca="false">IF(D38="totale",(C38/(A38*24))/F38,IF(D38="marché libre",(C38/(A38*24))/G38,"spécifier histo"))</f>
        <v>0.380317905563347</v>
      </c>
      <c r="F38" s="9" t="n">
        <v>115</v>
      </c>
      <c r="G38" s="9" t="n">
        <f aca="false">F38-H38</f>
        <v>115</v>
      </c>
      <c r="H38" s="9" t="n">
        <v>0</v>
      </c>
      <c r="J38" s="103"/>
      <c r="K38" s="0"/>
      <c r="Q38" s="0"/>
      <c r="U38" s="0"/>
    </row>
    <row r="39" customFormat="false" ht="13.5" hidden="false" customHeight="true" outlineLevel="0" collapsed="false">
      <c r="A39" s="0" t="n">
        <v>30</v>
      </c>
      <c r="B39" s="34" t="n">
        <v>36982</v>
      </c>
      <c r="C39" s="104" t="n">
        <v>35120</v>
      </c>
      <c r="D39" s="29" t="s">
        <v>42</v>
      </c>
      <c r="E39" s="33" t="n">
        <f aca="false">IF(D39="totale",(C39/(A39*24))/F39,IF(D39="marché libre",(C39/(A39*24))/G39,"spécifier histo"))</f>
        <v>0.424154589371981</v>
      </c>
      <c r="F39" s="9" t="n">
        <v>115</v>
      </c>
      <c r="G39" s="9" t="n">
        <f aca="false">F39-H39</f>
        <v>115</v>
      </c>
      <c r="H39" s="9" t="n">
        <v>0</v>
      </c>
      <c r="J39" s="103"/>
      <c r="K39" s="0"/>
      <c r="Q39" s="0"/>
      <c r="U39" s="0"/>
    </row>
    <row r="40" customFormat="false" ht="13.5" hidden="false" customHeight="true" outlineLevel="0" collapsed="false">
      <c r="A40" s="0" t="n">
        <v>31</v>
      </c>
      <c r="B40" s="31" t="n">
        <v>37012</v>
      </c>
      <c r="C40" s="104" t="n">
        <v>43060</v>
      </c>
      <c r="D40" s="29" t="s">
        <v>42</v>
      </c>
      <c r="E40" s="33" t="n">
        <f aca="false">IF(D40="totale",(C40/(A40*24))/F40,IF(D40="marché libre",(C40/(A40*24))/G40,"spécifier histo"))</f>
        <v>0.503272557269752</v>
      </c>
      <c r="F40" s="9" t="n">
        <v>115</v>
      </c>
      <c r="G40" s="9" t="n">
        <f aca="false">F40-H40</f>
        <v>115</v>
      </c>
      <c r="H40" s="9" t="n">
        <v>0</v>
      </c>
      <c r="J40" s="103"/>
      <c r="K40" s="0"/>
      <c r="Q40" s="0"/>
      <c r="U40" s="0"/>
    </row>
    <row r="41" customFormat="false" ht="13.5" hidden="false" customHeight="true" outlineLevel="0" collapsed="false">
      <c r="A41" s="0" t="n">
        <v>30</v>
      </c>
      <c r="B41" s="34" t="n">
        <v>37043</v>
      </c>
      <c r="C41" s="104" t="n">
        <v>15260</v>
      </c>
      <c r="D41" s="29" t="s">
        <v>42</v>
      </c>
      <c r="E41" s="33" t="n">
        <f aca="false">IF(D41="totale",(C41/(A41*24))/F41,IF(D41="marché libre",(C41/(A41*24))/G41,"spécifier histo"))</f>
        <v>0.184299516908213</v>
      </c>
      <c r="F41" s="9" t="n">
        <v>115</v>
      </c>
      <c r="G41" s="9" t="n">
        <f aca="false">F41-H41</f>
        <v>115</v>
      </c>
      <c r="H41" s="9" t="n">
        <v>0</v>
      </c>
      <c r="J41" s="103"/>
      <c r="K41" s="0"/>
      <c r="Q41" s="0"/>
      <c r="U41" s="0"/>
    </row>
    <row r="42" customFormat="false" ht="13.5" hidden="false" customHeight="true" outlineLevel="0" collapsed="false">
      <c r="A42" s="0" t="n">
        <v>31</v>
      </c>
      <c r="B42" s="31" t="n">
        <v>37073</v>
      </c>
      <c r="C42" s="104" t="n">
        <v>0</v>
      </c>
      <c r="D42" s="29" t="s">
        <v>42</v>
      </c>
      <c r="E42" s="33" t="n">
        <f aca="false">IF(D42="totale",(C42/(A42*24))/F42,IF(D42="marché libre",(C42/(A42*24))/G42,"spécifier histo"))</f>
        <v>0</v>
      </c>
      <c r="F42" s="9" t="n">
        <v>115</v>
      </c>
      <c r="G42" s="9" t="n">
        <f aca="false">F42-H42</f>
        <v>115</v>
      </c>
      <c r="H42" s="9" t="n">
        <v>0</v>
      </c>
      <c r="J42" s="103"/>
      <c r="K42" s="0"/>
      <c r="Q42" s="0"/>
      <c r="U42" s="0"/>
    </row>
    <row r="43" customFormat="false" ht="13.5" hidden="false" customHeight="true" outlineLevel="0" collapsed="false">
      <c r="A43" s="0" t="n">
        <v>31</v>
      </c>
      <c r="B43" s="34" t="n">
        <v>37104</v>
      </c>
      <c r="C43" s="104" t="n">
        <v>0</v>
      </c>
      <c r="D43" s="29" t="s">
        <v>42</v>
      </c>
      <c r="E43" s="33" t="n">
        <f aca="false">IF(D43="totale",(C43/(A43*24))/F43,IF(D43="marché libre",(C43/(A43*24))/G43,"spécifier histo"))</f>
        <v>0</v>
      </c>
      <c r="F43" s="9" t="n">
        <v>115</v>
      </c>
      <c r="G43" s="9" t="n">
        <f aca="false">F43-H43</f>
        <v>115</v>
      </c>
      <c r="H43" s="9" t="n">
        <v>0</v>
      </c>
      <c r="J43" s="103"/>
      <c r="K43" s="0"/>
      <c r="L43" s="103"/>
      <c r="M43" s="103"/>
      <c r="N43" s="103"/>
      <c r="O43" s="103"/>
      <c r="P43" s="103"/>
      <c r="Q43" s="0"/>
      <c r="R43" s="103"/>
      <c r="S43" s="103"/>
      <c r="T43" s="103"/>
      <c r="U43" s="0"/>
      <c r="V43" s="103"/>
      <c r="W43" s="103"/>
      <c r="X43" s="103"/>
      <c r="Y43" s="103"/>
      <c r="Z43" s="103"/>
      <c r="AA43" s="103"/>
      <c r="AB43" s="103"/>
      <c r="AC43" s="103"/>
    </row>
    <row r="44" customFormat="false" ht="13.5" hidden="false" customHeight="true" outlineLevel="0" collapsed="false">
      <c r="A44" s="0" t="n">
        <v>30</v>
      </c>
      <c r="B44" s="31" t="n">
        <v>37135</v>
      </c>
      <c r="C44" s="104" t="n">
        <v>0</v>
      </c>
      <c r="D44" s="29" t="s">
        <v>42</v>
      </c>
      <c r="E44" s="33" t="n">
        <f aca="false">IF(D44="totale",(C44/(A44*24))/F44,IF(D44="marché libre",(C44/(A44*24))/G44,"spécifier histo"))</f>
        <v>0</v>
      </c>
      <c r="F44" s="9" t="n">
        <v>115</v>
      </c>
      <c r="G44" s="9" t="n">
        <f aca="false">F44-H44</f>
        <v>115</v>
      </c>
      <c r="H44" s="9" t="n">
        <v>0</v>
      </c>
      <c r="J44" s="103"/>
      <c r="K44" s="0"/>
      <c r="L44" s="103"/>
      <c r="M44" s="103"/>
      <c r="N44" s="103"/>
      <c r="O44" s="103"/>
      <c r="P44" s="103"/>
      <c r="Q44" s="0"/>
      <c r="R44" s="103"/>
      <c r="S44" s="103"/>
      <c r="T44" s="103"/>
      <c r="U44" s="0"/>
      <c r="V44" s="103"/>
      <c r="W44" s="103"/>
      <c r="X44" s="103"/>
      <c r="Y44" s="103"/>
      <c r="Z44" s="103"/>
      <c r="AA44" s="103"/>
      <c r="AB44" s="103"/>
      <c r="AC44" s="103"/>
    </row>
    <row r="45" customFormat="false" ht="13.5" hidden="false" customHeight="true" outlineLevel="0" collapsed="false">
      <c r="A45" s="0" t="n">
        <v>31</v>
      </c>
      <c r="B45" s="34" t="n">
        <v>37165</v>
      </c>
      <c r="C45" s="104" t="n">
        <v>2020</v>
      </c>
      <c r="D45" s="29" t="s">
        <v>42</v>
      </c>
      <c r="E45" s="33" t="n">
        <f aca="false">IF(D45="totale",(C45/(A45*24))/F45,IF(D45="marché libre",(C45/(A45*24))/G45,"spécifier histo"))</f>
        <v>0.0236091631603553</v>
      </c>
      <c r="F45" s="9" t="n">
        <v>115</v>
      </c>
      <c r="G45" s="9" t="n">
        <f aca="false">F45-H45</f>
        <v>115</v>
      </c>
      <c r="H45" s="9" t="n">
        <v>0</v>
      </c>
      <c r="J45" s="103"/>
      <c r="K45" s="0"/>
      <c r="L45" s="103"/>
      <c r="M45" s="103"/>
      <c r="N45" s="103"/>
      <c r="O45" s="103"/>
      <c r="P45" s="103"/>
      <c r="Q45" s="0"/>
      <c r="R45" s="103"/>
      <c r="S45" s="103"/>
      <c r="T45" s="103"/>
      <c r="U45" s="0"/>
      <c r="V45" s="103"/>
      <c r="W45" s="103"/>
      <c r="X45" s="103"/>
      <c r="Y45" s="103"/>
      <c r="Z45" s="103"/>
      <c r="AA45" s="103"/>
      <c r="AB45" s="103"/>
      <c r="AC45" s="103"/>
    </row>
    <row r="46" customFormat="false" ht="13.5" hidden="false" customHeight="true" outlineLevel="0" collapsed="false">
      <c r="A46" s="0" t="n">
        <v>30</v>
      </c>
      <c r="B46" s="31" t="n">
        <v>37196</v>
      </c>
      <c r="C46" s="104" t="n">
        <v>17100</v>
      </c>
      <c r="D46" s="29" t="s">
        <v>42</v>
      </c>
      <c r="E46" s="33" t="n">
        <f aca="false">IF(D46="totale",(C46/(A46*24))/F46,IF(D46="marché libre",(C46/(A46*24))/G46,"spécifier histo"))</f>
        <v>0.206521739130435</v>
      </c>
      <c r="F46" s="9" t="n">
        <v>115</v>
      </c>
      <c r="G46" s="9" t="n">
        <f aca="false">F46-H46</f>
        <v>115</v>
      </c>
      <c r="H46" s="9" t="n">
        <v>0</v>
      </c>
      <c r="J46" s="103"/>
      <c r="K46" s="0"/>
      <c r="L46" s="103"/>
      <c r="M46" s="103"/>
      <c r="N46" s="103"/>
      <c r="O46" s="103"/>
      <c r="P46" s="103"/>
      <c r="Q46" s="0"/>
      <c r="R46" s="103"/>
      <c r="S46" s="103"/>
      <c r="T46" s="103"/>
      <c r="U46" s="0"/>
      <c r="V46" s="103"/>
      <c r="W46" s="103"/>
      <c r="X46" s="103"/>
      <c r="Y46" s="103"/>
      <c r="Z46" s="103"/>
      <c r="AA46" s="103"/>
      <c r="AB46" s="103"/>
      <c r="AC46" s="103"/>
    </row>
    <row r="47" customFormat="false" ht="13.5" hidden="false" customHeight="true" outlineLevel="0" collapsed="false">
      <c r="A47" s="0" t="n">
        <v>31</v>
      </c>
      <c r="B47" s="34" t="n">
        <v>37226</v>
      </c>
      <c r="C47" s="104" t="n">
        <v>23780</v>
      </c>
      <c r="D47" s="29" t="s">
        <v>42</v>
      </c>
      <c r="E47" s="33" t="n">
        <f aca="false">IF(D47="totale",(C47/(A47*24))/F47,IF(D47="marché libre",(C47/(A47*24))/G47,"spécifier histo"))</f>
        <v>0.277933613838242</v>
      </c>
      <c r="F47" s="9" t="n">
        <v>115</v>
      </c>
      <c r="G47" s="9" t="n">
        <f aca="false">F47-H47</f>
        <v>115</v>
      </c>
      <c r="H47" s="9" t="n">
        <v>0</v>
      </c>
      <c r="J47" s="103"/>
      <c r="K47" s="0"/>
      <c r="L47" s="103"/>
      <c r="M47" s="103"/>
      <c r="N47" s="103"/>
      <c r="O47" s="103"/>
      <c r="P47" s="103"/>
      <c r="Q47" s="0"/>
      <c r="R47" s="103"/>
      <c r="S47" s="103"/>
      <c r="T47" s="103"/>
      <c r="U47" s="0"/>
      <c r="V47" s="103"/>
      <c r="W47" s="103"/>
      <c r="X47" s="103"/>
      <c r="Y47" s="103"/>
      <c r="Z47" s="103"/>
      <c r="AA47" s="103"/>
      <c r="AB47" s="103"/>
      <c r="AC47" s="103"/>
    </row>
    <row r="48" customFormat="false" ht="13.5" hidden="false" customHeight="true" outlineLevel="0" collapsed="false">
      <c r="A48" s="0" t="n">
        <v>31</v>
      </c>
      <c r="B48" s="31" t="n">
        <v>37257</v>
      </c>
      <c r="C48" s="104" t="n">
        <v>34760</v>
      </c>
      <c r="D48" s="29" t="s">
        <v>42</v>
      </c>
      <c r="E48" s="33" t="n">
        <f aca="false">IF(D48="totale",(C48/(A48*24))/F48,IF(D48="marché libre",(C48/(A48*24))/G48,"spécifier histo"))</f>
        <v>0.406264609630669</v>
      </c>
      <c r="F48" s="9" t="n">
        <v>115</v>
      </c>
      <c r="G48" s="9" t="n">
        <f aca="false">F48-H48</f>
        <v>115</v>
      </c>
      <c r="H48" s="9" t="n">
        <v>0</v>
      </c>
      <c r="J48" s="103"/>
      <c r="K48" s="0"/>
      <c r="L48" s="103"/>
      <c r="M48" s="103"/>
      <c r="N48" s="103"/>
      <c r="O48" s="103"/>
      <c r="P48" s="103"/>
      <c r="Q48" s="0"/>
      <c r="R48" s="103"/>
      <c r="S48" s="103"/>
      <c r="T48" s="103"/>
      <c r="U48" s="0"/>
      <c r="V48" s="103"/>
      <c r="W48" s="103"/>
      <c r="X48" s="103"/>
      <c r="Y48" s="103"/>
      <c r="Z48" s="103"/>
      <c r="AA48" s="103"/>
      <c r="AB48" s="103"/>
      <c r="AC48" s="103"/>
    </row>
    <row r="49" customFormat="false" ht="13.5" hidden="false" customHeight="true" outlineLevel="0" collapsed="false">
      <c r="A49" s="0" t="n">
        <v>28</v>
      </c>
      <c r="B49" s="34" t="n">
        <v>37288</v>
      </c>
      <c r="C49" s="104" t="n">
        <v>29420</v>
      </c>
      <c r="D49" s="29" t="s">
        <v>42</v>
      </c>
      <c r="E49" s="33" t="n">
        <f aca="false">IF(D49="totale",(C49/(A49*24))/F49,IF(D49="marché libre",(C49/(A49*24))/G49,"spécifier histo"))</f>
        <v>0.380693581780538</v>
      </c>
      <c r="F49" s="9" t="n">
        <v>115</v>
      </c>
      <c r="G49" s="9" t="n">
        <f aca="false">F49-H49</f>
        <v>115</v>
      </c>
      <c r="H49" s="9" t="n">
        <v>0</v>
      </c>
      <c r="J49" s="103"/>
      <c r="K49" s="0"/>
      <c r="L49" s="103"/>
      <c r="M49" s="103"/>
      <c r="N49" s="103"/>
      <c r="O49" s="103"/>
      <c r="P49" s="103"/>
      <c r="Q49" s="0"/>
      <c r="R49" s="103"/>
      <c r="S49" s="103"/>
      <c r="T49" s="103"/>
      <c r="U49" s="0"/>
      <c r="V49" s="103"/>
      <c r="W49" s="103"/>
      <c r="X49" s="103"/>
      <c r="Y49" s="103"/>
      <c r="Z49" s="103"/>
      <c r="AA49" s="103"/>
      <c r="AB49" s="103"/>
      <c r="AC49" s="103"/>
    </row>
    <row r="50" customFormat="false" ht="13.5" hidden="false" customHeight="true" outlineLevel="0" collapsed="false">
      <c r="A50" s="0" t="n">
        <v>31</v>
      </c>
      <c r="B50" s="31" t="n">
        <v>37316</v>
      </c>
      <c r="C50" s="104" t="n">
        <v>36680</v>
      </c>
      <c r="D50" s="29" t="s">
        <v>42</v>
      </c>
      <c r="E50" s="33" t="n">
        <f aca="false">IF(D50="totale",(C50/(A50*24))/F50,IF(D50="marché libre",(C50/(A50*24))/G50,"spécifier histo"))</f>
        <v>0.428705002337541</v>
      </c>
      <c r="F50" s="9" t="n">
        <v>115</v>
      </c>
      <c r="G50" s="9" t="n">
        <f aca="false">F50-H50</f>
        <v>115</v>
      </c>
      <c r="H50" s="9" t="n">
        <v>0</v>
      </c>
      <c r="J50" s="103"/>
      <c r="K50" s="0"/>
      <c r="L50" s="103"/>
      <c r="M50" s="103"/>
      <c r="N50" s="103"/>
      <c r="O50" s="103"/>
      <c r="P50" s="103"/>
      <c r="Q50" s="0"/>
      <c r="R50" s="103"/>
      <c r="S50" s="103"/>
      <c r="T50" s="103"/>
      <c r="U50" s="0"/>
      <c r="V50" s="103"/>
      <c r="W50" s="103"/>
      <c r="X50" s="103"/>
      <c r="Y50" s="103"/>
      <c r="Z50" s="103"/>
      <c r="AA50" s="103"/>
      <c r="AB50" s="103"/>
      <c r="AC50" s="103"/>
    </row>
    <row r="51" customFormat="false" ht="13.5" hidden="false" customHeight="true" outlineLevel="0" collapsed="false">
      <c r="A51" s="0" t="n">
        <v>30</v>
      </c>
      <c r="B51" s="34" t="n">
        <v>37347</v>
      </c>
      <c r="C51" s="104" t="n">
        <v>43760</v>
      </c>
      <c r="D51" s="29" t="s">
        <v>42</v>
      </c>
      <c r="E51" s="33" t="n">
        <f aca="false">IF(D51="totale",(C51/(A51*24))/F51,IF(D51="marché libre",(C51/(A51*24))/G51,"spécifier histo"))</f>
        <v>0.528502415458937</v>
      </c>
      <c r="F51" s="9" t="n">
        <v>115</v>
      </c>
      <c r="G51" s="9" t="n">
        <f aca="false">F51-H51</f>
        <v>115</v>
      </c>
      <c r="H51" s="9" t="n">
        <v>0</v>
      </c>
      <c r="J51" s="103"/>
      <c r="K51" s="0"/>
      <c r="L51" s="103"/>
      <c r="M51" s="103"/>
      <c r="N51" s="103"/>
      <c r="O51" s="103"/>
      <c r="P51" s="103"/>
      <c r="Q51" s="0"/>
      <c r="R51" s="103"/>
      <c r="S51" s="103"/>
      <c r="T51" s="103"/>
      <c r="U51" s="103"/>
      <c r="V51" s="103"/>
      <c r="W51" s="103"/>
      <c r="X51" s="103"/>
      <c r="Y51" s="103"/>
      <c r="Z51" s="103"/>
      <c r="AA51" s="103"/>
      <c r="AB51" s="103"/>
      <c r="AC51" s="103"/>
    </row>
    <row r="52" customFormat="false" ht="13.5" hidden="false" customHeight="true" outlineLevel="0" collapsed="false">
      <c r="A52" s="0" t="n">
        <v>31</v>
      </c>
      <c r="B52" s="31" t="n">
        <v>37377</v>
      </c>
      <c r="C52" s="104" t="n">
        <v>24560</v>
      </c>
      <c r="D52" s="29" t="s">
        <v>42</v>
      </c>
      <c r="E52" s="33" t="n">
        <f aca="false">IF(D52="totale",(C52/(A52*24))/F52,IF(D52="marché libre",(C52/(A52*24))/G52,"spécifier histo"))</f>
        <v>0.287050023375409</v>
      </c>
      <c r="F52" s="9" t="n">
        <v>115</v>
      </c>
      <c r="G52" s="9" t="n">
        <f aca="false">F52-H52</f>
        <v>115</v>
      </c>
      <c r="H52" s="9" t="n">
        <v>0</v>
      </c>
      <c r="J52" s="103"/>
      <c r="K52" s="0"/>
      <c r="L52" s="103"/>
      <c r="M52" s="103"/>
      <c r="N52" s="103"/>
      <c r="O52" s="103"/>
      <c r="P52" s="103"/>
      <c r="Q52" s="0"/>
      <c r="R52" s="103"/>
      <c r="S52" s="103"/>
      <c r="T52" s="103"/>
      <c r="U52" s="103"/>
      <c r="V52" s="103"/>
      <c r="W52" s="103"/>
      <c r="X52" s="103"/>
      <c r="Y52" s="103"/>
      <c r="Z52" s="103"/>
      <c r="AA52" s="103"/>
      <c r="AB52" s="103"/>
      <c r="AC52" s="103"/>
    </row>
    <row r="53" customFormat="false" ht="13.5" hidden="false" customHeight="true" outlineLevel="0" collapsed="false">
      <c r="A53" s="0" t="n">
        <v>30</v>
      </c>
      <c r="B53" s="34" t="n">
        <v>37408</v>
      </c>
      <c r="C53" s="104" t="n">
        <v>14100</v>
      </c>
      <c r="D53" s="29" t="s">
        <v>42</v>
      </c>
      <c r="E53" s="33" t="n">
        <f aca="false">IF(D53="totale",(C53/(A53*24))/F53,IF(D53="marché libre",(C53/(A53*24))/G53,"spécifier histo"))</f>
        <v>0.170289855072464</v>
      </c>
      <c r="F53" s="9" t="n">
        <v>115</v>
      </c>
      <c r="G53" s="9" t="n">
        <f aca="false">F53-H53</f>
        <v>115</v>
      </c>
      <c r="H53" s="9" t="n">
        <v>0</v>
      </c>
      <c r="J53" s="103"/>
      <c r="K53" s="0"/>
      <c r="L53" s="103"/>
      <c r="M53" s="103"/>
      <c r="N53" s="103"/>
      <c r="O53" s="103"/>
      <c r="P53" s="103"/>
      <c r="Q53" s="0"/>
      <c r="R53" s="103"/>
      <c r="S53" s="103"/>
      <c r="T53" s="103"/>
      <c r="U53" s="103"/>
      <c r="V53" s="103"/>
      <c r="W53" s="103"/>
      <c r="X53" s="103"/>
      <c r="Y53" s="103"/>
      <c r="Z53" s="103"/>
      <c r="AA53" s="103"/>
      <c r="AB53" s="103"/>
      <c r="AC53" s="103"/>
    </row>
    <row r="54" customFormat="false" ht="13.5" hidden="false" customHeight="true" outlineLevel="0" collapsed="false">
      <c r="A54" s="0" t="n">
        <v>31</v>
      </c>
      <c r="B54" s="31" t="n">
        <v>37438</v>
      </c>
      <c r="C54" s="104" t="n">
        <v>3180</v>
      </c>
      <c r="D54" s="29" t="s">
        <v>42</v>
      </c>
      <c r="E54" s="33" t="n">
        <f aca="false">IF(D54="totale",(C54/(A54*24))/F54,IF(D54="marché libre",(C54/(A54*24))/G54,"spécifier histo"))</f>
        <v>0.0371669004207574</v>
      </c>
      <c r="F54" s="9" t="n">
        <v>115</v>
      </c>
      <c r="G54" s="9" t="n">
        <f aca="false">F54-H54</f>
        <v>115</v>
      </c>
      <c r="H54" s="9" t="n">
        <v>0</v>
      </c>
      <c r="J54" s="103"/>
      <c r="K54" s="0"/>
      <c r="L54" s="103"/>
      <c r="M54" s="103"/>
      <c r="N54" s="103"/>
      <c r="O54" s="103"/>
      <c r="P54" s="103"/>
      <c r="Q54" s="0"/>
      <c r="R54" s="103"/>
      <c r="S54" s="103"/>
      <c r="T54" s="103"/>
      <c r="U54" s="103"/>
      <c r="V54" s="103"/>
      <c r="W54" s="103"/>
      <c r="X54" s="103"/>
      <c r="Y54" s="103"/>
      <c r="Z54" s="103"/>
      <c r="AA54" s="103"/>
      <c r="AB54" s="103"/>
      <c r="AC54" s="103"/>
    </row>
    <row r="55" customFormat="false" ht="13.5" hidden="false" customHeight="true" outlineLevel="0" collapsed="false">
      <c r="A55" s="0" t="n">
        <v>31</v>
      </c>
      <c r="B55" s="34" t="n">
        <v>37469</v>
      </c>
      <c r="C55" s="104" t="n">
        <v>0</v>
      </c>
      <c r="D55" s="29" t="s">
        <v>42</v>
      </c>
      <c r="E55" s="33" t="n">
        <f aca="false">IF(D55="totale",(C55/(A55*24))/F55,IF(D55="marché libre",(C55/(A55*24))/G55,"spécifier histo"))</f>
        <v>0</v>
      </c>
      <c r="F55" s="9" t="n">
        <v>115</v>
      </c>
      <c r="G55" s="9" t="n">
        <f aca="false">F55-H55</f>
        <v>115</v>
      </c>
      <c r="H55" s="9" t="n">
        <v>0</v>
      </c>
      <c r="J55" s="103"/>
      <c r="K55" s="0"/>
      <c r="L55" s="103"/>
      <c r="M55" s="103"/>
      <c r="N55" s="103"/>
      <c r="O55" s="103"/>
      <c r="P55" s="103"/>
      <c r="Q55" s="0"/>
      <c r="R55" s="103"/>
      <c r="S55" s="103"/>
      <c r="T55" s="103"/>
      <c r="U55" s="103"/>
      <c r="V55" s="103"/>
      <c r="W55" s="103"/>
      <c r="X55" s="103"/>
      <c r="Y55" s="103"/>
      <c r="Z55" s="103"/>
      <c r="AA55" s="103"/>
      <c r="AB55" s="103"/>
      <c r="AC55" s="103"/>
    </row>
    <row r="56" customFormat="false" ht="13.5" hidden="false" customHeight="true" outlineLevel="0" collapsed="false">
      <c r="A56" s="0" t="n">
        <v>30</v>
      </c>
      <c r="B56" s="31" t="n">
        <v>37500</v>
      </c>
      <c r="C56" s="104" t="n">
        <v>0</v>
      </c>
      <c r="D56" s="29" t="s">
        <v>42</v>
      </c>
      <c r="E56" s="33" t="n">
        <f aca="false">IF(D56="totale",(C56/(A56*24))/F56,IF(D56="marché libre",(C56/(A56*24))/G56,"spécifier histo"))</f>
        <v>0</v>
      </c>
      <c r="F56" s="9" t="n">
        <v>115</v>
      </c>
      <c r="G56" s="9" t="n">
        <f aca="false">F56-H56</f>
        <v>115</v>
      </c>
      <c r="H56" s="9" t="n">
        <v>0</v>
      </c>
      <c r="J56" s="103"/>
      <c r="K56" s="0"/>
      <c r="L56" s="103"/>
      <c r="M56" s="103"/>
      <c r="N56" s="103"/>
      <c r="O56" s="103"/>
      <c r="P56" s="103"/>
      <c r="Q56" s="0"/>
      <c r="R56" s="103"/>
      <c r="S56" s="103"/>
      <c r="T56" s="103"/>
      <c r="U56" s="103"/>
      <c r="V56" s="103"/>
      <c r="W56" s="103"/>
      <c r="X56" s="103"/>
      <c r="Y56" s="103"/>
      <c r="Z56" s="103"/>
      <c r="AA56" s="103"/>
      <c r="AB56" s="103"/>
      <c r="AC56" s="103"/>
    </row>
    <row r="57" customFormat="false" ht="13.5" hidden="false" customHeight="true" outlineLevel="0" collapsed="false">
      <c r="A57" s="0" t="n">
        <v>31</v>
      </c>
      <c r="B57" s="34" t="n">
        <v>37530</v>
      </c>
      <c r="C57" s="104" t="n">
        <v>180</v>
      </c>
      <c r="D57" s="29" t="s">
        <v>42</v>
      </c>
      <c r="E57" s="33" t="n">
        <f aca="false">IF(D57="totale",(C57/(A57*24))/F57,IF(D57="marché libre",(C57/(A57*24))/G57,"spécifier histo"))</f>
        <v>0.00210378681626928</v>
      </c>
      <c r="F57" s="9" t="n">
        <v>115</v>
      </c>
      <c r="G57" s="9" t="n">
        <f aca="false">F57-H57</f>
        <v>115</v>
      </c>
      <c r="H57" s="9" t="n">
        <v>0</v>
      </c>
      <c r="J57" s="103"/>
      <c r="K57" s="0"/>
      <c r="L57" s="103"/>
      <c r="M57" s="103"/>
      <c r="N57" s="103"/>
      <c r="O57" s="103"/>
      <c r="P57" s="103"/>
      <c r="Q57" s="0"/>
      <c r="R57" s="103"/>
      <c r="S57" s="103"/>
      <c r="T57" s="103"/>
      <c r="U57" s="103"/>
      <c r="V57" s="103"/>
      <c r="W57" s="103"/>
      <c r="X57" s="103"/>
      <c r="Y57" s="103"/>
      <c r="Z57" s="103"/>
      <c r="AA57" s="103"/>
      <c r="AB57" s="103"/>
      <c r="AC57" s="103"/>
    </row>
    <row r="58" customFormat="false" ht="13.5" hidden="false" customHeight="true" outlineLevel="0" collapsed="false">
      <c r="A58" s="0" t="n">
        <v>30</v>
      </c>
      <c r="B58" s="31" t="n">
        <v>37561</v>
      </c>
      <c r="C58" s="104" t="n">
        <v>18560</v>
      </c>
      <c r="D58" s="29" t="s">
        <v>42</v>
      </c>
      <c r="E58" s="33" t="n">
        <f aca="false">IF(D58="totale",(C58/(A58*24))/F58,IF(D58="marché libre",(C58/(A58*24))/G58,"spécifier histo"))</f>
        <v>0.224154589371981</v>
      </c>
      <c r="F58" s="9" t="n">
        <v>115</v>
      </c>
      <c r="G58" s="9" t="n">
        <f aca="false">F58-H58</f>
        <v>115</v>
      </c>
      <c r="H58" s="9" t="n">
        <v>0</v>
      </c>
      <c r="J58" s="103"/>
      <c r="K58" s="0"/>
      <c r="L58" s="103"/>
      <c r="M58" s="103"/>
      <c r="N58" s="103"/>
      <c r="O58" s="103"/>
      <c r="P58" s="103"/>
      <c r="Q58" s="0"/>
      <c r="R58" s="103"/>
      <c r="S58" s="103"/>
      <c r="T58" s="103"/>
      <c r="U58" s="103"/>
      <c r="V58" s="103"/>
      <c r="W58" s="103"/>
      <c r="X58" s="103"/>
      <c r="Y58" s="103"/>
      <c r="Z58" s="103"/>
      <c r="AA58" s="103"/>
      <c r="AB58" s="103"/>
      <c r="AC58" s="103"/>
    </row>
    <row r="59" customFormat="false" ht="13.5" hidden="false" customHeight="true" outlineLevel="0" collapsed="false">
      <c r="A59" s="0" t="n">
        <v>31</v>
      </c>
      <c r="B59" s="34" t="n">
        <v>37591</v>
      </c>
      <c r="C59" s="104" t="n">
        <v>22140</v>
      </c>
      <c r="D59" s="29" t="s">
        <v>42</v>
      </c>
      <c r="E59" s="33" t="n">
        <f aca="false">IF(D59="totale",(C59/(A59*24))/F59,IF(D59="marché libre",(C59/(A59*24))/G59,"spécifier histo"))</f>
        <v>0.258765778401122</v>
      </c>
      <c r="F59" s="9" t="n">
        <v>115</v>
      </c>
      <c r="G59" s="9" t="n">
        <f aca="false">F59-H59</f>
        <v>115</v>
      </c>
      <c r="H59" s="9" t="n">
        <v>0</v>
      </c>
      <c r="J59" s="103"/>
      <c r="K59" s="0"/>
      <c r="L59" s="103"/>
      <c r="M59" s="103"/>
      <c r="N59" s="103"/>
      <c r="O59" s="103"/>
      <c r="P59" s="103"/>
      <c r="Q59" s="0"/>
      <c r="R59" s="103"/>
      <c r="S59" s="103"/>
      <c r="T59" s="103"/>
      <c r="U59" s="103"/>
      <c r="V59" s="103"/>
      <c r="W59" s="103"/>
      <c r="X59" s="103"/>
      <c r="Y59" s="103"/>
      <c r="Z59" s="103"/>
      <c r="AA59" s="103"/>
      <c r="AB59" s="103"/>
      <c r="AC59" s="103"/>
    </row>
    <row r="60" customFormat="false" ht="13.5" hidden="false" customHeight="true" outlineLevel="0" collapsed="false">
      <c r="A60" s="0" t="n">
        <v>31</v>
      </c>
      <c r="B60" s="31" t="n">
        <v>37622</v>
      </c>
      <c r="C60" s="104" t="n">
        <v>29500</v>
      </c>
      <c r="D60" s="29" t="s">
        <v>42</v>
      </c>
      <c r="E60" s="33" t="n">
        <f aca="false">IF(D60="totale",(C60/(A60*24))/F60,IF(D60="marché libre",(C60/(A60*24))/G60,"spécifier histo"))</f>
        <v>0.344787283777466</v>
      </c>
      <c r="F60" s="9" t="n">
        <v>115</v>
      </c>
      <c r="G60" s="9" t="n">
        <f aca="false">F60-H60</f>
        <v>115</v>
      </c>
      <c r="H60" s="9" t="n">
        <v>0</v>
      </c>
      <c r="J60" s="103"/>
      <c r="K60" s="0"/>
      <c r="L60" s="103"/>
      <c r="M60" s="103"/>
      <c r="N60" s="103"/>
      <c r="O60" s="103"/>
      <c r="P60" s="103"/>
      <c r="Q60" s="0"/>
      <c r="R60" s="103"/>
      <c r="S60" s="103"/>
      <c r="T60" s="103"/>
      <c r="U60" s="103"/>
      <c r="V60" s="103"/>
      <c r="W60" s="103"/>
      <c r="X60" s="103"/>
      <c r="Y60" s="103"/>
      <c r="Z60" s="103"/>
      <c r="AA60" s="103"/>
      <c r="AB60" s="103"/>
      <c r="AC60" s="103"/>
    </row>
    <row r="61" customFormat="false" ht="13.5" hidden="false" customHeight="true" outlineLevel="0" collapsed="false">
      <c r="A61" s="0" t="n">
        <v>28</v>
      </c>
      <c r="B61" s="34" t="n">
        <v>37653</v>
      </c>
      <c r="C61" s="104" t="n">
        <v>27940</v>
      </c>
      <c r="D61" s="29" t="s">
        <v>42</v>
      </c>
      <c r="E61" s="33" t="n">
        <f aca="false">IF(D61="totale",(C61/(A61*24))/F61,IF(D61="marché libre",(C61/(A61*24))/G61,"spécifier histo"))</f>
        <v>0.361542443064182</v>
      </c>
      <c r="F61" s="9" t="n">
        <v>115</v>
      </c>
      <c r="G61" s="9" t="n">
        <f aca="false">F61-H61</f>
        <v>115</v>
      </c>
      <c r="H61" s="9" t="n">
        <v>0</v>
      </c>
      <c r="J61" s="103"/>
      <c r="K61" s="0"/>
      <c r="L61" s="103"/>
      <c r="M61" s="103"/>
      <c r="N61" s="103"/>
      <c r="O61" s="103"/>
      <c r="P61" s="103"/>
      <c r="Q61" s="0"/>
      <c r="R61" s="103"/>
      <c r="S61" s="103"/>
      <c r="T61" s="103"/>
      <c r="U61" s="103"/>
      <c r="V61" s="103"/>
      <c r="W61" s="103"/>
      <c r="X61" s="103"/>
      <c r="Y61" s="103"/>
      <c r="Z61" s="103"/>
      <c r="AA61" s="103"/>
      <c r="AB61" s="103"/>
      <c r="AC61" s="103"/>
    </row>
    <row r="62" customFormat="false" ht="13.5" hidden="false" customHeight="true" outlineLevel="0" collapsed="false">
      <c r="A62" s="0" t="n">
        <v>31</v>
      </c>
      <c r="B62" s="31" t="n">
        <v>37681</v>
      </c>
      <c r="C62" s="104" t="n">
        <v>33560</v>
      </c>
      <c r="D62" s="29" t="s">
        <v>42</v>
      </c>
      <c r="E62" s="33" t="n">
        <f aca="false">IF(D62="totale",(C62/(A62*24))/F62,IF(D62="marché libre",(C62/(A62*24))/G62,"spécifier histo"))</f>
        <v>0.392239364188873</v>
      </c>
      <c r="F62" s="9" t="n">
        <v>115</v>
      </c>
      <c r="G62" s="9" t="n">
        <f aca="false">F62-H62</f>
        <v>115</v>
      </c>
      <c r="H62" s="9" t="n">
        <v>0</v>
      </c>
      <c r="J62" s="103"/>
      <c r="K62" s="0"/>
      <c r="L62" s="103"/>
      <c r="M62" s="103"/>
      <c r="N62" s="103"/>
      <c r="O62" s="103"/>
      <c r="P62" s="103"/>
      <c r="Q62" s="0"/>
      <c r="R62" s="103"/>
      <c r="S62" s="103"/>
      <c r="T62" s="103"/>
      <c r="U62" s="103"/>
      <c r="V62" s="103"/>
      <c r="W62" s="103"/>
      <c r="X62" s="103"/>
      <c r="Y62" s="103"/>
      <c r="Z62" s="103"/>
      <c r="AA62" s="103"/>
      <c r="AB62" s="103"/>
      <c r="AC62" s="103"/>
    </row>
    <row r="63" customFormat="false" ht="13.5" hidden="false" customHeight="true" outlineLevel="0" collapsed="false">
      <c r="A63" s="0" t="n">
        <v>30</v>
      </c>
      <c r="B63" s="34" t="n">
        <v>37712</v>
      </c>
      <c r="C63" s="104" t="n">
        <v>0</v>
      </c>
      <c r="D63" s="29" t="s">
        <v>42</v>
      </c>
      <c r="E63" s="33" t="n">
        <f aca="false">IF(D63="totale",(C63/(A63*24))/F63,IF(D63="marché libre",(C63/(A63*24))/G63,"spécifier histo"))</f>
        <v>0</v>
      </c>
      <c r="F63" s="9" t="n">
        <v>115</v>
      </c>
      <c r="G63" s="9" t="n">
        <f aca="false">F63-H63</f>
        <v>115</v>
      </c>
      <c r="H63" s="9" t="n">
        <v>0</v>
      </c>
      <c r="J63" s="103"/>
      <c r="K63" s="0"/>
      <c r="L63" s="103"/>
      <c r="M63" s="103"/>
      <c r="N63" s="103"/>
      <c r="O63" s="103"/>
      <c r="P63" s="103"/>
      <c r="Q63" s="0"/>
      <c r="R63" s="103"/>
      <c r="S63" s="103"/>
      <c r="T63" s="103"/>
      <c r="U63" s="103"/>
      <c r="V63" s="103"/>
      <c r="W63" s="103"/>
      <c r="X63" s="103"/>
      <c r="Y63" s="103"/>
      <c r="Z63" s="103"/>
      <c r="AA63" s="103"/>
      <c r="AB63" s="103"/>
      <c r="AC63" s="103"/>
    </row>
    <row r="64" customFormat="false" ht="13.5" hidden="false" customHeight="true" outlineLevel="0" collapsed="false">
      <c r="A64" s="0" t="n">
        <v>31</v>
      </c>
      <c r="B64" s="31" t="n">
        <v>37742</v>
      </c>
      <c r="C64" s="104" t="n">
        <v>0</v>
      </c>
      <c r="D64" s="29" t="s">
        <v>42</v>
      </c>
      <c r="E64" s="33" t="n">
        <f aca="false">IF(D64="totale",(C64/(A64*24))/F64,IF(D64="marché libre",(C64/(A64*24))/G64,"spécifier histo"))</f>
        <v>0</v>
      </c>
      <c r="F64" s="9" t="n">
        <v>115</v>
      </c>
      <c r="G64" s="9" t="n">
        <f aca="false">F64-H64</f>
        <v>115</v>
      </c>
      <c r="H64" s="9" t="n">
        <v>0</v>
      </c>
      <c r="J64" s="103"/>
      <c r="K64" s="0"/>
      <c r="N64" s="0"/>
      <c r="P64" s="0"/>
      <c r="Q64" s="0"/>
      <c r="R64" s="0"/>
      <c r="U64" s="0"/>
      <c r="V64" s="0"/>
      <c r="X64" s="0"/>
    </row>
    <row r="65" customFormat="false" ht="13.5" hidden="false" customHeight="true" outlineLevel="0" collapsed="false">
      <c r="A65" s="0" t="n">
        <v>30</v>
      </c>
      <c r="B65" s="34" t="n">
        <v>37773</v>
      </c>
      <c r="C65" s="104" t="n">
        <v>0</v>
      </c>
      <c r="D65" s="29" t="s">
        <v>42</v>
      </c>
      <c r="E65" s="33" t="n">
        <f aca="false">IF(D65="totale",(C65/(A65*24))/F65,IF(D65="marché libre",(C65/(A65*24))/G65,"spécifier histo"))</f>
        <v>0</v>
      </c>
      <c r="F65" s="9" t="n">
        <v>115</v>
      </c>
      <c r="G65" s="9" t="n">
        <f aca="false">F65-H65</f>
        <v>115</v>
      </c>
      <c r="H65" s="9" t="n">
        <v>0</v>
      </c>
      <c r="J65" s="103"/>
      <c r="K65" s="0"/>
      <c r="N65" s="0"/>
      <c r="P65" s="0"/>
      <c r="Q65" s="0"/>
      <c r="R65" s="0"/>
      <c r="U65" s="0"/>
      <c r="V65" s="0"/>
      <c r="X65" s="0"/>
    </row>
    <row r="66" customFormat="false" ht="13.5" hidden="false" customHeight="true" outlineLevel="0" collapsed="false">
      <c r="A66" s="0" t="n">
        <v>31</v>
      </c>
      <c r="B66" s="31" t="n">
        <v>37803</v>
      </c>
      <c r="C66" s="104" t="n">
        <v>0</v>
      </c>
      <c r="D66" s="29" t="s">
        <v>42</v>
      </c>
      <c r="E66" s="33" t="n">
        <f aca="false">IF(D66="totale",(C66/(A66*24))/F66,IF(D66="marché libre",(C66/(A66*24))/G66,"spécifier histo"))</f>
        <v>0</v>
      </c>
      <c r="F66" s="9" t="n">
        <v>115</v>
      </c>
      <c r="G66" s="9" t="n">
        <f aca="false">F66-H66</f>
        <v>115</v>
      </c>
      <c r="H66" s="9" t="n">
        <v>0</v>
      </c>
      <c r="J66" s="103"/>
      <c r="K66" s="0"/>
      <c r="N66" s="0"/>
      <c r="P66" s="0"/>
      <c r="Q66" s="0"/>
      <c r="R66" s="0"/>
      <c r="U66" s="0"/>
      <c r="V66" s="0"/>
      <c r="X66" s="0"/>
    </row>
    <row r="67" customFormat="false" ht="13.5" hidden="false" customHeight="true" outlineLevel="0" collapsed="false">
      <c r="A67" s="0" t="n">
        <v>31</v>
      </c>
      <c r="B67" s="34" t="n">
        <v>37834</v>
      </c>
      <c r="C67" s="104" t="n">
        <v>0</v>
      </c>
      <c r="D67" s="29" t="s">
        <v>42</v>
      </c>
      <c r="E67" s="33" t="n">
        <f aca="false">IF(D67="totale",(C67/(A67*24))/F67,IF(D67="marché libre",(C67/(A67*24))/G67,"spécifier histo"))</f>
        <v>0</v>
      </c>
      <c r="F67" s="9" t="n">
        <v>115</v>
      </c>
      <c r="G67" s="9" t="n">
        <f aca="false">F67-H67</f>
        <v>115</v>
      </c>
      <c r="H67" s="9" t="n">
        <v>0</v>
      </c>
      <c r="J67" s="103"/>
      <c r="K67" s="0"/>
      <c r="N67" s="0"/>
      <c r="P67" s="0"/>
      <c r="Q67" s="0"/>
      <c r="R67" s="0"/>
      <c r="U67" s="0"/>
      <c r="V67" s="0"/>
      <c r="X67" s="0"/>
    </row>
    <row r="68" customFormat="false" ht="13.5" hidden="false" customHeight="true" outlineLevel="0" collapsed="false">
      <c r="A68" s="0" t="n">
        <v>30</v>
      </c>
      <c r="B68" s="31" t="n">
        <v>37865</v>
      </c>
      <c r="C68" s="104" t="n">
        <v>0</v>
      </c>
      <c r="D68" s="29" t="s">
        <v>42</v>
      </c>
      <c r="E68" s="33" t="n">
        <f aca="false">IF(D68="totale",(C68/(A68*24))/F68,IF(D68="marché libre",(C68/(A68*24))/G68,"spécifier histo"))</f>
        <v>0</v>
      </c>
      <c r="F68" s="9" t="n">
        <v>115</v>
      </c>
      <c r="G68" s="9" t="n">
        <f aca="false">F68-H68</f>
        <v>115</v>
      </c>
      <c r="H68" s="9" t="n">
        <v>0</v>
      </c>
      <c r="J68" s="103"/>
      <c r="K68" s="0"/>
      <c r="N68" s="0"/>
      <c r="P68" s="0"/>
      <c r="Q68" s="0"/>
      <c r="R68" s="0"/>
      <c r="U68" s="0"/>
      <c r="V68" s="0"/>
      <c r="X68" s="0"/>
    </row>
    <row r="69" customFormat="false" ht="13.5" hidden="false" customHeight="true" outlineLevel="0" collapsed="false">
      <c r="A69" s="0" t="n">
        <v>31</v>
      </c>
      <c r="B69" s="34" t="n">
        <v>37895</v>
      </c>
      <c r="C69" s="104" t="n">
        <v>14160</v>
      </c>
      <c r="D69" s="29" t="s">
        <v>42</v>
      </c>
      <c r="E69" s="33" t="n">
        <f aca="false">IF(D69="totale",(C69/(A69*24))/F69,IF(D69="marché libre",(C69/(A69*24))/G69,"spécifier histo"))</f>
        <v>0.165497896213184</v>
      </c>
      <c r="F69" s="9" t="n">
        <v>115</v>
      </c>
      <c r="G69" s="9" t="n">
        <f aca="false">F69-H69</f>
        <v>115</v>
      </c>
      <c r="H69" s="9" t="n">
        <v>0</v>
      </c>
      <c r="J69" s="103"/>
      <c r="K69" s="0"/>
      <c r="N69" s="0"/>
      <c r="P69" s="0"/>
      <c r="Q69" s="0"/>
      <c r="R69" s="0"/>
      <c r="U69" s="0"/>
      <c r="V69" s="0"/>
      <c r="X69" s="0"/>
    </row>
    <row r="70" customFormat="false" ht="13.5" hidden="false" customHeight="true" outlineLevel="0" collapsed="false">
      <c r="A70" s="0" t="n">
        <v>30</v>
      </c>
      <c r="B70" s="31" t="n">
        <v>37926</v>
      </c>
      <c r="C70" s="104" t="n">
        <v>4080</v>
      </c>
      <c r="D70" s="29" t="s">
        <v>42</v>
      </c>
      <c r="E70" s="33" t="n">
        <f aca="false">IF(D70="totale",(C70/(A70*24))/F70,IF(D70="marché libre",(C70/(A70*24))/G70,"spécifier histo"))</f>
        <v>0.0492753623188406</v>
      </c>
      <c r="F70" s="9" t="n">
        <v>115</v>
      </c>
      <c r="G70" s="9" t="n">
        <f aca="false">F70-H70</f>
        <v>115</v>
      </c>
      <c r="H70" s="9" t="n">
        <v>0</v>
      </c>
      <c r="J70" s="103"/>
      <c r="K70" s="0"/>
      <c r="N70" s="0"/>
      <c r="P70" s="0"/>
      <c r="Q70" s="0"/>
      <c r="R70" s="0"/>
      <c r="U70" s="0"/>
      <c r="V70" s="0"/>
      <c r="X70" s="0"/>
    </row>
    <row r="71" customFormat="false" ht="13.5" hidden="false" customHeight="true" outlineLevel="0" collapsed="false">
      <c r="A71" s="0" t="n">
        <v>31</v>
      </c>
      <c r="B71" s="34" t="n">
        <v>37956</v>
      </c>
      <c r="C71" s="104" t="n">
        <v>5500</v>
      </c>
      <c r="D71" s="29" t="s">
        <v>42</v>
      </c>
      <c r="E71" s="33" t="n">
        <f aca="false">IF(D71="totale",(C71/(A71*24))/F71,IF(D71="marché libre",(C71/(A71*24))/G71,"spécifier histo"))</f>
        <v>0.0642823749415615</v>
      </c>
      <c r="F71" s="9" t="n">
        <v>115</v>
      </c>
      <c r="G71" s="9" t="n">
        <f aca="false">F71-H71</f>
        <v>115</v>
      </c>
      <c r="H71" s="9" t="n">
        <v>0</v>
      </c>
      <c r="J71" s="103"/>
      <c r="K71" s="0"/>
      <c r="P71" s="0"/>
      <c r="Q71" s="0"/>
      <c r="R71" s="0"/>
      <c r="U71" s="0"/>
      <c r="X71" s="0"/>
    </row>
    <row r="72" customFormat="false" ht="13.5" hidden="false" customHeight="true" outlineLevel="0" collapsed="false">
      <c r="A72" s="0" t="n">
        <v>31</v>
      </c>
      <c r="B72" s="31" t="n">
        <v>37987</v>
      </c>
      <c r="C72" s="104" t="n">
        <v>24900</v>
      </c>
      <c r="D72" s="29" t="s">
        <v>42</v>
      </c>
      <c r="E72" s="33" t="n">
        <f aca="false">IF(D72="totale",(C72/(A72*24))/F72,IF(D72="marché libre",(C72/(A72*24))/G72,"spécifier histo"))</f>
        <v>0.291023842917251</v>
      </c>
      <c r="F72" s="9" t="n">
        <v>115</v>
      </c>
      <c r="G72" s="9" t="n">
        <f aca="false">F72-H72</f>
        <v>115</v>
      </c>
      <c r="H72" s="9" t="n">
        <v>0</v>
      </c>
      <c r="J72" s="103"/>
      <c r="K72" s="0"/>
      <c r="P72" s="0"/>
      <c r="Q72" s="0"/>
      <c r="R72" s="0"/>
      <c r="U72" s="0"/>
      <c r="X72" s="0"/>
    </row>
    <row r="73" customFormat="false" ht="13.5" hidden="false" customHeight="true" outlineLevel="0" collapsed="false">
      <c r="A73" s="0" t="n">
        <v>28</v>
      </c>
      <c r="B73" s="34" t="n">
        <v>38018</v>
      </c>
      <c r="C73" s="104" t="n">
        <v>26360</v>
      </c>
      <c r="D73" s="29" t="s">
        <v>42</v>
      </c>
      <c r="E73" s="33" t="n">
        <f aca="false">IF(D73="totale",(C73/(A73*24))/F73,IF(D73="marché libre",(C73/(A73*24))/G73,"spécifier histo"))</f>
        <v>0.341097308488613</v>
      </c>
      <c r="F73" s="9" t="n">
        <v>115</v>
      </c>
      <c r="G73" s="9" t="n">
        <f aca="false">F73-H73</f>
        <v>115</v>
      </c>
      <c r="H73" s="9" t="n">
        <v>0</v>
      </c>
      <c r="J73" s="103"/>
      <c r="K73" s="0"/>
      <c r="P73" s="0"/>
      <c r="Q73" s="0"/>
      <c r="R73" s="0"/>
      <c r="U73" s="0"/>
      <c r="X73" s="0"/>
    </row>
    <row r="74" customFormat="false" ht="13.5" hidden="false" customHeight="true" outlineLevel="0" collapsed="false">
      <c r="A74" s="0" t="n">
        <v>31</v>
      </c>
      <c r="B74" s="31" t="n">
        <v>38047</v>
      </c>
      <c r="C74" s="104" t="n">
        <v>19300</v>
      </c>
      <c r="D74" s="29" t="s">
        <v>42</v>
      </c>
      <c r="E74" s="33" t="n">
        <f aca="false">IF(D74="totale",(C74/(A74*24))/F74,IF(D74="marché libre",(C74/(A74*24))/G74,"spécifier histo"))</f>
        <v>0.225572697522207</v>
      </c>
      <c r="F74" s="9" t="n">
        <v>115</v>
      </c>
      <c r="G74" s="9" t="n">
        <f aca="false">F74-H74</f>
        <v>115</v>
      </c>
      <c r="H74" s="9" t="n">
        <v>0</v>
      </c>
      <c r="J74" s="103"/>
      <c r="K74" s="0"/>
      <c r="P74" s="0"/>
      <c r="Q74" s="0"/>
      <c r="R74" s="0"/>
      <c r="U74" s="0"/>
      <c r="X74" s="0"/>
    </row>
    <row r="75" customFormat="false" ht="13.5" hidden="false" customHeight="true" outlineLevel="0" collapsed="false">
      <c r="A75" s="0" t="n">
        <v>30</v>
      </c>
      <c r="B75" s="34" t="n">
        <v>38078</v>
      </c>
      <c r="C75" s="104" t="n">
        <v>15480</v>
      </c>
      <c r="D75" s="29" t="s">
        <v>42</v>
      </c>
      <c r="E75" s="33" t="n">
        <f aca="false">IF(D75="totale",(C75/(A75*24))/F75,IF(D75="marché libre",(C75/(A75*24))/G75,"spécifier histo"))</f>
        <v>0.18695652173913</v>
      </c>
      <c r="F75" s="9" t="n">
        <v>115</v>
      </c>
      <c r="G75" s="9" t="n">
        <f aca="false">F75-H75</f>
        <v>115</v>
      </c>
      <c r="H75" s="9" t="n">
        <v>0</v>
      </c>
      <c r="J75" s="103"/>
      <c r="K75" s="0"/>
      <c r="P75" s="0"/>
      <c r="Q75" s="0"/>
      <c r="R75" s="0"/>
      <c r="U75" s="0"/>
      <c r="X75" s="0"/>
    </row>
    <row r="76" customFormat="false" ht="13.5" hidden="false" customHeight="true" outlineLevel="0" collapsed="false">
      <c r="A76" s="0" t="n">
        <v>31</v>
      </c>
      <c r="B76" s="31" t="n">
        <v>38108</v>
      </c>
      <c r="C76" s="104" t="n">
        <v>4340</v>
      </c>
      <c r="D76" s="29" t="s">
        <v>42</v>
      </c>
      <c r="E76" s="33" t="n">
        <f aca="false">IF(D76="totale",(C76/(A76*24))/F76,IF(D76="marché libre",(C76/(A76*24))/G76,"spécifier histo"))</f>
        <v>0.0507246376811594</v>
      </c>
      <c r="F76" s="9" t="n">
        <v>115</v>
      </c>
      <c r="G76" s="9" t="n">
        <f aca="false">F76-H76</f>
        <v>115</v>
      </c>
      <c r="H76" s="9" t="n">
        <v>0</v>
      </c>
      <c r="J76" s="103"/>
      <c r="K76" s="0"/>
      <c r="P76" s="0"/>
      <c r="Q76" s="0"/>
      <c r="R76" s="0"/>
      <c r="U76" s="0"/>
      <c r="X76" s="0"/>
    </row>
    <row r="77" customFormat="false" ht="13.5" hidden="false" customHeight="true" outlineLevel="0" collapsed="false">
      <c r="A77" s="0" t="n">
        <v>30</v>
      </c>
      <c r="B77" s="34" t="n">
        <v>38139</v>
      </c>
      <c r="C77" s="104" t="n">
        <v>0</v>
      </c>
      <c r="D77" s="29" t="s">
        <v>42</v>
      </c>
      <c r="E77" s="33" t="n">
        <f aca="false">IF(D77="totale",(C77/(A77*24))/F77,IF(D77="marché libre",(C77/(A77*24))/G77,"spécifier histo"))</f>
        <v>0</v>
      </c>
      <c r="F77" s="9" t="n">
        <v>115</v>
      </c>
      <c r="G77" s="9" t="n">
        <f aca="false">F77-H77</f>
        <v>115</v>
      </c>
      <c r="H77" s="9" t="n">
        <v>0</v>
      </c>
      <c r="J77" s="103"/>
      <c r="K77" s="0"/>
      <c r="P77" s="0"/>
      <c r="Q77" s="0"/>
      <c r="R77" s="0"/>
      <c r="U77" s="0"/>
      <c r="X77" s="0"/>
    </row>
    <row r="78" customFormat="false" ht="13.5" hidden="false" customHeight="true" outlineLevel="0" collapsed="false">
      <c r="A78" s="0" t="n">
        <v>31</v>
      </c>
      <c r="B78" s="31" t="n">
        <v>38169</v>
      </c>
      <c r="C78" s="104" t="n">
        <v>0</v>
      </c>
      <c r="D78" s="29" t="s">
        <v>42</v>
      </c>
      <c r="E78" s="33" t="n">
        <f aca="false">IF(D78="totale",(C78/(A78*24))/F78,IF(D78="marché libre",(C78/(A78*24))/G78,"spécifier histo"))</f>
        <v>0</v>
      </c>
      <c r="F78" s="9" t="n">
        <v>115</v>
      </c>
      <c r="G78" s="9" t="n">
        <f aca="false">F78-H78</f>
        <v>115</v>
      </c>
      <c r="H78" s="9" t="n">
        <v>0</v>
      </c>
      <c r="J78" s="103"/>
      <c r="K78" s="0"/>
      <c r="P78" s="0"/>
      <c r="Q78" s="0"/>
      <c r="R78" s="0"/>
      <c r="U78" s="0"/>
      <c r="X78" s="0"/>
    </row>
    <row r="79" customFormat="false" ht="13.5" hidden="false" customHeight="true" outlineLevel="0" collapsed="false">
      <c r="A79" s="0" t="n">
        <v>31</v>
      </c>
      <c r="B79" s="34" t="n">
        <v>38200</v>
      </c>
      <c r="C79" s="104" t="n">
        <v>0</v>
      </c>
      <c r="D79" s="29" t="s">
        <v>42</v>
      </c>
      <c r="E79" s="33" t="n">
        <f aca="false">IF(D79="totale",(C79/(A79*24))/F79,IF(D79="marché libre",(C79/(A79*24))/G79,"spécifier histo"))</f>
        <v>0</v>
      </c>
      <c r="F79" s="9" t="n">
        <v>115</v>
      </c>
      <c r="G79" s="9" t="n">
        <f aca="false">F79-H79</f>
        <v>115</v>
      </c>
      <c r="H79" s="9" t="n">
        <v>0</v>
      </c>
      <c r="J79" s="103"/>
      <c r="K79" s="0"/>
      <c r="P79" s="0"/>
      <c r="Q79" s="0"/>
      <c r="R79" s="0"/>
      <c r="U79" s="0"/>
      <c r="X79" s="0"/>
    </row>
    <row r="80" customFormat="false" ht="13.5" hidden="false" customHeight="true" outlineLevel="0" collapsed="false">
      <c r="A80" s="0" t="n">
        <v>30</v>
      </c>
      <c r="B80" s="31" t="n">
        <v>38231</v>
      </c>
      <c r="C80" s="104" t="n">
        <v>0</v>
      </c>
      <c r="D80" s="29" t="s">
        <v>42</v>
      </c>
      <c r="E80" s="33" t="n">
        <f aca="false">IF(D80="totale",(C80/(A80*24))/F80,IF(D80="marché libre",(C80/(A80*24))/G80,"spécifier histo"))</f>
        <v>0</v>
      </c>
      <c r="F80" s="9" t="n">
        <v>115</v>
      </c>
      <c r="G80" s="9" t="n">
        <f aca="false">F80-H80</f>
        <v>115</v>
      </c>
      <c r="H80" s="9" t="n">
        <v>0</v>
      </c>
      <c r="J80" s="103"/>
      <c r="K80" s="0"/>
      <c r="P80" s="0"/>
      <c r="Q80" s="0"/>
      <c r="R80" s="0"/>
      <c r="U80" s="0"/>
      <c r="X80" s="0"/>
    </row>
    <row r="81" customFormat="false" ht="13.5" hidden="false" customHeight="true" outlineLevel="0" collapsed="false">
      <c r="A81" s="0" t="n">
        <v>31</v>
      </c>
      <c r="B81" s="34" t="n">
        <v>38261</v>
      </c>
      <c r="C81" s="104" t="n">
        <v>0</v>
      </c>
      <c r="D81" s="29" t="s">
        <v>42</v>
      </c>
      <c r="E81" s="33" t="n">
        <f aca="false">IF(D81="totale",(C81/(A81*24))/F81,IF(D81="marché libre",(C81/(A81*24))/G81,"spécifier histo"))</f>
        <v>0</v>
      </c>
      <c r="F81" s="9" t="n">
        <v>115</v>
      </c>
      <c r="G81" s="9" t="n">
        <f aca="false">F81-H81</f>
        <v>115</v>
      </c>
      <c r="H81" s="9" t="n">
        <v>0</v>
      </c>
      <c r="J81" s="103"/>
      <c r="K81" s="0"/>
      <c r="P81" s="0"/>
      <c r="Q81" s="0"/>
      <c r="R81" s="0"/>
      <c r="U81" s="0"/>
      <c r="X81" s="0"/>
    </row>
    <row r="82" customFormat="false" ht="13.5" hidden="false" customHeight="true" outlineLevel="0" collapsed="false">
      <c r="A82" s="0" t="n">
        <v>30</v>
      </c>
      <c r="B82" s="31" t="n">
        <v>38292</v>
      </c>
      <c r="C82" s="104" t="n">
        <v>2500</v>
      </c>
      <c r="D82" s="29" t="s">
        <v>42</v>
      </c>
      <c r="E82" s="33" t="n">
        <f aca="false">IF(D82="totale",(C82/(A82*24))/F82,IF(D82="marché libre",(C82/(A82*24))/G82,"spécifier histo"))</f>
        <v>0.0301932367149758</v>
      </c>
      <c r="F82" s="9" t="n">
        <v>115</v>
      </c>
      <c r="G82" s="9" t="n">
        <f aca="false">F82-H82</f>
        <v>115</v>
      </c>
      <c r="H82" s="9" t="n">
        <v>0</v>
      </c>
      <c r="J82" s="103"/>
      <c r="K82" s="0"/>
      <c r="P82" s="0"/>
      <c r="Q82" s="0"/>
      <c r="R82" s="0"/>
      <c r="U82" s="0"/>
      <c r="X82" s="0"/>
    </row>
    <row r="83" customFormat="false" ht="13.5" hidden="false" customHeight="true" outlineLevel="0" collapsed="false">
      <c r="A83" s="0" t="n">
        <v>31</v>
      </c>
      <c r="B83" s="34" t="n">
        <v>38322</v>
      </c>
      <c r="C83" s="104" t="n">
        <v>8260</v>
      </c>
      <c r="D83" s="29" t="s">
        <v>42</v>
      </c>
      <c r="E83" s="33" t="n">
        <f aca="false">IF(D83="totale",(C83/(A83*24))/F83,IF(D83="marché libre",(C83/(A83*24))/G83,"spécifier histo"))</f>
        <v>0.0965404394576905</v>
      </c>
      <c r="F83" s="9" t="n">
        <v>115</v>
      </c>
      <c r="G83" s="9" t="n">
        <f aca="false">F83-H83</f>
        <v>115</v>
      </c>
      <c r="H83" s="9" t="n">
        <v>0</v>
      </c>
      <c r="J83" s="103"/>
      <c r="K83" s="0"/>
      <c r="P83" s="0"/>
      <c r="Q83" s="0"/>
      <c r="R83" s="0"/>
    </row>
    <row r="84" customFormat="false" ht="13.5" hidden="false" customHeight="true" outlineLevel="0" collapsed="false">
      <c r="A84" s="0" t="n">
        <v>31</v>
      </c>
      <c r="B84" s="31" t="n">
        <v>38353</v>
      </c>
      <c r="C84" s="104" t="n">
        <v>24700</v>
      </c>
      <c r="D84" s="29" t="s">
        <v>42</v>
      </c>
      <c r="E84" s="33" t="n">
        <f aca="false">IF(D84="totale",(C84/(A84*24))/F84,IF(D84="marché libre",(C84/(A84*24))/G84,"spécifier histo"))</f>
        <v>0.288686302010285</v>
      </c>
      <c r="F84" s="9" t="n">
        <v>115</v>
      </c>
      <c r="G84" s="9" t="n">
        <f aca="false">F84-H84</f>
        <v>115</v>
      </c>
      <c r="H84" s="9" t="n">
        <v>0</v>
      </c>
      <c r="J84" s="103"/>
      <c r="K84" s="0"/>
      <c r="P84" s="0"/>
      <c r="Q84" s="0"/>
      <c r="R84" s="0"/>
    </row>
    <row r="85" customFormat="false" ht="13.5" hidden="false" customHeight="true" outlineLevel="0" collapsed="false">
      <c r="A85" s="0" t="n">
        <v>28</v>
      </c>
      <c r="B85" s="34" t="n">
        <v>38384</v>
      </c>
      <c r="C85" s="104" t="n">
        <v>23740</v>
      </c>
      <c r="D85" s="29" t="s">
        <v>42</v>
      </c>
      <c r="E85" s="33" t="n">
        <f aca="false">IF(D85="totale",(C85/(A85*24))/F85,IF(D85="marché libre",(C85/(A85*24))/G85,"spécifier histo"))</f>
        <v>0.307194616977226</v>
      </c>
      <c r="F85" s="9" t="n">
        <v>115</v>
      </c>
      <c r="G85" s="9" t="n">
        <f aca="false">F85-H85</f>
        <v>115</v>
      </c>
      <c r="H85" s="9" t="n">
        <v>0</v>
      </c>
      <c r="J85" s="103"/>
      <c r="K85" s="0"/>
      <c r="P85" s="0"/>
      <c r="Q85" s="0"/>
      <c r="R85" s="0"/>
    </row>
    <row r="86" customFormat="false" ht="13.5" hidden="false" customHeight="true" outlineLevel="0" collapsed="false">
      <c r="A86" s="0" t="n">
        <v>31</v>
      </c>
      <c r="B86" s="31" t="n">
        <v>38412</v>
      </c>
      <c r="C86" s="104" t="n">
        <v>0</v>
      </c>
      <c r="D86" s="29" t="s">
        <v>42</v>
      </c>
      <c r="E86" s="33" t="e">
        <f aca="false">IF(D86="totale",(C86/(A86*24))/F86,IF(D86="marché libre",(C86/(A86*24))/G86,"spécifier histo"))</f>
        <v>#DIV/0!</v>
      </c>
      <c r="F86" s="9" t="n">
        <v>0</v>
      </c>
      <c r="G86" s="9" t="n">
        <f aca="false">F86-H86</f>
        <v>0</v>
      </c>
      <c r="H86" s="9" t="n">
        <v>0</v>
      </c>
      <c r="I86" s="26" t="s">
        <v>98</v>
      </c>
      <c r="J86" s="107" t="s">
        <v>99</v>
      </c>
      <c r="K86" s="0"/>
      <c r="P86" s="0"/>
      <c r="Q86" s="0"/>
      <c r="R86" s="0"/>
    </row>
    <row r="87" customFormat="false" ht="13.5" hidden="false" customHeight="true" outlineLevel="0" collapsed="false">
      <c r="A87" s="0" t="n">
        <v>30</v>
      </c>
      <c r="B87" s="34" t="n">
        <v>38443</v>
      </c>
      <c r="C87" s="104" t="n">
        <v>0</v>
      </c>
      <c r="D87" s="29" t="s">
        <v>42</v>
      </c>
      <c r="E87" s="33" t="e">
        <f aca="false">IF(D87="totale",(C87/(A87*24))/F87,IF(D87="marché libre",(C87/(A87*24))/G87,"spécifier histo"))</f>
        <v>#DIV/0!</v>
      </c>
      <c r="F87" s="9" t="n">
        <v>0</v>
      </c>
      <c r="G87" s="9" t="n">
        <f aca="false">F87-H87</f>
        <v>0</v>
      </c>
      <c r="H87" s="9" t="n">
        <v>0</v>
      </c>
      <c r="I87" s="26" t="s">
        <v>98</v>
      </c>
      <c r="J87" s="107" t="s">
        <v>99</v>
      </c>
      <c r="K87" s="0"/>
      <c r="P87" s="0"/>
      <c r="Q87" s="0"/>
      <c r="R87" s="0"/>
    </row>
    <row r="88" customFormat="false" ht="13.5" hidden="false" customHeight="true" outlineLevel="0" collapsed="false">
      <c r="A88" s="0" t="n">
        <v>31</v>
      </c>
      <c r="B88" s="31" t="n">
        <v>38473</v>
      </c>
      <c r="C88" s="104" t="n">
        <v>0</v>
      </c>
      <c r="D88" s="29" t="s">
        <v>42</v>
      </c>
      <c r="E88" s="33" t="e">
        <f aca="false">IF(D88="totale",(C88/(A88*24))/F88,IF(D88="marché libre",(C88/(A88*24))/G88,"spécifier histo"))</f>
        <v>#DIV/0!</v>
      </c>
      <c r="F88" s="9" t="n">
        <v>0</v>
      </c>
      <c r="G88" s="9" t="n">
        <f aca="false">F88-H88</f>
        <v>0</v>
      </c>
      <c r="H88" s="9" t="n">
        <v>0</v>
      </c>
      <c r="I88" s="26" t="s">
        <v>98</v>
      </c>
      <c r="J88" s="107" t="s">
        <v>99</v>
      </c>
      <c r="K88" s="0"/>
      <c r="P88" s="0"/>
      <c r="Q88" s="0"/>
      <c r="R88" s="0"/>
    </row>
    <row r="89" customFormat="false" ht="13.5" hidden="false" customHeight="true" outlineLevel="0" collapsed="false">
      <c r="A89" s="0" t="n">
        <v>30</v>
      </c>
      <c r="B89" s="34" t="n">
        <v>38504</v>
      </c>
      <c r="C89" s="104" t="n">
        <v>0</v>
      </c>
      <c r="D89" s="29" t="s">
        <v>42</v>
      </c>
      <c r="E89" s="33" t="e">
        <f aca="false">IF(D89="totale",(C89/(A89*24))/F89,IF(D89="marché libre",(C89/(A89*24))/G89,"spécifier histo"))</f>
        <v>#DIV/0!</v>
      </c>
      <c r="F89" s="9" t="n">
        <v>0</v>
      </c>
      <c r="G89" s="9" t="n">
        <f aca="false">F89-H89</f>
        <v>0</v>
      </c>
      <c r="H89" s="9" t="n">
        <v>0</v>
      </c>
      <c r="I89" s="26" t="s">
        <v>98</v>
      </c>
      <c r="J89" s="107" t="s">
        <v>99</v>
      </c>
      <c r="K89" s="0"/>
      <c r="P89" s="0"/>
      <c r="Q89" s="0"/>
      <c r="R89" s="0"/>
    </row>
    <row r="90" customFormat="false" ht="13.5" hidden="false" customHeight="true" outlineLevel="0" collapsed="false">
      <c r="A90" s="0" t="n">
        <v>31</v>
      </c>
      <c r="B90" s="31" t="n">
        <v>38534</v>
      </c>
      <c r="C90" s="104" t="n">
        <v>0</v>
      </c>
      <c r="D90" s="29" t="s">
        <v>42</v>
      </c>
      <c r="E90" s="33" t="e">
        <f aca="false">IF(D90="totale",(C90/(A90*24))/F90,IF(D90="marché libre",(C90/(A90*24))/G90,"spécifier histo"))</f>
        <v>#DIV/0!</v>
      </c>
      <c r="F90" s="9" t="n">
        <v>0</v>
      </c>
      <c r="G90" s="9" t="n">
        <f aca="false">F90-H90</f>
        <v>0</v>
      </c>
      <c r="H90" s="9" t="n">
        <v>0</v>
      </c>
      <c r="I90" s="26" t="s">
        <v>98</v>
      </c>
      <c r="J90" s="107" t="s">
        <v>99</v>
      </c>
      <c r="K90" s="0"/>
      <c r="P90" s="0"/>
      <c r="Q90" s="0"/>
      <c r="R90" s="0"/>
    </row>
    <row r="91" customFormat="false" ht="13.5" hidden="false" customHeight="true" outlineLevel="0" collapsed="false">
      <c r="A91" s="0" t="n">
        <v>31</v>
      </c>
      <c r="B91" s="34" t="n">
        <v>38565</v>
      </c>
      <c r="C91" s="104" t="n">
        <v>0</v>
      </c>
      <c r="D91" s="29" t="s">
        <v>42</v>
      </c>
      <c r="E91" s="33" t="e">
        <f aca="false">IF(D91="totale",(C91/(A91*24))/F91,IF(D91="marché libre",(C91/(A91*24))/G91,"spécifier histo"))</f>
        <v>#DIV/0!</v>
      </c>
      <c r="F91" s="9" t="n">
        <v>0</v>
      </c>
      <c r="G91" s="9" t="n">
        <f aca="false">F91-H91</f>
        <v>0</v>
      </c>
      <c r="H91" s="9" t="n">
        <v>0</v>
      </c>
      <c r="I91" s="26" t="s">
        <v>98</v>
      </c>
      <c r="J91" s="107" t="s">
        <v>99</v>
      </c>
      <c r="K91" s="0"/>
      <c r="P91" s="0"/>
      <c r="Q91" s="0"/>
      <c r="R91" s="0"/>
    </row>
    <row r="92" customFormat="false" ht="13.5" hidden="false" customHeight="true" outlineLevel="0" collapsed="false">
      <c r="A92" s="0" t="n">
        <v>30</v>
      </c>
      <c r="B92" s="31" t="n">
        <v>38596</v>
      </c>
      <c r="C92" s="104" t="n">
        <v>0</v>
      </c>
      <c r="D92" s="29" t="s">
        <v>42</v>
      </c>
      <c r="E92" s="33" t="e">
        <f aca="false">IF(D92="totale",(C92/(A92*24))/F92,IF(D92="marché libre",(C92/(A92*24))/G92,"spécifier histo"))</f>
        <v>#DIV/0!</v>
      </c>
      <c r="F92" s="9" t="n">
        <v>0</v>
      </c>
      <c r="G92" s="9" t="n">
        <f aca="false">F92-H92</f>
        <v>0</v>
      </c>
      <c r="H92" s="9" t="n">
        <v>0</v>
      </c>
      <c r="I92" s="26" t="s">
        <v>98</v>
      </c>
      <c r="J92" s="107" t="s">
        <v>99</v>
      </c>
      <c r="K92" s="0"/>
      <c r="P92" s="0"/>
      <c r="Q92" s="0"/>
      <c r="R92" s="0"/>
    </row>
    <row r="93" customFormat="false" ht="13.5" hidden="false" customHeight="true" outlineLevel="0" collapsed="false">
      <c r="A93" s="0" t="n">
        <v>31</v>
      </c>
      <c r="B93" s="34" t="n">
        <v>38626</v>
      </c>
      <c r="C93" s="104" t="n">
        <v>0</v>
      </c>
      <c r="D93" s="29" t="s">
        <v>42</v>
      </c>
      <c r="E93" s="33" t="e">
        <f aca="false">IF(D93="totale",(C93/(A93*24))/F93,IF(D93="marché libre",(C93/(A93*24))/G93,"spécifier histo"))</f>
        <v>#DIV/0!</v>
      </c>
      <c r="F93" s="9" t="n">
        <v>0</v>
      </c>
      <c r="G93" s="9" t="n">
        <f aca="false">F93-H93</f>
        <v>0</v>
      </c>
      <c r="H93" s="9" t="n">
        <v>0</v>
      </c>
      <c r="I93" s="26" t="s">
        <v>98</v>
      </c>
      <c r="J93" s="107" t="s">
        <v>99</v>
      </c>
      <c r="K93" s="0"/>
      <c r="P93" s="0"/>
      <c r="Q93" s="0"/>
      <c r="R93" s="0"/>
    </row>
    <row r="94" customFormat="false" ht="13.5" hidden="false" customHeight="true" outlineLevel="0" collapsed="false">
      <c r="A94" s="0" t="n">
        <v>30</v>
      </c>
      <c r="B94" s="31" t="n">
        <v>38657</v>
      </c>
      <c r="C94" s="104" t="n">
        <v>0</v>
      </c>
      <c r="D94" s="29" t="s">
        <v>42</v>
      </c>
      <c r="E94" s="33" t="e">
        <f aca="false">IF(D94="totale",(C94/(A94*24))/F94,IF(D94="marché libre",(C94/(A94*24))/G94,"spécifier histo"))</f>
        <v>#DIV/0!</v>
      </c>
      <c r="F94" s="9" t="n">
        <v>0</v>
      </c>
      <c r="G94" s="9" t="n">
        <f aca="false">F94-H94</f>
        <v>0</v>
      </c>
      <c r="H94" s="9" t="n">
        <v>0</v>
      </c>
      <c r="I94" s="26" t="s">
        <v>98</v>
      </c>
      <c r="J94" s="107" t="s">
        <v>99</v>
      </c>
      <c r="K94" s="0"/>
      <c r="P94" s="0"/>
      <c r="Q94" s="0"/>
      <c r="R94" s="0"/>
    </row>
    <row r="95" customFormat="false" ht="13.5" hidden="false" customHeight="true" outlineLevel="0" collapsed="false">
      <c r="A95" s="0" t="n">
        <v>31</v>
      </c>
      <c r="B95" s="34" t="n">
        <v>38687</v>
      </c>
      <c r="C95" s="104" t="n">
        <v>0</v>
      </c>
      <c r="D95" s="29" t="s">
        <v>42</v>
      </c>
      <c r="E95" s="33" t="e">
        <f aca="false">IF(D95="totale",(C95/(A95*24))/F95,IF(D95="marché libre",(C95/(A95*24))/G95,"spécifier histo"))</f>
        <v>#DIV/0!</v>
      </c>
      <c r="F95" s="9" t="n">
        <v>0</v>
      </c>
      <c r="G95" s="9" t="n">
        <f aca="false">F95-H95</f>
        <v>0</v>
      </c>
      <c r="H95" s="9" t="n">
        <v>0</v>
      </c>
      <c r="I95" s="26" t="s">
        <v>98</v>
      </c>
      <c r="J95" s="107" t="s">
        <v>99</v>
      </c>
      <c r="K95" s="0"/>
      <c r="P95" s="0"/>
      <c r="Q95" s="0"/>
      <c r="R95" s="0"/>
    </row>
    <row r="96" customFormat="false" ht="13.5" hidden="false" customHeight="true" outlineLevel="0" collapsed="false">
      <c r="A96" s="0" t="n">
        <v>31</v>
      </c>
      <c r="B96" s="31" t="n">
        <v>38718</v>
      </c>
      <c r="C96" s="104" t="n">
        <v>0</v>
      </c>
      <c r="D96" s="29" t="s">
        <v>42</v>
      </c>
      <c r="E96" s="33" t="e">
        <f aca="false">IF(D96="totale",(C96/(A96*24))/F96,IF(D96="marché libre",(C96/(A96*24))/G96,"spécifier histo"))</f>
        <v>#DIV/0!</v>
      </c>
      <c r="F96" s="9" t="n">
        <v>0</v>
      </c>
      <c r="G96" s="9" t="n">
        <f aca="false">F96-H96</f>
        <v>0</v>
      </c>
      <c r="H96" s="9" t="n">
        <v>0</v>
      </c>
      <c r="I96" s="26" t="s">
        <v>98</v>
      </c>
      <c r="J96" s="107" t="s">
        <v>99</v>
      </c>
      <c r="K96" s="0"/>
      <c r="P96" s="0"/>
      <c r="Q96" s="0"/>
      <c r="R96" s="0"/>
    </row>
    <row r="97" customFormat="false" ht="13.5" hidden="false" customHeight="true" outlineLevel="0" collapsed="false">
      <c r="A97" s="0" t="n">
        <v>28</v>
      </c>
      <c r="B97" s="34" t="n">
        <v>38749</v>
      </c>
      <c r="C97" s="104" t="n">
        <v>0</v>
      </c>
      <c r="D97" s="29" t="s">
        <v>42</v>
      </c>
      <c r="E97" s="33" t="e">
        <f aca="false">IF(D97="totale",(C97/(A97*24))/F97,IF(D97="marché libre",(C97/(A97*24))/G97,"spécifier histo"))</f>
        <v>#DIV/0!</v>
      </c>
      <c r="F97" s="9" t="n">
        <v>0</v>
      </c>
      <c r="G97" s="9" t="n">
        <f aca="false">F97-H97</f>
        <v>0</v>
      </c>
      <c r="H97" s="9" t="n">
        <v>0</v>
      </c>
      <c r="I97" s="26" t="s">
        <v>98</v>
      </c>
      <c r="J97" s="107" t="s">
        <v>99</v>
      </c>
      <c r="K97" s="0"/>
      <c r="P97" s="0"/>
      <c r="Q97" s="0"/>
      <c r="R97" s="0"/>
    </row>
    <row r="98" customFormat="false" ht="13.5" hidden="false" customHeight="true" outlineLevel="0" collapsed="false">
      <c r="A98" s="0" t="n">
        <v>31</v>
      </c>
      <c r="B98" s="31" t="n">
        <v>38777</v>
      </c>
      <c r="C98" s="104" t="n">
        <v>0</v>
      </c>
      <c r="D98" s="29" t="s">
        <v>42</v>
      </c>
      <c r="E98" s="33" t="e">
        <f aca="false">IF(D98="totale",(C98/(A98*24))/F98,IF(D98="marché libre",(C98/(A98*24))/G98,"spécifier histo"))</f>
        <v>#DIV/0!</v>
      </c>
      <c r="F98" s="9" t="n">
        <v>0</v>
      </c>
      <c r="G98" s="9" t="n">
        <f aca="false">F98-H98</f>
        <v>0</v>
      </c>
      <c r="H98" s="9" t="n">
        <v>0</v>
      </c>
      <c r="I98" s="26" t="s">
        <v>98</v>
      </c>
      <c r="J98" s="107" t="s">
        <v>99</v>
      </c>
      <c r="K98" s="0"/>
      <c r="P98" s="0"/>
      <c r="Q98" s="0"/>
      <c r="R98" s="0"/>
    </row>
    <row r="99" customFormat="false" ht="13.5" hidden="false" customHeight="true" outlineLevel="0" collapsed="false">
      <c r="A99" s="0" t="n">
        <v>30</v>
      </c>
      <c r="B99" s="34" t="n">
        <v>38808</v>
      </c>
      <c r="C99" s="104" t="n">
        <v>0</v>
      </c>
      <c r="D99" s="29" t="s">
        <v>42</v>
      </c>
      <c r="E99" s="33" t="e">
        <f aca="false">IF(D99="totale",(C99/(A99*24))/F99,IF(D99="marché libre",(C99/(A99*24))/G99,"spécifier histo"))</f>
        <v>#DIV/0!</v>
      </c>
      <c r="F99" s="9" t="n">
        <v>0</v>
      </c>
      <c r="G99" s="9" t="n">
        <f aca="false">F99-H99</f>
        <v>0</v>
      </c>
      <c r="H99" s="9" t="n">
        <v>0</v>
      </c>
      <c r="I99" s="26" t="s">
        <v>98</v>
      </c>
      <c r="J99" s="107" t="s">
        <v>99</v>
      </c>
      <c r="K99" s="0"/>
      <c r="P99" s="0"/>
      <c r="R99" s="0"/>
    </row>
    <row r="100" customFormat="false" ht="13.5" hidden="false" customHeight="true" outlineLevel="0" collapsed="false">
      <c r="A100" s="0" t="n">
        <v>31</v>
      </c>
      <c r="B100" s="31" t="n">
        <v>38838</v>
      </c>
      <c r="C100" s="104" t="n">
        <v>0</v>
      </c>
      <c r="D100" s="29" t="s">
        <v>42</v>
      </c>
      <c r="E100" s="33" t="e">
        <f aca="false">IF(D100="totale",(C100/(A100*24))/F100,IF(D100="marché libre",(C100/(A100*24))/G100,"spécifier histo"))</f>
        <v>#DIV/0!</v>
      </c>
      <c r="F100" s="9" t="n">
        <v>0</v>
      </c>
      <c r="G100" s="9" t="n">
        <f aca="false">F100-H100</f>
        <v>0</v>
      </c>
      <c r="H100" s="9" t="n">
        <v>0</v>
      </c>
      <c r="I100" s="26" t="s">
        <v>98</v>
      </c>
      <c r="J100" s="107" t="s">
        <v>99</v>
      </c>
      <c r="K100" s="0"/>
      <c r="P100" s="0"/>
      <c r="R100" s="0"/>
    </row>
    <row r="101" customFormat="false" ht="13.5" hidden="false" customHeight="true" outlineLevel="0" collapsed="false">
      <c r="A101" s="0" t="n">
        <v>30</v>
      </c>
      <c r="B101" s="34" t="n">
        <v>38869</v>
      </c>
      <c r="C101" s="104" t="n">
        <v>0</v>
      </c>
      <c r="D101" s="29" t="s">
        <v>42</v>
      </c>
      <c r="E101" s="33" t="e">
        <f aca="false">IF(D101="totale",(C101/(A101*24))/F101,IF(D101="marché libre",(C101/(A101*24))/G101,"spécifier histo"))</f>
        <v>#DIV/0!</v>
      </c>
      <c r="F101" s="9" t="n">
        <v>0</v>
      </c>
      <c r="G101" s="9" t="n">
        <f aca="false">F101-H101</f>
        <v>0</v>
      </c>
      <c r="H101" s="9" t="n">
        <v>0</v>
      </c>
      <c r="I101" s="26" t="s">
        <v>98</v>
      </c>
      <c r="J101" s="107" t="s">
        <v>99</v>
      </c>
      <c r="K101" s="0"/>
      <c r="P101" s="0"/>
      <c r="R101" s="0"/>
    </row>
    <row r="102" customFormat="false" ht="13.5" hidden="false" customHeight="true" outlineLevel="0" collapsed="false">
      <c r="A102" s="0" t="n">
        <v>31</v>
      </c>
      <c r="B102" s="31" t="n">
        <v>38899</v>
      </c>
      <c r="C102" s="104" t="n">
        <v>0</v>
      </c>
      <c r="D102" s="29" t="s">
        <v>42</v>
      </c>
      <c r="E102" s="33" t="e">
        <f aca="false">IF(D102="totale",(C102/(A102*24))/F102,IF(D102="marché libre",(C102/(A102*24))/G102,"spécifier histo"))</f>
        <v>#DIV/0!</v>
      </c>
      <c r="F102" s="9" t="n">
        <v>0</v>
      </c>
      <c r="G102" s="9" t="n">
        <f aca="false">F102-H102</f>
        <v>0</v>
      </c>
      <c r="H102" s="9" t="n">
        <v>0</v>
      </c>
      <c r="I102" s="26" t="s">
        <v>98</v>
      </c>
      <c r="J102" s="107" t="s">
        <v>99</v>
      </c>
      <c r="K102" s="0"/>
      <c r="P102" s="0"/>
      <c r="R102" s="0"/>
    </row>
    <row r="103" customFormat="false" ht="13.5" hidden="false" customHeight="true" outlineLevel="0" collapsed="false">
      <c r="A103" s="0" t="n">
        <v>31</v>
      </c>
      <c r="B103" s="34" t="n">
        <v>38930</v>
      </c>
      <c r="C103" s="104" t="n">
        <v>0</v>
      </c>
      <c r="D103" s="29" t="s">
        <v>42</v>
      </c>
      <c r="E103" s="33" t="e">
        <f aca="false">IF(D103="totale",(C103/(A103*24))/F103,IF(D103="marché libre",(C103/(A103*24))/G103,"spécifier histo"))</f>
        <v>#DIV/0!</v>
      </c>
      <c r="F103" s="9" t="n">
        <v>0</v>
      </c>
      <c r="G103" s="9" t="n">
        <f aca="false">F103-H103</f>
        <v>0</v>
      </c>
      <c r="H103" s="9" t="n">
        <v>0</v>
      </c>
      <c r="I103" s="26" t="s">
        <v>98</v>
      </c>
      <c r="J103" s="107" t="s">
        <v>99</v>
      </c>
      <c r="K103" s="0"/>
      <c r="P103" s="0"/>
      <c r="R103" s="0"/>
    </row>
    <row r="104" customFormat="false" ht="13.5" hidden="false" customHeight="true" outlineLevel="0" collapsed="false">
      <c r="A104" s="0" t="n">
        <v>30</v>
      </c>
      <c r="B104" s="31" t="n">
        <v>38961</v>
      </c>
      <c r="C104" s="104" t="n">
        <v>0</v>
      </c>
      <c r="D104" s="29" t="s">
        <v>42</v>
      </c>
      <c r="E104" s="33" t="e">
        <f aca="false">IF(D104="totale",(C104/(A104*24))/F104,IF(D104="marché libre",(C104/(A104*24))/G104,"spécifier histo"))</f>
        <v>#DIV/0!</v>
      </c>
      <c r="F104" s="9" t="n">
        <v>0</v>
      </c>
      <c r="G104" s="9" t="n">
        <f aca="false">F104-H104</f>
        <v>0</v>
      </c>
      <c r="H104" s="9" t="n">
        <v>0</v>
      </c>
      <c r="I104" s="26" t="s">
        <v>98</v>
      </c>
      <c r="J104" s="107" t="s">
        <v>99</v>
      </c>
      <c r="K104" s="0"/>
      <c r="P104" s="0"/>
      <c r="R104" s="0"/>
    </row>
    <row r="105" customFormat="false" ht="13.5" hidden="false" customHeight="true" outlineLevel="0" collapsed="false">
      <c r="A105" s="0" t="n">
        <v>31</v>
      </c>
      <c r="B105" s="34" t="n">
        <v>38991</v>
      </c>
      <c r="C105" s="104" t="n">
        <v>0</v>
      </c>
      <c r="D105" s="29" t="s">
        <v>42</v>
      </c>
      <c r="E105" s="33" t="e">
        <f aca="false">IF(D105="totale",(C105/(A105*24))/F105,IF(D105="marché libre",(C105/(A105*24))/G105,"spécifier histo"))</f>
        <v>#DIV/0!</v>
      </c>
      <c r="F105" s="9" t="n">
        <v>0</v>
      </c>
      <c r="G105" s="9" t="n">
        <f aca="false">F105-H105</f>
        <v>0</v>
      </c>
      <c r="H105" s="9" t="n">
        <v>0</v>
      </c>
      <c r="I105" s="26" t="s">
        <v>98</v>
      </c>
      <c r="J105" s="107" t="s">
        <v>99</v>
      </c>
      <c r="K105" s="0"/>
      <c r="P105" s="0"/>
      <c r="R105" s="0"/>
    </row>
    <row r="106" customFormat="false" ht="13.5" hidden="false" customHeight="true" outlineLevel="0" collapsed="false">
      <c r="A106" s="0" t="n">
        <v>30</v>
      </c>
      <c r="B106" s="31" t="n">
        <v>39022</v>
      </c>
      <c r="C106" s="104" t="n">
        <v>0</v>
      </c>
      <c r="D106" s="29" t="s">
        <v>42</v>
      </c>
      <c r="E106" s="33" t="e">
        <f aca="false">IF(D106="totale",(C106/(A106*24))/F106,IF(D106="marché libre",(C106/(A106*24))/G106,"spécifier histo"))</f>
        <v>#DIV/0!</v>
      </c>
      <c r="F106" s="9" t="n">
        <v>0</v>
      </c>
      <c r="G106" s="9" t="n">
        <f aca="false">F106-H106</f>
        <v>0</v>
      </c>
      <c r="H106" s="9" t="n">
        <v>0</v>
      </c>
      <c r="I106" s="26" t="s">
        <v>98</v>
      </c>
      <c r="J106" s="107" t="s">
        <v>99</v>
      </c>
      <c r="K106" s="0"/>
      <c r="P106" s="0"/>
      <c r="R106" s="0"/>
    </row>
    <row r="107" customFormat="false" ht="13.5" hidden="false" customHeight="true" outlineLevel="0" collapsed="false">
      <c r="A107" s="0" t="n">
        <v>31</v>
      </c>
      <c r="B107" s="34" t="n">
        <v>39052</v>
      </c>
      <c r="C107" s="104" t="n">
        <v>0</v>
      </c>
      <c r="D107" s="29" t="s">
        <v>42</v>
      </c>
      <c r="E107" s="33" t="e">
        <f aca="false">IF(D107="totale",(C107/(A107*24))/F107,IF(D107="marché libre",(C107/(A107*24))/G107,"spécifier histo"))</f>
        <v>#DIV/0!</v>
      </c>
      <c r="F107" s="9" t="n">
        <v>0</v>
      </c>
      <c r="G107" s="9" t="n">
        <f aca="false">F107-H107</f>
        <v>0</v>
      </c>
      <c r="H107" s="9" t="n">
        <v>0</v>
      </c>
      <c r="I107" s="26" t="s">
        <v>98</v>
      </c>
      <c r="J107" s="107" t="s">
        <v>99</v>
      </c>
      <c r="K107" s="103"/>
      <c r="P107" s="0"/>
      <c r="R107" s="0"/>
    </row>
    <row r="108" customFormat="false" ht="13.5" hidden="false" customHeight="true" outlineLevel="0" collapsed="false">
      <c r="A108" s="0" t="n">
        <v>31</v>
      </c>
      <c r="B108" s="31" t="n">
        <v>39083</v>
      </c>
      <c r="C108" s="104" t="n">
        <v>0</v>
      </c>
      <c r="D108" s="29" t="s">
        <v>42</v>
      </c>
      <c r="E108" s="33" t="e">
        <f aca="false">IF(D108="totale",(C108/(A108*24))/F108,IF(D108="marché libre",(C108/(A108*24))/G108,"spécifier histo"))</f>
        <v>#DIV/0!</v>
      </c>
      <c r="F108" s="9" t="n">
        <v>0</v>
      </c>
      <c r="G108" s="9" t="n">
        <f aca="false">F108-H108</f>
        <v>0</v>
      </c>
      <c r="H108" s="9" t="n">
        <v>0</v>
      </c>
      <c r="I108" s="26" t="s">
        <v>98</v>
      </c>
      <c r="J108" s="107" t="s">
        <v>99</v>
      </c>
      <c r="K108" s="103"/>
      <c r="P108" s="0"/>
      <c r="R108" s="0"/>
    </row>
    <row r="109" customFormat="false" ht="13.5" hidden="false" customHeight="true" outlineLevel="0" collapsed="false">
      <c r="A109" s="0" t="n">
        <v>28</v>
      </c>
      <c r="B109" s="34" t="n">
        <v>39114</v>
      </c>
      <c r="C109" s="104" t="n">
        <v>0</v>
      </c>
      <c r="D109" s="29" t="s">
        <v>42</v>
      </c>
      <c r="E109" s="33" t="e">
        <f aca="false">IF(D109="totale",(C109/(A109*24))/F109,IF(D109="marché libre",(C109/(A109*24))/G109,"spécifier histo"))</f>
        <v>#DIV/0!</v>
      </c>
      <c r="F109" s="9" t="n">
        <v>0</v>
      </c>
      <c r="G109" s="9" t="n">
        <f aca="false">F109-H109</f>
        <v>0</v>
      </c>
      <c r="H109" s="9" t="n">
        <v>0</v>
      </c>
      <c r="I109" s="26" t="s">
        <v>98</v>
      </c>
      <c r="J109" s="107" t="s">
        <v>99</v>
      </c>
      <c r="K109" s="103"/>
      <c r="P109" s="0"/>
      <c r="R109" s="0"/>
    </row>
    <row r="110" customFormat="false" ht="13.5" hidden="false" customHeight="true" outlineLevel="0" collapsed="false">
      <c r="A110" s="0" t="n">
        <v>31</v>
      </c>
      <c r="B110" s="31" t="n">
        <v>39142</v>
      </c>
      <c r="C110" s="104" t="n">
        <v>0</v>
      </c>
      <c r="D110" s="29" t="s">
        <v>42</v>
      </c>
      <c r="E110" s="33" t="e">
        <f aca="false">IF(D110="totale",(C110/(A110*24))/F110,IF(D110="marché libre",(C110/(A110*24))/G110,"spécifier histo"))</f>
        <v>#DIV/0!</v>
      </c>
      <c r="F110" s="9" t="n">
        <v>0</v>
      </c>
      <c r="G110" s="9" t="n">
        <f aca="false">F110-H110</f>
        <v>0</v>
      </c>
      <c r="H110" s="9" t="n">
        <v>0</v>
      </c>
      <c r="I110" s="26" t="s">
        <v>98</v>
      </c>
      <c r="J110" s="107" t="s">
        <v>99</v>
      </c>
      <c r="K110" s="103"/>
      <c r="P110" s="0"/>
      <c r="R110" s="0"/>
    </row>
    <row r="111" customFormat="false" ht="13.5" hidden="false" customHeight="true" outlineLevel="0" collapsed="false">
      <c r="A111" s="0" t="n">
        <v>30</v>
      </c>
      <c r="B111" s="34" t="n">
        <v>39173</v>
      </c>
      <c r="C111" s="104" t="n">
        <v>0</v>
      </c>
      <c r="D111" s="29" t="s">
        <v>42</v>
      </c>
      <c r="E111" s="33" t="e">
        <f aca="false">IF(D111="totale",(C111/(A111*24))/F111,IF(D111="marché libre",(C111/(A111*24))/G111,"spécifier histo"))</f>
        <v>#DIV/0!</v>
      </c>
      <c r="F111" s="9" t="n">
        <v>0</v>
      </c>
      <c r="G111" s="9" t="n">
        <f aca="false">F111-H111</f>
        <v>0</v>
      </c>
      <c r="H111" s="9" t="n">
        <v>0</v>
      </c>
      <c r="I111" s="26" t="s">
        <v>98</v>
      </c>
      <c r="J111" s="107" t="s">
        <v>99</v>
      </c>
      <c r="K111" s="103"/>
      <c r="P111" s="0"/>
      <c r="R111" s="0"/>
    </row>
    <row r="112" customFormat="false" ht="13.5" hidden="false" customHeight="true" outlineLevel="0" collapsed="false">
      <c r="A112" s="0" t="n">
        <v>31</v>
      </c>
      <c r="B112" s="31" t="n">
        <v>39203</v>
      </c>
      <c r="C112" s="104" t="n">
        <v>0</v>
      </c>
      <c r="D112" s="29" t="s">
        <v>42</v>
      </c>
      <c r="E112" s="33" t="e">
        <f aca="false">IF(D112="totale",(C112/(A112*24))/F112,IF(D112="marché libre",(C112/(A112*24))/G112,"spécifier histo"))</f>
        <v>#DIV/0!</v>
      </c>
      <c r="F112" s="9" t="n">
        <v>0</v>
      </c>
      <c r="G112" s="9" t="n">
        <f aca="false">F112-H112</f>
        <v>0</v>
      </c>
      <c r="H112" s="9" t="n">
        <v>0</v>
      </c>
      <c r="I112" s="26" t="s">
        <v>98</v>
      </c>
      <c r="J112" s="107" t="s">
        <v>99</v>
      </c>
      <c r="K112" s="103"/>
      <c r="P112" s="0"/>
      <c r="R112" s="0"/>
    </row>
    <row r="113" customFormat="false" ht="13.5" hidden="false" customHeight="true" outlineLevel="0" collapsed="false">
      <c r="A113" s="0" t="n">
        <v>30</v>
      </c>
      <c r="B113" s="34" t="n">
        <v>39234</v>
      </c>
      <c r="C113" s="104" t="n">
        <v>0</v>
      </c>
      <c r="D113" s="29" t="s">
        <v>42</v>
      </c>
      <c r="E113" s="33" t="e">
        <f aca="false">IF(D113="totale",(C113/(A113*24))/F113,IF(D113="marché libre",(C113/(A113*24))/G113,"spécifier histo"))</f>
        <v>#DIV/0!</v>
      </c>
      <c r="F113" s="9" t="n">
        <v>0</v>
      </c>
      <c r="G113" s="9" t="n">
        <f aca="false">F113-H113</f>
        <v>0</v>
      </c>
      <c r="H113" s="9" t="n">
        <v>0</v>
      </c>
      <c r="I113" s="26" t="s">
        <v>98</v>
      </c>
      <c r="J113" s="107" t="s">
        <v>99</v>
      </c>
      <c r="K113" s="103"/>
      <c r="P113" s="0"/>
      <c r="R113" s="0"/>
    </row>
    <row r="114" customFormat="false" ht="13.5" hidden="false" customHeight="true" outlineLevel="0" collapsed="false">
      <c r="A114" s="0" t="n">
        <v>31</v>
      </c>
      <c r="B114" s="31" t="n">
        <v>39264</v>
      </c>
      <c r="C114" s="104" t="n">
        <v>0</v>
      </c>
      <c r="D114" s="29" t="s">
        <v>42</v>
      </c>
      <c r="E114" s="33" t="e">
        <f aca="false">IF(D114="totale",(C114/(A114*24))/F114,IF(D114="marché libre",(C114/(A114*24))/G114,"spécifier histo"))</f>
        <v>#DIV/0!</v>
      </c>
      <c r="F114" s="9" t="n">
        <v>0</v>
      </c>
      <c r="G114" s="9" t="n">
        <f aca="false">F114-H114</f>
        <v>0</v>
      </c>
      <c r="H114" s="9" t="n">
        <v>0</v>
      </c>
      <c r="I114" s="26" t="s">
        <v>98</v>
      </c>
      <c r="J114" s="107" t="s">
        <v>99</v>
      </c>
      <c r="K114" s="103"/>
      <c r="P114" s="0"/>
      <c r="R114" s="0"/>
    </row>
    <row r="115" customFormat="false" ht="13.5" hidden="false" customHeight="true" outlineLevel="0" collapsed="false">
      <c r="A115" s="0" t="n">
        <v>31</v>
      </c>
      <c r="B115" s="34" t="n">
        <v>39295</v>
      </c>
      <c r="C115" s="104" t="n">
        <v>0</v>
      </c>
      <c r="D115" s="29" t="s">
        <v>42</v>
      </c>
      <c r="E115" s="33" t="e">
        <f aca="false">IF(D115="totale",(C115/(A115*24))/F115,IF(D115="marché libre",(C115/(A115*24))/G115,"spécifier histo"))</f>
        <v>#DIV/0!</v>
      </c>
      <c r="F115" s="9" t="n">
        <v>0</v>
      </c>
      <c r="G115" s="9" t="n">
        <f aca="false">F115-H115</f>
        <v>0</v>
      </c>
      <c r="H115" s="9" t="n">
        <v>0</v>
      </c>
      <c r="I115" s="26" t="s">
        <v>98</v>
      </c>
      <c r="J115" s="107" t="s">
        <v>99</v>
      </c>
      <c r="K115" s="103"/>
      <c r="P115" s="0"/>
      <c r="R115" s="0"/>
    </row>
    <row r="116" customFormat="false" ht="13.5" hidden="false" customHeight="true" outlineLevel="0" collapsed="false">
      <c r="A116" s="0" t="n">
        <v>30</v>
      </c>
      <c r="B116" s="31" t="n">
        <v>39326</v>
      </c>
      <c r="C116" s="104" t="n">
        <v>0</v>
      </c>
      <c r="D116" s="29" t="s">
        <v>42</v>
      </c>
      <c r="E116" s="33" t="e">
        <f aca="false">IF(D116="totale",(C116/(A116*24))/F116,IF(D116="marché libre",(C116/(A116*24))/G116,"spécifier histo"))</f>
        <v>#DIV/0!</v>
      </c>
      <c r="F116" s="9" t="n">
        <v>0</v>
      </c>
      <c r="G116" s="9" t="n">
        <f aca="false">F116-H116</f>
        <v>0</v>
      </c>
      <c r="H116" s="9" t="n">
        <v>0</v>
      </c>
      <c r="I116" s="26" t="s">
        <v>98</v>
      </c>
      <c r="J116" s="107" t="s">
        <v>99</v>
      </c>
      <c r="K116" s="103"/>
      <c r="P116" s="0"/>
      <c r="R116" s="0"/>
    </row>
    <row r="117" customFormat="false" ht="13.5" hidden="false" customHeight="true" outlineLevel="0" collapsed="false">
      <c r="A117" s="0" t="n">
        <v>31</v>
      </c>
      <c r="B117" s="34" t="n">
        <v>39356</v>
      </c>
      <c r="C117" s="104" t="n">
        <v>0</v>
      </c>
      <c r="D117" s="29" t="s">
        <v>42</v>
      </c>
      <c r="E117" s="33" t="e">
        <f aca="false">IF(D117="totale",(C117/(A117*24))/F117,IF(D117="marché libre",(C117/(A117*24))/G117,"spécifier histo"))</f>
        <v>#DIV/0!</v>
      </c>
      <c r="F117" s="9" t="n">
        <v>0</v>
      </c>
      <c r="G117" s="9" t="n">
        <f aca="false">F117-H117</f>
        <v>0</v>
      </c>
      <c r="H117" s="9" t="n">
        <v>0</v>
      </c>
      <c r="I117" s="26" t="s">
        <v>98</v>
      </c>
      <c r="J117" s="107" t="s">
        <v>99</v>
      </c>
      <c r="K117" s="103"/>
      <c r="P117" s="0"/>
      <c r="R117" s="0"/>
    </row>
    <row r="118" customFormat="false" ht="13.5" hidden="false" customHeight="true" outlineLevel="0" collapsed="false">
      <c r="A118" s="0" t="n">
        <v>30</v>
      </c>
      <c r="B118" s="31" t="n">
        <v>39387</v>
      </c>
      <c r="C118" s="104" t="n">
        <v>0</v>
      </c>
      <c r="D118" s="29" t="s">
        <v>42</v>
      </c>
      <c r="E118" s="33" t="e">
        <f aca="false">IF(D118="totale",(C118/(A118*24))/F118,IF(D118="marché libre",(C118/(A118*24))/G118,"spécifier histo"))</f>
        <v>#DIV/0!</v>
      </c>
      <c r="F118" s="9" t="n">
        <v>0</v>
      </c>
      <c r="G118" s="9" t="n">
        <f aca="false">F118-H118</f>
        <v>0</v>
      </c>
      <c r="H118" s="9" t="n">
        <v>0</v>
      </c>
      <c r="I118" s="26" t="s">
        <v>98</v>
      </c>
      <c r="J118" s="107" t="s">
        <v>99</v>
      </c>
      <c r="K118" s="103"/>
      <c r="P118" s="0"/>
      <c r="R118" s="0"/>
    </row>
    <row r="119" customFormat="false" ht="13.5" hidden="false" customHeight="true" outlineLevel="0" collapsed="false">
      <c r="A119" s="0" t="n">
        <v>31</v>
      </c>
      <c r="B119" s="34" t="n">
        <v>39417</v>
      </c>
      <c r="C119" s="104" t="n">
        <v>8860</v>
      </c>
      <c r="D119" s="29" t="s">
        <v>42</v>
      </c>
      <c r="E119" s="33" t="n">
        <f aca="false">IF(D119="totale",(C119/(A119*24))/F119,IF(D119="marché libre",(C119/(A119*24))/G119,"spécifier histo"))</f>
        <v>0.103553062178588</v>
      </c>
      <c r="F119" s="9" t="n">
        <v>115</v>
      </c>
      <c r="G119" s="9" t="n">
        <f aca="false">F119-H119</f>
        <v>115</v>
      </c>
      <c r="H119" s="9" t="n">
        <v>0</v>
      </c>
      <c r="I119" s="26"/>
      <c r="J119" s="103"/>
      <c r="K119" s="103"/>
      <c r="P119" s="0"/>
    </row>
    <row r="120" customFormat="false" ht="13.5" hidden="false" customHeight="true" outlineLevel="0" collapsed="false">
      <c r="A120" s="0" t="n">
        <v>31</v>
      </c>
      <c r="B120" s="31" t="n">
        <v>39448</v>
      </c>
      <c r="C120" s="104" t="n">
        <v>43300</v>
      </c>
      <c r="D120" s="29" t="s">
        <v>42</v>
      </c>
      <c r="E120" s="33" t="n">
        <f aca="false">IF(D120="totale",(C120/(A120*24))/F120,IF(D120="marché libre",(C120/(A120*24))/G120,"spécifier histo"))</f>
        <v>0.506077606358111</v>
      </c>
      <c r="F120" s="9" t="n">
        <v>115</v>
      </c>
      <c r="G120" s="9" t="n">
        <f aca="false">F120-H120</f>
        <v>115</v>
      </c>
      <c r="H120" s="9" t="n">
        <v>0</v>
      </c>
      <c r="I120" s="26"/>
      <c r="J120" s="103"/>
      <c r="K120" s="103"/>
      <c r="P120" s="0"/>
    </row>
    <row r="121" customFormat="false" ht="13.5" hidden="false" customHeight="true" outlineLevel="0" collapsed="false">
      <c r="A121" s="0" t="n">
        <v>28</v>
      </c>
      <c r="B121" s="34" t="n">
        <v>39479</v>
      </c>
      <c r="C121" s="104" t="n">
        <v>35020</v>
      </c>
      <c r="D121" s="29" t="s">
        <v>42</v>
      </c>
      <c r="E121" s="33" t="n">
        <f aca="false">IF(D121="totale",(C121/(A121*24))/F121,IF(D121="marché libre",(C121/(A121*24))/G121,"spécifier histo"))</f>
        <v>0.45315734989648</v>
      </c>
      <c r="F121" s="9" t="n">
        <v>115</v>
      </c>
      <c r="G121" s="9" t="n">
        <f aca="false">F121-H121</f>
        <v>115</v>
      </c>
      <c r="H121" s="9" t="n">
        <v>0</v>
      </c>
      <c r="I121" s="26"/>
      <c r="J121" s="103"/>
      <c r="K121" s="103"/>
      <c r="P121" s="0"/>
    </row>
    <row r="122" customFormat="false" ht="13.5" hidden="false" customHeight="true" outlineLevel="0" collapsed="false">
      <c r="A122" s="0" t="n">
        <v>31</v>
      </c>
      <c r="B122" s="31" t="n">
        <v>39508</v>
      </c>
      <c r="C122" s="104" t="n">
        <v>39880</v>
      </c>
      <c r="D122" s="29" t="s">
        <v>42</v>
      </c>
      <c r="E122" s="33" t="n">
        <f aca="false">IF(D122="totale",(C122/(A122*24))/F122,IF(D122="marché libre",(C122/(A122*24))/G122,"spécifier histo"))</f>
        <v>0.466105656848995</v>
      </c>
      <c r="F122" s="9" t="n">
        <v>115</v>
      </c>
      <c r="G122" s="9" t="n">
        <f aca="false">F122-H122</f>
        <v>115</v>
      </c>
      <c r="H122" s="9" t="n">
        <v>0</v>
      </c>
      <c r="I122" s="26"/>
      <c r="J122" s="103"/>
      <c r="K122" s="103"/>
      <c r="P122" s="0"/>
    </row>
    <row r="123" customFormat="false" ht="13.5" hidden="false" customHeight="true" outlineLevel="0" collapsed="false">
      <c r="A123" s="0" t="n">
        <v>30</v>
      </c>
      <c r="B123" s="34" t="n">
        <v>39539</v>
      </c>
      <c r="C123" s="104" t="n">
        <v>55100</v>
      </c>
      <c r="D123" s="29" t="s">
        <v>42</v>
      </c>
      <c r="E123" s="33" t="n">
        <f aca="false">IF(D123="totale",(C123/(A123*24))/F123,IF(D123="marché libre",(C123/(A123*24))/G123,"spécifier histo"))</f>
        <v>0.665458937198068</v>
      </c>
      <c r="F123" s="9" t="n">
        <v>115</v>
      </c>
      <c r="G123" s="9" t="n">
        <f aca="false">F123-H123</f>
        <v>115</v>
      </c>
      <c r="H123" s="9" t="n">
        <v>0</v>
      </c>
      <c r="I123" s="26"/>
      <c r="J123" s="103"/>
      <c r="K123" s="103"/>
      <c r="P123" s="0"/>
    </row>
    <row r="124" customFormat="false" ht="13.5" hidden="false" customHeight="true" outlineLevel="0" collapsed="false">
      <c r="A124" s="0" t="n">
        <v>31</v>
      </c>
      <c r="B124" s="31" t="n">
        <v>39569</v>
      </c>
      <c r="C124" s="104" t="n">
        <v>24420</v>
      </c>
      <c r="D124" s="29" t="s">
        <v>42</v>
      </c>
      <c r="E124" s="33" t="n">
        <f aca="false">IF(D124="totale",(C124/(A124*24))/F124,IF(D124="marché libre",(C124/(A124*24))/G124,"spécifier histo"))</f>
        <v>0.285413744740533</v>
      </c>
      <c r="F124" s="9" t="n">
        <v>115</v>
      </c>
      <c r="G124" s="9" t="n">
        <f aca="false">F124-H124</f>
        <v>115</v>
      </c>
      <c r="H124" s="9" t="n">
        <v>0</v>
      </c>
      <c r="I124" s="26"/>
      <c r="J124" s="103"/>
      <c r="K124" s="103"/>
      <c r="P124" s="0"/>
    </row>
    <row r="125" customFormat="false" ht="13.5" hidden="false" customHeight="true" outlineLevel="0" collapsed="false">
      <c r="A125" s="0" t="n">
        <v>30</v>
      </c>
      <c r="B125" s="34" t="n">
        <v>39600</v>
      </c>
      <c r="C125" s="104" t="n">
        <v>22960</v>
      </c>
      <c r="D125" s="29" t="s">
        <v>42</v>
      </c>
      <c r="E125" s="33" t="n">
        <f aca="false">IF(D125="totale",(C125/(A125*24))/F125,IF(D125="marché libre",(C125/(A125*24))/G125,"spécifier histo"))</f>
        <v>0.277294685990338</v>
      </c>
      <c r="F125" s="9" t="n">
        <v>115</v>
      </c>
      <c r="G125" s="9" t="n">
        <f aca="false">F125-H125</f>
        <v>115</v>
      </c>
      <c r="H125" s="9" t="n">
        <v>0</v>
      </c>
      <c r="I125" s="26"/>
      <c r="J125" s="103"/>
      <c r="K125" s="103"/>
      <c r="P125" s="0"/>
    </row>
    <row r="126" customFormat="false" ht="13.5" hidden="false" customHeight="true" outlineLevel="0" collapsed="false">
      <c r="A126" s="0" t="n">
        <v>31</v>
      </c>
      <c r="B126" s="31" t="n">
        <v>39630</v>
      </c>
      <c r="C126" s="104" t="n">
        <v>7920</v>
      </c>
      <c r="D126" s="29" t="s">
        <v>42</v>
      </c>
      <c r="E126" s="33" t="n">
        <f aca="false">IF(D126="totale",(C126/(A126*24))/F126,IF(D126="marché libre",(C126/(A126*24))/G126,"spécifier histo"))</f>
        <v>0.0925666199158485</v>
      </c>
      <c r="F126" s="9" t="n">
        <v>115</v>
      </c>
      <c r="G126" s="9" t="n">
        <f aca="false">F126-H126</f>
        <v>115</v>
      </c>
      <c r="H126" s="9" t="n">
        <v>0</v>
      </c>
      <c r="I126" s="26"/>
      <c r="J126" s="103"/>
      <c r="K126" s="103"/>
      <c r="P126" s="0"/>
    </row>
    <row r="127" customFormat="false" ht="13.5" hidden="false" customHeight="true" outlineLevel="0" collapsed="false">
      <c r="A127" s="0" t="n">
        <v>31</v>
      </c>
      <c r="B127" s="34" t="n">
        <v>39661</v>
      </c>
      <c r="C127" s="104" t="n">
        <v>0</v>
      </c>
      <c r="D127" s="29" t="s">
        <v>42</v>
      </c>
      <c r="E127" s="33" t="e">
        <f aca="false">IF(D127="totale",(C127/(A127*24))/F127,IF(D127="marché libre",(C127/(A127*24))/G127,"spécifier histo"))</f>
        <v>#DIV/0!</v>
      </c>
      <c r="F127" s="9" t="n">
        <v>0</v>
      </c>
      <c r="G127" s="9" t="n">
        <f aca="false">F127-H127</f>
        <v>0</v>
      </c>
      <c r="H127" s="9" t="n">
        <v>0</v>
      </c>
      <c r="I127" s="26" t="s">
        <v>98</v>
      </c>
      <c r="J127" s="107" t="s">
        <v>100</v>
      </c>
      <c r="K127" s="103"/>
      <c r="P127" s="0"/>
    </row>
    <row r="128" customFormat="false" ht="13.5" hidden="false" customHeight="true" outlineLevel="0" collapsed="false">
      <c r="A128" s="0" t="n">
        <v>30</v>
      </c>
      <c r="B128" s="31" t="n">
        <v>39692</v>
      </c>
      <c r="C128" s="104" t="n">
        <v>0</v>
      </c>
      <c r="D128" s="29" t="s">
        <v>42</v>
      </c>
      <c r="E128" s="33" t="e">
        <f aca="false">IF(D128="totale",(C128/(A128*24))/F128,IF(D128="marché libre",(C128/(A128*24))/G128,"spécifier histo"))</f>
        <v>#DIV/0!</v>
      </c>
      <c r="F128" s="9" t="n">
        <v>0</v>
      </c>
      <c r="G128" s="9" t="n">
        <f aca="false">F128-H128</f>
        <v>0</v>
      </c>
      <c r="H128" s="9" t="n">
        <v>0</v>
      </c>
      <c r="I128" s="26" t="s">
        <v>98</v>
      </c>
      <c r="J128" s="107" t="s">
        <v>100</v>
      </c>
      <c r="K128" s="103"/>
      <c r="P128" s="0"/>
    </row>
    <row r="129" customFormat="false" ht="13.5" hidden="false" customHeight="true" outlineLevel="0" collapsed="false">
      <c r="A129" s="0" t="n">
        <v>31</v>
      </c>
      <c r="B129" s="34" t="n">
        <v>39722</v>
      </c>
      <c r="C129" s="104" t="n">
        <v>0</v>
      </c>
      <c r="D129" s="29" t="s">
        <v>42</v>
      </c>
      <c r="E129" s="33" t="e">
        <f aca="false">IF(D129="totale",(C129/(A129*24))/F129,IF(D129="marché libre",(C129/(A129*24))/G129,"spécifier histo"))</f>
        <v>#DIV/0!</v>
      </c>
      <c r="F129" s="9" t="n">
        <v>0</v>
      </c>
      <c r="G129" s="9" t="n">
        <f aca="false">F129-H129</f>
        <v>0</v>
      </c>
      <c r="H129" s="9" t="n">
        <v>0</v>
      </c>
      <c r="I129" s="26" t="s">
        <v>98</v>
      </c>
      <c r="J129" s="107" t="s">
        <v>100</v>
      </c>
      <c r="K129" s="103"/>
      <c r="P129" s="0"/>
    </row>
    <row r="130" customFormat="false" ht="13.5" hidden="false" customHeight="true" outlineLevel="0" collapsed="false">
      <c r="A130" s="0" t="n">
        <v>30</v>
      </c>
      <c r="B130" s="31" t="n">
        <v>39753</v>
      </c>
      <c r="C130" s="104" t="n">
        <v>0</v>
      </c>
      <c r="D130" s="29" t="s">
        <v>42</v>
      </c>
      <c r="E130" s="33" t="e">
        <f aca="false">IF(D130="totale",(C130/(A130*24))/F130,IF(D130="marché libre",(C130/(A130*24))/G130,"spécifier histo"))</f>
        <v>#DIV/0!</v>
      </c>
      <c r="F130" s="9" t="n">
        <v>0</v>
      </c>
      <c r="G130" s="9" t="n">
        <f aca="false">F130-H130</f>
        <v>0</v>
      </c>
      <c r="H130" s="9" t="n">
        <v>0</v>
      </c>
      <c r="I130" s="26" t="s">
        <v>98</v>
      </c>
      <c r="J130" s="107" t="s">
        <v>100</v>
      </c>
      <c r="K130" s="103"/>
      <c r="P130" s="0"/>
    </row>
    <row r="131" customFormat="false" ht="13.5" hidden="false" customHeight="true" outlineLevel="0" collapsed="false">
      <c r="A131" s="0" t="n">
        <v>31</v>
      </c>
      <c r="B131" s="34" t="n">
        <v>39783</v>
      </c>
      <c r="C131" s="104" t="n">
        <v>0</v>
      </c>
      <c r="D131" s="29" t="s">
        <v>42</v>
      </c>
      <c r="E131" s="33" t="e">
        <f aca="false">IF(D131="totale",(C131/(A131*24))/F131,IF(D131="marché libre",(C131/(A131*24))/G131,"spécifier histo"))</f>
        <v>#DIV/0!</v>
      </c>
      <c r="F131" s="9" t="n">
        <v>0</v>
      </c>
      <c r="G131" s="9" t="n">
        <f aca="false">F131-H131</f>
        <v>0</v>
      </c>
      <c r="H131" s="9" t="n">
        <v>0</v>
      </c>
      <c r="I131" s="26" t="s">
        <v>98</v>
      </c>
      <c r="J131" s="107" t="s">
        <v>100</v>
      </c>
      <c r="K131" s="103"/>
      <c r="P131" s="0"/>
    </row>
    <row r="132" customFormat="false" ht="13.5" hidden="false" customHeight="true" outlineLevel="0" collapsed="false">
      <c r="A132" s="0" t="n">
        <v>31</v>
      </c>
      <c r="B132" s="31" t="n">
        <v>39814</v>
      </c>
      <c r="C132" s="104" t="n">
        <v>0</v>
      </c>
      <c r="D132" s="29" t="s">
        <v>42</v>
      </c>
      <c r="E132" s="33" t="e">
        <f aca="false">IF(D132="totale",(C132/(A132*24))/F132,IF(D132="marché libre",(C132/(A132*24))/G132,"spécifier histo"))</f>
        <v>#DIV/0!</v>
      </c>
      <c r="F132" s="9" t="n">
        <v>0</v>
      </c>
      <c r="G132" s="9" t="n">
        <f aca="false">F132-H132</f>
        <v>0</v>
      </c>
      <c r="H132" s="9" t="n">
        <v>0</v>
      </c>
      <c r="I132" s="26" t="s">
        <v>98</v>
      </c>
      <c r="J132" s="107" t="s">
        <v>100</v>
      </c>
      <c r="K132" s="103"/>
      <c r="P132" s="0"/>
    </row>
    <row r="133" customFormat="false" ht="13.5" hidden="false" customHeight="true" outlineLevel="0" collapsed="false">
      <c r="A133" s="0" t="n">
        <v>28</v>
      </c>
      <c r="B133" s="34" t="n">
        <v>39845</v>
      </c>
      <c r="C133" s="104" t="n">
        <v>34654</v>
      </c>
      <c r="D133" s="29" t="s">
        <v>42</v>
      </c>
      <c r="E133" s="33" t="n">
        <f aca="false">IF(D133="totale",(C133/(A133*24))/F133,IF(D133="marché libre",(C133/(A133*24))/G133,"spécifier histo"))</f>
        <v>0.44842132505176</v>
      </c>
      <c r="F133" s="9" t="n">
        <v>115</v>
      </c>
      <c r="G133" s="9" t="n">
        <f aca="false">F133-H133</f>
        <v>115</v>
      </c>
      <c r="H133" s="9" t="n">
        <v>0</v>
      </c>
      <c r="I133" s="26"/>
      <c r="J133" s="103"/>
      <c r="K133" s="103"/>
      <c r="P133" s="0"/>
    </row>
    <row r="134" customFormat="false" ht="13.5" hidden="false" customHeight="true" outlineLevel="0" collapsed="false">
      <c r="A134" s="0" t="n">
        <v>31</v>
      </c>
      <c r="B134" s="31" t="n">
        <v>39873</v>
      </c>
      <c r="C134" s="104" t="n">
        <v>36742</v>
      </c>
      <c r="D134" s="29" t="s">
        <v>42</v>
      </c>
      <c r="E134" s="33" t="n">
        <f aca="false">IF(D134="totale",(C134/(A134*24))/F134,IF(D134="marché libre",(C134/(A134*24))/G134,"spécifier histo"))</f>
        <v>0.4294296400187</v>
      </c>
      <c r="F134" s="9" t="n">
        <v>115</v>
      </c>
      <c r="G134" s="9" t="n">
        <f aca="false">F134-H134</f>
        <v>115</v>
      </c>
      <c r="H134" s="9" t="n">
        <v>0</v>
      </c>
      <c r="I134" s="26"/>
      <c r="J134" s="103"/>
      <c r="K134" s="103"/>
      <c r="P134" s="0"/>
    </row>
    <row r="135" customFormat="false" ht="13.5" hidden="false" customHeight="true" outlineLevel="0" collapsed="false">
      <c r="A135" s="0" t="n">
        <v>30</v>
      </c>
      <c r="B135" s="34" t="n">
        <v>39904</v>
      </c>
      <c r="C135" s="104" t="n">
        <v>30760</v>
      </c>
      <c r="D135" s="29" t="s">
        <v>42</v>
      </c>
      <c r="E135" s="33" t="n">
        <f aca="false">IF(D135="totale",(C135/(A135*24))/F135,IF(D135="marché libre",(C135/(A135*24))/G135,"spécifier histo"))</f>
        <v>0.371497584541063</v>
      </c>
      <c r="F135" s="9" t="n">
        <v>115</v>
      </c>
      <c r="G135" s="9" t="n">
        <f aca="false">F135-H135</f>
        <v>115</v>
      </c>
      <c r="H135" s="9" t="n">
        <v>0</v>
      </c>
      <c r="I135" s="26"/>
      <c r="J135" s="103"/>
      <c r="K135" s="103"/>
      <c r="P135" s="0"/>
    </row>
    <row r="136" customFormat="false" ht="13.5" hidden="false" customHeight="true" outlineLevel="0" collapsed="false">
      <c r="A136" s="0" t="n">
        <v>31</v>
      </c>
      <c r="B136" s="31" t="n">
        <v>39934</v>
      </c>
      <c r="C136" s="104" t="n">
        <v>30278</v>
      </c>
      <c r="D136" s="29" t="s">
        <v>42</v>
      </c>
      <c r="E136" s="33" t="n">
        <f aca="false">IF(D136="totale",(C136/(A136*24))/F136,IF(D136="marché libre",(C136/(A136*24))/G136,"spécifier histo"))</f>
        <v>0.353880317905563</v>
      </c>
      <c r="F136" s="9" t="n">
        <v>115</v>
      </c>
      <c r="G136" s="9" t="n">
        <f aca="false">F136-H136</f>
        <v>115</v>
      </c>
      <c r="H136" s="9" t="n">
        <v>0</v>
      </c>
      <c r="I136" s="26"/>
      <c r="J136" s="103"/>
      <c r="K136" s="103"/>
      <c r="P136" s="0"/>
    </row>
    <row r="137" customFormat="false" ht="13.5" hidden="false" customHeight="true" outlineLevel="0" collapsed="false">
      <c r="A137" s="0" t="n">
        <v>30</v>
      </c>
      <c r="B137" s="34" t="n">
        <v>39965</v>
      </c>
      <c r="C137" s="104" t="n">
        <v>15616</v>
      </c>
      <c r="D137" s="29" t="s">
        <v>42</v>
      </c>
      <c r="E137" s="33" t="n">
        <f aca="false">IF(D137="totale",(C137/(A137*24))/F137,IF(D137="marché libre",(C137/(A137*24))/G137,"spécifier histo"))</f>
        <v>0.188599033816425</v>
      </c>
      <c r="F137" s="9" t="n">
        <v>115</v>
      </c>
      <c r="G137" s="9" t="n">
        <f aca="false">F137-H137</f>
        <v>115</v>
      </c>
      <c r="H137" s="9" t="n">
        <v>0</v>
      </c>
      <c r="I137" s="26"/>
      <c r="J137" s="103"/>
      <c r="K137" s="103"/>
      <c r="P137" s="0"/>
    </row>
    <row r="138" customFormat="false" ht="13.5" hidden="false" customHeight="true" outlineLevel="0" collapsed="false">
      <c r="A138" s="0" t="n">
        <v>31</v>
      </c>
      <c r="B138" s="31" t="n">
        <v>39995</v>
      </c>
      <c r="C138" s="104" t="n">
        <v>378</v>
      </c>
      <c r="D138" s="29" t="s">
        <v>42</v>
      </c>
      <c r="E138" s="33" t="n">
        <f aca="false">IF(D138="totale",(C138/(A138*24))/F138,IF(D138="marché libre",(C138/(A138*24))/G138,"spécifier histo"))</f>
        <v>0.0044179523141655</v>
      </c>
      <c r="F138" s="9" t="n">
        <v>115</v>
      </c>
      <c r="G138" s="9" t="n">
        <f aca="false">F138-H138</f>
        <v>115</v>
      </c>
      <c r="H138" s="9" t="n">
        <v>0</v>
      </c>
      <c r="I138" s="26"/>
      <c r="J138" s="103"/>
      <c r="K138" s="103"/>
      <c r="P138" s="0"/>
    </row>
    <row r="139" customFormat="false" ht="13.5" hidden="false" customHeight="true" outlineLevel="0" collapsed="false">
      <c r="A139" s="0" t="n">
        <v>31</v>
      </c>
      <c r="B139" s="34" t="n">
        <v>40026</v>
      </c>
      <c r="C139" s="104" t="n">
        <v>1707</v>
      </c>
      <c r="D139" s="29" t="s">
        <v>42</v>
      </c>
      <c r="E139" s="33" t="n">
        <f aca="false">IF(D139="totale",(C139/(A139*24))/F139,IF(D139="marché libre",(C139/(A139*24))/G139,"spécifier histo"))</f>
        <v>0.0199509116409537</v>
      </c>
      <c r="F139" s="9" t="n">
        <v>115</v>
      </c>
      <c r="G139" s="9" t="n">
        <f aca="false">F139-H139</f>
        <v>115</v>
      </c>
      <c r="H139" s="9" t="n">
        <v>0</v>
      </c>
      <c r="I139" s="26"/>
      <c r="J139" s="103"/>
      <c r="K139" s="103"/>
      <c r="P139" s="0"/>
    </row>
    <row r="140" customFormat="false" ht="13.5" hidden="false" customHeight="true" outlineLevel="0" collapsed="false">
      <c r="A140" s="0" t="n">
        <v>30</v>
      </c>
      <c r="B140" s="31" t="n">
        <v>40057</v>
      </c>
      <c r="C140" s="104" t="n">
        <v>1140</v>
      </c>
      <c r="D140" s="29" t="s">
        <v>42</v>
      </c>
      <c r="E140" s="33" t="n">
        <f aca="false">IF(D140="totale",(C140/(A140*24))/F140,IF(D140="marché libre",(C140/(A140*24))/G140,"spécifier histo"))</f>
        <v>0.013768115942029</v>
      </c>
      <c r="F140" s="9" t="n">
        <v>115</v>
      </c>
      <c r="G140" s="9" t="n">
        <f aca="false">F140-H140</f>
        <v>115</v>
      </c>
      <c r="H140" s="9" t="n">
        <v>0</v>
      </c>
      <c r="I140" s="26"/>
      <c r="J140" s="103"/>
      <c r="K140" s="103"/>
      <c r="P140" s="0"/>
    </row>
    <row r="141" customFormat="false" ht="13.5" hidden="false" customHeight="true" outlineLevel="0" collapsed="false">
      <c r="A141" s="0" t="n">
        <v>31</v>
      </c>
      <c r="B141" s="34" t="n">
        <v>40087</v>
      </c>
      <c r="C141" s="104" t="n">
        <v>2090</v>
      </c>
      <c r="D141" s="29" t="s">
        <v>42</v>
      </c>
      <c r="E141" s="33" t="n">
        <f aca="false">IF(D141="totale",(C141/(A141*24))/F141,IF(D141="marché libre",(C141/(A141*24))/G141,"spécifier histo"))</f>
        <v>0.0244273024777934</v>
      </c>
      <c r="F141" s="9" t="n">
        <v>115</v>
      </c>
      <c r="G141" s="9" t="n">
        <f aca="false">F141-H141</f>
        <v>115</v>
      </c>
      <c r="H141" s="9" t="n">
        <v>0</v>
      </c>
      <c r="I141" s="26"/>
      <c r="J141" s="103"/>
      <c r="K141" s="103"/>
      <c r="P141" s="0"/>
    </row>
    <row r="142" customFormat="false" ht="13.5" hidden="false" customHeight="true" outlineLevel="0" collapsed="false">
      <c r="A142" s="0" t="n">
        <v>30</v>
      </c>
      <c r="B142" s="31" t="n">
        <v>40118</v>
      </c>
      <c r="C142" s="104" t="n">
        <v>14485</v>
      </c>
      <c r="D142" s="29" t="s">
        <v>42</v>
      </c>
      <c r="E142" s="33" t="n">
        <f aca="false">IF(D142="totale",(C142/(A142*24))/F142,IF(D142="marché libre",(C142/(A142*24))/G142,"spécifier histo"))</f>
        <v>0.17493961352657</v>
      </c>
      <c r="F142" s="9" t="n">
        <v>115</v>
      </c>
      <c r="G142" s="9" t="n">
        <f aca="false">F142-H142</f>
        <v>115</v>
      </c>
      <c r="H142" s="9" t="n">
        <v>0</v>
      </c>
      <c r="I142" s="26"/>
      <c r="J142" s="103"/>
      <c r="K142" s="103"/>
      <c r="P142" s="0"/>
    </row>
    <row r="143" customFormat="false" ht="13.5" hidden="false" customHeight="true" outlineLevel="0" collapsed="false">
      <c r="A143" s="0" t="n">
        <v>31</v>
      </c>
      <c r="B143" s="34" t="n">
        <v>40148</v>
      </c>
      <c r="C143" s="104" t="n">
        <v>32788</v>
      </c>
      <c r="D143" s="29" t="s">
        <v>42</v>
      </c>
      <c r="E143" s="33" t="n">
        <f aca="false">IF(D143="totale",(C143/(A143*24))/F143,IF(D143="marché libre",(C143/(A143*24))/G143,"spécifier histo"))</f>
        <v>0.383216456287985</v>
      </c>
      <c r="F143" s="9" t="n">
        <v>115</v>
      </c>
      <c r="G143" s="9" t="n">
        <f aca="false">F143-H143</f>
        <v>115</v>
      </c>
      <c r="H143" s="9" t="n">
        <v>0</v>
      </c>
      <c r="I143" s="26"/>
      <c r="J143" s="103"/>
      <c r="K143" s="103"/>
    </row>
    <row r="144" customFormat="false" ht="13.5" hidden="false" customHeight="true" outlineLevel="0" collapsed="false">
      <c r="A144" s="0" t="n">
        <v>31</v>
      </c>
      <c r="B144" s="31" t="n">
        <v>40179</v>
      </c>
      <c r="C144" s="104" t="n">
        <v>31249</v>
      </c>
      <c r="D144" s="29" t="s">
        <v>42</v>
      </c>
      <c r="E144" s="33" t="n">
        <f aca="false">IF(D144="totale",(C144/(A144*24))/F144,IF(D144="marché libre",(C144/(A144*24))/G144,"spécifier histo"))</f>
        <v>0.365229079008883</v>
      </c>
      <c r="F144" s="9" t="n">
        <v>115</v>
      </c>
      <c r="G144" s="9" t="n">
        <f aca="false">F144-H144</f>
        <v>115</v>
      </c>
      <c r="H144" s="9" t="n">
        <v>0</v>
      </c>
      <c r="I144" s="26"/>
      <c r="J144" s="103"/>
      <c r="K144" s="103"/>
    </row>
    <row r="145" customFormat="false" ht="13.5" hidden="false" customHeight="true" outlineLevel="0" collapsed="false">
      <c r="A145" s="0" t="n">
        <v>28</v>
      </c>
      <c r="B145" s="34" t="n">
        <v>40210</v>
      </c>
      <c r="C145" s="104" t="n">
        <v>33180</v>
      </c>
      <c r="D145" s="29" t="s">
        <v>42</v>
      </c>
      <c r="E145" s="33" t="n">
        <f aca="false">IF(D145="totale",(C145/(A145*24))/F145,IF(D145="marché libre",(C145/(A145*24))/G145,"spécifier histo"))</f>
        <v>0.429347826086957</v>
      </c>
      <c r="F145" s="9" t="n">
        <v>115</v>
      </c>
      <c r="G145" s="9" t="n">
        <f aca="false">F145-H145</f>
        <v>115</v>
      </c>
      <c r="H145" s="9" t="n">
        <v>0</v>
      </c>
      <c r="I145" s="26"/>
      <c r="J145" s="103"/>
      <c r="K145" s="103"/>
    </row>
    <row r="146" customFormat="false" ht="13.5" hidden="false" customHeight="true" outlineLevel="0" collapsed="false">
      <c r="A146" s="0" t="n">
        <v>31</v>
      </c>
      <c r="B146" s="31" t="n">
        <v>40238</v>
      </c>
      <c r="C146" s="104" t="n">
        <v>40072</v>
      </c>
      <c r="D146" s="29" t="s">
        <v>42</v>
      </c>
      <c r="E146" s="33" t="n">
        <f aca="false">IF(D146="totale",(C146/(A146*24))/F146,IF(D146="marché libre",(C146/(A146*24))/G146,"spécifier histo"))</f>
        <v>0.468349696119682</v>
      </c>
      <c r="F146" s="9" t="n">
        <v>115</v>
      </c>
      <c r="G146" s="9" t="n">
        <f aca="false">F146-H146</f>
        <v>115</v>
      </c>
      <c r="H146" s="9" t="n">
        <v>0</v>
      </c>
      <c r="I146" s="26"/>
      <c r="J146" s="103"/>
      <c r="K146" s="103"/>
    </row>
    <row r="147" customFormat="false" ht="13.5" hidden="false" customHeight="true" outlineLevel="0" collapsed="false">
      <c r="A147" s="0" t="n">
        <v>30</v>
      </c>
      <c r="B147" s="34" t="n">
        <v>40269</v>
      </c>
      <c r="C147" s="104" t="n">
        <v>31985</v>
      </c>
      <c r="D147" s="29" t="s">
        <v>42</v>
      </c>
      <c r="E147" s="33" t="n">
        <f aca="false">IF(D147="totale",(C147/(A147*24))/F147,IF(D147="marché libre",(C147/(A147*24))/G147,"spécifier histo"))</f>
        <v>0.386292270531401</v>
      </c>
      <c r="F147" s="9" t="n">
        <v>115</v>
      </c>
      <c r="G147" s="9" t="n">
        <f aca="false">F147-H147</f>
        <v>115</v>
      </c>
      <c r="H147" s="9" t="n">
        <v>0</v>
      </c>
      <c r="I147" s="26"/>
      <c r="J147" s="0"/>
      <c r="K147" s="103"/>
    </row>
    <row r="148" customFormat="false" ht="13.5" hidden="false" customHeight="true" outlineLevel="0" collapsed="false">
      <c r="A148" s="0" t="n">
        <v>31</v>
      </c>
      <c r="B148" s="31" t="n">
        <v>40299</v>
      </c>
      <c r="C148" s="104" t="n">
        <v>11265</v>
      </c>
      <c r="D148" s="29" t="s">
        <v>42</v>
      </c>
      <c r="E148" s="33" t="n">
        <f aca="false">IF(D148="totale",(C148/(A148*24))/F148,IF(D148="marché libre",(C148/(A148*24))/G148,"spécifier histo"))</f>
        <v>0.131661991584853</v>
      </c>
      <c r="F148" s="9" t="n">
        <v>115</v>
      </c>
      <c r="G148" s="9" t="n">
        <f aca="false">F148-H148</f>
        <v>115</v>
      </c>
      <c r="H148" s="9" t="n">
        <v>0</v>
      </c>
      <c r="I148" s="26"/>
      <c r="J148" s="103"/>
      <c r="K148" s="103"/>
    </row>
    <row r="149" customFormat="false" ht="13.5" hidden="false" customHeight="true" outlineLevel="0" collapsed="false">
      <c r="A149" s="0" t="n">
        <v>30</v>
      </c>
      <c r="B149" s="34" t="n">
        <v>40330</v>
      </c>
      <c r="C149" s="104" t="n">
        <v>1693</v>
      </c>
      <c r="D149" s="29" t="s">
        <v>42</v>
      </c>
      <c r="E149" s="33" t="n">
        <f aca="false">IF(D149="totale",(C149/(A149*24))/F149,IF(D149="marché libre",(C149/(A149*24))/G149,"spécifier histo"))</f>
        <v>0.0204468599033816</v>
      </c>
      <c r="F149" s="9" t="n">
        <v>115</v>
      </c>
      <c r="G149" s="9" t="n">
        <f aca="false">F149-H149</f>
        <v>115</v>
      </c>
      <c r="H149" s="9" t="n">
        <v>0</v>
      </c>
      <c r="I149" s="26"/>
      <c r="J149" s="103"/>
      <c r="K149" s="103"/>
    </row>
    <row r="150" customFormat="false" ht="13.5" hidden="false" customHeight="true" outlineLevel="0" collapsed="false">
      <c r="A150" s="0" t="n">
        <v>31</v>
      </c>
      <c r="B150" s="31" t="n">
        <v>40360</v>
      </c>
      <c r="C150" s="104" t="n">
        <v>1039</v>
      </c>
      <c r="D150" s="29" t="s">
        <v>42</v>
      </c>
      <c r="E150" s="33" t="n">
        <f aca="false">IF(D150="totale",(C150/(A150*24))/F150,IF(D150="marché libre",(C150/(A150*24))/G150,"spécifier histo"))</f>
        <v>0.0121435250116877</v>
      </c>
      <c r="F150" s="9" t="n">
        <v>115</v>
      </c>
      <c r="G150" s="9" t="n">
        <f aca="false">F150-H150</f>
        <v>115</v>
      </c>
      <c r="H150" s="9" t="n">
        <v>0</v>
      </c>
      <c r="I150" s="26"/>
      <c r="J150" s="103"/>
      <c r="K150" s="103"/>
    </row>
    <row r="151" customFormat="false" ht="13.5" hidden="false" customHeight="true" outlineLevel="0" collapsed="false">
      <c r="A151" s="0" t="n">
        <v>31</v>
      </c>
      <c r="B151" s="34" t="n">
        <v>40391</v>
      </c>
      <c r="C151" s="104" t="n">
        <v>7860</v>
      </c>
      <c r="D151" s="29" t="s">
        <v>42</v>
      </c>
      <c r="E151" s="33" t="n">
        <f aca="false">IF(D151="totale",(C151/(A151*24))/F151,IF(D151="marché libre",(C151/(A151*24))/G151,"spécifier histo"))</f>
        <v>0.0918653576437588</v>
      </c>
      <c r="F151" s="9" t="n">
        <v>115</v>
      </c>
      <c r="G151" s="9" t="n">
        <f aca="false">F151-H151</f>
        <v>115</v>
      </c>
      <c r="H151" s="9" t="n">
        <v>0</v>
      </c>
      <c r="I151" s="26"/>
      <c r="J151" s="103"/>
      <c r="K151" s="103"/>
    </row>
    <row r="152" customFormat="false" ht="13.5" hidden="false" customHeight="true" outlineLevel="0" collapsed="false">
      <c r="A152" s="0" t="n">
        <v>30</v>
      </c>
      <c r="B152" s="31" t="n">
        <v>40422</v>
      </c>
      <c r="C152" s="104" t="n">
        <v>5217</v>
      </c>
      <c r="D152" s="29" t="s">
        <v>42</v>
      </c>
      <c r="E152" s="33" t="n">
        <f aca="false">IF(D152="totale",(C152/(A152*24))/F152,IF(D152="marché libre",(C152/(A152*24))/G152,"spécifier histo"))</f>
        <v>0.0630072463768116</v>
      </c>
      <c r="F152" s="9" t="n">
        <v>115</v>
      </c>
      <c r="G152" s="9" t="n">
        <f aca="false">F152-H152</f>
        <v>115</v>
      </c>
      <c r="H152" s="9" t="n">
        <v>0</v>
      </c>
      <c r="I152" s="26"/>
      <c r="J152" s="103"/>
      <c r="K152" s="103"/>
    </row>
    <row r="153" customFormat="false" ht="13.5" hidden="false" customHeight="true" outlineLevel="0" collapsed="false">
      <c r="A153" s="0" t="n">
        <v>31</v>
      </c>
      <c r="B153" s="34" t="n">
        <v>40452</v>
      </c>
      <c r="C153" s="104" t="n">
        <v>1075</v>
      </c>
      <c r="D153" s="29" t="s">
        <v>42</v>
      </c>
      <c r="E153" s="33" t="n">
        <f aca="false">IF(D153="totale",(C153/(A153*24))/F153,IF(D153="marché libre",(C153/(A153*24))/G153,"spécifier histo"))</f>
        <v>0.0125642823749416</v>
      </c>
      <c r="F153" s="9" t="n">
        <v>115</v>
      </c>
      <c r="G153" s="9" t="n">
        <f aca="false">F153-H153</f>
        <v>115</v>
      </c>
      <c r="H153" s="9" t="n">
        <v>0</v>
      </c>
      <c r="I153" s="26"/>
      <c r="J153" s="103"/>
      <c r="K153" s="103"/>
    </row>
    <row r="154" customFormat="false" ht="13.5" hidden="false" customHeight="true" outlineLevel="0" collapsed="false">
      <c r="A154" s="0" t="n">
        <v>30</v>
      </c>
      <c r="B154" s="31" t="n">
        <v>40483</v>
      </c>
      <c r="C154" s="104" t="n">
        <v>18420</v>
      </c>
      <c r="D154" s="29" t="s">
        <v>42</v>
      </c>
      <c r="E154" s="33" t="n">
        <f aca="false">IF(D154="totale",(C154/(A154*24))/F154,IF(D154="marché libre",(C154/(A154*24))/G154,"spécifier histo"))</f>
        <v>0.222463768115942</v>
      </c>
      <c r="F154" s="9" t="n">
        <v>115</v>
      </c>
      <c r="G154" s="9" t="n">
        <f aca="false">F154-H154</f>
        <v>115</v>
      </c>
      <c r="H154" s="9" t="n">
        <v>0</v>
      </c>
      <c r="I154" s="26"/>
      <c r="J154" s="103"/>
      <c r="K154" s="103"/>
    </row>
    <row r="155" customFormat="false" ht="13.5" hidden="false" customHeight="true" outlineLevel="0" collapsed="false">
      <c r="A155" s="0" t="n">
        <v>31</v>
      </c>
      <c r="B155" s="34" t="n">
        <v>40513</v>
      </c>
      <c r="C155" s="104" t="n">
        <v>31042</v>
      </c>
      <c r="D155" s="29" t="s">
        <v>42</v>
      </c>
      <c r="E155" s="33" t="n">
        <f aca="false">IF(D155="totale",(C155/(A155*24))/F155,IF(D155="marché libre",(C155/(A155*24))/G155,"spécifier histo"))</f>
        <v>0.362809724170173</v>
      </c>
      <c r="F155" s="9" t="n">
        <v>115</v>
      </c>
      <c r="G155" s="9" t="n">
        <f aca="false">F155-H155</f>
        <v>115</v>
      </c>
      <c r="H155" s="9" t="n">
        <v>0</v>
      </c>
      <c r="I155" s="26"/>
      <c r="J155" s="103"/>
      <c r="K155" s="103"/>
    </row>
    <row r="156" customFormat="false" ht="13.5" hidden="false" customHeight="true" outlineLevel="0" collapsed="false">
      <c r="A156" s="0" t="n">
        <v>31</v>
      </c>
      <c r="B156" s="31" t="n">
        <v>40544</v>
      </c>
      <c r="C156" s="104" t="n">
        <v>5611</v>
      </c>
      <c r="D156" s="29" t="s">
        <v>42</v>
      </c>
      <c r="E156" s="33" t="n">
        <f aca="false">IF(D156="totale",(C156/(A156*24))/F156,IF(D156="marché libre",(C156/(A156*24))/G156,"spécifier histo"))</f>
        <v>0.0655797101449275</v>
      </c>
      <c r="F156" s="9" t="n">
        <v>115</v>
      </c>
      <c r="G156" s="9" t="n">
        <f aca="false">F156-H156</f>
        <v>115</v>
      </c>
      <c r="H156" s="9" t="n">
        <v>0</v>
      </c>
      <c r="I156" s="26"/>
      <c r="J156" s="103"/>
      <c r="K156" s="103"/>
    </row>
    <row r="157" customFormat="false" ht="13.5" hidden="false" customHeight="true" outlineLevel="0" collapsed="false">
      <c r="A157" s="0" t="n">
        <v>28</v>
      </c>
      <c r="B157" s="34" t="n">
        <v>40575</v>
      </c>
      <c r="C157" s="104" t="n">
        <v>0</v>
      </c>
      <c r="D157" s="29" t="s">
        <v>42</v>
      </c>
      <c r="E157" s="33" t="e">
        <f aca="false">IF(D157="totale",(C157/(A157*24))/F157,IF(D157="marché libre",(C157/(A157*24))/G157,"spécifier histo"))</f>
        <v>#DIV/0!</v>
      </c>
      <c r="F157" s="9" t="n">
        <v>0</v>
      </c>
      <c r="G157" s="9" t="n">
        <v>0</v>
      </c>
      <c r="H157" s="9" t="n">
        <v>0</v>
      </c>
      <c r="I157" s="26" t="s">
        <v>98</v>
      </c>
      <c r="J157" s="103" t="s">
        <v>101</v>
      </c>
      <c r="K157" s="103"/>
    </row>
    <row r="158" customFormat="false" ht="13.5" hidden="false" customHeight="true" outlineLevel="0" collapsed="false">
      <c r="A158" s="0" t="n">
        <v>31</v>
      </c>
      <c r="B158" s="31" t="n">
        <v>40603</v>
      </c>
      <c r="C158" s="104" t="n">
        <v>26911</v>
      </c>
      <c r="D158" s="29" t="s">
        <v>42</v>
      </c>
      <c r="E158" s="33" t="n">
        <f aca="false">IF(D158="totale",(C158/(A158*24))/F158,IF(D158="marché libre",(C158/(A158*24))/G158,"spécifier histo"))</f>
        <v>0.314527816736793</v>
      </c>
      <c r="F158" s="9" t="n">
        <v>115</v>
      </c>
      <c r="G158" s="9" t="n">
        <f aca="false">F158-H158</f>
        <v>115</v>
      </c>
      <c r="H158" s="9" t="n">
        <v>0</v>
      </c>
      <c r="I158" s="26"/>
      <c r="J158" s="103"/>
      <c r="K158" s="103"/>
    </row>
    <row r="159" customFormat="false" ht="13.5" hidden="false" customHeight="true" outlineLevel="0" collapsed="false">
      <c r="A159" s="0" t="n">
        <v>30</v>
      </c>
      <c r="B159" s="34" t="n">
        <v>40634</v>
      </c>
      <c r="C159" s="104" t="n">
        <v>19446</v>
      </c>
      <c r="D159" s="29" t="s">
        <v>42</v>
      </c>
      <c r="E159" s="33" t="n">
        <f aca="false">IF(D159="totale",(C159/(A159*24))/F159,IF(D159="marché libre",(C159/(A159*24))/G159,"spécifier histo"))</f>
        <v>0.234855072463768</v>
      </c>
      <c r="F159" s="9" t="n">
        <v>115</v>
      </c>
      <c r="G159" s="9" t="n">
        <f aca="false">F159-H159</f>
        <v>115</v>
      </c>
      <c r="H159" s="9" t="n">
        <v>0</v>
      </c>
      <c r="I159" s="26"/>
      <c r="J159" s="103"/>
      <c r="K159" s="103"/>
    </row>
    <row r="160" customFormat="false" ht="13.5" hidden="false" customHeight="true" outlineLevel="0" collapsed="false">
      <c r="A160" s="0" t="n">
        <v>31</v>
      </c>
      <c r="B160" s="31" t="n">
        <v>40664</v>
      </c>
      <c r="C160" s="104" t="n">
        <v>6784</v>
      </c>
      <c r="D160" s="29" t="s">
        <v>42</v>
      </c>
      <c r="E160" s="33" t="n">
        <f aca="false">IF(D160="totale",(C160/(A160*24))/F160,IF(D160="marché libre",(C160/(A160*24))/G160,"spécifier histo"))</f>
        <v>0.0792893875642824</v>
      </c>
      <c r="F160" s="9" t="n">
        <v>115</v>
      </c>
      <c r="G160" s="9" t="n">
        <f aca="false">F160-H160</f>
        <v>115</v>
      </c>
      <c r="H160" s="9" t="n">
        <v>0</v>
      </c>
      <c r="I160" s="26"/>
      <c r="J160" s="103"/>
      <c r="K160" s="103"/>
    </row>
    <row r="161" customFormat="false" ht="13.5" hidden="false" customHeight="true" outlineLevel="0" collapsed="false">
      <c r="A161" s="0" t="n">
        <v>30</v>
      </c>
      <c r="B161" s="34" t="n">
        <v>40695</v>
      </c>
      <c r="C161" s="104" t="n">
        <v>2126</v>
      </c>
      <c r="D161" s="29" t="s">
        <v>42</v>
      </c>
      <c r="E161" s="33" t="n">
        <f aca="false">IF(D161="totale",(C161/(A161*24))/F161,IF(D161="marché libre",(C161/(A161*24))/G161,"spécifier histo"))</f>
        <v>0.0256763285024155</v>
      </c>
      <c r="F161" s="9" t="n">
        <v>115</v>
      </c>
      <c r="G161" s="9" t="n">
        <f aca="false">F161-H161</f>
        <v>115</v>
      </c>
      <c r="H161" s="9" t="n">
        <v>0</v>
      </c>
      <c r="I161" s="26"/>
      <c r="J161" s="103"/>
      <c r="K161" s="103"/>
    </row>
    <row r="162" customFormat="false" ht="13.5" hidden="false" customHeight="true" outlineLevel="0" collapsed="false">
      <c r="A162" s="0" t="n">
        <v>31</v>
      </c>
      <c r="B162" s="31" t="n">
        <v>40725</v>
      </c>
      <c r="C162" s="104" t="n">
        <v>487</v>
      </c>
      <c r="D162" s="29" t="s">
        <v>42</v>
      </c>
      <c r="E162" s="33" t="n">
        <f aca="false">IF(D162="totale",(C162/(A162*24))/F162,IF(D162="marché libre",(C162/(A162*24))/G162,"spécifier histo"))</f>
        <v>0.0056919121084619</v>
      </c>
      <c r="F162" s="9" t="n">
        <v>115</v>
      </c>
      <c r="G162" s="9" t="n">
        <f aca="false">F162-H162</f>
        <v>115</v>
      </c>
      <c r="H162" s="9" t="n">
        <v>0</v>
      </c>
      <c r="I162" s="26"/>
      <c r="J162" s="103"/>
      <c r="K162" s="103"/>
    </row>
    <row r="163" customFormat="false" ht="13.5" hidden="false" customHeight="true" outlineLevel="0" collapsed="false">
      <c r="A163" s="0" t="n">
        <v>31</v>
      </c>
      <c r="B163" s="34" t="n">
        <v>40756</v>
      </c>
      <c r="C163" s="104" t="n">
        <v>0</v>
      </c>
      <c r="D163" s="29" t="s">
        <v>42</v>
      </c>
      <c r="E163" s="33" t="e">
        <f aca="false">IF(D163="totale",(C163/(A163*24))/F163,IF(D163="marché libre",(C163/(A163*24))/G163,"spécifier histo"))</f>
        <v>#DIV/0!</v>
      </c>
      <c r="F163" s="9" t="n">
        <v>0</v>
      </c>
      <c r="G163" s="9" t="n">
        <f aca="false">F163-H163</f>
        <v>0</v>
      </c>
      <c r="H163" s="9" t="n">
        <v>0</v>
      </c>
      <c r="I163" s="26" t="s">
        <v>98</v>
      </c>
      <c r="J163" s="103" t="s">
        <v>102</v>
      </c>
      <c r="K163" s="103"/>
    </row>
    <row r="164" customFormat="false" ht="13.5" hidden="false" customHeight="true" outlineLevel="0" collapsed="false">
      <c r="A164" s="0" t="n">
        <v>30</v>
      </c>
      <c r="B164" s="31" t="n">
        <v>40787</v>
      </c>
      <c r="C164" s="104" t="n">
        <v>0</v>
      </c>
      <c r="D164" s="29" t="s">
        <v>42</v>
      </c>
      <c r="E164" s="33" t="e">
        <f aca="false">IF(D164="totale",(C164/(A164*24))/F164,IF(D164="marché libre",(C164/(A164*24))/G164,"spécifier histo"))</f>
        <v>#DIV/0!</v>
      </c>
      <c r="F164" s="9" t="n">
        <v>0</v>
      </c>
      <c r="G164" s="9" t="n">
        <f aca="false">F164-H164</f>
        <v>0</v>
      </c>
      <c r="H164" s="9" t="n">
        <v>0</v>
      </c>
      <c r="I164" s="26" t="s">
        <v>98</v>
      </c>
      <c r="J164" s="103" t="s">
        <v>102</v>
      </c>
      <c r="K164" s="103"/>
    </row>
    <row r="165" customFormat="false" ht="13.5" hidden="false" customHeight="true" outlineLevel="0" collapsed="false">
      <c r="A165" s="0" t="n">
        <v>31</v>
      </c>
      <c r="B165" s="34" t="n">
        <v>40817</v>
      </c>
      <c r="C165" s="104" t="n">
        <v>0</v>
      </c>
      <c r="D165" s="29" t="s">
        <v>42</v>
      </c>
      <c r="E165" s="33" t="e">
        <f aca="false">IF(D165="totale",(C165/(A165*24))/F165,IF(D165="marché libre",(C165/(A165*24))/G165,"spécifier histo"))</f>
        <v>#DIV/0!</v>
      </c>
      <c r="F165" s="9" t="n">
        <v>0</v>
      </c>
      <c r="G165" s="9" t="n">
        <f aca="false">F165-H165</f>
        <v>0</v>
      </c>
      <c r="H165" s="9" t="n">
        <v>0</v>
      </c>
      <c r="I165" s="26" t="s">
        <v>98</v>
      </c>
      <c r="J165" s="103" t="s">
        <v>102</v>
      </c>
      <c r="K165" s="103"/>
    </row>
    <row r="166" customFormat="false" ht="13.5" hidden="false" customHeight="true" outlineLevel="0" collapsed="false">
      <c r="A166" s="0" t="n">
        <v>30</v>
      </c>
      <c r="B166" s="31" t="n">
        <v>40848</v>
      </c>
      <c r="C166" s="104" t="n">
        <v>0</v>
      </c>
      <c r="D166" s="29" t="s">
        <v>42</v>
      </c>
      <c r="E166" s="33" t="e">
        <f aca="false">IF(D166="totale",(C166/(A166*24))/F166,IF(D166="marché libre",(C166/(A166*24))/G166,"spécifier histo"))</f>
        <v>#DIV/0!</v>
      </c>
      <c r="F166" s="9" t="n">
        <v>0</v>
      </c>
      <c r="G166" s="9" t="n">
        <f aca="false">F166-H166</f>
        <v>0</v>
      </c>
      <c r="H166" s="9" t="n">
        <v>0</v>
      </c>
      <c r="I166" s="26" t="s">
        <v>98</v>
      </c>
      <c r="J166" s="103" t="s">
        <v>102</v>
      </c>
      <c r="K166" s="103"/>
    </row>
    <row r="167" customFormat="false" ht="13.5" hidden="false" customHeight="true" outlineLevel="0" collapsed="false">
      <c r="A167" s="0" t="n">
        <v>31</v>
      </c>
      <c r="B167" s="34" t="n">
        <v>40878</v>
      </c>
      <c r="C167" s="104" t="n">
        <v>17555</v>
      </c>
      <c r="D167" s="29" t="s">
        <v>42</v>
      </c>
      <c r="E167" s="33" t="n">
        <f aca="false">IF(D167="totale",(C167/(A167*24))/F167,IF(D167="marché libre",(C167/(A167*24))/G167,"spécifier histo"))</f>
        <v>0.205177653108929</v>
      </c>
      <c r="F167" s="9" t="n">
        <v>115</v>
      </c>
      <c r="G167" s="9" t="n">
        <f aca="false">F167-H167</f>
        <v>115</v>
      </c>
      <c r="H167" s="9" t="n">
        <v>0</v>
      </c>
      <c r="J167" s="103"/>
      <c r="K167" s="103"/>
    </row>
    <row r="168" customFormat="false" ht="13.5" hidden="false" customHeight="true" outlineLevel="0" collapsed="false">
      <c r="A168" s="0" t="n">
        <v>31</v>
      </c>
      <c r="B168" s="31" t="n">
        <v>40909</v>
      </c>
      <c r="C168" s="104" t="n">
        <v>31194</v>
      </c>
      <c r="D168" s="29" t="s">
        <v>42</v>
      </c>
      <c r="E168" s="33" t="n">
        <f aca="false">IF(D168="totale",(C168/(A168*24))/F168,IF(D168="marché libre",(C168/(A168*24))/G168,"spécifier histo"))</f>
        <v>0.364586255259467</v>
      </c>
      <c r="F168" s="9" t="n">
        <v>115</v>
      </c>
      <c r="G168" s="9" t="n">
        <f aca="false">F168-H168</f>
        <v>115</v>
      </c>
      <c r="H168" s="9" t="n">
        <v>0</v>
      </c>
      <c r="J168" s="103"/>
      <c r="K168" s="103"/>
    </row>
    <row r="169" customFormat="false" ht="13.5" hidden="false" customHeight="true" outlineLevel="0" collapsed="false">
      <c r="A169" s="0" t="n">
        <v>28</v>
      </c>
      <c r="B169" s="34" t="n">
        <v>40940</v>
      </c>
      <c r="C169" s="104" t="n">
        <v>22192</v>
      </c>
      <c r="D169" s="29" t="s">
        <v>42</v>
      </c>
      <c r="E169" s="33" t="n">
        <f aca="false">IF(D169="totale",(C169/(A169*24))/F169,IF(D169="marché libre",(C169/(A169*24))/G169,"spécifier histo"))</f>
        <v>0.287163561076605</v>
      </c>
      <c r="F169" s="9" t="n">
        <v>115</v>
      </c>
      <c r="G169" s="9" t="n">
        <f aca="false">F169-H169</f>
        <v>115</v>
      </c>
      <c r="H169" s="9" t="n">
        <v>0</v>
      </c>
      <c r="J169" s="103"/>
      <c r="K169" s="103"/>
    </row>
    <row r="170" customFormat="false" ht="13.5" hidden="false" customHeight="true" outlineLevel="0" collapsed="false">
      <c r="A170" s="0" t="n">
        <v>31</v>
      </c>
      <c r="B170" s="31" t="n">
        <v>40969</v>
      </c>
      <c r="C170" s="104" t="n">
        <v>23889</v>
      </c>
      <c r="D170" s="29" t="s">
        <v>42</v>
      </c>
      <c r="E170" s="33" t="n">
        <f aca="false">IF(D170="totale",(C170/(A170*24))/F170,IF(D170="marché libre",(C170/(A170*24))/G170,"spécifier histo"))</f>
        <v>0.279207573632539</v>
      </c>
      <c r="F170" s="9" t="n">
        <v>115</v>
      </c>
      <c r="G170" s="9" t="n">
        <f aca="false">F170-H170</f>
        <v>115</v>
      </c>
      <c r="H170" s="9" t="n">
        <v>0</v>
      </c>
      <c r="J170" s="103"/>
      <c r="K170" s="103"/>
    </row>
    <row r="171" customFormat="false" ht="13.5" hidden="false" customHeight="true" outlineLevel="0" collapsed="false">
      <c r="A171" s="0" t="n">
        <v>30</v>
      </c>
      <c r="B171" s="34" t="n">
        <v>41000</v>
      </c>
      <c r="C171" s="104" t="n">
        <v>25135</v>
      </c>
      <c r="D171" s="29" t="s">
        <v>42</v>
      </c>
      <c r="E171" s="33" t="n">
        <f aca="false">IF(D171="totale",(C171/(A171*24))/F171,IF(D171="marché libre",(C171/(A171*24))/G171,"spécifier histo"))</f>
        <v>0.303562801932367</v>
      </c>
      <c r="F171" s="9" t="n">
        <v>115</v>
      </c>
      <c r="G171" s="9" t="n">
        <f aca="false">F171-H171</f>
        <v>115</v>
      </c>
      <c r="H171" s="9" t="n">
        <v>0</v>
      </c>
      <c r="J171" s="103"/>
      <c r="K171" s="103"/>
    </row>
    <row r="172" customFormat="false" ht="13.5" hidden="false" customHeight="true" outlineLevel="0" collapsed="false">
      <c r="A172" s="0" t="n">
        <v>31</v>
      </c>
      <c r="B172" s="31" t="n">
        <v>41030</v>
      </c>
      <c r="C172" s="104" t="n">
        <v>21783</v>
      </c>
      <c r="D172" s="29" t="s">
        <v>42</v>
      </c>
      <c r="E172" s="33" t="n">
        <f aca="false">IF(D172="totale",(C172/(A172*24))/F172,IF(D172="marché libre",(C172/(A172*24))/G172,"spécifier histo"))</f>
        <v>0.254593267882188</v>
      </c>
      <c r="F172" s="9" t="n">
        <v>115</v>
      </c>
      <c r="G172" s="9" t="n">
        <f aca="false">F172-H172</f>
        <v>115</v>
      </c>
      <c r="H172" s="9" t="n">
        <v>0</v>
      </c>
      <c r="J172" s="103"/>
      <c r="K172" s="103"/>
    </row>
    <row r="173" customFormat="false" ht="13.5" hidden="false" customHeight="true" outlineLevel="0" collapsed="false">
      <c r="A173" s="0" t="n">
        <v>30</v>
      </c>
      <c r="B173" s="34" t="n">
        <v>41061</v>
      </c>
      <c r="C173" s="104" t="n">
        <v>13664</v>
      </c>
      <c r="D173" s="29" t="s">
        <v>42</v>
      </c>
      <c r="E173" s="33" t="n">
        <f aca="false">IF(D173="totale",(C173/(A173*24))/F173,IF(D173="marché libre",(C173/(A173*24))/G173,"spécifier histo"))</f>
        <v>0.165024154589372</v>
      </c>
      <c r="F173" s="9" t="n">
        <v>115</v>
      </c>
      <c r="G173" s="9" t="n">
        <f aca="false">F173-H173</f>
        <v>115</v>
      </c>
      <c r="H173" s="9" t="n">
        <v>0</v>
      </c>
      <c r="J173" s="103"/>
      <c r="K173" s="103"/>
    </row>
    <row r="174" customFormat="false" ht="13.5" hidden="false" customHeight="true" outlineLevel="0" collapsed="false">
      <c r="A174" s="0" t="n">
        <v>31</v>
      </c>
      <c r="B174" s="31" t="n">
        <v>41091</v>
      </c>
      <c r="C174" s="104" t="n">
        <v>17859</v>
      </c>
      <c r="D174" s="29" t="s">
        <v>42</v>
      </c>
      <c r="E174" s="33" t="n">
        <f aca="false">IF(D174="totale",(C174/(A174*24))/F174,IF(D174="marché libre",(C174/(A174*24))/G174,"spécifier histo"))</f>
        <v>0.208730715287518</v>
      </c>
      <c r="F174" s="9" t="n">
        <v>115</v>
      </c>
      <c r="G174" s="9" t="n">
        <f aca="false">F174-H174</f>
        <v>115</v>
      </c>
      <c r="H174" s="9" t="n">
        <v>0</v>
      </c>
      <c r="J174" s="103"/>
      <c r="K174" s="103"/>
    </row>
    <row r="175" customFormat="false" ht="13.5" hidden="false" customHeight="true" outlineLevel="0" collapsed="false">
      <c r="A175" s="0" t="n">
        <v>31</v>
      </c>
      <c r="B175" s="34" t="n">
        <v>41122</v>
      </c>
      <c r="C175" s="104" t="n">
        <v>2757</v>
      </c>
      <c r="D175" s="29" t="s">
        <v>42</v>
      </c>
      <c r="E175" s="33" t="n">
        <f aca="false">IF(D175="totale",(C175/(A175*24))/F175,IF(D175="marché libre",(C175/(A175*24))/G175,"spécifier histo"))</f>
        <v>0.0322230014025245</v>
      </c>
      <c r="F175" s="9" t="n">
        <v>115</v>
      </c>
      <c r="G175" s="9" t="n">
        <f aca="false">F175-H175</f>
        <v>115</v>
      </c>
      <c r="H175" s="9" t="n">
        <v>0</v>
      </c>
      <c r="J175" s="103"/>
      <c r="K175" s="103"/>
    </row>
    <row r="176" customFormat="false" ht="13.5" hidden="false" customHeight="true" outlineLevel="0" collapsed="false">
      <c r="A176" s="0" t="n">
        <v>30</v>
      </c>
      <c r="B176" s="31" t="n">
        <v>41153</v>
      </c>
      <c r="C176" s="104" t="n">
        <v>3618</v>
      </c>
      <c r="D176" s="29" t="s">
        <v>42</v>
      </c>
      <c r="E176" s="33" t="n">
        <f aca="false">IF(D176="totale",(C176/(A176*24))/F176,IF(D176="marché libre",(C176/(A176*24))/G176,"spécifier histo"))</f>
        <v>0.043695652173913</v>
      </c>
      <c r="F176" s="9" t="n">
        <v>115</v>
      </c>
      <c r="G176" s="9" t="n">
        <f aca="false">F176-H176</f>
        <v>115</v>
      </c>
      <c r="H176" s="9" t="n">
        <v>0</v>
      </c>
      <c r="J176" s="103" t="s">
        <v>103</v>
      </c>
      <c r="K176" s="103"/>
    </row>
    <row r="177" customFormat="false" ht="13.5" hidden="false" customHeight="true" outlineLevel="0" collapsed="false">
      <c r="A177" s="0" t="n">
        <v>31</v>
      </c>
      <c r="B177" s="34" t="n">
        <v>41183</v>
      </c>
      <c r="C177" s="108" t="n">
        <v>11110</v>
      </c>
      <c r="D177" s="29" t="s">
        <v>42</v>
      </c>
      <c r="E177" s="33" t="n">
        <f aca="false">IF(D177="totale",(C177/(A177*24))/F177,IF(D177="marché libre",(C177/(A177*24))/G177,"spécifier histo"))</f>
        <v>0.129850397381954</v>
      </c>
      <c r="F177" s="9" t="n">
        <v>115</v>
      </c>
      <c r="G177" s="9" t="n">
        <f aca="false">F177-H177</f>
        <v>115</v>
      </c>
      <c r="H177" s="9" t="n">
        <v>0</v>
      </c>
      <c r="J177" s="103"/>
      <c r="K177" s="109" t="s">
        <v>104</v>
      </c>
    </row>
    <row r="178" customFormat="false" ht="13.5" hidden="false" customHeight="true" outlineLevel="0" collapsed="false">
      <c r="A178" s="0" t="n">
        <v>30</v>
      </c>
      <c r="B178" s="31" t="n">
        <v>41214</v>
      </c>
      <c r="C178" s="108" t="n">
        <v>13534</v>
      </c>
      <c r="D178" s="29" t="s">
        <v>42</v>
      </c>
      <c r="E178" s="33" t="n">
        <f aca="false">IF(D178="totale",(C178/(A178*24))/F178,IF(D178="marché libre",(C178/(A178*24))/G178,"spécifier histo"))</f>
        <v>0.163454106280193</v>
      </c>
      <c r="F178" s="9" t="n">
        <v>115</v>
      </c>
      <c r="G178" s="9" t="n">
        <f aca="false">F178-H178</f>
        <v>115</v>
      </c>
      <c r="H178" s="9" t="n">
        <v>0</v>
      </c>
      <c r="J178" s="103"/>
      <c r="K178" s="103"/>
    </row>
    <row r="179" customFormat="false" ht="13.5" hidden="false" customHeight="true" outlineLevel="0" collapsed="false">
      <c r="A179" s="0" t="n">
        <v>31</v>
      </c>
      <c r="B179" s="34" t="n">
        <v>41244</v>
      </c>
      <c r="C179" s="108" t="n">
        <v>20181</v>
      </c>
      <c r="D179" s="29" t="s">
        <v>42</v>
      </c>
      <c r="E179" s="33" t="n">
        <f aca="false">IF(D179="totale",(C179/(A179*24))/F179,IF(D179="marché libre",(C179/(A179*24))/G179,"spécifier histo"))</f>
        <v>0.235869565217391</v>
      </c>
      <c r="F179" s="9" t="n">
        <v>115</v>
      </c>
      <c r="G179" s="9" t="n">
        <f aca="false">F179-H179</f>
        <v>115</v>
      </c>
      <c r="H179" s="9" t="n">
        <v>0</v>
      </c>
      <c r="J179" s="103"/>
      <c r="K179" s="103"/>
    </row>
    <row r="180" customFormat="false" ht="13.5" hidden="false" customHeight="true" outlineLevel="0" collapsed="false">
      <c r="A180" s="0" t="n">
        <v>31</v>
      </c>
      <c r="B180" s="31" t="n">
        <v>41275</v>
      </c>
      <c r="C180" s="110" t="n">
        <v>40904</v>
      </c>
      <c r="D180" s="29" t="s">
        <v>42</v>
      </c>
      <c r="E180" s="33" t="n">
        <f aca="false">IF(D180="totale",(C180/(A180*24))/F180,IF(D180="marché libre",(C180/(A180*24))/G180,"spécifier histo"))</f>
        <v>0.47807386629266</v>
      </c>
      <c r="F180" s="9" t="n">
        <v>115</v>
      </c>
      <c r="G180" s="9" t="n">
        <f aca="false">F180-H180</f>
        <v>115</v>
      </c>
      <c r="H180" s="9" t="n">
        <v>0</v>
      </c>
      <c r="J180" s="103"/>
      <c r="K180" s="103"/>
    </row>
    <row r="181" customFormat="false" ht="13.5" hidden="false" customHeight="true" outlineLevel="0" collapsed="false">
      <c r="A181" s="0" t="n">
        <v>28</v>
      </c>
      <c r="B181" s="34" t="n">
        <v>41306</v>
      </c>
      <c r="C181" s="110" t="n">
        <v>33083</v>
      </c>
      <c r="D181" s="29" t="s">
        <v>42</v>
      </c>
      <c r="E181" s="33" t="n">
        <f aca="false">IF(D181="totale",(C181/(A181*24))/F181,IF(D181="marché libre",(C181/(A181*24))/G181,"spécifier histo"))</f>
        <v>0.42809265010352</v>
      </c>
      <c r="F181" s="9" t="n">
        <v>115</v>
      </c>
      <c r="G181" s="9" t="n">
        <f aca="false">F181-H181</f>
        <v>115</v>
      </c>
      <c r="H181" s="9" t="n">
        <v>0</v>
      </c>
      <c r="J181" s="103"/>
      <c r="K181" s="103"/>
    </row>
    <row r="182" customFormat="false" ht="13.5" hidden="false" customHeight="true" outlineLevel="0" collapsed="false">
      <c r="A182" s="0" t="n">
        <v>31</v>
      </c>
      <c r="B182" s="31" t="n">
        <v>41334</v>
      </c>
      <c r="C182" s="110" t="n">
        <v>38550</v>
      </c>
      <c r="D182" s="29" t="s">
        <v>42</v>
      </c>
      <c r="E182" s="33" t="n">
        <f aca="false">IF(D182="totale",(C182/(A182*24))/F182,IF(D182="marché libre",(C182/(A182*24))/G182,"spécifier histo"))</f>
        <v>0.450561009817672</v>
      </c>
      <c r="F182" s="9" t="n">
        <v>115</v>
      </c>
      <c r="G182" s="9" t="n">
        <f aca="false">F182-H182</f>
        <v>115</v>
      </c>
      <c r="H182" s="9" t="n">
        <v>0</v>
      </c>
      <c r="J182" s="103"/>
      <c r="K182" s="103"/>
    </row>
    <row r="183" customFormat="false" ht="13.5" hidden="false" customHeight="true" outlineLevel="0" collapsed="false">
      <c r="A183" s="0" t="n">
        <v>30</v>
      </c>
      <c r="B183" s="111" t="n">
        <v>41365</v>
      </c>
      <c r="C183" s="112" t="n">
        <v>27795.24</v>
      </c>
      <c r="D183" s="113" t="s">
        <v>42</v>
      </c>
      <c r="E183" s="114" t="n">
        <f aca="false">IF(D183="totale",(C183/(A183*24))/F183,IF(D183="marché libre",(C183/(A183*24))/G183,"spécifier histo"))</f>
        <v>0.335691304347826</v>
      </c>
      <c r="F183" s="115" t="n">
        <v>115</v>
      </c>
      <c r="G183" s="115" t="n">
        <f aca="false">F183-H183</f>
        <v>115</v>
      </c>
      <c r="H183" s="115" t="n">
        <v>0</v>
      </c>
      <c r="J183" s="103"/>
      <c r="K183" s="103"/>
    </row>
    <row r="184" customFormat="false" ht="13.5" hidden="false" customHeight="true" outlineLevel="0" collapsed="false">
      <c r="A184" s="0" t="n">
        <v>31</v>
      </c>
      <c r="B184" s="31" t="n">
        <v>41395</v>
      </c>
      <c r="C184" s="116" t="n">
        <v>28844.64</v>
      </c>
      <c r="D184" s="29" t="s">
        <v>42</v>
      </c>
      <c r="E184" s="33" t="n">
        <f aca="false">IF(D184="totale",(C184/(A184*24))/F184,IF(D184="marché libre",(C184/(A184*24))/G184,"spécifier histo"))</f>
        <v>0.33712762973352</v>
      </c>
      <c r="F184" s="9" t="n">
        <v>115</v>
      </c>
      <c r="G184" s="9" t="n">
        <f aca="false">F184-H184</f>
        <v>115</v>
      </c>
      <c r="H184" s="9" t="n">
        <v>0</v>
      </c>
      <c r="J184" s="103"/>
      <c r="K184" s="103"/>
    </row>
    <row r="185" customFormat="false" ht="13.5" hidden="false" customHeight="true" outlineLevel="0" collapsed="false">
      <c r="A185" s="0" t="n">
        <v>30</v>
      </c>
      <c r="B185" s="34" t="n">
        <v>41426</v>
      </c>
      <c r="C185" s="116" t="n">
        <v>19257</v>
      </c>
      <c r="D185" s="29" t="s">
        <v>42</v>
      </c>
      <c r="E185" s="33" t="n">
        <f aca="false">IF(D185="totale",(C185/(A185*24))/F185,IF(D185="marché libre",(C185/(A185*24))/G185,"spécifier histo"))</f>
        <v>0.232572463768116</v>
      </c>
      <c r="F185" s="9" t="n">
        <v>115</v>
      </c>
      <c r="G185" s="9" t="n">
        <f aca="false">F185-H185</f>
        <v>115</v>
      </c>
      <c r="H185" s="9" t="n">
        <v>0</v>
      </c>
      <c r="I185" s="1"/>
      <c r="J185" s="117"/>
    </row>
    <row r="186" customFormat="false" ht="13.5" hidden="false" customHeight="true" outlineLevel="0" collapsed="false">
      <c r="A186" s="0" t="n">
        <v>31</v>
      </c>
      <c r="B186" s="31" t="n">
        <v>41456</v>
      </c>
      <c r="C186" s="116" t="n">
        <v>5488</v>
      </c>
      <c r="D186" s="29" t="s">
        <v>42</v>
      </c>
      <c r="E186" s="33" t="n">
        <f aca="false">IF(D186="totale",(C186/(A186*24))/F186,IF(D186="marché libre",(C186/(A186*24))/G186,"spécifier histo"))</f>
        <v>0.0641421224871435</v>
      </c>
      <c r="F186" s="9" t="n">
        <v>115</v>
      </c>
      <c r="G186" s="9" t="n">
        <f aca="false">F186-H186</f>
        <v>115</v>
      </c>
      <c r="H186" s="9" t="n">
        <v>0</v>
      </c>
      <c r="I186" s="1"/>
      <c r="J186" s="117"/>
    </row>
    <row r="187" customFormat="false" ht="13.5" hidden="false" customHeight="true" outlineLevel="0" collapsed="false">
      <c r="A187" s="0" t="n">
        <v>31</v>
      </c>
      <c r="B187" s="34" t="n">
        <v>41487</v>
      </c>
      <c r="C187" s="116" t="n">
        <v>80</v>
      </c>
      <c r="D187" s="29" t="s">
        <v>42</v>
      </c>
      <c r="E187" s="33" t="n">
        <f aca="false">IF(D187="totale",(C187/(A187*24))/F187,IF(D187="marché libre",(C187/(A187*24))/G187,"spécifier histo"))</f>
        <v>0.000935016362786349</v>
      </c>
      <c r="F187" s="9" t="n">
        <v>115</v>
      </c>
      <c r="G187" s="9" t="n">
        <f aca="false">F187-H187</f>
        <v>115</v>
      </c>
      <c r="H187" s="9" t="n">
        <v>0</v>
      </c>
      <c r="I187" s="1"/>
      <c r="J187" s="117"/>
    </row>
    <row r="188" customFormat="false" ht="13.5" hidden="false" customHeight="true" outlineLevel="0" collapsed="false">
      <c r="A188" s="0" t="n">
        <v>30</v>
      </c>
      <c r="B188" s="31" t="n">
        <v>41518</v>
      </c>
      <c r="C188" s="116" t="n">
        <v>0</v>
      </c>
      <c r="D188" s="29" t="s">
        <v>42</v>
      </c>
      <c r="E188" s="33" t="n">
        <f aca="false">IF(D188="totale",(C188/(A188*24))/F188,IF(D188="marché libre",(C188/(A188*24))/G188,"spécifier histo"))</f>
        <v>0</v>
      </c>
      <c r="F188" s="9" t="n">
        <v>115</v>
      </c>
      <c r="G188" s="9" t="n">
        <f aca="false">F188-H188</f>
        <v>115</v>
      </c>
      <c r="H188" s="9" t="n">
        <v>0</v>
      </c>
      <c r="I188" s="1"/>
      <c r="J188" s="117"/>
    </row>
    <row r="189" customFormat="false" ht="13.5" hidden="false" customHeight="true" outlineLevel="0" collapsed="false">
      <c r="A189" s="0" t="n">
        <v>31</v>
      </c>
      <c r="B189" s="34" t="n">
        <v>41548</v>
      </c>
      <c r="C189" s="116" t="n">
        <v>3771</v>
      </c>
      <c r="D189" s="29" t="s">
        <v>42</v>
      </c>
      <c r="E189" s="33" t="n">
        <f aca="false">IF(D189="totale",(C189/(A189*24))/F189,IF(D189="marché libre",(C189/(A189*24))/G189,"spécifier histo"))</f>
        <v>0.0440743338008415</v>
      </c>
      <c r="F189" s="9" t="n">
        <v>115</v>
      </c>
      <c r="G189" s="9" t="n">
        <f aca="false">F189-H189</f>
        <v>115</v>
      </c>
      <c r="H189" s="9" t="n">
        <v>0</v>
      </c>
      <c r="I189" s="1"/>
      <c r="J189" s="117"/>
    </row>
    <row r="190" customFormat="false" ht="13.5" hidden="false" customHeight="true" outlineLevel="0" collapsed="false">
      <c r="A190" s="0" t="n">
        <v>30</v>
      </c>
      <c r="B190" s="31" t="n">
        <v>41579</v>
      </c>
      <c r="C190" s="116" t="n">
        <v>21237.48</v>
      </c>
      <c r="D190" s="29" t="s">
        <v>42</v>
      </c>
      <c r="E190" s="118" t="n">
        <f aca="false">IF(D190="totale",(C190/(A190*24))/F190,IF(D190="marché libre",(C190/(A190*24))/G190,"spécifier histo"))</f>
        <v>0.256491304347826</v>
      </c>
      <c r="F190" s="9" t="n">
        <v>115</v>
      </c>
      <c r="G190" s="9" t="n">
        <f aca="false">F190-H190</f>
        <v>115</v>
      </c>
      <c r="H190" s="9" t="n">
        <v>0</v>
      </c>
      <c r="I190" s="1"/>
      <c r="J190" s="117"/>
    </row>
    <row r="191" customFormat="false" ht="13.5" hidden="false" customHeight="true" outlineLevel="0" collapsed="false">
      <c r="A191" s="0" t="n">
        <v>31</v>
      </c>
      <c r="B191" s="34" t="n">
        <v>41609</v>
      </c>
      <c r="C191" s="116" t="n">
        <v>16697</v>
      </c>
      <c r="D191" s="29" t="s">
        <v>42</v>
      </c>
      <c r="E191" s="33" t="n">
        <f aca="false">IF(D191="totale",(C191/(A191*24))/F191,IF(D191="marché libre",(C191/(A191*24))/G191,"spécifier histo"))</f>
        <v>0.195149602618046</v>
      </c>
      <c r="F191" s="9" t="n">
        <v>115</v>
      </c>
      <c r="G191" s="9" t="n">
        <f aca="false">F191-H191</f>
        <v>115</v>
      </c>
      <c r="H191" s="9" t="n">
        <v>0</v>
      </c>
      <c r="I191" s="1"/>
      <c r="J191" s="1"/>
    </row>
    <row r="192" customFormat="false" ht="13.5" hidden="false" customHeight="true" outlineLevel="0" collapsed="false">
      <c r="A192" s="0" t="n">
        <v>31</v>
      </c>
      <c r="B192" s="31" t="n">
        <v>41640</v>
      </c>
      <c r="C192" s="116" t="n">
        <v>29895</v>
      </c>
      <c r="D192" s="29" t="s">
        <v>42</v>
      </c>
      <c r="E192" s="33" t="n">
        <f aca="false">IF(D192="totale",(C192/(A192*24))/F192,IF(D192="marché libre",(C192/(A192*24))/G192,"spécifier histo"))</f>
        <v>0.349403927068724</v>
      </c>
      <c r="F192" s="9" t="n">
        <v>115</v>
      </c>
      <c r="G192" s="9" t="n">
        <f aca="false">F192-H192</f>
        <v>115</v>
      </c>
      <c r="H192" s="9" t="n">
        <v>0</v>
      </c>
    </row>
    <row r="193" customFormat="false" ht="13.5" hidden="false" customHeight="true" outlineLevel="0" collapsed="false">
      <c r="A193" s="0" t="n">
        <v>28</v>
      </c>
      <c r="B193" s="34" t="n">
        <v>41671</v>
      </c>
      <c r="C193" s="116" t="n">
        <v>31703</v>
      </c>
      <c r="D193" s="29" t="s">
        <v>42</v>
      </c>
      <c r="E193" s="33" t="n">
        <f aca="false">IF(D193="totale",(C193/(A193*24))/F193,IF(D193="marché libre",(C193/(A193*24))/G193,"spécifier histo"))</f>
        <v>0.410235507246377</v>
      </c>
      <c r="F193" s="9" t="n">
        <v>115</v>
      </c>
      <c r="G193" s="9" t="n">
        <f aca="false">F193-H193</f>
        <v>115</v>
      </c>
      <c r="H193" s="9" t="n">
        <v>0</v>
      </c>
    </row>
    <row r="194" customFormat="false" ht="13.5" hidden="false" customHeight="true" outlineLevel="0" collapsed="false">
      <c r="A194" s="0" t="n">
        <v>31</v>
      </c>
      <c r="B194" s="31" t="n">
        <v>41699</v>
      </c>
      <c r="C194" s="116" t="n">
        <v>37360</v>
      </c>
      <c r="D194" s="29" t="s">
        <v>42</v>
      </c>
      <c r="E194" s="33" t="n">
        <f aca="false">IF(D194="totale",(C194/(A194*24))/F194,IF(D194="marché libre",(C194/(A194*24))/G194,"spécifier histo"))</f>
        <v>0.436652641421225</v>
      </c>
      <c r="F194" s="9" t="n">
        <v>115</v>
      </c>
      <c r="G194" s="9" t="n">
        <f aca="false">F194-H194</f>
        <v>115</v>
      </c>
      <c r="H194" s="9" t="n">
        <v>0</v>
      </c>
    </row>
    <row r="195" customFormat="false" ht="15.85" hidden="false" customHeight="true" outlineLevel="0" collapsed="false">
      <c r="A195" s="0" t="n">
        <v>30</v>
      </c>
      <c r="B195" s="34" t="n">
        <v>41730</v>
      </c>
      <c r="C195" s="116" t="n">
        <v>20164</v>
      </c>
      <c r="D195" s="29" t="s">
        <v>42</v>
      </c>
      <c r="E195" s="33" t="n">
        <f aca="false">IF(D195="totale",(C195/(A195*24))/F195,IF(D195="marché libre",(C195/(A195*24))/G195,"spécifier histo"))</f>
        <v>0.243526570048309</v>
      </c>
      <c r="F195" s="9" t="n">
        <v>115</v>
      </c>
      <c r="G195" s="9" t="n">
        <f aca="false">F195-H195</f>
        <v>115</v>
      </c>
      <c r="H195" s="9" t="n">
        <v>0</v>
      </c>
    </row>
    <row r="196" customFormat="false" ht="15.85" hidden="false" customHeight="true" outlineLevel="0" collapsed="false">
      <c r="A196" s="0" t="n">
        <v>31</v>
      </c>
      <c r="B196" s="31" t="n">
        <v>41760</v>
      </c>
      <c r="C196" s="116" t="n">
        <v>20179</v>
      </c>
      <c r="D196" s="29" t="s">
        <v>42</v>
      </c>
      <c r="E196" s="33" t="n">
        <f aca="false">IF(D196="totale",(C196/(A196*24))/F196,IF(D196="marché libre",(C196/(A196*24))/G196,"spécifier histo"))</f>
        <v>0.235846189808322</v>
      </c>
      <c r="F196" s="9" t="n">
        <v>115</v>
      </c>
      <c r="G196" s="9" t="n">
        <f aca="false">F196-H196</f>
        <v>115</v>
      </c>
      <c r="H196" s="9" t="n">
        <v>0</v>
      </c>
    </row>
    <row r="197" customFormat="false" ht="15.85" hidden="false" customHeight="true" outlineLevel="0" collapsed="false">
      <c r="A197" s="0" t="n">
        <v>30</v>
      </c>
      <c r="B197" s="34" t="n">
        <v>41791</v>
      </c>
      <c r="C197" s="116" t="n">
        <v>3661</v>
      </c>
      <c r="D197" s="29" t="s">
        <v>42</v>
      </c>
      <c r="E197" s="33" t="n">
        <f aca="false">IF(D197="totale",(C197/(A197*24))/F197,IF(D197="marché libre",(C197/(A197*24))/G197,"spécifier histo"))</f>
        <v>0.0442149758454106</v>
      </c>
      <c r="F197" s="9" t="n">
        <v>115</v>
      </c>
      <c r="G197" s="9" t="n">
        <f aca="false">F197-H197</f>
        <v>115</v>
      </c>
      <c r="H197" s="9" t="n">
        <v>0</v>
      </c>
    </row>
    <row r="198" customFormat="false" ht="15.85" hidden="false" customHeight="true" outlineLevel="0" collapsed="false">
      <c r="A198" s="0" t="n">
        <v>31</v>
      </c>
      <c r="B198" s="31" t="n">
        <v>41821</v>
      </c>
      <c r="C198" s="116" t="n">
        <v>2894</v>
      </c>
      <c r="D198" s="29" t="s">
        <v>42</v>
      </c>
      <c r="E198" s="33" t="n">
        <f aca="false">IF(D198="totale",(C198/(A198*24))/F198,IF(D198="marché libre",(C198/(A198*24))/G198,"spécifier histo"))</f>
        <v>0.0338242169237962</v>
      </c>
      <c r="F198" s="9" t="n">
        <v>115</v>
      </c>
      <c r="G198" s="9" t="n">
        <f aca="false">F198-H198</f>
        <v>115</v>
      </c>
      <c r="H198" s="9" t="n">
        <v>0</v>
      </c>
    </row>
    <row r="199" customFormat="false" ht="15.85" hidden="false" customHeight="true" outlineLevel="0" collapsed="false">
      <c r="A199" s="0" t="n">
        <v>31</v>
      </c>
      <c r="B199" s="34" t="n">
        <v>41852</v>
      </c>
      <c r="C199" s="116" t="n">
        <v>0</v>
      </c>
      <c r="D199" s="29" t="s">
        <v>42</v>
      </c>
      <c r="E199" s="33" t="n">
        <f aca="false">IF(D199="totale",(C199/(A199*24))/F199,IF(D199="marché libre",(C199/(A199*24))/G199,"spécifier histo"))</f>
        <v>0</v>
      </c>
      <c r="F199" s="9" t="n">
        <v>115</v>
      </c>
      <c r="G199" s="9" t="n">
        <f aca="false">F199-H199</f>
        <v>115</v>
      </c>
      <c r="H199" s="9" t="n">
        <v>0</v>
      </c>
    </row>
    <row r="200" customFormat="false" ht="15.85" hidden="false" customHeight="true" outlineLevel="0" collapsed="false">
      <c r="A200" s="0" t="n">
        <v>30</v>
      </c>
      <c r="B200" s="31" t="n">
        <v>41883</v>
      </c>
      <c r="C200" s="116" t="n">
        <v>0</v>
      </c>
      <c r="D200" s="29" t="s">
        <v>42</v>
      </c>
      <c r="E200" s="33" t="n">
        <f aca="false">IF(D200="totale",(C200/(A200*24))/F200,IF(D200="marché libre",(C200/(A200*24))/G200,"spécifier histo"))</f>
        <v>0</v>
      </c>
      <c r="F200" s="9" t="n">
        <v>115</v>
      </c>
      <c r="G200" s="9" t="n">
        <f aca="false">F200-H200</f>
        <v>115</v>
      </c>
      <c r="H200" s="9" t="n">
        <v>0</v>
      </c>
    </row>
    <row r="201" customFormat="false" ht="15.85" hidden="false" customHeight="true" outlineLevel="0" collapsed="false">
      <c r="A201" s="0" t="n">
        <v>31</v>
      </c>
      <c r="B201" s="34" t="n">
        <v>41913</v>
      </c>
      <c r="C201" s="116" t="n">
        <v>0</v>
      </c>
      <c r="D201" s="29" t="s">
        <v>42</v>
      </c>
      <c r="E201" s="33" t="n">
        <f aca="false">IF(D201="totale",(C201/(A201*24))/F201,IF(D201="marché libre",(C201/(A201*24))/G201,"spécifier histo"))</f>
        <v>0</v>
      </c>
      <c r="F201" s="9" t="n">
        <v>115</v>
      </c>
      <c r="G201" s="9" t="n">
        <f aca="false">F201-H201</f>
        <v>115</v>
      </c>
      <c r="H201" s="9" t="n">
        <v>0</v>
      </c>
    </row>
    <row r="202" customFormat="false" ht="15.85" hidden="false" customHeight="true" outlineLevel="0" collapsed="false">
      <c r="A202" s="0" t="n">
        <v>30</v>
      </c>
      <c r="B202" s="31" t="n">
        <v>41944</v>
      </c>
      <c r="C202" s="116" t="n">
        <v>2001</v>
      </c>
      <c r="D202" s="29" t="s">
        <v>42</v>
      </c>
      <c r="E202" s="33" t="n">
        <f aca="false">IF(D202="totale",(C202/(A202*24))/F202,IF(D202="marché libre",(C202/(A202*24))/G202,"spécifier histo"))</f>
        <v>0.0241666666666667</v>
      </c>
      <c r="F202" s="9" t="n">
        <v>115</v>
      </c>
      <c r="G202" s="9" t="n">
        <f aca="false">F202-H202</f>
        <v>115</v>
      </c>
      <c r="H202" s="9" t="n">
        <v>0</v>
      </c>
    </row>
    <row r="203" customFormat="false" ht="15.85" hidden="false" customHeight="true" outlineLevel="0" collapsed="false">
      <c r="A203" s="0" t="n">
        <v>31</v>
      </c>
      <c r="B203" s="34" t="n">
        <v>41974</v>
      </c>
      <c r="C203" s="116" t="n">
        <v>17452</v>
      </c>
      <c r="D203" s="29" t="s">
        <v>42</v>
      </c>
      <c r="E203" s="33" t="n">
        <f aca="false">IF(D203="totale",(C203/(A203*24))/F203,IF(D203="marché libre",(C203/(A203*24))/G203,"spécifier histo"))</f>
        <v>0.203973819541842</v>
      </c>
      <c r="F203" s="9" t="n">
        <v>115</v>
      </c>
      <c r="G203" s="9" t="n">
        <f aca="false">F203-H203</f>
        <v>115</v>
      </c>
      <c r="H203" s="9" t="n">
        <v>0</v>
      </c>
    </row>
    <row r="204" customFormat="false" ht="15.85" hidden="false" customHeight="true" outlineLevel="0" collapsed="false">
      <c r="A204" s="0" t="n">
        <v>31</v>
      </c>
      <c r="B204" s="31" t="n">
        <v>42005</v>
      </c>
      <c r="C204" s="116" t="n">
        <v>27520</v>
      </c>
      <c r="D204" s="29" t="s">
        <v>42</v>
      </c>
      <c r="E204" s="33" t="n">
        <f aca="false">IF(D204="totale",(C204/(A204*24))/F204,IF(D204="marché libre",(C204/(A204*24))/G204,"spécifier histo"))</f>
        <v>0.321645628798504</v>
      </c>
      <c r="F204" s="9" t="n">
        <v>115</v>
      </c>
      <c r="G204" s="9" t="n">
        <f aca="false">F204-H204</f>
        <v>115</v>
      </c>
      <c r="H204" s="9" t="n">
        <v>0</v>
      </c>
    </row>
    <row r="205" customFormat="false" ht="15.85" hidden="false" customHeight="true" outlineLevel="0" collapsed="false">
      <c r="A205" s="0" t="n">
        <v>28</v>
      </c>
      <c r="B205" s="34" t="n">
        <v>42036</v>
      </c>
      <c r="C205" s="116" t="n">
        <v>25718</v>
      </c>
      <c r="D205" s="29" t="s">
        <v>42</v>
      </c>
      <c r="E205" s="33" t="n">
        <f aca="false">IF(D205="totale",(C205/(A205*24))/F205,IF(D205="marché libre",(C205/(A205*24))/G205,"spécifier histo"))</f>
        <v>0.332789855072464</v>
      </c>
      <c r="F205" s="9" t="n">
        <v>115</v>
      </c>
      <c r="G205" s="9" t="n">
        <f aca="false">F205-H205</f>
        <v>115</v>
      </c>
      <c r="H205" s="9" t="n">
        <v>0</v>
      </c>
    </row>
    <row r="206" customFormat="false" ht="15.85" hidden="false" customHeight="true" outlineLevel="0" collapsed="false">
      <c r="A206" s="0" t="n">
        <v>31</v>
      </c>
      <c r="B206" s="31" t="n">
        <v>42064</v>
      </c>
      <c r="C206" s="116" t="n">
        <v>31960</v>
      </c>
      <c r="D206" s="29" t="s">
        <v>42</v>
      </c>
      <c r="E206" s="33" t="n">
        <f aca="false">IF(D206="totale",(C206/(A206*24))/F206,IF(D206="marché libre",(C206/(A206*24))/G206,"spécifier histo"))</f>
        <v>0.373539036933146</v>
      </c>
      <c r="F206" s="9" t="n">
        <v>115</v>
      </c>
      <c r="G206" s="9" t="n">
        <f aca="false">F206-H206</f>
        <v>115</v>
      </c>
      <c r="H206" s="9" t="n">
        <v>0</v>
      </c>
    </row>
    <row r="207" customFormat="false" ht="15.85" hidden="false" customHeight="true" outlineLevel="0" collapsed="false">
      <c r="A207" s="0" t="n">
        <v>30</v>
      </c>
      <c r="B207" s="34" t="n">
        <v>42095</v>
      </c>
      <c r="C207" s="116" t="n">
        <v>25632</v>
      </c>
      <c r="D207" s="29" t="s">
        <v>42</v>
      </c>
      <c r="E207" s="33" t="n">
        <f aca="false">IF(D207="totale",(C207/(A207*24))/F207,IF(D207="marché libre",(C207/(A207*24))/G207,"spécifier histo"))</f>
        <v>0.309565217391304</v>
      </c>
      <c r="F207" s="9" t="n">
        <v>115</v>
      </c>
      <c r="G207" s="9" t="n">
        <f aca="false">F207-H207</f>
        <v>115</v>
      </c>
      <c r="H207" s="9" t="n">
        <v>0</v>
      </c>
    </row>
    <row r="208" customFormat="false" ht="15.85" hidden="false" customHeight="true" outlineLevel="0" collapsed="false">
      <c r="A208" s="0" t="n">
        <v>31</v>
      </c>
      <c r="B208" s="31" t="n">
        <v>42125</v>
      </c>
      <c r="C208" s="116" t="n">
        <v>11647</v>
      </c>
      <c r="D208" s="29" t="s">
        <v>42</v>
      </c>
      <c r="E208" s="33" t="n">
        <f aca="false">IF(D208="totale",(C208/(A208*24))/F208,IF(D208="marché libre",(C208/(A208*24))/G208,"spécifier histo"))</f>
        <v>0.136126694717158</v>
      </c>
      <c r="F208" s="9" t="n">
        <v>115</v>
      </c>
      <c r="G208" s="9" t="n">
        <f aca="false">F208-H208</f>
        <v>115</v>
      </c>
      <c r="H208" s="9" t="n">
        <v>0</v>
      </c>
    </row>
    <row r="209" customFormat="false" ht="15.85" hidden="false" customHeight="true" outlineLevel="0" collapsed="false">
      <c r="A209" s="0" t="n">
        <v>30</v>
      </c>
      <c r="B209" s="34" t="n">
        <v>42156</v>
      </c>
      <c r="C209" s="116" t="n">
        <v>0</v>
      </c>
      <c r="D209" s="29" t="s">
        <v>42</v>
      </c>
      <c r="E209" s="33" t="n">
        <f aca="false">IF(D209="totale",(C209/(A209*24))/F209,IF(D209="marché libre",(C209/(A209*24))/G209,"spécifier histo"))</f>
        <v>0</v>
      </c>
      <c r="F209" s="9" t="n">
        <v>115</v>
      </c>
      <c r="G209" s="9" t="n">
        <f aca="false">F209-H209</f>
        <v>115</v>
      </c>
      <c r="H209" s="9" t="n">
        <v>0</v>
      </c>
    </row>
    <row r="210" customFormat="false" ht="13.8" hidden="false" customHeight="false" outlineLevel="0" collapsed="false">
      <c r="A210" s="0" t="n">
        <v>31</v>
      </c>
      <c r="B210" s="31" t="n">
        <v>42186</v>
      </c>
      <c r="C210" s="116" t="n">
        <v>0</v>
      </c>
      <c r="D210" s="29" t="s">
        <v>42</v>
      </c>
      <c r="E210" s="33" t="n">
        <f aca="false">IF(D210="totale",(C210/(A210*24))/F210,IF(D210="marché libre",(C210/(A210*24))/G210,"spécifier histo"))</f>
        <v>0</v>
      </c>
      <c r="F210" s="9" t="n">
        <v>115</v>
      </c>
      <c r="G210" s="9" t="n">
        <f aca="false">F210-H210</f>
        <v>115</v>
      </c>
      <c r="H210" s="9" t="n">
        <v>0</v>
      </c>
    </row>
    <row r="211" customFormat="false" ht="13.8" hidden="false" customHeight="false" outlineLevel="0" collapsed="false">
      <c r="A211" s="0" t="n">
        <v>31</v>
      </c>
      <c r="B211" s="34" t="n">
        <v>42217</v>
      </c>
      <c r="C211" s="116" t="n">
        <v>0</v>
      </c>
      <c r="D211" s="29" t="s">
        <v>42</v>
      </c>
      <c r="E211" s="33" t="n">
        <f aca="false">IF(D211="totale",(C211/(A211*24))/F211,IF(D211="marché libre",(C211/(A211*24))/G211,"spécifier histo"))</f>
        <v>0</v>
      </c>
      <c r="F211" s="9" t="n">
        <v>115</v>
      </c>
      <c r="G211" s="9" t="n">
        <f aca="false">F211-H211</f>
        <v>115</v>
      </c>
      <c r="H211" s="9" t="n">
        <v>0</v>
      </c>
    </row>
    <row r="212" customFormat="false" ht="13.8" hidden="false" customHeight="false" outlineLevel="0" collapsed="false">
      <c r="A212" s="0" t="n">
        <v>30</v>
      </c>
      <c r="B212" s="31" t="n">
        <v>42248</v>
      </c>
      <c r="C212" s="116" t="n">
        <v>0</v>
      </c>
      <c r="D212" s="29" t="s">
        <v>42</v>
      </c>
      <c r="E212" s="33" t="n">
        <f aca="false">IF(D212="totale",(C212/(A212*24))/F212,IF(D212="marché libre",(C212/(A212*24))/G212,"spécifier histo"))</f>
        <v>0</v>
      </c>
      <c r="F212" s="9" t="n">
        <v>115</v>
      </c>
      <c r="G212" s="9" t="n">
        <f aca="false">F212-H212</f>
        <v>115</v>
      </c>
      <c r="H212" s="9" t="n">
        <v>0</v>
      </c>
    </row>
    <row r="213" customFormat="false" ht="13.8" hidden="false" customHeight="false" outlineLevel="0" collapsed="false">
      <c r="A213" s="0" t="n">
        <v>31</v>
      </c>
      <c r="B213" s="34" t="n">
        <v>42278</v>
      </c>
      <c r="C213" s="116" t="n">
        <v>0</v>
      </c>
      <c r="D213" s="29" t="s">
        <v>42</v>
      </c>
      <c r="E213" s="33" t="n">
        <f aca="false">IF(D213="totale",(C213/(A213*24))/F213,IF(D213="marché libre",(C213/(A213*24))/G213,"spécifier histo"))</f>
        <v>0</v>
      </c>
      <c r="F213" s="9" t="n">
        <v>115</v>
      </c>
      <c r="G213" s="9" t="n">
        <f aca="false">F213-H213</f>
        <v>115</v>
      </c>
      <c r="H213" s="9" t="n">
        <v>0</v>
      </c>
    </row>
    <row r="214" customFormat="false" ht="13.8" hidden="false" customHeight="false" outlineLevel="0" collapsed="false">
      <c r="A214" s="0" t="n">
        <v>30</v>
      </c>
      <c r="B214" s="31" t="n">
        <v>42309</v>
      </c>
      <c r="C214" s="116" t="n">
        <v>0</v>
      </c>
      <c r="D214" s="29" t="s">
        <v>42</v>
      </c>
      <c r="E214" s="33" t="n">
        <f aca="false">IF(D214="totale",(C214/(A214*24))/F214,IF(D214="marché libre",(C214/(A214*24))/G214,"spécifier histo"))</f>
        <v>0</v>
      </c>
      <c r="F214" s="9" t="n">
        <v>115</v>
      </c>
      <c r="G214" s="9" t="n">
        <f aca="false">F214-H214</f>
        <v>115</v>
      </c>
      <c r="H214" s="9" t="n">
        <v>0</v>
      </c>
    </row>
    <row r="215" customFormat="false" ht="13.8" hidden="false" customHeight="false" outlineLevel="0" collapsed="false">
      <c r="A215" s="0" t="n">
        <v>31</v>
      </c>
      <c r="B215" s="34" t="n">
        <v>42339</v>
      </c>
      <c r="C215" s="116" t="n">
        <v>0</v>
      </c>
      <c r="D215" s="29" t="s">
        <v>42</v>
      </c>
      <c r="E215" s="33" t="n">
        <f aca="false">IF(D215="totale",(C215/(A215*24))/F215,IF(D215="marché libre",(C215/(A215*24))/G215,"spécifier histo"))</f>
        <v>0</v>
      </c>
      <c r="F215" s="9" t="n">
        <v>115</v>
      </c>
      <c r="G215" s="9" t="n">
        <f aca="false">F215-H215</f>
        <v>115</v>
      </c>
      <c r="H215" s="9" t="n">
        <v>0</v>
      </c>
    </row>
    <row r="216" customFormat="false" ht="12.8" hidden="false" customHeight="false" outlineLevel="0" collapsed="false">
      <c r="A216" s="0" t="n">
        <v>31</v>
      </c>
      <c r="B216" s="31" t="n">
        <v>42370</v>
      </c>
      <c r="C216" s="119" t="n">
        <v>0</v>
      </c>
      <c r="D216" s="29" t="s">
        <v>42</v>
      </c>
      <c r="E216" s="33" t="n">
        <f aca="false">IF(D216="totale",(C216/(A216*24))/F216,IF(D216="marché libre",(C216/(A216*24))/G216,"spécifier histo"))</f>
        <v>0</v>
      </c>
      <c r="F216" s="9" t="n">
        <v>115</v>
      </c>
      <c r="G216" s="9" t="n">
        <f aca="false">F216-H216</f>
        <v>115</v>
      </c>
      <c r="H216" s="9" t="n">
        <v>0</v>
      </c>
      <c r="I216" s="9" t="s">
        <v>105</v>
      </c>
    </row>
    <row r="217" customFormat="false" ht="12.8" hidden="false" customHeight="false" outlineLevel="0" collapsed="false">
      <c r="A217" s="0" t="n">
        <v>28</v>
      </c>
      <c r="B217" s="34" t="n">
        <v>42401</v>
      </c>
      <c r="C217" s="119" t="n">
        <v>0</v>
      </c>
      <c r="D217" s="29" t="s">
        <v>42</v>
      </c>
      <c r="E217" s="33" t="n">
        <f aca="false">IF(D217="totale",(C217/(A217*24))/F217,IF(D217="marché libre",(C217/(A217*24))/G217,"spécifier histo"))</f>
        <v>0</v>
      </c>
      <c r="F217" s="9" t="n">
        <v>115</v>
      </c>
      <c r="G217" s="9" t="n">
        <f aca="false">F217-H217</f>
        <v>115</v>
      </c>
      <c r="H217" s="9" t="n">
        <v>0</v>
      </c>
      <c r="I217" s="9" t="s">
        <v>105</v>
      </c>
    </row>
    <row r="218" customFormat="false" ht="12.8" hidden="false" customHeight="false" outlineLevel="0" collapsed="false">
      <c r="A218" s="0" t="n">
        <v>31</v>
      </c>
      <c r="B218" s="31" t="n">
        <v>42430</v>
      </c>
      <c r="C218" s="119" t="n">
        <v>0</v>
      </c>
      <c r="D218" s="29" t="s">
        <v>42</v>
      </c>
      <c r="E218" s="33" t="n">
        <f aca="false">IF(D218="totale",(C218/(A218*24))/F218,IF(D218="marché libre",(C218/(A218*24))/G218,"spécifier histo"))</f>
        <v>0</v>
      </c>
      <c r="F218" s="9" t="n">
        <v>115</v>
      </c>
      <c r="G218" s="9" t="n">
        <f aca="false">F218-H218</f>
        <v>115</v>
      </c>
      <c r="H218" s="9" t="n">
        <v>0</v>
      </c>
      <c r="I218" s="9" t="s">
        <v>105</v>
      </c>
    </row>
    <row r="219" customFormat="false" ht="12.8" hidden="false" customHeight="false" outlineLevel="0" collapsed="false">
      <c r="A219" s="0" t="n">
        <v>30</v>
      </c>
      <c r="B219" s="34" t="n">
        <v>42461</v>
      </c>
      <c r="C219" s="119" t="n">
        <v>0</v>
      </c>
      <c r="D219" s="29" t="s">
        <v>42</v>
      </c>
      <c r="E219" s="33" t="n">
        <f aca="false">IF(D219="totale",(C219/(A219*24))/F219,IF(D219="marché libre",(C219/(A219*24))/G219,"spécifier histo"))</f>
        <v>0</v>
      </c>
      <c r="F219" s="9" t="n">
        <v>115</v>
      </c>
      <c r="G219" s="9" t="n">
        <f aca="false">F219-H219</f>
        <v>115</v>
      </c>
      <c r="H219" s="9" t="n">
        <v>0</v>
      </c>
      <c r="I219" s="9" t="s">
        <v>105</v>
      </c>
    </row>
    <row r="220" customFormat="false" ht="12.8" hidden="false" customHeight="false" outlineLevel="0" collapsed="false">
      <c r="A220" s="0" t="n">
        <v>31</v>
      </c>
      <c r="B220" s="31" t="n">
        <v>42491</v>
      </c>
      <c r="C220" s="119" t="n">
        <v>0</v>
      </c>
      <c r="D220" s="29" t="s">
        <v>42</v>
      </c>
      <c r="E220" s="33" t="n">
        <f aca="false">IF(D220="totale",(C220/(A220*24))/F220,IF(D220="marché libre",(C220/(A220*24))/G220,"spécifier histo"))</f>
        <v>0</v>
      </c>
      <c r="F220" s="9" t="n">
        <v>115</v>
      </c>
      <c r="G220" s="9" t="n">
        <f aca="false">F220-H220</f>
        <v>115</v>
      </c>
      <c r="H220" s="9" t="n">
        <v>0</v>
      </c>
      <c r="I220" s="9" t="s">
        <v>105</v>
      </c>
    </row>
    <row r="221" customFormat="false" ht="12.8" hidden="false" customHeight="false" outlineLevel="0" collapsed="false">
      <c r="A221" s="0" t="n">
        <v>30</v>
      </c>
      <c r="B221" s="34" t="n">
        <v>42522</v>
      </c>
      <c r="C221" s="119" t="n">
        <v>0</v>
      </c>
      <c r="D221" s="29" t="s">
        <v>42</v>
      </c>
      <c r="E221" s="33" t="n">
        <f aca="false">IF(D221="totale",(C221/(A221*24))/F221,IF(D221="marché libre",(C221/(A221*24))/G221,"spécifier histo"))</f>
        <v>0</v>
      </c>
      <c r="F221" s="9" t="n">
        <v>115</v>
      </c>
      <c r="G221" s="9" t="n">
        <f aca="false">F221-H221</f>
        <v>115</v>
      </c>
      <c r="H221" s="9" t="n">
        <v>0</v>
      </c>
      <c r="I221" s="9" t="s">
        <v>105</v>
      </c>
    </row>
    <row r="222" customFormat="false" ht="12.8" hidden="false" customHeight="false" outlineLevel="0" collapsed="false">
      <c r="A222" s="0" t="n">
        <v>31</v>
      </c>
      <c r="B222" s="31" t="n">
        <v>42552</v>
      </c>
      <c r="C222" s="119" t="n">
        <v>0</v>
      </c>
      <c r="D222" s="29" t="s">
        <v>42</v>
      </c>
      <c r="E222" s="33" t="n">
        <f aca="false">IF(D222="totale",(C222/(A222*24))/F222,IF(D222="marché libre",(C222/(A222*24))/G222,"spécifier histo"))</f>
        <v>0</v>
      </c>
      <c r="F222" s="9" t="n">
        <v>115</v>
      </c>
      <c r="G222" s="9" t="n">
        <f aca="false">F222-H222</f>
        <v>115</v>
      </c>
      <c r="H222" s="9" t="n">
        <v>0</v>
      </c>
      <c r="I222" s="9" t="s">
        <v>105</v>
      </c>
    </row>
    <row r="223" customFormat="false" ht="12.8" hidden="false" customHeight="false" outlineLevel="0" collapsed="false">
      <c r="A223" s="0" t="n">
        <v>31</v>
      </c>
      <c r="B223" s="34" t="n">
        <v>42583</v>
      </c>
      <c r="C223" s="119" t="n">
        <v>0</v>
      </c>
      <c r="D223" s="29" t="s">
        <v>42</v>
      </c>
      <c r="E223" s="33" t="n">
        <f aca="false">IF(D223="totale",(C223/(A223*24))/F223,IF(D223="marché libre",(C223/(A223*24))/G223,"spécifier histo"))</f>
        <v>0</v>
      </c>
      <c r="F223" s="9" t="n">
        <v>115</v>
      </c>
      <c r="G223" s="9" t="n">
        <f aca="false">F223-H223</f>
        <v>115</v>
      </c>
      <c r="H223" s="9" t="n">
        <v>0</v>
      </c>
      <c r="I223" s="9" t="s">
        <v>105</v>
      </c>
    </row>
    <row r="224" customFormat="false" ht="12.8" hidden="false" customHeight="false" outlineLevel="0" collapsed="false">
      <c r="A224" s="0" t="n">
        <v>30</v>
      </c>
      <c r="B224" s="31" t="n">
        <v>42614</v>
      </c>
      <c r="C224" s="119" t="n">
        <v>0</v>
      </c>
      <c r="D224" s="29" t="s">
        <v>42</v>
      </c>
      <c r="E224" s="33" t="n">
        <f aca="false">IF(D224="totale",(C224/(A224*24))/F224,IF(D224="marché libre",(C224/(A224*24))/G224,"spécifier histo"))</f>
        <v>0</v>
      </c>
      <c r="F224" s="9" t="n">
        <v>115</v>
      </c>
      <c r="G224" s="9" t="n">
        <f aca="false">F224-H224</f>
        <v>115</v>
      </c>
      <c r="H224" s="9" t="n">
        <v>0</v>
      </c>
      <c r="I224" s="9" t="s">
        <v>105</v>
      </c>
    </row>
    <row r="225" customFormat="false" ht="12.8" hidden="false" customHeight="false" outlineLevel="0" collapsed="false">
      <c r="A225" s="0" t="n">
        <v>31</v>
      </c>
      <c r="B225" s="34" t="n">
        <v>42644</v>
      </c>
      <c r="C225" s="119" t="n">
        <v>0</v>
      </c>
      <c r="D225" s="29" t="s">
        <v>42</v>
      </c>
      <c r="E225" s="33" t="n">
        <f aca="false">IF(D225="totale",(C225/(A225*24))/F225,IF(D225="marché libre",(C225/(A225*24))/G225,"spécifier histo"))</f>
        <v>0</v>
      </c>
      <c r="F225" s="9" t="n">
        <v>115</v>
      </c>
      <c r="G225" s="9" t="n">
        <f aca="false">F225-H225</f>
        <v>115</v>
      </c>
      <c r="H225" s="9" t="n">
        <v>0</v>
      </c>
      <c r="I225" s="9" t="s">
        <v>105</v>
      </c>
    </row>
    <row r="226" customFormat="false" ht="12.8" hidden="false" customHeight="false" outlineLevel="0" collapsed="false">
      <c r="A226" s="0" t="n">
        <v>30</v>
      </c>
      <c r="B226" s="31" t="n">
        <v>42675</v>
      </c>
      <c r="C226" s="119" t="n">
        <v>0</v>
      </c>
      <c r="D226" s="29" t="s">
        <v>42</v>
      </c>
      <c r="E226" s="33" t="n">
        <f aca="false">IF(D226="totale",(C226/(A226*24))/F226,IF(D226="marché libre",(C226/(A226*24))/G226,"spécifier histo"))</f>
        <v>0</v>
      </c>
      <c r="F226" s="9" t="n">
        <v>115</v>
      </c>
      <c r="G226" s="9" t="n">
        <f aca="false">F226-H226</f>
        <v>115</v>
      </c>
      <c r="H226" s="9" t="n">
        <v>0</v>
      </c>
      <c r="I226" s="9" t="s">
        <v>105</v>
      </c>
    </row>
    <row r="227" customFormat="false" ht="12.8" hidden="false" customHeight="false" outlineLevel="0" collapsed="false">
      <c r="A227" s="0" t="n">
        <v>31</v>
      </c>
      <c r="B227" s="34" t="n">
        <v>42705</v>
      </c>
      <c r="C227" s="119" t="n">
        <v>0</v>
      </c>
      <c r="D227" s="29" t="s">
        <v>42</v>
      </c>
      <c r="E227" s="33" t="n">
        <f aca="false">IF(D227="totale",(C227/(A227*24))/F227,IF(D227="marché libre",(C227/(A227*24))/G227,"spécifier histo"))</f>
        <v>0</v>
      </c>
      <c r="F227" s="9" t="n">
        <v>115</v>
      </c>
      <c r="G227" s="9" t="n">
        <f aca="false">F227-H227</f>
        <v>115</v>
      </c>
      <c r="H227" s="9" t="n">
        <v>0</v>
      </c>
      <c r="I227" s="9" t="s">
        <v>105</v>
      </c>
    </row>
    <row r="228" customFormat="false" ht="12.8" hidden="false" customHeight="false" outlineLevel="0" collapsed="false">
      <c r="A228" s="0" t="n">
        <v>31</v>
      </c>
      <c r="B228" s="31" t="n">
        <v>42736</v>
      </c>
      <c r="C228" s="120" t="n">
        <v>0</v>
      </c>
      <c r="D228" s="29" t="s">
        <v>42</v>
      </c>
      <c r="E228" s="33" t="n">
        <f aca="false">IF(D228="totale",(C228/(A228*24))/F228,IF(D228="marché libre",(C228/(A228*24))/G228,"spécifier histo"))</f>
        <v>0</v>
      </c>
      <c r="F228" s="9" t="n">
        <v>115</v>
      </c>
      <c r="G228" s="9" t="n">
        <f aca="false">F228-H228</f>
        <v>115</v>
      </c>
      <c r="H228" s="9" t="n">
        <v>0</v>
      </c>
      <c r="I228" s="9" t="s">
        <v>105</v>
      </c>
    </row>
    <row r="229" customFormat="false" ht="12.8" hidden="false" customHeight="false" outlineLevel="0" collapsed="false">
      <c r="A229" s="0" t="n">
        <v>28</v>
      </c>
      <c r="B229" s="34" t="n">
        <v>42767</v>
      </c>
      <c r="C229" s="120" t="n">
        <v>0</v>
      </c>
      <c r="D229" s="29" t="s">
        <v>42</v>
      </c>
      <c r="E229" s="33" t="n">
        <f aca="false">IF(D229="totale",(C229/(A229*24))/F229,IF(D229="marché libre",(C229/(A229*24))/G229,"spécifier histo"))</f>
        <v>0</v>
      </c>
      <c r="F229" s="9" t="n">
        <v>115</v>
      </c>
      <c r="G229" s="9" t="n">
        <f aca="false">F229-H229</f>
        <v>115</v>
      </c>
      <c r="H229" s="9" t="n">
        <v>0</v>
      </c>
      <c r="I229" s="9" t="s">
        <v>105</v>
      </c>
    </row>
    <row r="230" customFormat="false" ht="12.8" hidden="false" customHeight="false" outlineLevel="0" collapsed="false">
      <c r="A230" s="0" t="n">
        <v>31</v>
      </c>
      <c r="B230" s="31" t="n">
        <v>42795</v>
      </c>
      <c r="C230" s="120" t="n">
        <v>0</v>
      </c>
      <c r="D230" s="29" t="s">
        <v>42</v>
      </c>
      <c r="E230" s="33" t="n">
        <f aca="false">IF(D230="totale",(C230/(A230*24))/F230,IF(D230="marché libre",(C230/(A230*24))/G230,"spécifier histo"))</f>
        <v>0</v>
      </c>
      <c r="F230" s="9" t="n">
        <v>115</v>
      </c>
      <c r="G230" s="9" t="n">
        <f aca="false">F230-H230</f>
        <v>115</v>
      </c>
      <c r="H230" s="9" t="n">
        <v>0</v>
      </c>
      <c r="I230" s="9" t="s">
        <v>105</v>
      </c>
    </row>
    <row r="231" customFormat="false" ht="12.8" hidden="false" customHeight="false" outlineLevel="0" collapsed="false">
      <c r="A231" s="0" t="n">
        <v>30</v>
      </c>
      <c r="B231" s="34" t="n">
        <v>42826</v>
      </c>
      <c r="C231" s="120" t="n">
        <v>0</v>
      </c>
      <c r="D231" s="29" t="s">
        <v>42</v>
      </c>
      <c r="E231" s="33" t="n">
        <f aca="false">IF(D231="totale",(C231/(A231*24))/F231,IF(D231="marché libre",(C231/(A231*24))/G231,"spécifier histo"))</f>
        <v>0</v>
      </c>
      <c r="F231" s="9" t="n">
        <v>115</v>
      </c>
      <c r="G231" s="9" t="n">
        <f aca="false">F231-H231</f>
        <v>115</v>
      </c>
      <c r="H231" s="9" t="n">
        <v>0</v>
      </c>
      <c r="I231" s="9" t="s">
        <v>105</v>
      </c>
    </row>
    <row r="232" customFormat="false" ht="12.8" hidden="false" customHeight="false" outlineLevel="0" collapsed="false">
      <c r="A232" s="0" t="n">
        <v>31</v>
      </c>
      <c r="B232" s="31" t="n">
        <v>42856</v>
      </c>
      <c r="C232" s="120" t="n">
        <v>0</v>
      </c>
      <c r="D232" s="29" t="s">
        <v>42</v>
      </c>
      <c r="E232" s="33" t="n">
        <f aca="false">IF(D232="totale",(C232/(A232*24))/F232,IF(D232="marché libre",(C232/(A232*24))/G232,"spécifier histo"))</f>
        <v>0</v>
      </c>
      <c r="F232" s="9" t="n">
        <v>115</v>
      </c>
      <c r="G232" s="9" t="n">
        <f aca="false">F232-H232</f>
        <v>115</v>
      </c>
      <c r="H232" s="9" t="n">
        <v>0</v>
      </c>
      <c r="I232" s="9" t="s">
        <v>105</v>
      </c>
    </row>
    <row r="233" customFormat="false" ht="12.8" hidden="false" customHeight="false" outlineLevel="0" collapsed="false">
      <c r="A233" s="0" t="n">
        <v>30</v>
      </c>
      <c r="B233" s="34" t="n">
        <v>42887</v>
      </c>
      <c r="C233" s="120" t="n">
        <v>0</v>
      </c>
      <c r="D233" s="29" t="s">
        <v>42</v>
      </c>
      <c r="E233" s="33" t="n">
        <f aca="false">IF(D233="totale",(C233/(A233*24))/F233,IF(D233="marché libre",(C233/(A233*24))/G233,"spécifier histo"))</f>
        <v>0</v>
      </c>
      <c r="F233" s="9" t="n">
        <v>115</v>
      </c>
      <c r="G233" s="9" t="n">
        <f aca="false">F233-H233</f>
        <v>115</v>
      </c>
      <c r="H233" s="9" t="n">
        <v>0</v>
      </c>
      <c r="I233" s="9" t="s">
        <v>105</v>
      </c>
    </row>
    <row r="234" customFormat="false" ht="12.8" hidden="false" customHeight="false" outlineLevel="0" collapsed="false">
      <c r="A234" s="0" t="n">
        <v>31</v>
      </c>
      <c r="B234" s="31" t="n">
        <v>42917</v>
      </c>
      <c r="C234" s="120" t="n">
        <v>0</v>
      </c>
      <c r="D234" s="29" t="s">
        <v>42</v>
      </c>
      <c r="E234" s="33" t="n">
        <f aca="false">IF(D234="totale",(C234/(A234*24))/F234,IF(D234="marché libre",(C234/(A234*24))/G234,"spécifier histo"))</f>
        <v>0</v>
      </c>
      <c r="F234" s="9" t="n">
        <v>115</v>
      </c>
      <c r="G234" s="9" t="n">
        <f aca="false">F234-H234</f>
        <v>115</v>
      </c>
      <c r="H234" s="9" t="n">
        <v>0</v>
      </c>
      <c r="I234" s="9" t="s">
        <v>105</v>
      </c>
    </row>
    <row r="235" customFormat="false" ht="12.8" hidden="false" customHeight="false" outlineLevel="0" collapsed="false">
      <c r="A235" s="0" t="n">
        <v>31</v>
      </c>
      <c r="B235" s="34" t="n">
        <v>42948</v>
      </c>
      <c r="C235" s="120" t="n">
        <v>0</v>
      </c>
      <c r="D235" s="29" t="s">
        <v>42</v>
      </c>
      <c r="E235" s="33" t="n">
        <f aca="false">IF(D235="totale",(C235/(A235*24))/F235,IF(D235="marché libre",(C235/(A235*24))/G235,"spécifier histo"))</f>
        <v>0</v>
      </c>
      <c r="F235" s="9" t="n">
        <v>115</v>
      </c>
      <c r="G235" s="9" t="n">
        <f aca="false">F235-H235</f>
        <v>115</v>
      </c>
      <c r="H235" s="9" t="n">
        <v>0</v>
      </c>
      <c r="I235" s="9" t="s">
        <v>105</v>
      </c>
    </row>
    <row r="236" customFormat="false" ht="23.85" hidden="false" customHeight="false" outlineLevel="0" collapsed="false">
      <c r="A236" s="0" t="n">
        <v>30</v>
      </c>
      <c r="B236" s="31" t="n">
        <v>42979</v>
      </c>
      <c r="C236" s="121" t="n">
        <v>52</v>
      </c>
      <c r="D236" s="29" t="s">
        <v>42</v>
      </c>
      <c r="E236" s="33" t="n">
        <f aca="false">IF(D236="totale",(C236/(A236*24))/F236,IF(D236="marché libre",(C236/(A236*24))/G236,"spécifier histo"))</f>
        <v>0.000802469135802469</v>
      </c>
      <c r="F236" s="9" t="n">
        <v>90</v>
      </c>
      <c r="G236" s="9" t="n">
        <v>90</v>
      </c>
      <c r="H236" s="9" t="n">
        <v>0</v>
      </c>
      <c r="I236" s="9" t="s">
        <v>106</v>
      </c>
      <c r="J236" s="9" t="s">
        <v>107</v>
      </c>
    </row>
    <row r="237" customFormat="false" ht="12.8" hidden="false" customHeight="false" outlineLevel="0" collapsed="false">
      <c r="A237" s="0" t="n">
        <v>31</v>
      </c>
      <c r="B237" s="34" t="n">
        <v>43009</v>
      </c>
      <c r="C237" s="121" t="n">
        <v>203</v>
      </c>
      <c r="D237" s="29" t="s">
        <v>42</v>
      </c>
      <c r="E237" s="33" t="n">
        <f aca="false">IF(D237="totale",(C237/(A237*24))/F237,IF(D237="marché libre",(C237/(A237*24))/G237,"spécifier histo"))</f>
        <v>0.00303166069295102</v>
      </c>
      <c r="F237" s="9" t="n">
        <v>90</v>
      </c>
      <c r="G237" s="9" t="n">
        <v>90</v>
      </c>
      <c r="H237" s="9" t="n">
        <v>0</v>
      </c>
    </row>
    <row r="238" customFormat="false" ht="12.8" hidden="false" customHeight="false" outlineLevel="0" collapsed="false">
      <c r="A238" s="0" t="n">
        <v>30</v>
      </c>
      <c r="B238" s="31" t="n">
        <v>43040</v>
      </c>
      <c r="C238" s="121" t="n">
        <v>8938</v>
      </c>
      <c r="D238" s="29" t="s">
        <v>42</v>
      </c>
      <c r="E238" s="33" t="n">
        <f aca="false">IF(D238="totale",(C238/(A238*24))/F238,IF(D238="marché libre",(C238/(A238*24))/G238,"spécifier histo"))</f>
        <v>0.137932098765432</v>
      </c>
      <c r="F238" s="9" t="n">
        <v>90</v>
      </c>
      <c r="G238" s="9" t="n">
        <v>90</v>
      </c>
      <c r="H238" s="9" t="n">
        <v>0</v>
      </c>
    </row>
    <row r="239" customFormat="false" ht="12.8" hidden="false" customHeight="false" outlineLevel="0" collapsed="false">
      <c r="A239" s="0" t="n">
        <v>31</v>
      </c>
      <c r="B239" s="34" t="n">
        <v>43070</v>
      </c>
      <c r="C239" s="121" t="n">
        <v>25123</v>
      </c>
      <c r="D239" s="29" t="s">
        <v>42</v>
      </c>
      <c r="E239" s="33" t="n">
        <f aca="false">IF(D239="totale",(C239/(A239*24))/F239,IF(D239="marché libre",(C239/(A239*24))/G239,"spécifier histo"))</f>
        <v>0.375194145758662</v>
      </c>
      <c r="F239" s="9" t="n">
        <v>90</v>
      </c>
      <c r="G239" s="9" t="n">
        <v>90</v>
      </c>
      <c r="H239" s="9" t="n">
        <v>0</v>
      </c>
    </row>
    <row r="240" customFormat="false" ht="12.8" hidden="false" customHeight="false" outlineLevel="0" collapsed="false">
      <c r="A240" s="0" t="n">
        <v>31</v>
      </c>
      <c r="B240" s="31" t="n">
        <v>43101</v>
      </c>
      <c r="C240" s="121" t="n">
        <v>29907</v>
      </c>
      <c r="D240" s="29" t="s">
        <v>42</v>
      </c>
      <c r="E240" s="33" t="n">
        <f aca="false">IF(D240="totale",(C240/(A240*24))/F240,IF(D240="marché libre",(C240/(A240*24))/G240,"spécifier histo"))</f>
        <v>0.446639784946237</v>
      </c>
      <c r="F240" s="9" t="n">
        <v>90</v>
      </c>
      <c r="G240" s="9" t="n">
        <v>90</v>
      </c>
      <c r="H240" s="9" t="n">
        <v>0</v>
      </c>
    </row>
    <row r="241" customFormat="false" ht="12.8" hidden="false" customHeight="false" outlineLevel="0" collapsed="false">
      <c r="A241" s="0" t="n">
        <v>28</v>
      </c>
      <c r="B241" s="34" t="n">
        <v>43132</v>
      </c>
      <c r="C241" s="121" t="n">
        <v>28706</v>
      </c>
      <c r="D241" s="29" t="s">
        <v>42</v>
      </c>
      <c r="E241" s="33" t="n">
        <f aca="false">IF(D241="totale",(C241/(A241*24))/F241,IF(D241="marché libre",(C241/(A241*24))/G241,"spécifier histo"))</f>
        <v>0.474636243386243</v>
      </c>
      <c r="F241" s="9" t="n">
        <v>90</v>
      </c>
      <c r="G241" s="9" t="n">
        <v>90</v>
      </c>
      <c r="H241" s="9" t="n">
        <v>0</v>
      </c>
    </row>
    <row r="242" customFormat="false" ht="12.8" hidden="false" customHeight="false" outlineLevel="0" collapsed="false">
      <c r="A242" s="0" t="n">
        <v>31</v>
      </c>
      <c r="B242" s="31" t="n">
        <v>43160</v>
      </c>
      <c r="C242" s="121" t="n">
        <v>35034</v>
      </c>
      <c r="D242" s="29" t="s">
        <v>42</v>
      </c>
      <c r="E242" s="33" t="n">
        <f aca="false">IF(D242="totale",(C242/(A242*24))/F242,IF(D242="marché libre",(C242/(A242*24))/G242,"spécifier histo"))</f>
        <v>0.523207885304659</v>
      </c>
      <c r="F242" s="9" t="n">
        <v>90</v>
      </c>
      <c r="G242" s="9" t="n">
        <v>90</v>
      </c>
      <c r="H242" s="9" t="n">
        <v>0</v>
      </c>
    </row>
    <row r="243" customFormat="false" ht="12.8" hidden="false" customHeight="false" outlineLevel="0" collapsed="false">
      <c r="A243" s="0" t="n">
        <v>28</v>
      </c>
      <c r="B243" s="34" t="n">
        <v>43191</v>
      </c>
      <c r="C243" s="121" t="n">
        <v>33586</v>
      </c>
      <c r="D243" s="29" t="s">
        <v>42</v>
      </c>
      <c r="E243" s="33" t="n">
        <f aca="false">IF(D243="totale",(C243/(A243*24))/F243,IF(D243="marché libre",(C243/(A243*24))/G243,"spécifier histo"))</f>
        <v>0.555324074074074</v>
      </c>
      <c r="F243" s="9" t="n">
        <v>90</v>
      </c>
      <c r="G243" s="9" t="n">
        <v>90</v>
      </c>
      <c r="H243" s="9" t="n">
        <v>0</v>
      </c>
    </row>
    <row r="244" customFormat="false" ht="12.8" hidden="false" customHeight="false" outlineLevel="0" collapsed="false">
      <c r="A244" s="0" t="n">
        <v>31</v>
      </c>
      <c r="B244" s="31" t="n">
        <v>43221</v>
      </c>
      <c r="C244" s="121" t="n">
        <v>4949</v>
      </c>
      <c r="D244" s="29" t="s">
        <v>42</v>
      </c>
      <c r="E244" s="33" t="n">
        <f aca="false">IF(D244="totale",(C244/(A244*24))/F244,IF(D244="marché libre",(C244/(A244*24))/G244,"spécifier histo"))</f>
        <v>0.0739097968936679</v>
      </c>
      <c r="F244" s="9" t="n">
        <v>90</v>
      </c>
      <c r="G244" s="9" t="n">
        <v>90</v>
      </c>
      <c r="H244" s="9" t="n">
        <v>0</v>
      </c>
    </row>
    <row r="245" customFormat="false" ht="12.8" hidden="false" customHeight="false" outlineLevel="0" collapsed="false">
      <c r="A245" s="0" t="n">
        <v>30</v>
      </c>
      <c r="B245" s="34" t="n">
        <v>43252</v>
      </c>
      <c r="C245" s="121" t="n">
        <v>13545</v>
      </c>
      <c r="D245" s="29" t="s">
        <v>42</v>
      </c>
      <c r="E245" s="33" t="n">
        <f aca="false">IF(D245="totale",(C245/(A245*24))/F245,IF(D245="marché libre",(C245/(A245*24))/G245,"spécifier histo"))</f>
        <v>0.209027777777778</v>
      </c>
      <c r="F245" s="9" t="n">
        <v>90</v>
      </c>
      <c r="G245" s="9" t="n">
        <v>90</v>
      </c>
      <c r="H245" s="9" t="n">
        <v>0</v>
      </c>
    </row>
    <row r="246" customFormat="false" ht="12.8" hidden="false" customHeight="false" outlineLevel="0" collapsed="false">
      <c r="A246" s="0" t="n">
        <v>31</v>
      </c>
      <c r="B246" s="31" t="n">
        <v>43282</v>
      </c>
      <c r="C246" s="121" t="n">
        <v>904</v>
      </c>
      <c r="D246" s="29" t="s">
        <v>42</v>
      </c>
      <c r="E246" s="33" t="n">
        <f aca="false">IF(D246="totale",(C246/(A246*24))/F246,IF(D246="marché libre",(C246/(A246*24))/G246,"spécifier histo"))</f>
        <v>0.0135005973715651</v>
      </c>
      <c r="F246" s="9" t="n">
        <v>90</v>
      </c>
      <c r="G246" s="9" t="n">
        <v>90</v>
      </c>
      <c r="H246" s="9" t="n">
        <v>0</v>
      </c>
    </row>
    <row r="247" customFormat="false" ht="12.8" hidden="false" customHeight="false" outlineLevel="0" collapsed="false">
      <c r="A247" s="0" t="n">
        <v>30</v>
      </c>
      <c r="B247" s="34" t="n">
        <v>43313</v>
      </c>
      <c r="C247" s="121" t="n">
        <v>2046</v>
      </c>
      <c r="D247" s="29" t="s">
        <v>42</v>
      </c>
      <c r="E247" s="33" t="n">
        <f aca="false">IF(D247="totale",(C247/(A247*24))/F247,IF(D247="marché libre",(C247/(A247*24))/G247,"spécifier histo"))</f>
        <v>0.0315740740740741</v>
      </c>
      <c r="F247" s="9" t="n">
        <v>90</v>
      </c>
      <c r="G247" s="9" t="n">
        <v>90</v>
      </c>
      <c r="H247" s="9" t="n">
        <v>0</v>
      </c>
    </row>
    <row r="248" customFormat="false" ht="12.8" hidden="false" customHeight="false" outlineLevel="0" collapsed="false">
      <c r="A248" s="0" t="n">
        <v>31</v>
      </c>
      <c r="B248" s="31" t="n">
        <v>43344</v>
      </c>
      <c r="C248" s="1" t="n">
        <v>1549</v>
      </c>
      <c r="D248" s="29" t="s">
        <v>42</v>
      </c>
      <c r="E248" s="33" t="n">
        <f aca="false">IF(D248="totale",(C248/(A248*24))/F248,IF(D248="marché libre",(C248/(A248*24))/G248,"spécifier histo"))</f>
        <v>0.0231332138590203</v>
      </c>
      <c r="F248" s="9" t="n">
        <v>90</v>
      </c>
      <c r="G248" s="9" t="n">
        <v>90</v>
      </c>
      <c r="H248" s="9" t="n">
        <v>0</v>
      </c>
    </row>
    <row r="249" customFormat="false" ht="12.8" hidden="false" customHeight="false" outlineLevel="0" collapsed="false">
      <c r="A249" s="1"/>
      <c r="B249" s="1"/>
      <c r="C249" s="1"/>
      <c r="D249" s="1"/>
      <c r="E249" s="1"/>
    </row>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24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tabColor rgb="FF007826"/>
    <pageSetUpPr fitToPage="false"/>
  </sheetPr>
  <dimension ref="A1:V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8" topLeftCell="B72" activePane="bottomRight" state="frozen"/>
      <selection pane="topLeft" activeCell="A1" activeCellId="0" sqref="A1"/>
      <selection pane="topRight" activeCell="B1" activeCellId="0" sqref="B1"/>
      <selection pane="bottomLeft" activeCell="A72" activeCellId="0" sqref="A72"/>
      <selection pane="bottomRight" activeCell="B77" activeCellId="0" sqref="B77"/>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22" t="s">
        <v>108</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1.65" hidden="false" customHeight="true" outlineLevel="0" collapsed="false">
      <c r="A4" s="0"/>
      <c r="B4" s="5" t="s">
        <v>109</v>
      </c>
      <c r="C4" s="5" t="n">
        <v>30335</v>
      </c>
      <c r="D4" s="123" t="s">
        <v>110</v>
      </c>
      <c r="E4" s="14" t="s">
        <v>111</v>
      </c>
      <c r="F4" s="15" t="n">
        <v>240</v>
      </c>
      <c r="G4" s="15" t="s">
        <v>112</v>
      </c>
      <c r="H4" s="15"/>
      <c r="I4" s="16"/>
      <c r="J4" s="15" t="n">
        <v>120</v>
      </c>
      <c r="K4" s="16"/>
      <c r="L4" s="16" t="s">
        <v>113</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24"/>
      <c r="H6" s="124"/>
      <c r="I6" s="124"/>
      <c r="J6" s="124"/>
      <c r="K6" s="124"/>
      <c r="L6" s="124"/>
      <c r="M6" s="124"/>
      <c r="N6" s="124"/>
      <c r="P6" s="125" t="n">
        <v>41244</v>
      </c>
      <c r="Q6" s="19" t="s">
        <v>27</v>
      </c>
      <c r="R6" s="9"/>
      <c r="S6" s="22"/>
      <c r="T6" s="5" t="s">
        <v>28</v>
      </c>
    </row>
    <row r="7" customFormat="false" ht="66.9" hidden="false" customHeight="true" outlineLevel="0" collapsed="false">
      <c r="A7" s="0"/>
      <c r="B7" s="0"/>
      <c r="C7" s="126" t="s">
        <v>114</v>
      </c>
      <c r="D7" s="126"/>
      <c r="F7" s="20"/>
      <c r="G7" s="20"/>
      <c r="H7" s="124"/>
      <c r="I7" s="124"/>
      <c r="J7" s="124"/>
      <c r="K7" s="124"/>
      <c r="L7" s="124"/>
      <c r="M7" s="124"/>
      <c r="N7" s="124"/>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19.85" hidden="false" customHeight="true" outlineLevel="0" collapsed="false">
      <c r="A10" s="0" t="n">
        <v>31</v>
      </c>
      <c r="B10" s="34" t="n">
        <v>41244</v>
      </c>
      <c r="C10" s="36" t="n">
        <v>85701</v>
      </c>
      <c r="D10" s="26" t="s">
        <v>42</v>
      </c>
      <c r="E10" s="33" t="n">
        <f aca="false">IF(D10="totale",(C10/(A10*24))/F10,IF(D10="marché libre",(C10/(A10*24))/G10,"spécifier histo"))</f>
        <v>0.959912634408602</v>
      </c>
      <c r="F10" s="59" t="n">
        <v>120</v>
      </c>
      <c r="G10" s="59" t="n">
        <f aca="false">F10-H10</f>
        <v>120</v>
      </c>
      <c r="H10" s="59" t="n">
        <v>0</v>
      </c>
      <c r="J10" s="127"/>
    </row>
    <row r="11" customFormat="false" ht="19.85" hidden="false" customHeight="true" outlineLevel="0" collapsed="false">
      <c r="A11" s="0" t="n">
        <v>31</v>
      </c>
      <c r="B11" s="31" t="n">
        <v>41275</v>
      </c>
      <c r="C11" s="36" t="n">
        <v>89026</v>
      </c>
      <c r="D11" s="128" t="s">
        <v>42</v>
      </c>
      <c r="E11" s="33" t="n">
        <f aca="false">IF(D11="totale",(C11/(A11*24))/F11,IF(D11="marché libre",(C11/(A11*24))/G11,"spécifier histo"))</f>
        <v>0.997155017921147</v>
      </c>
      <c r="F11" s="59" t="n">
        <v>120</v>
      </c>
      <c r="G11" s="59" t="n">
        <f aca="false">F11-H11</f>
        <v>120</v>
      </c>
      <c r="H11" s="59" t="n">
        <v>0</v>
      </c>
      <c r="J11" s="55"/>
    </row>
    <row r="12" customFormat="false" ht="19.85" hidden="false" customHeight="true" outlineLevel="0" collapsed="false">
      <c r="A12" s="0" t="n">
        <v>28</v>
      </c>
      <c r="B12" s="34" t="n">
        <v>41306</v>
      </c>
      <c r="C12" s="36" t="n">
        <v>79566</v>
      </c>
      <c r="D12" s="26" t="s">
        <v>42</v>
      </c>
      <c r="E12" s="33" t="n">
        <f aca="false">IF(D12="totale",(C12/(A12*24))/F12,IF(D12="marché libre",(C12/(A12*24))/G12,"spécifier histo"))</f>
        <v>0.986681547619047</v>
      </c>
      <c r="F12" s="59" t="n">
        <v>120</v>
      </c>
      <c r="G12" s="59" t="n">
        <f aca="false">F12-H12</f>
        <v>120</v>
      </c>
      <c r="H12" s="59" t="n">
        <v>0</v>
      </c>
      <c r="J12" s="55"/>
    </row>
    <row r="13" customFormat="false" ht="19.85" hidden="false" customHeight="true" outlineLevel="0" collapsed="false">
      <c r="A13" s="0" t="n">
        <v>31</v>
      </c>
      <c r="B13" s="31" t="n">
        <v>41334</v>
      </c>
      <c r="C13" s="36" t="n">
        <v>87911</v>
      </c>
      <c r="D13" s="128" t="s">
        <v>42</v>
      </c>
      <c r="E13" s="33" t="n">
        <f aca="false">IF(D13="totale",(C13/(A13*24))/F13,IF(D13="marché libre",(C13/(A13*24))/G13,"spécifier histo"))</f>
        <v>0.984666218637993</v>
      </c>
      <c r="F13" s="59" t="n">
        <v>120</v>
      </c>
      <c r="G13" s="59" t="n">
        <f aca="false">F13-H13</f>
        <v>120</v>
      </c>
      <c r="H13" s="59" t="n">
        <v>0</v>
      </c>
      <c r="J13" s="55"/>
    </row>
    <row r="14" customFormat="false" ht="19.85" hidden="false" customHeight="true" outlineLevel="0" collapsed="false">
      <c r="A14" s="0" t="n">
        <v>30</v>
      </c>
      <c r="B14" s="34" t="n">
        <v>41365</v>
      </c>
      <c r="C14" s="36" t="n">
        <v>69894</v>
      </c>
      <c r="D14" s="26" t="s">
        <v>42</v>
      </c>
      <c r="E14" s="33" t="n">
        <f aca="false">IF(D14="totale",(C14/(A14*24))/F14,IF(D14="marché libre",(C14/(A14*24))/G14,"spécifier histo"))</f>
        <v>0.808958333333333</v>
      </c>
      <c r="F14" s="59" t="n">
        <v>120</v>
      </c>
      <c r="G14" s="59" t="n">
        <f aca="false">F14-H14</f>
        <v>120</v>
      </c>
      <c r="H14" s="59" t="n">
        <v>0</v>
      </c>
      <c r="J14" s="55"/>
    </row>
    <row r="15" customFormat="false" ht="19.85" hidden="false" customHeight="true" outlineLevel="0" collapsed="false">
      <c r="A15" s="0" t="n">
        <v>31</v>
      </c>
      <c r="B15" s="31" t="n">
        <v>41395</v>
      </c>
      <c r="C15" s="36" t="n">
        <v>91065</v>
      </c>
      <c r="D15" s="128" t="s">
        <v>42</v>
      </c>
      <c r="E15" s="33" t="n">
        <f aca="false">IF(D15="totale",(C15/(A15*24))/F15,IF(D15="marché libre",(C15/(A15*24))/G15,"spécifier histo"))</f>
        <v>1.01999327956989</v>
      </c>
      <c r="F15" s="59" t="n">
        <v>120</v>
      </c>
      <c r="G15" s="59" t="n">
        <f aca="false">F15-H15</f>
        <v>120</v>
      </c>
      <c r="H15" s="59" t="n">
        <v>0</v>
      </c>
      <c r="J15" s="55"/>
    </row>
    <row r="16" customFormat="false" ht="19.85" hidden="false" customHeight="true" outlineLevel="0" collapsed="false">
      <c r="A16" s="0" t="n">
        <v>30</v>
      </c>
      <c r="B16" s="34" t="n">
        <v>41426</v>
      </c>
      <c r="C16" s="129" t="n">
        <v>64185</v>
      </c>
      <c r="D16" s="26" t="s">
        <v>42</v>
      </c>
      <c r="E16" s="33" t="n">
        <f aca="false">IF(D16="totale",(C16/(A16*24))/F16,IF(D16="marché libre",(C16/(A16*24))/G16,"spécifier histo"))</f>
        <v>0.742881944444444</v>
      </c>
      <c r="F16" s="59" t="n">
        <v>120</v>
      </c>
      <c r="G16" s="59" t="n">
        <f aca="false">F16-H16</f>
        <v>120</v>
      </c>
      <c r="H16" s="59" t="n">
        <v>0</v>
      </c>
      <c r="J16" s="55"/>
    </row>
    <row r="17" customFormat="false" ht="19.85" hidden="false" customHeight="true" outlineLevel="0" collapsed="false">
      <c r="A17" s="0" t="n">
        <v>31</v>
      </c>
      <c r="B17" s="31" t="n">
        <v>41456</v>
      </c>
      <c r="C17" s="36" t="n">
        <v>21863</v>
      </c>
      <c r="D17" s="128" t="s">
        <v>42</v>
      </c>
      <c r="E17" s="33" t="n">
        <f aca="false">IF(D17="totale",(C17/(A17*24))/F17,IF(D17="marché libre",(C17/(A17*24))/G17,"spécifier histo"))</f>
        <v>0.244881272401434</v>
      </c>
      <c r="F17" s="59" t="n">
        <v>120</v>
      </c>
      <c r="G17" s="59" t="n">
        <f aca="false">F17-H17</f>
        <v>120</v>
      </c>
      <c r="H17" s="59" t="n">
        <v>0</v>
      </c>
      <c r="J17" s="55"/>
    </row>
    <row r="18" customFormat="false" ht="19.85" hidden="false" customHeight="true" outlineLevel="0" collapsed="false">
      <c r="A18" s="0" t="n">
        <v>31</v>
      </c>
      <c r="B18" s="34" t="n">
        <v>41487</v>
      </c>
      <c r="C18" s="36" t="n">
        <v>11743</v>
      </c>
      <c r="D18" s="26" t="s">
        <v>42</v>
      </c>
      <c r="E18" s="33" t="n">
        <f aca="false">IF(D18="totale",(C18/(A18*24))/F18,IF(D18="marché libre",(C18/(A18*24))/G18,"spécifier histo"))</f>
        <v>0.131530017921147</v>
      </c>
      <c r="F18" s="59" t="n">
        <v>120</v>
      </c>
      <c r="G18" s="59" t="n">
        <f aca="false">F18-H18</f>
        <v>120</v>
      </c>
      <c r="H18" s="59" t="n">
        <v>0</v>
      </c>
      <c r="J18" s="55"/>
    </row>
    <row r="19" customFormat="false" ht="19.85" hidden="false" customHeight="true" outlineLevel="0" collapsed="false">
      <c r="A19" s="0" t="n">
        <v>30</v>
      </c>
      <c r="B19" s="31" t="n">
        <v>41518</v>
      </c>
      <c r="C19" s="36" t="n">
        <v>25369</v>
      </c>
      <c r="D19" s="128" t="s">
        <v>42</v>
      </c>
      <c r="E19" s="33" t="n">
        <f aca="false">IF(D19="totale",(C19/(A19*24))/F19,IF(D19="marché libre",(C19/(A19*24))/G19,"spécifier histo"))</f>
        <v>0.293622685185185</v>
      </c>
      <c r="F19" s="59" t="n">
        <v>120</v>
      </c>
      <c r="G19" s="59" t="n">
        <f aca="false">F19-H19</f>
        <v>120</v>
      </c>
      <c r="H19" s="59" t="n">
        <v>0</v>
      </c>
      <c r="J19" s="55"/>
    </row>
    <row r="20" customFormat="false" ht="19.85" hidden="false" customHeight="true" outlineLevel="0" collapsed="false">
      <c r="A20" s="0" t="n">
        <v>31</v>
      </c>
      <c r="B20" s="34" t="n">
        <v>41548</v>
      </c>
      <c r="C20" s="36" t="n">
        <v>70975</v>
      </c>
      <c r="D20" s="26" t="s">
        <v>42</v>
      </c>
      <c r="E20" s="33" t="n">
        <f aca="false">IF(D20="totale",(C20/(A20*24))/F20,IF(D20="marché libre",(C20/(A20*24))/G20,"spécifier histo"))</f>
        <v>0.794970878136201</v>
      </c>
      <c r="F20" s="59" t="n">
        <v>120</v>
      </c>
      <c r="G20" s="59" t="n">
        <f aca="false">F20-H20</f>
        <v>120</v>
      </c>
      <c r="H20" s="59" t="n">
        <v>0</v>
      </c>
      <c r="J20" s="55"/>
    </row>
    <row r="21" customFormat="false" ht="19.85" hidden="false" customHeight="true" outlineLevel="0" collapsed="false">
      <c r="A21" s="0" t="n">
        <v>30</v>
      </c>
      <c r="B21" s="31" t="n">
        <v>41579</v>
      </c>
      <c r="C21" s="36" t="n">
        <v>79807</v>
      </c>
      <c r="D21" s="128" t="s">
        <v>42</v>
      </c>
      <c r="E21" s="130" t="n">
        <f aca="false">IF(D21="totale",(C21/(A21*24))/F21,IF(D21="marché libre",(C21/(A21*24))/G21,"spécifier histo"))</f>
        <v>0.92369212962963</v>
      </c>
      <c r="F21" s="59" t="n">
        <v>120</v>
      </c>
      <c r="G21" s="60" t="n">
        <f aca="false">F21-H21</f>
        <v>120</v>
      </c>
      <c r="H21" s="60" t="n">
        <v>0</v>
      </c>
      <c r="J21" s="55"/>
    </row>
    <row r="22" customFormat="false" ht="19.85" hidden="false" customHeight="true" outlineLevel="0" collapsed="false">
      <c r="A22" s="0" t="n">
        <v>31</v>
      </c>
      <c r="B22" s="34" t="n">
        <v>41609</v>
      </c>
      <c r="C22" s="36" t="n">
        <v>77386</v>
      </c>
      <c r="D22" s="26" t="s">
        <v>42</v>
      </c>
      <c r="E22" s="33" t="n">
        <f aca="false">IF(D22="totale",(C22/(A22*24))/F22,IF(D22="marché libre",(C22/(A22*24))/G22,"spécifier histo"))</f>
        <v>0.866778673835125</v>
      </c>
      <c r="F22" s="59" t="n">
        <v>120</v>
      </c>
      <c r="G22" s="59" t="n">
        <f aca="false">F22-H22</f>
        <v>120</v>
      </c>
      <c r="H22" s="59" t="n">
        <v>0</v>
      </c>
      <c r="J22" s="55"/>
      <c r="L22" s="38"/>
    </row>
    <row r="23" customFormat="false" ht="19.85" hidden="false" customHeight="true" outlineLevel="0" collapsed="false">
      <c r="A23" s="1" t="n">
        <v>31</v>
      </c>
      <c r="B23" s="31" t="n">
        <v>41640</v>
      </c>
      <c r="C23" s="36" t="n">
        <v>91967</v>
      </c>
      <c r="D23" s="128" t="s">
        <v>42</v>
      </c>
      <c r="E23" s="33" t="n">
        <f aca="false">IF(D23="totale",(C23/(A23*24))/F23,IF(D23="marché libre",(C23/(A23*24))/G23,"spécifier histo"))</f>
        <v>1.03009632616487</v>
      </c>
      <c r="F23" s="59" t="n">
        <v>120</v>
      </c>
      <c r="G23" s="1" t="n">
        <f aca="false">F23-H23</f>
        <v>120</v>
      </c>
      <c r="H23" s="1" t="n">
        <v>0</v>
      </c>
      <c r="J23" s="55"/>
      <c r="K23" s="55"/>
      <c r="L23" s="0"/>
      <c r="M23" s="0"/>
    </row>
    <row r="24" customFormat="false" ht="19.85" hidden="false" customHeight="true" outlineLevel="0" collapsed="false">
      <c r="A24" s="0" t="n">
        <v>28</v>
      </c>
      <c r="B24" s="34" t="n">
        <v>41671</v>
      </c>
      <c r="C24" s="36" t="n">
        <v>82655</v>
      </c>
      <c r="D24" s="26" t="s">
        <v>42</v>
      </c>
      <c r="E24" s="33" t="n">
        <f aca="false">IF(D24="totale",(C24/(A24*24))/F24,IF(D24="marché libre",(C24/(A24*24))/G24,"spécifier histo"))</f>
        <v>1.02498759920635</v>
      </c>
      <c r="F24" s="59" t="n">
        <v>120</v>
      </c>
      <c r="G24" s="59" t="n">
        <f aca="false">F24-H24</f>
        <v>120</v>
      </c>
      <c r="H24" s="59" t="n">
        <v>0</v>
      </c>
      <c r="J24" s="55"/>
      <c r="L24" s="0"/>
      <c r="M24" s="0"/>
    </row>
    <row r="25" customFormat="false" ht="19.85" hidden="false" customHeight="true" outlineLevel="0" collapsed="false">
      <c r="A25" s="0" t="n">
        <v>31</v>
      </c>
      <c r="B25" s="31" t="n">
        <v>41699</v>
      </c>
      <c r="C25" s="36" t="n">
        <v>51183</v>
      </c>
      <c r="D25" s="128" t="s">
        <v>42</v>
      </c>
      <c r="E25" s="33" t="n">
        <f aca="false">IF(D25="totale",(C25/(A25*24))/F25,IF(D25="marché libre",(C25/(A25*24))/G25,"spécifier histo"))</f>
        <v>0.573286290322581</v>
      </c>
      <c r="F25" s="59" t="n">
        <v>120</v>
      </c>
      <c r="G25" s="59" t="n">
        <f aca="false">F25-H25</f>
        <v>120</v>
      </c>
      <c r="H25" s="59" t="n">
        <v>0</v>
      </c>
      <c r="J25" s="55"/>
      <c r="L25" s="0"/>
      <c r="M25" s="0"/>
    </row>
    <row r="26" customFormat="false" ht="19.85" hidden="false" customHeight="true" outlineLevel="0" collapsed="false">
      <c r="A26" s="0" t="n">
        <v>30</v>
      </c>
      <c r="B26" s="34" t="n">
        <v>41730</v>
      </c>
      <c r="C26" s="36" t="n">
        <v>15754</v>
      </c>
      <c r="D26" s="26" t="s">
        <v>42</v>
      </c>
      <c r="E26" s="33" t="n">
        <f aca="false">IF(D26="totale",(C26/(A26*24))/F26,IF(D26="marché libre",(C26/(A26*24))/G26,"spécifier histo"))</f>
        <v>0.182337962962963</v>
      </c>
      <c r="F26" s="59" t="n">
        <v>120</v>
      </c>
      <c r="G26" s="59" t="n">
        <f aca="false">F26-H26</f>
        <v>120</v>
      </c>
      <c r="H26" s="59" t="n">
        <v>0</v>
      </c>
      <c r="J26" s="55"/>
      <c r="L26" s="0"/>
      <c r="M26" s="0"/>
    </row>
    <row r="27" customFormat="false" ht="19.85" hidden="false" customHeight="true" outlineLevel="0" collapsed="false">
      <c r="A27" s="0" t="n">
        <v>31</v>
      </c>
      <c r="B27" s="31" t="n">
        <v>41760</v>
      </c>
      <c r="C27" s="36" t="n">
        <v>17359</v>
      </c>
      <c r="D27" s="128" t="s">
        <v>42</v>
      </c>
      <c r="E27" s="33" t="n">
        <f aca="false">IF(D27="totale",(C27/(A27*24))/F27,IF(D27="marché libre",(C27/(A27*24))/G27,"spécifier histo"))</f>
        <v>0.194433243727599</v>
      </c>
      <c r="F27" s="59" t="n">
        <v>120</v>
      </c>
      <c r="G27" s="59" t="n">
        <f aca="false">F27-H27</f>
        <v>120</v>
      </c>
      <c r="H27" s="59" t="n">
        <v>0</v>
      </c>
      <c r="J27" s="55"/>
      <c r="L27" s="0"/>
    </row>
    <row r="28" customFormat="false" ht="19.85" hidden="false" customHeight="true" outlineLevel="0" collapsed="false">
      <c r="A28" s="0" t="n">
        <v>30</v>
      </c>
      <c r="B28" s="34" t="n">
        <v>41791</v>
      </c>
      <c r="C28" s="36" t="n">
        <v>11582</v>
      </c>
      <c r="D28" s="26" t="s">
        <v>42</v>
      </c>
      <c r="E28" s="33" t="n">
        <f aca="false">IF(D28="totale",(C28/(A28*24))/F28,IF(D28="marché libre",(C28/(A28*24))/G28,"spécifier histo"))</f>
        <v>0.134050925925926</v>
      </c>
      <c r="F28" s="59" t="n">
        <v>120</v>
      </c>
      <c r="G28" s="59" t="n">
        <f aca="false">F28-H28</f>
        <v>120</v>
      </c>
      <c r="H28" s="59" t="n">
        <v>0</v>
      </c>
      <c r="J28" s="55"/>
      <c r="L28" s="0"/>
    </row>
    <row r="29" customFormat="false" ht="19.85" hidden="false" customHeight="true" outlineLevel="0" collapsed="false">
      <c r="A29" s="0" t="n">
        <v>31</v>
      </c>
      <c r="B29" s="31" t="n">
        <v>41821</v>
      </c>
      <c r="C29" s="36" t="n">
        <v>24395</v>
      </c>
      <c r="D29" s="128" t="s">
        <v>42</v>
      </c>
      <c r="E29" s="33" t="n">
        <f aca="false">IF(D29="totale",(C29/(A29*24))/F29,IF(D29="marché libre",(C29/(A29*24))/G29,"spécifier histo"))</f>
        <v>0.273241487455197</v>
      </c>
      <c r="F29" s="59" t="n">
        <v>120</v>
      </c>
      <c r="G29" s="59" t="n">
        <f aca="false">F29-H29</f>
        <v>120</v>
      </c>
      <c r="H29" s="59" t="n">
        <v>0</v>
      </c>
      <c r="J29" s="55"/>
      <c r="L29" s="131"/>
    </row>
    <row r="30" customFormat="false" ht="19.85" hidden="false" customHeight="true" outlineLevel="0" collapsed="false">
      <c r="A30" s="0" t="n">
        <v>31</v>
      </c>
      <c r="B30" s="34" t="n">
        <v>41852</v>
      </c>
      <c r="C30" s="36" t="n">
        <v>25260</v>
      </c>
      <c r="D30" s="26" t="s">
        <v>42</v>
      </c>
      <c r="E30" s="33" t="n">
        <f aca="false">IF(D30="totale",(C30/(A30*24))/F30,IF(D30="marché libre",(C30/(A30*24))/G30,"spécifier histo"))</f>
        <v>0.282930107526882</v>
      </c>
      <c r="F30" s="59" t="n">
        <v>120</v>
      </c>
      <c r="G30" s="59" t="n">
        <f aca="false">F30-H30</f>
        <v>120</v>
      </c>
      <c r="H30" s="59" t="n">
        <v>0</v>
      </c>
      <c r="J30" s="55"/>
      <c r="L30" s="0"/>
    </row>
    <row r="31" customFormat="false" ht="19.85" hidden="false" customHeight="true" outlineLevel="0" collapsed="false">
      <c r="A31" s="0" t="n">
        <v>30</v>
      </c>
      <c r="B31" s="31" t="n">
        <v>41883</v>
      </c>
      <c r="C31" s="36" t="n">
        <v>12405</v>
      </c>
      <c r="D31" s="128" t="s">
        <v>42</v>
      </c>
      <c r="E31" s="33" t="n">
        <f aca="false">IF(D31="totale",(C31/(A31*24))/F31,IF(D31="marché libre",(C31/(A31*24))/G31,"spécifier histo"))</f>
        <v>0.143576388888889</v>
      </c>
      <c r="F31" s="59" t="n">
        <v>120</v>
      </c>
      <c r="G31" s="59" t="n">
        <f aca="false">F31-H31</f>
        <v>120</v>
      </c>
      <c r="H31" s="59" t="n">
        <v>0</v>
      </c>
      <c r="J31" s="55"/>
      <c r="L31" s="0"/>
    </row>
    <row r="32" customFormat="false" ht="19.85" hidden="false" customHeight="true" outlineLevel="0" collapsed="false">
      <c r="A32" s="0" t="n">
        <v>31</v>
      </c>
      <c r="B32" s="34" t="n">
        <v>41913</v>
      </c>
      <c r="C32" s="36" t="n">
        <v>14500</v>
      </c>
      <c r="D32" s="26" t="s">
        <v>42</v>
      </c>
      <c r="E32" s="33" t="n">
        <f aca="false">IF(D32="totale",(C32/(A32*24))/F32,IF(D32="marché libre",(C32/(A32*24))/G32,"spécifier histo"))</f>
        <v>0.162410394265233</v>
      </c>
      <c r="F32" s="59" t="n">
        <v>120</v>
      </c>
      <c r="G32" s="59" t="n">
        <f aca="false">F32-H32</f>
        <v>120</v>
      </c>
      <c r="H32" s="59" t="n">
        <v>0</v>
      </c>
      <c r="J32" s="73"/>
      <c r="L32" s="0"/>
    </row>
    <row r="33" customFormat="false" ht="19.85" hidden="false" customHeight="true" outlineLevel="0" collapsed="false">
      <c r="A33" s="0" t="n">
        <v>30</v>
      </c>
      <c r="B33" s="31" t="n">
        <v>41944</v>
      </c>
      <c r="C33" s="36" t="n">
        <v>50030</v>
      </c>
      <c r="D33" s="128" t="s">
        <v>42</v>
      </c>
      <c r="E33" s="33" t="n">
        <f aca="false">IF(D33="totale",(C33/(A33*24))/F33,IF(D33="marché libre",(C33/(A33*24))/G33,"spécifier histo"))</f>
        <v>0.579050925925926</v>
      </c>
      <c r="F33" s="59" t="n">
        <v>120</v>
      </c>
      <c r="G33" s="59" t="n">
        <f aca="false">F33-H33</f>
        <v>120</v>
      </c>
      <c r="H33" s="59" t="n">
        <v>0</v>
      </c>
      <c r="J33" s="55"/>
      <c r="L33" s="0"/>
    </row>
    <row r="34" customFormat="false" ht="19.95" hidden="false" customHeight="true" outlineLevel="0" collapsed="false">
      <c r="A34" s="0" t="n">
        <v>31</v>
      </c>
      <c r="B34" s="34" t="n">
        <v>41974</v>
      </c>
      <c r="C34" s="36" t="n">
        <v>64731</v>
      </c>
      <c r="D34" s="26" t="s">
        <v>42</v>
      </c>
      <c r="E34" s="33" t="n">
        <f aca="false">IF(D34="totale",(C34/(A34*24))/F34,IF(D34="marché libre",(C34/(A34*24))/G34,"spécifier histo"))</f>
        <v>0.725033602150538</v>
      </c>
      <c r="F34" s="59" t="n">
        <v>120</v>
      </c>
      <c r="G34" s="59" t="n">
        <f aca="false">F34-H34</f>
        <v>120</v>
      </c>
      <c r="H34" s="59" t="n">
        <v>0</v>
      </c>
      <c r="J34" s="55"/>
      <c r="L34" s="0"/>
    </row>
    <row r="35" customFormat="false" ht="19.85" hidden="false" customHeight="true" outlineLevel="0" collapsed="false">
      <c r="A35" s="0" t="n">
        <v>31</v>
      </c>
      <c r="B35" s="74" t="n">
        <v>42005</v>
      </c>
      <c r="C35" s="129" t="n">
        <v>89441</v>
      </c>
      <c r="D35" s="128" t="s">
        <v>42</v>
      </c>
      <c r="E35" s="33" t="n">
        <f aca="false">IF(D35="totale",(C35/(A35*24))/F35,IF(D35="marché libre",(C35/(A35*24))/G35,"spécifier histo"))</f>
        <v>1.00180331541219</v>
      </c>
      <c r="F35" s="57" t="n">
        <v>120</v>
      </c>
      <c r="G35" s="57" t="n">
        <f aca="false">F35-H35</f>
        <v>120</v>
      </c>
      <c r="H35" s="57" t="n">
        <v>0</v>
      </c>
      <c r="J35" s="55"/>
    </row>
    <row r="36" customFormat="false" ht="19.85" hidden="false" customHeight="true" outlineLevel="0" collapsed="false">
      <c r="A36" s="0" t="n">
        <v>28</v>
      </c>
      <c r="B36" s="34" t="n">
        <v>42036</v>
      </c>
      <c r="C36" s="129" t="n">
        <v>81203</v>
      </c>
      <c r="D36" s="26" t="s">
        <v>42</v>
      </c>
      <c r="E36" s="33" t="n">
        <f aca="false">IF(D36="totale",(C36/(A36*24))/F36,IF(D36="marché libre",(C36/(A36*24))/G36,"spécifier histo"))</f>
        <v>1.0069816468254</v>
      </c>
      <c r="F36" s="59" t="n">
        <v>120</v>
      </c>
      <c r="G36" s="59" t="n">
        <f aca="false">F36-H36</f>
        <v>120</v>
      </c>
      <c r="H36" s="59" t="n">
        <v>0</v>
      </c>
      <c r="J36" s="55"/>
    </row>
    <row r="37" customFormat="false" ht="19.85" hidden="false" customHeight="true" outlineLevel="0" collapsed="false">
      <c r="A37" s="0" t="n">
        <v>31</v>
      </c>
      <c r="B37" s="31" t="n">
        <v>42064</v>
      </c>
      <c r="C37" s="129" t="n">
        <v>53605</v>
      </c>
      <c r="D37" s="26" t="s">
        <v>42</v>
      </c>
      <c r="E37" s="33" t="n">
        <f aca="false">IF(D37="totale",(C37/(A37*24))/F37,IF(D37="marché libre",(C37/(A37*24))/G37,"spécifier histo"))</f>
        <v>0.600414426523297</v>
      </c>
      <c r="F37" s="59" t="n">
        <v>120</v>
      </c>
      <c r="G37" s="59" t="n">
        <f aca="false">F37-H37</f>
        <v>120</v>
      </c>
      <c r="H37" s="59" t="n">
        <v>0</v>
      </c>
      <c r="J37" s="55"/>
    </row>
    <row r="38" customFormat="false" ht="19.85" hidden="false" customHeight="true" outlineLevel="0" collapsed="false">
      <c r="A38" s="0" t="n">
        <v>30</v>
      </c>
      <c r="B38" s="34" t="n">
        <v>42095</v>
      </c>
      <c r="C38" s="129" t="n">
        <v>49687</v>
      </c>
      <c r="D38" s="26" t="s">
        <v>42</v>
      </c>
      <c r="E38" s="33" t="n">
        <f aca="false">IF(D38="totale",(C38/(A38*24))/F38,IF(D38="marché libre",(C38/(A38*24))/G38,"spécifier histo"))</f>
        <v>0.575081018518519</v>
      </c>
      <c r="F38" s="59" t="n">
        <v>120</v>
      </c>
      <c r="G38" s="59" t="n">
        <f aca="false">F38-H38</f>
        <v>120</v>
      </c>
      <c r="H38" s="59" t="n">
        <v>0</v>
      </c>
      <c r="J38" s="55"/>
    </row>
    <row r="39" customFormat="false" ht="19.85" hidden="false" customHeight="true" outlineLevel="0" collapsed="false">
      <c r="A39" s="0" t="n">
        <v>31</v>
      </c>
      <c r="B39" s="31" t="n">
        <v>42125</v>
      </c>
      <c r="C39" s="129" t="n">
        <v>54107</v>
      </c>
      <c r="D39" s="26" t="s">
        <v>42</v>
      </c>
      <c r="E39" s="33" t="n">
        <f aca="false">IF(D39="totale",(C39/(A39*24))/F39,IF(D39="marché libre",(C39/(A39*24))/G39,"spécifier histo"))</f>
        <v>0.606037186379928</v>
      </c>
      <c r="F39" s="59" t="n">
        <v>120</v>
      </c>
      <c r="G39" s="59" t="n">
        <f aca="false">F39-H39</f>
        <v>120</v>
      </c>
      <c r="H39" s="59" t="n">
        <v>0</v>
      </c>
      <c r="J39" s="55"/>
    </row>
    <row r="40" customFormat="false" ht="19.85" hidden="false" customHeight="true" outlineLevel="0" collapsed="false">
      <c r="A40" s="0" t="n">
        <v>30</v>
      </c>
      <c r="B40" s="34" t="n">
        <v>42156</v>
      </c>
      <c r="C40" s="129" t="n">
        <v>14163</v>
      </c>
      <c r="D40" s="26" t="s">
        <v>42</v>
      </c>
      <c r="E40" s="33" t="n">
        <f aca="false">IF(D40="totale",(C40/(A40*24))/F40,IF(D40="marché libre",(C40/(A40*24))/G40,"spécifier histo"))</f>
        <v>0.163923611111111</v>
      </c>
      <c r="F40" s="59" t="n">
        <v>120</v>
      </c>
      <c r="G40" s="59" t="n">
        <f aca="false">F40-H40</f>
        <v>120</v>
      </c>
      <c r="H40" s="59" t="n">
        <v>0</v>
      </c>
      <c r="J40" s="55"/>
    </row>
    <row r="41" customFormat="false" ht="19.85" hidden="false" customHeight="true" outlineLevel="0" collapsed="false">
      <c r="A41" s="0" t="n">
        <v>31</v>
      </c>
      <c r="B41" s="31" t="n">
        <v>42186</v>
      </c>
      <c r="C41" s="132" t="n">
        <v>4922</v>
      </c>
      <c r="D41" s="26" t="s">
        <v>42</v>
      </c>
      <c r="E41" s="33" t="n">
        <f aca="false">IF(D41="totale",(C41/(A41*24))/F41,IF(D41="marché libre",(C41/(A41*24))/G41,"spécifier histo"))</f>
        <v>0.0551299283154122</v>
      </c>
      <c r="F41" s="59" t="n">
        <v>120</v>
      </c>
      <c r="G41" s="59" t="n">
        <f aca="false">F41-H41</f>
        <v>120</v>
      </c>
      <c r="H41" s="59" t="n">
        <v>0</v>
      </c>
      <c r="J41" s="55"/>
    </row>
    <row r="42" customFormat="false" ht="19.85" hidden="false" customHeight="true" outlineLevel="0" collapsed="false">
      <c r="A42" s="0" t="n">
        <v>31</v>
      </c>
      <c r="B42" s="34" t="n">
        <v>42217</v>
      </c>
      <c r="C42" s="132" t="n">
        <v>8693</v>
      </c>
      <c r="D42" s="26" t="s">
        <v>42</v>
      </c>
      <c r="E42" s="33" t="n">
        <f aca="false">IF(D42="totale",(C42/(A42*24))/F42,IF(D42="marché libre",(C42/(A42*24))/G42,"spécifier histo"))</f>
        <v>0.0973678315412186</v>
      </c>
      <c r="F42" s="59" t="n">
        <v>120</v>
      </c>
      <c r="G42" s="59" t="n">
        <f aca="false">F42-H42</f>
        <v>120</v>
      </c>
      <c r="H42" s="59" t="n">
        <v>0</v>
      </c>
      <c r="J42" s="55"/>
    </row>
    <row r="43" customFormat="false" ht="19.85" hidden="false" customHeight="true" outlineLevel="0" collapsed="false">
      <c r="A43" s="0" t="n">
        <v>30</v>
      </c>
      <c r="B43" s="31" t="n">
        <v>42248</v>
      </c>
      <c r="C43" s="132" t="n">
        <v>12253</v>
      </c>
      <c r="D43" s="26" t="s">
        <v>42</v>
      </c>
      <c r="E43" s="33" t="n">
        <f aca="false">IF(D43="totale",(C43/(A43*24))/F43,IF(D43="marché libre",(C43/(A43*24))/G43,"spécifier histo"))</f>
        <v>0.14181712962963</v>
      </c>
      <c r="F43" s="59" t="n">
        <v>120</v>
      </c>
      <c r="G43" s="59" t="n">
        <f aca="false">F43-H43</f>
        <v>120</v>
      </c>
      <c r="H43" s="59" t="n">
        <v>0</v>
      </c>
      <c r="J43" s="55"/>
    </row>
    <row r="44" customFormat="false" ht="19.85" hidden="false" customHeight="true" outlineLevel="0" collapsed="false">
      <c r="A44" s="0" t="n">
        <v>31</v>
      </c>
      <c r="B44" s="34" t="n">
        <v>42278</v>
      </c>
      <c r="C44" s="132" t="n">
        <v>9089</v>
      </c>
      <c r="D44" s="26" t="s">
        <v>42</v>
      </c>
      <c r="E44" s="33" t="n">
        <f aca="false">IF(D44="totale",(C44/(A44*24))/F44,IF(D44="marché libre",(C44/(A44*24))/G44,"spécifier histo"))</f>
        <v>0.101803315412186</v>
      </c>
      <c r="F44" s="59" t="n">
        <v>120</v>
      </c>
      <c r="G44" s="59" t="n">
        <f aca="false">F44-H44</f>
        <v>120</v>
      </c>
      <c r="H44" s="59" t="n">
        <v>0</v>
      </c>
      <c r="J44" s="55"/>
    </row>
    <row r="45" customFormat="false" ht="19.85" hidden="false" customHeight="true" outlineLevel="0" collapsed="false">
      <c r="A45" s="0" t="n">
        <v>30</v>
      </c>
      <c r="B45" s="31" t="n">
        <v>42309</v>
      </c>
      <c r="C45" s="132" t="n">
        <v>30588</v>
      </c>
      <c r="D45" s="26" t="s">
        <v>42</v>
      </c>
      <c r="E45" s="33" t="n">
        <f aca="false">IF(D45="totale",(C45/(A45*24))/F45,IF(D45="marché libre",(C45/(A45*24))/G45,"spécifier histo"))</f>
        <v>0.354027777777778</v>
      </c>
      <c r="F45" s="59" t="n">
        <v>120</v>
      </c>
      <c r="G45" s="59" t="n">
        <f aca="false">F45-H45</f>
        <v>120</v>
      </c>
      <c r="H45" s="59" t="n">
        <v>0</v>
      </c>
      <c r="J45" s="55"/>
    </row>
    <row r="46" customFormat="false" ht="19.85" hidden="false" customHeight="true" outlineLevel="0" collapsed="false">
      <c r="A46" s="0" t="n">
        <v>31</v>
      </c>
      <c r="B46" s="34" t="n">
        <v>42339</v>
      </c>
      <c r="C46" s="132" t="n">
        <v>24939</v>
      </c>
      <c r="D46" s="26" t="s">
        <v>42</v>
      </c>
      <c r="E46" s="33" t="n">
        <f aca="false">IF(D46="totale",(C46/(A46*24))/F46,IF(D46="marché libre",(C46/(A46*24))/G46,"spécifier histo"))</f>
        <v>0.279334677419355</v>
      </c>
      <c r="F46" s="59" t="n">
        <v>120</v>
      </c>
      <c r="G46" s="59" t="n">
        <f aca="false">F46-H46</f>
        <v>120</v>
      </c>
      <c r="H46" s="59" t="n">
        <v>0</v>
      </c>
      <c r="J46" s="55"/>
      <c r="K46" s="0"/>
    </row>
    <row r="47" customFormat="false" ht="19.85" hidden="false" customHeight="true" outlineLevel="0" collapsed="false">
      <c r="A47" s="0" t="n">
        <v>31</v>
      </c>
      <c r="B47" s="31" t="n">
        <v>42370</v>
      </c>
      <c r="C47" s="133" t="n">
        <v>73377</v>
      </c>
      <c r="D47" s="26" t="s">
        <v>42</v>
      </c>
      <c r="E47" s="33" t="n">
        <f aca="false">IF(D47="totale",(C47/(A47*24))/F47,IF(D47="marché libre",(C47/(A47*24))/G47,"spécifier histo"))</f>
        <v>0.821875</v>
      </c>
      <c r="F47" s="59" t="n">
        <v>120</v>
      </c>
      <c r="G47" s="59" t="n">
        <f aca="false">F47-H47</f>
        <v>120</v>
      </c>
      <c r="H47" s="59" t="n">
        <v>0</v>
      </c>
      <c r="J47" s="55"/>
      <c r="K47" s="0"/>
    </row>
    <row r="48" customFormat="false" ht="19.85" hidden="false" customHeight="true" outlineLevel="0" collapsed="false">
      <c r="A48" s="0" t="n">
        <v>28</v>
      </c>
      <c r="B48" s="34" t="n">
        <v>42401</v>
      </c>
      <c r="C48" s="133" t="n">
        <v>78503</v>
      </c>
      <c r="D48" s="26" t="s">
        <v>42</v>
      </c>
      <c r="E48" s="33" t="n">
        <f aca="false">IF(D48="totale",(C48/(A48*24))/F48,IF(D48="marché libre",(C48/(A48*24))/G48,"spécifier histo"))</f>
        <v>0.973499503968254</v>
      </c>
      <c r="F48" s="59" t="n">
        <v>120</v>
      </c>
      <c r="G48" s="59" t="n">
        <f aca="false">F48-H48</f>
        <v>120</v>
      </c>
      <c r="H48" s="59" t="n">
        <v>0</v>
      </c>
      <c r="J48" s="55"/>
      <c r="K48" s="0"/>
    </row>
    <row r="49" customFormat="false" ht="19.85" hidden="false" customHeight="true" outlineLevel="0" collapsed="false">
      <c r="A49" s="0" t="n">
        <v>31</v>
      </c>
      <c r="B49" s="31" t="n">
        <v>42430</v>
      </c>
      <c r="C49" s="133" t="n">
        <v>72231</v>
      </c>
      <c r="D49" s="26" t="s">
        <v>42</v>
      </c>
      <c r="E49" s="33" t="n">
        <f aca="false">IF(D49="totale",(C49/(A49*24))/F49,IF(D49="marché libre",(C49/(A49*24))/G49,"spécifier histo"))</f>
        <v>0.809038978494624</v>
      </c>
      <c r="F49" s="59" t="n">
        <v>120</v>
      </c>
      <c r="G49" s="59" t="n">
        <f aca="false">F49-H49</f>
        <v>120</v>
      </c>
      <c r="H49" s="59" t="n">
        <v>0</v>
      </c>
      <c r="J49" s="55"/>
      <c r="K49" s="0"/>
    </row>
    <row r="50" customFormat="false" ht="19.85" hidden="false" customHeight="true" outlineLevel="0" collapsed="false">
      <c r="A50" s="0" t="n">
        <v>30</v>
      </c>
      <c r="B50" s="34" t="n">
        <v>42461</v>
      </c>
      <c r="C50" s="133" t="n">
        <v>76106</v>
      </c>
      <c r="D50" s="26" t="s">
        <v>42</v>
      </c>
      <c r="E50" s="33" t="n">
        <f aca="false">IF(D50="totale",(C50/(A50*24))/F50,IF(D50="marché libre",(C50/(A50*24))/G50,"spécifier histo"))</f>
        <v>0.880856481481482</v>
      </c>
      <c r="F50" s="59" t="n">
        <v>120</v>
      </c>
      <c r="G50" s="59" t="n">
        <f aca="false">F50-H50</f>
        <v>120</v>
      </c>
      <c r="H50" s="59" t="n">
        <v>0</v>
      </c>
      <c r="J50" s="55"/>
      <c r="K50" s="0"/>
    </row>
    <row r="51" customFormat="false" ht="19.85" hidden="false" customHeight="true" outlineLevel="0" collapsed="false">
      <c r="A51" s="0" t="n">
        <v>31</v>
      </c>
      <c r="B51" s="31" t="n">
        <v>42491</v>
      </c>
      <c r="C51" s="133" t="n">
        <v>68310</v>
      </c>
      <c r="D51" s="26" t="s">
        <v>42</v>
      </c>
      <c r="E51" s="33" t="n">
        <f aca="false">IF(D51="totale",(C51/(A51*24))/F51,IF(D51="marché libre",(C51/(A51*24))/G51,"spécifier histo"))</f>
        <v>0.765120967741936</v>
      </c>
      <c r="F51" s="59" t="n">
        <v>120</v>
      </c>
      <c r="G51" s="59" t="n">
        <f aca="false">F51-H51</f>
        <v>120</v>
      </c>
      <c r="H51" s="59" t="n">
        <v>0</v>
      </c>
      <c r="J51" s="55"/>
      <c r="K51" s="0"/>
    </row>
    <row r="52" customFormat="false" ht="19.85" hidden="false" customHeight="true" outlineLevel="0" collapsed="false">
      <c r="A52" s="0" t="n">
        <v>30</v>
      </c>
      <c r="B52" s="34" t="n">
        <v>42522</v>
      </c>
      <c r="C52" s="133" t="n">
        <v>84758</v>
      </c>
      <c r="D52" s="26" t="s">
        <v>42</v>
      </c>
      <c r="E52" s="33" t="n">
        <f aca="false">IF(D52="totale",(C52/(A52*24))/F52,IF(D52="marché libre",(C52/(A52*24))/G52,"spécifier histo"))</f>
        <v>0.98099537037037</v>
      </c>
      <c r="F52" s="59" t="n">
        <v>120</v>
      </c>
      <c r="G52" s="59" t="n">
        <f aca="false">F52-H52</f>
        <v>120</v>
      </c>
      <c r="H52" s="59" t="n">
        <v>0</v>
      </c>
      <c r="J52" s="55"/>
      <c r="K52" s="0"/>
    </row>
    <row r="53" customFormat="false" ht="19.85" hidden="false" customHeight="true" outlineLevel="0" collapsed="false">
      <c r="A53" s="0" t="n">
        <v>31</v>
      </c>
      <c r="B53" s="31" t="n">
        <v>42552</v>
      </c>
      <c r="C53" s="133" t="n">
        <v>28230</v>
      </c>
      <c r="D53" s="26" t="s">
        <v>42</v>
      </c>
      <c r="E53" s="33" t="n">
        <f aca="false">IF(D53="totale",(C53/(A53*24))/F53,IF(D53="marché libre",(C53/(A53*24))/G53,"spécifier histo"))</f>
        <v>0.31619623655914</v>
      </c>
      <c r="F53" s="59" t="n">
        <v>120</v>
      </c>
      <c r="G53" s="59" t="n">
        <f aca="false">F53-H53</f>
        <v>120</v>
      </c>
      <c r="H53" s="59" t="n">
        <v>0</v>
      </c>
      <c r="J53" s="55"/>
      <c r="K53" s="0"/>
    </row>
    <row r="54" customFormat="false" ht="19.85" hidden="false" customHeight="true" outlineLevel="0" collapsed="false">
      <c r="A54" s="0" t="n">
        <v>31</v>
      </c>
      <c r="B54" s="34" t="n">
        <v>42583</v>
      </c>
      <c r="C54" s="133" t="n">
        <v>13607</v>
      </c>
      <c r="D54" s="26" t="s">
        <v>42</v>
      </c>
      <c r="E54" s="33" t="n">
        <f aca="false">IF(D54="totale",(C54/(A54*24))/F54,IF(D54="marché libre",(C54/(A54*24))/G54,"spécifier histo"))</f>
        <v>0.152408154121864</v>
      </c>
      <c r="F54" s="59" t="n">
        <v>120</v>
      </c>
      <c r="G54" s="59" t="n">
        <f aca="false">F54-H54</f>
        <v>120</v>
      </c>
      <c r="H54" s="59" t="n">
        <v>0</v>
      </c>
      <c r="J54" s="55"/>
      <c r="K54" s="0"/>
    </row>
    <row r="55" customFormat="false" ht="19.85" hidden="false" customHeight="true" outlineLevel="0" collapsed="false">
      <c r="A55" s="0" t="n">
        <v>30</v>
      </c>
      <c r="B55" s="31" t="n">
        <v>42614</v>
      </c>
      <c r="C55" s="133" t="n">
        <v>8232</v>
      </c>
      <c r="D55" s="26" t="s">
        <v>42</v>
      </c>
      <c r="E55" s="33" t="n">
        <f aca="false">IF(D55="totale",(C55/(A55*24))/F55,IF(D55="marché libre",(C55/(A55*24))/G55,"spécifier histo"))</f>
        <v>0.0952777777777778</v>
      </c>
      <c r="F55" s="59" t="n">
        <v>120</v>
      </c>
      <c r="G55" s="59" t="n">
        <f aca="false">F55-H55</f>
        <v>120</v>
      </c>
      <c r="H55" s="59" t="n">
        <v>0</v>
      </c>
      <c r="J55" s="55"/>
      <c r="K55" s="0"/>
    </row>
    <row r="56" customFormat="false" ht="19.85" hidden="false" customHeight="true" outlineLevel="0" collapsed="false">
      <c r="A56" s="0" t="n">
        <v>31</v>
      </c>
      <c r="B56" s="34" t="n">
        <v>42644</v>
      </c>
      <c r="C56" s="133" t="n">
        <v>11391</v>
      </c>
      <c r="D56" s="26" t="s">
        <v>42</v>
      </c>
      <c r="E56" s="33" t="n">
        <f aca="false">IF(D56="totale",(C56/(A56*24))/F56,IF(D56="marché libre",(C56/(A56*24))/G56,"spécifier histo"))</f>
        <v>0.127587365591398</v>
      </c>
      <c r="F56" s="59" t="n">
        <v>120</v>
      </c>
      <c r="G56" s="59" t="n">
        <f aca="false">F56-H56</f>
        <v>120</v>
      </c>
      <c r="H56" s="59" t="n">
        <v>0</v>
      </c>
      <c r="J56" s="55"/>
      <c r="K56" s="0"/>
    </row>
    <row r="57" customFormat="false" ht="19.85" hidden="false" customHeight="true" outlineLevel="0" collapsed="false">
      <c r="A57" s="0" t="n">
        <v>30</v>
      </c>
      <c r="B57" s="31" t="n">
        <v>42675</v>
      </c>
      <c r="C57" s="133" t="n">
        <v>39270</v>
      </c>
      <c r="D57" s="26" t="s">
        <v>42</v>
      </c>
      <c r="E57" s="33" t="n">
        <f aca="false">IF(D57="totale",(C57/(A57*24))/F57,IF(D57="marché libre",(C57/(A57*24))/G57,"spécifier histo"))</f>
        <v>0.454513888888889</v>
      </c>
      <c r="F57" s="59" t="n">
        <v>120</v>
      </c>
      <c r="G57" s="59" t="n">
        <f aca="false">F57-H57</f>
        <v>120</v>
      </c>
      <c r="H57" s="59" t="n">
        <v>0</v>
      </c>
      <c r="J57" s="55"/>
      <c r="K57" s="0"/>
    </row>
    <row r="58" customFormat="false" ht="19.85" hidden="false" customHeight="true" outlineLevel="0" collapsed="false">
      <c r="A58" s="0" t="n">
        <v>31</v>
      </c>
      <c r="B58" s="34" t="n">
        <v>42705</v>
      </c>
      <c r="C58" s="133" t="n">
        <v>14546</v>
      </c>
      <c r="D58" s="26" t="s">
        <v>42</v>
      </c>
      <c r="E58" s="33" t="n">
        <f aca="false">IF(D58="totale",(C58/(A58*24))/F58,IF(D58="marché libre",(C58/(A58*24))/G58,"spécifier histo"))</f>
        <v>0.162925627240143</v>
      </c>
      <c r="F58" s="59" t="n">
        <v>120</v>
      </c>
      <c r="G58" s="59" t="n">
        <f aca="false">F58-H58</f>
        <v>120</v>
      </c>
      <c r="H58" s="59" t="n">
        <v>0</v>
      </c>
      <c r="J58" s="55"/>
    </row>
    <row r="59" customFormat="false" ht="19.85" hidden="false" customHeight="true" outlineLevel="0" collapsed="false">
      <c r="A59" s="0" t="n">
        <v>31</v>
      </c>
      <c r="B59" s="31" t="n">
        <v>42736</v>
      </c>
      <c r="C59" s="134" t="n">
        <v>66355.5714285714</v>
      </c>
      <c r="D59" s="26" t="s">
        <v>42</v>
      </c>
      <c r="E59" s="33" t="n">
        <f aca="false">IF(D59="totale",(C59/(A59*24))/F59,IF(D59="marché libre",(C59/(A59*24))/G59,"spécifier histo"))</f>
        <v>0.74322996671787</v>
      </c>
      <c r="F59" s="59" t="n">
        <v>120</v>
      </c>
      <c r="G59" s="59" t="n">
        <f aca="false">F59-H59</f>
        <v>120</v>
      </c>
      <c r="H59" s="59" t="n">
        <v>0</v>
      </c>
      <c r="J59" s="30"/>
      <c r="K59" s="0"/>
    </row>
    <row r="60" customFormat="false" ht="19.85" hidden="false" customHeight="true" outlineLevel="0" collapsed="false">
      <c r="A60" s="0" t="n">
        <v>28</v>
      </c>
      <c r="B60" s="34" t="n">
        <v>42767</v>
      </c>
      <c r="C60" s="134" t="n">
        <v>64290.8571428572</v>
      </c>
      <c r="D60" s="26" t="s">
        <v>42</v>
      </c>
      <c r="E60" s="33" t="n">
        <f aca="false">IF(D60="totale",(C60/(A60*24))/F60,IF(D60="marché libre",(C60/(A60*24))/G60,"spécifier histo"))</f>
        <v>0.797257653061225</v>
      </c>
      <c r="F60" s="59" t="n">
        <v>120</v>
      </c>
      <c r="G60" s="59" t="n">
        <f aca="false">F60-H60</f>
        <v>120</v>
      </c>
      <c r="H60" s="59" t="n">
        <v>0</v>
      </c>
      <c r="J60" s="55"/>
      <c r="K60" s="0"/>
    </row>
    <row r="61" customFormat="false" ht="19.85" hidden="false" customHeight="true" outlineLevel="0" collapsed="false">
      <c r="A61" s="0" t="n">
        <v>31</v>
      </c>
      <c r="B61" s="31" t="n">
        <v>42795</v>
      </c>
      <c r="C61" s="133" t="n">
        <v>70370</v>
      </c>
      <c r="D61" s="26" t="s">
        <v>42</v>
      </c>
      <c r="E61" s="33" t="n">
        <f aca="false">IF(D61="totale",(C61/(A61*24))/F61,IF(D61="marché libre",(C61/(A61*24))/G61,"spécifier histo"))</f>
        <v>0.788194444444444</v>
      </c>
      <c r="F61" s="59" t="n">
        <v>120</v>
      </c>
      <c r="G61" s="59" t="n">
        <f aca="false">F61-H61</f>
        <v>120</v>
      </c>
      <c r="H61" s="59" t="n">
        <v>0</v>
      </c>
      <c r="J61" s="55"/>
      <c r="K61" s="0"/>
    </row>
    <row r="62" customFormat="false" ht="19.85" hidden="false" customHeight="true" outlineLevel="0" collapsed="false">
      <c r="A62" s="0" t="n">
        <v>30</v>
      </c>
      <c r="B62" s="34" t="n">
        <v>42826</v>
      </c>
      <c r="C62" s="134" t="n">
        <v>44843.1428571429</v>
      </c>
      <c r="D62" s="26" t="s">
        <v>42</v>
      </c>
      <c r="E62" s="33" t="n">
        <f aca="false">IF(D62="totale",(C62/(A62*24))/F62,IF(D62="marché libre",(C62/(A62*24))/G62,"spécifier histo"))</f>
        <v>0.519017857142858</v>
      </c>
      <c r="F62" s="59" t="n">
        <v>120</v>
      </c>
      <c r="G62" s="59" t="n">
        <f aca="false">F62-H62</f>
        <v>120</v>
      </c>
      <c r="H62" s="59" t="n">
        <v>0</v>
      </c>
      <c r="J62" s="55"/>
      <c r="K62" s="0"/>
    </row>
    <row r="63" customFormat="false" ht="19.85" hidden="false" customHeight="true" outlineLevel="0" collapsed="false">
      <c r="A63" s="0" t="n">
        <v>31</v>
      </c>
      <c r="B63" s="31" t="n">
        <v>42856</v>
      </c>
      <c r="C63" s="134" t="n">
        <v>33474.5277777778</v>
      </c>
      <c r="D63" s="26" t="s">
        <v>42</v>
      </c>
      <c r="E63" s="33" t="n">
        <f aca="false">IF(D63="totale",(C63/(A63*24))/F63,IF(D63="marché libre",(C63/(A63*24))/G63,"spécifier histo"))</f>
        <v>0.374938707188371</v>
      </c>
      <c r="F63" s="59" t="n">
        <v>120</v>
      </c>
      <c r="G63" s="59" t="n">
        <f aca="false">F63-H63</f>
        <v>120</v>
      </c>
      <c r="H63" s="59" t="n">
        <v>0</v>
      </c>
      <c r="J63" s="55"/>
      <c r="K63" s="0"/>
    </row>
    <row r="64" customFormat="false" ht="22.45" hidden="false" customHeight="true" outlineLevel="0" collapsed="false">
      <c r="A64" s="0" t="n">
        <v>30</v>
      </c>
      <c r="B64" s="34" t="n">
        <v>42887</v>
      </c>
      <c r="C64" s="134" t="n">
        <v>25463.1666666667</v>
      </c>
      <c r="D64" s="26" t="s">
        <v>42</v>
      </c>
      <c r="E64" s="33" t="n">
        <f aca="false">IF(D64="totale",(C64/(A64*24))/F64,IF(D64="marché libre",(C64/(A64*24))/G64,"spécifier histo"))</f>
        <v>0.294712577160494</v>
      </c>
      <c r="F64" s="59" t="n">
        <v>120</v>
      </c>
      <c r="G64" s="59" t="n">
        <f aca="false">F64-H64</f>
        <v>120</v>
      </c>
      <c r="H64" s="59" t="n">
        <v>0</v>
      </c>
      <c r="J64" s="55"/>
      <c r="K64" s="0"/>
    </row>
    <row r="65" customFormat="false" ht="21.65" hidden="false" customHeight="true" outlineLevel="0" collapsed="false">
      <c r="A65" s="0" t="n">
        <v>31</v>
      </c>
      <c r="B65" s="31" t="n">
        <v>42917</v>
      </c>
      <c r="C65" s="134" t="n">
        <v>9602.91666666667</v>
      </c>
      <c r="D65" s="26" t="s">
        <v>42</v>
      </c>
      <c r="E65" s="33" t="n">
        <f aca="false">IF(D65="totale",(C65/(A65*24))/F65,IF(D65="marché libre",(C65/(A65*24))/G65,"spécifier histo"))</f>
        <v>0.107559550477897</v>
      </c>
      <c r="F65" s="59" t="n">
        <v>120</v>
      </c>
      <c r="G65" s="59" t="n">
        <f aca="false">F65-H65</f>
        <v>120</v>
      </c>
      <c r="H65" s="59" t="n">
        <v>0</v>
      </c>
      <c r="J65" s="55"/>
      <c r="K65" s="0"/>
    </row>
    <row r="66" customFormat="false" ht="21.65" hidden="false" customHeight="true" outlineLevel="0" collapsed="false">
      <c r="A66" s="0" t="n">
        <v>31</v>
      </c>
      <c r="B66" s="34" t="n">
        <v>42948</v>
      </c>
      <c r="C66" s="134" t="n">
        <v>30361.5</v>
      </c>
      <c r="D66" s="26" t="s">
        <v>42</v>
      </c>
      <c r="E66" s="33" t="n">
        <f aca="false">IF(D66="totale",(C66/(A66*24))/F66,IF(D66="marché libre",(C66/(A66*24))/G66,"spécifier histo"))</f>
        <v>0.340070564516129</v>
      </c>
      <c r="F66" s="59" t="n">
        <v>120</v>
      </c>
      <c r="G66" s="59" t="n">
        <f aca="false">F66-H66</f>
        <v>120</v>
      </c>
      <c r="H66" s="59" t="n">
        <v>0</v>
      </c>
      <c r="J66" s="55"/>
      <c r="K66" s="0"/>
    </row>
    <row r="67" customFormat="false" ht="21.65" hidden="false" customHeight="true" outlineLevel="0" collapsed="false">
      <c r="A67" s="0" t="n">
        <v>30</v>
      </c>
      <c r="B67" s="31" t="n">
        <v>42979</v>
      </c>
      <c r="C67" s="134" t="n">
        <v>16333</v>
      </c>
      <c r="D67" s="26" t="s">
        <v>42</v>
      </c>
      <c r="E67" s="33" t="n">
        <f aca="false">IF(D67="totale",(C67/(A67*24))/F67,IF(D67="marché libre",(C67/(A67*24))/G67,"spécifier histo"))</f>
        <v>0.189039351851852</v>
      </c>
      <c r="F67" s="59" t="n">
        <v>120</v>
      </c>
      <c r="G67" s="59" t="n">
        <f aca="false">F67-H67</f>
        <v>120</v>
      </c>
      <c r="H67" s="59" t="n">
        <v>0</v>
      </c>
      <c r="J67" s="55"/>
      <c r="K67" s="0"/>
    </row>
    <row r="68" customFormat="false" ht="21.65" hidden="false" customHeight="true" outlineLevel="0" collapsed="false">
      <c r="A68" s="0" t="n">
        <v>31</v>
      </c>
      <c r="B68" s="34" t="n">
        <v>43009</v>
      </c>
      <c r="C68" s="134" t="n">
        <v>24162.1666666667</v>
      </c>
      <c r="D68" s="26" t="s">
        <v>42</v>
      </c>
      <c r="E68" s="33" t="n">
        <f aca="false">IF(D68="totale",(C68/(A68*24))/F68,IF(D68="marché libre",(C68/(A68*24))/G68,"spécifier histo"))</f>
        <v>0.270633587216249</v>
      </c>
      <c r="F68" s="59" t="n">
        <v>120</v>
      </c>
      <c r="G68" s="59" t="n">
        <f aca="false">F68-H68</f>
        <v>120</v>
      </c>
      <c r="H68" s="59" t="n">
        <v>0</v>
      </c>
      <c r="J68" s="55"/>
      <c r="K68" s="0"/>
    </row>
    <row r="69" customFormat="false" ht="21.65" hidden="false" customHeight="true" outlineLevel="0" collapsed="false">
      <c r="A69" s="0" t="n">
        <v>30</v>
      </c>
      <c r="B69" s="31" t="n">
        <v>43040</v>
      </c>
      <c r="C69" s="134" t="n">
        <v>0</v>
      </c>
      <c r="D69" s="26" t="s">
        <v>42</v>
      </c>
      <c r="E69" s="33" t="n">
        <f aca="false">IF(D69="totale",(C69/(A69*24))/F69,IF(D69="marché libre",(C69/(A69*24))/G69,"spécifier histo"))</f>
        <v>0</v>
      </c>
      <c r="F69" s="59" t="n">
        <v>120</v>
      </c>
      <c r="G69" s="59" t="n">
        <f aca="false">F69-H69</f>
        <v>120</v>
      </c>
      <c r="H69" s="59" t="n">
        <v>0</v>
      </c>
      <c r="J69" s="55"/>
      <c r="K69" s="0"/>
    </row>
    <row r="70" customFormat="false" ht="21.65" hidden="false" customHeight="true" outlineLevel="0" collapsed="false">
      <c r="A70" s="0" t="n">
        <v>31</v>
      </c>
      <c r="B70" s="34" t="n">
        <v>43070</v>
      </c>
      <c r="C70" s="134" t="n">
        <v>50719.2365827243</v>
      </c>
      <c r="D70" s="26" t="s">
        <v>42</v>
      </c>
      <c r="E70" s="33" t="n">
        <f aca="false">IF(D70="totale",(C70/(A70*24))/F70,IF(D70="marché libre",(C70/(A70*24))/G70,"spécifier histo"))</f>
        <v>0.568091807602199</v>
      </c>
      <c r="F70" s="59" t="n">
        <v>120</v>
      </c>
      <c r="G70" s="59" t="n">
        <f aca="false">F70-H70</f>
        <v>120</v>
      </c>
      <c r="H70" s="59" t="n">
        <v>0</v>
      </c>
      <c r="J70" s="55"/>
      <c r="K70" s="0"/>
    </row>
    <row r="71" customFormat="false" ht="23.8" hidden="false" customHeight="true" outlineLevel="0" collapsed="false">
      <c r="A71" s="0" t="n">
        <v>31</v>
      </c>
      <c r="B71" s="31" t="n">
        <v>43101</v>
      </c>
      <c r="C71" s="133" t="n">
        <v>79258</v>
      </c>
      <c r="D71" s="26" t="s">
        <v>42</v>
      </c>
      <c r="E71" s="33" t="n">
        <f aca="false">IF(D71="totale",(C71/(A71*24))/F71,IF(D71="marché libre",(C71/(A71*24))/G71,"spécifier histo"))</f>
        <v>0.887746415770609</v>
      </c>
      <c r="F71" s="59" t="n">
        <v>120</v>
      </c>
      <c r="G71" s="59" t="n">
        <f aca="false">F71-H71</f>
        <v>120</v>
      </c>
      <c r="H71" s="59" t="n">
        <v>0</v>
      </c>
      <c r="J71" s="30"/>
    </row>
    <row r="72" customFormat="false" ht="28.35" hidden="false" customHeight="true" outlineLevel="0" collapsed="false">
      <c r="A72" s="0" t="n">
        <v>31</v>
      </c>
      <c r="B72" s="34" t="n">
        <v>43132</v>
      </c>
      <c r="C72" s="133" t="n">
        <v>79665</v>
      </c>
      <c r="D72" s="26" t="s">
        <v>42</v>
      </c>
      <c r="E72" s="33" t="n">
        <f aca="false">IF(D72="totale",(C72/(A72*24))/F72,IF(D72="marché libre",(C72/(A72*24))/G72,"spécifier histo"))</f>
        <v>0.892305107526882</v>
      </c>
      <c r="F72" s="59" t="n">
        <v>120</v>
      </c>
      <c r="G72" s="59" t="n">
        <f aca="false">F72-H72</f>
        <v>120</v>
      </c>
      <c r="H72" s="59" t="n">
        <v>0</v>
      </c>
    </row>
    <row r="73" customFormat="false" ht="28.35" hidden="false" customHeight="true" outlineLevel="0" collapsed="false">
      <c r="A73" s="0" t="n">
        <v>28</v>
      </c>
      <c r="B73" s="31" t="n">
        <v>43160</v>
      </c>
      <c r="C73" s="133" t="n">
        <v>86230</v>
      </c>
      <c r="D73" s="26" t="s">
        <v>42</v>
      </c>
      <c r="E73" s="33" t="n">
        <f aca="false">IF(D73="totale",(C73/(A73*24))/F73,IF(D73="marché libre",(C73/(A73*24))/G73,"spécifier histo"))</f>
        <v>1.06932043650794</v>
      </c>
      <c r="F73" s="59" t="n">
        <v>120</v>
      </c>
      <c r="G73" s="59" t="n">
        <f aca="false">F73-H73</f>
        <v>120</v>
      </c>
      <c r="H73" s="59" t="n">
        <v>0</v>
      </c>
    </row>
    <row r="74" customFormat="false" ht="28.35" hidden="false" customHeight="true" outlineLevel="0" collapsed="false">
      <c r="A74" s="0" t="n">
        <v>31</v>
      </c>
      <c r="B74" s="34" t="n">
        <v>43191</v>
      </c>
      <c r="C74" s="133" t="n">
        <v>70388</v>
      </c>
      <c r="D74" s="26" t="s">
        <v>42</v>
      </c>
      <c r="E74" s="33" t="n">
        <f aca="false">IF(D74="totale",(C74/(A74*24))/F74,IF(D74="marché libre",(C74/(A74*24))/G74,"spécifier histo"))</f>
        <v>0.78839605734767</v>
      </c>
      <c r="F74" s="59" t="n">
        <v>120</v>
      </c>
      <c r="G74" s="59" t="n">
        <f aca="false">F74-H74</f>
        <v>120</v>
      </c>
      <c r="H74" s="59" t="n">
        <v>0</v>
      </c>
    </row>
    <row r="75" customFormat="false" ht="28.35" hidden="false" customHeight="true" outlineLevel="0" collapsed="false">
      <c r="A75" s="0" t="n">
        <v>30</v>
      </c>
      <c r="B75" s="31" t="n">
        <v>43221</v>
      </c>
      <c r="C75" s="133" t="n">
        <v>45755</v>
      </c>
      <c r="D75" s="26" t="s">
        <v>42</v>
      </c>
      <c r="E75" s="33" t="n">
        <f aca="false">IF(D75="totale",(C75/(A75*24))/F75,IF(D75="marché libre",(C75/(A75*24))/G75,"spécifier histo"))</f>
        <v>0.529571759259259</v>
      </c>
      <c r="F75" s="59" t="n">
        <v>120</v>
      </c>
      <c r="G75" s="59" t="n">
        <f aca="false">F75-H75</f>
        <v>120</v>
      </c>
      <c r="H75" s="59" t="n">
        <v>0</v>
      </c>
    </row>
    <row r="76" customFormat="false" ht="28.35" hidden="false" customHeight="true" outlineLevel="0" collapsed="false">
      <c r="A76" s="0" t="n">
        <v>31</v>
      </c>
      <c r="B76" s="34" t="n">
        <v>43252</v>
      </c>
      <c r="C76" s="133" t="n">
        <v>18873</v>
      </c>
      <c r="D76" s="26" t="s">
        <v>42</v>
      </c>
      <c r="E76" s="33" t="n">
        <f aca="false">IF(D76="totale",(C76/(A76*24))/F76,IF(D76="marché libre",(C76/(A76*24))/G76,"spécifier histo"))</f>
        <v>0.211391129032258</v>
      </c>
      <c r="F76" s="59" t="n">
        <v>120</v>
      </c>
      <c r="G76" s="59" t="n">
        <f aca="false">F76-H76</f>
        <v>120</v>
      </c>
      <c r="H76" s="59" t="n">
        <v>0</v>
      </c>
    </row>
    <row r="77" customFormat="false" ht="28.35" hidden="false" customHeight="true" outlineLevel="0" collapsed="false">
      <c r="A77" s="0" t="n">
        <v>31</v>
      </c>
    </row>
    <row r="78" customFormat="false" ht="28.35" hidden="false" customHeight="true" outlineLevel="0" collapsed="false">
      <c r="A78" s="0" t="n">
        <v>31</v>
      </c>
    </row>
    <row r="79" customFormat="false" ht="28.35" hidden="false" customHeight="true" outlineLevel="0" collapsed="false">
      <c r="A79" s="0"/>
    </row>
    <row r="80" customFormat="false" ht="28.35" hidden="false" customHeight="true" outlineLevel="0" collapsed="false">
      <c r="A80" s="0"/>
    </row>
    <row r="81" customFormat="false" ht="28.35" hidden="false" customHeight="true" outlineLevel="0" collapsed="false">
      <c r="A81" s="0"/>
    </row>
    <row r="82" customFormat="false" ht="28.35" hidden="false" customHeight="true" outlineLevel="0" collapsed="false">
      <c r="A82" s="0"/>
    </row>
    <row r="83" customFormat="false" ht="28.35" hidden="false" customHeight="true" outlineLevel="0" collapsed="false">
      <c r="A83" s="0"/>
    </row>
    <row r="84" customFormat="false" ht="28.35" hidden="false" customHeight="true" outlineLevel="0" collapsed="false">
      <c r="A84" s="0"/>
    </row>
    <row r="85" customFormat="false" ht="28.35" hidden="false" customHeight="true" outlineLevel="0" collapsed="false">
      <c r="A85" s="0"/>
    </row>
    <row r="86" customFormat="false" ht="28.35" hidden="false" customHeight="true" outlineLevel="0" collapsed="false">
      <c r="A86" s="0"/>
    </row>
    <row r="87" customFormat="false" ht="28.35" hidden="false" customHeight="true" outlineLevel="0" collapsed="false">
      <c r="A87" s="0"/>
    </row>
    <row r="88" customFormat="false" ht="28.35" hidden="false" customHeight="true" outlineLevel="0" collapsed="false">
      <c r="A88" s="0"/>
    </row>
    <row r="89" customFormat="false" ht="28.35" hidden="false" customHeight="true" outlineLevel="0" collapsed="false">
      <c r="A89" s="0"/>
    </row>
    <row r="90" customFormat="false" ht="28.35" hidden="false" customHeight="true" outlineLevel="0" collapsed="false">
      <c r="A90" s="0"/>
    </row>
    <row r="91" customFormat="false" ht="28.35" hidden="false" customHeight="true" outlineLevel="0" collapsed="false">
      <c r="A91" s="0"/>
    </row>
    <row r="92" customFormat="false" ht="28.35" hidden="false" customHeight="true" outlineLevel="0" collapsed="false">
      <c r="A92" s="0"/>
    </row>
    <row r="93" customFormat="false" ht="28.35" hidden="false" customHeight="true" outlineLevel="0" collapsed="false">
      <c r="A93" s="0"/>
    </row>
    <row r="94" customFormat="false" ht="28.35" hidden="false" customHeight="true" outlineLevel="0" collapsed="false">
      <c r="A94" s="0"/>
    </row>
    <row r="95" customFormat="false" ht="28.35" hidden="false" customHeight="true" outlineLevel="0" collapsed="false">
      <c r="A95" s="0"/>
    </row>
    <row r="96" customFormat="false" ht="28.35" hidden="false" customHeight="true" outlineLevel="0" collapsed="false">
      <c r="A96" s="0"/>
    </row>
    <row r="97" customFormat="false" ht="28.35" hidden="false" customHeight="true" outlineLevel="0" collapsed="false">
      <c r="A97" s="0"/>
    </row>
    <row r="98" customFormat="false" ht="28.35" hidden="false" customHeight="true" outlineLevel="0" collapsed="false">
      <c r="A98" s="0"/>
    </row>
    <row r="99" customFormat="false" ht="28.35" hidden="false" customHeight="true" outlineLevel="0" collapsed="false">
      <c r="A99" s="0"/>
    </row>
    <row r="100" customFormat="false" ht="28.35" hidden="false" customHeight="true" outlineLevel="0" collapsed="false">
      <c r="A100" s="0"/>
    </row>
    <row r="101" customFormat="false" ht="28.35" hidden="false" customHeight="true" outlineLevel="0" collapsed="false">
      <c r="A101" s="0"/>
    </row>
    <row r="102" customFormat="false" ht="28.35" hidden="false" customHeight="true" outlineLevel="0" collapsed="false">
      <c r="A102" s="0"/>
    </row>
    <row r="103" customFormat="false" ht="28.35" hidden="false" customHeight="true" outlineLevel="0" collapsed="false">
      <c r="A103" s="0"/>
    </row>
    <row r="104" customFormat="false" ht="28.35" hidden="false" customHeight="true" outlineLevel="0" collapsed="false">
      <c r="A104" s="0"/>
    </row>
    <row r="105" customFormat="false" ht="28.35" hidden="false" customHeight="true" outlineLevel="0" collapsed="false">
      <c r="A105" s="0"/>
    </row>
    <row r="106" customFormat="false" ht="28.35" hidden="false" customHeight="true" outlineLevel="0" collapsed="false">
      <c r="A106" s="0"/>
    </row>
    <row r="107" customFormat="false" ht="28.35" hidden="false" customHeight="true" outlineLevel="0" collapsed="false">
      <c r="A107" s="0"/>
    </row>
    <row r="108" customFormat="false" ht="28.35" hidden="false" customHeight="true" outlineLevel="0" collapsed="false">
      <c r="A108" s="0"/>
    </row>
    <row r="109" customFormat="false" ht="28.35" hidden="false" customHeight="true" outlineLevel="0" collapsed="false">
      <c r="A109" s="0"/>
    </row>
    <row r="110" customFormat="false" ht="28.35" hidden="false" customHeight="true" outlineLevel="0" collapsed="false">
      <c r="A110" s="0"/>
    </row>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2 E24:E76">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23">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AG111"/>
  <sheetViews>
    <sheetView showFormulas="false" showGridLines="true" showRowColHeaders="true" showZeros="true" rightToLeft="false" tabSelected="false" showOutlineSymbols="true" defaultGridColor="true" view="normal" topLeftCell="A70" colorId="64" zoomScale="90" zoomScaleNormal="90" zoomScalePageLayoutView="100" workbookViewId="0">
      <selection pane="topLeft" activeCell="H121" activeCellId="0" sqref="H121"/>
    </sheetView>
  </sheetViews>
  <sheetFormatPr defaultRowHeight="12.8" zeroHeight="false" outlineLevelRow="0" outlineLevelCol="0"/>
  <cols>
    <col collapsed="false" customWidth="true" hidden="false" outlineLevel="0" max="1" min="1" style="9" width="3.37"/>
    <col collapsed="false" customWidth="true" hidden="false" outlineLevel="0" max="2" min="2" style="9" width="17.13"/>
    <col collapsed="false" customWidth="true" hidden="false" outlineLevel="0" max="3" min="3" style="9" width="14.81"/>
    <col collapsed="false" customWidth="true" hidden="false" outlineLevel="0" max="4" min="4" style="9" width="16.07"/>
    <col collapsed="false" customWidth="true" hidden="false" outlineLevel="0" max="5" min="5" style="9" width="19.14"/>
    <col collapsed="false" customWidth="true" hidden="false" outlineLevel="0" max="6" min="6" style="9" width="16.07"/>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9"/>
    <col collapsed="false" customWidth="true" hidden="false" outlineLevel="0" max="11" min="11" style="9" width="13.12"/>
    <col collapsed="false" customWidth="true" hidden="false" outlineLevel="0" max="12" min="12" style="9" width="19.91"/>
    <col collapsed="false" customWidth="true" hidden="false" outlineLevel="0" max="13" min="13" style="9" width="16.07"/>
    <col collapsed="false" customWidth="true" hidden="false" outlineLevel="0" max="14" min="14" style="9" width="15.42"/>
    <col collapsed="false" customWidth="true" hidden="false" outlineLevel="0" max="15" min="15" style="9" width="9.13"/>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96" t="s">
        <v>0</v>
      </c>
      <c r="C1" s="96"/>
      <c r="D1" s="96"/>
      <c r="E1" s="96"/>
      <c r="F1" s="97" t="s">
        <v>1</v>
      </c>
      <c r="G1" s="97"/>
      <c r="H1" s="97"/>
      <c r="I1" s="97"/>
      <c r="J1" s="97"/>
      <c r="K1" s="97"/>
      <c r="L1" s="97"/>
      <c r="M1" s="97"/>
      <c r="N1" s="97"/>
      <c r="O1" s="97"/>
    </row>
    <row r="2" customFormat="false" ht="30.8" hidden="false" customHeight="true" outlineLevel="0" collapsed="false">
      <c r="B2" s="96"/>
      <c r="C2" s="96"/>
      <c r="D2" s="96"/>
      <c r="E2" s="96"/>
      <c r="F2" s="97" t="s">
        <v>2</v>
      </c>
      <c r="G2" s="97"/>
      <c r="H2" s="97"/>
      <c r="I2" s="97"/>
      <c r="J2" s="97" t="s">
        <v>3</v>
      </c>
      <c r="K2" s="97"/>
      <c r="L2" s="97"/>
      <c r="M2" s="97" t="s">
        <v>4</v>
      </c>
      <c r="N2" s="97"/>
      <c r="O2" s="97" t="s">
        <v>5</v>
      </c>
      <c r="Q2" s="4"/>
      <c r="R2" s="5" t="s">
        <v>6</v>
      </c>
      <c r="T2" s="6"/>
      <c r="U2" s="7" t="s">
        <v>7</v>
      </c>
    </row>
    <row r="3" customFormat="false" ht="40.8" hidden="false" customHeight="true" outlineLevel="0" collapsed="false">
      <c r="B3" s="20" t="s">
        <v>9</v>
      </c>
      <c r="C3" s="20" t="s">
        <v>10</v>
      </c>
      <c r="D3" s="20" t="s">
        <v>11</v>
      </c>
      <c r="E3" s="98" t="s">
        <v>12</v>
      </c>
      <c r="F3" s="20" t="s">
        <v>13</v>
      </c>
      <c r="G3" s="20" t="s">
        <v>14</v>
      </c>
      <c r="H3" s="20" t="s">
        <v>15</v>
      </c>
      <c r="I3" s="20" t="s">
        <v>16</v>
      </c>
      <c r="J3" s="20" t="s">
        <v>17</v>
      </c>
      <c r="K3" s="20" t="s">
        <v>91</v>
      </c>
      <c r="L3" s="20" t="s">
        <v>18</v>
      </c>
      <c r="M3" s="20" t="s">
        <v>19</v>
      </c>
      <c r="N3" s="20" t="s">
        <v>17</v>
      </c>
      <c r="O3" s="97"/>
      <c r="Q3" s="12"/>
      <c r="R3" s="5" t="s">
        <v>20</v>
      </c>
      <c r="T3" s="13"/>
      <c r="U3" s="7" t="s">
        <v>21</v>
      </c>
    </row>
    <row r="4" customFormat="false" ht="44.15" hidden="false" customHeight="true" outlineLevel="0" collapsed="false">
      <c r="B4" s="135" t="s">
        <v>115</v>
      </c>
      <c r="C4" s="19" t="n">
        <v>30428</v>
      </c>
      <c r="D4" s="19" t="s">
        <v>116</v>
      </c>
      <c r="E4" s="136" t="s">
        <v>117</v>
      </c>
      <c r="F4" s="15" t="n">
        <v>1660</v>
      </c>
      <c r="G4" s="15" t="n">
        <v>1500</v>
      </c>
      <c r="H4" s="15" t="n">
        <v>1250</v>
      </c>
      <c r="I4" s="15"/>
      <c r="J4" s="15"/>
      <c r="K4" s="15"/>
      <c r="L4" s="15"/>
      <c r="M4" s="15"/>
      <c r="N4" s="15"/>
      <c r="O4" s="101"/>
      <c r="Q4" s="17"/>
      <c r="R4" s="16" t="s">
        <v>23</v>
      </c>
      <c r="T4" s="18"/>
      <c r="U4" s="19" t="s">
        <v>24</v>
      </c>
      <c r="V4" s="19"/>
      <c r="W4" s="19"/>
    </row>
    <row r="5" customFormat="false" ht="28.35" hidden="false" customHeight="true" outlineLevel="0" collapsed="false">
      <c r="T5" s="0"/>
      <c r="U5" s="0"/>
    </row>
    <row r="6" customFormat="false" ht="28.35" hidden="false" customHeight="true" outlineLevel="0" collapsed="false">
      <c r="B6" s="0"/>
      <c r="C6" s="10" t="s">
        <v>25</v>
      </c>
      <c r="D6" s="10"/>
      <c r="F6" s="20" t="s">
        <v>26</v>
      </c>
      <c r="G6" s="15" t="s">
        <v>118</v>
      </c>
      <c r="H6" s="15"/>
      <c r="I6" s="15"/>
      <c r="J6" s="15"/>
      <c r="K6" s="15"/>
      <c r="L6" s="15"/>
      <c r="M6" s="15"/>
      <c r="N6" s="15"/>
      <c r="O6" s="15"/>
      <c r="Q6" s="21" t="n">
        <v>43466</v>
      </c>
      <c r="R6" s="19" t="s">
        <v>27</v>
      </c>
      <c r="T6" s="22"/>
      <c r="U6" s="5" t="s">
        <v>28</v>
      </c>
    </row>
    <row r="7" customFormat="false" ht="44.95" hidden="false" customHeight="true" outlineLevel="0" collapsed="false">
      <c r="B7" s="0"/>
      <c r="C7" s="126"/>
      <c r="D7" s="126"/>
      <c r="F7" s="20"/>
      <c r="G7" s="20"/>
      <c r="H7" s="15"/>
      <c r="I7" s="15"/>
      <c r="J7" s="15"/>
      <c r="K7" s="15"/>
      <c r="L7" s="15"/>
      <c r="M7" s="15"/>
      <c r="N7" s="15"/>
      <c r="O7" s="15"/>
      <c r="Q7" s="24"/>
      <c r="R7" s="5" t="s">
        <v>29</v>
      </c>
      <c r="T7" s="25"/>
      <c r="U7" s="5" t="s">
        <v>30</v>
      </c>
    </row>
    <row r="8" customFormat="false" ht="28.3" hidden="false" customHeight="true" outlineLevel="0" collapsed="false">
      <c r="Q8" s="1"/>
      <c r="R8" s="1"/>
      <c r="T8" s="27"/>
      <c r="U8" s="16" t="s">
        <v>31</v>
      </c>
    </row>
    <row r="9" customFormat="false" ht="42.45" hidden="false" customHeight="true" outlineLevel="0" collapsed="false">
      <c r="A9" s="1"/>
      <c r="B9" s="9" t="s">
        <v>32</v>
      </c>
      <c r="C9" s="9" t="s">
        <v>51</v>
      </c>
      <c r="D9" s="9" t="s">
        <v>52</v>
      </c>
      <c r="E9" s="1" t="s">
        <v>35</v>
      </c>
      <c r="F9" s="9" t="s">
        <v>97</v>
      </c>
      <c r="G9" s="9" t="s">
        <v>37</v>
      </c>
      <c r="H9" s="9" t="s">
        <v>38</v>
      </c>
      <c r="I9" s="9" t="s">
        <v>39</v>
      </c>
      <c r="J9" s="103" t="s">
        <v>40</v>
      </c>
      <c r="K9" s="103"/>
    </row>
    <row r="10" customFormat="false" ht="13.5" hidden="false" customHeight="true" outlineLevel="0" collapsed="false">
      <c r="A10" s="0" t="n">
        <v>31</v>
      </c>
      <c r="B10" s="31" t="n">
        <v>40544</v>
      </c>
      <c r="C10" s="137" t="n">
        <v>699931</v>
      </c>
      <c r="D10" s="29" t="s">
        <v>42</v>
      </c>
      <c r="E10" s="33" t="n">
        <f aca="false">IF(D10="totale",(C10/(A10*24))/F10,IF(D10="marché libre",(C10/(A10*24))/G10,"spécifier histo"))</f>
        <v>0.752613978494624</v>
      </c>
      <c r="F10" s="9" t="n">
        <v>1250</v>
      </c>
      <c r="G10" s="9" t="n">
        <f aca="false">F10-H10</f>
        <v>1250</v>
      </c>
      <c r="H10" s="9" t="n">
        <v>0</v>
      </c>
      <c r="I10" s="26"/>
      <c r="J10" s="103"/>
      <c r="K10" s="103"/>
      <c r="Y10" s="0"/>
      <c r="AG10" s="0"/>
    </row>
    <row r="11" customFormat="false" ht="13.5" hidden="false" customHeight="true" outlineLevel="0" collapsed="false">
      <c r="A11" s="0" t="n">
        <v>28</v>
      </c>
      <c r="B11" s="34" t="n">
        <v>40575</v>
      </c>
      <c r="C11" s="137" t="n">
        <v>404713</v>
      </c>
      <c r="D11" s="29" t="s">
        <v>42</v>
      </c>
      <c r="E11" s="33" t="n">
        <f aca="false">IF(D11="totale",(C11/(A11*24))/F11,IF(D11="marché libre",(C11/(A11*24))/G11,"spécifier histo"))</f>
        <v>0.481801190476191</v>
      </c>
      <c r="F11" s="9" t="n">
        <v>1250</v>
      </c>
      <c r="G11" s="9" t="n">
        <f aca="false">F11-H11</f>
        <v>1250</v>
      </c>
      <c r="H11" s="9" t="n">
        <v>0</v>
      </c>
      <c r="I11" s="26"/>
      <c r="J11" s="103"/>
      <c r="K11" s="103"/>
      <c r="Y11" s="0"/>
      <c r="AG11" s="0"/>
    </row>
    <row r="12" customFormat="false" ht="13.5" hidden="false" customHeight="true" outlineLevel="0" collapsed="false">
      <c r="A12" s="0" t="n">
        <v>31</v>
      </c>
      <c r="B12" s="31" t="n">
        <v>40603</v>
      </c>
      <c r="C12" s="137" t="n">
        <v>321089</v>
      </c>
      <c r="D12" s="29" t="s">
        <v>42</v>
      </c>
      <c r="E12" s="33" t="n">
        <f aca="false">IF(D12="totale",(C12/(A12*24))/F12,IF(D12="marché libre",(C12/(A12*24))/G12,"spécifier histo"))</f>
        <v>0.345256989247312</v>
      </c>
      <c r="F12" s="9" t="n">
        <v>1250</v>
      </c>
      <c r="G12" s="9" t="n">
        <f aca="false">F12-H12</f>
        <v>1250</v>
      </c>
      <c r="H12" s="9" t="n">
        <v>0</v>
      </c>
      <c r="I12" s="26"/>
      <c r="J12" s="103"/>
      <c r="K12" s="103"/>
      <c r="Y12" s="0"/>
      <c r="AG12" s="0"/>
    </row>
    <row r="13" customFormat="false" ht="13.5" hidden="false" customHeight="true" outlineLevel="0" collapsed="false">
      <c r="A13" s="0" t="n">
        <v>30</v>
      </c>
      <c r="B13" s="34" t="n">
        <v>40634</v>
      </c>
      <c r="C13" s="137" t="n">
        <v>227848</v>
      </c>
      <c r="D13" s="29" t="s">
        <v>42</v>
      </c>
      <c r="E13" s="33" t="n">
        <f aca="false">IF(D13="totale",(C13/(A13*24))/F13,IF(D13="marché libre",(C13/(A13*24))/G13,"spécifier histo"))</f>
        <v>0.253164444444444</v>
      </c>
      <c r="F13" s="9" t="n">
        <v>1250</v>
      </c>
      <c r="G13" s="9" t="n">
        <f aca="false">F13-H13</f>
        <v>1250</v>
      </c>
      <c r="H13" s="9" t="n">
        <v>0</v>
      </c>
      <c r="I13" s="26"/>
      <c r="J13" s="103"/>
      <c r="K13" s="103"/>
      <c r="Y13" s="0"/>
      <c r="AG13" s="0"/>
    </row>
    <row r="14" customFormat="false" ht="13.5" hidden="false" customHeight="true" outlineLevel="0" collapsed="false">
      <c r="A14" s="0" t="n">
        <v>31</v>
      </c>
      <c r="B14" s="31" t="n">
        <v>40664</v>
      </c>
      <c r="C14" s="137" t="n">
        <v>50141</v>
      </c>
      <c r="D14" s="29" t="s">
        <v>42</v>
      </c>
      <c r="E14" s="33" t="n">
        <f aca="false">IF(D14="totale",(C14/(A14*24))/F14,IF(D14="marché libre",(C14/(A14*24))/G14,"spécifier histo"))</f>
        <v>0.0539150537634409</v>
      </c>
      <c r="F14" s="9" t="n">
        <v>1250</v>
      </c>
      <c r="G14" s="9" t="n">
        <f aca="false">F14-H14</f>
        <v>1250</v>
      </c>
      <c r="H14" s="9" t="n">
        <v>0</v>
      </c>
      <c r="I14" s="26"/>
      <c r="J14" s="138"/>
      <c r="K14" s="103"/>
      <c r="Y14" s="0"/>
      <c r="AG14" s="0"/>
    </row>
    <row r="15" customFormat="false" ht="13.5" hidden="false" customHeight="true" outlineLevel="0" collapsed="false">
      <c r="A15" s="0" t="n">
        <v>30</v>
      </c>
      <c r="B15" s="34" t="n">
        <v>40695</v>
      </c>
      <c r="C15" s="137" t="n">
        <v>0</v>
      </c>
      <c r="D15" s="29" t="s">
        <v>42</v>
      </c>
      <c r="E15" s="33" t="n">
        <f aca="false">IF(D15="totale",(C15/(A15*24))/F15,IF(D15="marché libre",(C15/(A15*24))/G15,"spécifier histo"))</f>
        <v>0</v>
      </c>
      <c r="F15" s="9" t="n">
        <v>1250</v>
      </c>
      <c r="G15" s="9" t="n">
        <f aca="false">F15-H15</f>
        <v>1250</v>
      </c>
      <c r="H15" s="9" t="n">
        <v>0</v>
      </c>
      <c r="I15" s="26"/>
      <c r="J15" s="139"/>
      <c r="K15" s="103"/>
      <c r="L15" s="0"/>
      <c r="Y15" s="0"/>
      <c r="AG15" s="0"/>
    </row>
    <row r="16" customFormat="false" ht="13.5" hidden="false" customHeight="true" outlineLevel="0" collapsed="false">
      <c r="A16" s="0" t="n">
        <v>31</v>
      </c>
      <c r="B16" s="31" t="n">
        <v>40725</v>
      </c>
      <c r="C16" s="137" t="n">
        <v>217330</v>
      </c>
      <c r="D16" s="29" t="s">
        <v>42</v>
      </c>
      <c r="E16" s="33" t="n">
        <f aca="false">IF(D16="totale",(C16/(A16*24))/F16,IF(D16="marché libre",(C16/(A16*24))/G16,"spécifier histo"))</f>
        <v>0.233688172043011</v>
      </c>
      <c r="F16" s="9" t="n">
        <v>1250</v>
      </c>
      <c r="G16" s="9" t="n">
        <f aca="false">F16-H16</f>
        <v>1250</v>
      </c>
      <c r="H16" s="9" t="n">
        <v>0</v>
      </c>
      <c r="I16" s="26"/>
      <c r="J16" s="139"/>
      <c r="K16" s="103"/>
      <c r="L16" s="0"/>
      <c r="Y16" s="0"/>
      <c r="AG16" s="0"/>
    </row>
    <row r="17" customFormat="false" ht="13.5" hidden="false" customHeight="true" outlineLevel="0" collapsed="false">
      <c r="A17" s="0" t="n">
        <v>31</v>
      </c>
      <c r="B17" s="34" t="n">
        <v>40756</v>
      </c>
      <c r="C17" s="137" t="n">
        <v>234095</v>
      </c>
      <c r="D17" s="29" t="s">
        <v>42</v>
      </c>
      <c r="E17" s="33" t="n">
        <f aca="false">IF(D17="totale",(C17/(A17*24))/F17,IF(D17="marché libre",(C17/(A17*24))/G17,"spécifier histo"))</f>
        <v>0.251715053763441</v>
      </c>
      <c r="F17" s="9" t="n">
        <v>1250</v>
      </c>
      <c r="G17" s="9" t="n">
        <f aca="false">F17-H17</f>
        <v>1250</v>
      </c>
      <c r="H17" s="9" t="n">
        <v>0</v>
      </c>
      <c r="I17" s="26"/>
      <c r="J17" s="139"/>
      <c r="K17" s="103"/>
      <c r="L17" s="0"/>
      <c r="Y17" s="0"/>
      <c r="AG17" s="0"/>
    </row>
    <row r="18" customFormat="false" ht="13.5" hidden="false" customHeight="true" outlineLevel="0" collapsed="false">
      <c r="A18" s="0" t="n">
        <v>30</v>
      </c>
      <c r="B18" s="31" t="n">
        <v>40787</v>
      </c>
      <c r="C18" s="137" t="n">
        <v>100234</v>
      </c>
      <c r="D18" s="29" t="s">
        <v>42</v>
      </c>
      <c r="E18" s="33" t="n">
        <f aca="false">IF(D18="totale",(C18/(A18*24))/F18,IF(D18="marché libre",(C18/(A18*24))/G18,"spécifier histo"))</f>
        <v>0.111371111111111</v>
      </c>
      <c r="F18" s="9" t="n">
        <v>1250</v>
      </c>
      <c r="G18" s="9" t="n">
        <f aca="false">F18-H18</f>
        <v>1250</v>
      </c>
      <c r="H18" s="9" t="n">
        <v>0</v>
      </c>
      <c r="I18" s="26"/>
      <c r="J18" s="103"/>
      <c r="K18" s="103"/>
      <c r="Y18" s="0"/>
      <c r="AG18" s="0"/>
    </row>
    <row r="19" customFormat="false" ht="13.5" hidden="false" customHeight="true" outlineLevel="0" collapsed="false">
      <c r="A19" s="0" t="n">
        <v>31</v>
      </c>
      <c r="B19" s="34" t="n">
        <v>40817</v>
      </c>
      <c r="C19" s="137" t="n">
        <v>194575</v>
      </c>
      <c r="D19" s="29" t="s">
        <v>42</v>
      </c>
      <c r="E19" s="33" t="n">
        <f aca="false">IF(D19="totale",(C19/(A19*24))/F19,IF(D19="marché libre",(C19/(A19*24))/G19,"spécifier histo"))</f>
        <v>0.209220430107527</v>
      </c>
      <c r="F19" s="9" t="n">
        <v>1250</v>
      </c>
      <c r="G19" s="9" t="n">
        <f aca="false">F19-H19</f>
        <v>1250</v>
      </c>
      <c r="H19" s="9" t="n">
        <v>0</v>
      </c>
      <c r="I19" s="26"/>
      <c r="J19" s="103"/>
      <c r="K19" s="103"/>
      <c r="Y19" s="0"/>
      <c r="AG19" s="0"/>
    </row>
    <row r="20" customFormat="false" ht="13.5" hidden="false" customHeight="true" outlineLevel="0" collapsed="false">
      <c r="A20" s="0" t="n">
        <v>30</v>
      </c>
      <c r="B20" s="31" t="n">
        <v>40848</v>
      </c>
      <c r="C20" s="137" t="n">
        <v>59246</v>
      </c>
      <c r="D20" s="29" t="s">
        <v>42</v>
      </c>
      <c r="E20" s="33" t="n">
        <f aca="false">IF(D20="totale",(C20/(A20*24))/F20,IF(D20="marché libre",(C20/(A20*24))/G20,"spécifier histo"))</f>
        <v>0.0658288888888889</v>
      </c>
      <c r="F20" s="9" t="n">
        <v>1250</v>
      </c>
      <c r="G20" s="9" t="n">
        <f aca="false">F20-H20</f>
        <v>1250</v>
      </c>
      <c r="H20" s="9" t="n">
        <v>0</v>
      </c>
      <c r="I20" s="26"/>
      <c r="J20" s="103"/>
      <c r="K20" s="103"/>
      <c r="Y20" s="0"/>
      <c r="AG20" s="0"/>
    </row>
    <row r="21" customFormat="false" ht="13.5" hidden="false" customHeight="true" outlineLevel="0" collapsed="false">
      <c r="A21" s="0" t="n">
        <v>31</v>
      </c>
      <c r="B21" s="34" t="n">
        <v>40878</v>
      </c>
      <c r="C21" s="137" t="n">
        <v>588453</v>
      </c>
      <c r="D21" s="29" t="s">
        <v>42</v>
      </c>
      <c r="E21" s="33" t="n">
        <f aca="false">IF(D21="totale",(C21/(A21*24))/F21,IF(D21="marché libre",(C21/(A21*24))/G21,"spécifier histo"))</f>
        <v>0.632745161290323</v>
      </c>
      <c r="F21" s="9" t="n">
        <v>1250</v>
      </c>
      <c r="G21" s="9" t="n">
        <f aca="false">F21-H21</f>
        <v>1250</v>
      </c>
      <c r="H21" s="9" t="n">
        <v>0</v>
      </c>
      <c r="J21" s="103"/>
      <c r="K21" s="103"/>
      <c r="Y21" s="0"/>
    </row>
    <row r="22" customFormat="false" ht="13.5" hidden="false" customHeight="true" outlineLevel="0" collapsed="false">
      <c r="A22" s="0" t="n">
        <v>31</v>
      </c>
      <c r="B22" s="31" t="n">
        <v>40909</v>
      </c>
      <c r="C22" s="137" t="n">
        <v>678400</v>
      </c>
      <c r="D22" s="29" t="s">
        <v>42</v>
      </c>
      <c r="E22" s="33" t="n">
        <f aca="false">IF(D22="totale",(C22/(A22*24))/F22,IF(D22="marché libre",(C22/(A22*24))/G22,"spécifier histo"))</f>
        <v>0.729462365591398</v>
      </c>
      <c r="F22" s="9" t="n">
        <v>1250</v>
      </c>
      <c r="G22" s="9" t="n">
        <f aca="false">F22-H22</f>
        <v>1250</v>
      </c>
      <c r="H22" s="9" t="n">
        <v>0</v>
      </c>
      <c r="I22" s="140"/>
      <c r="J22" s="103"/>
      <c r="K22" s="103"/>
      <c r="Y22" s="0"/>
    </row>
    <row r="23" customFormat="false" ht="13.5" hidden="false" customHeight="true" outlineLevel="0" collapsed="false">
      <c r="A23" s="0" t="n">
        <v>28</v>
      </c>
      <c r="B23" s="34" t="n">
        <v>40940</v>
      </c>
      <c r="C23" s="137" t="n">
        <v>537200</v>
      </c>
      <c r="D23" s="29" t="s">
        <v>42</v>
      </c>
      <c r="E23" s="33" t="n">
        <f aca="false">IF(D23="totale",(C23/(A23*24))/F23,IF(D23="marché libre",(C23/(A23*24))/G23,"spécifier histo"))</f>
        <v>0.63952380952381</v>
      </c>
      <c r="F23" s="9" t="n">
        <v>1250</v>
      </c>
      <c r="G23" s="9" t="n">
        <f aca="false">F23-H23</f>
        <v>1250</v>
      </c>
      <c r="H23" s="9" t="n">
        <v>0</v>
      </c>
      <c r="I23" s="140"/>
      <c r="J23" s="103"/>
      <c r="K23" s="103"/>
      <c r="Y23" s="0"/>
    </row>
    <row r="24" customFormat="false" ht="13.5" hidden="false" customHeight="true" outlineLevel="0" collapsed="false">
      <c r="A24" s="0" t="n">
        <v>31</v>
      </c>
      <c r="B24" s="31" t="n">
        <v>40969</v>
      </c>
      <c r="C24" s="137" t="n">
        <v>541300</v>
      </c>
      <c r="D24" s="29" t="s">
        <v>42</v>
      </c>
      <c r="E24" s="33" t="n">
        <f aca="false">IF(D24="totale",(C24/(A24*24))/F24,IF(D24="marché libre",(C24/(A24*24))/G24,"spécifier histo"))</f>
        <v>0.582043010752688</v>
      </c>
      <c r="F24" s="9" t="n">
        <v>1250</v>
      </c>
      <c r="G24" s="9" t="n">
        <f aca="false">F24-H24</f>
        <v>1250</v>
      </c>
      <c r="H24" s="9" t="n">
        <v>0</v>
      </c>
      <c r="I24" s="140"/>
      <c r="J24" s="103"/>
      <c r="K24" s="103"/>
      <c r="Y24" s="0"/>
    </row>
    <row r="25" customFormat="false" ht="13.5" hidden="false" customHeight="true" outlineLevel="0" collapsed="false">
      <c r="A25" s="0" t="n">
        <v>30</v>
      </c>
      <c r="B25" s="34" t="n">
        <v>41000</v>
      </c>
      <c r="C25" s="137" t="n">
        <v>277600</v>
      </c>
      <c r="D25" s="29" t="s">
        <v>42</v>
      </c>
      <c r="E25" s="33" t="n">
        <f aca="false">IF(D25="totale",(C25/(A25*24))/F25,IF(D25="marché libre",(C25/(A25*24))/G25,"spécifier histo"))</f>
        <v>0.308444444444444</v>
      </c>
      <c r="F25" s="9" t="n">
        <v>1250</v>
      </c>
      <c r="G25" s="9" t="n">
        <f aca="false">F25-H25</f>
        <v>1250</v>
      </c>
      <c r="H25" s="9" t="n">
        <v>0</v>
      </c>
      <c r="I25" s="140"/>
      <c r="J25" s="103"/>
      <c r="K25" s="103"/>
      <c r="Y25" s="0"/>
    </row>
    <row r="26" customFormat="false" ht="13.5" hidden="false" customHeight="true" outlineLevel="0" collapsed="false">
      <c r="A26" s="0" t="n">
        <v>31</v>
      </c>
      <c r="B26" s="31" t="n">
        <v>41030</v>
      </c>
      <c r="C26" s="137" t="n">
        <v>375800</v>
      </c>
      <c r="D26" s="29" t="s">
        <v>42</v>
      </c>
      <c r="E26" s="33" t="n">
        <f aca="false">IF(D26="totale",(C26/(A26*24))/F26,IF(D26="marché libre",(C26/(A26*24))/G26,"spécifier histo"))</f>
        <v>0.404086021505376</v>
      </c>
      <c r="F26" s="9" t="n">
        <v>1250</v>
      </c>
      <c r="G26" s="9" t="n">
        <f aca="false">F26-H26</f>
        <v>1250</v>
      </c>
      <c r="H26" s="9" t="n">
        <v>0</v>
      </c>
      <c r="I26" s="140"/>
      <c r="J26" s="103"/>
      <c r="K26" s="103"/>
      <c r="Y26" s="0"/>
    </row>
    <row r="27" customFormat="false" ht="13.5" hidden="false" customHeight="true" outlineLevel="0" collapsed="false">
      <c r="A27" s="0" t="n">
        <v>30</v>
      </c>
      <c r="B27" s="34" t="n">
        <v>41061</v>
      </c>
      <c r="C27" s="137" t="n">
        <v>0</v>
      </c>
      <c r="D27" s="29" t="s">
        <v>42</v>
      </c>
      <c r="E27" s="33" t="n">
        <f aca="false">IF(D27="totale",(C27/(A27*24))/F27,IF(D27="marché libre",(C27/(A27*24))/G27,"spécifier histo"))</f>
        <v>0</v>
      </c>
      <c r="F27" s="9" t="n">
        <v>1250</v>
      </c>
      <c r="G27" s="9" t="n">
        <f aca="false">F27-H27</f>
        <v>1250</v>
      </c>
      <c r="H27" s="9" t="n">
        <v>0</v>
      </c>
      <c r="I27" s="140"/>
      <c r="J27" s="103"/>
      <c r="K27" s="103"/>
      <c r="Y27" s="0"/>
    </row>
    <row r="28" customFormat="false" ht="13.5" hidden="false" customHeight="true" outlineLevel="0" collapsed="false">
      <c r="A28" s="0" t="n">
        <v>31</v>
      </c>
      <c r="B28" s="31" t="n">
        <v>41091</v>
      </c>
      <c r="C28" s="137" t="n">
        <v>0</v>
      </c>
      <c r="D28" s="29" t="s">
        <v>42</v>
      </c>
      <c r="E28" s="33" t="n">
        <f aca="false">IF(D28="totale",(C28/(A28*24))/F28,IF(D28="marché libre",(C28/(A28*24))/G28,"spécifier histo"))</f>
        <v>0</v>
      </c>
      <c r="F28" s="9" t="n">
        <v>1250</v>
      </c>
      <c r="G28" s="9" t="n">
        <f aca="false">F28-H28</f>
        <v>1250</v>
      </c>
      <c r="H28" s="9" t="n">
        <v>0</v>
      </c>
      <c r="I28" s="140"/>
      <c r="J28" s="103"/>
      <c r="K28" s="103"/>
      <c r="Y28" s="0"/>
    </row>
    <row r="29" customFormat="false" ht="13.5" hidden="false" customHeight="true" outlineLevel="0" collapsed="false">
      <c r="A29" s="0" t="n">
        <v>31</v>
      </c>
      <c r="B29" s="34" t="n">
        <v>41122</v>
      </c>
      <c r="C29" s="137" t="n">
        <v>45210</v>
      </c>
      <c r="D29" s="29" t="s">
        <v>42</v>
      </c>
      <c r="E29" s="33" t="n">
        <f aca="false">IF(D29="totale",(C29/(A29*24))/F29,IF(D29="marché libre",(C29/(A29*24))/G29,"spécifier histo"))</f>
        <v>0.0486129032258065</v>
      </c>
      <c r="F29" s="9" t="n">
        <v>1250</v>
      </c>
      <c r="G29" s="9" t="n">
        <f aca="false">F29-H29</f>
        <v>1250</v>
      </c>
      <c r="H29" s="9" t="n">
        <v>0</v>
      </c>
      <c r="I29" s="140"/>
      <c r="J29" s="103"/>
      <c r="K29" s="103"/>
      <c r="Y29" s="0"/>
    </row>
    <row r="30" customFormat="false" ht="13.5" hidden="false" customHeight="true" outlineLevel="0" collapsed="false">
      <c r="A30" s="0" t="n">
        <v>30</v>
      </c>
      <c r="B30" s="31" t="n">
        <v>41153</v>
      </c>
      <c r="C30" s="137" t="n">
        <v>237000</v>
      </c>
      <c r="D30" s="29" t="s">
        <v>42</v>
      </c>
      <c r="E30" s="33" t="n">
        <f aca="false">IF(D30="totale",(C30/(A30*24))/F30,IF(D30="marché libre",(C30/(A30*24))/G30,"spécifier histo"))</f>
        <v>0.263333333333333</v>
      </c>
      <c r="F30" s="9" t="n">
        <v>1250</v>
      </c>
      <c r="G30" s="9" t="n">
        <f aca="false">F30-H30</f>
        <v>1250</v>
      </c>
      <c r="H30" s="9" t="n">
        <v>0</v>
      </c>
      <c r="I30" s="140"/>
      <c r="J30" s="103"/>
      <c r="K30" s="103"/>
      <c r="Y30" s="0"/>
    </row>
    <row r="31" customFormat="false" ht="18.45" hidden="false" customHeight="true" outlineLevel="0" collapsed="false">
      <c r="A31" s="0" t="n">
        <v>31</v>
      </c>
      <c r="B31" s="34" t="n">
        <v>41183</v>
      </c>
      <c r="C31" s="137" t="n">
        <v>377600</v>
      </c>
      <c r="D31" s="29" t="s">
        <v>42</v>
      </c>
      <c r="E31" s="33" t="n">
        <f aca="false">IF(D31="totale",(C31/(A31*24))/F31,IF(D31="marché libre",(C31/(A31*24))/G31,"spécifier histo"))</f>
        <v>0.406021505376344</v>
      </c>
      <c r="F31" s="9" t="n">
        <v>1250</v>
      </c>
      <c r="G31" s="9" t="n">
        <f aca="false">F31-H31</f>
        <v>1250</v>
      </c>
      <c r="H31" s="9" t="n">
        <v>0</v>
      </c>
      <c r="I31" s="140"/>
      <c r="J31" s="103"/>
      <c r="K31" s="103"/>
      <c r="Y31" s="0"/>
    </row>
    <row r="32" customFormat="false" ht="13.5" hidden="false" customHeight="true" outlineLevel="0" collapsed="false">
      <c r="A32" s="0" t="n">
        <v>30</v>
      </c>
      <c r="B32" s="31" t="n">
        <v>41214</v>
      </c>
      <c r="C32" s="137" t="n">
        <v>600900</v>
      </c>
      <c r="D32" s="29" t="s">
        <v>42</v>
      </c>
      <c r="E32" s="33" t="n">
        <f aca="false">IF(D32="totale",(C32/(A32*24))/F32,IF(D32="marché libre",(C32/(A32*24))/G32,"spécifier histo"))</f>
        <v>0.667666666666667</v>
      </c>
      <c r="F32" s="9" t="n">
        <v>1250</v>
      </c>
      <c r="G32" s="9" t="n">
        <f aca="false">F32-H32</f>
        <v>1250</v>
      </c>
      <c r="H32" s="9" t="n">
        <v>0</v>
      </c>
      <c r="I32" s="140"/>
      <c r="J32" s="103"/>
      <c r="K32" s="103"/>
      <c r="Y32" s="0"/>
    </row>
    <row r="33" customFormat="false" ht="13.5" hidden="false" customHeight="true" outlineLevel="0" collapsed="false">
      <c r="A33" s="0" t="n">
        <v>31</v>
      </c>
      <c r="B33" s="34" t="n">
        <v>41244</v>
      </c>
      <c r="C33" s="137" t="n">
        <v>596000</v>
      </c>
      <c r="D33" s="29" t="s">
        <v>42</v>
      </c>
      <c r="E33" s="33" t="n">
        <f aca="false">IF(D33="totale",(C33/(A33*24))/F33,IF(D33="marché libre",(C33/(A33*24))/G33,"spécifier histo"))</f>
        <v>0.640860215053763</v>
      </c>
      <c r="F33" s="9" t="n">
        <v>1250</v>
      </c>
      <c r="G33" s="9" t="n">
        <f aca="false">F33-H33</f>
        <v>1250</v>
      </c>
      <c r="H33" s="9" t="n">
        <v>0</v>
      </c>
      <c r="J33" s="103"/>
      <c r="K33" s="103"/>
      <c r="Y33" s="0"/>
    </row>
    <row r="34" customFormat="false" ht="13.5" hidden="false" customHeight="true" outlineLevel="0" collapsed="false">
      <c r="A34" s="0" t="n">
        <v>31</v>
      </c>
      <c r="B34" s="31" t="n">
        <v>41275</v>
      </c>
      <c r="C34" s="137" t="n">
        <v>632800</v>
      </c>
      <c r="D34" s="29" t="s">
        <v>42</v>
      </c>
      <c r="E34" s="33" t="n">
        <f aca="false">IF(D34="totale",(C34/(A34*24))/F34,IF(D34="marché libre",(C34/(A34*24))/G34,"spécifier histo"))</f>
        <v>0.680430107526882</v>
      </c>
      <c r="F34" s="9" t="n">
        <v>1250</v>
      </c>
      <c r="G34" s="9" t="n">
        <f aca="false">F34-H34</f>
        <v>1250</v>
      </c>
      <c r="H34" s="9" t="n">
        <v>0</v>
      </c>
      <c r="J34" s="103"/>
      <c r="K34" s="103"/>
      <c r="Y34" s="0"/>
    </row>
    <row r="35" customFormat="false" ht="13.5" hidden="false" customHeight="true" outlineLevel="0" collapsed="false">
      <c r="A35" s="0" t="n">
        <v>28</v>
      </c>
      <c r="B35" s="34" t="n">
        <v>41306</v>
      </c>
      <c r="C35" s="137" t="n">
        <v>551700</v>
      </c>
      <c r="D35" s="29" t="s">
        <v>42</v>
      </c>
      <c r="E35" s="33" t="n">
        <f aca="false">IF(D35="totale",(C35/(A35*24))/F35,IF(D35="marché libre",(C35/(A35*24))/G35,"spécifier histo"))</f>
        <v>0.656785714285714</v>
      </c>
      <c r="F35" s="9" t="n">
        <v>1250</v>
      </c>
      <c r="G35" s="9" t="n">
        <f aca="false">F35-H35</f>
        <v>1250</v>
      </c>
      <c r="H35" s="9" t="n">
        <v>0</v>
      </c>
      <c r="J35" s="103"/>
      <c r="K35" s="103"/>
      <c r="Y35" s="0"/>
    </row>
    <row r="36" customFormat="false" ht="13.5" hidden="false" customHeight="true" outlineLevel="0" collapsed="false">
      <c r="A36" s="0" t="n">
        <v>31</v>
      </c>
      <c r="B36" s="31" t="n">
        <v>41334</v>
      </c>
      <c r="C36" s="137" t="n">
        <v>626500</v>
      </c>
      <c r="D36" s="29" t="s">
        <v>42</v>
      </c>
      <c r="E36" s="33" t="n">
        <f aca="false">IF(D36="totale",(C36/(A36*24))/F36,IF(D36="marché libre",(C36/(A36*24))/G36,"spécifier histo"))</f>
        <v>0.673655913978495</v>
      </c>
      <c r="F36" s="9" t="n">
        <v>1250</v>
      </c>
      <c r="G36" s="9" t="n">
        <f aca="false">F36-H36</f>
        <v>1250</v>
      </c>
      <c r="H36" s="9" t="n">
        <v>0</v>
      </c>
      <c r="J36" s="103"/>
      <c r="K36" s="103"/>
      <c r="Y36" s="0"/>
    </row>
    <row r="37" customFormat="false" ht="13.5" hidden="false" customHeight="true" outlineLevel="0" collapsed="false">
      <c r="A37" s="0" t="n">
        <v>30</v>
      </c>
      <c r="B37" s="34" t="n">
        <v>41365</v>
      </c>
      <c r="C37" s="137" t="n">
        <v>503500</v>
      </c>
      <c r="D37" s="29" t="s">
        <v>42</v>
      </c>
      <c r="E37" s="33" t="n">
        <f aca="false">IF(D37="totale",(C37/(A37*24))/F37,IF(D37="marché libre",(C37/(A37*24))/G37,"spécifier histo"))</f>
        <v>0.559444444444444</v>
      </c>
      <c r="F37" s="9" t="n">
        <v>1250</v>
      </c>
      <c r="G37" s="9" t="n">
        <f aca="false">F37-H37</f>
        <v>1250</v>
      </c>
      <c r="H37" s="9" t="n">
        <v>0</v>
      </c>
      <c r="J37" s="103"/>
      <c r="K37" s="103"/>
      <c r="Y37" s="0"/>
    </row>
    <row r="38" customFormat="false" ht="13.5" hidden="false" customHeight="true" outlineLevel="0" collapsed="false">
      <c r="A38" s="0" t="n">
        <v>31</v>
      </c>
      <c r="B38" s="31" t="n">
        <v>41395</v>
      </c>
      <c r="C38" s="137" t="n">
        <v>705400</v>
      </c>
      <c r="D38" s="29" t="s">
        <v>42</v>
      </c>
      <c r="E38" s="33" t="n">
        <f aca="false">IF(D38="totale",(C38/(A38*24))/F38,IF(D38="marché libre",(C38/(A38*24))/G38,"spécifier histo"))</f>
        <v>0.758494623655914</v>
      </c>
      <c r="F38" s="9" t="n">
        <v>1250</v>
      </c>
      <c r="G38" s="9" t="n">
        <f aca="false">F38-H38</f>
        <v>1250</v>
      </c>
      <c r="H38" s="9" t="n">
        <v>0</v>
      </c>
      <c r="J38" s="103"/>
      <c r="K38" s="103"/>
      <c r="Y38" s="0"/>
    </row>
    <row r="39" customFormat="false" ht="13.5" hidden="false" customHeight="true" outlineLevel="0" collapsed="false">
      <c r="A39" s="0" t="n">
        <v>30</v>
      </c>
      <c r="B39" s="34" t="n">
        <v>41426</v>
      </c>
      <c r="C39" s="137" t="n">
        <v>533400</v>
      </c>
      <c r="D39" s="29" t="s">
        <v>42</v>
      </c>
      <c r="E39" s="33" t="n">
        <f aca="false">IF(D39="totale",(C39/(A39*24))/F39,IF(D39="marché libre",(C39/(A39*24))/G39,"spécifier histo"))</f>
        <v>0.592666666666667</v>
      </c>
      <c r="F39" s="9" t="n">
        <v>1250</v>
      </c>
      <c r="G39" s="9" t="n">
        <f aca="false">F39-H39</f>
        <v>1250</v>
      </c>
      <c r="H39" s="9" t="n">
        <v>0</v>
      </c>
      <c r="I39" s="1"/>
      <c r="J39" s="117"/>
      <c r="Y39" s="0"/>
    </row>
    <row r="40" customFormat="false" ht="13.5" hidden="false" customHeight="true" outlineLevel="0" collapsed="false">
      <c r="A40" s="0" t="n">
        <v>31</v>
      </c>
      <c r="B40" s="31" t="n">
        <v>41456</v>
      </c>
      <c r="C40" s="137" t="n">
        <v>206200</v>
      </c>
      <c r="D40" s="29" t="s">
        <v>42</v>
      </c>
      <c r="E40" s="33" t="n">
        <f aca="false">IF(D40="totale",(C40/(A40*24))/F40,IF(D40="marché libre",(C40/(A40*24))/G40,"spécifier histo"))</f>
        <v>0.221720430107527</v>
      </c>
      <c r="F40" s="9" t="n">
        <v>1250</v>
      </c>
      <c r="G40" s="9" t="n">
        <f aca="false">F40-H40</f>
        <v>1250</v>
      </c>
      <c r="H40" s="9" t="n">
        <v>0</v>
      </c>
      <c r="I40" s="1"/>
      <c r="J40" s="117"/>
      <c r="Y40" s="0"/>
    </row>
    <row r="41" customFormat="false" ht="13.5" hidden="false" customHeight="true" outlineLevel="0" collapsed="false">
      <c r="A41" s="0" t="n">
        <v>31</v>
      </c>
      <c r="B41" s="34" t="n">
        <v>41487</v>
      </c>
      <c r="C41" s="137" t="n">
        <v>0</v>
      </c>
      <c r="D41" s="29" t="s">
        <v>42</v>
      </c>
      <c r="E41" s="33" t="n">
        <f aca="false">IF(D41="totale",(C41/(A41*24))/F41,IF(D41="marché libre",(C41/(A41*24))/G41,"spécifier histo"))</f>
        <v>0</v>
      </c>
      <c r="F41" s="9" t="n">
        <v>1250</v>
      </c>
      <c r="G41" s="9" t="n">
        <f aca="false">F41-H41</f>
        <v>1250</v>
      </c>
      <c r="H41" s="9" t="n">
        <v>0</v>
      </c>
      <c r="I41" s="1"/>
      <c r="J41" s="117"/>
      <c r="Y41" s="0"/>
    </row>
    <row r="42" customFormat="false" ht="13.5" hidden="false" customHeight="true" outlineLevel="0" collapsed="false">
      <c r="A42" s="0" t="n">
        <v>30</v>
      </c>
      <c r="B42" s="31" t="n">
        <v>41518</v>
      </c>
      <c r="C42" s="137" t="n">
        <v>315600</v>
      </c>
      <c r="D42" s="29" t="s">
        <v>42</v>
      </c>
      <c r="E42" s="33" t="n">
        <f aca="false">IF(D42="totale",(C42/(A42*24))/F42,IF(D42="marché libre",(C42/(A42*24))/G42,"spécifier histo"))</f>
        <v>0.350666666666667</v>
      </c>
      <c r="F42" s="9" t="n">
        <v>1250</v>
      </c>
      <c r="G42" s="9" t="n">
        <f aca="false">F42-H42</f>
        <v>1250</v>
      </c>
      <c r="H42" s="9" t="n">
        <v>0</v>
      </c>
      <c r="I42" s="1"/>
      <c r="J42" s="117"/>
      <c r="Y42" s="0"/>
    </row>
    <row r="43" customFormat="false" ht="13.5" hidden="false" customHeight="true" outlineLevel="0" collapsed="false">
      <c r="A43" s="0" t="n">
        <v>31</v>
      </c>
      <c r="B43" s="34" t="n">
        <v>41548</v>
      </c>
      <c r="C43" s="137" t="n">
        <v>630800</v>
      </c>
      <c r="D43" s="29" t="s">
        <v>42</v>
      </c>
      <c r="E43" s="33" t="n">
        <f aca="false">IF(D43="totale",(C43/(A43*24))/F43,IF(D43="marché libre",(C43/(A43*24))/G43,"spécifier histo"))</f>
        <v>0.678279569892473</v>
      </c>
      <c r="F43" s="9" t="n">
        <v>1250</v>
      </c>
      <c r="G43" s="9" t="n">
        <f aca="false">F43-H43</f>
        <v>1250</v>
      </c>
      <c r="H43" s="9" t="n">
        <v>0</v>
      </c>
      <c r="I43" s="1"/>
      <c r="J43" s="117"/>
      <c r="Y43" s="0"/>
    </row>
    <row r="44" customFormat="false" ht="13.5" hidden="false" customHeight="true" outlineLevel="0" collapsed="false">
      <c r="A44" s="0" t="n">
        <v>30</v>
      </c>
      <c r="B44" s="31" t="n">
        <v>41579</v>
      </c>
      <c r="C44" s="137" t="n">
        <v>602400</v>
      </c>
      <c r="D44" s="29" t="s">
        <v>42</v>
      </c>
      <c r="E44" s="118" t="n">
        <f aca="false">IF(D44="totale",(C44/(A44*24))/F44,IF(D44="marché libre",(C44/(A44*24))/G44,"spécifier histo"))</f>
        <v>0.669333333333333</v>
      </c>
      <c r="F44" s="9" t="n">
        <v>1250</v>
      </c>
      <c r="G44" s="9" t="n">
        <f aca="false">F44-H44</f>
        <v>1250</v>
      </c>
      <c r="H44" s="9" t="n">
        <v>0</v>
      </c>
      <c r="I44" s="1"/>
      <c r="J44" s="117"/>
      <c r="Y44" s="0"/>
    </row>
    <row r="45" customFormat="false" ht="13.5" hidden="false" customHeight="true" outlineLevel="0" collapsed="false">
      <c r="A45" s="0" t="n">
        <v>31</v>
      </c>
      <c r="B45" s="34" t="n">
        <v>41609</v>
      </c>
      <c r="C45" s="137" t="n">
        <v>505400</v>
      </c>
      <c r="D45" s="29" t="s">
        <v>42</v>
      </c>
      <c r="E45" s="33" t="n">
        <f aca="false">IF(D45="totale",(C45/(A45*24))/F45,IF(D45="marché libre",(C45/(A45*24))/G45,"spécifier histo"))</f>
        <v>0.543440860215054</v>
      </c>
      <c r="F45" s="9" t="n">
        <v>1250</v>
      </c>
      <c r="G45" s="9" t="n">
        <f aca="false">F45-H45</f>
        <v>1250</v>
      </c>
      <c r="H45" s="9" t="n">
        <v>0</v>
      </c>
      <c r="I45" s="1"/>
      <c r="J45" s="1"/>
      <c r="Y45" s="0"/>
    </row>
    <row r="46" customFormat="false" ht="13.5" hidden="false" customHeight="true" outlineLevel="0" collapsed="false">
      <c r="A46" s="0" t="n">
        <v>31</v>
      </c>
      <c r="B46" s="31" t="n">
        <v>41640</v>
      </c>
      <c r="C46" s="137" t="n">
        <v>677150</v>
      </c>
      <c r="D46" s="29" t="s">
        <v>42</v>
      </c>
      <c r="E46" s="33" t="n">
        <f aca="false">IF(D46="totale",(C46/(A46*24))/F46,IF(D46="marché libre",(C46/(A46*24))/G46,"spécifier histo"))</f>
        <v>0.728118279569893</v>
      </c>
      <c r="F46" s="9" t="n">
        <v>1250</v>
      </c>
      <c r="G46" s="9" t="n">
        <f aca="false">F46-H46</f>
        <v>1250</v>
      </c>
      <c r="H46" s="9" t="n">
        <v>0</v>
      </c>
      <c r="Y46" s="0"/>
    </row>
    <row r="47" customFormat="false" ht="13.5" hidden="false" customHeight="true" outlineLevel="0" collapsed="false">
      <c r="A47" s="0" t="n">
        <v>28</v>
      </c>
      <c r="B47" s="34" t="n">
        <v>41671</v>
      </c>
      <c r="C47" s="137" t="n">
        <v>662470</v>
      </c>
      <c r="D47" s="29" t="s">
        <v>42</v>
      </c>
      <c r="E47" s="33" t="n">
        <f aca="false">IF(D47="totale",(C47/(A47*24))/F47,IF(D47="marché libre",(C47/(A47*24))/G47,"spécifier histo"))</f>
        <v>0.788654761904762</v>
      </c>
      <c r="F47" s="9" t="n">
        <v>1250</v>
      </c>
      <c r="G47" s="9" t="n">
        <f aca="false">F47-H47</f>
        <v>1250</v>
      </c>
      <c r="H47" s="9" t="n">
        <v>0</v>
      </c>
      <c r="Y47" s="0"/>
    </row>
    <row r="48" customFormat="false" ht="13.5" hidden="false" customHeight="true" outlineLevel="0" collapsed="false">
      <c r="A48" s="0" t="n">
        <v>31</v>
      </c>
      <c r="B48" s="31" t="n">
        <v>41699</v>
      </c>
      <c r="C48" s="137" t="n">
        <v>518120</v>
      </c>
      <c r="D48" s="29" t="s">
        <v>42</v>
      </c>
      <c r="E48" s="33" t="n">
        <f aca="false">IF(D48="totale",(C48/(A48*24))/F48,IF(D48="marché libre",(C48/(A48*24))/G48,"spécifier histo"))</f>
        <v>0.557118279569892</v>
      </c>
      <c r="F48" s="9" t="n">
        <v>1250</v>
      </c>
      <c r="G48" s="9" t="n">
        <f aca="false">F48-H48</f>
        <v>1250</v>
      </c>
      <c r="H48" s="9" t="n">
        <v>0</v>
      </c>
      <c r="Y48" s="0"/>
    </row>
    <row r="49" customFormat="false" ht="15.85" hidden="false" customHeight="true" outlineLevel="0" collapsed="false">
      <c r="A49" s="0" t="n">
        <v>30</v>
      </c>
      <c r="B49" s="34" t="n">
        <v>41730</v>
      </c>
      <c r="C49" s="137" t="n">
        <v>144500</v>
      </c>
      <c r="D49" s="29" t="s">
        <v>42</v>
      </c>
      <c r="E49" s="33" t="n">
        <f aca="false">IF(D49="totale",(C49/(A49*24))/F49,IF(D49="marché libre",(C49/(A49*24))/G49,"spécifier histo"))</f>
        <v>0.160555555555556</v>
      </c>
      <c r="F49" s="9" t="n">
        <v>1250</v>
      </c>
      <c r="G49" s="9" t="n">
        <f aca="false">F49-H49</f>
        <v>1250</v>
      </c>
      <c r="H49" s="9" t="n">
        <v>0</v>
      </c>
      <c r="Y49" s="0"/>
    </row>
    <row r="50" customFormat="false" ht="15.85" hidden="false" customHeight="true" outlineLevel="0" collapsed="false">
      <c r="A50" s="0" t="n">
        <v>31</v>
      </c>
      <c r="B50" s="31" t="n">
        <v>41760</v>
      </c>
      <c r="C50" s="137" t="n">
        <v>243150</v>
      </c>
      <c r="D50" s="29" t="s">
        <v>42</v>
      </c>
      <c r="E50" s="33" t="n">
        <f aca="false">IF(D50="totale",(C50/(A50*24))/F50,IF(D50="marché libre",(C50/(A50*24))/G50,"spécifier histo"))</f>
        <v>0.261451612903226</v>
      </c>
      <c r="F50" s="9" t="n">
        <v>1250</v>
      </c>
      <c r="G50" s="9" t="n">
        <f aca="false">F50-H50</f>
        <v>1250</v>
      </c>
      <c r="H50" s="9" t="n">
        <v>0</v>
      </c>
      <c r="Y50" s="0"/>
    </row>
    <row r="51" customFormat="false" ht="15.85" hidden="false" customHeight="true" outlineLevel="0" collapsed="false">
      <c r="A51" s="0" t="n">
        <v>30</v>
      </c>
      <c r="B51" s="34" t="n">
        <v>41791</v>
      </c>
      <c r="C51" s="137" t="n">
        <v>45530</v>
      </c>
      <c r="D51" s="29" t="s">
        <v>42</v>
      </c>
      <c r="E51" s="33" t="n">
        <f aca="false">IF(D51="totale",(C51/(A51*24))/F51,IF(D51="marché libre",(C51/(A51*24))/G51,"spécifier histo"))</f>
        <v>0.0505888888888889</v>
      </c>
      <c r="F51" s="9" t="n">
        <v>1250</v>
      </c>
      <c r="G51" s="9" t="n">
        <f aca="false">F51-H51</f>
        <v>1250</v>
      </c>
      <c r="H51" s="9" t="n">
        <v>0</v>
      </c>
      <c r="Y51" s="0"/>
    </row>
    <row r="52" customFormat="false" ht="15.85" hidden="false" customHeight="true" outlineLevel="0" collapsed="false">
      <c r="A52" s="0" t="n">
        <v>31</v>
      </c>
      <c r="B52" s="31" t="n">
        <v>41821</v>
      </c>
      <c r="C52" s="137" t="n">
        <v>299510</v>
      </c>
      <c r="D52" s="29" t="s">
        <v>42</v>
      </c>
      <c r="E52" s="33" t="n">
        <f aca="false">IF(D52="totale",(C52/(A52*24))/F52,IF(D52="marché libre",(C52/(A52*24))/G52,"spécifier histo"))</f>
        <v>0.32205376344086</v>
      </c>
      <c r="F52" s="9" t="n">
        <v>1250</v>
      </c>
      <c r="G52" s="9" t="n">
        <f aca="false">F52-H52</f>
        <v>1250</v>
      </c>
      <c r="H52" s="9" t="n">
        <v>0</v>
      </c>
      <c r="Y52" s="0"/>
    </row>
    <row r="53" customFormat="false" ht="15.85" hidden="false" customHeight="true" outlineLevel="0" collapsed="false">
      <c r="A53" s="0" t="n">
        <v>31</v>
      </c>
      <c r="B53" s="34" t="n">
        <v>41852</v>
      </c>
      <c r="C53" s="137" t="n">
        <v>442110</v>
      </c>
      <c r="D53" s="29" t="s">
        <v>42</v>
      </c>
      <c r="E53" s="33" t="n">
        <f aca="false">IF(D53="totale",(C53/(A53*24))/F53,IF(D53="marché libre",(C53/(A53*24))/G53,"spécifier histo"))</f>
        <v>0.475387096774194</v>
      </c>
      <c r="F53" s="9" t="n">
        <v>1250</v>
      </c>
      <c r="G53" s="9" t="n">
        <f aca="false">F53-H53</f>
        <v>1250</v>
      </c>
      <c r="H53" s="9" t="n">
        <v>0</v>
      </c>
      <c r="Y53" s="0"/>
    </row>
    <row r="54" customFormat="false" ht="15.85" hidden="false" customHeight="true" outlineLevel="0" collapsed="false">
      <c r="A54" s="0" t="n">
        <v>30</v>
      </c>
      <c r="B54" s="31" t="n">
        <v>41883</v>
      </c>
      <c r="C54" s="137" t="n">
        <v>207758</v>
      </c>
      <c r="D54" s="29" t="s">
        <v>42</v>
      </c>
      <c r="E54" s="33" t="n">
        <f aca="false">IF(D54="totale",(C54/(A54*24))/F54,IF(D54="marché libre",(C54/(A54*24))/G54,"spécifier histo"))</f>
        <v>0.230842222222222</v>
      </c>
      <c r="F54" s="9" t="n">
        <v>1250</v>
      </c>
      <c r="G54" s="9" t="n">
        <f aca="false">F54-H54</f>
        <v>1250</v>
      </c>
      <c r="H54" s="9" t="n">
        <v>0</v>
      </c>
      <c r="Y54" s="0"/>
    </row>
    <row r="55" customFormat="false" ht="15.85" hidden="false" customHeight="true" outlineLevel="0" collapsed="false">
      <c r="A55" s="0" t="n">
        <v>31</v>
      </c>
      <c r="B55" s="34" t="n">
        <v>41913</v>
      </c>
      <c r="C55" s="137" t="n">
        <v>356609</v>
      </c>
      <c r="D55" s="29" t="s">
        <v>42</v>
      </c>
      <c r="E55" s="33" t="n">
        <f aca="false">IF(D55="totale",(C55/(A55*24))/F55,IF(D55="marché libre",(C55/(A55*24))/G55,"spécifier histo"))</f>
        <v>0.383450537634409</v>
      </c>
      <c r="F55" s="9" t="n">
        <v>1250</v>
      </c>
      <c r="G55" s="9" t="n">
        <f aca="false">F55-H55</f>
        <v>1250</v>
      </c>
      <c r="H55" s="9" t="n">
        <v>0</v>
      </c>
      <c r="Y55" s="0"/>
    </row>
    <row r="56" customFormat="false" ht="15.85" hidden="false" customHeight="true" outlineLevel="0" collapsed="false">
      <c r="A56" s="0" t="n">
        <v>30</v>
      </c>
      <c r="B56" s="31" t="n">
        <v>41944</v>
      </c>
      <c r="C56" s="137" t="n">
        <v>459500</v>
      </c>
      <c r="D56" s="29" t="s">
        <v>42</v>
      </c>
      <c r="E56" s="33" t="n">
        <f aca="false">IF(D56="totale",(C56/(A56*24))/F56,IF(D56="marché libre",(C56/(A56*24))/G56,"spécifier histo"))</f>
        <v>0.510555555555556</v>
      </c>
      <c r="F56" s="9" t="n">
        <v>1250</v>
      </c>
      <c r="G56" s="9" t="n">
        <f aca="false">F56-H56</f>
        <v>1250</v>
      </c>
      <c r="H56" s="9" t="n">
        <v>0</v>
      </c>
      <c r="Y56" s="0"/>
    </row>
    <row r="57" customFormat="false" ht="15.85" hidden="false" customHeight="true" outlineLevel="0" collapsed="false">
      <c r="A57" s="0" t="n">
        <v>31</v>
      </c>
      <c r="B57" s="34" t="n">
        <v>41974</v>
      </c>
      <c r="C57" s="137" t="n">
        <v>499300</v>
      </c>
      <c r="D57" s="29" t="s">
        <v>42</v>
      </c>
      <c r="E57" s="33" t="n">
        <f aca="false">IF(D57="totale",(C57/(A57*24))/F57,IF(D57="marché libre",(C57/(A57*24))/G57,"spécifier histo"))</f>
        <v>0.536881720430108</v>
      </c>
      <c r="F57" s="9" t="n">
        <v>1250</v>
      </c>
      <c r="G57" s="9" t="n">
        <f aca="false">F57-H57</f>
        <v>1250</v>
      </c>
      <c r="H57" s="9" t="n">
        <v>0</v>
      </c>
      <c r="Y57" s="0"/>
    </row>
    <row r="58" customFormat="false" ht="15.85" hidden="false" customHeight="true" outlineLevel="0" collapsed="false">
      <c r="A58" s="0" t="n">
        <v>31</v>
      </c>
      <c r="B58" s="31" t="n">
        <v>42005</v>
      </c>
      <c r="C58" s="137" t="n">
        <v>754700</v>
      </c>
      <c r="D58" s="29" t="s">
        <v>42</v>
      </c>
      <c r="E58" s="33" t="n">
        <f aca="false">IF(D58="totale",(C58/(A58*24))/F58,IF(D58="marché libre",(C58/(A58*24))/G58,"spécifier histo"))</f>
        <v>0.811505376344086</v>
      </c>
      <c r="F58" s="9" t="n">
        <v>1250</v>
      </c>
      <c r="G58" s="9" t="n">
        <f aca="false">F58-H58</f>
        <v>1250</v>
      </c>
      <c r="H58" s="9" t="n">
        <v>0</v>
      </c>
      <c r="Y58" s="0"/>
    </row>
    <row r="59" customFormat="false" ht="15.85" hidden="false" customHeight="true" outlineLevel="0" collapsed="false">
      <c r="A59" s="0" t="n">
        <v>28</v>
      </c>
      <c r="B59" s="31" t="n">
        <v>42036</v>
      </c>
      <c r="C59" s="137" t="n">
        <v>570200</v>
      </c>
      <c r="D59" s="29" t="s">
        <v>42</v>
      </c>
      <c r="E59" s="33" t="n">
        <f aca="false">IF(D59="totale",(C59/(A59*24))/F59,IF(D59="marché libre",(C59/(A59*24))/G59,"spécifier histo"))</f>
        <v>0.678809523809524</v>
      </c>
      <c r="F59" s="9" t="n">
        <v>1250</v>
      </c>
      <c r="G59" s="9" t="n">
        <f aca="false">F59-H59</f>
        <v>1250</v>
      </c>
      <c r="H59" s="9" t="n">
        <v>0</v>
      </c>
      <c r="Y59" s="0"/>
    </row>
    <row r="60" customFormat="false" ht="15.85" hidden="false" customHeight="true" outlineLevel="0" collapsed="false">
      <c r="A60" s="0" t="n">
        <v>31</v>
      </c>
      <c r="B60" s="31" t="n">
        <v>42064</v>
      </c>
      <c r="C60" s="137" t="n">
        <v>643040</v>
      </c>
      <c r="D60" s="29" t="s">
        <v>42</v>
      </c>
      <c r="E60" s="33" t="n">
        <f aca="false">IF(D60="totale",(C60/(A60*24))/F60,IF(D60="marché libre",(C60/(A60*24))/G60,"spécifier histo"))</f>
        <v>0.691440860215054</v>
      </c>
      <c r="F60" s="9" t="n">
        <v>1250</v>
      </c>
      <c r="G60" s="9" t="n">
        <f aca="false">F60-H60</f>
        <v>1250</v>
      </c>
      <c r="H60" s="9" t="n">
        <v>0</v>
      </c>
      <c r="Y60" s="0"/>
    </row>
    <row r="61" customFormat="false" ht="15.85" hidden="false" customHeight="true" outlineLevel="0" collapsed="false">
      <c r="A61" s="0" t="n">
        <v>30</v>
      </c>
      <c r="B61" s="34" t="n">
        <v>42095</v>
      </c>
      <c r="C61" s="137" t="n">
        <v>560700</v>
      </c>
      <c r="D61" s="29" t="s">
        <v>42</v>
      </c>
      <c r="E61" s="33" t="n">
        <f aca="false">IF(D61="totale",(C61/(A61*24))/F61,IF(D61="marché libre",(C61/(A61*24))/G61,"spécifier histo"))</f>
        <v>0.623</v>
      </c>
      <c r="F61" s="9" t="n">
        <v>1250</v>
      </c>
      <c r="G61" s="9" t="n">
        <f aca="false">F61-H61</f>
        <v>1250</v>
      </c>
      <c r="H61" s="9" t="n">
        <v>0</v>
      </c>
      <c r="Y61" s="0"/>
    </row>
    <row r="62" customFormat="false" ht="15.85" hidden="false" customHeight="true" outlineLevel="0" collapsed="false">
      <c r="A62" s="0" t="n">
        <v>31</v>
      </c>
      <c r="B62" s="31" t="n">
        <v>42125</v>
      </c>
      <c r="C62" s="137" t="n">
        <v>472900</v>
      </c>
      <c r="D62" s="29" t="s">
        <v>42</v>
      </c>
      <c r="E62" s="33" t="n">
        <f aca="false">IF(D62="totale",(C62/(A62*24))/F62,IF(D62="marché libre",(C62/(A62*24))/G62,"spécifier histo"))</f>
        <v>0.508494623655914</v>
      </c>
      <c r="F62" s="9" t="n">
        <v>1250</v>
      </c>
      <c r="G62" s="9" t="n">
        <f aca="false">F62-H62</f>
        <v>1250</v>
      </c>
      <c r="H62" s="9" t="n">
        <v>0</v>
      </c>
      <c r="Y62" s="0"/>
    </row>
    <row r="63" customFormat="false" ht="15.85" hidden="false" customHeight="true" outlineLevel="0" collapsed="false">
      <c r="A63" s="0" t="n">
        <v>30</v>
      </c>
      <c r="B63" s="34" t="n">
        <v>42156</v>
      </c>
      <c r="C63" s="137" t="n">
        <v>32000</v>
      </c>
      <c r="D63" s="29" t="s">
        <v>42</v>
      </c>
      <c r="E63" s="33" t="n">
        <f aca="false">IF(D63="totale",(C63/(A63*24))/F63,IF(D63="marché libre",(C63/(A63*24))/G63,"spécifier histo"))</f>
        <v>0.0355555555555556</v>
      </c>
      <c r="F63" s="9" t="n">
        <v>1250</v>
      </c>
      <c r="G63" s="9" t="n">
        <f aca="false">F63-H63</f>
        <v>1250</v>
      </c>
      <c r="H63" s="9" t="n">
        <v>0</v>
      </c>
      <c r="Y63" s="0"/>
    </row>
    <row r="64" customFormat="false" ht="12.8" hidden="false" customHeight="false" outlineLevel="0" collapsed="false">
      <c r="A64" s="0" t="n">
        <v>31</v>
      </c>
      <c r="B64" s="31" t="n">
        <v>42186</v>
      </c>
      <c r="C64" s="137" t="n">
        <v>0</v>
      </c>
      <c r="D64" s="29" t="s">
        <v>42</v>
      </c>
      <c r="E64" s="33" t="n">
        <f aca="false">IF(D64="totale",(C64/(A64*24))/F64,IF(D64="marché libre",(C64/(A64*24))/G64,"spécifier histo"))</f>
        <v>0</v>
      </c>
      <c r="F64" s="9" t="n">
        <v>1250</v>
      </c>
      <c r="G64" s="9" t="n">
        <f aca="false">F64-H64</f>
        <v>1250</v>
      </c>
      <c r="H64" s="9" t="n">
        <v>0</v>
      </c>
      <c r="Y64" s="0"/>
    </row>
    <row r="65" customFormat="false" ht="12.8" hidden="false" customHeight="false" outlineLevel="0" collapsed="false">
      <c r="A65" s="0" t="n">
        <v>31</v>
      </c>
      <c r="B65" s="34" t="n">
        <v>42217</v>
      </c>
      <c r="C65" s="137" t="n">
        <v>0</v>
      </c>
      <c r="D65" s="29" t="s">
        <v>42</v>
      </c>
      <c r="E65" s="33" t="n">
        <f aca="false">IF(D65="totale",(C65/(A65*24))/F65,IF(D65="marché libre",(C65/(A65*24))/G65,"spécifier histo"))</f>
        <v>0</v>
      </c>
      <c r="F65" s="9" t="n">
        <v>1250</v>
      </c>
      <c r="G65" s="9" t="n">
        <f aca="false">F65-H65</f>
        <v>1250</v>
      </c>
      <c r="H65" s="9" t="n">
        <v>0</v>
      </c>
      <c r="Y65" s="0"/>
    </row>
    <row r="66" customFormat="false" ht="12.8" hidden="false" customHeight="false" outlineLevel="0" collapsed="false">
      <c r="A66" s="0" t="n">
        <v>30</v>
      </c>
      <c r="B66" s="31" t="n">
        <v>42248</v>
      </c>
      <c r="C66" s="137" t="n">
        <v>0</v>
      </c>
      <c r="D66" s="29" t="s">
        <v>42</v>
      </c>
      <c r="E66" s="33" t="n">
        <f aca="false">IF(D66="totale",(C66/(A66*24))/F66,IF(D66="marché libre",(C66/(A66*24))/G66,"spécifier histo"))</f>
        <v>0</v>
      </c>
      <c r="F66" s="9" t="n">
        <v>1250</v>
      </c>
      <c r="G66" s="9" t="n">
        <f aca="false">F66-H66</f>
        <v>1250</v>
      </c>
      <c r="H66" s="9" t="n">
        <v>0</v>
      </c>
      <c r="Y66" s="0"/>
    </row>
    <row r="67" customFormat="false" ht="12.8" hidden="false" customHeight="false" outlineLevel="0" collapsed="false">
      <c r="A67" s="0" t="n">
        <v>31</v>
      </c>
      <c r="B67" s="34" t="n">
        <v>42278</v>
      </c>
      <c r="C67" s="137" t="n">
        <v>0</v>
      </c>
      <c r="D67" s="29" t="s">
        <v>42</v>
      </c>
      <c r="E67" s="33" t="n">
        <f aca="false">IF(D67="totale",(C67/(A67*24))/F67,IF(D67="marché libre",(C67/(A67*24))/G67,"spécifier histo"))</f>
        <v>0</v>
      </c>
      <c r="F67" s="9" t="n">
        <v>1250</v>
      </c>
      <c r="G67" s="9" t="n">
        <f aca="false">F67-H67</f>
        <v>1250</v>
      </c>
      <c r="H67" s="9" t="n">
        <v>0</v>
      </c>
      <c r="Y67" s="0"/>
    </row>
    <row r="68" customFormat="false" ht="12.8" hidden="false" customHeight="false" outlineLevel="0" collapsed="false">
      <c r="A68" s="0" t="n">
        <v>30</v>
      </c>
      <c r="B68" s="31" t="n">
        <v>42309</v>
      </c>
      <c r="C68" s="137" t="n">
        <v>188100</v>
      </c>
      <c r="D68" s="29" t="s">
        <v>42</v>
      </c>
      <c r="E68" s="33" t="n">
        <f aca="false">IF(D68="totale",(C68/(A68*24))/F68,IF(D68="marché libre",(C68/(A68*24))/G68,"spécifier histo"))</f>
        <v>0.209</v>
      </c>
      <c r="F68" s="9" t="n">
        <v>1250</v>
      </c>
      <c r="G68" s="9" t="n">
        <f aca="false">F68-H68</f>
        <v>1250</v>
      </c>
      <c r="H68" s="9" t="n">
        <v>0</v>
      </c>
      <c r="Y68" s="0"/>
    </row>
    <row r="69" customFormat="false" ht="12.8" hidden="false" customHeight="false" outlineLevel="0" collapsed="false">
      <c r="A69" s="0" t="n">
        <v>31</v>
      </c>
      <c r="B69" s="34" t="n">
        <v>42339</v>
      </c>
      <c r="C69" s="137" t="n">
        <v>417800</v>
      </c>
      <c r="D69" s="29" t="s">
        <v>42</v>
      </c>
      <c r="E69" s="33" t="n">
        <f aca="false">IF(D69="totale",(C69/(A69*24))/F69,IF(D69="marché libre",(C69/(A69*24))/G69,"spécifier histo"))</f>
        <v>0.449247311827957</v>
      </c>
      <c r="F69" s="9" t="n">
        <v>1250</v>
      </c>
      <c r="G69" s="9" t="n">
        <f aca="false">F69-H69</f>
        <v>1250</v>
      </c>
      <c r="H69" s="9" t="n">
        <v>0</v>
      </c>
      <c r="Y69" s="0"/>
    </row>
    <row r="70" customFormat="false" ht="12.8" hidden="false" customHeight="false" outlineLevel="0" collapsed="false">
      <c r="A70" s="0" t="n">
        <v>31</v>
      </c>
      <c r="B70" s="31" t="n">
        <v>42370</v>
      </c>
      <c r="C70" s="137" t="n">
        <v>677000</v>
      </c>
      <c r="D70" s="29" t="s">
        <v>42</v>
      </c>
      <c r="E70" s="33" t="n">
        <f aca="false">IF(D70="totale",(C70/(A70*24))/F70,IF(D70="marché libre",(C70/(A70*24))/G70,"spécifier histo"))</f>
        <v>0.727956989247312</v>
      </c>
      <c r="F70" s="9" t="n">
        <v>1250</v>
      </c>
      <c r="G70" s="9" t="n">
        <f aca="false">F70-H70</f>
        <v>1250</v>
      </c>
      <c r="H70" s="9" t="n">
        <v>0</v>
      </c>
      <c r="Y70" s="0"/>
    </row>
    <row r="71" customFormat="false" ht="12.8" hidden="false" customHeight="false" outlineLevel="0" collapsed="false">
      <c r="A71" s="0" t="n">
        <v>28</v>
      </c>
      <c r="B71" s="34" t="n">
        <v>42401</v>
      </c>
      <c r="C71" s="137" t="n">
        <v>690000</v>
      </c>
      <c r="D71" s="29" t="s">
        <v>42</v>
      </c>
      <c r="E71" s="33" t="n">
        <f aca="false">IF(D71="totale",(C71/(A71*24))/F71,IF(D71="marché libre",(C71/(A71*24))/G71,"spécifier histo"))</f>
        <v>0.821428571428571</v>
      </c>
      <c r="F71" s="9" t="n">
        <v>1250</v>
      </c>
      <c r="G71" s="9" t="n">
        <f aca="false">F71-H71</f>
        <v>1250</v>
      </c>
      <c r="H71" s="9" t="n">
        <v>0</v>
      </c>
      <c r="Y71" s="0"/>
    </row>
    <row r="72" customFormat="false" ht="12.8" hidden="false" customHeight="false" outlineLevel="0" collapsed="false">
      <c r="A72" s="0" t="n">
        <v>31</v>
      </c>
      <c r="B72" s="31" t="n">
        <v>42430</v>
      </c>
      <c r="C72" s="137" t="n">
        <v>696200</v>
      </c>
      <c r="D72" s="29" t="s">
        <v>42</v>
      </c>
      <c r="E72" s="33" t="n">
        <f aca="false">IF(D72="totale",(C72/(A72*24))/F72,IF(D72="marché libre",(C72/(A72*24))/G72,"spécifier histo"))</f>
        <v>0.748602150537634</v>
      </c>
      <c r="F72" s="9" t="n">
        <v>1250</v>
      </c>
      <c r="G72" s="9" t="n">
        <f aca="false">F72-H72</f>
        <v>1250</v>
      </c>
      <c r="H72" s="9" t="n">
        <v>0</v>
      </c>
      <c r="Y72" s="0"/>
    </row>
    <row r="73" customFormat="false" ht="12.8" hidden="false" customHeight="false" outlineLevel="0" collapsed="false">
      <c r="A73" s="0" t="n">
        <v>30</v>
      </c>
      <c r="B73" s="34" t="n">
        <v>42461</v>
      </c>
      <c r="C73" s="137" t="n">
        <v>727800</v>
      </c>
      <c r="D73" s="29" t="s">
        <v>42</v>
      </c>
      <c r="E73" s="33" t="n">
        <f aca="false">IF(D73="totale",(C73/(A73*24))/F73,IF(D73="marché libre",(C73/(A73*24))/G73,"spécifier histo"))</f>
        <v>0.808666666666667</v>
      </c>
      <c r="F73" s="9" t="n">
        <v>1250</v>
      </c>
      <c r="G73" s="9" t="n">
        <f aca="false">F73-H73</f>
        <v>1250</v>
      </c>
      <c r="H73" s="9" t="n">
        <v>0</v>
      </c>
      <c r="Y73" s="0"/>
    </row>
    <row r="74" customFormat="false" ht="12.8" hidden="false" customHeight="false" outlineLevel="0" collapsed="false">
      <c r="A74" s="0" t="n">
        <v>31</v>
      </c>
      <c r="B74" s="31" t="n">
        <v>42491</v>
      </c>
      <c r="C74" s="137" t="n">
        <v>626000</v>
      </c>
      <c r="D74" s="29" t="s">
        <v>42</v>
      </c>
      <c r="E74" s="33" t="n">
        <f aca="false">IF(D74="totale",(C74/(A74*24))/F74,IF(D74="marché libre",(C74/(A74*24))/G74,"spécifier histo"))</f>
        <v>0.673118279569892</v>
      </c>
      <c r="F74" s="9" t="n">
        <v>1250</v>
      </c>
      <c r="G74" s="9" t="n">
        <f aca="false">F74-H74</f>
        <v>1250</v>
      </c>
      <c r="H74" s="9" t="n">
        <v>0</v>
      </c>
      <c r="Y74" s="0"/>
    </row>
    <row r="75" customFormat="false" ht="12.8" hidden="false" customHeight="false" outlineLevel="0" collapsed="false">
      <c r="A75" s="0" t="n">
        <v>30</v>
      </c>
      <c r="B75" s="34" t="n">
        <v>42522</v>
      </c>
      <c r="C75" s="137" t="n">
        <v>600400</v>
      </c>
      <c r="D75" s="29" t="s">
        <v>42</v>
      </c>
      <c r="E75" s="33" t="n">
        <f aca="false">IF(D75="totale",(C75/(A75*24))/F75,IF(D75="marché libre",(C75/(A75*24))/G75,"spécifier histo"))</f>
        <v>0.667111111111111</v>
      </c>
      <c r="F75" s="9" t="n">
        <v>1250</v>
      </c>
      <c r="G75" s="9" t="n">
        <f aca="false">F75-H75</f>
        <v>1250</v>
      </c>
      <c r="H75" s="9" t="n">
        <v>0</v>
      </c>
      <c r="Y75" s="0"/>
    </row>
    <row r="76" customFormat="false" ht="12.8" hidden="false" customHeight="false" outlineLevel="0" collapsed="false">
      <c r="A76" s="0" t="n">
        <v>31</v>
      </c>
      <c r="B76" s="31" t="n">
        <v>42552</v>
      </c>
      <c r="C76" s="137" t="n">
        <v>327700</v>
      </c>
      <c r="D76" s="29" t="s">
        <v>42</v>
      </c>
      <c r="E76" s="33" t="n">
        <f aca="false">IF(D76="totale",(C76/(A76*24))/F76,IF(D76="marché libre",(C76/(A76*24))/G76,"spécifier histo"))</f>
        <v>0.352365591397849</v>
      </c>
      <c r="F76" s="9" t="n">
        <v>1250</v>
      </c>
      <c r="G76" s="9" t="n">
        <f aca="false">F76-H76</f>
        <v>1250</v>
      </c>
      <c r="H76" s="9" t="n">
        <v>0</v>
      </c>
      <c r="Y76" s="0"/>
    </row>
    <row r="77" customFormat="false" ht="12.8" hidden="false" customHeight="false" outlineLevel="0" collapsed="false">
      <c r="A77" s="0" t="n">
        <v>31</v>
      </c>
      <c r="B77" s="34" t="n">
        <v>42583</v>
      </c>
      <c r="C77" s="137" t="n">
        <v>67100</v>
      </c>
      <c r="D77" s="29" t="s">
        <v>42</v>
      </c>
      <c r="E77" s="33" t="n">
        <f aca="false">IF(D77="totale",(C77/(A77*24))/F77,IF(D77="marché libre",(C77/(A77*24))/G77,"spécifier histo"))</f>
        <v>0.0721505376344086</v>
      </c>
      <c r="F77" s="9" t="n">
        <v>1250</v>
      </c>
      <c r="G77" s="9" t="n">
        <f aca="false">F77-H77</f>
        <v>1250</v>
      </c>
      <c r="H77" s="9" t="n">
        <v>0</v>
      </c>
      <c r="Y77" s="0"/>
    </row>
    <row r="78" customFormat="false" ht="12.8" hidden="false" customHeight="false" outlineLevel="0" collapsed="false">
      <c r="A78" s="0" t="n">
        <v>30</v>
      </c>
      <c r="B78" s="31" t="n">
        <v>42614</v>
      </c>
      <c r="C78" s="137" t="n">
        <v>0</v>
      </c>
      <c r="D78" s="29" t="s">
        <v>42</v>
      </c>
      <c r="E78" s="33" t="n">
        <f aca="false">IF(D78="totale",(C78/(A78*24))/F78,IF(D78="marché libre",(C78/(A78*24))/G78,"spécifier histo"))</f>
        <v>0</v>
      </c>
      <c r="F78" s="9" t="n">
        <v>1250</v>
      </c>
      <c r="G78" s="9" t="n">
        <f aca="false">F78-H78</f>
        <v>1250</v>
      </c>
      <c r="H78" s="9" t="n">
        <v>0</v>
      </c>
      <c r="Y78" s="0"/>
    </row>
    <row r="79" customFormat="false" ht="12.8" hidden="false" customHeight="false" outlineLevel="0" collapsed="false">
      <c r="A79" s="0" t="n">
        <v>31</v>
      </c>
      <c r="B79" s="34" t="n">
        <v>42644</v>
      </c>
      <c r="C79" s="137" t="n">
        <v>0</v>
      </c>
      <c r="D79" s="29" t="s">
        <v>42</v>
      </c>
      <c r="E79" s="33" t="n">
        <f aca="false">IF(D79="totale",(C79/(A79*24))/F79,IF(D79="marché libre",(C79/(A79*24))/G79,"spécifier histo"))</f>
        <v>0</v>
      </c>
      <c r="F79" s="9" t="n">
        <v>1250</v>
      </c>
      <c r="G79" s="9" t="n">
        <f aca="false">F79-H79</f>
        <v>1250</v>
      </c>
      <c r="H79" s="9" t="n">
        <v>0</v>
      </c>
      <c r="Y79" s="0"/>
    </row>
    <row r="80" customFormat="false" ht="12.8" hidden="false" customHeight="false" outlineLevel="0" collapsed="false">
      <c r="A80" s="0" t="n">
        <v>30</v>
      </c>
      <c r="B80" s="31" t="n">
        <v>42675</v>
      </c>
      <c r="C80" s="137" t="n">
        <v>364800</v>
      </c>
      <c r="D80" s="29" t="s">
        <v>42</v>
      </c>
      <c r="E80" s="33" t="n">
        <f aca="false">IF(D80="totale",(C80/(A80*24))/F80,IF(D80="marché libre",(C80/(A80*24))/G80,"spécifier histo"))</f>
        <v>0.405333333333333</v>
      </c>
      <c r="F80" s="9" t="n">
        <v>1250</v>
      </c>
      <c r="G80" s="9" t="n">
        <f aca="false">F80-H80</f>
        <v>1250</v>
      </c>
      <c r="H80" s="9" t="n">
        <v>0</v>
      </c>
      <c r="Y80" s="0"/>
    </row>
    <row r="81" customFormat="false" ht="12.8" hidden="false" customHeight="false" outlineLevel="0" collapsed="false">
      <c r="A81" s="0" t="n">
        <v>31</v>
      </c>
      <c r="B81" s="34" t="n">
        <v>42705</v>
      </c>
      <c r="C81" s="137" t="n">
        <v>91400</v>
      </c>
      <c r="D81" s="29" t="s">
        <v>42</v>
      </c>
      <c r="E81" s="33" t="n">
        <f aca="false">IF(D81="totale",(C81/(A81*24))/F81,IF(D81="marché libre",(C81/(A81*24))/G81,"spécifier histo"))</f>
        <v>0.0982795698924731</v>
      </c>
      <c r="F81" s="9" t="n">
        <v>1250</v>
      </c>
      <c r="G81" s="9" t="n">
        <f aca="false">F81-H81</f>
        <v>1250</v>
      </c>
      <c r="H81" s="9" t="n">
        <v>0</v>
      </c>
      <c r="Y81" s="0"/>
    </row>
    <row r="82" customFormat="false" ht="12.8" hidden="false" customHeight="false" outlineLevel="0" collapsed="false">
      <c r="A82" s="0" t="n">
        <v>31</v>
      </c>
      <c r="B82" s="31" t="n">
        <v>42736</v>
      </c>
      <c r="C82" s="137" t="n">
        <v>157800</v>
      </c>
      <c r="D82" s="29" t="s">
        <v>42</v>
      </c>
      <c r="E82" s="33" t="n">
        <f aca="false">IF(D82="totale",(C82/(A82*24))/F82,IF(D82="marché libre",(C82/(A82*24))/G82,"spécifier histo"))</f>
        <v>0.169677419354839</v>
      </c>
      <c r="F82" s="9" t="n">
        <v>1250</v>
      </c>
      <c r="G82" s="9" t="n">
        <f aca="false">F82-H82</f>
        <v>1250</v>
      </c>
      <c r="H82" s="9" t="n">
        <v>0</v>
      </c>
      <c r="Y82" s="0"/>
    </row>
    <row r="83" customFormat="false" ht="12.8" hidden="false" customHeight="false" outlineLevel="0" collapsed="false">
      <c r="A83" s="0" t="n">
        <v>28</v>
      </c>
      <c r="B83" s="34" t="n">
        <v>42767</v>
      </c>
      <c r="C83" s="137" t="n">
        <v>613100</v>
      </c>
      <c r="D83" s="29" t="s">
        <v>42</v>
      </c>
      <c r="E83" s="33" t="n">
        <f aca="false">IF(D83="totale",(C83/(A83*24))/F83,IF(D83="marché libre",(C83/(A83*24))/G83,"spécifier histo"))</f>
        <v>0.729880952380952</v>
      </c>
      <c r="F83" s="9" t="n">
        <v>1250</v>
      </c>
      <c r="G83" s="9" t="n">
        <f aca="false">F83-H83</f>
        <v>1250</v>
      </c>
      <c r="H83" s="9" t="n">
        <v>0</v>
      </c>
      <c r="Y83" s="0"/>
    </row>
    <row r="84" customFormat="false" ht="12.8" hidden="false" customHeight="false" outlineLevel="0" collapsed="false">
      <c r="A84" s="0" t="n">
        <v>31</v>
      </c>
      <c r="B84" s="31" t="n">
        <v>42795</v>
      </c>
      <c r="C84" s="137" t="n">
        <v>697700</v>
      </c>
      <c r="D84" s="29" t="s">
        <v>42</v>
      </c>
      <c r="E84" s="33" t="n">
        <f aca="false">IF(D84="totale",(C84/(A84*24))/F84,IF(D84="marché libre",(C84/(A84*24))/G84,"spécifier histo"))</f>
        <v>0.750215053763441</v>
      </c>
      <c r="F84" s="9" t="n">
        <v>1250</v>
      </c>
      <c r="G84" s="9" t="n">
        <f aca="false">F84-H84</f>
        <v>1250</v>
      </c>
      <c r="H84" s="9" t="n">
        <v>0</v>
      </c>
      <c r="Y84" s="0"/>
    </row>
    <row r="85" customFormat="false" ht="12.8" hidden="false" customHeight="false" outlineLevel="0" collapsed="false">
      <c r="A85" s="0" t="n">
        <v>30</v>
      </c>
      <c r="B85" s="34" t="n">
        <v>42826</v>
      </c>
      <c r="C85" s="137" t="n">
        <v>256800</v>
      </c>
      <c r="D85" s="29" t="s">
        <v>42</v>
      </c>
      <c r="E85" s="33" t="n">
        <f aca="false">IF(D85="totale",(C85/(A85*24))/F85,IF(D85="marché libre",(C85/(A85*24))/G85,"spécifier histo"))</f>
        <v>0.285333333333333</v>
      </c>
      <c r="F85" s="9" t="n">
        <v>1250</v>
      </c>
      <c r="G85" s="9" t="n">
        <f aca="false">F85-H85</f>
        <v>1250</v>
      </c>
      <c r="H85" s="9" t="n">
        <v>0</v>
      </c>
      <c r="Y85" s="0"/>
    </row>
    <row r="86" customFormat="false" ht="12.8" hidden="false" customHeight="false" outlineLevel="0" collapsed="false">
      <c r="A86" s="0" t="n">
        <v>31</v>
      </c>
      <c r="B86" s="31" t="n">
        <v>42856</v>
      </c>
      <c r="C86" s="137" t="n">
        <v>334700</v>
      </c>
      <c r="D86" s="29" t="s">
        <v>42</v>
      </c>
      <c r="E86" s="33" t="n">
        <f aca="false">IF(D86="totale",(C86/(A86*24))/F86,IF(D86="marché libre",(C86/(A86*24))/G86,"spécifier histo"))</f>
        <v>0.35989247311828</v>
      </c>
      <c r="F86" s="9" t="n">
        <v>1250</v>
      </c>
      <c r="G86" s="9" t="n">
        <f aca="false">F86-H86</f>
        <v>1250</v>
      </c>
      <c r="H86" s="9" t="n">
        <v>0</v>
      </c>
      <c r="Y86" s="0"/>
    </row>
    <row r="87" customFormat="false" ht="12.8" hidden="false" customHeight="false" outlineLevel="0" collapsed="false">
      <c r="A87" s="0" t="n">
        <v>30</v>
      </c>
      <c r="B87" s="34" t="n">
        <v>42887</v>
      </c>
      <c r="C87" s="137" t="n">
        <v>127100</v>
      </c>
      <c r="D87" s="29" t="s">
        <v>42</v>
      </c>
      <c r="E87" s="33" t="n">
        <f aca="false">IF(D87="totale",(C87/(A87*24))/F87,IF(D87="marché libre",(C87/(A87*24))/G87,"spécifier histo"))</f>
        <v>0.141222222222222</v>
      </c>
      <c r="F87" s="9" t="n">
        <v>1250</v>
      </c>
      <c r="G87" s="9" t="n">
        <f aca="false">F87-H87</f>
        <v>1250</v>
      </c>
      <c r="H87" s="9" t="n">
        <v>0</v>
      </c>
      <c r="Y87" s="0"/>
    </row>
    <row r="88" customFormat="false" ht="12.8" hidden="false" customHeight="false" outlineLevel="0" collapsed="false">
      <c r="A88" s="0" t="n">
        <v>31</v>
      </c>
      <c r="B88" s="31" t="n">
        <v>42917</v>
      </c>
      <c r="C88" s="137" t="n">
        <v>0</v>
      </c>
      <c r="D88" s="29" t="s">
        <v>42</v>
      </c>
      <c r="E88" s="33" t="n">
        <f aca="false">IF(D88="totale",(C88/(A88*24))/F88,IF(D88="marché libre",(C88/(A88*24))/G88,"spécifier histo"))</f>
        <v>0</v>
      </c>
      <c r="F88" s="9" t="n">
        <v>1250</v>
      </c>
      <c r="G88" s="9" t="n">
        <f aca="false">F88-H88</f>
        <v>1250</v>
      </c>
      <c r="H88" s="9" t="n">
        <v>0</v>
      </c>
      <c r="Y88" s="0"/>
    </row>
    <row r="89" customFormat="false" ht="12.8" hidden="false" customHeight="false" outlineLevel="0" collapsed="false">
      <c r="A89" s="0" t="n">
        <v>31</v>
      </c>
      <c r="B89" s="34" t="n">
        <v>42948</v>
      </c>
      <c r="C89" s="137" t="n">
        <v>0</v>
      </c>
      <c r="D89" s="29" t="s">
        <v>42</v>
      </c>
      <c r="E89" s="33" t="n">
        <f aca="false">IF(D89="totale",(C89/(A89*24))/F89,IF(D89="marché libre",(C89/(A89*24))/G89,"spécifier histo"))</f>
        <v>0</v>
      </c>
      <c r="F89" s="9" t="n">
        <v>1250</v>
      </c>
      <c r="G89" s="9" t="n">
        <f aca="false">F89-H89</f>
        <v>1250</v>
      </c>
      <c r="H89" s="9" t="n">
        <v>0</v>
      </c>
      <c r="Y89" s="0"/>
    </row>
    <row r="90" customFormat="false" ht="12.8" hidden="false" customHeight="false" outlineLevel="0" collapsed="false">
      <c r="A90" s="0" t="n">
        <v>30</v>
      </c>
      <c r="B90" s="31" t="n">
        <v>42979</v>
      </c>
      <c r="C90" s="137" t="n">
        <v>52600</v>
      </c>
      <c r="D90" s="29" t="s">
        <v>42</v>
      </c>
      <c r="E90" s="33" t="n">
        <f aca="false">IF(D90="totale",(C90/(A90*24))/F90,IF(D90="marché libre",(C90/(A90*24))/G90,"spécifier histo"))</f>
        <v>0.0584444444444444</v>
      </c>
      <c r="F90" s="9" t="n">
        <v>1250</v>
      </c>
      <c r="G90" s="9" t="n">
        <f aca="false">F90-H90</f>
        <v>1250</v>
      </c>
      <c r="H90" s="9" t="n">
        <v>0</v>
      </c>
      <c r="Y90" s="0"/>
    </row>
    <row r="91" customFormat="false" ht="12.8" hidden="false" customHeight="false" outlineLevel="0" collapsed="false">
      <c r="A91" s="0" t="n">
        <v>31</v>
      </c>
      <c r="B91" s="34" t="n">
        <v>43009</v>
      </c>
      <c r="C91" s="137" t="n">
        <v>249300</v>
      </c>
      <c r="D91" s="29" t="s">
        <v>42</v>
      </c>
      <c r="E91" s="33" t="n">
        <f aca="false">IF(D91="totale",(C91/(A91*24))/F91,IF(D91="marché libre",(C91/(A91*24))/G91,"spécifier histo"))</f>
        <v>0.268064516129032</v>
      </c>
      <c r="F91" s="9" t="n">
        <v>1250</v>
      </c>
      <c r="G91" s="9" t="n">
        <f aca="false">F91-H91</f>
        <v>1250</v>
      </c>
      <c r="H91" s="9" t="n">
        <v>0</v>
      </c>
      <c r="Y91" s="0"/>
    </row>
    <row r="92" customFormat="false" ht="12.8" hidden="false" customHeight="false" outlineLevel="0" collapsed="false">
      <c r="A92" s="0" t="n">
        <v>30</v>
      </c>
      <c r="B92" s="31" t="n">
        <v>43040</v>
      </c>
      <c r="C92" s="137" t="n">
        <v>526400</v>
      </c>
      <c r="D92" s="29" t="s">
        <v>42</v>
      </c>
      <c r="E92" s="33" t="n">
        <f aca="false">IF(D92="totale",(C92/(A92*24))/F92,IF(D92="marché libre",(C92/(A92*24))/G92,"spécifier histo"))</f>
        <v>0.584888888888889</v>
      </c>
      <c r="F92" s="9" t="n">
        <v>1250</v>
      </c>
      <c r="G92" s="9" t="n">
        <f aca="false">F92-H92</f>
        <v>1250</v>
      </c>
      <c r="H92" s="9" t="n">
        <v>0</v>
      </c>
      <c r="Y92" s="0"/>
    </row>
    <row r="93" customFormat="false" ht="12.8" hidden="false" customHeight="false" outlineLevel="0" collapsed="false">
      <c r="A93" s="0" t="n">
        <v>31</v>
      </c>
      <c r="B93" s="34" t="n">
        <v>43070</v>
      </c>
      <c r="C93" s="137" t="n">
        <v>745800</v>
      </c>
      <c r="D93" s="29" t="s">
        <v>42</v>
      </c>
      <c r="E93" s="33" t="n">
        <f aca="false">IF(D93="totale",(C93/(A93*24))/F93,IF(D93="marché libre",(C93/(A93*24))/G93,"spécifier histo"))</f>
        <v>0.801935483870968</v>
      </c>
      <c r="F93" s="9" t="n">
        <v>1250</v>
      </c>
      <c r="G93" s="9" t="n">
        <f aca="false">F93-H93</f>
        <v>1250</v>
      </c>
      <c r="H93" s="9" t="n">
        <v>0</v>
      </c>
      <c r="Y93" s="0"/>
    </row>
    <row r="94" customFormat="false" ht="12.8" hidden="false" customHeight="false" outlineLevel="0" collapsed="false">
      <c r="A94" s="0" t="n">
        <v>31</v>
      </c>
      <c r="B94" s="31" t="n">
        <v>43101</v>
      </c>
      <c r="C94" s="137" t="n">
        <v>565600</v>
      </c>
      <c r="D94" s="29" t="s">
        <v>42</v>
      </c>
      <c r="E94" s="33" t="n">
        <f aca="false">IF(D94="totale",(C94/(A94*24))/F94,IF(D94="marché libre",(C94/(A94*24))/G94,"spécifier histo"))</f>
        <v>0.608172043010753</v>
      </c>
      <c r="F94" s="9" t="n">
        <v>1250</v>
      </c>
      <c r="G94" s="9" t="n">
        <f aca="false">F94-H94</f>
        <v>1250</v>
      </c>
      <c r="H94" s="9" t="n">
        <v>0</v>
      </c>
      <c r="Y94" s="0"/>
    </row>
    <row r="95" customFormat="false" ht="12.8" hidden="false" customHeight="false" outlineLevel="0" collapsed="false">
      <c r="A95" s="0" t="n">
        <v>28</v>
      </c>
      <c r="B95" s="34" t="n">
        <v>43132</v>
      </c>
      <c r="C95" s="137" t="n">
        <v>616200</v>
      </c>
      <c r="D95" s="29" t="s">
        <v>42</v>
      </c>
      <c r="E95" s="33" t="n">
        <f aca="false">IF(D95="totale",(C95/(A95*24))/F95,IF(D95="marché libre",(C95/(A95*24))/G95,"spécifier histo"))</f>
        <v>0.733571428571429</v>
      </c>
      <c r="F95" s="9" t="n">
        <v>1250</v>
      </c>
      <c r="G95" s="9" t="n">
        <f aca="false">F95-H95</f>
        <v>1250</v>
      </c>
      <c r="H95" s="9" t="n">
        <v>0</v>
      </c>
      <c r="Y95" s="0"/>
    </row>
    <row r="96" customFormat="false" ht="12.8" hidden="false" customHeight="false" outlineLevel="0" collapsed="false">
      <c r="A96" s="0" t="n">
        <v>31</v>
      </c>
      <c r="B96" s="31" t="n">
        <v>43160</v>
      </c>
      <c r="C96" s="137" t="n">
        <v>7300</v>
      </c>
      <c r="D96" s="29" t="s">
        <v>42</v>
      </c>
      <c r="E96" s="33" t="n">
        <f aca="false">IF(D96="totale",(C96/(A96*24))/F96,IF(D96="marché libre",(C96/(A96*24))/G96,"spécifier histo"))</f>
        <v>0.0078494623655914</v>
      </c>
      <c r="F96" s="9" t="n">
        <v>1250</v>
      </c>
      <c r="G96" s="9" t="n">
        <f aca="false">F96-H96</f>
        <v>1250</v>
      </c>
      <c r="H96" s="9" t="n">
        <v>0</v>
      </c>
      <c r="Y96" s="0"/>
    </row>
    <row r="97" customFormat="false" ht="12.8" hidden="false" customHeight="false" outlineLevel="0" collapsed="false">
      <c r="A97" s="0" t="n">
        <v>28</v>
      </c>
      <c r="B97" s="34" t="n">
        <v>43191</v>
      </c>
      <c r="C97" s="121"/>
      <c r="D97" s="29" t="s">
        <v>42</v>
      </c>
      <c r="E97" s="33" t="n">
        <f aca="false">IF(D97="totale",(C97/(A97*24))/F97,IF(D97="marché libre",(C97/(A97*24))/G97,"spécifier histo"))</f>
        <v>0</v>
      </c>
      <c r="F97" s="9" t="n">
        <v>1250</v>
      </c>
      <c r="G97" s="9" t="n">
        <f aca="false">F97-H97</f>
        <v>1250</v>
      </c>
      <c r="H97" s="9" t="n">
        <v>0</v>
      </c>
      <c r="Y97" s="0"/>
    </row>
    <row r="98" customFormat="false" ht="12.8" hidden="false" customHeight="false" outlineLevel="0" collapsed="false">
      <c r="A98" s="0" t="n">
        <v>31</v>
      </c>
      <c r="B98" s="31" t="n">
        <v>43221</v>
      </c>
      <c r="C98" s="121"/>
      <c r="D98" s="29" t="s">
        <v>42</v>
      </c>
      <c r="E98" s="33" t="n">
        <f aca="false">IF(D98="totale",(C98/(A98*24))/F98,IF(D98="marché libre",(C98/(A98*24))/G98,"spécifier histo"))</f>
        <v>0</v>
      </c>
      <c r="F98" s="9" t="n">
        <v>1250</v>
      </c>
      <c r="G98" s="9" t="n">
        <f aca="false">F98-H98</f>
        <v>1250</v>
      </c>
      <c r="H98" s="9" t="n">
        <v>0</v>
      </c>
      <c r="Y98" s="0"/>
    </row>
    <row r="99" customFormat="false" ht="12.8" hidden="false" customHeight="false" outlineLevel="0" collapsed="false">
      <c r="A99" s="0" t="n">
        <v>30</v>
      </c>
      <c r="B99" s="34" t="n">
        <v>43252</v>
      </c>
      <c r="C99" s="121"/>
      <c r="D99" s="29" t="s">
        <v>42</v>
      </c>
      <c r="E99" s="33" t="n">
        <f aca="false">IF(D99="totale",(C99/(A99*24))/F99,IF(D99="marché libre",(C99/(A99*24))/G99,"spécifier histo"))</f>
        <v>0</v>
      </c>
      <c r="F99" s="9" t="n">
        <v>1250</v>
      </c>
      <c r="G99" s="9" t="n">
        <f aca="false">F99-H99</f>
        <v>1250</v>
      </c>
      <c r="H99" s="9" t="n">
        <v>0</v>
      </c>
      <c r="Y99" s="0"/>
    </row>
    <row r="100" customFormat="false" ht="12.8" hidden="false" customHeight="false" outlineLevel="0" collapsed="false">
      <c r="A100" s="0" t="n">
        <v>31</v>
      </c>
      <c r="B100" s="31" t="n">
        <v>43282</v>
      </c>
      <c r="C100" s="121"/>
      <c r="D100" s="29" t="s">
        <v>42</v>
      </c>
      <c r="E100" s="33" t="n">
        <f aca="false">IF(D100="totale",(C100/(A100*24))/F100,IF(D100="marché libre",(C100/(A100*24))/G100,"spécifier histo"))</f>
        <v>0</v>
      </c>
      <c r="F100" s="9" t="n">
        <v>1250</v>
      </c>
      <c r="G100" s="9" t="n">
        <f aca="false">F100-H100</f>
        <v>1250</v>
      </c>
      <c r="H100" s="9" t="n">
        <v>0</v>
      </c>
      <c r="Y100" s="0"/>
    </row>
    <row r="101" customFormat="false" ht="12.8" hidden="false" customHeight="false" outlineLevel="0" collapsed="false">
      <c r="A101" s="0" t="n">
        <v>30</v>
      </c>
      <c r="B101" s="34" t="n">
        <v>43313</v>
      </c>
      <c r="C101" s="121"/>
      <c r="D101" s="29" t="s">
        <v>42</v>
      </c>
      <c r="E101" s="33" t="n">
        <f aca="false">IF(D101="totale",(C101/(A101*24))/F101,IF(D101="marché libre",(C101/(A101*24))/G101,"spécifier histo"))</f>
        <v>0</v>
      </c>
      <c r="F101" s="9" t="n">
        <v>1250</v>
      </c>
      <c r="G101" s="9" t="n">
        <f aca="false">F101-H101</f>
        <v>1250</v>
      </c>
      <c r="H101" s="9" t="n">
        <v>0</v>
      </c>
      <c r="Y101" s="0"/>
    </row>
    <row r="102" customFormat="false" ht="12.8" hidden="false" customHeight="false" outlineLevel="0" collapsed="false">
      <c r="A102" s="0" t="n">
        <v>31</v>
      </c>
      <c r="B102" s="31" t="n">
        <v>43344</v>
      </c>
      <c r="C102" s="1"/>
      <c r="D102" s="29" t="s">
        <v>42</v>
      </c>
      <c r="E102" s="33" t="n">
        <f aca="false">IF(D102="totale",(C102/(A102*24))/F102,IF(D102="marché libre",(C102/(A102*24))/G102,"spécifier histo"))</f>
        <v>0</v>
      </c>
      <c r="F102" s="9" t="n">
        <v>1250</v>
      </c>
      <c r="G102" s="9" t="n">
        <f aca="false">F102-H102</f>
        <v>1250</v>
      </c>
      <c r="H102" s="9" t="n">
        <v>0</v>
      </c>
      <c r="Y102" s="0"/>
    </row>
    <row r="103" customFormat="false" ht="12.8" hidden="false" customHeight="false" outlineLevel="0" collapsed="false">
      <c r="Y103" s="0"/>
    </row>
    <row r="104" customFormat="false" ht="12.8" hidden="false" customHeight="false" outlineLevel="0" collapsed="false">
      <c r="Y104" s="0"/>
    </row>
    <row r="105" customFormat="false" ht="12.8" hidden="false" customHeight="false" outlineLevel="0" collapsed="false">
      <c r="Y105" s="0"/>
    </row>
    <row r="106" customFormat="false" ht="12.8" hidden="false" customHeight="false" outlineLevel="0" collapsed="false">
      <c r="Y106" s="0"/>
    </row>
    <row r="107" customFormat="false" ht="12.8" hidden="false" customHeight="false" outlineLevel="0" collapsed="false">
      <c r="Y107" s="0"/>
    </row>
    <row r="108" customFormat="false" ht="12.8" hidden="false" customHeight="false" outlineLevel="0" collapsed="false">
      <c r="Y108" s="0"/>
    </row>
    <row r="109" customFormat="false" ht="12.8" hidden="false" customHeight="false" outlineLevel="0" collapsed="false">
      <c r="Y109" s="0"/>
    </row>
    <row r="110" customFormat="false" ht="12.8" hidden="false" customHeight="false" outlineLevel="0" collapsed="false">
      <c r="Y110" s="0"/>
    </row>
    <row r="111" customFormat="false" ht="12.8" hidden="false" customHeight="false" outlineLevel="0" collapsed="false">
      <c r="Y111" s="0"/>
    </row>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102">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B4" r:id="rId1" display="CT_HYDRO_157"/>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tabColor rgb="FF069A2E"/>
    <pageSetUpPr fitToPage="false"/>
  </sheetPr>
  <dimension ref="A1:AS23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73" activePane="bottomRight" state="frozen"/>
      <selection pane="topLeft" activeCell="A1" activeCellId="0" sqref="A1"/>
      <selection pane="topRight" activeCell="B1" activeCellId="0" sqref="B1"/>
      <selection pane="bottomLeft" activeCell="A173" activeCellId="0" sqref="A173"/>
      <selection pane="bottomRight" activeCell="B223" activeCellId="0" sqref="B223"/>
    </sheetView>
  </sheetViews>
  <sheetFormatPr defaultRowHeight="12.8" zeroHeight="false" outlineLevelRow="0" outlineLevelCol="0"/>
  <cols>
    <col collapsed="false" customWidth="true" hidden="false" outlineLevel="0" max="1" min="1" style="9" width="3.37"/>
    <col collapsed="false" customWidth="true" hidden="false" outlineLevel="0" max="2" min="2" style="9" width="17.13"/>
    <col collapsed="false" customWidth="true" hidden="false" outlineLevel="0" max="3" min="3" style="9" width="14.81"/>
    <col collapsed="false" customWidth="true" hidden="false" outlineLevel="0" max="4" min="4" style="9" width="16.07"/>
    <col collapsed="false" customWidth="true" hidden="false" outlineLevel="0" max="5" min="5" style="9" width="19.14"/>
    <col collapsed="false" customWidth="true" hidden="false" outlineLevel="0" max="6" min="6" style="9" width="16.07"/>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9"/>
    <col collapsed="false" customWidth="true" hidden="false" outlineLevel="0" max="11" min="11" style="9" width="13.12"/>
    <col collapsed="false" customWidth="true" hidden="false" outlineLevel="0" max="12" min="12" style="9" width="19.91"/>
    <col collapsed="false" customWidth="true" hidden="false" outlineLevel="0" max="13" min="13" style="9" width="16.07"/>
    <col collapsed="false" customWidth="true" hidden="false" outlineLevel="0" max="14" min="14" style="9" width="15.42"/>
    <col collapsed="false" customWidth="true" hidden="false" outlineLevel="0" max="15" min="15" style="9" width="9.13"/>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96" t="s">
        <v>0</v>
      </c>
      <c r="C1" s="96"/>
      <c r="D1" s="96"/>
      <c r="E1" s="96"/>
      <c r="F1" s="97" t="s">
        <v>1</v>
      </c>
      <c r="G1" s="97"/>
      <c r="H1" s="97"/>
      <c r="I1" s="97"/>
      <c r="J1" s="97"/>
      <c r="K1" s="97"/>
      <c r="L1" s="97"/>
      <c r="M1" s="97"/>
      <c r="N1" s="97"/>
      <c r="O1" s="97"/>
    </row>
    <row r="2" customFormat="false" ht="30.8" hidden="false" customHeight="true" outlineLevel="0" collapsed="false">
      <c r="B2" s="96"/>
      <c r="C2" s="96"/>
      <c r="D2" s="96"/>
      <c r="E2" s="96"/>
      <c r="F2" s="97" t="s">
        <v>2</v>
      </c>
      <c r="G2" s="97"/>
      <c r="H2" s="97"/>
      <c r="I2" s="97"/>
      <c r="J2" s="97" t="s">
        <v>3</v>
      </c>
      <c r="K2" s="97"/>
      <c r="L2" s="97"/>
      <c r="M2" s="97" t="s">
        <v>4</v>
      </c>
      <c r="N2" s="97"/>
      <c r="O2" s="97" t="s">
        <v>5</v>
      </c>
      <c r="Q2" s="4"/>
      <c r="R2" s="5" t="s">
        <v>6</v>
      </c>
      <c r="T2" s="6"/>
      <c r="U2" s="7" t="s">
        <v>7</v>
      </c>
    </row>
    <row r="3" customFormat="false" ht="40.8" hidden="false" customHeight="true" outlineLevel="0" collapsed="false">
      <c r="B3" s="20" t="s">
        <v>9</v>
      </c>
      <c r="C3" s="20" t="s">
        <v>10</v>
      </c>
      <c r="D3" s="20" t="s">
        <v>11</v>
      </c>
      <c r="E3" s="98" t="s">
        <v>12</v>
      </c>
      <c r="F3" s="20" t="s">
        <v>13</v>
      </c>
      <c r="G3" s="20" t="s">
        <v>14</v>
      </c>
      <c r="H3" s="20" t="s">
        <v>15</v>
      </c>
      <c r="I3" s="20" t="s">
        <v>16</v>
      </c>
      <c r="J3" s="20" t="s">
        <v>17</v>
      </c>
      <c r="K3" s="20" t="s">
        <v>91</v>
      </c>
      <c r="L3" s="20" t="s">
        <v>18</v>
      </c>
      <c r="M3" s="20" t="s">
        <v>19</v>
      </c>
      <c r="N3" s="20" t="s">
        <v>17</v>
      </c>
      <c r="O3" s="97"/>
      <c r="Q3" s="12"/>
      <c r="R3" s="5" t="s">
        <v>20</v>
      </c>
      <c r="T3" s="13"/>
      <c r="U3" s="7" t="s">
        <v>21</v>
      </c>
    </row>
    <row r="4" customFormat="false" ht="44.15" hidden="false" customHeight="true" outlineLevel="0" collapsed="false">
      <c r="B4" s="19" t="s">
        <v>119</v>
      </c>
      <c r="C4" s="19" t="n">
        <v>30463</v>
      </c>
      <c r="D4" s="19" t="s">
        <v>120</v>
      </c>
      <c r="E4" s="136" t="s">
        <v>121</v>
      </c>
      <c r="F4" s="15" t="n">
        <v>30</v>
      </c>
      <c r="G4" s="15" t="n">
        <v>37</v>
      </c>
      <c r="H4" s="15" t="n">
        <v>30</v>
      </c>
      <c r="I4" s="15"/>
      <c r="J4" s="15" t="n">
        <v>30</v>
      </c>
      <c r="K4" s="15"/>
      <c r="L4" s="15"/>
      <c r="M4" s="15"/>
      <c r="N4" s="15"/>
      <c r="O4" s="101"/>
      <c r="Q4" s="17"/>
      <c r="R4" s="16" t="s">
        <v>23</v>
      </c>
      <c r="T4" s="18"/>
      <c r="U4" s="19" t="s">
        <v>24</v>
      </c>
      <c r="V4" s="19"/>
      <c r="W4" s="19"/>
    </row>
    <row r="5" customFormat="false" ht="28.35" hidden="false" customHeight="true" outlineLevel="0" collapsed="false">
      <c r="T5" s="0"/>
      <c r="U5" s="0"/>
    </row>
    <row r="6" customFormat="false" ht="28.35" hidden="false" customHeight="true" outlineLevel="0" collapsed="false">
      <c r="B6" s="0"/>
      <c r="C6" s="10" t="s">
        <v>25</v>
      </c>
      <c r="D6" s="10"/>
      <c r="F6" s="20" t="s">
        <v>26</v>
      </c>
      <c r="G6" s="15" t="s">
        <v>118</v>
      </c>
      <c r="H6" s="15"/>
      <c r="I6" s="15"/>
      <c r="J6" s="15"/>
      <c r="K6" s="15"/>
      <c r="L6" s="15"/>
      <c r="M6" s="15"/>
      <c r="N6" s="15"/>
      <c r="O6" s="15"/>
      <c r="Q6" s="21" t="n">
        <v>41165</v>
      </c>
      <c r="R6" s="19" t="s">
        <v>27</v>
      </c>
      <c r="T6" s="22"/>
      <c r="U6" s="5" t="s">
        <v>28</v>
      </c>
    </row>
    <row r="7" customFormat="false" ht="44.95" hidden="false" customHeight="true" outlineLevel="0" collapsed="false">
      <c r="B7" s="0"/>
      <c r="C7" s="126" t="s">
        <v>122</v>
      </c>
      <c r="D7" s="126"/>
      <c r="F7" s="20"/>
      <c r="G7" s="20"/>
      <c r="H7" s="15"/>
      <c r="I7" s="15"/>
      <c r="J7" s="15"/>
      <c r="K7" s="15"/>
      <c r="L7" s="15"/>
      <c r="M7" s="15"/>
      <c r="N7" s="15"/>
      <c r="O7" s="15"/>
      <c r="Q7" s="24"/>
      <c r="R7" s="5" t="s">
        <v>29</v>
      </c>
      <c r="T7" s="25"/>
      <c r="U7" s="5" t="s">
        <v>30</v>
      </c>
    </row>
    <row r="8" customFormat="false" ht="28.3" hidden="false" customHeight="true" outlineLevel="0" collapsed="false">
      <c r="Q8" s="1"/>
      <c r="R8" s="1"/>
      <c r="T8" s="27"/>
      <c r="U8" s="16" t="s">
        <v>31</v>
      </c>
    </row>
    <row r="9" customFormat="false" ht="42.45" hidden="false" customHeight="true" outlineLevel="0" collapsed="false">
      <c r="A9" s="1"/>
      <c r="B9" s="9" t="s">
        <v>32</v>
      </c>
      <c r="C9" s="9" t="s">
        <v>51</v>
      </c>
      <c r="D9" s="9" t="s">
        <v>52</v>
      </c>
      <c r="E9" s="1" t="s">
        <v>35</v>
      </c>
      <c r="F9" s="9" t="s">
        <v>97</v>
      </c>
      <c r="G9" s="9" t="s">
        <v>37</v>
      </c>
      <c r="H9" s="9" t="s">
        <v>38</v>
      </c>
      <c r="I9" s="9" t="s">
        <v>39</v>
      </c>
      <c r="J9" s="103" t="s">
        <v>40</v>
      </c>
      <c r="K9" s="103"/>
    </row>
    <row r="10" customFormat="false" ht="13.5" hidden="false" customHeight="true" outlineLevel="0" collapsed="false">
      <c r="A10" s="0" t="n">
        <v>31</v>
      </c>
      <c r="B10" s="31" t="n">
        <v>36892</v>
      </c>
      <c r="C10" s="9" t="n">
        <v>22971</v>
      </c>
      <c r="D10" s="29" t="s">
        <v>42</v>
      </c>
      <c r="E10" s="33" t="n">
        <f aca="false">IF(D10="totale",(C10/(A10*24))/F10,IF(D10="marché libre",(C10/(A10*24))/G10,"spécifier histo"))</f>
        <v>0.908088235294118</v>
      </c>
      <c r="F10" s="9" t="n">
        <v>34</v>
      </c>
      <c r="G10" s="9" t="n">
        <f aca="false">F10-H10</f>
        <v>34</v>
      </c>
      <c r="H10" s="9" t="n">
        <v>0</v>
      </c>
      <c r="J10" s="0"/>
      <c r="K10" s="0"/>
      <c r="L10" s="0"/>
      <c r="M10" s="0"/>
      <c r="N10" s="0"/>
      <c r="O10" s="0"/>
      <c r="P10" s="141"/>
      <c r="Q10" s="142"/>
      <c r="R10" s="142"/>
      <c r="S10" s="142"/>
      <c r="T10" s="143"/>
      <c r="U10" s="142"/>
      <c r="V10" s="142"/>
      <c r="W10" s="142"/>
      <c r="X10" s="143"/>
      <c r="Y10" s="142"/>
      <c r="Z10" s="142"/>
      <c r="AA10" s="142"/>
      <c r="AB10" s="143"/>
      <c r="AE10" s="0"/>
      <c r="AF10" s="0"/>
      <c r="AG10" s="0"/>
      <c r="AH10" s="0"/>
      <c r="AI10" s="0"/>
      <c r="AJ10" s="0"/>
      <c r="AK10" s="0"/>
      <c r="AL10" s="0"/>
      <c r="AM10" s="0"/>
    </row>
    <row r="11" customFormat="false" ht="13.5" hidden="false" customHeight="true" outlineLevel="0" collapsed="false">
      <c r="A11" s="0" t="n">
        <v>28</v>
      </c>
      <c r="B11" s="34" t="n">
        <v>36923</v>
      </c>
      <c r="C11" s="9" t="n">
        <v>11324</v>
      </c>
      <c r="D11" s="29" t="s">
        <v>42</v>
      </c>
      <c r="E11" s="33" t="n">
        <f aca="false">IF(D11="totale",(C11/(A11*24))/F11,IF(D11="marché libre",(C11/(A11*24))/G11,"spécifier histo"))</f>
        <v>0.49562324929972</v>
      </c>
      <c r="F11" s="9" t="n">
        <v>34</v>
      </c>
      <c r="G11" s="9" t="n">
        <f aca="false">F11-H11</f>
        <v>34</v>
      </c>
      <c r="H11" s="9" t="n">
        <v>0</v>
      </c>
      <c r="J11" s="0"/>
      <c r="K11" s="0"/>
      <c r="L11" s="0"/>
      <c r="M11" s="0"/>
      <c r="N11" s="0"/>
      <c r="O11" s="0"/>
      <c r="P11" s="141"/>
      <c r="Q11" s="142"/>
      <c r="R11" s="142"/>
      <c r="S11" s="142"/>
      <c r="T11" s="143"/>
      <c r="U11" s="142"/>
      <c r="V11" s="142"/>
      <c r="W11" s="142"/>
      <c r="X11" s="143"/>
      <c r="Y11" s="142"/>
      <c r="Z11" s="142"/>
      <c r="AA11" s="142"/>
      <c r="AB11" s="143"/>
      <c r="AE11" s="0"/>
      <c r="AF11" s="0"/>
      <c r="AG11" s="0"/>
      <c r="AH11" s="0"/>
      <c r="AI11" s="0"/>
      <c r="AJ11" s="0"/>
      <c r="AK11" s="0"/>
      <c r="AL11" s="0"/>
      <c r="AM11" s="0"/>
    </row>
    <row r="12" customFormat="false" ht="13.5" hidden="false" customHeight="true" outlineLevel="0" collapsed="false">
      <c r="A12" s="0" t="n">
        <v>31</v>
      </c>
      <c r="B12" s="31" t="n">
        <v>36951</v>
      </c>
      <c r="C12" s="9" t="n">
        <v>16285</v>
      </c>
      <c r="D12" s="29" t="s">
        <v>42</v>
      </c>
      <c r="E12" s="33" t="n">
        <f aca="false">IF(D12="totale",(C12/(A12*24))/F12,IF(D12="marché libre",(C12/(A12*24))/G12,"spécifier histo"))</f>
        <v>0.643777672359266</v>
      </c>
      <c r="F12" s="9" t="n">
        <v>34</v>
      </c>
      <c r="G12" s="9" t="n">
        <f aca="false">F12-H12</f>
        <v>34</v>
      </c>
      <c r="H12" s="9" t="n">
        <v>0</v>
      </c>
      <c r="J12" s="0"/>
      <c r="K12" s="0"/>
      <c r="L12" s="0"/>
      <c r="M12" s="0"/>
      <c r="N12" s="0"/>
      <c r="O12" s="0"/>
      <c r="P12" s="141"/>
      <c r="Q12" s="142"/>
      <c r="R12" s="142"/>
      <c r="S12" s="142"/>
      <c r="T12" s="143"/>
      <c r="U12" s="142"/>
      <c r="V12" s="142"/>
      <c r="W12" s="142"/>
      <c r="X12" s="143"/>
      <c r="Y12" s="142"/>
      <c r="Z12" s="142"/>
      <c r="AA12" s="142"/>
      <c r="AB12" s="143"/>
      <c r="AE12" s="0"/>
      <c r="AF12" s="0"/>
      <c r="AG12" s="0"/>
      <c r="AH12" s="0"/>
      <c r="AI12" s="0"/>
      <c r="AJ12" s="0"/>
      <c r="AK12" s="0"/>
      <c r="AL12" s="0"/>
      <c r="AM12" s="0"/>
    </row>
    <row r="13" customFormat="false" ht="13.5" hidden="false" customHeight="true" outlineLevel="0" collapsed="false">
      <c r="A13" s="0" t="n">
        <v>30</v>
      </c>
      <c r="B13" s="34" t="n">
        <v>36982</v>
      </c>
      <c r="C13" s="9" t="n">
        <v>11965</v>
      </c>
      <c r="D13" s="29" t="s">
        <v>42</v>
      </c>
      <c r="E13" s="33" t="n">
        <f aca="false">IF(D13="totale",(C13/(A13*24))/F13,IF(D13="marché libre",(C13/(A13*24))/G13,"spécifier histo"))</f>
        <v>0.488766339869281</v>
      </c>
      <c r="F13" s="9" t="n">
        <v>34</v>
      </c>
      <c r="G13" s="9" t="n">
        <f aca="false">F13-H13</f>
        <v>34</v>
      </c>
      <c r="H13" s="9" t="n">
        <v>0</v>
      </c>
      <c r="J13" s="0"/>
      <c r="K13" s="0"/>
      <c r="L13" s="0"/>
      <c r="M13" s="0"/>
      <c r="N13" s="0"/>
      <c r="O13" s="0"/>
      <c r="P13" s="141"/>
      <c r="Q13" s="142"/>
      <c r="R13" s="142"/>
      <c r="S13" s="142"/>
      <c r="T13" s="143"/>
      <c r="U13" s="142"/>
      <c r="V13" s="142"/>
      <c r="W13" s="142"/>
      <c r="X13" s="143"/>
      <c r="Y13" s="142"/>
      <c r="Z13" s="142"/>
      <c r="AA13" s="142"/>
      <c r="AB13" s="143"/>
      <c r="AE13" s="0"/>
      <c r="AF13" s="0"/>
      <c r="AG13" s="0"/>
      <c r="AH13" s="0"/>
      <c r="AI13" s="0"/>
      <c r="AJ13" s="0"/>
      <c r="AK13" s="0"/>
      <c r="AL13" s="0"/>
      <c r="AM13" s="0"/>
    </row>
    <row r="14" customFormat="false" ht="13.5" hidden="false" customHeight="true" outlineLevel="0" collapsed="false">
      <c r="A14" s="0" t="n">
        <v>31</v>
      </c>
      <c r="B14" s="31" t="n">
        <v>37012</v>
      </c>
      <c r="C14" s="9" t="n">
        <v>17224</v>
      </c>
      <c r="D14" s="29" t="s">
        <v>42</v>
      </c>
      <c r="E14" s="33" t="n">
        <f aca="false">IF(D14="totale",(C14/(A14*24))/F14,IF(D14="marché libre",(C14/(A14*24))/G14,"spécifier histo"))</f>
        <v>0.6808981657179</v>
      </c>
      <c r="F14" s="9" t="n">
        <v>34</v>
      </c>
      <c r="G14" s="9" t="n">
        <f aca="false">F14-H14</f>
        <v>34</v>
      </c>
      <c r="H14" s="9" t="n">
        <v>0</v>
      </c>
      <c r="J14" s="0"/>
      <c r="K14" s="0"/>
      <c r="L14" s="0"/>
      <c r="M14" s="0"/>
      <c r="N14" s="0"/>
      <c r="O14" s="0"/>
      <c r="P14" s="141"/>
      <c r="Q14" s="142"/>
      <c r="R14" s="142"/>
      <c r="S14" s="142"/>
      <c r="T14" s="143"/>
      <c r="U14" s="142"/>
      <c r="V14" s="142"/>
      <c r="W14" s="142"/>
      <c r="X14" s="143"/>
      <c r="Y14" s="142"/>
      <c r="Z14" s="142"/>
      <c r="AA14" s="142"/>
      <c r="AB14" s="143"/>
      <c r="AE14" s="0"/>
      <c r="AF14" s="0"/>
      <c r="AG14" s="0"/>
      <c r="AH14" s="0"/>
      <c r="AI14" s="0"/>
      <c r="AJ14" s="0"/>
      <c r="AK14" s="0"/>
      <c r="AL14" s="0"/>
      <c r="AM14" s="0"/>
    </row>
    <row r="15" customFormat="false" ht="13.5" hidden="false" customHeight="true" outlineLevel="0" collapsed="false">
      <c r="A15" s="0" t="n">
        <v>30</v>
      </c>
      <c r="B15" s="34" t="n">
        <v>37043</v>
      </c>
      <c r="C15" s="9" t="n">
        <v>10734</v>
      </c>
      <c r="D15" s="29" t="s">
        <v>42</v>
      </c>
      <c r="E15" s="33" t="n">
        <f aca="false">IF(D15="totale",(C15/(A15*24))/F15,IF(D15="marché libre",(C15/(A15*24))/G15,"spécifier histo"))</f>
        <v>0.438480392156863</v>
      </c>
      <c r="F15" s="9" t="n">
        <v>34</v>
      </c>
      <c r="G15" s="9" t="n">
        <f aca="false">F15-H15</f>
        <v>34</v>
      </c>
      <c r="H15" s="9" t="n">
        <v>0</v>
      </c>
      <c r="J15" s="0"/>
      <c r="K15" s="0"/>
      <c r="L15" s="0"/>
      <c r="M15" s="0"/>
      <c r="N15" s="0"/>
      <c r="O15" s="0"/>
      <c r="P15" s="141"/>
      <c r="Q15" s="142"/>
      <c r="R15" s="142"/>
      <c r="S15" s="142"/>
      <c r="T15" s="143"/>
      <c r="U15" s="142"/>
      <c r="V15" s="142"/>
      <c r="W15" s="142"/>
      <c r="X15" s="143"/>
      <c r="Y15" s="142"/>
      <c r="Z15" s="142"/>
      <c r="AA15" s="142"/>
      <c r="AB15" s="143"/>
      <c r="AE15" s="0"/>
      <c r="AF15" s="0"/>
      <c r="AG15" s="0"/>
      <c r="AH15" s="0"/>
      <c r="AI15" s="0"/>
      <c r="AJ15" s="0"/>
      <c r="AK15" s="0"/>
      <c r="AL15" s="0"/>
      <c r="AM15" s="0"/>
    </row>
    <row r="16" customFormat="false" ht="13.5" hidden="false" customHeight="true" outlineLevel="0" collapsed="false">
      <c r="A16" s="0" t="n">
        <v>31</v>
      </c>
      <c r="B16" s="31" t="n">
        <v>37073</v>
      </c>
      <c r="C16" s="26" t="n">
        <v>0</v>
      </c>
      <c r="D16" s="29" t="s">
        <v>42</v>
      </c>
      <c r="E16" s="33" t="n">
        <f aca="false">IF(D16="totale",(C21/(A16*24))/F16,IF(D16="marché libre",(C21/(A16*24))/G16,"spécifier histo"))</f>
        <v>0.56791587602783</v>
      </c>
      <c r="F16" s="9" t="n">
        <v>34</v>
      </c>
      <c r="G16" s="9" t="n">
        <f aca="false">F16-H16</f>
        <v>34</v>
      </c>
      <c r="H16" s="9" t="n">
        <v>0</v>
      </c>
      <c r="J16" s="0"/>
      <c r="K16" s="0"/>
      <c r="L16" s="0"/>
      <c r="M16" s="0"/>
      <c r="N16" s="0"/>
      <c r="O16" s="0"/>
      <c r="P16" s="141"/>
      <c r="Q16" s="142"/>
      <c r="R16" s="142"/>
      <c r="S16" s="142"/>
      <c r="T16" s="143"/>
      <c r="U16" s="142"/>
      <c r="V16" s="142"/>
      <c r="W16" s="142"/>
      <c r="X16" s="143"/>
      <c r="Y16" s="142"/>
      <c r="Z16" s="142"/>
      <c r="AA16" s="142"/>
      <c r="AB16" s="143"/>
      <c r="AE16" s="0"/>
      <c r="AF16" s="0"/>
      <c r="AG16" s="0"/>
      <c r="AH16" s="0"/>
      <c r="AI16" s="0"/>
      <c r="AJ16" s="0"/>
      <c r="AK16" s="0"/>
      <c r="AL16" s="0"/>
      <c r="AM16" s="0"/>
    </row>
    <row r="17" customFormat="false" ht="13.5" hidden="false" customHeight="true" outlineLevel="0" collapsed="false">
      <c r="A17" s="0" t="n">
        <v>31</v>
      </c>
      <c r="B17" s="34" t="n">
        <v>37104</v>
      </c>
      <c r="C17" s="26" t="n">
        <v>0</v>
      </c>
      <c r="D17" s="29" t="s">
        <v>42</v>
      </c>
      <c r="E17" s="33" t="n">
        <f aca="false">IF(D17="totale",(C22/(A17*24))/F17,IF(D17="marché libre",(C22/(A17*24))/G17,"spécifier histo"))</f>
        <v>0.422952245414295</v>
      </c>
      <c r="F17" s="9" t="n">
        <v>34</v>
      </c>
      <c r="G17" s="9" t="n">
        <f aca="false">F17-H17</f>
        <v>34</v>
      </c>
      <c r="H17" s="9" t="n">
        <v>0</v>
      </c>
      <c r="J17" s="0"/>
      <c r="K17" s="0"/>
      <c r="L17" s="0"/>
      <c r="M17" s="0"/>
      <c r="N17" s="0"/>
      <c r="O17" s="0"/>
      <c r="P17" s="141"/>
      <c r="Q17" s="142"/>
      <c r="R17" s="142"/>
      <c r="S17" s="142"/>
      <c r="T17" s="143"/>
      <c r="U17" s="142"/>
      <c r="V17" s="142"/>
      <c r="W17" s="142"/>
      <c r="X17" s="143"/>
      <c r="Y17" s="142"/>
      <c r="Z17" s="142"/>
      <c r="AA17" s="142"/>
      <c r="AB17" s="143"/>
      <c r="AE17" s="0"/>
      <c r="AF17" s="0"/>
      <c r="AG17" s="0"/>
      <c r="AH17" s="0"/>
      <c r="AI17" s="0"/>
      <c r="AJ17" s="0"/>
      <c r="AK17" s="0"/>
      <c r="AL17" s="0"/>
      <c r="AM17" s="0"/>
    </row>
    <row r="18" customFormat="false" ht="13.5" hidden="false" customHeight="true" outlineLevel="0" collapsed="false">
      <c r="A18" s="0" t="n">
        <v>30</v>
      </c>
      <c r="B18" s="31" t="n">
        <v>37135</v>
      </c>
      <c r="C18" s="9" t="n">
        <v>0</v>
      </c>
      <c r="D18" s="29" t="s">
        <v>42</v>
      </c>
      <c r="E18" s="33" t="n">
        <f aca="false">IF(D18="totale",(C18/(A18*24))/F18,IF(D18="marché libre",(C18/(A18*24))/G18,"spécifier histo"))</f>
        <v>0</v>
      </c>
      <c r="F18" s="9" t="n">
        <v>34</v>
      </c>
      <c r="G18" s="9" t="n">
        <f aca="false">F18-H18</f>
        <v>34</v>
      </c>
      <c r="H18" s="9" t="n">
        <v>0</v>
      </c>
      <c r="J18" s="0"/>
      <c r="K18" s="0"/>
      <c r="L18" s="0"/>
      <c r="M18" s="0"/>
      <c r="N18" s="0"/>
      <c r="O18" s="0"/>
      <c r="P18" s="141"/>
      <c r="Q18" s="142"/>
      <c r="R18" s="142"/>
      <c r="S18" s="142"/>
      <c r="T18" s="143"/>
      <c r="U18" s="142"/>
      <c r="V18" s="142"/>
      <c r="W18" s="142"/>
      <c r="X18" s="143"/>
      <c r="Y18" s="142"/>
      <c r="Z18" s="142"/>
      <c r="AA18" s="142"/>
      <c r="AB18" s="143"/>
      <c r="AE18" s="0"/>
      <c r="AF18" s="0"/>
      <c r="AG18" s="0"/>
      <c r="AH18" s="0"/>
      <c r="AI18" s="0"/>
      <c r="AJ18" s="0"/>
      <c r="AK18" s="0"/>
      <c r="AL18" s="0"/>
      <c r="AM18" s="0"/>
    </row>
    <row r="19" customFormat="false" ht="13.5" hidden="false" customHeight="true" outlineLevel="0" collapsed="false">
      <c r="A19" s="0" t="n">
        <v>31</v>
      </c>
      <c r="B19" s="34" t="n">
        <v>37165</v>
      </c>
      <c r="C19" s="9" t="n">
        <v>0</v>
      </c>
      <c r="D19" s="29" t="s">
        <v>42</v>
      </c>
      <c r="E19" s="33" t="n">
        <f aca="false">IF(D19="totale",(C19/(A19*24))/F19,IF(D19="marché libre",(C19/(A19*24))/G19,"spécifier histo"))</f>
        <v>0</v>
      </c>
      <c r="F19" s="9" t="n">
        <v>34</v>
      </c>
      <c r="G19" s="9" t="n">
        <f aca="false">F19-H19</f>
        <v>34</v>
      </c>
      <c r="H19" s="9" t="n">
        <v>0</v>
      </c>
      <c r="J19" s="0"/>
      <c r="K19" s="0"/>
      <c r="L19" s="0"/>
      <c r="M19" s="0"/>
      <c r="N19" s="0"/>
      <c r="O19" s="0"/>
      <c r="P19" s="144"/>
      <c r="Q19" s="143"/>
      <c r="R19" s="143"/>
      <c r="S19" s="143"/>
      <c r="T19" s="143"/>
      <c r="U19" s="143"/>
      <c r="V19" s="143"/>
      <c r="W19" s="143"/>
      <c r="X19" s="143"/>
      <c r="Y19" s="143"/>
      <c r="Z19" s="143"/>
      <c r="AA19" s="143"/>
      <c r="AB19" s="143"/>
      <c r="AC19" s="103"/>
      <c r="AD19" s="103"/>
      <c r="AE19" s="0"/>
      <c r="AF19" s="0"/>
      <c r="AG19" s="0"/>
      <c r="AH19" s="0"/>
      <c r="AI19" s="0"/>
      <c r="AJ19" s="0"/>
      <c r="AK19" s="0"/>
      <c r="AL19" s="0"/>
      <c r="AM19" s="0"/>
    </row>
    <row r="20" customFormat="false" ht="13.5" hidden="false" customHeight="true" outlineLevel="0" collapsed="false">
      <c r="A20" s="0" t="n">
        <v>30</v>
      </c>
      <c r="B20" s="31" t="n">
        <v>37196</v>
      </c>
      <c r="C20" s="9" t="n">
        <v>0</v>
      </c>
      <c r="D20" s="29" t="s">
        <v>42</v>
      </c>
      <c r="E20" s="33" t="n">
        <f aca="false">IF(D20="totale",(C20/(A20*24))/F20,IF(D20="marché libre",(C20/(A20*24))/G20,"spécifier histo"))</f>
        <v>0</v>
      </c>
      <c r="F20" s="9" t="n">
        <v>34</v>
      </c>
      <c r="G20" s="9" t="n">
        <f aca="false">F20-H20</f>
        <v>34</v>
      </c>
      <c r="H20" s="9" t="n">
        <v>0</v>
      </c>
      <c r="J20" s="0"/>
      <c r="K20" s="0"/>
      <c r="L20" s="0"/>
      <c r="M20" s="0"/>
      <c r="N20" s="0"/>
      <c r="O20" s="0"/>
      <c r="P20" s="0"/>
      <c r="Q20" s="0"/>
      <c r="R20" s="0"/>
      <c r="S20" s="0"/>
      <c r="T20" s="0"/>
      <c r="U20" s="0"/>
      <c r="V20" s="0"/>
      <c r="W20" s="0"/>
      <c r="X20" s="0"/>
      <c r="Y20" s="0"/>
      <c r="Z20" s="0"/>
      <c r="AA20" s="0"/>
      <c r="AB20" s="0"/>
      <c r="AC20" s="103"/>
      <c r="AD20" s="103"/>
      <c r="AE20" s="0"/>
      <c r="AF20" s="0"/>
      <c r="AG20" s="0"/>
      <c r="AH20" s="0"/>
      <c r="AI20" s="0"/>
      <c r="AJ20" s="0"/>
      <c r="AK20" s="0"/>
      <c r="AL20" s="0"/>
      <c r="AM20" s="0"/>
      <c r="AN20" s="0"/>
      <c r="AO20" s="0"/>
      <c r="AP20" s="0"/>
      <c r="AQ20" s="0"/>
      <c r="AR20" s="0"/>
      <c r="AS20" s="0"/>
    </row>
    <row r="21" customFormat="false" ht="13.5" hidden="false" customHeight="true" outlineLevel="0" collapsed="false">
      <c r="A21" s="0" t="n">
        <v>31</v>
      </c>
      <c r="B21" s="34" t="n">
        <v>37226</v>
      </c>
      <c r="C21" s="9" t="n">
        <v>14366</v>
      </c>
      <c r="D21" s="29" t="s">
        <v>42</v>
      </c>
      <c r="E21" s="33" t="n">
        <f aca="false">IF(D21="totale",(C21/(A21*24))/F21,IF(D21="marché libre",(C21/(A21*24))/G21,"spécifier histo"))</f>
        <v>0.56791587602783</v>
      </c>
      <c r="F21" s="9" t="n">
        <v>34</v>
      </c>
      <c r="G21" s="9" t="n">
        <f aca="false">F21-H21</f>
        <v>34</v>
      </c>
      <c r="H21" s="9" t="n">
        <v>0</v>
      </c>
      <c r="J21" s="0"/>
      <c r="K21" s="0"/>
      <c r="L21" s="0"/>
      <c r="M21" s="0"/>
      <c r="N21" s="0"/>
      <c r="O21" s="0"/>
      <c r="P21" s="144"/>
      <c r="Q21" s="144"/>
      <c r="R21" s="144"/>
      <c r="S21" s="144"/>
      <c r="T21" s="144"/>
      <c r="U21" s="144"/>
      <c r="V21" s="144"/>
      <c r="W21" s="144"/>
      <c r="X21" s="144"/>
      <c r="Y21" s="0"/>
      <c r="Z21" s="0"/>
      <c r="AA21" s="0"/>
      <c r="AB21" s="0"/>
      <c r="AC21" s="103"/>
      <c r="AD21" s="103"/>
      <c r="AE21" s="0"/>
      <c r="AF21" s="0"/>
      <c r="AG21" s="0"/>
      <c r="AH21" s="0"/>
      <c r="AI21" s="0"/>
      <c r="AJ21" s="0"/>
      <c r="AK21" s="0"/>
      <c r="AL21" s="0"/>
      <c r="AM21" s="0"/>
      <c r="AN21" s="0"/>
      <c r="AO21" s="0"/>
      <c r="AP21" s="0"/>
      <c r="AQ21" s="0"/>
      <c r="AR21" s="0"/>
      <c r="AS21" s="0"/>
    </row>
    <row r="22" customFormat="false" ht="13.5" hidden="false" customHeight="true" outlineLevel="0" collapsed="false">
      <c r="A22" s="0" t="n">
        <v>31</v>
      </c>
      <c r="B22" s="31" t="n">
        <v>37257</v>
      </c>
      <c r="C22" s="9" t="n">
        <v>10699</v>
      </c>
      <c r="D22" s="29" t="s">
        <v>42</v>
      </c>
      <c r="E22" s="33" t="n">
        <f aca="false">IF(D22="totale",(C22/(A22*24))/F22,IF(D22="marché libre",(C22/(A22*24))/G22,"spécifier histo"))</f>
        <v>0.422952245414295</v>
      </c>
      <c r="F22" s="9" t="n">
        <v>34</v>
      </c>
      <c r="G22" s="9" t="n">
        <f aca="false">F22-H22</f>
        <v>34</v>
      </c>
      <c r="H22" s="9" t="n">
        <v>0</v>
      </c>
      <c r="J22" s="0"/>
      <c r="K22" s="0"/>
      <c r="L22" s="0"/>
      <c r="M22" s="0"/>
      <c r="N22" s="0"/>
      <c r="O22" s="0"/>
      <c r="P22" s="0"/>
      <c r="Q22" s="0"/>
      <c r="R22" s="0"/>
      <c r="S22" s="0"/>
      <c r="T22" s="0"/>
      <c r="U22" s="0"/>
      <c r="V22" s="0"/>
      <c r="W22" s="0"/>
      <c r="X22" s="0"/>
      <c r="Y22" s="0"/>
      <c r="Z22" s="0"/>
      <c r="AA22" s="0"/>
      <c r="AB22" s="0"/>
      <c r="AC22" s="103"/>
      <c r="AD22" s="103"/>
      <c r="AE22" s="0"/>
      <c r="AF22" s="0"/>
      <c r="AG22" s="0"/>
      <c r="AH22" s="0"/>
      <c r="AI22" s="0"/>
      <c r="AJ22" s="0"/>
      <c r="AK22" s="0"/>
      <c r="AL22" s="0"/>
      <c r="AM22" s="0"/>
      <c r="AN22" s="0"/>
      <c r="AO22" s="0"/>
      <c r="AP22" s="0"/>
      <c r="AQ22" s="0"/>
      <c r="AR22" s="0"/>
      <c r="AS22" s="0"/>
    </row>
    <row r="23" customFormat="false" ht="13.5" hidden="false" customHeight="true" outlineLevel="0" collapsed="false">
      <c r="A23" s="0" t="n">
        <v>28</v>
      </c>
      <c r="B23" s="34" t="n">
        <v>37288</v>
      </c>
      <c r="C23" s="9" t="n">
        <v>13419</v>
      </c>
      <c r="D23" s="29" t="s">
        <v>42</v>
      </c>
      <c r="E23" s="33" t="n">
        <f aca="false">IF(D23="totale",(C23/(A23*24))/F23,IF(D23="marché libre",(C23/(A23*24))/G23,"spécifier histo"))</f>
        <v>0.587316176470588</v>
      </c>
      <c r="F23" s="9" t="n">
        <v>34</v>
      </c>
      <c r="G23" s="9" t="n">
        <f aca="false">F23-H23</f>
        <v>34</v>
      </c>
      <c r="H23" s="9" t="n">
        <v>0</v>
      </c>
      <c r="J23" s="0"/>
      <c r="K23" s="0"/>
      <c r="L23" s="0"/>
      <c r="M23" s="0"/>
      <c r="N23" s="0"/>
      <c r="O23" s="0"/>
      <c r="P23" s="145"/>
      <c r="Q23" s="144"/>
      <c r="R23" s="144"/>
      <c r="S23" s="144"/>
      <c r="T23" s="144"/>
      <c r="U23" s="144"/>
      <c r="V23" s="144"/>
      <c r="W23" s="144"/>
      <c r="X23" s="144"/>
      <c r="Y23" s="144"/>
      <c r="Z23" s="144"/>
      <c r="AA23" s="144"/>
      <c r="AB23" s="144"/>
      <c r="AC23" s="103"/>
      <c r="AD23" s="103"/>
      <c r="AE23" s="0"/>
      <c r="AF23" s="0"/>
      <c r="AG23" s="0"/>
      <c r="AH23" s="0"/>
      <c r="AI23" s="0"/>
      <c r="AJ23" s="0"/>
      <c r="AK23" s="0"/>
      <c r="AL23" s="0"/>
      <c r="AM23" s="0"/>
      <c r="AN23" s="0"/>
      <c r="AO23" s="0"/>
      <c r="AP23" s="0"/>
      <c r="AQ23" s="0"/>
      <c r="AR23" s="0"/>
      <c r="AS23" s="0"/>
    </row>
    <row r="24" customFormat="false" ht="13.5" hidden="false" customHeight="true" outlineLevel="0" collapsed="false">
      <c r="A24" s="0" t="n">
        <v>31</v>
      </c>
      <c r="B24" s="31" t="n">
        <v>37316</v>
      </c>
      <c r="C24" s="9" t="n">
        <v>16292</v>
      </c>
      <c r="D24" s="29" t="s">
        <v>42</v>
      </c>
      <c r="E24" s="33" t="n">
        <f aca="false">IF(D24="totale",(C24/(A24*24))/F24,IF(D24="marché libre",(C24/(A24*24))/G24,"spécifier histo"))</f>
        <v>0.644054395951929</v>
      </c>
      <c r="F24" s="9" t="n">
        <v>34</v>
      </c>
      <c r="G24" s="9" t="n">
        <f aca="false">F24-H24</f>
        <v>34</v>
      </c>
      <c r="H24" s="9" t="n">
        <v>0</v>
      </c>
      <c r="J24" s="0"/>
      <c r="K24" s="0"/>
      <c r="L24" s="0"/>
      <c r="M24" s="0"/>
      <c r="N24" s="0"/>
      <c r="O24" s="0"/>
      <c r="P24" s="145"/>
      <c r="Q24" s="144"/>
      <c r="R24" s="144"/>
      <c r="S24" s="144"/>
      <c r="T24" s="144"/>
      <c r="U24" s="144"/>
      <c r="V24" s="144"/>
      <c r="W24" s="144"/>
      <c r="X24" s="144"/>
      <c r="Y24" s="144"/>
      <c r="Z24" s="144"/>
      <c r="AA24" s="144"/>
      <c r="AB24" s="144"/>
      <c r="AC24" s="103"/>
      <c r="AD24" s="103"/>
      <c r="AE24" s="0"/>
      <c r="AF24" s="0"/>
      <c r="AG24" s="0"/>
      <c r="AH24" s="0"/>
      <c r="AI24" s="0"/>
      <c r="AJ24" s="0"/>
      <c r="AK24" s="0"/>
      <c r="AL24" s="0"/>
      <c r="AM24" s="0"/>
      <c r="AN24" s="0"/>
      <c r="AO24" s="0"/>
      <c r="AP24" s="0"/>
      <c r="AQ24" s="0"/>
      <c r="AR24" s="0"/>
      <c r="AS24" s="0"/>
    </row>
    <row r="25" customFormat="false" ht="13.5" hidden="false" customHeight="true" outlineLevel="0" collapsed="false">
      <c r="A25" s="0" t="n">
        <v>30</v>
      </c>
      <c r="B25" s="34" t="n">
        <v>37347</v>
      </c>
      <c r="C25" s="9" t="n">
        <v>9731</v>
      </c>
      <c r="D25" s="29" t="s">
        <v>42</v>
      </c>
      <c r="E25" s="33" t="n">
        <f aca="false">IF(D25="totale",(C25/(A25*24))/F25,IF(D25="marché libre",(C25/(A25*24))/G25,"spécifier histo"))</f>
        <v>0.39750816993464</v>
      </c>
      <c r="F25" s="9" t="n">
        <v>34</v>
      </c>
      <c r="G25" s="9" t="n">
        <f aca="false">F25-H25</f>
        <v>34</v>
      </c>
      <c r="H25" s="9" t="n">
        <v>0</v>
      </c>
      <c r="J25" s="0"/>
      <c r="K25" s="0"/>
      <c r="L25" s="0"/>
      <c r="M25" s="0"/>
      <c r="N25" s="0"/>
      <c r="O25" s="0"/>
      <c r="P25" s="141"/>
      <c r="Q25" s="142"/>
      <c r="R25" s="142"/>
      <c r="S25" s="142"/>
      <c r="T25" s="143"/>
      <c r="U25" s="142"/>
      <c r="V25" s="142"/>
      <c r="W25" s="142"/>
      <c r="X25" s="143"/>
      <c r="Y25" s="142"/>
      <c r="Z25" s="142"/>
      <c r="AA25" s="142"/>
      <c r="AB25" s="143"/>
      <c r="AC25" s="103"/>
      <c r="AD25" s="103"/>
      <c r="AE25" s="0"/>
      <c r="AF25" s="0"/>
      <c r="AG25" s="0"/>
      <c r="AH25" s="0"/>
      <c r="AI25" s="0"/>
      <c r="AJ25" s="0"/>
      <c r="AK25" s="0"/>
      <c r="AL25" s="0"/>
      <c r="AM25" s="0"/>
      <c r="AN25" s="0"/>
      <c r="AO25" s="0"/>
      <c r="AP25" s="0"/>
      <c r="AQ25" s="0"/>
      <c r="AR25" s="0"/>
      <c r="AS25" s="0"/>
    </row>
    <row r="26" customFormat="false" ht="13.5" hidden="false" customHeight="true" outlineLevel="0" collapsed="false">
      <c r="A26" s="0" t="n">
        <v>31</v>
      </c>
      <c r="B26" s="31" t="n">
        <v>37377</v>
      </c>
      <c r="C26" s="9" t="n">
        <v>9963</v>
      </c>
      <c r="D26" s="29" t="s">
        <v>42</v>
      </c>
      <c r="E26" s="33" t="n">
        <f aca="false">IF(D26="totale",(C26/(A26*24))/F26,IF(D26="marché libre",(C26/(A26*24))/G26,"spécifier histo"))</f>
        <v>0.393856736242884</v>
      </c>
      <c r="F26" s="9" t="n">
        <v>34</v>
      </c>
      <c r="G26" s="9" t="n">
        <f aca="false">F26-H26</f>
        <v>34</v>
      </c>
      <c r="H26" s="9" t="n">
        <v>0</v>
      </c>
      <c r="J26" s="0"/>
      <c r="K26" s="0"/>
      <c r="L26" s="0"/>
      <c r="M26" s="0"/>
      <c r="N26" s="0"/>
      <c r="O26" s="0"/>
      <c r="P26" s="141"/>
      <c r="Q26" s="142"/>
      <c r="R26" s="142"/>
      <c r="S26" s="142"/>
      <c r="T26" s="143"/>
      <c r="U26" s="142"/>
      <c r="V26" s="142"/>
      <c r="W26" s="142"/>
      <c r="X26" s="143"/>
      <c r="Y26" s="142"/>
      <c r="Z26" s="142"/>
      <c r="AA26" s="142"/>
      <c r="AB26" s="143"/>
      <c r="AC26" s="103"/>
      <c r="AD26" s="103"/>
      <c r="AE26" s="0"/>
      <c r="AF26" s="0"/>
      <c r="AG26" s="0"/>
      <c r="AH26" s="0"/>
      <c r="AI26" s="0"/>
      <c r="AJ26" s="0"/>
      <c r="AK26" s="0"/>
      <c r="AL26" s="0"/>
      <c r="AM26" s="0"/>
      <c r="AN26" s="0"/>
      <c r="AO26" s="0"/>
      <c r="AP26" s="0"/>
      <c r="AQ26" s="0"/>
      <c r="AR26" s="0"/>
      <c r="AS26" s="0"/>
    </row>
    <row r="27" customFormat="false" ht="13.5" hidden="false" customHeight="true" outlineLevel="0" collapsed="false">
      <c r="A27" s="0" t="n">
        <v>30</v>
      </c>
      <c r="B27" s="34" t="n">
        <v>37408</v>
      </c>
      <c r="C27" s="26" t="n">
        <v>0</v>
      </c>
      <c r="D27" s="29" t="s">
        <v>42</v>
      </c>
      <c r="E27" s="33" t="n">
        <f aca="false">IF(D27="totale",(C32/(A27*24))/F27,IF(D27="marché libre",(C32/(A27*24))/G27,"spécifier histo"))</f>
        <v>0.36952614379085</v>
      </c>
      <c r="F27" s="9" t="n">
        <v>34</v>
      </c>
      <c r="G27" s="9" t="n">
        <f aca="false">F27-H27</f>
        <v>34</v>
      </c>
      <c r="H27" s="9" t="n">
        <v>0</v>
      </c>
      <c r="J27" s="0"/>
      <c r="K27" s="0"/>
      <c r="L27" s="0"/>
      <c r="M27" s="0"/>
      <c r="N27" s="0"/>
      <c r="O27" s="0"/>
      <c r="P27" s="141"/>
      <c r="Q27" s="142"/>
      <c r="R27" s="142"/>
      <c r="S27" s="142"/>
      <c r="T27" s="143"/>
      <c r="U27" s="142"/>
      <c r="V27" s="142"/>
      <c r="W27" s="142"/>
      <c r="X27" s="143"/>
      <c r="Y27" s="142"/>
      <c r="Z27" s="142"/>
      <c r="AA27" s="142"/>
      <c r="AB27" s="143"/>
      <c r="AC27" s="103"/>
      <c r="AD27" s="103"/>
      <c r="AE27" s="0"/>
      <c r="AF27" s="0"/>
      <c r="AG27" s="0"/>
      <c r="AH27" s="0"/>
      <c r="AI27" s="0"/>
      <c r="AJ27" s="0"/>
      <c r="AK27" s="0"/>
      <c r="AL27" s="0"/>
      <c r="AM27" s="0"/>
      <c r="AN27" s="0"/>
      <c r="AO27" s="0"/>
      <c r="AP27" s="0"/>
      <c r="AQ27" s="0"/>
      <c r="AR27" s="0"/>
      <c r="AS27" s="0"/>
    </row>
    <row r="28" customFormat="false" ht="13.5" hidden="false" customHeight="true" outlineLevel="0" collapsed="false">
      <c r="A28" s="0" t="n">
        <v>31</v>
      </c>
      <c r="B28" s="31" t="n">
        <v>37438</v>
      </c>
      <c r="C28" s="26" t="n">
        <v>0</v>
      </c>
      <c r="D28" s="29" t="s">
        <v>42</v>
      </c>
      <c r="E28" s="33" t="n">
        <f aca="false">IF(D28="totale",(C33/(A28*24))/F28,IF(D28="marché libre",(C33/(A28*24))/G28,"spécifier histo"))</f>
        <v>0.449636306135357</v>
      </c>
      <c r="F28" s="9" t="n">
        <v>34</v>
      </c>
      <c r="G28" s="9" t="n">
        <f aca="false">F28-H28</f>
        <v>34</v>
      </c>
      <c r="H28" s="9" t="n">
        <v>0</v>
      </c>
      <c r="J28" s="0"/>
      <c r="K28" s="0"/>
      <c r="L28" s="0"/>
      <c r="M28" s="0"/>
      <c r="N28" s="0"/>
      <c r="O28" s="0"/>
      <c r="P28" s="141"/>
      <c r="Q28" s="142"/>
      <c r="R28" s="142"/>
      <c r="S28" s="142"/>
      <c r="T28" s="143"/>
      <c r="U28" s="142"/>
      <c r="V28" s="142"/>
      <c r="W28" s="142"/>
      <c r="X28" s="143"/>
      <c r="Y28" s="142"/>
      <c r="Z28" s="142"/>
      <c r="AA28" s="142"/>
      <c r="AB28" s="143"/>
      <c r="AC28" s="103"/>
      <c r="AD28" s="103"/>
      <c r="AE28" s="0"/>
      <c r="AF28" s="0"/>
      <c r="AG28" s="0"/>
      <c r="AH28" s="0"/>
      <c r="AI28" s="0"/>
      <c r="AJ28" s="0"/>
      <c r="AK28" s="0"/>
      <c r="AL28" s="0"/>
      <c r="AM28" s="0"/>
      <c r="AN28" s="0"/>
      <c r="AO28" s="0"/>
      <c r="AP28" s="0"/>
      <c r="AQ28" s="0"/>
      <c r="AR28" s="0"/>
      <c r="AS28" s="0"/>
    </row>
    <row r="29" customFormat="false" ht="13.5" hidden="false" customHeight="true" outlineLevel="0" collapsed="false">
      <c r="A29" s="0" t="n">
        <v>31</v>
      </c>
      <c r="B29" s="34" t="n">
        <v>37469</v>
      </c>
      <c r="C29" s="26" t="n">
        <v>0</v>
      </c>
      <c r="D29" s="29" t="s">
        <v>42</v>
      </c>
      <c r="E29" s="33" t="n">
        <f aca="false">IF(D29="totale",(C29/(A29*24))/F29,IF(D29="marché libre",(C29/(A29*24))/G29,"spécifier histo"))</f>
        <v>0</v>
      </c>
      <c r="F29" s="9" t="n">
        <v>34</v>
      </c>
      <c r="G29" s="9" t="n">
        <f aca="false">F29-H29</f>
        <v>34</v>
      </c>
      <c r="H29" s="9" t="n">
        <v>0</v>
      </c>
      <c r="J29" s="0"/>
      <c r="K29" s="0"/>
      <c r="L29" s="0"/>
      <c r="M29" s="0"/>
      <c r="N29" s="0"/>
      <c r="O29" s="0"/>
      <c r="P29" s="141"/>
      <c r="Q29" s="142"/>
      <c r="R29" s="142"/>
      <c r="S29" s="142"/>
      <c r="T29" s="143"/>
      <c r="U29" s="142"/>
      <c r="V29" s="142"/>
      <c r="W29" s="142"/>
      <c r="X29" s="143"/>
      <c r="Y29" s="142"/>
      <c r="Z29" s="142"/>
      <c r="AA29" s="142"/>
      <c r="AB29" s="143"/>
      <c r="AC29" s="103"/>
      <c r="AD29" s="103"/>
      <c r="AE29" s="0"/>
      <c r="AF29" s="0"/>
      <c r="AG29" s="0"/>
      <c r="AH29" s="0"/>
      <c r="AI29" s="0"/>
      <c r="AJ29" s="0"/>
      <c r="AK29" s="0"/>
      <c r="AL29" s="0"/>
      <c r="AM29" s="0"/>
      <c r="AN29" s="0"/>
      <c r="AO29" s="0"/>
      <c r="AP29" s="0"/>
      <c r="AQ29" s="0"/>
      <c r="AR29" s="0"/>
      <c r="AS29" s="0"/>
    </row>
    <row r="30" customFormat="false" ht="13.5" hidden="false" customHeight="true" outlineLevel="0" collapsed="false">
      <c r="A30" s="0" t="n">
        <v>30</v>
      </c>
      <c r="B30" s="31" t="n">
        <v>37500</v>
      </c>
      <c r="C30" s="26" t="n">
        <v>0</v>
      </c>
      <c r="D30" s="29" t="s">
        <v>42</v>
      </c>
      <c r="E30" s="33" t="n">
        <f aca="false">IF(D30="totale",(C30/(A30*24))/F30,IF(D30="marché libre",(C30/(A30*24))/G30,"spécifier histo"))</f>
        <v>0</v>
      </c>
      <c r="F30" s="9" t="n">
        <v>34</v>
      </c>
      <c r="G30" s="9" t="n">
        <f aca="false">F30-H30</f>
        <v>34</v>
      </c>
      <c r="H30" s="9" t="n">
        <v>0</v>
      </c>
      <c r="J30" s="0"/>
      <c r="K30" s="0"/>
      <c r="L30" s="0"/>
      <c r="M30" s="0"/>
      <c r="N30" s="0"/>
      <c r="O30" s="0"/>
      <c r="P30" s="141"/>
      <c r="Q30" s="142"/>
      <c r="R30" s="142"/>
      <c r="S30" s="142"/>
      <c r="T30" s="143"/>
      <c r="U30" s="142"/>
      <c r="V30" s="142"/>
      <c r="W30" s="142"/>
      <c r="X30" s="143"/>
      <c r="Y30" s="142"/>
      <c r="Z30" s="142"/>
      <c r="AA30" s="142"/>
      <c r="AB30" s="143"/>
      <c r="AC30" s="103"/>
      <c r="AD30" s="103"/>
      <c r="AE30" s="0"/>
      <c r="AF30" s="0"/>
      <c r="AG30" s="0"/>
      <c r="AH30" s="0"/>
      <c r="AI30" s="0"/>
      <c r="AJ30" s="0"/>
      <c r="AK30" s="0"/>
      <c r="AL30" s="0"/>
      <c r="AM30" s="0"/>
      <c r="AN30" s="0"/>
      <c r="AO30" s="0"/>
      <c r="AP30" s="0"/>
      <c r="AQ30" s="0"/>
      <c r="AR30" s="0"/>
      <c r="AS30" s="0"/>
    </row>
    <row r="31" customFormat="false" ht="13.5" hidden="false" customHeight="true" outlineLevel="0" collapsed="false">
      <c r="A31" s="0" t="n">
        <v>31</v>
      </c>
      <c r="B31" s="34" t="n">
        <v>37530</v>
      </c>
      <c r="C31" s="26" t="n">
        <v>0</v>
      </c>
      <c r="D31" s="29" t="s">
        <v>42</v>
      </c>
      <c r="E31" s="33" t="n">
        <f aca="false">IF(D31="totale",(C31/(A31*24))/F31,IF(D31="marché libre",(C31/(A31*24))/G31,"spécifier histo"))</f>
        <v>0</v>
      </c>
      <c r="F31" s="9" t="n">
        <v>34</v>
      </c>
      <c r="G31" s="9" t="n">
        <f aca="false">F31-H31</f>
        <v>34</v>
      </c>
      <c r="H31" s="9" t="n">
        <v>0</v>
      </c>
      <c r="J31" s="0"/>
      <c r="K31" s="0"/>
      <c r="L31" s="0"/>
      <c r="M31" s="0"/>
      <c r="N31" s="0"/>
      <c r="O31" s="0"/>
      <c r="P31" s="141"/>
      <c r="Q31" s="142"/>
      <c r="R31" s="142"/>
      <c r="S31" s="142"/>
      <c r="T31" s="143"/>
      <c r="U31" s="142"/>
      <c r="V31" s="142"/>
      <c r="W31" s="142"/>
      <c r="X31" s="143"/>
      <c r="Y31" s="142"/>
      <c r="Z31" s="142"/>
      <c r="AA31" s="142"/>
      <c r="AB31" s="143"/>
      <c r="AC31" s="103"/>
      <c r="AD31" s="103"/>
      <c r="AE31" s="0"/>
      <c r="AF31" s="0"/>
      <c r="AG31" s="0"/>
      <c r="AH31" s="0"/>
      <c r="AI31" s="0"/>
      <c r="AJ31" s="0"/>
      <c r="AK31" s="0"/>
      <c r="AL31" s="0"/>
      <c r="AM31" s="0"/>
      <c r="AN31" s="0"/>
      <c r="AO31" s="0"/>
      <c r="AP31" s="0"/>
      <c r="AQ31" s="0"/>
      <c r="AR31" s="0"/>
      <c r="AS31" s="0"/>
    </row>
    <row r="32" customFormat="false" ht="13.5" hidden="false" customHeight="true" outlineLevel="0" collapsed="false">
      <c r="A32" s="0" t="n">
        <v>30</v>
      </c>
      <c r="B32" s="31" t="n">
        <v>37561</v>
      </c>
      <c r="C32" s="9" t="n">
        <v>9046</v>
      </c>
      <c r="D32" s="29" t="s">
        <v>42</v>
      </c>
      <c r="E32" s="33" t="n">
        <f aca="false">IF(D32="totale",(C32/(A32*24))/F32,IF(D32="marché libre",(C32/(A32*24))/G32,"spécifier histo"))</f>
        <v>0.36952614379085</v>
      </c>
      <c r="F32" s="9" t="n">
        <v>34</v>
      </c>
      <c r="G32" s="9" t="n">
        <f aca="false">F32-H32</f>
        <v>34</v>
      </c>
      <c r="H32" s="9" t="n">
        <v>0</v>
      </c>
      <c r="J32" s="0"/>
      <c r="K32" s="0"/>
      <c r="L32" s="0"/>
      <c r="M32" s="0"/>
      <c r="N32" s="0"/>
      <c r="O32" s="0"/>
      <c r="P32" s="141"/>
      <c r="Q32" s="142"/>
      <c r="R32" s="142"/>
      <c r="S32" s="142"/>
      <c r="T32" s="143"/>
      <c r="U32" s="142"/>
      <c r="V32" s="142"/>
      <c r="W32" s="142"/>
      <c r="X32" s="143"/>
      <c r="Y32" s="142"/>
      <c r="Z32" s="142"/>
      <c r="AA32" s="142"/>
      <c r="AB32" s="143"/>
      <c r="AC32" s="103"/>
      <c r="AD32" s="103"/>
      <c r="AE32" s="0"/>
      <c r="AF32" s="0"/>
      <c r="AG32" s="0"/>
      <c r="AH32" s="0"/>
      <c r="AI32" s="0"/>
      <c r="AJ32" s="0"/>
      <c r="AK32" s="0"/>
      <c r="AL32" s="0"/>
      <c r="AM32" s="0"/>
      <c r="AN32" s="0"/>
      <c r="AO32" s="0"/>
      <c r="AP32" s="0"/>
      <c r="AQ32" s="0"/>
      <c r="AR32" s="0"/>
      <c r="AS32" s="0"/>
    </row>
    <row r="33" customFormat="false" ht="13.5" hidden="false" customHeight="true" outlineLevel="0" collapsed="false">
      <c r="A33" s="0" t="n">
        <v>31</v>
      </c>
      <c r="B33" s="34" t="n">
        <v>37591</v>
      </c>
      <c r="C33" s="9" t="n">
        <v>11374</v>
      </c>
      <c r="D33" s="29" t="s">
        <v>42</v>
      </c>
      <c r="E33" s="33" t="n">
        <f aca="false">IF(D33="totale",(C33/(A33*24))/F33,IF(D33="marché libre",(C33/(A33*24))/G33,"spécifier histo"))</f>
        <v>0.449636306135357</v>
      </c>
      <c r="F33" s="9" t="n">
        <v>34</v>
      </c>
      <c r="G33" s="9" t="n">
        <f aca="false">F33-H33</f>
        <v>34</v>
      </c>
      <c r="H33" s="9" t="n">
        <v>0</v>
      </c>
      <c r="J33" s="0"/>
      <c r="K33" s="0"/>
      <c r="L33" s="0"/>
      <c r="M33" s="0"/>
      <c r="N33" s="0"/>
      <c r="O33" s="0"/>
      <c r="P33" s="141"/>
      <c r="Q33" s="142"/>
      <c r="R33" s="142"/>
      <c r="S33" s="142"/>
      <c r="T33" s="143"/>
      <c r="U33" s="142"/>
      <c r="V33" s="142"/>
      <c r="W33" s="142"/>
      <c r="X33" s="143"/>
      <c r="Y33" s="142"/>
      <c r="Z33" s="142"/>
      <c r="AA33" s="142"/>
      <c r="AB33" s="143"/>
      <c r="AC33" s="103"/>
      <c r="AD33" s="103"/>
      <c r="AE33" s="0"/>
      <c r="AF33" s="0"/>
      <c r="AG33" s="0"/>
      <c r="AH33" s="0"/>
      <c r="AI33" s="0"/>
      <c r="AJ33" s="0"/>
      <c r="AK33" s="0"/>
      <c r="AL33" s="0"/>
      <c r="AM33" s="0"/>
      <c r="AN33" s="0"/>
      <c r="AO33" s="0"/>
      <c r="AP33" s="0"/>
      <c r="AQ33" s="0"/>
      <c r="AR33" s="0"/>
      <c r="AS33" s="0"/>
    </row>
    <row r="34" customFormat="false" ht="13.5" hidden="false" customHeight="true" outlineLevel="0" collapsed="false">
      <c r="A34" s="0" t="n">
        <v>31</v>
      </c>
      <c r="B34" s="31" t="n">
        <v>37622</v>
      </c>
      <c r="C34" s="9" t="n">
        <v>13635</v>
      </c>
      <c r="D34" s="29" t="s">
        <v>42</v>
      </c>
      <c r="E34" s="33" t="n">
        <f aca="false">IF(D34="totale",(C34/(A34*24))/F34,IF(D34="marché libre",(C34/(A34*24))/G34,"spécifier histo"))</f>
        <v>0.539018026565465</v>
      </c>
      <c r="F34" s="9" t="n">
        <v>34</v>
      </c>
      <c r="G34" s="9" t="n">
        <f aca="false">F34-H34</f>
        <v>34</v>
      </c>
      <c r="H34" s="9" t="n">
        <v>0</v>
      </c>
      <c r="J34" s="0"/>
      <c r="K34" s="0"/>
      <c r="L34" s="0"/>
      <c r="M34" s="0"/>
      <c r="N34" s="0"/>
      <c r="O34" s="0"/>
      <c r="P34" s="141"/>
      <c r="Q34" s="142"/>
      <c r="R34" s="142"/>
      <c r="S34" s="142"/>
      <c r="T34" s="143"/>
      <c r="U34" s="142"/>
      <c r="V34" s="142"/>
      <c r="W34" s="142"/>
      <c r="X34" s="143"/>
      <c r="Y34" s="142"/>
      <c r="Z34" s="142"/>
      <c r="AA34" s="142"/>
      <c r="AB34" s="143"/>
      <c r="AC34" s="103"/>
      <c r="AD34" s="103"/>
      <c r="AE34" s="103"/>
      <c r="AF34" s="103"/>
      <c r="AG34" s="103"/>
      <c r="AH34" s="103"/>
      <c r="AI34" s="103"/>
    </row>
    <row r="35" customFormat="false" ht="13.5" hidden="false" customHeight="true" outlineLevel="0" collapsed="false">
      <c r="A35" s="0" t="n">
        <v>28</v>
      </c>
      <c r="B35" s="34" t="n">
        <v>37653</v>
      </c>
      <c r="C35" s="9" t="n">
        <v>9425</v>
      </c>
      <c r="D35" s="29" t="s">
        <v>42</v>
      </c>
      <c r="E35" s="33" t="n">
        <f aca="false">IF(D35="totale",(C35/(A35*24))/F35,IF(D35="marché libre",(C35/(A35*24))/G35,"spécifier histo"))</f>
        <v>0.412508753501401</v>
      </c>
      <c r="F35" s="9" t="n">
        <v>34</v>
      </c>
      <c r="G35" s="9" t="n">
        <f aca="false">F35-H35</f>
        <v>34</v>
      </c>
      <c r="H35" s="9" t="n">
        <v>0</v>
      </c>
      <c r="J35" s="0"/>
      <c r="K35" s="0"/>
      <c r="L35" s="0"/>
      <c r="M35" s="0"/>
      <c r="N35" s="0"/>
      <c r="O35" s="0"/>
      <c r="P35" s="141"/>
      <c r="Q35" s="142"/>
      <c r="R35" s="142"/>
      <c r="S35" s="142"/>
      <c r="T35" s="143"/>
      <c r="U35" s="142"/>
      <c r="V35" s="142"/>
      <c r="W35" s="142"/>
      <c r="X35" s="143"/>
      <c r="Y35" s="142"/>
      <c r="Z35" s="142"/>
      <c r="AA35" s="142"/>
      <c r="AB35" s="143"/>
      <c r="AC35" s="103"/>
      <c r="AD35" s="103"/>
      <c r="AE35" s="103"/>
      <c r="AF35" s="103"/>
      <c r="AG35" s="103"/>
      <c r="AH35" s="103"/>
      <c r="AI35" s="103"/>
    </row>
    <row r="36" customFormat="false" ht="13.5" hidden="false" customHeight="true" outlineLevel="0" collapsed="false">
      <c r="A36" s="0" t="n">
        <v>31</v>
      </c>
      <c r="B36" s="31" t="n">
        <v>37681</v>
      </c>
      <c r="C36" s="9" t="n">
        <v>11389</v>
      </c>
      <c r="D36" s="29" t="s">
        <v>42</v>
      </c>
      <c r="E36" s="33" t="n">
        <f aca="false">IF(D36="totale",(C36/(A36*24))/F36,IF(D36="marché libre",(C36/(A36*24))/G36,"spécifier histo"))</f>
        <v>0.450229285262492</v>
      </c>
      <c r="F36" s="9" t="n">
        <v>34</v>
      </c>
      <c r="G36" s="9" t="n">
        <f aca="false">F36-H36</f>
        <v>34</v>
      </c>
      <c r="H36" s="9" t="n">
        <v>0</v>
      </c>
      <c r="J36" s="0"/>
      <c r="K36" s="0"/>
      <c r="L36" s="0"/>
      <c r="M36" s="0"/>
      <c r="N36" s="0"/>
      <c r="O36" s="0"/>
      <c r="P36" s="141"/>
      <c r="Q36" s="142"/>
      <c r="R36" s="142"/>
      <c r="S36" s="142"/>
      <c r="T36" s="143"/>
      <c r="U36" s="142"/>
      <c r="V36" s="142"/>
      <c r="W36" s="142"/>
      <c r="X36" s="143"/>
      <c r="Y36" s="142"/>
      <c r="Z36" s="142"/>
      <c r="AA36" s="142"/>
      <c r="AB36" s="143"/>
      <c r="AC36" s="103"/>
      <c r="AD36" s="103"/>
      <c r="AE36" s="103"/>
      <c r="AF36" s="103"/>
      <c r="AG36" s="103"/>
      <c r="AH36" s="103"/>
      <c r="AI36" s="103"/>
    </row>
    <row r="37" customFormat="false" ht="13.5" hidden="false" customHeight="true" outlineLevel="0" collapsed="false">
      <c r="A37" s="0" t="n">
        <v>30</v>
      </c>
      <c r="B37" s="34" t="n">
        <v>37712</v>
      </c>
      <c r="C37" s="26" t="n">
        <v>0</v>
      </c>
      <c r="D37" s="29" t="s">
        <v>42</v>
      </c>
      <c r="E37" s="33" t="n">
        <f aca="false">IF(D37="totale",(C45/(A37*24))/F37,IF(D37="marché libre",(C45/(A37*24))/G37,"spécifier histo"))</f>
        <v>0.161029411764706</v>
      </c>
      <c r="F37" s="9" t="n">
        <v>34</v>
      </c>
      <c r="G37" s="9" t="n">
        <f aca="false">F37-H37</f>
        <v>34</v>
      </c>
      <c r="H37" s="9" t="n">
        <v>0</v>
      </c>
      <c r="J37" s="0"/>
      <c r="K37" s="0"/>
      <c r="L37" s="0"/>
      <c r="M37" s="0"/>
      <c r="N37" s="0"/>
      <c r="O37" s="0"/>
      <c r="P37" s="144"/>
      <c r="Q37" s="143"/>
      <c r="R37" s="143"/>
      <c r="S37" s="143"/>
      <c r="T37" s="143"/>
      <c r="U37" s="143"/>
      <c r="V37" s="143"/>
      <c r="W37" s="143"/>
      <c r="X37" s="143"/>
      <c r="Y37" s="143"/>
      <c r="Z37" s="143"/>
      <c r="AA37" s="143"/>
      <c r="AB37" s="143"/>
      <c r="AC37" s="103"/>
      <c r="AD37" s="103"/>
      <c r="AE37" s="103"/>
      <c r="AF37" s="103"/>
      <c r="AG37" s="103"/>
      <c r="AH37" s="103"/>
      <c r="AI37" s="103"/>
    </row>
    <row r="38" customFormat="false" ht="13.5" hidden="false" customHeight="true" outlineLevel="0" collapsed="false">
      <c r="A38" s="0" t="n">
        <v>31</v>
      </c>
      <c r="B38" s="31" t="n">
        <v>37742</v>
      </c>
      <c r="C38" s="26" t="n">
        <v>0</v>
      </c>
      <c r="D38" s="29" t="s">
        <v>42</v>
      </c>
      <c r="E38" s="33" t="n">
        <f aca="false">IF(D38="totale",(C46/(A38*24))/F38,IF(D38="marché libre",(C46/(A38*24))/G38,"spécifier histo"))</f>
        <v>0.371442125237192</v>
      </c>
      <c r="F38" s="9" t="n">
        <v>34</v>
      </c>
      <c r="G38" s="9" t="n">
        <f aca="false">F38-H38</f>
        <v>34</v>
      </c>
      <c r="H38" s="9" t="n">
        <v>0</v>
      </c>
      <c r="J38" s="0"/>
      <c r="K38" s="0"/>
      <c r="L38" s="0"/>
      <c r="M38" s="0"/>
      <c r="N38" s="0"/>
      <c r="O38" s="0"/>
      <c r="P38" s="0"/>
      <c r="Q38" s="0"/>
      <c r="R38" s="0"/>
      <c r="S38" s="0"/>
      <c r="T38" s="0"/>
      <c r="U38" s="0"/>
      <c r="V38" s="0"/>
      <c r="W38" s="0"/>
      <c r="X38" s="0"/>
      <c r="Y38" s="0"/>
      <c r="Z38" s="0"/>
      <c r="AA38" s="0"/>
      <c r="AB38" s="0"/>
      <c r="AC38" s="103"/>
      <c r="AD38" s="103"/>
      <c r="AE38" s="103"/>
      <c r="AF38" s="103"/>
      <c r="AG38" s="103"/>
      <c r="AH38" s="103"/>
      <c r="AI38" s="103"/>
    </row>
    <row r="39" customFormat="false" ht="13.5" hidden="false" customHeight="true" outlineLevel="0" collapsed="false">
      <c r="A39" s="0" t="n">
        <v>30</v>
      </c>
      <c r="B39" s="34" t="n">
        <v>37773</v>
      </c>
      <c r="C39" s="26" t="n">
        <v>0</v>
      </c>
      <c r="D39" s="29" t="s">
        <v>42</v>
      </c>
      <c r="E39" s="33" t="n">
        <f aca="false">IF(D39="totale",(C39/(A39*24))/F39,IF(D39="marché libre",(C39/(A39*24))/G39,"spécifier histo"))</f>
        <v>0</v>
      </c>
      <c r="F39" s="9" t="n">
        <v>34</v>
      </c>
      <c r="G39" s="9" t="n">
        <f aca="false">F39-H39</f>
        <v>34</v>
      </c>
      <c r="H39" s="9" t="n">
        <v>0</v>
      </c>
      <c r="J39" s="0"/>
      <c r="K39" s="0"/>
      <c r="L39" s="0"/>
      <c r="M39" s="0"/>
      <c r="N39" s="0"/>
      <c r="O39" s="0"/>
      <c r="P39" s="144"/>
      <c r="Q39" s="144"/>
      <c r="R39" s="144"/>
      <c r="S39" s="144"/>
      <c r="T39" s="144"/>
      <c r="U39" s="144"/>
      <c r="V39" s="144"/>
      <c r="W39" s="144"/>
      <c r="X39" s="144"/>
      <c r="Y39" s="0"/>
      <c r="Z39" s="0"/>
      <c r="AA39" s="0"/>
      <c r="AB39" s="0"/>
      <c r="AC39" s="103"/>
      <c r="AD39" s="103"/>
      <c r="AE39" s="103"/>
      <c r="AF39" s="103"/>
      <c r="AG39" s="103"/>
      <c r="AH39" s="103"/>
      <c r="AI39" s="103"/>
    </row>
    <row r="40" customFormat="false" ht="13.5" hidden="false" customHeight="true" outlineLevel="0" collapsed="false">
      <c r="A40" s="0" t="n">
        <v>31</v>
      </c>
      <c r="B40" s="31" t="n">
        <v>37803</v>
      </c>
      <c r="C40" s="26" t="n">
        <v>0</v>
      </c>
      <c r="D40" s="29" t="s">
        <v>42</v>
      </c>
      <c r="E40" s="33" t="n">
        <f aca="false">IF(D40="totale",(C40/(A40*24))/F40,IF(D40="marché libre",(C40/(A40*24))/G40,"spécifier histo"))</f>
        <v>0</v>
      </c>
      <c r="F40" s="9" t="n">
        <v>34</v>
      </c>
      <c r="G40" s="9" t="n">
        <f aca="false">F40-H40</f>
        <v>34</v>
      </c>
      <c r="H40" s="9" t="n">
        <v>0</v>
      </c>
      <c r="J40" s="0"/>
      <c r="K40" s="0"/>
      <c r="L40" s="0"/>
      <c r="M40" s="0"/>
      <c r="N40" s="0"/>
      <c r="O40" s="0"/>
      <c r="P40" s="0"/>
      <c r="Q40" s="0"/>
      <c r="R40" s="0"/>
      <c r="S40" s="0"/>
      <c r="T40" s="0"/>
      <c r="U40" s="0"/>
      <c r="V40" s="0"/>
      <c r="W40" s="0"/>
      <c r="X40" s="0"/>
      <c r="Y40" s="0"/>
      <c r="Z40" s="0"/>
      <c r="AA40" s="0"/>
      <c r="AB40" s="0"/>
      <c r="AD40" s="0"/>
    </row>
    <row r="41" customFormat="false" ht="13.5" hidden="false" customHeight="true" outlineLevel="0" collapsed="false">
      <c r="A41" s="0" t="n">
        <v>31</v>
      </c>
      <c r="B41" s="34" t="n">
        <v>37834</v>
      </c>
      <c r="C41" s="26" t="n">
        <v>0</v>
      </c>
      <c r="D41" s="29" t="s">
        <v>42</v>
      </c>
      <c r="E41" s="33" t="n">
        <f aca="false">IF(D41="totale",(C41/(A41*24))/F41,IF(D41="marché libre",(C41/(A41*24))/G41,"spécifier histo"))</f>
        <v>0</v>
      </c>
      <c r="F41" s="9" t="n">
        <v>34</v>
      </c>
      <c r="G41" s="9" t="n">
        <f aca="false">F41-H41</f>
        <v>34</v>
      </c>
      <c r="H41" s="9" t="n">
        <v>0</v>
      </c>
      <c r="J41" s="0"/>
      <c r="K41" s="0"/>
      <c r="L41" s="0"/>
      <c r="M41" s="0"/>
      <c r="N41" s="0"/>
      <c r="O41" s="0"/>
      <c r="P41" s="145"/>
      <c r="Q41" s="144"/>
      <c r="R41" s="144"/>
      <c r="S41" s="144"/>
      <c r="T41" s="144"/>
      <c r="U41" s="144"/>
      <c r="V41" s="144"/>
      <c r="W41" s="144"/>
      <c r="X41" s="144"/>
      <c r="Y41" s="144"/>
      <c r="Z41" s="144"/>
      <c r="AA41" s="144"/>
      <c r="AB41" s="144"/>
      <c r="AC41" s="0"/>
      <c r="AD41" s="141"/>
      <c r="AE41" s="142"/>
      <c r="AF41" s="142"/>
      <c r="AG41" s="142"/>
      <c r="AH41" s="143"/>
      <c r="AI41" s="142"/>
      <c r="AJ41" s="142"/>
      <c r="AK41" s="142"/>
      <c r="AL41" s="143"/>
      <c r="AM41" s="142"/>
      <c r="AN41" s="142"/>
      <c r="AO41" s="146" t="n">
        <v>4248</v>
      </c>
      <c r="AP41" s="147" t="n">
        <f aca="false">SUM(AM41:AO41)</f>
        <v>4248</v>
      </c>
      <c r="AQ41" s="0"/>
    </row>
    <row r="42" customFormat="false" ht="13.5" hidden="false" customHeight="true" outlineLevel="0" collapsed="false">
      <c r="A42" s="0" t="n">
        <v>30</v>
      </c>
      <c r="B42" s="31" t="n">
        <v>37865</v>
      </c>
      <c r="C42" s="26" t="n">
        <v>0</v>
      </c>
      <c r="D42" s="29" t="s">
        <v>42</v>
      </c>
      <c r="E42" s="33" t="n">
        <f aca="false">IF(D42="totale",(C42/(A42*24))/F42,IF(D42="marché libre",(C42/(A42*24))/G42,"spécifier histo"))</f>
        <v>0</v>
      </c>
      <c r="F42" s="9" t="n">
        <v>34</v>
      </c>
      <c r="G42" s="9" t="n">
        <f aca="false">F42-H42</f>
        <v>34</v>
      </c>
      <c r="H42" s="9" t="n">
        <v>0</v>
      </c>
      <c r="J42" s="0"/>
      <c r="K42" s="0"/>
      <c r="L42" s="0"/>
      <c r="M42" s="0"/>
      <c r="N42" s="0"/>
      <c r="O42" s="0"/>
      <c r="P42" s="145"/>
      <c r="Q42" s="144"/>
      <c r="R42" s="144"/>
      <c r="S42" s="144"/>
      <c r="T42" s="144"/>
      <c r="U42" s="144"/>
      <c r="V42" s="144"/>
      <c r="W42" s="144"/>
      <c r="X42" s="144"/>
      <c r="Y42" s="144"/>
      <c r="Z42" s="144"/>
      <c r="AA42" s="144"/>
      <c r="AB42" s="144"/>
      <c r="AC42" s="0"/>
      <c r="AD42" s="141"/>
      <c r="AE42" s="142"/>
      <c r="AF42" s="142"/>
      <c r="AG42" s="142"/>
      <c r="AH42" s="143"/>
      <c r="AI42" s="142"/>
      <c r="AJ42" s="142"/>
      <c r="AK42" s="142"/>
      <c r="AL42" s="143"/>
      <c r="AM42" s="142"/>
      <c r="AN42" s="142"/>
      <c r="AO42" s="146" t="n">
        <v>9385</v>
      </c>
      <c r="AP42" s="147" t="n">
        <f aca="false">SUM(AM42:AO42)</f>
        <v>9385</v>
      </c>
      <c r="AQ42" s="0"/>
    </row>
    <row r="43" customFormat="false" ht="13.5" hidden="false" customHeight="true" outlineLevel="0" collapsed="false">
      <c r="A43" s="0" t="n">
        <v>31</v>
      </c>
      <c r="B43" s="34" t="n">
        <v>37895</v>
      </c>
      <c r="C43" s="26" t="n">
        <v>0</v>
      </c>
      <c r="D43" s="29" t="s">
        <v>42</v>
      </c>
      <c r="E43" s="33" t="n">
        <f aca="false">IF(D43="totale",(C43/(A43*24))/F43,IF(D43="marché libre",(C43/(A43*24))/G43,"spécifier histo"))</f>
        <v>0</v>
      </c>
      <c r="F43" s="9" t="n">
        <v>34</v>
      </c>
      <c r="G43" s="9" t="n">
        <f aca="false">F43-H43</f>
        <v>34</v>
      </c>
      <c r="H43" s="9" t="n">
        <v>0</v>
      </c>
      <c r="J43" s="0"/>
      <c r="K43" s="0"/>
      <c r="L43" s="0"/>
      <c r="M43" s="0"/>
      <c r="N43" s="0"/>
      <c r="O43" s="0"/>
      <c r="P43" s="141"/>
      <c r="Q43" s="142"/>
      <c r="R43" s="142"/>
      <c r="S43" s="142"/>
      <c r="T43" s="143"/>
      <c r="U43" s="142"/>
      <c r="V43" s="142"/>
      <c r="W43" s="142"/>
      <c r="X43" s="143"/>
      <c r="Y43" s="142"/>
      <c r="Z43" s="142"/>
      <c r="AA43" s="142"/>
      <c r="AB43" s="143"/>
      <c r="AC43" s="0"/>
      <c r="AD43" s="141"/>
      <c r="AE43" s="142"/>
      <c r="AF43" s="142"/>
      <c r="AG43" s="142"/>
      <c r="AH43" s="143"/>
      <c r="AI43" s="142"/>
      <c r="AJ43" s="142"/>
      <c r="AK43" s="142"/>
      <c r="AL43" s="143"/>
      <c r="AM43" s="142"/>
      <c r="AN43" s="142"/>
      <c r="AO43" s="148" t="n">
        <v>7803</v>
      </c>
      <c r="AP43" s="149" t="n">
        <f aca="false">SUM(AM43:AO43)</f>
        <v>7803</v>
      </c>
      <c r="AQ43" s="0"/>
      <c r="AR43" s="150" t="n">
        <v>2013</v>
      </c>
      <c r="AS43" s="150" t="n">
        <v>2014</v>
      </c>
    </row>
    <row r="44" customFormat="false" ht="13.5" hidden="false" customHeight="true" outlineLevel="0" collapsed="false">
      <c r="A44" s="0" t="n">
        <v>30</v>
      </c>
      <c r="B44" s="31" t="n">
        <v>37926</v>
      </c>
      <c r="C44" s="26" t="n">
        <v>0</v>
      </c>
      <c r="D44" s="29" t="s">
        <v>42</v>
      </c>
      <c r="E44" s="33" t="n">
        <f aca="false">IF(D44="totale",(C44/(A44*24))/F44,IF(D44="marché libre",(C44/(A44*24))/G44,"spécifier histo"))</f>
        <v>0</v>
      </c>
      <c r="F44" s="9" t="n">
        <v>34</v>
      </c>
      <c r="G44" s="9" t="n">
        <f aca="false">F44-H44</f>
        <v>34</v>
      </c>
      <c r="H44" s="9" t="n">
        <v>0</v>
      </c>
      <c r="J44" s="0"/>
      <c r="K44" s="0"/>
      <c r="L44" s="0"/>
      <c r="M44" s="0"/>
      <c r="N44" s="0"/>
      <c r="O44" s="0"/>
      <c r="P44" s="141"/>
      <c r="Q44" s="142"/>
      <c r="R44" s="142"/>
      <c r="S44" s="142"/>
      <c r="T44" s="143"/>
      <c r="U44" s="142"/>
      <c r="V44" s="142"/>
      <c r="W44" s="142"/>
      <c r="X44" s="143"/>
      <c r="Y44" s="142"/>
      <c r="Z44" s="142"/>
      <c r="AA44" s="142"/>
      <c r="AB44" s="143"/>
      <c r="AC44" s="0"/>
      <c r="AD44" s="144"/>
      <c r="AE44" s="143"/>
      <c r="AF44" s="143"/>
      <c r="AG44" s="143"/>
      <c r="AH44" s="143"/>
      <c r="AI44" s="143"/>
      <c r="AJ44" s="143"/>
      <c r="AK44" s="143"/>
      <c r="AL44" s="143"/>
      <c r="AM44" s="143"/>
      <c r="AN44" s="143"/>
      <c r="AO44" s="151" t="n">
        <f aca="false">SUM(AO41:AO43)</f>
        <v>21436</v>
      </c>
      <c r="AP44" s="152" t="n">
        <f aca="false">SUM(AM44:AO44)</f>
        <v>21436</v>
      </c>
      <c r="AQ44" s="0"/>
      <c r="AR44" s="9" t="n">
        <f aca="false">X61</f>
        <v>0</v>
      </c>
      <c r="AS44" s="9" t="n">
        <f aca="false">AB61</f>
        <v>0</v>
      </c>
    </row>
    <row r="45" customFormat="false" ht="13.5" hidden="false" customHeight="true" outlineLevel="0" collapsed="false">
      <c r="A45" s="0" t="n">
        <v>31</v>
      </c>
      <c r="B45" s="34" t="n">
        <v>37956</v>
      </c>
      <c r="C45" s="9" t="n">
        <v>3942</v>
      </c>
      <c r="D45" s="29" t="s">
        <v>42</v>
      </c>
      <c r="E45" s="33" t="n">
        <f aca="false">IF(D45="totale",(C45/(A45*24))/F45,IF(D45="marché libre",(C45/(A45*24))/G45,"spécifier histo"))</f>
        <v>0.155834914611006</v>
      </c>
      <c r="F45" s="9" t="n">
        <v>34</v>
      </c>
      <c r="G45" s="9" t="n">
        <f aca="false">F45-H45</f>
        <v>34</v>
      </c>
      <c r="H45" s="9" t="n">
        <v>0</v>
      </c>
      <c r="J45" s="0"/>
      <c r="K45" s="0"/>
      <c r="L45" s="0"/>
      <c r="M45" s="0"/>
      <c r="N45" s="0"/>
      <c r="O45" s="0"/>
      <c r="P45" s="141"/>
      <c r="Q45" s="142"/>
      <c r="R45" s="142"/>
      <c r="S45" s="142"/>
      <c r="T45" s="143"/>
      <c r="U45" s="142"/>
      <c r="V45" s="142"/>
      <c r="W45" s="142"/>
      <c r="X45" s="143"/>
      <c r="Y45" s="142"/>
      <c r="Z45" s="142"/>
      <c r="AA45" s="142"/>
      <c r="AB45" s="143"/>
      <c r="AC45" s="0"/>
      <c r="AD45" s="0"/>
      <c r="AE45" s="0"/>
      <c r="AF45" s="0"/>
      <c r="AG45" s="0"/>
      <c r="AH45" s="0"/>
      <c r="AI45" s="0"/>
      <c r="AJ45" s="0"/>
      <c r="AK45" s="0"/>
      <c r="AL45" s="0"/>
      <c r="AM45" s="0"/>
      <c r="AN45" s="0"/>
      <c r="AO45" s="0"/>
      <c r="AP45" s="0"/>
      <c r="AQ45" s="0"/>
      <c r="AR45" s="9" t="n">
        <f aca="false">X62</f>
        <v>0</v>
      </c>
      <c r="AS45" s="9" t="n">
        <f aca="false">AB62</f>
        <v>0</v>
      </c>
    </row>
    <row r="46" customFormat="false" ht="13.5" hidden="false" customHeight="true" outlineLevel="0" collapsed="false">
      <c r="A46" s="0" t="n">
        <v>31</v>
      </c>
      <c r="B46" s="31" t="n">
        <v>37987</v>
      </c>
      <c r="C46" s="9" t="n">
        <v>9396</v>
      </c>
      <c r="D46" s="29" t="s">
        <v>42</v>
      </c>
      <c r="E46" s="33" t="n">
        <f aca="false">IF(D46="totale",(C46/(A46*24))/F46,IF(D46="marché libre",(C46/(A46*24))/G46,"spécifier histo"))</f>
        <v>0.371442125237192</v>
      </c>
      <c r="F46" s="9" t="n">
        <v>34</v>
      </c>
      <c r="G46" s="9" t="n">
        <f aca="false">F46-H46</f>
        <v>34</v>
      </c>
      <c r="H46" s="9" t="n">
        <v>0</v>
      </c>
      <c r="J46" s="0"/>
      <c r="K46" s="0"/>
      <c r="L46" s="0"/>
      <c r="M46" s="0"/>
      <c r="N46" s="0"/>
      <c r="O46" s="0"/>
      <c r="P46" s="141"/>
      <c r="Q46" s="142"/>
      <c r="R46" s="142"/>
      <c r="S46" s="142"/>
      <c r="T46" s="143"/>
      <c r="U46" s="142"/>
      <c r="V46" s="142"/>
      <c r="W46" s="142"/>
      <c r="X46" s="143"/>
      <c r="Y46" s="142"/>
      <c r="Z46" s="142"/>
      <c r="AA46" s="142"/>
      <c r="AB46" s="143"/>
      <c r="AC46" s="0"/>
      <c r="AD46" s="144"/>
      <c r="AE46" s="144"/>
      <c r="AF46" s="144"/>
      <c r="AG46" s="144"/>
      <c r="AH46" s="144"/>
      <c r="AI46" s="144"/>
      <c r="AJ46" s="144"/>
      <c r="AK46" s="144"/>
      <c r="AL46" s="144"/>
      <c r="AM46" s="0"/>
      <c r="AN46" s="0"/>
      <c r="AO46" s="0"/>
      <c r="AP46" s="0"/>
      <c r="AR46" s="9" t="n">
        <f aca="false">X63</f>
        <v>0</v>
      </c>
      <c r="AS46" s="9" t="n">
        <f aca="false">AB63</f>
        <v>0</v>
      </c>
    </row>
    <row r="47" customFormat="false" ht="13.5" hidden="false" customHeight="true" outlineLevel="0" collapsed="false">
      <c r="A47" s="0" t="n">
        <v>28</v>
      </c>
      <c r="B47" s="34" t="n">
        <v>38018</v>
      </c>
      <c r="C47" s="9" t="n">
        <v>10406</v>
      </c>
      <c r="D47" s="29" t="s">
        <v>42</v>
      </c>
      <c r="E47" s="33" t="n">
        <f aca="false">IF(D47="totale",(C47/(A47*24))/F47,IF(D47="marché libre",(C47/(A47*24))/G47,"spécifier histo"))</f>
        <v>0.455444677871148</v>
      </c>
      <c r="F47" s="9" t="n">
        <v>34</v>
      </c>
      <c r="G47" s="9" t="n">
        <f aca="false">F47-H47</f>
        <v>34</v>
      </c>
      <c r="H47" s="9" t="n">
        <v>0</v>
      </c>
      <c r="J47" s="0"/>
      <c r="K47" s="0"/>
      <c r="L47" s="0"/>
      <c r="M47" s="0"/>
      <c r="N47" s="0"/>
      <c r="O47" s="0"/>
      <c r="P47" s="141"/>
      <c r="Q47" s="142"/>
      <c r="R47" s="142"/>
      <c r="S47" s="142"/>
      <c r="T47" s="143"/>
      <c r="U47" s="142"/>
      <c r="V47" s="142"/>
      <c r="W47" s="142"/>
      <c r="X47" s="143"/>
      <c r="Y47" s="142"/>
      <c r="Z47" s="142"/>
      <c r="AA47" s="142"/>
      <c r="AB47" s="143"/>
      <c r="AC47" s="0"/>
      <c r="AD47" s="0"/>
      <c r="AE47" s="0"/>
      <c r="AF47" s="0"/>
      <c r="AG47" s="0"/>
      <c r="AH47" s="0"/>
      <c r="AI47" s="0"/>
      <c r="AJ47" s="0"/>
      <c r="AK47" s="0"/>
      <c r="AL47" s="0"/>
      <c r="AM47" s="0"/>
      <c r="AN47" s="0"/>
      <c r="AO47" s="0"/>
      <c r="AP47" s="0"/>
      <c r="AR47" s="9" t="n">
        <f aca="false">X64</f>
        <v>0</v>
      </c>
      <c r="AS47" s="9" t="n">
        <f aca="false">AB64</f>
        <v>0</v>
      </c>
    </row>
    <row r="48" customFormat="false" ht="13.5" hidden="false" customHeight="true" outlineLevel="0" collapsed="false">
      <c r="A48" s="0" t="n">
        <v>31</v>
      </c>
      <c r="B48" s="31" t="n">
        <v>38047</v>
      </c>
      <c r="C48" s="9" t="n">
        <v>9095</v>
      </c>
      <c r="D48" s="29" t="s">
        <v>42</v>
      </c>
      <c r="E48" s="33" t="n">
        <f aca="false">IF(D48="totale",(C48/(A48*24))/F48,IF(D48="marché libre",(C48/(A48*24))/G48,"spécifier histo"))</f>
        <v>0.359543010752688</v>
      </c>
      <c r="F48" s="9" t="n">
        <v>34</v>
      </c>
      <c r="G48" s="9" t="n">
        <f aca="false">F48-H48</f>
        <v>34</v>
      </c>
      <c r="H48" s="9" t="n">
        <v>0</v>
      </c>
      <c r="J48" s="0"/>
      <c r="K48" s="0"/>
      <c r="L48" s="0"/>
      <c r="M48" s="0"/>
      <c r="N48" s="0"/>
      <c r="O48" s="0"/>
      <c r="P48" s="141"/>
      <c r="Q48" s="142"/>
      <c r="R48" s="142"/>
      <c r="S48" s="142"/>
      <c r="T48" s="143"/>
      <c r="U48" s="142"/>
      <c r="V48" s="142"/>
      <c r="W48" s="142"/>
      <c r="X48" s="143"/>
      <c r="Y48" s="142"/>
      <c r="Z48" s="142"/>
      <c r="AA48" s="142"/>
      <c r="AB48" s="143"/>
      <c r="AC48" s="0"/>
      <c r="AD48" s="145"/>
      <c r="AE48" s="144"/>
      <c r="AF48" s="144"/>
      <c r="AG48" s="144"/>
      <c r="AH48" s="144"/>
      <c r="AI48" s="144"/>
      <c r="AJ48" s="144"/>
      <c r="AK48" s="144"/>
      <c r="AL48" s="144"/>
      <c r="AM48" s="144"/>
      <c r="AN48" s="144"/>
      <c r="AO48" s="144"/>
      <c r="AP48" s="144"/>
      <c r="AR48" s="9" t="n">
        <f aca="false">X65</f>
        <v>0</v>
      </c>
      <c r="AS48" s="9" t="n">
        <f aca="false">AB65</f>
        <v>0</v>
      </c>
    </row>
    <row r="49" customFormat="false" ht="13.5" hidden="false" customHeight="true" outlineLevel="0" collapsed="false">
      <c r="A49" s="0" t="n">
        <v>30</v>
      </c>
      <c r="B49" s="34" t="n">
        <v>38078</v>
      </c>
      <c r="C49" s="26" t="n">
        <v>0</v>
      </c>
      <c r="D49" s="29" t="s">
        <v>42</v>
      </c>
      <c r="E49" s="33" t="n">
        <f aca="false">IF(D49="totale",(C56/(A49*24))/F49,IF(D49="marché libre",(C56/(A49*24))/G49,"spécifier histo"))</f>
        <v>0.0828839869281046</v>
      </c>
      <c r="F49" s="9" t="n">
        <v>34</v>
      </c>
      <c r="G49" s="9" t="n">
        <f aca="false">F49-H49</f>
        <v>34</v>
      </c>
      <c r="H49" s="9" t="n">
        <v>0</v>
      </c>
      <c r="J49" s="0"/>
      <c r="K49" s="0"/>
      <c r="L49" s="0"/>
      <c r="M49" s="0"/>
      <c r="N49" s="0"/>
      <c r="O49" s="0"/>
      <c r="P49" s="141"/>
      <c r="Q49" s="142"/>
      <c r="R49" s="142"/>
      <c r="S49" s="142"/>
      <c r="T49" s="143"/>
      <c r="U49" s="142"/>
      <c r="V49" s="142"/>
      <c r="W49" s="142"/>
      <c r="X49" s="143"/>
      <c r="Y49" s="142"/>
      <c r="Z49" s="142"/>
      <c r="AA49" s="142"/>
      <c r="AB49" s="143"/>
      <c r="AC49" s="0"/>
      <c r="AD49" s="145"/>
      <c r="AE49" s="144"/>
      <c r="AF49" s="144"/>
      <c r="AG49" s="144"/>
      <c r="AH49" s="144"/>
      <c r="AI49" s="144"/>
      <c r="AJ49" s="144"/>
      <c r="AK49" s="144"/>
      <c r="AL49" s="144"/>
      <c r="AM49" s="144"/>
      <c r="AN49" s="144"/>
      <c r="AO49" s="153" t="s">
        <v>123</v>
      </c>
      <c r="AP49" s="154" t="s">
        <v>89</v>
      </c>
      <c r="AR49" s="9" t="n">
        <f aca="false">X66</f>
        <v>0</v>
      </c>
      <c r="AS49" s="9" t="n">
        <f aca="false">AB66</f>
        <v>0</v>
      </c>
    </row>
    <row r="50" customFormat="false" ht="13.5" hidden="false" customHeight="true" outlineLevel="0" collapsed="false">
      <c r="A50" s="0" t="n">
        <v>31</v>
      </c>
      <c r="B50" s="31" t="n">
        <v>38108</v>
      </c>
      <c r="C50" s="26" t="n">
        <v>0</v>
      </c>
      <c r="D50" s="29" t="s">
        <v>42</v>
      </c>
      <c r="E50" s="33" t="n">
        <f aca="false">IF(D50="totale",(C57/(A50*24))/F50,IF(D50="marché libre",(C57/(A50*24))/G50,"spécifier histo"))</f>
        <v>0.442481024667932</v>
      </c>
      <c r="F50" s="9" t="n">
        <v>34</v>
      </c>
      <c r="G50" s="9" t="n">
        <f aca="false">F50-H50</f>
        <v>34</v>
      </c>
      <c r="H50" s="9" t="n">
        <v>0</v>
      </c>
      <c r="J50" s="0"/>
      <c r="K50" s="0"/>
      <c r="L50" s="0"/>
      <c r="M50" s="0"/>
      <c r="N50" s="0"/>
      <c r="O50" s="0"/>
      <c r="P50" s="141"/>
      <c r="Q50" s="142"/>
      <c r="R50" s="142"/>
      <c r="S50" s="142"/>
      <c r="T50" s="143"/>
      <c r="U50" s="142"/>
      <c r="V50" s="142"/>
      <c r="W50" s="142"/>
      <c r="X50" s="143"/>
      <c r="Y50" s="142"/>
      <c r="Z50" s="142"/>
      <c r="AA50" s="142"/>
      <c r="AB50" s="143"/>
      <c r="AC50" s="0"/>
      <c r="AD50" s="141"/>
      <c r="AE50" s="142"/>
      <c r="AF50" s="142"/>
      <c r="AG50" s="142"/>
      <c r="AH50" s="143"/>
      <c r="AI50" s="142"/>
      <c r="AJ50" s="142"/>
      <c r="AK50" s="142"/>
      <c r="AL50" s="143"/>
      <c r="AM50" s="142"/>
      <c r="AN50" s="142"/>
      <c r="AO50" s="146" t="n">
        <v>773</v>
      </c>
      <c r="AP50" s="155" t="n">
        <f aca="false">SUM(AM50:AO50)</f>
        <v>773</v>
      </c>
      <c r="AR50" s="9" t="n">
        <f aca="false">X67</f>
        <v>0</v>
      </c>
      <c r="AS50" s="9" t="n">
        <f aca="false">AB67</f>
        <v>0</v>
      </c>
    </row>
    <row r="51" customFormat="false" ht="13.5" hidden="false" customHeight="true" outlineLevel="0" collapsed="false">
      <c r="A51" s="0" t="n">
        <v>30</v>
      </c>
      <c r="B51" s="34" t="n">
        <v>38139</v>
      </c>
      <c r="C51" s="26" t="n">
        <v>0</v>
      </c>
      <c r="D51" s="29" t="s">
        <v>42</v>
      </c>
      <c r="E51" s="33" t="n">
        <f aca="false">IF(D51="totale",(C51/(A51*24))/F51,IF(D51="marché libre",(C51/(A51*24))/G51,"spécifier histo"))</f>
        <v>0</v>
      </c>
      <c r="F51" s="9" t="n">
        <v>34</v>
      </c>
      <c r="G51" s="9" t="n">
        <f aca="false">F51-H51</f>
        <v>34</v>
      </c>
      <c r="H51" s="9" t="n">
        <v>0</v>
      </c>
      <c r="J51" s="0"/>
      <c r="K51" s="0"/>
      <c r="L51" s="0"/>
      <c r="M51" s="0"/>
      <c r="N51" s="0"/>
      <c r="O51" s="0"/>
      <c r="P51" s="141"/>
      <c r="Q51" s="142"/>
      <c r="R51" s="142"/>
      <c r="S51" s="142"/>
      <c r="T51" s="143"/>
      <c r="U51" s="142"/>
      <c r="V51" s="142"/>
      <c r="W51" s="142"/>
      <c r="X51" s="143"/>
      <c r="Y51" s="142"/>
      <c r="Z51" s="142"/>
      <c r="AA51" s="142"/>
      <c r="AB51" s="143"/>
      <c r="AC51" s="0"/>
      <c r="AD51" s="141"/>
      <c r="AE51" s="142"/>
      <c r="AF51" s="142"/>
      <c r="AG51" s="142"/>
      <c r="AH51" s="143"/>
      <c r="AI51" s="142"/>
      <c r="AJ51" s="142"/>
      <c r="AK51" s="142"/>
      <c r="AL51" s="143"/>
      <c r="AM51" s="142"/>
      <c r="AN51" s="142"/>
      <c r="AO51" s="146" t="n">
        <v>237</v>
      </c>
      <c r="AP51" s="155" t="n">
        <f aca="false">SUM(AM51:AO51)</f>
        <v>237</v>
      </c>
      <c r="AR51" s="9" t="n">
        <f aca="false">X68</f>
        <v>0</v>
      </c>
      <c r="AS51" s="9" t="n">
        <f aca="false">AB68</f>
        <v>0</v>
      </c>
    </row>
    <row r="52" customFormat="false" ht="13.5" hidden="false" customHeight="true" outlineLevel="0" collapsed="false">
      <c r="A52" s="0" t="n">
        <v>31</v>
      </c>
      <c r="B52" s="31" t="n">
        <v>38169</v>
      </c>
      <c r="C52" s="26" t="n">
        <v>0</v>
      </c>
      <c r="D52" s="29" t="s">
        <v>42</v>
      </c>
      <c r="E52" s="33" t="n">
        <f aca="false">IF(D52="totale",(C52/(A52*24))/F52,IF(D52="marché libre",(C52/(A52*24))/G52,"spécifier histo"))</f>
        <v>0</v>
      </c>
      <c r="F52" s="9" t="n">
        <v>34</v>
      </c>
      <c r="G52" s="9" t="n">
        <f aca="false">F52-H52</f>
        <v>34</v>
      </c>
      <c r="H52" s="9" t="n">
        <v>0</v>
      </c>
      <c r="J52" s="0"/>
      <c r="K52" s="0"/>
      <c r="L52" s="0"/>
      <c r="M52" s="0"/>
      <c r="N52" s="0"/>
      <c r="O52" s="0"/>
      <c r="P52" s="141"/>
      <c r="Q52" s="142"/>
      <c r="R52" s="142"/>
      <c r="S52" s="142"/>
      <c r="T52" s="143"/>
      <c r="U52" s="142"/>
      <c r="V52" s="142"/>
      <c r="W52" s="142"/>
      <c r="X52" s="143"/>
      <c r="Y52" s="142"/>
      <c r="Z52" s="142"/>
      <c r="AA52" s="142"/>
      <c r="AB52" s="143"/>
      <c r="AC52" s="0"/>
      <c r="AD52" s="141"/>
      <c r="AE52" s="142"/>
      <c r="AF52" s="142"/>
      <c r="AG52" s="142"/>
      <c r="AH52" s="143"/>
      <c r="AI52" s="142"/>
      <c r="AJ52" s="142"/>
      <c r="AK52" s="142"/>
      <c r="AL52" s="143"/>
      <c r="AM52" s="142"/>
      <c r="AN52" s="142"/>
      <c r="AO52" s="146" t="n">
        <v>5165</v>
      </c>
      <c r="AP52" s="155" t="n">
        <f aca="false">SUM(AM52:AO52)</f>
        <v>5165</v>
      </c>
      <c r="AR52" s="9" t="n">
        <f aca="false">X69</f>
        <v>0</v>
      </c>
      <c r="AS52" s="9" t="n">
        <f aca="false">AB69</f>
        <v>0</v>
      </c>
    </row>
    <row r="53" customFormat="false" ht="13.5" hidden="false" customHeight="true" outlineLevel="0" collapsed="false">
      <c r="A53" s="0" t="n">
        <v>31</v>
      </c>
      <c r="B53" s="34" t="n">
        <v>38200</v>
      </c>
      <c r="C53" s="26" t="n">
        <v>0</v>
      </c>
      <c r="D53" s="29" t="s">
        <v>42</v>
      </c>
      <c r="E53" s="33" t="n">
        <f aca="false">IF(D53="totale",(C53/(A53*24))/F53,IF(D53="marché libre",(C53/(A53*24))/G53,"spécifier histo"))</f>
        <v>0</v>
      </c>
      <c r="F53" s="9" t="n">
        <v>34</v>
      </c>
      <c r="G53" s="9" t="n">
        <f aca="false">F53-H53</f>
        <v>34</v>
      </c>
      <c r="H53" s="9" t="n">
        <v>0</v>
      </c>
      <c r="J53" s="0"/>
      <c r="K53" s="0"/>
      <c r="L53" s="0"/>
      <c r="M53" s="0"/>
      <c r="N53" s="0"/>
      <c r="O53" s="0"/>
      <c r="P53" s="141"/>
      <c r="Q53" s="142"/>
      <c r="R53" s="142"/>
      <c r="S53" s="142"/>
      <c r="T53" s="143"/>
      <c r="U53" s="142"/>
      <c r="V53" s="142"/>
      <c r="W53" s="142"/>
      <c r="X53" s="143"/>
      <c r="Y53" s="142"/>
      <c r="Z53" s="142"/>
      <c r="AA53" s="142"/>
      <c r="AB53" s="143"/>
      <c r="AC53" s="0"/>
      <c r="AD53" s="141"/>
      <c r="AE53" s="142"/>
      <c r="AF53" s="142"/>
      <c r="AG53" s="142"/>
      <c r="AH53" s="143"/>
      <c r="AI53" s="142"/>
      <c r="AJ53" s="142"/>
      <c r="AK53" s="142"/>
      <c r="AL53" s="143"/>
      <c r="AM53" s="142"/>
      <c r="AN53" s="142"/>
      <c r="AO53" s="146" t="n">
        <v>10310</v>
      </c>
      <c r="AP53" s="155" t="n">
        <f aca="false">SUM(AM53:AO53)</f>
        <v>10310</v>
      </c>
      <c r="AR53" s="9" t="n">
        <f aca="false">X70</f>
        <v>0</v>
      </c>
      <c r="AS53" s="9" t="n">
        <f aca="false">AB70</f>
        <v>0</v>
      </c>
    </row>
    <row r="54" customFormat="false" ht="13.5" hidden="false" customHeight="true" outlineLevel="0" collapsed="false">
      <c r="A54" s="0" t="n">
        <v>30</v>
      </c>
      <c r="B54" s="31" t="n">
        <v>38231</v>
      </c>
      <c r="C54" s="26" t="n">
        <v>0</v>
      </c>
      <c r="D54" s="29" t="s">
        <v>42</v>
      </c>
      <c r="E54" s="33" t="n">
        <f aca="false">IF(D54="totale",(C54/(A54*24))/F54,IF(D54="marché libre",(C54/(A54*24))/G54,"spécifier histo"))</f>
        <v>0</v>
      </c>
      <c r="F54" s="9" t="n">
        <v>34</v>
      </c>
      <c r="G54" s="9" t="n">
        <f aca="false">F54-H54</f>
        <v>34</v>
      </c>
      <c r="H54" s="9" t="n">
        <v>0</v>
      </c>
      <c r="J54" s="0"/>
      <c r="K54" s="0"/>
      <c r="L54" s="0"/>
      <c r="M54" s="0"/>
      <c r="N54" s="0"/>
      <c r="O54" s="0"/>
      <c r="P54" s="141"/>
      <c r="Q54" s="142"/>
      <c r="R54" s="142"/>
      <c r="S54" s="142"/>
      <c r="T54" s="143"/>
      <c r="U54" s="142"/>
      <c r="V54" s="142"/>
      <c r="W54" s="142"/>
      <c r="X54" s="143"/>
      <c r="Y54" s="142"/>
      <c r="Z54" s="142"/>
      <c r="AA54" s="142"/>
      <c r="AB54" s="143"/>
      <c r="AC54" s="0"/>
      <c r="AD54" s="141"/>
      <c r="AE54" s="142"/>
      <c r="AF54" s="142"/>
      <c r="AG54" s="142"/>
      <c r="AH54" s="143"/>
      <c r="AI54" s="142"/>
      <c r="AJ54" s="142"/>
      <c r="AK54" s="142"/>
      <c r="AL54" s="143"/>
      <c r="AM54" s="142"/>
      <c r="AN54" s="142"/>
      <c r="AO54" s="146" t="n">
        <v>9396</v>
      </c>
      <c r="AP54" s="155" t="n">
        <f aca="false">SUM(AM54:AO54)</f>
        <v>9396</v>
      </c>
      <c r="AR54" s="9" t="n">
        <f aca="false">X71</f>
        <v>0</v>
      </c>
      <c r="AS54" s="9" t="n">
        <f aca="false">AB71</f>
        <v>0</v>
      </c>
    </row>
    <row r="55" customFormat="false" ht="13.5" hidden="false" customHeight="true" outlineLevel="0" collapsed="false">
      <c r="A55" s="0" t="n">
        <v>31</v>
      </c>
      <c r="B55" s="34" t="n">
        <v>38261</v>
      </c>
      <c r="C55" s="26" t="n">
        <v>0</v>
      </c>
      <c r="D55" s="29" t="s">
        <v>42</v>
      </c>
      <c r="E55" s="33" t="n">
        <f aca="false">IF(D55="totale",(C55/(A55*24))/F55,IF(D55="marché libre",(C55/(A55*24))/G55,"spécifier histo"))</f>
        <v>0</v>
      </c>
      <c r="F55" s="9" t="n">
        <v>34</v>
      </c>
      <c r="G55" s="9" t="n">
        <f aca="false">F55-H55</f>
        <v>34</v>
      </c>
      <c r="H55" s="9" t="n">
        <v>0</v>
      </c>
      <c r="J55" s="0"/>
      <c r="K55" s="0"/>
      <c r="L55" s="0"/>
      <c r="M55" s="0"/>
      <c r="N55" s="0"/>
      <c r="O55" s="0"/>
      <c r="P55" s="144"/>
      <c r="Q55" s="143"/>
      <c r="R55" s="143"/>
      <c r="S55" s="143"/>
      <c r="T55" s="143"/>
      <c r="U55" s="143"/>
      <c r="V55" s="143"/>
      <c r="W55" s="143"/>
      <c r="X55" s="143"/>
      <c r="Y55" s="143"/>
      <c r="Z55" s="143"/>
      <c r="AA55" s="143"/>
      <c r="AB55" s="143"/>
      <c r="AC55" s="0"/>
      <c r="AD55" s="141"/>
      <c r="AE55" s="142"/>
      <c r="AF55" s="142"/>
      <c r="AG55" s="142"/>
      <c r="AH55" s="143"/>
      <c r="AI55" s="142"/>
      <c r="AJ55" s="142"/>
      <c r="AK55" s="142"/>
      <c r="AL55" s="143"/>
      <c r="AM55" s="142"/>
      <c r="AN55" s="142"/>
      <c r="AO55" s="146" t="n">
        <v>1574</v>
      </c>
      <c r="AP55" s="155" t="n">
        <f aca="false">SUM(AM55:AO55)</f>
        <v>1574</v>
      </c>
      <c r="AR55" s="9" t="n">
        <f aca="false">X72</f>
        <v>0</v>
      </c>
      <c r="AS55" s="9" t="n">
        <f aca="false">AB72</f>
        <v>0</v>
      </c>
    </row>
    <row r="56" customFormat="false" ht="13.5" hidden="false" customHeight="true" outlineLevel="0" collapsed="false">
      <c r="A56" s="0" t="n">
        <v>30</v>
      </c>
      <c r="B56" s="31" t="n">
        <v>38292</v>
      </c>
      <c r="C56" s="9" t="n">
        <v>2029</v>
      </c>
      <c r="D56" s="29" t="s">
        <v>42</v>
      </c>
      <c r="E56" s="33" t="n">
        <f aca="false">IF(D56="totale",(C56/(A56*24))/F56,IF(D56="marché libre",(C56/(A56*24))/G56,"spécifier histo"))</f>
        <v>0.0828839869281046</v>
      </c>
      <c r="F56" s="9" t="n">
        <v>34</v>
      </c>
      <c r="G56" s="9" t="n">
        <f aca="false">F56-H56</f>
        <v>34</v>
      </c>
      <c r="H56" s="9" t="n">
        <v>0</v>
      </c>
      <c r="J56" s="0"/>
      <c r="K56" s="0"/>
      <c r="L56" s="0"/>
      <c r="M56" s="0"/>
      <c r="N56" s="0"/>
      <c r="O56" s="0"/>
      <c r="P56" s="0"/>
      <c r="Q56" s="0"/>
      <c r="R56" s="0"/>
      <c r="S56" s="0"/>
      <c r="T56" s="0"/>
      <c r="U56" s="0"/>
      <c r="V56" s="0"/>
      <c r="W56" s="0"/>
      <c r="X56" s="0"/>
      <c r="Y56" s="0"/>
      <c r="Z56" s="0"/>
      <c r="AA56" s="0"/>
      <c r="AB56" s="0"/>
      <c r="AC56" s="0"/>
      <c r="AD56" s="141"/>
      <c r="AE56" s="142"/>
      <c r="AF56" s="142"/>
      <c r="AG56" s="142"/>
      <c r="AH56" s="143"/>
      <c r="AI56" s="142"/>
      <c r="AJ56" s="142"/>
      <c r="AK56" s="142"/>
      <c r="AL56" s="143"/>
      <c r="AM56" s="142"/>
      <c r="AN56" s="142"/>
      <c r="AO56" s="146" t="n">
        <v>602</v>
      </c>
      <c r="AP56" s="155" t="n">
        <f aca="false">SUM(AM56:AO56)</f>
        <v>602</v>
      </c>
    </row>
    <row r="57" customFormat="false" ht="13.5" hidden="false" customHeight="true" outlineLevel="0" collapsed="false">
      <c r="A57" s="0" t="n">
        <v>31</v>
      </c>
      <c r="B57" s="34" t="n">
        <v>38322</v>
      </c>
      <c r="C57" s="9" t="n">
        <v>11193</v>
      </c>
      <c r="D57" s="29" t="s">
        <v>42</v>
      </c>
      <c r="E57" s="33" t="n">
        <f aca="false">IF(D57="totale",(C57/(A57*24))/F57,IF(D57="marché libre",(C57/(A57*24))/G57,"spécifier histo"))</f>
        <v>0.442481024667932</v>
      </c>
      <c r="F57" s="9" t="n">
        <v>34</v>
      </c>
      <c r="G57" s="9" t="n">
        <f aca="false">F57-H57</f>
        <v>34</v>
      </c>
      <c r="H57" s="9" t="n">
        <v>0</v>
      </c>
      <c r="J57" s="0"/>
      <c r="K57" s="0"/>
      <c r="L57" s="0"/>
      <c r="M57" s="0"/>
      <c r="N57" s="0"/>
      <c r="O57" s="0"/>
      <c r="P57" s="144"/>
      <c r="Q57" s="144"/>
      <c r="R57" s="144"/>
      <c r="S57" s="144"/>
      <c r="T57" s="144"/>
      <c r="U57" s="144"/>
      <c r="V57" s="144"/>
      <c r="W57" s="144"/>
      <c r="X57" s="144"/>
      <c r="Y57" s="0"/>
      <c r="Z57" s="0"/>
      <c r="AA57" s="0"/>
      <c r="AB57" s="0"/>
      <c r="AC57" s="0"/>
      <c r="AD57" s="141"/>
      <c r="AE57" s="142"/>
      <c r="AF57" s="142"/>
      <c r="AG57" s="142"/>
      <c r="AH57" s="143"/>
      <c r="AI57" s="142"/>
      <c r="AJ57" s="142"/>
      <c r="AK57" s="142"/>
      <c r="AL57" s="143"/>
      <c r="AM57" s="142"/>
      <c r="AN57" s="142"/>
      <c r="AO57" s="146" t="n">
        <v>1758</v>
      </c>
      <c r="AP57" s="155" t="n">
        <f aca="false">SUM(AM57:AO57)</f>
        <v>1758</v>
      </c>
    </row>
    <row r="58" customFormat="false" ht="13.5" hidden="false" customHeight="true" outlineLevel="0" collapsed="false">
      <c r="A58" s="0" t="n">
        <v>31</v>
      </c>
      <c r="B58" s="31" t="n">
        <v>38353</v>
      </c>
      <c r="C58" s="9" t="n">
        <v>16153</v>
      </c>
      <c r="D58" s="29" t="s">
        <v>42</v>
      </c>
      <c r="E58" s="33" t="n">
        <f aca="false">IF(D58="totale",(C58/(A58*24))/F58,IF(D58="marché libre",(C58/(A58*24))/G58,"spécifier histo"))</f>
        <v>0.638559456040481</v>
      </c>
      <c r="F58" s="9" t="n">
        <v>34</v>
      </c>
      <c r="G58" s="9" t="n">
        <f aca="false">F58-H58</f>
        <v>34</v>
      </c>
      <c r="H58" s="9" t="n">
        <v>0</v>
      </c>
      <c r="J58" s="0"/>
      <c r="K58" s="0"/>
      <c r="L58" s="0"/>
      <c r="M58" s="0"/>
      <c r="N58" s="0"/>
      <c r="O58" s="0"/>
      <c r="P58" s="0"/>
      <c r="Q58" s="0"/>
      <c r="R58" s="0"/>
      <c r="S58" s="0"/>
      <c r="T58" s="0"/>
      <c r="U58" s="0"/>
      <c r="V58" s="0"/>
      <c r="W58" s="0"/>
      <c r="X58" s="0"/>
      <c r="Y58" s="0"/>
      <c r="Z58" s="0"/>
      <c r="AA58" s="0"/>
      <c r="AB58" s="0"/>
      <c r="AC58" s="0"/>
      <c r="AD58" s="141"/>
      <c r="AE58" s="142"/>
      <c r="AF58" s="142"/>
      <c r="AG58" s="142"/>
      <c r="AH58" s="143"/>
      <c r="AI58" s="142"/>
      <c r="AJ58" s="142"/>
      <c r="AK58" s="142"/>
      <c r="AL58" s="143"/>
      <c r="AM58" s="142"/>
      <c r="AN58" s="142"/>
      <c r="AO58" s="146" t="n">
        <v>2053</v>
      </c>
      <c r="AP58" s="155" t="n">
        <f aca="false">SUM(AM58:AO58)</f>
        <v>2053</v>
      </c>
      <c r="AR58" s="156" t="n">
        <v>2013</v>
      </c>
      <c r="AS58" s="156" t="n">
        <v>2014</v>
      </c>
    </row>
    <row r="59" customFormat="false" ht="13.5" hidden="false" customHeight="true" outlineLevel="0" collapsed="false">
      <c r="A59" s="0" t="n">
        <v>28</v>
      </c>
      <c r="B59" s="34" t="n">
        <v>38384</v>
      </c>
      <c r="C59" s="9" t="n">
        <v>10710</v>
      </c>
      <c r="D59" s="29" t="s">
        <v>42</v>
      </c>
      <c r="E59" s="33" t="n">
        <f aca="false">IF(D59="totale",(C59/(A59*24))/F59,IF(D59="marché libre",(C59/(A59*24))/G59,"spécifier histo"))</f>
        <v>0.46875</v>
      </c>
      <c r="F59" s="9" t="n">
        <v>34</v>
      </c>
      <c r="G59" s="9" t="n">
        <f aca="false">F59-H59</f>
        <v>34</v>
      </c>
      <c r="H59" s="9" t="n">
        <v>0</v>
      </c>
      <c r="J59" s="0"/>
      <c r="K59" s="0"/>
      <c r="L59" s="0"/>
      <c r="M59" s="0"/>
      <c r="N59" s="0"/>
      <c r="O59" s="0"/>
      <c r="P59" s="145"/>
      <c r="Q59" s="144"/>
      <c r="R59" s="144"/>
      <c r="S59" s="144"/>
      <c r="T59" s="144"/>
      <c r="U59" s="144"/>
      <c r="V59" s="144"/>
      <c r="W59" s="144"/>
      <c r="X59" s="144"/>
      <c r="Y59" s="144"/>
      <c r="Z59" s="144"/>
      <c r="AA59" s="144"/>
      <c r="AB59" s="144"/>
      <c r="AC59" s="0"/>
      <c r="AD59" s="141"/>
      <c r="AE59" s="142"/>
      <c r="AF59" s="142"/>
      <c r="AG59" s="142"/>
      <c r="AH59" s="143"/>
      <c r="AI59" s="142"/>
      <c r="AJ59" s="142"/>
      <c r="AK59" s="142"/>
      <c r="AL59" s="143"/>
      <c r="AM59" s="142"/>
      <c r="AN59" s="142"/>
      <c r="AO59" s="146" t="n">
        <v>3452</v>
      </c>
      <c r="AP59" s="155" t="n">
        <f aca="false">SUM(AM59:AO59)</f>
        <v>3452</v>
      </c>
      <c r="AR59" s="0"/>
      <c r="AS59" s="0"/>
    </row>
    <row r="60" customFormat="false" ht="13.5" hidden="false" customHeight="true" outlineLevel="0" collapsed="false">
      <c r="A60" s="0" t="n">
        <v>31</v>
      </c>
      <c r="B60" s="31" t="n">
        <v>38412</v>
      </c>
      <c r="C60" s="9" t="n">
        <v>14015</v>
      </c>
      <c r="D60" s="29" t="s">
        <v>42</v>
      </c>
      <c r="E60" s="33" t="n">
        <f aca="false">IF(D60="totale",(C60/(A60*24))/F60,IF(D60="marché libre",(C60/(A60*24))/G60,"spécifier histo"))</f>
        <v>0.554040164452878</v>
      </c>
      <c r="F60" s="9" t="n">
        <v>34</v>
      </c>
      <c r="G60" s="9" t="n">
        <f aca="false">F60-H60</f>
        <v>34</v>
      </c>
      <c r="H60" s="9" t="n">
        <v>0</v>
      </c>
      <c r="I60" s="26"/>
      <c r="J60" s="0"/>
      <c r="K60" s="0"/>
      <c r="L60" s="0"/>
      <c r="M60" s="0"/>
      <c r="N60" s="0"/>
      <c r="O60" s="0"/>
      <c r="P60" s="145"/>
      <c r="Q60" s="144"/>
      <c r="R60" s="144"/>
      <c r="S60" s="144"/>
      <c r="T60" s="144"/>
      <c r="U60" s="144"/>
      <c r="V60" s="144"/>
      <c r="W60" s="144"/>
      <c r="X60" s="144"/>
      <c r="Y60" s="144"/>
      <c r="Z60" s="144"/>
      <c r="AA60" s="144"/>
      <c r="AB60" s="144"/>
      <c r="AC60" s="0"/>
      <c r="AD60" s="141"/>
      <c r="AE60" s="142"/>
      <c r="AF60" s="142"/>
      <c r="AG60" s="142"/>
      <c r="AH60" s="143"/>
      <c r="AI60" s="142"/>
      <c r="AJ60" s="142"/>
      <c r="AK60" s="142"/>
      <c r="AL60" s="143"/>
      <c r="AM60" s="142"/>
      <c r="AN60" s="142"/>
      <c r="AO60" s="146" t="n">
        <v>1746</v>
      </c>
      <c r="AP60" s="155" t="n">
        <f aca="false">SUM(AM60:AO60)</f>
        <v>1746</v>
      </c>
      <c r="AR60" s="0"/>
      <c r="AS60" s="0"/>
    </row>
    <row r="61" customFormat="false" ht="13.5" hidden="false" customHeight="true" outlineLevel="0" collapsed="false">
      <c r="A61" s="0" t="n">
        <v>30</v>
      </c>
      <c r="B61" s="34" t="n">
        <v>38443</v>
      </c>
      <c r="C61" s="9" t="n">
        <v>0</v>
      </c>
      <c r="D61" s="29" t="s">
        <v>42</v>
      </c>
      <c r="E61" s="33" t="n">
        <f aca="false">IF(D61="totale",(C61/(A61*24))/F61,IF(D61="marché libre",(C61/(A61*24))/G61,"spécifier histo"))</f>
        <v>0</v>
      </c>
      <c r="F61" s="9" t="n">
        <v>34</v>
      </c>
      <c r="G61" s="9" t="n">
        <f aca="false">F61-H61</f>
        <v>34</v>
      </c>
      <c r="H61" s="9" t="n">
        <v>0</v>
      </c>
      <c r="I61" s="26"/>
      <c r="J61" s="0"/>
      <c r="K61" s="0"/>
      <c r="L61" s="0"/>
      <c r="M61" s="0"/>
      <c r="N61" s="0"/>
      <c r="O61" s="0"/>
      <c r="P61" s="141"/>
      <c r="Q61" s="142"/>
      <c r="R61" s="142"/>
      <c r="S61" s="142"/>
      <c r="T61" s="143"/>
      <c r="U61" s="142"/>
      <c r="V61" s="142"/>
      <c r="W61" s="142"/>
      <c r="X61" s="143"/>
      <c r="Y61" s="142"/>
      <c r="Z61" s="142"/>
      <c r="AA61" s="142"/>
      <c r="AB61" s="143"/>
      <c r="AC61" s="0"/>
      <c r="AD61" s="141"/>
      <c r="AE61" s="142"/>
      <c r="AF61" s="142"/>
      <c r="AG61" s="142"/>
      <c r="AH61" s="143"/>
      <c r="AI61" s="142"/>
      <c r="AJ61" s="142"/>
      <c r="AK61" s="142"/>
      <c r="AL61" s="143"/>
      <c r="AM61" s="142"/>
      <c r="AN61" s="142"/>
      <c r="AO61" s="148" t="n">
        <v>500</v>
      </c>
      <c r="AP61" s="157" t="n">
        <f aca="false">SUM(AM61:AO61)</f>
        <v>500</v>
      </c>
      <c r="AR61" s="0"/>
      <c r="AS61" s="0"/>
    </row>
    <row r="62" customFormat="false" ht="13.5" hidden="false" customHeight="true" outlineLevel="0" collapsed="false">
      <c r="A62" s="0" t="n">
        <v>31</v>
      </c>
      <c r="B62" s="31" t="n">
        <v>38473</v>
      </c>
      <c r="C62" s="9" t="n">
        <v>0</v>
      </c>
      <c r="D62" s="29" t="s">
        <v>42</v>
      </c>
      <c r="E62" s="33" t="n">
        <f aca="false">IF(D62="totale",(C62/(A62*24))/F62,IF(D62="marché libre",(C62/(A62*24))/G62,"spécifier histo"))</f>
        <v>0</v>
      </c>
      <c r="F62" s="9" t="n">
        <v>34</v>
      </c>
      <c r="G62" s="9" t="n">
        <f aca="false">F62-H62</f>
        <v>34</v>
      </c>
      <c r="H62" s="9" t="n">
        <v>0</v>
      </c>
      <c r="I62" s="26"/>
      <c r="J62" s="0"/>
      <c r="K62" s="0"/>
      <c r="L62" s="0"/>
      <c r="M62" s="0"/>
      <c r="N62" s="0"/>
      <c r="O62" s="0"/>
      <c r="P62" s="141"/>
      <c r="Q62" s="142"/>
      <c r="R62" s="142"/>
      <c r="S62" s="142"/>
      <c r="T62" s="143"/>
      <c r="U62" s="142"/>
      <c r="V62" s="142"/>
      <c r="W62" s="142"/>
      <c r="X62" s="143"/>
      <c r="Y62" s="142"/>
      <c r="Z62" s="142"/>
      <c r="AA62" s="142"/>
      <c r="AB62" s="143"/>
      <c r="AC62" s="0"/>
      <c r="AD62" s="144"/>
      <c r="AE62" s="143"/>
      <c r="AF62" s="143"/>
      <c r="AG62" s="143"/>
      <c r="AH62" s="143"/>
      <c r="AI62" s="143"/>
      <c r="AJ62" s="143"/>
      <c r="AK62" s="143"/>
      <c r="AL62" s="143"/>
      <c r="AM62" s="143"/>
      <c r="AN62" s="143"/>
      <c r="AO62" s="151" t="n">
        <f aca="false">SUM(AO50:AO61)</f>
        <v>37566</v>
      </c>
      <c r="AP62" s="158" t="n">
        <f aca="false">SUM(AM62:AO62)</f>
        <v>37566</v>
      </c>
      <c r="AQ62" s="103"/>
      <c r="AR62" s="0"/>
      <c r="AS62" s="0"/>
    </row>
    <row r="63" customFormat="false" ht="13.5" hidden="false" customHeight="true" outlineLevel="0" collapsed="false">
      <c r="A63" s="0" t="n">
        <v>30</v>
      </c>
      <c r="B63" s="34" t="n">
        <v>38504</v>
      </c>
      <c r="C63" s="9" t="n">
        <v>0</v>
      </c>
      <c r="D63" s="29" t="s">
        <v>42</v>
      </c>
      <c r="E63" s="33" t="n">
        <f aca="false">IF(D63="totale",(C63/(A63*24))/F63,IF(D63="marché libre",(C63/(A63*24))/G63,"spécifier histo"))</f>
        <v>0</v>
      </c>
      <c r="F63" s="9" t="n">
        <v>34</v>
      </c>
      <c r="G63" s="9" t="n">
        <f aca="false">F63-H63</f>
        <v>34</v>
      </c>
      <c r="H63" s="9" t="n">
        <v>0</v>
      </c>
      <c r="I63" s="26"/>
      <c r="J63" s="0"/>
      <c r="K63" s="0"/>
      <c r="L63" s="0"/>
      <c r="M63" s="0"/>
      <c r="N63" s="0"/>
      <c r="O63" s="0"/>
      <c r="P63" s="141"/>
      <c r="Q63" s="142"/>
      <c r="R63" s="142"/>
      <c r="S63" s="142"/>
      <c r="T63" s="143"/>
      <c r="U63" s="142"/>
      <c r="V63" s="142"/>
      <c r="W63" s="142"/>
      <c r="X63" s="143"/>
      <c r="Y63" s="142"/>
      <c r="Z63" s="142"/>
      <c r="AA63" s="142"/>
      <c r="AB63" s="143"/>
      <c r="AC63" s="0"/>
      <c r="AD63" s="0"/>
      <c r="AE63" s="0"/>
      <c r="AF63" s="0"/>
      <c r="AG63" s="0"/>
      <c r="AH63" s="0"/>
      <c r="AI63" s="0"/>
      <c r="AJ63" s="0"/>
      <c r="AK63" s="0"/>
      <c r="AL63" s="0"/>
      <c r="AM63" s="0"/>
      <c r="AN63" s="0"/>
      <c r="AO63" s="0"/>
      <c r="AP63" s="0"/>
      <c r="AQ63" s="103"/>
      <c r="AR63" s="0"/>
      <c r="AS63" s="0"/>
    </row>
    <row r="64" customFormat="false" ht="13.5" hidden="false" customHeight="true" outlineLevel="0" collapsed="false">
      <c r="A64" s="0" t="n">
        <v>31</v>
      </c>
      <c r="B64" s="31" t="n">
        <v>38534</v>
      </c>
      <c r="C64" s="9" t="n">
        <v>0</v>
      </c>
      <c r="D64" s="29" t="s">
        <v>42</v>
      </c>
      <c r="E64" s="33" t="n">
        <f aca="false">IF(D64="totale",(C64/(A64*24))/F64,IF(D64="marché libre",(C64/(A64*24))/G64,"spécifier histo"))</f>
        <v>0</v>
      </c>
      <c r="F64" s="9" t="n">
        <v>34</v>
      </c>
      <c r="G64" s="9" t="n">
        <f aca="false">F64-H64</f>
        <v>34</v>
      </c>
      <c r="H64" s="9" t="n">
        <v>0</v>
      </c>
      <c r="I64" s="26"/>
      <c r="J64" s="0"/>
      <c r="K64" s="0"/>
      <c r="L64" s="0"/>
      <c r="M64" s="0"/>
      <c r="N64" s="0"/>
      <c r="O64" s="0"/>
      <c r="P64" s="141"/>
      <c r="Q64" s="142"/>
      <c r="R64" s="142"/>
      <c r="S64" s="142"/>
      <c r="T64" s="143"/>
      <c r="U64" s="142"/>
      <c r="V64" s="142"/>
      <c r="W64" s="142"/>
      <c r="X64" s="143"/>
      <c r="Y64" s="142"/>
      <c r="Z64" s="142"/>
      <c r="AA64" s="142"/>
      <c r="AB64" s="143"/>
      <c r="AC64" s="0"/>
      <c r="AD64" s="144"/>
      <c r="AE64" s="144"/>
      <c r="AF64" s="144"/>
      <c r="AG64" s="144"/>
      <c r="AH64" s="144"/>
      <c r="AI64" s="144"/>
      <c r="AJ64" s="144"/>
      <c r="AK64" s="144"/>
      <c r="AL64" s="144"/>
      <c r="AM64" s="0"/>
      <c r="AN64" s="0"/>
      <c r="AO64" s="0"/>
      <c r="AP64" s="0"/>
      <c r="AQ64" s="103"/>
      <c r="AR64" s="0"/>
      <c r="AS64" s="0"/>
    </row>
    <row r="65" customFormat="false" ht="13.5" hidden="false" customHeight="true" outlineLevel="0" collapsed="false">
      <c r="A65" s="0" t="n">
        <v>31</v>
      </c>
      <c r="B65" s="34" t="n">
        <v>38565</v>
      </c>
      <c r="C65" s="9" t="n">
        <v>0</v>
      </c>
      <c r="D65" s="29" t="s">
        <v>42</v>
      </c>
      <c r="E65" s="33" t="n">
        <f aca="false">IF(D65="totale",(C65/(A65*24))/F65,IF(D65="marché libre",(C65/(A65*24))/G65,"spécifier histo"))</f>
        <v>0</v>
      </c>
      <c r="F65" s="9" t="n">
        <v>34</v>
      </c>
      <c r="G65" s="9" t="n">
        <f aca="false">F65-H65</f>
        <v>34</v>
      </c>
      <c r="H65" s="9" t="n">
        <v>0</v>
      </c>
      <c r="I65" s="26"/>
      <c r="J65" s="0"/>
      <c r="K65" s="0"/>
      <c r="L65" s="0"/>
      <c r="M65" s="0"/>
      <c r="N65" s="0"/>
      <c r="O65" s="0"/>
      <c r="P65" s="141"/>
      <c r="Q65" s="142"/>
      <c r="R65" s="142"/>
      <c r="S65" s="142"/>
      <c r="T65" s="143"/>
      <c r="U65" s="142"/>
      <c r="V65" s="142"/>
      <c r="W65" s="142"/>
      <c r="X65" s="143"/>
      <c r="Y65" s="142"/>
      <c r="Z65" s="142"/>
      <c r="AA65" s="142"/>
      <c r="AB65" s="143"/>
      <c r="AC65" s="0"/>
      <c r="AD65" s="0"/>
      <c r="AE65" s="0"/>
      <c r="AF65" s="0"/>
      <c r="AG65" s="0"/>
      <c r="AH65" s="0"/>
      <c r="AI65" s="0"/>
      <c r="AJ65" s="0"/>
      <c r="AK65" s="0"/>
      <c r="AL65" s="0"/>
      <c r="AM65" s="0"/>
      <c r="AN65" s="0"/>
      <c r="AO65" s="0"/>
      <c r="AP65" s="0"/>
      <c r="AQ65" s="103"/>
      <c r="AR65" s="0"/>
      <c r="AS65" s="0"/>
    </row>
    <row r="66" customFormat="false" ht="13.5" hidden="false" customHeight="true" outlineLevel="0" collapsed="false">
      <c r="A66" s="0" t="n">
        <v>30</v>
      </c>
      <c r="B66" s="31" t="n">
        <v>38596</v>
      </c>
      <c r="C66" s="9" t="n">
        <v>0</v>
      </c>
      <c r="D66" s="29" t="s">
        <v>42</v>
      </c>
      <c r="E66" s="33" t="n">
        <f aca="false">IF(D66="totale",(C66/(A66*24))/F66,IF(D66="marché libre",(C66/(A66*24))/G66,"spécifier histo"))</f>
        <v>0</v>
      </c>
      <c r="F66" s="9" t="n">
        <v>34</v>
      </c>
      <c r="G66" s="9" t="n">
        <f aca="false">F66-H66</f>
        <v>34</v>
      </c>
      <c r="H66" s="9" t="n">
        <v>0</v>
      </c>
      <c r="I66" s="26"/>
      <c r="J66" s="0"/>
      <c r="K66" s="0"/>
      <c r="L66" s="0"/>
      <c r="M66" s="0"/>
      <c r="N66" s="0"/>
      <c r="O66" s="0"/>
      <c r="P66" s="141"/>
      <c r="Q66" s="142"/>
      <c r="R66" s="142"/>
      <c r="S66" s="142"/>
      <c r="T66" s="143"/>
      <c r="U66" s="142"/>
      <c r="V66" s="142"/>
      <c r="W66" s="142"/>
      <c r="X66" s="143"/>
      <c r="Y66" s="142"/>
      <c r="Z66" s="142"/>
      <c r="AA66" s="142"/>
      <c r="AB66" s="143"/>
      <c r="AC66" s="0"/>
      <c r="AD66" s="145"/>
      <c r="AE66" s="144"/>
      <c r="AF66" s="144"/>
      <c r="AG66" s="144"/>
      <c r="AH66" s="144"/>
      <c r="AI66" s="144"/>
      <c r="AJ66" s="144"/>
      <c r="AK66" s="144"/>
      <c r="AL66" s="144"/>
      <c r="AM66" s="144"/>
      <c r="AN66" s="144"/>
      <c r="AO66" s="144"/>
      <c r="AP66" s="144"/>
      <c r="AQ66" s="103"/>
      <c r="AR66" s="0"/>
      <c r="AS66" s="0"/>
    </row>
    <row r="67" customFormat="false" ht="13.5" hidden="false" customHeight="true" outlineLevel="0" collapsed="false">
      <c r="A67" s="0" t="n">
        <v>31</v>
      </c>
      <c r="B67" s="34" t="n">
        <v>38626</v>
      </c>
      <c r="C67" s="9" t="n">
        <v>0</v>
      </c>
      <c r="D67" s="29" t="s">
        <v>42</v>
      </c>
      <c r="E67" s="33" t="n">
        <f aca="false">IF(D67="totale",(C67/(A67*24))/F67,IF(D67="marché libre",(C67/(A67*24))/G67,"spécifier histo"))</f>
        <v>0</v>
      </c>
      <c r="F67" s="9" t="n">
        <v>34</v>
      </c>
      <c r="G67" s="9" t="n">
        <f aca="false">F67-H67</f>
        <v>34</v>
      </c>
      <c r="H67" s="9" t="n">
        <v>0</v>
      </c>
      <c r="I67" s="26"/>
      <c r="J67" s="0"/>
      <c r="K67" s="0"/>
      <c r="L67" s="0"/>
      <c r="M67" s="0"/>
      <c r="N67" s="0"/>
      <c r="O67" s="0"/>
      <c r="P67" s="141"/>
      <c r="Q67" s="142"/>
      <c r="R67" s="142"/>
      <c r="S67" s="142"/>
      <c r="T67" s="143"/>
      <c r="U67" s="142"/>
      <c r="V67" s="142"/>
      <c r="W67" s="142"/>
      <c r="X67" s="143"/>
      <c r="Y67" s="142"/>
      <c r="Z67" s="142"/>
      <c r="AA67" s="142"/>
      <c r="AB67" s="143"/>
      <c r="AC67" s="0"/>
      <c r="AD67" s="145"/>
      <c r="AE67" s="144"/>
      <c r="AF67" s="144"/>
      <c r="AG67" s="144"/>
      <c r="AH67" s="144"/>
      <c r="AI67" s="144"/>
      <c r="AJ67" s="144"/>
      <c r="AK67" s="144"/>
      <c r="AL67" s="144"/>
      <c r="AM67" s="144"/>
      <c r="AN67" s="144"/>
      <c r="AO67" s="153" t="s">
        <v>123</v>
      </c>
      <c r="AP67" s="154" t="s">
        <v>89</v>
      </c>
      <c r="AQ67" s="103"/>
      <c r="AR67" s="0"/>
      <c r="AS67" s="0"/>
    </row>
    <row r="68" customFormat="false" ht="13.5" hidden="false" customHeight="true" outlineLevel="0" collapsed="false">
      <c r="A68" s="0" t="n">
        <v>30</v>
      </c>
      <c r="B68" s="31" t="n">
        <v>38657</v>
      </c>
      <c r="C68" s="9" t="n">
        <v>0</v>
      </c>
      <c r="D68" s="29" t="s">
        <v>42</v>
      </c>
      <c r="E68" s="33" t="n">
        <f aca="false">IF(D68="totale",(C68/(A68*24))/F68,IF(D68="marché libre",(C68/(A68*24))/G68,"spécifier histo"))</f>
        <v>0</v>
      </c>
      <c r="F68" s="9" t="n">
        <v>34</v>
      </c>
      <c r="G68" s="9" t="n">
        <f aca="false">F68-H68</f>
        <v>34</v>
      </c>
      <c r="H68" s="9" t="n">
        <v>0</v>
      </c>
      <c r="I68" s="26"/>
      <c r="J68" s="0"/>
      <c r="K68" s="0"/>
      <c r="L68" s="0"/>
      <c r="M68" s="0"/>
      <c r="N68" s="0"/>
      <c r="O68" s="0"/>
      <c r="P68" s="141"/>
      <c r="Q68" s="142"/>
      <c r="R68" s="142"/>
      <c r="S68" s="142"/>
      <c r="T68" s="143"/>
      <c r="U68" s="142"/>
      <c r="V68" s="142"/>
      <c r="W68" s="142"/>
      <c r="X68" s="143"/>
      <c r="Y68" s="142"/>
      <c r="Z68" s="142"/>
      <c r="AA68" s="142"/>
      <c r="AB68" s="143"/>
      <c r="AC68" s="0"/>
      <c r="AD68" s="141"/>
      <c r="AE68" s="142"/>
      <c r="AF68" s="142"/>
      <c r="AG68" s="142"/>
      <c r="AH68" s="143"/>
      <c r="AI68" s="142"/>
      <c r="AJ68" s="142"/>
      <c r="AK68" s="142"/>
      <c r="AL68" s="143"/>
      <c r="AM68" s="142"/>
      <c r="AN68" s="142"/>
      <c r="AO68" s="146" t="n">
        <v>4937</v>
      </c>
      <c r="AP68" s="155" t="n">
        <f aca="false">SUM(AM68:AO68)</f>
        <v>4937</v>
      </c>
      <c r="AQ68" s="103"/>
      <c r="AR68" s="0"/>
      <c r="AS68" s="0"/>
    </row>
    <row r="69" customFormat="false" ht="13.5" hidden="false" customHeight="true" outlineLevel="0" collapsed="false">
      <c r="A69" s="0" t="n">
        <v>31</v>
      </c>
      <c r="B69" s="34" t="n">
        <v>38687</v>
      </c>
      <c r="C69" s="9" t="n">
        <v>0</v>
      </c>
      <c r="D69" s="29" t="s">
        <v>42</v>
      </c>
      <c r="E69" s="33" t="n">
        <f aca="false">IF(D69="totale",(C69/(A69*24))/F69,IF(D69="marché libre",(C69/(A69*24))/G69,"spécifier histo"))</f>
        <v>0</v>
      </c>
      <c r="F69" s="9" t="n">
        <v>34</v>
      </c>
      <c r="G69" s="9" t="n">
        <f aca="false">F69-H69</f>
        <v>34</v>
      </c>
      <c r="H69" s="9" t="n">
        <v>0</v>
      </c>
      <c r="I69" s="26"/>
      <c r="J69" s="0"/>
      <c r="K69" s="0"/>
      <c r="L69" s="0"/>
      <c r="M69" s="0"/>
      <c r="N69" s="0"/>
      <c r="O69" s="0"/>
      <c r="P69" s="141"/>
      <c r="Q69" s="142"/>
      <c r="R69" s="142"/>
      <c r="S69" s="142"/>
      <c r="T69" s="143"/>
      <c r="U69" s="142"/>
      <c r="V69" s="142"/>
      <c r="W69" s="142"/>
      <c r="X69" s="143"/>
      <c r="Y69" s="142"/>
      <c r="Z69" s="142"/>
      <c r="AA69" s="142"/>
      <c r="AB69" s="143"/>
      <c r="AC69" s="0"/>
      <c r="AD69" s="141"/>
      <c r="AE69" s="142"/>
      <c r="AF69" s="142"/>
      <c r="AG69" s="142"/>
      <c r="AH69" s="143"/>
      <c r="AI69" s="142"/>
      <c r="AJ69" s="142"/>
      <c r="AK69" s="142"/>
      <c r="AL69" s="143"/>
      <c r="AM69" s="142"/>
      <c r="AN69" s="142"/>
      <c r="AO69" s="146" t="n">
        <v>970</v>
      </c>
      <c r="AP69" s="155" t="n">
        <f aca="false">SUM(AM69:AO69)</f>
        <v>970</v>
      </c>
      <c r="AQ69" s="103"/>
      <c r="AR69" s="0"/>
      <c r="AS69" s="0"/>
    </row>
    <row r="70" customFormat="false" ht="13.5" hidden="false" customHeight="true" outlineLevel="0" collapsed="false">
      <c r="A70" s="0" t="n">
        <v>31</v>
      </c>
      <c r="B70" s="31" t="n">
        <v>38718</v>
      </c>
      <c r="C70" s="9" t="n">
        <v>8553</v>
      </c>
      <c r="D70" s="29" t="s">
        <v>42</v>
      </c>
      <c r="E70" s="33" t="n">
        <f aca="false">IF(D70="totale",(C70/(A70*24))/F70,IF(D70="marché libre",(C70/(A70*24))/G70,"spécifier histo"))</f>
        <v>0.33811669829222</v>
      </c>
      <c r="F70" s="9" t="n">
        <v>34</v>
      </c>
      <c r="G70" s="9" t="n">
        <f aca="false">F70-H70</f>
        <v>34</v>
      </c>
      <c r="H70" s="9" t="n">
        <v>0</v>
      </c>
      <c r="I70" s="26"/>
      <c r="J70" s="0"/>
      <c r="K70" s="0"/>
      <c r="L70" s="0"/>
      <c r="M70" s="0"/>
      <c r="N70" s="0"/>
      <c r="O70" s="0"/>
      <c r="P70" s="141"/>
      <c r="Q70" s="142"/>
      <c r="R70" s="142"/>
      <c r="S70" s="142"/>
      <c r="T70" s="143"/>
      <c r="U70" s="142"/>
      <c r="V70" s="142"/>
      <c r="W70" s="142"/>
      <c r="X70" s="143"/>
      <c r="Y70" s="142"/>
      <c r="Z70" s="142"/>
      <c r="AA70" s="142"/>
      <c r="AB70" s="143"/>
      <c r="AC70" s="0"/>
      <c r="AD70" s="141"/>
      <c r="AE70" s="142"/>
      <c r="AF70" s="142"/>
      <c r="AG70" s="142"/>
      <c r="AH70" s="143"/>
      <c r="AI70" s="142"/>
      <c r="AJ70" s="142"/>
      <c r="AK70" s="142"/>
      <c r="AL70" s="143"/>
      <c r="AM70" s="142"/>
      <c r="AN70" s="142"/>
      <c r="AO70" s="146" t="n">
        <v>3745</v>
      </c>
      <c r="AP70" s="155" t="n">
        <f aca="false">SUM(AM70:AO70)</f>
        <v>3745</v>
      </c>
      <c r="AQ70" s="103"/>
      <c r="AR70" s="0"/>
      <c r="AS70" s="0"/>
    </row>
    <row r="71" customFormat="false" ht="13.5" hidden="false" customHeight="true" outlineLevel="0" collapsed="false">
      <c r="A71" s="0" t="n">
        <v>28</v>
      </c>
      <c r="B71" s="34" t="n">
        <v>38749</v>
      </c>
      <c r="C71" s="9" t="n">
        <v>7149</v>
      </c>
      <c r="D71" s="29" t="s">
        <v>42</v>
      </c>
      <c r="E71" s="33" t="n">
        <f aca="false">IF(D71="totale",(C71/(A71*24))/F71,IF(D71="marché libre",(C71/(A71*24))/G71,"spécifier histo"))</f>
        <v>0.312893907563025</v>
      </c>
      <c r="F71" s="9" t="n">
        <v>34</v>
      </c>
      <c r="G71" s="9" t="n">
        <f aca="false">F71-H71</f>
        <v>34</v>
      </c>
      <c r="H71" s="9" t="n">
        <v>0</v>
      </c>
      <c r="I71" s="26"/>
      <c r="J71" s="0"/>
      <c r="K71" s="0"/>
      <c r="L71" s="0"/>
      <c r="M71" s="0"/>
      <c r="N71" s="0"/>
      <c r="O71" s="0"/>
      <c r="P71" s="141"/>
      <c r="Q71" s="142"/>
      <c r="R71" s="142"/>
      <c r="S71" s="142"/>
      <c r="T71" s="143"/>
      <c r="U71" s="142"/>
      <c r="V71" s="142"/>
      <c r="W71" s="142"/>
      <c r="X71" s="143"/>
      <c r="Y71" s="142"/>
      <c r="Z71" s="142"/>
      <c r="AA71" s="142"/>
      <c r="AB71" s="143"/>
      <c r="AC71" s="0"/>
      <c r="AD71" s="141"/>
      <c r="AE71" s="142"/>
      <c r="AF71" s="142"/>
      <c r="AG71" s="142"/>
      <c r="AH71" s="143"/>
      <c r="AI71" s="142"/>
      <c r="AJ71" s="142"/>
      <c r="AK71" s="142"/>
      <c r="AL71" s="143"/>
      <c r="AM71" s="142"/>
      <c r="AN71" s="142"/>
      <c r="AO71" s="146" t="n">
        <v>9192</v>
      </c>
      <c r="AP71" s="155" t="n">
        <f aca="false">SUM(AM71:AO71)</f>
        <v>9192</v>
      </c>
      <c r="AQ71" s="103"/>
    </row>
    <row r="72" customFormat="false" ht="13.5" hidden="false" customHeight="true" outlineLevel="0" collapsed="false">
      <c r="A72" s="0" t="n">
        <v>31</v>
      </c>
      <c r="B72" s="31" t="n">
        <v>38777</v>
      </c>
      <c r="C72" s="9" t="n">
        <v>13847</v>
      </c>
      <c r="D72" s="29" t="s">
        <v>42</v>
      </c>
      <c r="E72" s="33" t="n">
        <f aca="false">IF(D72="totale",(C72/(A72*24))/F72,IF(D72="marché libre",(C72/(A72*24))/G72,"spécifier histo"))</f>
        <v>0.547398798228969</v>
      </c>
      <c r="F72" s="9" t="n">
        <v>34</v>
      </c>
      <c r="G72" s="9" t="n">
        <f aca="false">F72-H72</f>
        <v>34</v>
      </c>
      <c r="H72" s="9" t="n">
        <v>0</v>
      </c>
      <c r="I72" s="26"/>
      <c r="J72" s="0"/>
      <c r="K72" s="0"/>
      <c r="L72" s="0"/>
      <c r="M72" s="0"/>
      <c r="N72" s="0"/>
      <c r="O72" s="0"/>
      <c r="P72" s="141"/>
      <c r="Q72" s="142"/>
      <c r="R72" s="142"/>
      <c r="S72" s="142"/>
      <c r="T72" s="143"/>
      <c r="U72" s="142"/>
      <c r="V72" s="142"/>
      <c r="W72" s="142"/>
      <c r="X72" s="143"/>
      <c r="Y72" s="142"/>
      <c r="Z72" s="142"/>
      <c r="AA72" s="142"/>
      <c r="AB72" s="143"/>
      <c r="AC72" s="0"/>
      <c r="AD72" s="141"/>
      <c r="AE72" s="142"/>
      <c r="AF72" s="142"/>
      <c r="AG72" s="142"/>
      <c r="AH72" s="143"/>
      <c r="AI72" s="142"/>
      <c r="AJ72" s="142"/>
      <c r="AK72" s="142"/>
      <c r="AL72" s="143"/>
      <c r="AM72" s="142"/>
      <c r="AN72" s="142"/>
      <c r="AO72" s="146" t="n">
        <v>8940</v>
      </c>
      <c r="AP72" s="155" t="n">
        <f aca="false">SUM(AM72:AO72)</f>
        <v>8940</v>
      </c>
      <c r="AQ72" s="103"/>
    </row>
    <row r="73" customFormat="false" ht="13.5" hidden="false" customHeight="true" outlineLevel="0" collapsed="false">
      <c r="A73" s="0" t="n">
        <v>30</v>
      </c>
      <c r="B73" s="34" t="n">
        <v>38808</v>
      </c>
      <c r="C73" s="9" t="n">
        <v>8191</v>
      </c>
      <c r="D73" s="29" t="s">
        <v>42</v>
      </c>
      <c r="E73" s="33" t="n">
        <f aca="false">IF(D73="totale",(C73/(A73*24))/F73,IF(D73="marché libre",(C73/(A73*24))/G73,"spécifier histo"))</f>
        <v>0.334599673202614</v>
      </c>
      <c r="F73" s="9" t="n">
        <v>34</v>
      </c>
      <c r="G73" s="9" t="n">
        <f aca="false">F73-H73</f>
        <v>34</v>
      </c>
      <c r="H73" s="9" t="n">
        <v>0</v>
      </c>
      <c r="I73" s="26"/>
      <c r="J73" s="0"/>
      <c r="K73" s="0"/>
      <c r="L73" s="0"/>
      <c r="M73" s="0"/>
      <c r="N73" s="0"/>
      <c r="O73" s="0"/>
      <c r="P73" s="144"/>
      <c r="Q73" s="143"/>
      <c r="R73" s="143"/>
      <c r="S73" s="143"/>
      <c r="T73" s="143"/>
      <c r="U73" s="143"/>
      <c r="V73" s="143"/>
      <c r="W73" s="143"/>
      <c r="X73" s="143"/>
      <c r="Y73" s="143"/>
      <c r="Z73" s="143"/>
      <c r="AA73" s="143"/>
      <c r="AB73" s="143"/>
      <c r="AC73" s="0"/>
      <c r="AD73" s="141"/>
      <c r="AE73" s="142"/>
      <c r="AF73" s="142"/>
      <c r="AG73" s="142"/>
      <c r="AH73" s="143"/>
      <c r="AI73" s="142"/>
      <c r="AJ73" s="142"/>
      <c r="AK73" s="142"/>
      <c r="AL73" s="143"/>
      <c r="AM73" s="142"/>
      <c r="AN73" s="142"/>
      <c r="AO73" s="146" t="n">
        <v>8893</v>
      </c>
      <c r="AP73" s="155" t="n">
        <f aca="false">SUM(AM73:AO73)</f>
        <v>8893</v>
      </c>
      <c r="AQ73" s="103"/>
    </row>
    <row r="74" customFormat="false" ht="13.5" hidden="false" customHeight="true" outlineLevel="0" collapsed="false">
      <c r="A74" s="0" t="n">
        <v>31</v>
      </c>
      <c r="B74" s="31" t="n">
        <v>38838</v>
      </c>
      <c r="C74" s="26" t="n">
        <v>0</v>
      </c>
      <c r="D74" s="29" t="s">
        <v>42</v>
      </c>
      <c r="E74" s="33" t="n">
        <f aca="false">IF(D74="totale",(C81/(A74*24))/F74,IF(D74="marché libre",(C81/(A74*24))/G74,"spécifier histo"))</f>
        <v>0.377253320683112</v>
      </c>
      <c r="F74" s="9" t="n">
        <v>34</v>
      </c>
      <c r="G74" s="9" t="n">
        <f aca="false">F74-H74</f>
        <v>34</v>
      </c>
      <c r="H74" s="9" t="n">
        <v>0</v>
      </c>
      <c r="I74" s="26"/>
      <c r="J74" s="103"/>
      <c r="K74" s="0"/>
      <c r="P74" s="103"/>
      <c r="Q74" s="0"/>
      <c r="V74" s="0"/>
      <c r="W74" s="0"/>
      <c r="X74" s="0"/>
      <c r="AC74" s="0"/>
      <c r="AD74" s="141"/>
      <c r="AE74" s="142"/>
      <c r="AF74" s="142"/>
      <c r="AG74" s="142"/>
      <c r="AH74" s="143"/>
      <c r="AI74" s="142"/>
      <c r="AJ74" s="142"/>
      <c r="AK74" s="142"/>
      <c r="AL74" s="143"/>
      <c r="AM74" s="142"/>
      <c r="AN74" s="142"/>
      <c r="AO74" s="146" t="n">
        <v>10555</v>
      </c>
      <c r="AP74" s="155" t="n">
        <f aca="false">SUM(AM74:AO74)</f>
        <v>10555</v>
      </c>
      <c r="AQ74" s="103"/>
    </row>
    <row r="75" customFormat="false" ht="13.5" hidden="false" customHeight="true" outlineLevel="0" collapsed="false">
      <c r="A75" s="0" t="n">
        <v>30</v>
      </c>
      <c r="B75" s="34" t="n">
        <v>38869</v>
      </c>
      <c r="C75" s="26" t="n">
        <v>0</v>
      </c>
      <c r="D75" s="29" t="s">
        <v>42</v>
      </c>
      <c r="E75" s="33" t="n">
        <f aca="false">IF(D75="totale",(C82/(A75*24))/F75,IF(D75="marché libre",(C82/(A75*24))/G75,"spécifier histo"))</f>
        <v>0.374795751633987</v>
      </c>
      <c r="F75" s="9" t="n">
        <v>34</v>
      </c>
      <c r="G75" s="9" t="n">
        <f aca="false">F75-H75</f>
        <v>34</v>
      </c>
      <c r="H75" s="9" t="n">
        <v>0</v>
      </c>
      <c r="I75" s="26"/>
      <c r="J75" s="103"/>
      <c r="K75" s="0"/>
      <c r="P75" s="103"/>
      <c r="Q75" s="0"/>
      <c r="V75" s="0"/>
      <c r="X75" s="0"/>
      <c r="AC75" s="0"/>
      <c r="AD75" s="141"/>
      <c r="AE75" s="142"/>
      <c r="AF75" s="142"/>
      <c r="AG75" s="142"/>
      <c r="AH75" s="143"/>
      <c r="AI75" s="142"/>
      <c r="AJ75" s="142"/>
      <c r="AK75" s="142"/>
      <c r="AL75" s="143"/>
      <c r="AM75" s="142"/>
      <c r="AN75" s="142"/>
      <c r="AO75" s="146" t="n">
        <v>6289</v>
      </c>
      <c r="AP75" s="155" t="n">
        <f aca="false">SUM(AM75:AO75)</f>
        <v>6289</v>
      </c>
      <c r="AQ75" s="103"/>
    </row>
    <row r="76" customFormat="false" ht="13.5" hidden="false" customHeight="true" outlineLevel="0" collapsed="false">
      <c r="A76" s="0" t="n">
        <v>31</v>
      </c>
      <c r="B76" s="31" t="n">
        <v>38899</v>
      </c>
      <c r="C76" s="26" t="n">
        <v>0</v>
      </c>
      <c r="D76" s="29" t="s">
        <v>42</v>
      </c>
      <c r="E76" s="33" t="n">
        <f aca="false">IF(D76="totale",(C76/(A76*24))/F76,IF(D76="marché libre",(C76/(A76*24))/G76,"spécifier histo"))</f>
        <v>0</v>
      </c>
      <c r="F76" s="9" t="n">
        <v>34</v>
      </c>
      <c r="G76" s="9" t="n">
        <f aca="false">F76-H76</f>
        <v>34</v>
      </c>
      <c r="H76" s="9" t="n">
        <v>0</v>
      </c>
      <c r="I76" s="26"/>
      <c r="J76" s="103"/>
      <c r="K76" s="0"/>
      <c r="P76" s="0"/>
      <c r="R76" s="0"/>
      <c r="Y76" s="0"/>
      <c r="AB76" s="0"/>
      <c r="AC76" s="0"/>
      <c r="AD76" s="141"/>
      <c r="AE76" s="142"/>
      <c r="AF76" s="142"/>
      <c r="AG76" s="142"/>
      <c r="AH76" s="143"/>
      <c r="AI76" s="142"/>
      <c r="AJ76" s="142"/>
      <c r="AK76" s="142"/>
      <c r="AL76" s="143"/>
      <c r="AM76" s="142"/>
      <c r="AN76" s="142"/>
      <c r="AO76" s="146" t="n">
        <v>6997</v>
      </c>
      <c r="AP76" s="155" t="n">
        <f aca="false">SUM(AM76:AO76)</f>
        <v>6997</v>
      </c>
      <c r="AQ76" s="103"/>
    </row>
    <row r="77" customFormat="false" ht="13.5" hidden="false" customHeight="true" outlineLevel="0" collapsed="false">
      <c r="A77" s="0" t="n">
        <v>31</v>
      </c>
      <c r="B77" s="34" t="n">
        <v>38930</v>
      </c>
      <c r="C77" s="26" t="n">
        <v>0</v>
      </c>
      <c r="D77" s="29" t="s">
        <v>42</v>
      </c>
      <c r="E77" s="33" t="n">
        <f aca="false">IF(D77="totale",(C77/(A77*24))/F77,IF(D77="marché libre",(C77/(A77*24))/G77,"spécifier histo"))</f>
        <v>0</v>
      </c>
      <c r="F77" s="9" t="n">
        <v>34</v>
      </c>
      <c r="G77" s="9" t="n">
        <f aca="false">F77-H77</f>
        <v>34</v>
      </c>
      <c r="H77" s="9" t="n">
        <v>0</v>
      </c>
      <c r="I77" s="26"/>
      <c r="J77" s="103"/>
      <c r="K77" s="0"/>
      <c r="P77" s="0"/>
      <c r="R77" s="0"/>
      <c r="Y77" s="0"/>
      <c r="AB77" s="0"/>
      <c r="AC77" s="0"/>
      <c r="AD77" s="141"/>
      <c r="AE77" s="142"/>
      <c r="AF77" s="142"/>
      <c r="AG77" s="142"/>
      <c r="AH77" s="143"/>
      <c r="AI77" s="142"/>
      <c r="AJ77" s="142"/>
      <c r="AK77" s="142"/>
      <c r="AL77" s="143"/>
      <c r="AM77" s="142"/>
      <c r="AN77" s="142"/>
      <c r="AO77" s="146" t="n">
        <v>4747</v>
      </c>
      <c r="AP77" s="155" t="n">
        <f aca="false">SUM(AM77:AO77)</f>
        <v>4747</v>
      </c>
      <c r="AQ77" s="103"/>
    </row>
    <row r="78" customFormat="false" ht="13.5" hidden="false" customHeight="true" outlineLevel="0" collapsed="false">
      <c r="A78" s="0" t="n">
        <v>30</v>
      </c>
      <c r="B78" s="31" t="n">
        <v>38961</v>
      </c>
      <c r="C78" s="26" t="n">
        <v>0</v>
      </c>
      <c r="D78" s="29" t="s">
        <v>42</v>
      </c>
      <c r="E78" s="33" t="n">
        <f aca="false">IF(D78="totale",(C78/(A78*24))/F78,IF(D78="marché libre",(C78/(A78*24))/G78,"spécifier histo"))</f>
        <v>0</v>
      </c>
      <c r="F78" s="9" t="n">
        <v>34</v>
      </c>
      <c r="G78" s="9" t="n">
        <f aca="false">F78-H78</f>
        <v>34</v>
      </c>
      <c r="H78" s="9" t="n">
        <v>0</v>
      </c>
      <c r="I78" s="26"/>
      <c r="J78" s="103"/>
      <c r="K78" s="0"/>
      <c r="P78" s="0"/>
      <c r="R78" s="0"/>
      <c r="Y78" s="0"/>
      <c r="AB78" s="0"/>
      <c r="AC78" s="0"/>
      <c r="AD78" s="141"/>
      <c r="AE78" s="142"/>
      <c r="AF78" s="142"/>
      <c r="AG78" s="142"/>
      <c r="AH78" s="143"/>
      <c r="AI78" s="142"/>
      <c r="AJ78" s="142"/>
      <c r="AK78" s="142"/>
      <c r="AL78" s="143"/>
      <c r="AM78" s="142"/>
      <c r="AN78" s="142"/>
      <c r="AO78" s="146" t="n">
        <v>7822</v>
      </c>
      <c r="AP78" s="155" t="n">
        <f aca="false">SUM(AM78:AO78)</f>
        <v>7822</v>
      </c>
      <c r="AQ78" s="103"/>
    </row>
    <row r="79" customFormat="false" ht="13.5" hidden="false" customHeight="true" outlineLevel="0" collapsed="false">
      <c r="A79" s="0" t="n">
        <v>31</v>
      </c>
      <c r="B79" s="34" t="n">
        <v>38991</v>
      </c>
      <c r="C79" s="26" t="n">
        <v>0</v>
      </c>
      <c r="D79" s="29" t="s">
        <v>42</v>
      </c>
      <c r="E79" s="33" t="n">
        <f aca="false">IF(D79="totale",(C79/(A79*24))/F79,IF(D79="marché libre",(C79/(A79*24))/G79,"spécifier histo"))</f>
        <v>0</v>
      </c>
      <c r="F79" s="9" t="n">
        <v>34</v>
      </c>
      <c r="G79" s="9" t="n">
        <f aca="false">F79-H79</f>
        <v>34</v>
      </c>
      <c r="H79" s="9" t="n">
        <v>0</v>
      </c>
      <c r="I79" s="26"/>
      <c r="J79" s="103"/>
      <c r="K79" s="0"/>
      <c r="P79" s="0"/>
      <c r="R79" s="0"/>
      <c r="Y79" s="0"/>
      <c r="AB79" s="0"/>
      <c r="AC79" s="0"/>
      <c r="AD79" s="141"/>
      <c r="AE79" s="142"/>
      <c r="AF79" s="142"/>
      <c r="AG79" s="142"/>
      <c r="AH79" s="143"/>
      <c r="AI79" s="142"/>
      <c r="AJ79" s="142"/>
      <c r="AK79" s="142"/>
      <c r="AL79" s="143"/>
      <c r="AM79" s="142"/>
      <c r="AN79" s="142"/>
      <c r="AO79" s="148" t="n">
        <v>1996</v>
      </c>
      <c r="AP79" s="157" t="n">
        <f aca="false">SUM(AM79:AO79)</f>
        <v>1996</v>
      </c>
      <c r="AQ79" s="103"/>
    </row>
    <row r="80" customFormat="false" ht="13.5" hidden="false" customHeight="true" outlineLevel="0" collapsed="false">
      <c r="A80" s="0" t="n">
        <v>30</v>
      </c>
      <c r="B80" s="31" t="n">
        <v>39022</v>
      </c>
      <c r="C80" s="26" t="n">
        <v>0</v>
      </c>
      <c r="D80" s="29" t="s">
        <v>42</v>
      </c>
      <c r="E80" s="33" t="n">
        <f aca="false">IF(D80="totale",(C80/(A80*24))/F80,IF(D80="marché libre",(C80/(A80*24))/G80,"spécifier histo"))</f>
        <v>0</v>
      </c>
      <c r="F80" s="9" t="n">
        <v>34</v>
      </c>
      <c r="G80" s="9" t="n">
        <f aca="false">F80-H80</f>
        <v>34</v>
      </c>
      <c r="H80" s="9" t="n">
        <v>0</v>
      </c>
      <c r="I80" s="26"/>
      <c r="J80" s="103"/>
      <c r="K80" s="0"/>
      <c r="P80" s="0"/>
      <c r="R80" s="0"/>
      <c r="Y80" s="0"/>
      <c r="AB80" s="0"/>
      <c r="AC80" s="0"/>
      <c r="AD80" s="144"/>
      <c r="AE80" s="143"/>
      <c r="AF80" s="143"/>
      <c r="AG80" s="143"/>
      <c r="AH80" s="143"/>
      <c r="AI80" s="143"/>
      <c r="AJ80" s="143"/>
      <c r="AK80" s="143"/>
      <c r="AL80" s="143"/>
      <c r="AM80" s="143"/>
      <c r="AN80" s="143"/>
      <c r="AO80" s="151" t="n">
        <f aca="false">SUM(AO68:AO79)</f>
        <v>75083</v>
      </c>
      <c r="AP80" s="158" t="n">
        <f aca="false">SUM(AM80:AO80)</f>
        <v>75083</v>
      </c>
      <c r="AQ80" s="103"/>
    </row>
    <row r="81" customFormat="false" ht="13.5" hidden="false" customHeight="true" outlineLevel="0" collapsed="false">
      <c r="A81" s="0" t="n">
        <v>31</v>
      </c>
      <c r="B81" s="34" t="n">
        <v>39052</v>
      </c>
      <c r="C81" s="9" t="n">
        <v>9543</v>
      </c>
      <c r="D81" s="29" t="s">
        <v>42</v>
      </c>
      <c r="E81" s="33" t="n">
        <f aca="false">IF(D81="totale",(C81/(A81*24))/F81,IF(D81="marché libre",(C81/(A81*24))/G81,"spécifier histo"))</f>
        <v>0.377253320683112</v>
      </c>
      <c r="F81" s="9" t="n">
        <v>34</v>
      </c>
      <c r="G81" s="9" t="n">
        <f aca="false">F81-H81</f>
        <v>34</v>
      </c>
      <c r="H81" s="9" t="n">
        <v>0</v>
      </c>
      <c r="I81" s="26"/>
      <c r="J81" s="103"/>
      <c r="K81" s="103"/>
      <c r="P81" s="0"/>
      <c r="R81" s="0"/>
      <c r="Y81" s="0"/>
      <c r="AC81" s="0"/>
      <c r="AD81" s="0"/>
      <c r="AE81" s="0"/>
      <c r="AF81" s="0"/>
      <c r="AG81" s="0"/>
      <c r="AH81" s="0"/>
      <c r="AI81" s="0"/>
      <c r="AJ81" s="0"/>
      <c r="AK81" s="0"/>
      <c r="AL81" s="0"/>
      <c r="AM81" s="0"/>
      <c r="AN81" s="0"/>
      <c r="AO81" s="0"/>
      <c r="AP81" s="0"/>
      <c r="AQ81" s="103"/>
    </row>
    <row r="82" customFormat="false" ht="13.5" hidden="false" customHeight="true" outlineLevel="0" collapsed="false">
      <c r="A82" s="0" t="n">
        <v>31</v>
      </c>
      <c r="B82" s="31" t="n">
        <v>39083</v>
      </c>
      <c r="C82" s="9" t="n">
        <v>9175</v>
      </c>
      <c r="D82" s="29" t="s">
        <v>42</v>
      </c>
      <c r="E82" s="33" t="n">
        <f aca="false">IF(D82="totale",(C82/(A82*24))/F82,IF(D82="marché libre",(C82/(A82*24))/G82,"spécifier histo"))</f>
        <v>0.362705566097407</v>
      </c>
      <c r="F82" s="9" t="n">
        <v>34</v>
      </c>
      <c r="G82" s="9" t="n">
        <f aca="false">F82-H82</f>
        <v>34</v>
      </c>
      <c r="H82" s="9" t="n">
        <v>0</v>
      </c>
      <c r="I82" s="26"/>
      <c r="J82" s="103"/>
      <c r="K82" s="103"/>
      <c r="P82" s="0"/>
      <c r="R82" s="0"/>
      <c r="Y82" s="0"/>
      <c r="AC82" s="0"/>
      <c r="AD82" s="144"/>
      <c r="AE82" s="144"/>
      <c r="AF82" s="144"/>
      <c r="AG82" s="144"/>
      <c r="AH82" s="144"/>
      <c r="AI82" s="144"/>
      <c r="AJ82" s="144"/>
      <c r="AK82" s="144"/>
      <c r="AL82" s="144"/>
      <c r="AM82" s="0"/>
      <c r="AN82" s="0"/>
      <c r="AO82" s="0"/>
      <c r="AP82" s="0"/>
      <c r="AQ82" s="103"/>
    </row>
    <row r="83" customFormat="false" ht="13.5" hidden="false" customHeight="true" outlineLevel="0" collapsed="false">
      <c r="A83" s="0" t="n">
        <v>28</v>
      </c>
      <c r="B83" s="34" t="n">
        <v>39114</v>
      </c>
      <c r="C83" s="9" t="n">
        <v>9252</v>
      </c>
      <c r="D83" s="29" t="s">
        <v>42</v>
      </c>
      <c r="E83" s="33" t="n">
        <f aca="false">IF(D83="totale",(C83/(A83*24))/F83,IF(D83="marché libre",(C83/(A83*24))/G83,"spécifier histo"))</f>
        <v>0.404936974789916</v>
      </c>
      <c r="F83" s="9" t="n">
        <v>34</v>
      </c>
      <c r="G83" s="9" t="n">
        <f aca="false">F83-H83</f>
        <v>34</v>
      </c>
      <c r="H83" s="9" t="n">
        <v>0</v>
      </c>
      <c r="I83" s="26"/>
      <c r="J83" s="103"/>
      <c r="K83" s="103"/>
      <c r="P83" s="0"/>
      <c r="R83" s="0"/>
      <c r="Y83" s="0"/>
      <c r="AC83" s="0"/>
      <c r="AD83" s="0"/>
      <c r="AE83" s="0"/>
      <c r="AF83" s="0"/>
      <c r="AG83" s="0"/>
      <c r="AH83" s="0"/>
      <c r="AI83" s="0"/>
      <c r="AJ83" s="0"/>
      <c r="AK83" s="0"/>
      <c r="AL83" s="0"/>
      <c r="AM83" s="0"/>
      <c r="AN83" s="0"/>
      <c r="AO83" s="0"/>
      <c r="AP83" s="0"/>
    </row>
    <row r="84" customFormat="false" ht="13.5" hidden="false" customHeight="true" outlineLevel="0" collapsed="false">
      <c r="A84" s="0" t="n">
        <v>31</v>
      </c>
      <c r="B84" s="31" t="n">
        <v>39142</v>
      </c>
      <c r="C84" s="9" t="n">
        <v>13223</v>
      </c>
      <c r="D84" s="29" t="s">
        <v>42</v>
      </c>
      <c r="E84" s="33" t="n">
        <f aca="false">IF(D84="totale",(C84/(A84*24))/F84,IF(D84="marché libre",(C84/(A84*24))/G84,"spécifier histo"))</f>
        <v>0.522730866540164</v>
      </c>
      <c r="F84" s="9" t="n">
        <v>34</v>
      </c>
      <c r="G84" s="9" t="n">
        <f aca="false">F84-H84</f>
        <v>34</v>
      </c>
      <c r="H84" s="9" t="n">
        <v>0</v>
      </c>
      <c r="I84" s="26"/>
      <c r="J84" s="103"/>
      <c r="K84" s="103"/>
      <c r="P84" s="0"/>
      <c r="R84" s="0"/>
      <c r="Y84" s="0"/>
      <c r="AC84" s="0"/>
      <c r="AD84" s="145"/>
      <c r="AE84" s="144"/>
      <c r="AF84" s="144"/>
      <c r="AG84" s="144"/>
      <c r="AH84" s="144"/>
      <c r="AI84" s="144"/>
      <c r="AJ84" s="144"/>
      <c r="AK84" s="144"/>
      <c r="AL84" s="144"/>
      <c r="AM84" s="144"/>
      <c r="AN84" s="144"/>
      <c r="AO84" s="144"/>
      <c r="AP84" s="144"/>
    </row>
    <row r="85" customFormat="false" ht="13.5" hidden="false" customHeight="true" outlineLevel="0" collapsed="false">
      <c r="A85" s="0" t="n">
        <v>30</v>
      </c>
      <c r="B85" s="34" t="n">
        <v>39173</v>
      </c>
      <c r="C85" s="9" t="n">
        <v>8545</v>
      </c>
      <c r="D85" s="29" t="s">
        <v>42</v>
      </c>
      <c r="E85" s="33" t="n">
        <f aca="false">IF(D85="totale",(C85/(A85*24))/F85,IF(D85="marché libre",(C85/(A85*24))/G85,"spécifier histo"))</f>
        <v>0.34906045751634</v>
      </c>
      <c r="F85" s="9" t="n">
        <v>34</v>
      </c>
      <c r="G85" s="9" t="n">
        <f aca="false">F85-H85</f>
        <v>34</v>
      </c>
      <c r="H85" s="9" t="n">
        <v>0</v>
      </c>
      <c r="I85" s="26"/>
      <c r="J85" s="103"/>
      <c r="K85" s="103"/>
      <c r="P85" s="0"/>
      <c r="R85" s="0"/>
      <c r="Y85" s="0"/>
      <c r="AD85" s="145"/>
      <c r="AG85" s="0"/>
      <c r="AJ85" s="0"/>
    </row>
    <row r="86" customFormat="false" ht="13.5" hidden="false" customHeight="true" outlineLevel="0" collapsed="false">
      <c r="A86" s="0" t="n">
        <v>31</v>
      </c>
      <c r="B86" s="31" t="n">
        <v>39203</v>
      </c>
      <c r="C86" s="26" t="n">
        <v>0</v>
      </c>
      <c r="D86" s="29" t="s">
        <v>42</v>
      </c>
      <c r="E86" s="33" t="n">
        <f aca="false">IF(D86="totale",(C93/(A86*24))/F86,IF(D86="marché libre",(C93/(A86*24))/G86,"spécifier histo"))</f>
        <v>0.571869070208729</v>
      </c>
      <c r="F86" s="9" t="n">
        <v>34</v>
      </c>
      <c r="G86" s="9" t="n">
        <f aca="false">F86-H86</f>
        <v>34</v>
      </c>
      <c r="H86" s="9" t="n">
        <v>0</v>
      </c>
      <c r="I86" s="26"/>
      <c r="J86" s="103"/>
      <c r="K86" s="103"/>
      <c r="P86" s="0"/>
      <c r="R86" s="0"/>
      <c r="Y86" s="0"/>
      <c r="AD86" s="0"/>
      <c r="AG86" s="0"/>
      <c r="AJ86" s="0"/>
    </row>
    <row r="87" customFormat="false" ht="13.5" hidden="false" customHeight="true" outlineLevel="0" collapsed="false">
      <c r="A87" s="0" t="n">
        <v>30</v>
      </c>
      <c r="B87" s="34" t="n">
        <v>39234</v>
      </c>
      <c r="C87" s="26" t="n">
        <v>0</v>
      </c>
      <c r="D87" s="29" t="s">
        <v>42</v>
      </c>
      <c r="E87" s="33" t="n">
        <f aca="false">IF(D87="totale",(C94/(A87*24))/F87,IF(D87="marché libre",(C94/(A87*24))/G87,"spécifier histo"))</f>
        <v>0.437745098039216</v>
      </c>
      <c r="F87" s="9" t="n">
        <v>34</v>
      </c>
      <c r="G87" s="9" t="n">
        <f aca="false">F87-H87</f>
        <v>34</v>
      </c>
      <c r="H87" s="9" t="n">
        <v>0</v>
      </c>
      <c r="I87" s="26"/>
      <c r="J87" s="103"/>
      <c r="K87" s="103"/>
      <c r="P87" s="0"/>
      <c r="R87" s="0"/>
      <c r="Y87" s="0"/>
      <c r="AD87" s="0"/>
      <c r="AG87" s="0"/>
      <c r="AJ87" s="0"/>
    </row>
    <row r="88" customFormat="false" ht="13.5" hidden="false" customHeight="true" outlineLevel="0" collapsed="false">
      <c r="A88" s="0" t="n">
        <v>31</v>
      </c>
      <c r="B88" s="31" t="n">
        <v>39264</v>
      </c>
      <c r="C88" s="26" t="n">
        <v>0</v>
      </c>
      <c r="D88" s="29" t="s">
        <v>42</v>
      </c>
      <c r="E88" s="33" t="n">
        <f aca="false">IF(D88="totale",(C88/(A88*24))/F88,IF(D88="marché libre",(C88/(A88*24))/G88,"spécifier histo"))</f>
        <v>0</v>
      </c>
      <c r="F88" s="9" t="n">
        <v>34</v>
      </c>
      <c r="G88" s="9" t="n">
        <f aca="false">F88-H88</f>
        <v>34</v>
      </c>
      <c r="H88" s="9" t="n">
        <v>0</v>
      </c>
      <c r="I88" s="26"/>
      <c r="J88" s="103"/>
      <c r="K88" s="103"/>
      <c r="P88" s="0"/>
      <c r="R88" s="0"/>
      <c r="Y88" s="0"/>
      <c r="AD88" s="0"/>
      <c r="AG88" s="0"/>
      <c r="AJ88" s="0"/>
    </row>
    <row r="89" customFormat="false" ht="13.5" hidden="false" customHeight="true" outlineLevel="0" collapsed="false">
      <c r="A89" s="0" t="n">
        <v>31</v>
      </c>
      <c r="B89" s="34" t="n">
        <v>39295</v>
      </c>
      <c r="C89" s="26" t="n">
        <v>0</v>
      </c>
      <c r="D89" s="29" t="s">
        <v>42</v>
      </c>
      <c r="E89" s="33" t="n">
        <f aca="false">IF(D89="totale",(C89/(A89*24))/F89,IF(D89="marché libre",(C89/(A89*24))/G89,"spécifier histo"))</f>
        <v>0</v>
      </c>
      <c r="F89" s="9" t="n">
        <v>34</v>
      </c>
      <c r="G89" s="9" t="n">
        <f aca="false">F89-H89</f>
        <v>34</v>
      </c>
      <c r="H89" s="9" t="n">
        <v>0</v>
      </c>
      <c r="I89" s="26"/>
      <c r="J89" s="103"/>
      <c r="K89" s="103"/>
      <c r="P89" s="0"/>
      <c r="R89" s="0"/>
      <c r="Y89" s="0"/>
      <c r="AD89" s="0"/>
      <c r="AG89" s="0"/>
      <c r="AJ89" s="0"/>
    </row>
    <row r="90" customFormat="false" ht="13.5" hidden="false" customHeight="true" outlineLevel="0" collapsed="false">
      <c r="A90" s="0" t="n">
        <v>30</v>
      </c>
      <c r="B90" s="31" t="n">
        <v>39326</v>
      </c>
      <c r="C90" s="26" t="n">
        <v>0</v>
      </c>
      <c r="D90" s="29" t="s">
        <v>42</v>
      </c>
      <c r="E90" s="33" t="n">
        <f aca="false">IF(D90="totale",(C90/(A90*24))/F90,IF(D90="marché libre",(C90/(A90*24))/G90,"spécifier histo"))</f>
        <v>0</v>
      </c>
      <c r="F90" s="9" t="n">
        <v>34</v>
      </c>
      <c r="G90" s="9" t="n">
        <f aca="false">F90-H90</f>
        <v>34</v>
      </c>
      <c r="H90" s="9" t="n">
        <v>0</v>
      </c>
      <c r="I90" s="26"/>
      <c r="J90" s="103"/>
      <c r="K90" s="103"/>
      <c r="P90" s="0"/>
      <c r="R90" s="0"/>
      <c r="Y90" s="0"/>
      <c r="AD90" s="0"/>
      <c r="AG90" s="0"/>
      <c r="AJ90" s="0"/>
    </row>
    <row r="91" customFormat="false" ht="13.5" hidden="false" customHeight="true" outlineLevel="0" collapsed="false">
      <c r="A91" s="0" t="n">
        <v>31</v>
      </c>
      <c r="B91" s="34" t="n">
        <v>39356</v>
      </c>
      <c r="C91" s="26" t="n">
        <v>0</v>
      </c>
      <c r="D91" s="29" t="s">
        <v>42</v>
      </c>
      <c r="E91" s="33" t="n">
        <f aca="false">IF(D91="totale",(C91/(A91*24))/F91,IF(D91="marché libre",(C91/(A91*24))/G91,"spécifier histo"))</f>
        <v>0</v>
      </c>
      <c r="F91" s="9" t="n">
        <v>34</v>
      </c>
      <c r="G91" s="9" t="n">
        <f aca="false">F91-H91</f>
        <v>34</v>
      </c>
      <c r="H91" s="9" t="n">
        <v>0</v>
      </c>
      <c r="I91" s="26"/>
      <c r="J91" s="103"/>
      <c r="K91" s="103"/>
      <c r="P91" s="0"/>
      <c r="R91" s="0"/>
      <c r="Y91" s="0"/>
      <c r="AD91" s="0"/>
      <c r="AG91" s="0"/>
      <c r="AJ91" s="0"/>
    </row>
    <row r="92" customFormat="false" ht="13.5" hidden="false" customHeight="true" outlineLevel="0" collapsed="false">
      <c r="A92" s="0" t="n">
        <v>30</v>
      </c>
      <c r="B92" s="31" t="n">
        <v>39387</v>
      </c>
      <c r="C92" s="26" t="n">
        <v>0</v>
      </c>
      <c r="D92" s="29" t="s">
        <v>42</v>
      </c>
      <c r="E92" s="33" t="n">
        <f aca="false">IF(D92="totale",(C92/(A92*24))/F92,IF(D92="marché libre",(C92/(A92*24))/G92,"spécifier histo"))</f>
        <v>0</v>
      </c>
      <c r="F92" s="9" t="n">
        <v>34</v>
      </c>
      <c r="G92" s="9" t="n">
        <f aca="false">F92-H92</f>
        <v>34</v>
      </c>
      <c r="H92" s="9" t="n">
        <v>0</v>
      </c>
      <c r="I92" s="26"/>
      <c r="J92" s="103"/>
      <c r="K92" s="103"/>
      <c r="P92" s="0"/>
      <c r="R92" s="0"/>
      <c r="Y92" s="0"/>
      <c r="AD92" s="0"/>
      <c r="AG92" s="0"/>
      <c r="AJ92" s="0"/>
    </row>
    <row r="93" customFormat="false" ht="13.5" hidden="false" customHeight="true" outlineLevel="0" collapsed="false">
      <c r="A93" s="0" t="n">
        <v>31</v>
      </c>
      <c r="B93" s="34" t="n">
        <v>39417</v>
      </c>
      <c r="C93" s="9" t="n">
        <v>14466</v>
      </c>
      <c r="D93" s="29" t="s">
        <v>42</v>
      </c>
      <c r="E93" s="33" t="n">
        <f aca="false">IF(D93="totale",(C93/(A93*24))/F93,IF(D93="marché libre",(C93/(A93*24))/G93,"spécifier histo"))</f>
        <v>0.571869070208729</v>
      </c>
      <c r="F93" s="9" t="n">
        <v>34</v>
      </c>
      <c r="G93" s="9" t="n">
        <f aca="false">F93-H93</f>
        <v>34</v>
      </c>
      <c r="H93" s="9" t="n">
        <v>0</v>
      </c>
      <c r="I93" s="26"/>
      <c r="J93" s="103"/>
      <c r="K93" s="103"/>
      <c r="P93" s="0"/>
      <c r="Y93" s="0"/>
      <c r="AD93" s="0"/>
      <c r="AG93" s="0"/>
      <c r="AJ93" s="0"/>
    </row>
    <row r="94" customFormat="false" ht="13.5" hidden="false" customHeight="true" outlineLevel="0" collapsed="false">
      <c r="A94" s="0" t="n">
        <v>31</v>
      </c>
      <c r="B94" s="31" t="n">
        <v>39448</v>
      </c>
      <c r="C94" s="9" t="n">
        <v>10716</v>
      </c>
      <c r="D94" s="29" t="s">
        <v>42</v>
      </c>
      <c r="E94" s="33" t="n">
        <f aca="false">IF(D94="totale",(C94/(A94*24))/F94,IF(D94="marché libre",(C94/(A94*24))/G94,"spécifier histo"))</f>
        <v>0.423624288425047</v>
      </c>
      <c r="F94" s="9" t="n">
        <v>34</v>
      </c>
      <c r="G94" s="9" t="n">
        <f aca="false">F94-H94</f>
        <v>34</v>
      </c>
      <c r="H94" s="9" t="n">
        <v>0</v>
      </c>
      <c r="I94" s="26"/>
      <c r="J94" s="103"/>
      <c r="K94" s="103"/>
      <c r="P94" s="0"/>
      <c r="Y94" s="0"/>
      <c r="AG94" s="0"/>
      <c r="AJ94" s="0"/>
    </row>
    <row r="95" customFormat="false" ht="13.5" hidden="false" customHeight="true" outlineLevel="0" collapsed="false">
      <c r="A95" s="0" t="n">
        <v>28</v>
      </c>
      <c r="B95" s="34" t="n">
        <v>39479</v>
      </c>
      <c r="C95" s="9" t="n">
        <v>12878</v>
      </c>
      <c r="D95" s="29" t="s">
        <v>42</v>
      </c>
      <c r="E95" s="33" t="n">
        <f aca="false">IF(D95="totale",(C95/(A95*24))/F95,IF(D95="marché libre",(C95/(A95*24))/G95,"spécifier histo"))</f>
        <v>0.563637955182073</v>
      </c>
      <c r="F95" s="9" t="n">
        <v>34</v>
      </c>
      <c r="G95" s="9" t="n">
        <f aca="false">F95-H95</f>
        <v>34</v>
      </c>
      <c r="H95" s="9" t="n">
        <v>0</v>
      </c>
      <c r="I95" s="26"/>
      <c r="J95" s="103"/>
      <c r="K95" s="103"/>
      <c r="P95" s="0"/>
      <c r="Y95" s="0"/>
      <c r="AG95" s="0"/>
      <c r="AJ95" s="0"/>
    </row>
    <row r="96" customFormat="false" ht="13.5" hidden="false" customHeight="true" outlineLevel="0" collapsed="false">
      <c r="A96" s="0" t="n">
        <v>31</v>
      </c>
      <c r="B96" s="31" t="n">
        <v>39508</v>
      </c>
      <c r="C96" s="9" t="n">
        <v>11811</v>
      </c>
      <c r="D96" s="29" t="s">
        <v>42</v>
      </c>
      <c r="E96" s="33" t="n">
        <f aca="false">IF(D96="totale",(C96/(A96*24))/F96,IF(D96="marché libre",(C96/(A96*24))/G96,"spécifier histo"))</f>
        <v>0.466911764705882</v>
      </c>
      <c r="F96" s="9" t="n">
        <v>34</v>
      </c>
      <c r="G96" s="9" t="n">
        <f aca="false">F96-H96</f>
        <v>34</v>
      </c>
      <c r="H96" s="9" t="n">
        <v>0</v>
      </c>
      <c r="I96" s="26"/>
      <c r="J96" s="103"/>
      <c r="K96" s="103"/>
      <c r="P96" s="0"/>
      <c r="Y96" s="0"/>
      <c r="AG96" s="0"/>
      <c r="AJ96" s="0"/>
    </row>
    <row r="97" customFormat="false" ht="13.5" hidden="false" customHeight="true" outlineLevel="0" collapsed="false">
      <c r="A97" s="0" t="n">
        <v>30</v>
      </c>
      <c r="B97" s="34" t="n">
        <v>39539</v>
      </c>
      <c r="C97" s="9" t="n">
        <v>10815</v>
      </c>
      <c r="D97" s="29" t="s">
        <v>42</v>
      </c>
      <c r="E97" s="33" t="n">
        <f aca="false">IF(D97="totale",(C97/(A97*24))/F97,IF(D97="marché libre",(C97/(A97*24))/G97,"spécifier histo"))</f>
        <v>0.441789215686275</v>
      </c>
      <c r="F97" s="9" t="n">
        <v>34</v>
      </c>
      <c r="G97" s="9" t="n">
        <f aca="false">F97-H97</f>
        <v>34</v>
      </c>
      <c r="H97" s="9" t="n">
        <v>0</v>
      </c>
      <c r="I97" s="26"/>
      <c r="J97" s="103"/>
      <c r="K97" s="103"/>
      <c r="P97" s="0"/>
      <c r="Y97" s="0"/>
      <c r="AG97" s="0"/>
      <c r="AJ97" s="0"/>
    </row>
    <row r="98" customFormat="false" ht="13.5" hidden="false" customHeight="true" outlineLevel="0" collapsed="false">
      <c r="A98" s="0" t="n">
        <v>31</v>
      </c>
      <c r="B98" s="31" t="n">
        <v>39569</v>
      </c>
      <c r="C98" s="9" t="n">
        <v>4153</v>
      </c>
      <c r="D98" s="29" t="s">
        <v>42</v>
      </c>
      <c r="E98" s="33" t="n">
        <f aca="false">IF(D98="totale",(C98/(A98*24))/F98,IF(D98="marché libre",(C98/(A98*24))/G98,"spécifier histo"))</f>
        <v>0.164176154332701</v>
      </c>
      <c r="F98" s="9" t="n">
        <v>34</v>
      </c>
      <c r="G98" s="9" t="n">
        <f aca="false">F98-H98</f>
        <v>34</v>
      </c>
      <c r="H98" s="9" t="n">
        <v>0</v>
      </c>
      <c r="I98" s="26"/>
      <c r="J98" s="103"/>
      <c r="K98" s="103"/>
      <c r="P98" s="0"/>
      <c r="Y98" s="0"/>
      <c r="AG98" s="0"/>
      <c r="AJ98" s="0"/>
    </row>
    <row r="99" customFormat="false" ht="13.5" hidden="false" customHeight="true" outlineLevel="0" collapsed="false">
      <c r="A99" s="0" t="n">
        <v>30</v>
      </c>
      <c r="B99" s="34" t="n">
        <v>39600</v>
      </c>
      <c r="C99" s="26" t="n">
        <v>0</v>
      </c>
      <c r="D99" s="29" t="s">
        <v>42</v>
      </c>
      <c r="E99" s="33" t="n">
        <f aca="false">IF(D99="totale",(C105/(A99*24))/F99,IF(D99="marché libre",(C105/(A99*24))/G99,"spécifier histo"))</f>
        <v>0.351266339869281</v>
      </c>
      <c r="F99" s="9" t="n">
        <v>34</v>
      </c>
      <c r="G99" s="9" t="n">
        <f aca="false">F99-H99</f>
        <v>34</v>
      </c>
      <c r="H99" s="9" t="n">
        <v>0</v>
      </c>
      <c r="I99" s="26"/>
      <c r="J99" s="103"/>
      <c r="K99" s="103"/>
      <c r="P99" s="0"/>
      <c r="Y99" s="0"/>
      <c r="AG99" s="0"/>
      <c r="AJ99" s="0"/>
    </row>
    <row r="100" customFormat="false" ht="13.5" hidden="false" customHeight="true" outlineLevel="0" collapsed="false">
      <c r="A100" s="0" t="n">
        <v>31</v>
      </c>
      <c r="B100" s="31" t="n">
        <v>39630</v>
      </c>
      <c r="C100" s="26" t="n">
        <v>0</v>
      </c>
      <c r="D100" s="29" t="s">
        <v>42</v>
      </c>
      <c r="E100" s="33" t="n">
        <f aca="false">IF(D100="totale",(C106/(A100*24))/F100,IF(D100="marché libre",(C106/(A100*24))/G100,"spécifier histo"))</f>
        <v>0.261701454775459</v>
      </c>
      <c r="F100" s="9" t="n">
        <v>34</v>
      </c>
      <c r="G100" s="9" t="n">
        <f aca="false">F100-H100</f>
        <v>34</v>
      </c>
      <c r="H100" s="9" t="n">
        <v>0</v>
      </c>
      <c r="I100" s="26"/>
      <c r="J100" s="103"/>
      <c r="K100" s="103"/>
      <c r="P100" s="0"/>
      <c r="Y100" s="0"/>
      <c r="AG100" s="0"/>
      <c r="AJ100" s="0"/>
    </row>
    <row r="101" customFormat="false" ht="13.5" hidden="false" customHeight="true" outlineLevel="0" collapsed="false">
      <c r="A101" s="0" t="n">
        <v>31</v>
      </c>
      <c r="B101" s="34" t="n">
        <v>39661</v>
      </c>
      <c r="C101" s="26" t="n">
        <v>0</v>
      </c>
      <c r="D101" s="29" t="s">
        <v>42</v>
      </c>
      <c r="E101" s="33" t="n">
        <f aca="false">IF(D101="totale",(C101/(A101*24))/F101,IF(D101="marché libre",(C101/(A101*24))/G101,"spécifier histo"))</f>
        <v>0</v>
      </c>
      <c r="F101" s="9" t="n">
        <v>34</v>
      </c>
      <c r="G101" s="9" t="n">
        <f aca="false">F101-H101</f>
        <v>34</v>
      </c>
      <c r="H101" s="9" t="n">
        <v>0</v>
      </c>
      <c r="I101" s="26"/>
      <c r="J101" s="103"/>
      <c r="K101" s="103"/>
      <c r="P101" s="0"/>
      <c r="Y101" s="0"/>
      <c r="AG101" s="0"/>
      <c r="AJ101" s="0"/>
    </row>
    <row r="102" customFormat="false" ht="13.5" hidden="false" customHeight="true" outlineLevel="0" collapsed="false">
      <c r="A102" s="0" t="n">
        <v>30</v>
      </c>
      <c r="B102" s="31" t="n">
        <v>39692</v>
      </c>
      <c r="C102" s="26" t="n">
        <v>0</v>
      </c>
      <c r="D102" s="29" t="s">
        <v>42</v>
      </c>
      <c r="E102" s="33" t="n">
        <f aca="false">IF(D102="totale",(C102/(A102*24))/F102,IF(D102="marché libre",(C102/(A102*24))/G102,"spécifier histo"))</f>
        <v>0</v>
      </c>
      <c r="F102" s="9" t="n">
        <v>34</v>
      </c>
      <c r="G102" s="9" t="n">
        <f aca="false">F102-H102</f>
        <v>34</v>
      </c>
      <c r="H102" s="9" t="n">
        <v>0</v>
      </c>
      <c r="I102" s="26"/>
      <c r="J102" s="103"/>
      <c r="K102" s="103"/>
      <c r="P102" s="0"/>
      <c r="Y102" s="0"/>
      <c r="AG102" s="0"/>
      <c r="AJ102" s="0"/>
    </row>
    <row r="103" customFormat="false" ht="13.5" hidden="false" customHeight="true" outlineLevel="0" collapsed="false">
      <c r="A103" s="0" t="n">
        <v>31</v>
      </c>
      <c r="B103" s="34" t="n">
        <v>39722</v>
      </c>
      <c r="C103" s="26" t="n">
        <v>0</v>
      </c>
      <c r="D103" s="29" t="s">
        <v>42</v>
      </c>
      <c r="E103" s="33" t="n">
        <f aca="false">IF(D103="totale",(C103/(A103*24))/F103,IF(D103="marché libre",(C103/(A103*24))/G103,"spécifier histo"))</f>
        <v>0</v>
      </c>
      <c r="F103" s="9" t="n">
        <v>34</v>
      </c>
      <c r="G103" s="9" t="n">
        <f aca="false">F103-H103</f>
        <v>34</v>
      </c>
      <c r="H103" s="9" t="n">
        <v>0</v>
      </c>
      <c r="I103" s="26"/>
      <c r="J103" s="103"/>
      <c r="K103" s="103"/>
      <c r="P103" s="0"/>
      <c r="Y103" s="0"/>
      <c r="AG103" s="0"/>
      <c r="AJ103" s="0"/>
    </row>
    <row r="104" customFormat="false" ht="13.5" hidden="false" customHeight="true" outlineLevel="0" collapsed="false">
      <c r="A104" s="0" t="n">
        <v>30</v>
      </c>
      <c r="B104" s="31" t="n">
        <v>39753</v>
      </c>
      <c r="C104" s="26" t="n">
        <v>0</v>
      </c>
      <c r="D104" s="29" t="s">
        <v>42</v>
      </c>
      <c r="E104" s="33" t="n">
        <f aca="false">IF(D104="totale",(C104/(A104*24))/F104,IF(D104="marché libre",(C104/(A104*24))/G104,"spécifier histo"))</f>
        <v>0</v>
      </c>
      <c r="F104" s="9" t="n">
        <v>34</v>
      </c>
      <c r="G104" s="9" t="n">
        <f aca="false">F104-H104</f>
        <v>34</v>
      </c>
      <c r="H104" s="9" t="n">
        <v>0</v>
      </c>
      <c r="I104" s="26"/>
      <c r="J104" s="103"/>
      <c r="K104" s="103"/>
      <c r="P104" s="0"/>
      <c r="Y104" s="0"/>
      <c r="AG104" s="0"/>
      <c r="AJ104" s="0"/>
    </row>
    <row r="105" customFormat="false" ht="13.5" hidden="false" customHeight="true" outlineLevel="0" collapsed="false">
      <c r="A105" s="0" t="n">
        <v>31</v>
      </c>
      <c r="B105" s="34" t="n">
        <v>39783</v>
      </c>
      <c r="C105" s="9" t="n">
        <v>8599</v>
      </c>
      <c r="D105" s="29" t="s">
        <v>42</v>
      </c>
      <c r="E105" s="33" t="n">
        <f aca="false">IF(D105="totale",(C105/(A105*24))/F105,IF(D105="marché libre",(C105/(A105*24))/G105,"spécifier histo"))</f>
        <v>0.339935167615433</v>
      </c>
      <c r="F105" s="9" t="n">
        <v>34</v>
      </c>
      <c r="G105" s="9" t="n">
        <f aca="false">F105-H105</f>
        <v>34</v>
      </c>
      <c r="H105" s="9" t="n">
        <v>0</v>
      </c>
      <c r="I105" s="26"/>
      <c r="J105" s="103"/>
      <c r="K105" s="103"/>
      <c r="P105" s="0"/>
      <c r="Y105" s="0"/>
      <c r="AG105" s="0"/>
    </row>
    <row r="106" customFormat="false" ht="13.5" hidden="false" customHeight="true" outlineLevel="0" collapsed="false">
      <c r="A106" s="0" t="n">
        <v>31</v>
      </c>
      <c r="B106" s="31" t="n">
        <v>39814</v>
      </c>
      <c r="C106" s="9" t="n">
        <v>6620</v>
      </c>
      <c r="D106" s="29" t="s">
        <v>42</v>
      </c>
      <c r="E106" s="33" t="n">
        <f aca="false">IF(D106="totale",(C106/(A106*24))/F106,IF(D106="marché libre",(C106/(A106*24))/G106,"spécifier histo"))</f>
        <v>0.261701454775459</v>
      </c>
      <c r="F106" s="9" t="n">
        <v>34</v>
      </c>
      <c r="G106" s="9" t="n">
        <f aca="false">F106-H106</f>
        <v>34</v>
      </c>
      <c r="H106" s="9" t="n">
        <v>0</v>
      </c>
      <c r="I106" s="26"/>
      <c r="J106" s="103"/>
      <c r="K106" s="103"/>
      <c r="P106" s="0"/>
      <c r="Y106" s="0"/>
      <c r="AG106" s="0"/>
    </row>
    <row r="107" customFormat="false" ht="13.5" hidden="false" customHeight="true" outlineLevel="0" collapsed="false">
      <c r="A107" s="0" t="n">
        <v>28</v>
      </c>
      <c r="B107" s="34" t="n">
        <v>39845</v>
      </c>
      <c r="C107" s="9" t="n">
        <v>10261</v>
      </c>
      <c r="D107" s="29" t="s">
        <v>42</v>
      </c>
      <c r="E107" s="33" t="n">
        <f aca="false">IF(D107="totale",(C107/(A107*24))/F107,IF(D107="marché libre",(C107/(A107*24))/G107,"spécifier histo"))</f>
        <v>0.449098389355742</v>
      </c>
      <c r="F107" s="9" t="n">
        <v>34</v>
      </c>
      <c r="G107" s="9" t="n">
        <f aca="false">F107-H107</f>
        <v>34</v>
      </c>
      <c r="H107" s="9" t="n">
        <v>0</v>
      </c>
      <c r="I107" s="26"/>
      <c r="J107" s="103"/>
      <c r="K107" s="103"/>
      <c r="P107" s="0"/>
      <c r="Y107" s="0"/>
      <c r="AG107" s="0"/>
    </row>
    <row r="108" customFormat="false" ht="13.5" hidden="false" customHeight="true" outlineLevel="0" collapsed="false">
      <c r="A108" s="0" t="n">
        <v>31</v>
      </c>
      <c r="B108" s="31" t="n">
        <v>39873</v>
      </c>
      <c r="C108" s="9" t="n">
        <v>12080</v>
      </c>
      <c r="D108" s="29" t="s">
        <v>42</v>
      </c>
      <c r="E108" s="33" t="n">
        <f aca="false">IF(D108="totale",(C108/(A108*24))/F108,IF(D108="marché libre",(C108/(A108*24))/G108,"spécifier histo"))</f>
        <v>0.477545857052498</v>
      </c>
      <c r="F108" s="9" t="n">
        <v>34</v>
      </c>
      <c r="G108" s="9" t="n">
        <f aca="false">F108-H108</f>
        <v>34</v>
      </c>
      <c r="H108" s="9" t="n">
        <v>0</v>
      </c>
      <c r="I108" s="26"/>
      <c r="J108" s="103"/>
      <c r="K108" s="103"/>
      <c r="P108" s="0"/>
      <c r="Y108" s="0"/>
      <c r="AG108" s="0"/>
    </row>
    <row r="109" customFormat="false" ht="13.5" hidden="false" customHeight="true" outlineLevel="0" collapsed="false">
      <c r="A109" s="0" t="n">
        <v>30</v>
      </c>
      <c r="B109" s="34" t="n">
        <v>39904</v>
      </c>
      <c r="C109" s="9" t="n">
        <v>6723</v>
      </c>
      <c r="D109" s="29" t="s">
        <v>42</v>
      </c>
      <c r="E109" s="33" t="n">
        <f aca="false">IF(D109="totale",(C109/(A109*24))/F109,IF(D109="marché libre",(C109/(A109*24))/G109,"spécifier histo"))</f>
        <v>0.274632352941176</v>
      </c>
      <c r="F109" s="9" t="n">
        <v>34</v>
      </c>
      <c r="G109" s="9" t="n">
        <f aca="false">F109-H109</f>
        <v>34</v>
      </c>
      <c r="H109" s="9" t="n">
        <v>0</v>
      </c>
      <c r="I109" s="26"/>
      <c r="J109" s="103"/>
      <c r="K109" s="103"/>
      <c r="P109" s="0"/>
      <c r="Y109" s="0"/>
      <c r="AG109" s="0"/>
    </row>
    <row r="110" customFormat="false" ht="13.5" hidden="false" customHeight="true" outlineLevel="0" collapsed="false">
      <c r="A110" s="0" t="n">
        <v>31</v>
      </c>
      <c r="B110" s="31" t="n">
        <v>39934</v>
      </c>
      <c r="C110" s="26" t="n">
        <v>0</v>
      </c>
      <c r="D110" s="29" t="s">
        <v>42</v>
      </c>
      <c r="E110" s="33" t="n">
        <f aca="false">IF(D110="totale",(C117/(A110*24))/F110,IF(D110="marché libre",(C117/(A110*24))/G110,"spécifier histo"))</f>
        <v>0.23873339658444</v>
      </c>
      <c r="F110" s="9" t="n">
        <v>34</v>
      </c>
      <c r="G110" s="9" t="n">
        <f aca="false">F110-H110</f>
        <v>34</v>
      </c>
      <c r="H110" s="9" t="n">
        <v>0</v>
      </c>
      <c r="I110" s="26"/>
      <c r="J110" s="103"/>
      <c r="K110" s="103"/>
      <c r="P110" s="0"/>
      <c r="Y110" s="0"/>
      <c r="AG110" s="0"/>
    </row>
    <row r="111" customFormat="false" ht="13.5" hidden="false" customHeight="true" outlineLevel="0" collapsed="false">
      <c r="A111" s="0" t="n">
        <v>30</v>
      </c>
      <c r="B111" s="34" t="n">
        <v>39965</v>
      </c>
      <c r="C111" s="26" t="n">
        <v>0</v>
      </c>
      <c r="D111" s="29" t="s">
        <v>42</v>
      </c>
      <c r="E111" s="33" t="n">
        <f aca="false">IF(D111="totale",(C118/(A111*24))/F111,IF(D111="marché libre",(C118/(A111*24))/G111,"spécifier histo"))</f>
        <v>0.423243464052288</v>
      </c>
      <c r="F111" s="9" t="n">
        <v>34</v>
      </c>
      <c r="G111" s="9" t="n">
        <f aca="false">F111-H111</f>
        <v>34</v>
      </c>
      <c r="H111" s="9" t="n">
        <v>0</v>
      </c>
      <c r="I111" s="26"/>
      <c r="J111" s="103"/>
      <c r="K111" s="103"/>
      <c r="P111" s="0"/>
      <c r="Y111" s="0"/>
      <c r="AG111" s="0"/>
    </row>
    <row r="112" customFormat="false" ht="13.5" hidden="false" customHeight="true" outlineLevel="0" collapsed="false">
      <c r="A112" s="0" t="n">
        <v>31</v>
      </c>
      <c r="B112" s="31" t="n">
        <v>39995</v>
      </c>
      <c r="C112" s="26" t="n">
        <v>0</v>
      </c>
      <c r="D112" s="29" t="s">
        <v>42</v>
      </c>
      <c r="E112" s="33" t="n">
        <f aca="false">IF(D112="totale",(C112/(A112*24))/F112,IF(D112="marché libre",(C112/(A112*24))/G112,"spécifier histo"))</f>
        <v>0</v>
      </c>
      <c r="F112" s="9" t="n">
        <v>34</v>
      </c>
      <c r="G112" s="9" t="n">
        <f aca="false">F112-H112</f>
        <v>34</v>
      </c>
      <c r="H112" s="9" t="n">
        <v>0</v>
      </c>
      <c r="I112" s="26"/>
      <c r="J112" s="103"/>
      <c r="K112" s="103"/>
      <c r="P112" s="0"/>
      <c r="Y112" s="0"/>
      <c r="AG112" s="0"/>
    </row>
    <row r="113" customFormat="false" ht="13.5" hidden="false" customHeight="true" outlineLevel="0" collapsed="false">
      <c r="A113" s="0" t="n">
        <v>31</v>
      </c>
      <c r="B113" s="34" t="n">
        <v>40026</v>
      </c>
      <c r="C113" s="26" t="n">
        <v>0</v>
      </c>
      <c r="D113" s="29" t="s">
        <v>42</v>
      </c>
      <c r="E113" s="33" t="n">
        <f aca="false">IF(D113="totale",(C113/(A113*24))/F113,IF(D113="marché libre",(C113/(A113*24))/G113,"spécifier histo"))</f>
        <v>0</v>
      </c>
      <c r="F113" s="9" t="n">
        <v>34</v>
      </c>
      <c r="G113" s="9" t="n">
        <f aca="false">F113-H113</f>
        <v>34</v>
      </c>
      <c r="H113" s="9" t="n">
        <v>0</v>
      </c>
      <c r="I113" s="26"/>
      <c r="J113" s="103"/>
      <c r="K113" s="103"/>
      <c r="P113" s="0"/>
      <c r="Y113" s="0"/>
      <c r="AG113" s="0"/>
    </row>
    <row r="114" customFormat="false" ht="13.5" hidden="false" customHeight="true" outlineLevel="0" collapsed="false">
      <c r="A114" s="0" t="n">
        <v>30</v>
      </c>
      <c r="B114" s="31" t="n">
        <v>40057</v>
      </c>
      <c r="C114" s="26" t="n">
        <v>0</v>
      </c>
      <c r="D114" s="29" t="s">
        <v>42</v>
      </c>
      <c r="E114" s="33" t="n">
        <f aca="false">IF(D114="totale",(C114/(A114*24))/F114,IF(D114="marché libre",(C114/(A114*24))/G114,"spécifier histo"))</f>
        <v>0</v>
      </c>
      <c r="F114" s="9" t="n">
        <v>34</v>
      </c>
      <c r="G114" s="9" t="n">
        <f aca="false">F114-H114</f>
        <v>34</v>
      </c>
      <c r="H114" s="9" t="n">
        <v>0</v>
      </c>
      <c r="I114" s="26"/>
      <c r="J114" s="103"/>
      <c r="K114" s="103"/>
      <c r="P114" s="0"/>
      <c r="Y114" s="0"/>
      <c r="AG114" s="0"/>
    </row>
    <row r="115" customFormat="false" ht="13.5" hidden="false" customHeight="true" outlineLevel="0" collapsed="false">
      <c r="A115" s="0" t="n">
        <v>31</v>
      </c>
      <c r="B115" s="34" t="n">
        <v>40087</v>
      </c>
      <c r="C115" s="26" t="n">
        <v>0</v>
      </c>
      <c r="D115" s="29" t="s">
        <v>42</v>
      </c>
      <c r="E115" s="33" t="n">
        <f aca="false">IF(D115="totale",(C115/(A115*24))/F115,IF(D115="marché libre",(C115/(A115*24))/G115,"spécifier histo"))</f>
        <v>0</v>
      </c>
      <c r="F115" s="9" t="n">
        <v>34</v>
      </c>
      <c r="G115" s="9" t="n">
        <f aca="false">F115-H115</f>
        <v>34</v>
      </c>
      <c r="H115" s="9" t="n">
        <v>0</v>
      </c>
      <c r="I115" s="26"/>
      <c r="J115" s="103"/>
      <c r="K115" s="103"/>
      <c r="P115" s="0"/>
      <c r="Y115" s="0"/>
      <c r="AG115" s="0"/>
    </row>
    <row r="116" customFormat="false" ht="13.5" hidden="false" customHeight="true" outlineLevel="0" collapsed="false">
      <c r="A116" s="0" t="n">
        <v>30</v>
      </c>
      <c r="B116" s="31" t="n">
        <v>40118</v>
      </c>
      <c r="C116" s="26" t="n">
        <v>0</v>
      </c>
      <c r="D116" s="29" t="s">
        <v>42</v>
      </c>
      <c r="E116" s="33" t="n">
        <f aca="false">IF(D116="totale",(C116/(A116*24))/F116,IF(D116="marché libre",(C116/(A116*24))/G116,"spécifier histo"))</f>
        <v>0</v>
      </c>
      <c r="F116" s="9" t="n">
        <v>34</v>
      </c>
      <c r="G116" s="9" t="n">
        <f aca="false">F116-H116</f>
        <v>34</v>
      </c>
      <c r="H116" s="9" t="n">
        <v>0</v>
      </c>
      <c r="I116" s="26"/>
      <c r="J116" s="103"/>
      <c r="K116" s="103"/>
      <c r="P116" s="0"/>
      <c r="Y116" s="0"/>
      <c r="AG116" s="0"/>
    </row>
    <row r="117" customFormat="false" ht="13.5" hidden="false" customHeight="true" outlineLevel="0" collapsed="false">
      <c r="A117" s="0" t="n">
        <v>31</v>
      </c>
      <c r="B117" s="34" t="n">
        <v>40148</v>
      </c>
      <c r="C117" s="9" t="n">
        <v>6039</v>
      </c>
      <c r="D117" s="29" t="s">
        <v>42</v>
      </c>
      <c r="E117" s="33" t="n">
        <f aca="false">IF(D117="totale",(C117/(A117*24))/F117,IF(D117="marché libre",(C117/(A117*24))/G117,"spécifier histo"))</f>
        <v>0.23873339658444</v>
      </c>
      <c r="F117" s="9" t="n">
        <v>34</v>
      </c>
      <c r="G117" s="9" t="n">
        <f aca="false">F117-H117</f>
        <v>34</v>
      </c>
      <c r="H117" s="9" t="n">
        <v>0</v>
      </c>
      <c r="I117" s="26"/>
      <c r="J117" s="103"/>
      <c r="K117" s="103"/>
      <c r="Y117" s="0"/>
      <c r="AG117" s="0"/>
    </row>
    <row r="118" customFormat="false" ht="13.5" hidden="false" customHeight="true" outlineLevel="0" collapsed="false">
      <c r="A118" s="0" t="n">
        <v>31</v>
      </c>
      <c r="B118" s="31" t="n">
        <v>40179</v>
      </c>
      <c r="C118" s="9" t="n">
        <v>10361</v>
      </c>
      <c r="D118" s="29" t="s">
        <v>42</v>
      </c>
      <c r="E118" s="33" t="n">
        <f aca="false">IF(D118="totale",(C118/(A118*24))/F118,IF(D118="marché libre",(C118/(A118*24))/G118,"spécifier histo"))</f>
        <v>0.409590449082859</v>
      </c>
      <c r="F118" s="9" t="n">
        <v>34</v>
      </c>
      <c r="G118" s="9" t="n">
        <f aca="false">F118-H118</f>
        <v>34</v>
      </c>
      <c r="H118" s="9" t="n">
        <v>0</v>
      </c>
      <c r="I118" s="26"/>
      <c r="J118" s="103"/>
      <c r="K118" s="103"/>
      <c r="Y118" s="0"/>
      <c r="AG118" s="0"/>
    </row>
    <row r="119" customFormat="false" ht="13.5" hidden="false" customHeight="true" outlineLevel="0" collapsed="false">
      <c r="A119" s="0" t="n">
        <v>28</v>
      </c>
      <c r="B119" s="34" t="n">
        <v>40210</v>
      </c>
      <c r="C119" s="9" t="n">
        <v>9663</v>
      </c>
      <c r="D119" s="29" t="s">
        <v>42</v>
      </c>
      <c r="E119" s="33" t="n">
        <f aca="false">IF(D119="totale",(C119/(A119*24))/F119,IF(D119="marché libre",(C119/(A119*24))/G119,"spécifier histo"))</f>
        <v>0.422925420168067</v>
      </c>
      <c r="F119" s="9" t="n">
        <v>34</v>
      </c>
      <c r="G119" s="9" t="n">
        <f aca="false">F119-H119</f>
        <v>34</v>
      </c>
      <c r="H119" s="9" t="n">
        <v>0</v>
      </c>
      <c r="I119" s="26"/>
      <c r="J119" s="103"/>
      <c r="K119" s="103"/>
      <c r="Y119" s="0"/>
      <c r="AG119" s="0"/>
    </row>
    <row r="120" customFormat="false" ht="13.5" hidden="false" customHeight="true" outlineLevel="0" collapsed="false">
      <c r="A120" s="0" t="n">
        <v>31</v>
      </c>
      <c r="B120" s="31" t="n">
        <v>40238</v>
      </c>
      <c r="C120" s="9" t="n">
        <v>9749</v>
      </c>
      <c r="D120" s="29" t="s">
        <v>42</v>
      </c>
      <c r="E120" s="33" t="n">
        <f aca="false">IF(D120="totale",(C120/(A120*24))/F120,IF(D120="marché libre",(C120/(A120*24))/G120,"spécifier histo"))</f>
        <v>0.385396900695762</v>
      </c>
      <c r="F120" s="9" t="n">
        <v>34</v>
      </c>
      <c r="G120" s="9" t="n">
        <f aca="false">F120-H120</f>
        <v>34</v>
      </c>
      <c r="H120" s="9" t="n">
        <v>0</v>
      </c>
      <c r="I120" s="26"/>
      <c r="J120" s="103"/>
      <c r="K120" s="103"/>
      <c r="Y120" s="0"/>
      <c r="AG120" s="0"/>
    </row>
    <row r="121" customFormat="false" ht="13.5" hidden="false" customHeight="true" outlineLevel="0" collapsed="false">
      <c r="A121" s="0" t="n">
        <v>30</v>
      </c>
      <c r="B121" s="34" t="n">
        <v>40269</v>
      </c>
      <c r="C121" s="9" t="n">
        <v>8094</v>
      </c>
      <c r="D121" s="29" t="s">
        <v>42</v>
      </c>
      <c r="E121" s="33" t="n">
        <f aca="false">IF(D121="totale",(C121/(A121*24))/F121,IF(D121="marché libre",(C121/(A121*24))/G121,"spécifier histo"))</f>
        <v>0.330637254901961</v>
      </c>
      <c r="F121" s="9" t="n">
        <v>34</v>
      </c>
      <c r="G121" s="9" t="n">
        <f aca="false">F121-H121</f>
        <v>34</v>
      </c>
      <c r="H121" s="9" t="n">
        <v>0</v>
      </c>
      <c r="I121" s="26"/>
      <c r="J121" s="0"/>
      <c r="K121" s="103"/>
      <c r="Y121" s="0"/>
      <c r="AG121" s="0"/>
    </row>
    <row r="122" customFormat="false" ht="13.5" hidden="false" customHeight="true" outlineLevel="0" collapsed="false">
      <c r="A122" s="0" t="n">
        <v>31</v>
      </c>
      <c r="B122" s="31" t="n">
        <v>40299</v>
      </c>
      <c r="C122" s="9" t="n">
        <v>0</v>
      </c>
      <c r="D122" s="29" t="s">
        <v>42</v>
      </c>
      <c r="E122" s="33" t="n">
        <f aca="false">IF(D122="totale",(C122/(A122*24))/F122,IF(D122="marché libre",(C122/(A122*24))/G122,"spécifier histo"))</f>
        <v>0</v>
      </c>
      <c r="F122" s="9" t="n">
        <v>34</v>
      </c>
      <c r="G122" s="9" t="n">
        <f aca="false">F122-H122</f>
        <v>34</v>
      </c>
      <c r="H122" s="9" t="n">
        <v>0</v>
      </c>
      <c r="I122" s="26"/>
      <c r="J122" s="103"/>
      <c r="K122" s="103"/>
      <c r="Y122" s="0"/>
      <c r="AG122" s="0"/>
    </row>
    <row r="123" customFormat="false" ht="13.5" hidden="false" customHeight="true" outlineLevel="0" collapsed="false">
      <c r="A123" s="0" t="n">
        <v>30</v>
      </c>
      <c r="B123" s="34" t="n">
        <v>40330</v>
      </c>
      <c r="C123" s="9" t="n">
        <v>0</v>
      </c>
      <c r="D123" s="29" t="s">
        <v>42</v>
      </c>
      <c r="E123" s="33" t="n">
        <f aca="false">IF(D123="totale",(C123/(A123*24))/F123,IF(D123="marché libre",(C123/(A123*24))/G123,"spécifier histo"))</f>
        <v>0</v>
      </c>
      <c r="F123" s="9" t="n">
        <v>34</v>
      </c>
      <c r="G123" s="9" t="n">
        <f aca="false">F123-H123</f>
        <v>34</v>
      </c>
      <c r="H123" s="9" t="n">
        <v>0</v>
      </c>
      <c r="I123" s="26"/>
      <c r="J123" s="103"/>
      <c r="K123" s="103"/>
      <c r="Y123" s="0"/>
      <c r="AG123" s="0"/>
    </row>
    <row r="124" customFormat="false" ht="13.5" hidden="false" customHeight="true" outlineLevel="0" collapsed="false">
      <c r="A124" s="0" t="n">
        <v>31</v>
      </c>
      <c r="B124" s="31" t="n">
        <v>40360</v>
      </c>
      <c r="C124" s="9" t="n">
        <v>0</v>
      </c>
      <c r="D124" s="29" t="s">
        <v>42</v>
      </c>
      <c r="E124" s="33" t="n">
        <f aca="false">IF(D124="totale",(C124/(A124*24))/F124,IF(D124="marché libre",(C124/(A124*24))/G124,"spécifier histo"))</f>
        <v>0</v>
      </c>
      <c r="F124" s="9" t="n">
        <v>34</v>
      </c>
      <c r="G124" s="9" t="n">
        <f aca="false">F124-H124</f>
        <v>34</v>
      </c>
      <c r="H124" s="9" t="n">
        <v>0</v>
      </c>
      <c r="I124" s="26"/>
      <c r="J124" s="103"/>
      <c r="K124" s="103"/>
      <c r="Y124" s="0"/>
      <c r="AG124" s="0"/>
    </row>
    <row r="125" customFormat="false" ht="13.5" hidden="false" customHeight="true" outlineLevel="0" collapsed="false">
      <c r="A125" s="0" t="n">
        <v>31</v>
      </c>
      <c r="B125" s="34" t="n">
        <v>40391</v>
      </c>
      <c r="C125" s="9" t="n">
        <v>0</v>
      </c>
      <c r="D125" s="29" t="s">
        <v>42</v>
      </c>
      <c r="E125" s="33" t="n">
        <f aca="false">IF(D125="totale",(C125/(A125*24))/F125,IF(D125="marché libre",(C125/(A125*24))/G125,"spécifier histo"))</f>
        <v>0</v>
      </c>
      <c r="F125" s="9" t="n">
        <v>34</v>
      </c>
      <c r="G125" s="9" t="n">
        <f aca="false">F125-H125</f>
        <v>34</v>
      </c>
      <c r="H125" s="9" t="n">
        <v>0</v>
      </c>
      <c r="I125" s="26"/>
      <c r="J125" s="103"/>
      <c r="K125" s="103"/>
      <c r="Y125" s="0"/>
      <c r="AG125" s="0"/>
    </row>
    <row r="126" customFormat="false" ht="13.5" hidden="false" customHeight="true" outlineLevel="0" collapsed="false">
      <c r="A126" s="0" t="n">
        <v>30</v>
      </c>
      <c r="B126" s="31" t="n">
        <v>40422</v>
      </c>
      <c r="C126" s="9" t="n">
        <v>0</v>
      </c>
      <c r="D126" s="29" t="s">
        <v>42</v>
      </c>
      <c r="E126" s="33" t="n">
        <f aca="false">IF(D126="totale",(C126/(A126*24))/F126,IF(D126="marché libre",(C126/(A126*24))/G126,"spécifier histo"))</f>
        <v>0</v>
      </c>
      <c r="F126" s="9" t="n">
        <v>34</v>
      </c>
      <c r="G126" s="9" t="n">
        <f aca="false">F126-H126</f>
        <v>34</v>
      </c>
      <c r="H126" s="9" t="n">
        <v>0</v>
      </c>
      <c r="I126" s="26"/>
      <c r="J126" s="103"/>
      <c r="K126" s="103"/>
      <c r="Y126" s="0"/>
      <c r="AG126" s="0"/>
    </row>
    <row r="127" customFormat="false" ht="13.5" hidden="false" customHeight="true" outlineLevel="0" collapsed="false">
      <c r="A127" s="0" t="n">
        <v>31</v>
      </c>
      <c r="B127" s="34" t="n">
        <v>40452</v>
      </c>
      <c r="C127" s="9" t="n">
        <v>0</v>
      </c>
      <c r="D127" s="29" t="s">
        <v>42</v>
      </c>
      <c r="E127" s="33" t="n">
        <f aca="false">IF(D127="totale",(C127/(A127*24))/F127,IF(D127="marché libre",(C127/(A127*24))/G127,"spécifier histo"))</f>
        <v>0</v>
      </c>
      <c r="F127" s="9" t="n">
        <v>34</v>
      </c>
      <c r="G127" s="9" t="n">
        <f aca="false">F127-H127</f>
        <v>34</v>
      </c>
      <c r="H127" s="9" t="n">
        <v>0</v>
      </c>
      <c r="I127" s="26"/>
      <c r="J127" s="103"/>
      <c r="K127" s="103"/>
      <c r="Y127" s="0"/>
      <c r="AG127" s="0"/>
    </row>
    <row r="128" customFormat="false" ht="13.5" hidden="false" customHeight="true" outlineLevel="0" collapsed="false">
      <c r="A128" s="0" t="n">
        <v>30</v>
      </c>
      <c r="B128" s="31" t="n">
        <v>40483</v>
      </c>
      <c r="C128" s="9" t="n">
        <v>4334</v>
      </c>
      <c r="D128" s="29" t="s">
        <v>42</v>
      </c>
      <c r="E128" s="33" t="n">
        <f aca="false">IF(D128="totale",(C128/(A128*24))/F128,IF(D128="marché libre",(C128/(A128*24))/G128,"spécifier histo"))</f>
        <v>0.177042483660131</v>
      </c>
      <c r="F128" s="9" t="n">
        <v>34</v>
      </c>
      <c r="G128" s="9" t="n">
        <f aca="false">F128-H128</f>
        <v>34</v>
      </c>
      <c r="H128" s="9" t="n">
        <v>0</v>
      </c>
      <c r="I128" s="26"/>
      <c r="J128" s="103"/>
      <c r="K128" s="103"/>
      <c r="Y128" s="0"/>
      <c r="AG128" s="0"/>
    </row>
    <row r="129" customFormat="false" ht="13.5" hidden="false" customHeight="true" outlineLevel="0" collapsed="false">
      <c r="A129" s="0" t="n">
        <v>31</v>
      </c>
      <c r="B129" s="34" t="n">
        <v>40513</v>
      </c>
      <c r="C129" s="9" t="n">
        <v>7428</v>
      </c>
      <c r="D129" s="29" t="s">
        <v>42</v>
      </c>
      <c r="E129" s="33" t="n">
        <f aca="false">IF(D129="totale",(C129/(A129*24))/F129,IF(D129="marché libre",(C129/(A129*24))/G129,"spécifier histo"))</f>
        <v>0.293643263757116</v>
      </c>
      <c r="F129" s="9" t="n">
        <v>34</v>
      </c>
      <c r="G129" s="9" t="n">
        <f aca="false">F129-H129</f>
        <v>34</v>
      </c>
      <c r="H129" s="9" t="n">
        <v>0</v>
      </c>
      <c r="I129" s="26"/>
      <c r="J129" s="103"/>
      <c r="K129" s="103"/>
      <c r="Y129" s="0"/>
      <c r="AG129" s="0"/>
    </row>
    <row r="130" customFormat="false" ht="13.5" hidden="false" customHeight="true" outlineLevel="0" collapsed="false">
      <c r="A130" s="0" t="n">
        <v>31</v>
      </c>
      <c r="B130" s="31" t="n">
        <v>40544</v>
      </c>
      <c r="C130" s="9" t="n">
        <f aca="false">14246/2</f>
        <v>7123</v>
      </c>
      <c r="D130" s="29" t="s">
        <v>42</v>
      </c>
      <c r="E130" s="33" t="n">
        <f aca="false">IF(D130="totale",(C130/(A130*24))/F130,IF(D130="marché libre",(C130/(A130*24))/G130,"spécifier histo"))</f>
        <v>0.281586021505376</v>
      </c>
      <c r="F130" s="9" t="n">
        <v>34</v>
      </c>
      <c r="G130" s="9" t="n">
        <f aca="false">F130-H130</f>
        <v>34</v>
      </c>
      <c r="H130" s="9" t="n">
        <v>0</v>
      </c>
      <c r="I130" s="26"/>
      <c r="J130" s="103"/>
      <c r="K130" s="103"/>
      <c r="Y130" s="0"/>
      <c r="AG130" s="0"/>
    </row>
    <row r="131" customFormat="false" ht="13.5" hidden="false" customHeight="true" outlineLevel="0" collapsed="false">
      <c r="A131" s="0" t="n">
        <v>28</v>
      </c>
      <c r="B131" s="34" t="n">
        <v>40575</v>
      </c>
      <c r="C131" s="9" t="n">
        <f aca="false">14246/2</f>
        <v>7123</v>
      </c>
      <c r="D131" s="29" t="s">
        <v>42</v>
      </c>
      <c r="E131" s="33" t="n">
        <f aca="false">IF(D131="totale",(C131/(A131*24))/F131,IF(D131="marché libre",(C131/(A131*24))/G131,"spécifier histo"))</f>
        <v>0.311755952380952</v>
      </c>
      <c r="F131" s="9" t="n">
        <v>34</v>
      </c>
      <c r="G131" s="9" t="n">
        <f aca="false">F131-H131</f>
        <v>34</v>
      </c>
      <c r="H131" s="9" t="n">
        <v>0</v>
      </c>
      <c r="I131" s="26"/>
      <c r="J131" s="103"/>
      <c r="K131" s="103"/>
      <c r="Y131" s="0"/>
      <c r="AG131" s="0"/>
    </row>
    <row r="132" customFormat="false" ht="13.5" hidden="false" customHeight="true" outlineLevel="0" collapsed="false">
      <c r="A132" s="0" t="n">
        <v>31</v>
      </c>
      <c r="B132" s="31" t="n">
        <v>40603</v>
      </c>
      <c r="C132" s="9" t="n">
        <v>0</v>
      </c>
      <c r="D132" s="29" t="s">
        <v>42</v>
      </c>
      <c r="E132" s="33" t="n">
        <f aca="false">IF(D132="totale",(C132/(A132*24))/F132,IF(D132="marché libre",(C132/(A132*24))/G132,"spécifier histo"))</f>
        <v>0</v>
      </c>
      <c r="F132" s="9" t="n">
        <v>34</v>
      </c>
      <c r="G132" s="9" t="n">
        <f aca="false">F132-H132</f>
        <v>34</v>
      </c>
      <c r="H132" s="9" t="n">
        <v>0</v>
      </c>
      <c r="I132" s="26"/>
      <c r="J132" s="103"/>
      <c r="K132" s="103"/>
      <c r="Y132" s="0"/>
      <c r="AG132" s="0"/>
    </row>
    <row r="133" customFormat="false" ht="13.5" hidden="false" customHeight="true" outlineLevel="0" collapsed="false">
      <c r="A133" s="0" t="n">
        <v>30</v>
      </c>
      <c r="B133" s="34" t="n">
        <v>40634</v>
      </c>
      <c r="C133" s="9" t="n">
        <v>0</v>
      </c>
      <c r="D133" s="29" t="s">
        <v>42</v>
      </c>
      <c r="E133" s="33" t="n">
        <f aca="false">IF(D133="totale",(C133/(A133*24))/F133,IF(D133="marché libre",(C133/(A133*24))/G133,"spécifier histo"))</f>
        <v>0</v>
      </c>
      <c r="F133" s="9" t="n">
        <v>34</v>
      </c>
      <c r="G133" s="9" t="n">
        <f aca="false">F133-H133</f>
        <v>34</v>
      </c>
      <c r="H133" s="9" t="n">
        <v>0</v>
      </c>
      <c r="I133" s="26"/>
      <c r="J133" s="103"/>
      <c r="K133" s="103"/>
      <c r="Y133" s="0"/>
      <c r="AG133" s="0"/>
    </row>
    <row r="134" customFormat="false" ht="13.5" hidden="false" customHeight="true" outlineLevel="0" collapsed="false">
      <c r="A134" s="0" t="n">
        <v>31</v>
      </c>
      <c r="B134" s="31" t="n">
        <v>40664</v>
      </c>
      <c r="C134" s="9" t="n">
        <v>0</v>
      </c>
      <c r="D134" s="29" t="s">
        <v>42</v>
      </c>
      <c r="E134" s="33" t="n">
        <f aca="false">IF(D134="totale",(C134/(A134*24))/F134,IF(D134="marché libre",(C134/(A134*24))/G134,"spécifier histo"))</f>
        <v>0</v>
      </c>
      <c r="F134" s="9" t="n">
        <v>34</v>
      </c>
      <c r="G134" s="9" t="n">
        <f aca="false">F134-H134</f>
        <v>34</v>
      </c>
      <c r="H134" s="9" t="n">
        <v>0</v>
      </c>
      <c r="I134" s="26"/>
      <c r="J134" s="138" t="s">
        <v>124</v>
      </c>
      <c r="K134" s="103"/>
      <c r="Y134" s="0"/>
      <c r="AG134" s="0"/>
    </row>
    <row r="135" customFormat="false" ht="13.5" hidden="false" customHeight="true" outlineLevel="0" collapsed="false">
      <c r="A135" s="0" t="n">
        <v>30</v>
      </c>
      <c r="B135" s="34" t="n">
        <v>40695</v>
      </c>
      <c r="C135" s="9" t="n">
        <v>0</v>
      </c>
      <c r="D135" s="29" t="s">
        <v>42</v>
      </c>
      <c r="E135" s="33" t="n">
        <f aca="false">IF(D135="totale",(C135/(A135*24))/F135,IF(D135="marché libre",(C135/(A135*24))/G135,"spécifier histo"))</f>
        <v>0</v>
      </c>
      <c r="F135" s="9" t="n">
        <v>34</v>
      </c>
      <c r="G135" s="9" t="n">
        <f aca="false">F135-H135</f>
        <v>34</v>
      </c>
      <c r="H135" s="9" t="n">
        <v>0</v>
      </c>
      <c r="I135" s="26"/>
      <c r="J135" s="139" t="s">
        <v>125</v>
      </c>
      <c r="K135" s="103"/>
      <c r="L135" s="0"/>
      <c r="Y135" s="0"/>
      <c r="AG135" s="0"/>
    </row>
    <row r="136" customFormat="false" ht="13.5" hidden="false" customHeight="true" outlineLevel="0" collapsed="false">
      <c r="A136" s="0" t="n">
        <v>31</v>
      </c>
      <c r="B136" s="31" t="n">
        <v>40725</v>
      </c>
      <c r="C136" s="9" t="n">
        <v>0</v>
      </c>
      <c r="D136" s="29" t="s">
        <v>42</v>
      </c>
      <c r="E136" s="33" t="n">
        <f aca="false">IF(D136="totale",(C136/(A136*24))/F136,IF(D136="marché libre",(C136/(A136*24))/G136,"spécifier histo"))</f>
        <v>0</v>
      </c>
      <c r="F136" s="9" t="n">
        <v>34</v>
      </c>
      <c r="G136" s="9" t="n">
        <f aca="false">F136-H136</f>
        <v>34</v>
      </c>
      <c r="H136" s="9" t="n">
        <v>0</v>
      </c>
      <c r="I136" s="26"/>
      <c r="J136" s="139" t="s">
        <v>126</v>
      </c>
      <c r="K136" s="103"/>
      <c r="L136" s="0"/>
      <c r="Y136" s="0"/>
      <c r="AG136" s="0"/>
    </row>
    <row r="137" customFormat="false" ht="13.5" hidden="false" customHeight="true" outlineLevel="0" collapsed="false">
      <c r="A137" s="0" t="n">
        <v>31</v>
      </c>
      <c r="B137" s="34" t="n">
        <v>40756</v>
      </c>
      <c r="C137" s="9" t="n">
        <v>0</v>
      </c>
      <c r="D137" s="29" t="s">
        <v>42</v>
      </c>
      <c r="E137" s="33" t="n">
        <f aca="false">IF(D137="totale",(C137/(A137*24))/F137,IF(D137="marché libre",(C137/(A137*24))/G137,"spécifier histo"))</f>
        <v>0</v>
      </c>
      <c r="F137" s="9" t="n">
        <v>34</v>
      </c>
      <c r="G137" s="9" t="n">
        <f aca="false">F137-H137</f>
        <v>34</v>
      </c>
      <c r="H137" s="9" t="n">
        <v>0</v>
      </c>
      <c r="I137" s="26"/>
      <c r="J137" s="139" t="s">
        <v>127</v>
      </c>
      <c r="K137" s="103"/>
      <c r="L137" s="0"/>
      <c r="Y137" s="0"/>
      <c r="AG137" s="0"/>
    </row>
    <row r="138" customFormat="false" ht="13.5" hidden="false" customHeight="true" outlineLevel="0" collapsed="false">
      <c r="A138" s="0" t="n">
        <v>30</v>
      </c>
      <c r="B138" s="31" t="n">
        <v>40787</v>
      </c>
      <c r="C138" s="9" t="n">
        <v>0</v>
      </c>
      <c r="D138" s="29" t="s">
        <v>42</v>
      </c>
      <c r="E138" s="33" t="n">
        <f aca="false">IF(D138="totale",(C138/(A138*24))/F138,IF(D138="marché libre",(C138/(A138*24))/G138,"spécifier histo"))</f>
        <v>0</v>
      </c>
      <c r="F138" s="9" t="n">
        <v>34</v>
      </c>
      <c r="G138" s="9" t="n">
        <f aca="false">F138-H138</f>
        <v>34</v>
      </c>
      <c r="H138" s="9" t="n">
        <v>0</v>
      </c>
      <c r="I138" s="26"/>
      <c r="J138" s="103"/>
      <c r="K138" s="103"/>
      <c r="Y138" s="0"/>
      <c r="AG138" s="0"/>
    </row>
    <row r="139" customFormat="false" ht="13.5" hidden="false" customHeight="true" outlineLevel="0" collapsed="false">
      <c r="A139" s="0" t="n">
        <v>31</v>
      </c>
      <c r="B139" s="34" t="n">
        <v>40817</v>
      </c>
      <c r="C139" s="9" t="n">
        <v>0</v>
      </c>
      <c r="D139" s="29" t="s">
        <v>42</v>
      </c>
      <c r="E139" s="33" t="n">
        <f aca="false">IF(D139="totale",(C139/(A139*24))/F139,IF(D139="marché libre",(C139/(A139*24))/G139,"spécifier histo"))</f>
        <v>0</v>
      </c>
      <c r="F139" s="9" t="n">
        <v>34</v>
      </c>
      <c r="G139" s="9" t="n">
        <f aca="false">F139-H139</f>
        <v>34</v>
      </c>
      <c r="H139" s="9" t="n">
        <v>0</v>
      </c>
      <c r="I139" s="26"/>
      <c r="J139" s="103"/>
      <c r="K139" s="103"/>
      <c r="Y139" s="0"/>
      <c r="AG139" s="0"/>
    </row>
    <row r="140" customFormat="false" ht="13.5" hidden="false" customHeight="true" outlineLevel="0" collapsed="false">
      <c r="A140" s="0" t="n">
        <v>30</v>
      </c>
      <c r="B140" s="31" t="n">
        <v>40848</v>
      </c>
      <c r="C140" s="9" t="n">
        <v>0</v>
      </c>
      <c r="D140" s="29" t="s">
        <v>42</v>
      </c>
      <c r="E140" s="33" t="n">
        <f aca="false">IF(D140="totale",(C140/(A140*24))/F140,IF(D140="marché libre",(C140/(A140*24))/G140,"spécifier histo"))</f>
        <v>0</v>
      </c>
      <c r="F140" s="9" t="n">
        <v>34</v>
      </c>
      <c r="G140" s="9" t="n">
        <f aca="false">F140-H140</f>
        <v>34</v>
      </c>
      <c r="H140" s="9" t="n">
        <v>0</v>
      </c>
      <c r="I140" s="26"/>
      <c r="J140" s="103"/>
      <c r="K140" s="103"/>
      <c r="Y140" s="0"/>
      <c r="AG140" s="0"/>
    </row>
    <row r="141" customFormat="false" ht="13.5" hidden="false" customHeight="true" outlineLevel="0" collapsed="false">
      <c r="A141" s="0" t="n">
        <v>31</v>
      </c>
      <c r="B141" s="34" t="n">
        <v>40878</v>
      </c>
      <c r="C141" s="9" t="n">
        <v>0</v>
      </c>
      <c r="D141" s="29" t="s">
        <v>42</v>
      </c>
      <c r="E141" s="33" t="n">
        <f aca="false">IF(D141="totale",(C141/(A141*24))/F141,IF(D141="marché libre",(C141/(A141*24))/G141,"spécifier histo"))</f>
        <v>0</v>
      </c>
      <c r="F141" s="9" t="n">
        <v>34</v>
      </c>
      <c r="G141" s="9" t="n">
        <f aca="false">F141-H141</f>
        <v>34</v>
      </c>
      <c r="H141" s="9" t="n">
        <v>0</v>
      </c>
      <c r="J141" s="103"/>
      <c r="K141" s="103"/>
      <c r="Y141" s="0"/>
    </row>
    <row r="142" customFormat="false" ht="13.5" hidden="false" customHeight="true" outlineLevel="0" collapsed="false">
      <c r="A142" s="0" t="n">
        <v>31</v>
      </c>
      <c r="B142" s="31" t="n">
        <v>40909</v>
      </c>
      <c r="C142" s="159" t="n">
        <v>0</v>
      </c>
      <c r="D142" s="29" t="s">
        <v>42</v>
      </c>
      <c r="E142" s="33" t="n">
        <f aca="false">IF(D142="totale",(C142/(A142*24))/F142,IF(D142="marché libre",(C142/(A142*24))/G142,"spécifier histo"))</f>
        <v>0</v>
      </c>
      <c r="F142" s="9" t="n">
        <v>34</v>
      </c>
      <c r="G142" s="9" t="n">
        <f aca="false">F142-H142</f>
        <v>34</v>
      </c>
      <c r="H142" s="9" t="n">
        <v>0</v>
      </c>
      <c r="I142" s="140" t="s">
        <v>128</v>
      </c>
      <c r="J142" s="103"/>
      <c r="K142" s="103"/>
      <c r="Y142" s="0"/>
    </row>
    <row r="143" customFormat="false" ht="13.5" hidden="false" customHeight="true" outlineLevel="0" collapsed="false">
      <c r="A143" s="0" t="n">
        <v>28</v>
      </c>
      <c r="B143" s="34" t="n">
        <v>40940</v>
      </c>
      <c r="C143" s="159" t="n">
        <v>0</v>
      </c>
      <c r="D143" s="29" t="s">
        <v>42</v>
      </c>
      <c r="E143" s="33" t="n">
        <f aca="false">IF(D143="totale",(C143/(A143*24))/F143,IF(D143="marché libre",(C143/(A143*24))/G143,"spécifier histo"))</f>
        <v>0</v>
      </c>
      <c r="F143" s="9" t="n">
        <v>34</v>
      </c>
      <c r="G143" s="9" t="n">
        <f aca="false">F143-H143</f>
        <v>34</v>
      </c>
      <c r="H143" s="9" t="n">
        <v>0</v>
      </c>
      <c r="I143" s="140" t="s">
        <v>128</v>
      </c>
      <c r="J143" s="103"/>
      <c r="K143" s="103"/>
      <c r="Y143" s="0"/>
    </row>
    <row r="144" customFormat="false" ht="13.5" hidden="false" customHeight="true" outlineLevel="0" collapsed="false">
      <c r="A144" s="0" t="n">
        <v>31</v>
      </c>
      <c r="B144" s="31" t="n">
        <v>40969</v>
      </c>
      <c r="C144" s="159" t="n">
        <v>0</v>
      </c>
      <c r="D144" s="29" t="s">
        <v>42</v>
      </c>
      <c r="E144" s="33" t="n">
        <f aca="false">IF(D144="totale",(C144/(A144*24))/F144,IF(D144="marché libre",(C144/(A144*24))/G144,"spécifier histo"))</f>
        <v>0</v>
      </c>
      <c r="F144" s="9" t="n">
        <v>34</v>
      </c>
      <c r="G144" s="9" t="n">
        <f aca="false">F144-H144</f>
        <v>34</v>
      </c>
      <c r="H144" s="9" t="n">
        <v>0</v>
      </c>
      <c r="I144" s="140" t="s">
        <v>128</v>
      </c>
      <c r="J144" s="103"/>
      <c r="K144" s="103"/>
      <c r="Y144" s="0"/>
    </row>
    <row r="145" customFormat="false" ht="13.5" hidden="false" customHeight="true" outlineLevel="0" collapsed="false">
      <c r="A145" s="0" t="n">
        <v>30</v>
      </c>
      <c r="B145" s="34" t="n">
        <v>41000</v>
      </c>
      <c r="C145" s="159" t="n">
        <v>0</v>
      </c>
      <c r="D145" s="29" t="s">
        <v>42</v>
      </c>
      <c r="E145" s="33" t="n">
        <f aca="false">IF(D145="totale",(C145/(A145*24))/F145,IF(D145="marché libre",(C145/(A145*24))/G145,"spécifier histo"))</f>
        <v>0</v>
      </c>
      <c r="F145" s="9" t="n">
        <v>34</v>
      </c>
      <c r="G145" s="9" t="n">
        <f aca="false">F145-H145</f>
        <v>34</v>
      </c>
      <c r="H145" s="9" t="n">
        <v>0</v>
      </c>
      <c r="I145" s="140" t="s">
        <v>128</v>
      </c>
      <c r="J145" s="103"/>
      <c r="K145" s="103"/>
      <c r="Y145" s="0"/>
    </row>
    <row r="146" customFormat="false" ht="13.5" hidden="false" customHeight="true" outlineLevel="0" collapsed="false">
      <c r="A146" s="0" t="n">
        <v>31</v>
      </c>
      <c r="B146" s="31" t="n">
        <v>41030</v>
      </c>
      <c r="C146" s="159" t="n">
        <v>0</v>
      </c>
      <c r="D146" s="29" t="s">
        <v>42</v>
      </c>
      <c r="E146" s="33" t="n">
        <f aca="false">IF(D146="totale",(C146/(A146*24))/F146,IF(D146="marché libre",(C146/(A146*24))/G146,"spécifier histo"))</f>
        <v>0</v>
      </c>
      <c r="F146" s="9" t="n">
        <v>34</v>
      </c>
      <c r="G146" s="9" t="n">
        <f aca="false">F146-H146</f>
        <v>34</v>
      </c>
      <c r="H146" s="9" t="n">
        <v>0</v>
      </c>
      <c r="I146" s="140" t="s">
        <v>128</v>
      </c>
      <c r="J146" s="103"/>
      <c r="K146" s="103"/>
      <c r="Y146" s="0"/>
    </row>
    <row r="147" customFormat="false" ht="13.5" hidden="false" customHeight="true" outlineLevel="0" collapsed="false">
      <c r="A147" s="0" t="n">
        <v>30</v>
      </c>
      <c r="B147" s="34" t="n">
        <v>41061</v>
      </c>
      <c r="C147" s="159" t="n">
        <v>0</v>
      </c>
      <c r="D147" s="29" t="s">
        <v>42</v>
      </c>
      <c r="E147" s="33" t="n">
        <f aca="false">IF(D147="totale",(C147/(A147*24))/F147,IF(D147="marché libre",(C147/(A147*24))/G147,"spécifier histo"))</f>
        <v>0</v>
      </c>
      <c r="F147" s="9" t="n">
        <v>34</v>
      </c>
      <c r="G147" s="9" t="n">
        <f aca="false">F147-H147</f>
        <v>34</v>
      </c>
      <c r="H147" s="9" t="n">
        <v>0</v>
      </c>
      <c r="I147" s="140" t="s">
        <v>128</v>
      </c>
      <c r="J147" s="103"/>
      <c r="K147" s="103"/>
      <c r="Y147" s="0"/>
    </row>
    <row r="148" customFormat="false" ht="13.5" hidden="false" customHeight="true" outlineLevel="0" collapsed="false">
      <c r="A148" s="0" t="n">
        <v>31</v>
      </c>
      <c r="B148" s="31" t="n">
        <v>41091</v>
      </c>
      <c r="C148" s="159" t="n">
        <v>0</v>
      </c>
      <c r="D148" s="29" t="s">
        <v>42</v>
      </c>
      <c r="E148" s="33" t="n">
        <f aca="false">IF(D148="totale",(C148/(A148*24))/F148,IF(D148="marché libre",(C148/(A148*24))/G148,"spécifier histo"))</f>
        <v>0</v>
      </c>
      <c r="F148" s="9" t="n">
        <v>34</v>
      </c>
      <c r="G148" s="9" t="n">
        <f aca="false">F148-H148</f>
        <v>34</v>
      </c>
      <c r="H148" s="9" t="n">
        <v>0</v>
      </c>
      <c r="I148" s="140" t="s">
        <v>128</v>
      </c>
      <c r="J148" s="103"/>
      <c r="K148" s="103"/>
      <c r="Y148" s="0"/>
    </row>
    <row r="149" customFormat="false" ht="13.5" hidden="false" customHeight="true" outlineLevel="0" collapsed="false">
      <c r="A149" s="0" t="n">
        <v>31</v>
      </c>
      <c r="B149" s="34" t="n">
        <v>41122</v>
      </c>
      <c r="C149" s="159" t="n">
        <v>0</v>
      </c>
      <c r="D149" s="29" t="s">
        <v>42</v>
      </c>
      <c r="E149" s="33" t="n">
        <f aca="false">IF(D149="totale",(C149/(A149*24))/F149,IF(D149="marché libre",(C149/(A149*24))/G149,"spécifier histo"))</f>
        <v>0</v>
      </c>
      <c r="F149" s="9" t="n">
        <v>34</v>
      </c>
      <c r="G149" s="9" t="n">
        <f aca="false">F149-H149</f>
        <v>34</v>
      </c>
      <c r="H149" s="9" t="n">
        <v>0</v>
      </c>
      <c r="I149" s="140" t="s">
        <v>128</v>
      </c>
      <c r="J149" s="103"/>
      <c r="K149" s="103"/>
      <c r="Y149" s="0"/>
    </row>
    <row r="150" customFormat="false" ht="13.5" hidden="false" customHeight="true" outlineLevel="0" collapsed="false">
      <c r="A150" s="0" t="n">
        <v>30</v>
      </c>
      <c r="B150" s="31" t="n">
        <v>41153</v>
      </c>
      <c r="C150" s="159" t="n">
        <v>0</v>
      </c>
      <c r="D150" s="29" t="s">
        <v>42</v>
      </c>
      <c r="E150" s="33" t="n">
        <f aca="false">IF(D150="totale",(C150/(A150*24))/F150,IF(D150="marché libre",(C150/(A150*24))/G150,"spécifier histo"))</f>
        <v>0</v>
      </c>
      <c r="F150" s="9" t="n">
        <v>34</v>
      </c>
      <c r="G150" s="9" t="n">
        <f aca="false">F150-H150</f>
        <v>34</v>
      </c>
      <c r="H150" s="9" t="n">
        <v>0</v>
      </c>
      <c r="I150" s="140" t="s">
        <v>128</v>
      </c>
      <c r="J150" s="103"/>
      <c r="K150" s="103"/>
      <c r="Y150" s="0"/>
    </row>
    <row r="151" customFormat="false" ht="18.45" hidden="false" customHeight="true" outlineLevel="0" collapsed="false">
      <c r="A151" s="0" t="n">
        <v>31</v>
      </c>
      <c r="B151" s="34" t="n">
        <v>41183</v>
      </c>
      <c r="C151" s="159" t="n">
        <v>0</v>
      </c>
      <c r="D151" s="29" t="s">
        <v>42</v>
      </c>
      <c r="E151" s="33" t="n">
        <f aca="false">IF(D151="totale",(C151/(A151*24))/F151,IF(D151="marché libre",(C151/(A151*24))/G151,"spécifier histo"))</f>
        <v>0</v>
      </c>
      <c r="F151" s="9" t="n">
        <v>34</v>
      </c>
      <c r="G151" s="9" t="n">
        <f aca="false">F151-H151</f>
        <v>34</v>
      </c>
      <c r="H151" s="9" t="n">
        <v>0</v>
      </c>
      <c r="I151" s="140" t="s">
        <v>128</v>
      </c>
      <c r="J151" s="103"/>
      <c r="K151" s="103"/>
      <c r="Y151" s="0"/>
    </row>
    <row r="152" customFormat="false" ht="13.5" hidden="false" customHeight="true" outlineLevel="0" collapsed="false">
      <c r="A152" s="0" t="n">
        <v>30</v>
      </c>
      <c r="B152" s="160" t="n">
        <v>41214</v>
      </c>
      <c r="C152" s="161" t="n">
        <v>2056</v>
      </c>
      <c r="D152" s="162" t="s">
        <v>42</v>
      </c>
      <c r="E152" s="163" t="n">
        <f aca="false">IF(D152="totale",(C152/(A152*24))/F152,IF(D152="marché libre",(C152/(A152*24))/G152,"spécifier histo"))</f>
        <v>0.0839869281045752</v>
      </c>
      <c r="F152" s="161" t="n">
        <v>34</v>
      </c>
      <c r="G152" s="161" t="n">
        <f aca="false">F152-H152</f>
        <v>34</v>
      </c>
      <c r="H152" s="161" t="n">
        <v>0</v>
      </c>
      <c r="J152" s="103"/>
      <c r="K152" s="103"/>
      <c r="Y152" s="0"/>
    </row>
    <row r="153" customFormat="false" ht="13.5" hidden="false" customHeight="true" outlineLevel="0" collapsed="false">
      <c r="A153" s="0" t="n">
        <v>31</v>
      </c>
      <c r="B153" s="34" t="n">
        <v>41244</v>
      </c>
      <c r="C153" s="9" t="n">
        <v>7680</v>
      </c>
      <c r="D153" s="29" t="s">
        <v>42</v>
      </c>
      <c r="E153" s="33" t="n">
        <f aca="false">IF(D153="totale",(C153/(A153*24))/F153,IF(D153="marché libre",(C153/(A153*24))/G153,"spécifier histo"))</f>
        <v>0.303605313092979</v>
      </c>
      <c r="F153" s="9" t="n">
        <v>34</v>
      </c>
      <c r="G153" s="9" t="n">
        <f aca="false">F153-H153</f>
        <v>34</v>
      </c>
      <c r="H153" s="9" t="n">
        <v>0</v>
      </c>
      <c r="J153" s="103"/>
      <c r="K153" s="103"/>
      <c r="Y153" s="0"/>
    </row>
    <row r="154" customFormat="false" ht="13.5" hidden="false" customHeight="true" outlineLevel="0" collapsed="false">
      <c r="A154" s="0" t="n">
        <v>31</v>
      </c>
      <c r="B154" s="31" t="n">
        <v>41275</v>
      </c>
      <c r="C154" s="9" t="n">
        <v>9517</v>
      </c>
      <c r="D154" s="29" t="s">
        <v>42</v>
      </c>
      <c r="E154" s="33" t="n">
        <f aca="false">IF(D154="totale",(C154/(A154*24))/F154,IF(D154="marché libre",(C154/(A154*24))/G154,"spécifier histo"))</f>
        <v>0.376225490196078</v>
      </c>
      <c r="F154" s="9" t="n">
        <v>34</v>
      </c>
      <c r="G154" s="9" t="n">
        <f aca="false">F154-H154</f>
        <v>34</v>
      </c>
      <c r="H154" s="9" t="n">
        <v>0</v>
      </c>
      <c r="J154" s="103"/>
      <c r="K154" s="103"/>
      <c r="Y154" s="0"/>
    </row>
    <row r="155" customFormat="false" ht="13.5" hidden="false" customHeight="true" outlineLevel="0" collapsed="false">
      <c r="A155" s="0" t="n">
        <v>28</v>
      </c>
      <c r="B155" s="34" t="n">
        <v>41306</v>
      </c>
      <c r="C155" s="9" t="n">
        <v>10929</v>
      </c>
      <c r="D155" s="29" t="s">
        <v>42</v>
      </c>
      <c r="E155" s="33" t="n">
        <f aca="false">IF(D155="totale",(C155/(A155*24))/F155,IF(D155="marché libre",(C155/(A155*24))/G155,"spécifier histo"))</f>
        <v>0.478335084033613</v>
      </c>
      <c r="F155" s="9" t="n">
        <v>34</v>
      </c>
      <c r="G155" s="9" t="n">
        <f aca="false">F155-H155</f>
        <v>34</v>
      </c>
      <c r="H155" s="9" t="n">
        <v>0</v>
      </c>
      <c r="J155" s="103"/>
      <c r="K155" s="103"/>
      <c r="Y155" s="0"/>
    </row>
    <row r="156" customFormat="false" ht="13.5" hidden="false" customHeight="true" outlineLevel="0" collapsed="false">
      <c r="A156" s="0" t="n">
        <v>31</v>
      </c>
      <c r="B156" s="31" t="n">
        <v>41334</v>
      </c>
      <c r="C156" s="9" t="n">
        <v>12323</v>
      </c>
      <c r="D156" s="29" t="s">
        <v>42</v>
      </c>
      <c r="E156" s="33" t="n">
        <f aca="false">IF(D156="totale",(C156/(A156*24))/F156,IF(D156="marché libre",(C156/(A156*24))/G156,"spécifier histo"))</f>
        <v>0.487152118912081</v>
      </c>
      <c r="F156" s="9" t="n">
        <v>34</v>
      </c>
      <c r="G156" s="9" t="n">
        <f aca="false">F156-H156</f>
        <v>34</v>
      </c>
      <c r="H156" s="9" t="n">
        <v>0</v>
      </c>
      <c r="J156" s="103"/>
      <c r="K156" s="103"/>
      <c r="Y156" s="0"/>
    </row>
    <row r="157" customFormat="false" ht="13.5" hidden="false" customHeight="true" outlineLevel="0" collapsed="false">
      <c r="A157" s="0" t="n">
        <v>30</v>
      </c>
      <c r="B157" s="34" t="n">
        <v>41365</v>
      </c>
      <c r="C157" s="9" t="n">
        <v>3395</v>
      </c>
      <c r="D157" s="29" t="s">
        <v>42</v>
      </c>
      <c r="E157" s="33" t="n">
        <f aca="false">IF(D157="totale",(C157/(A157*24))/F157,IF(D157="marché libre",(C157/(A157*24))/G157,"spécifier histo"))</f>
        <v>0.138684640522876</v>
      </c>
      <c r="F157" s="9" t="n">
        <v>34</v>
      </c>
      <c r="G157" s="9" t="n">
        <f aca="false">F157-H157</f>
        <v>34</v>
      </c>
      <c r="H157" s="9" t="n">
        <v>0</v>
      </c>
      <c r="J157" s="103"/>
      <c r="K157" s="103"/>
      <c r="Y157" s="0"/>
    </row>
    <row r="158" customFormat="false" ht="13.5" hidden="false" customHeight="true" outlineLevel="0" collapsed="false">
      <c r="A158" s="0" t="n">
        <v>31</v>
      </c>
      <c r="B158" s="31" t="n">
        <v>41395</v>
      </c>
      <c r="C158" s="9" t="n">
        <v>0</v>
      </c>
      <c r="D158" s="29" t="s">
        <v>42</v>
      </c>
      <c r="E158" s="33" t="n">
        <f aca="false">IF(D158="totale",(C158/(A158*24))/F158,IF(D158="marché libre",(C158/(A158*24))/G158,"spécifier histo"))</f>
        <v>0</v>
      </c>
      <c r="F158" s="9" t="n">
        <v>34</v>
      </c>
      <c r="G158" s="9" t="n">
        <f aca="false">F158-H158</f>
        <v>34</v>
      </c>
      <c r="H158" s="9" t="n">
        <v>0</v>
      </c>
      <c r="J158" s="103"/>
      <c r="K158" s="103"/>
      <c r="Y158" s="0"/>
    </row>
    <row r="159" customFormat="false" ht="13.5" hidden="false" customHeight="true" outlineLevel="0" collapsed="false">
      <c r="A159" s="0" t="n">
        <v>30</v>
      </c>
      <c r="B159" s="34" t="n">
        <v>41426</v>
      </c>
      <c r="C159" s="9" t="n">
        <v>0</v>
      </c>
      <c r="D159" s="29" t="s">
        <v>42</v>
      </c>
      <c r="E159" s="33" t="n">
        <f aca="false">IF(D159="totale",(C159/(A159*24))/F159,IF(D159="marché libre",(C159/(A159*24))/G159,"spécifier histo"))</f>
        <v>0</v>
      </c>
      <c r="F159" s="9" t="n">
        <v>34</v>
      </c>
      <c r="G159" s="9" t="n">
        <f aca="false">F159-H159</f>
        <v>34</v>
      </c>
      <c r="H159" s="9" t="n">
        <v>0</v>
      </c>
      <c r="I159" s="1"/>
      <c r="J159" s="117"/>
      <c r="Y159" s="0"/>
    </row>
    <row r="160" customFormat="false" ht="13.5" hidden="false" customHeight="true" outlineLevel="0" collapsed="false">
      <c r="A160" s="0" t="n">
        <v>31</v>
      </c>
      <c r="B160" s="31" t="n">
        <v>41456</v>
      </c>
      <c r="C160" s="9" t="n">
        <v>0</v>
      </c>
      <c r="D160" s="29" t="s">
        <v>42</v>
      </c>
      <c r="E160" s="33" t="n">
        <f aca="false">IF(D160="totale",(C160/(A160*24))/F160,IF(D160="marché libre",(C160/(A160*24))/G160,"spécifier histo"))</f>
        <v>0</v>
      </c>
      <c r="F160" s="9" t="n">
        <v>34</v>
      </c>
      <c r="G160" s="9" t="n">
        <f aca="false">F160-H160</f>
        <v>34</v>
      </c>
      <c r="H160" s="9" t="n">
        <v>0</v>
      </c>
      <c r="I160" s="1"/>
      <c r="J160" s="117"/>
      <c r="Y160" s="0"/>
    </row>
    <row r="161" customFormat="false" ht="13.5" hidden="false" customHeight="true" outlineLevel="0" collapsed="false">
      <c r="A161" s="0" t="n">
        <v>31</v>
      </c>
      <c r="B161" s="34" t="n">
        <v>41487</v>
      </c>
      <c r="C161" s="9" t="n">
        <v>0</v>
      </c>
      <c r="D161" s="29" t="s">
        <v>42</v>
      </c>
      <c r="E161" s="33" t="n">
        <f aca="false">IF(D161="totale",(C161/(A161*24))/F161,IF(D161="marché libre",(C161/(A161*24))/G161,"spécifier histo"))</f>
        <v>0</v>
      </c>
      <c r="F161" s="9" t="n">
        <v>34</v>
      </c>
      <c r="G161" s="9" t="n">
        <f aca="false">F161-H161</f>
        <v>34</v>
      </c>
      <c r="H161" s="9" t="n">
        <v>0</v>
      </c>
      <c r="I161" s="1"/>
      <c r="J161" s="117"/>
      <c r="Y161" s="0"/>
    </row>
    <row r="162" customFormat="false" ht="13.5" hidden="false" customHeight="true" outlineLevel="0" collapsed="false">
      <c r="A162" s="0" t="n">
        <v>30</v>
      </c>
      <c r="B162" s="31" t="n">
        <v>41518</v>
      </c>
      <c r="C162" s="9" t="n">
        <v>0</v>
      </c>
      <c r="D162" s="29" t="s">
        <v>42</v>
      </c>
      <c r="E162" s="33" t="n">
        <f aca="false">IF(D162="totale",(C162/(A162*24))/F162,IF(D162="marché libre",(C162/(A162*24))/G162,"spécifier histo"))</f>
        <v>0</v>
      </c>
      <c r="F162" s="9" t="n">
        <v>34</v>
      </c>
      <c r="G162" s="9" t="n">
        <f aca="false">F162-H162</f>
        <v>34</v>
      </c>
      <c r="H162" s="9" t="n">
        <v>0</v>
      </c>
      <c r="I162" s="1"/>
      <c r="J162" s="117"/>
      <c r="Y162" s="0"/>
    </row>
    <row r="163" customFormat="false" ht="13.5" hidden="false" customHeight="true" outlineLevel="0" collapsed="false">
      <c r="A163" s="0" t="n">
        <v>31</v>
      </c>
      <c r="B163" s="34" t="n">
        <v>41548</v>
      </c>
      <c r="C163" s="9" t="n">
        <v>0</v>
      </c>
      <c r="D163" s="29" t="s">
        <v>42</v>
      </c>
      <c r="E163" s="33" t="n">
        <f aca="false">IF(D163="totale",(C163/(A163*24))/F163,IF(D163="marché libre",(C163/(A163*24))/G163,"spécifier histo"))</f>
        <v>0</v>
      </c>
      <c r="F163" s="9" t="n">
        <v>34</v>
      </c>
      <c r="G163" s="9" t="n">
        <f aca="false">F163-H163</f>
        <v>34</v>
      </c>
      <c r="H163" s="9" t="n">
        <v>0</v>
      </c>
      <c r="I163" s="1"/>
      <c r="J163" s="117"/>
      <c r="Y163" s="0"/>
    </row>
    <row r="164" customFormat="false" ht="13.5" hidden="false" customHeight="true" outlineLevel="0" collapsed="false">
      <c r="A164" s="0" t="n">
        <v>30</v>
      </c>
      <c r="B164" s="31" t="n">
        <v>41579</v>
      </c>
      <c r="C164" s="9" t="n">
        <v>3350</v>
      </c>
      <c r="D164" s="29" t="s">
        <v>42</v>
      </c>
      <c r="E164" s="118" t="n">
        <f aca="false">IF(D164="totale",(C164/(A164*24))/F164,IF(D164="marché libre",(C164/(A164*24))/G164,"spécifier histo"))</f>
        <v>0.136846405228758</v>
      </c>
      <c r="F164" s="9" t="n">
        <v>34</v>
      </c>
      <c r="G164" s="9" t="n">
        <f aca="false">F164-H164</f>
        <v>34</v>
      </c>
      <c r="H164" s="9" t="n">
        <v>0</v>
      </c>
      <c r="I164" s="1"/>
      <c r="J164" s="117"/>
      <c r="Y164" s="0"/>
    </row>
    <row r="165" customFormat="false" ht="13.5" hidden="false" customHeight="true" outlineLevel="0" collapsed="false">
      <c r="A165" s="0" t="n">
        <v>31</v>
      </c>
      <c r="B165" s="34" t="n">
        <v>41609</v>
      </c>
      <c r="C165" s="9" t="n">
        <v>10000</v>
      </c>
      <c r="D165" s="29" t="s">
        <v>42</v>
      </c>
      <c r="E165" s="33" t="n">
        <f aca="false">IF(D165="totale",(C165/(A165*24))/F165,IF(D165="marché libre",(C165/(A165*24))/G165,"spécifier histo"))</f>
        <v>0.395319418089817</v>
      </c>
      <c r="F165" s="9" t="n">
        <v>34</v>
      </c>
      <c r="G165" s="9" t="n">
        <f aca="false">F165-H165</f>
        <v>34</v>
      </c>
      <c r="H165" s="9" t="n">
        <v>0</v>
      </c>
      <c r="I165" s="1"/>
      <c r="J165" s="1"/>
      <c r="Y165" s="0"/>
    </row>
    <row r="166" customFormat="false" ht="13.5" hidden="false" customHeight="true" outlineLevel="0" collapsed="false">
      <c r="A166" s="0" t="n">
        <v>31</v>
      </c>
      <c r="B166" s="31" t="n">
        <v>41640</v>
      </c>
      <c r="C166" s="9" t="n">
        <v>9322</v>
      </c>
      <c r="D166" s="29" t="s">
        <v>42</v>
      </c>
      <c r="E166" s="33" t="n">
        <f aca="false">IF(D166="totale",(C166/(A166*24))/F166,IF(D166="marché libre",(C166/(A166*24))/G166,"spécifier histo"))</f>
        <v>0.368516761543327</v>
      </c>
      <c r="F166" s="9" t="n">
        <v>34</v>
      </c>
      <c r="G166" s="9" t="n">
        <f aca="false">F166-H166</f>
        <v>34</v>
      </c>
      <c r="H166" s="9" t="n">
        <v>0</v>
      </c>
      <c r="Y166" s="0"/>
    </row>
    <row r="167" customFormat="false" ht="13.5" hidden="false" customHeight="true" outlineLevel="0" collapsed="false">
      <c r="A167" s="0" t="n">
        <v>28</v>
      </c>
      <c r="B167" s="34" t="n">
        <v>41671</v>
      </c>
      <c r="C167" s="9" t="n">
        <v>10376</v>
      </c>
      <c r="D167" s="29" t="s">
        <v>42</v>
      </c>
      <c r="E167" s="33" t="n">
        <f aca="false">IF(D167="totale",(C167/(A167*24))/F167,IF(D167="marché libre",(C167/(A167*24))/G167,"spécifier histo"))</f>
        <v>0.454131652661064</v>
      </c>
      <c r="F167" s="9" t="n">
        <v>34</v>
      </c>
      <c r="G167" s="9" t="n">
        <f aca="false">F167-H167</f>
        <v>34</v>
      </c>
      <c r="H167" s="9" t="n">
        <v>0</v>
      </c>
      <c r="Y167" s="0"/>
    </row>
    <row r="168" customFormat="false" ht="13.5" hidden="false" customHeight="true" outlineLevel="0" collapsed="false">
      <c r="A168" s="0" t="n">
        <v>31</v>
      </c>
      <c r="B168" s="31" t="n">
        <v>41699</v>
      </c>
      <c r="C168" s="9" t="n">
        <v>3361</v>
      </c>
      <c r="D168" s="29" t="s">
        <v>42</v>
      </c>
      <c r="E168" s="33" t="n">
        <f aca="false">IF(D168="totale",(C168/(A168*24))/F168,IF(D168="marché libre",(C168/(A168*24))/G168,"spécifier histo"))</f>
        <v>0.132866856419987</v>
      </c>
      <c r="F168" s="9" t="n">
        <v>34</v>
      </c>
      <c r="G168" s="9" t="n">
        <f aca="false">F168-H168</f>
        <v>34</v>
      </c>
      <c r="H168" s="9" t="n">
        <v>0</v>
      </c>
      <c r="Y168" s="0"/>
    </row>
    <row r="169" customFormat="false" ht="15.85" hidden="false" customHeight="true" outlineLevel="0" collapsed="false">
      <c r="A169" s="0" t="n">
        <v>30</v>
      </c>
      <c r="B169" s="34" t="n">
        <v>41730</v>
      </c>
      <c r="C169" s="9" t="n">
        <v>0</v>
      </c>
      <c r="D169" s="29" t="s">
        <v>42</v>
      </c>
      <c r="E169" s="33" t="n">
        <f aca="false">IF(D169="totale",(C169/(A169*24))/F169,IF(D169="marché libre",(C169/(A169*24))/G169,"spécifier histo"))</f>
        <v>0</v>
      </c>
      <c r="F169" s="9" t="n">
        <v>34</v>
      </c>
      <c r="G169" s="9" t="n">
        <f aca="false">F169-H169</f>
        <v>34</v>
      </c>
      <c r="H169" s="9" t="n">
        <v>0</v>
      </c>
      <c r="Y169" s="0"/>
    </row>
    <row r="170" customFormat="false" ht="15.85" hidden="false" customHeight="true" outlineLevel="0" collapsed="false">
      <c r="A170" s="0" t="n">
        <v>31</v>
      </c>
      <c r="B170" s="31" t="n">
        <v>41760</v>
      </c>
      <c r="C170" s="9" t="n">
        <v>0</v>
      </c>
      <c r="D170" s="29" t="s">
        <v>42</v>
      </c>
      <c r="E170" s="33" t="n">
        <f aca="false">IF(D170="totale",(C170/(A170*24))/F170,IF(D170="marché libre",(C170/(A170*24))/G170,"spécifier histo"))</f>
        <v>0</v>
      </c>
      <c r="F170" s="9" t="n">
        <v>34</v>
      </c>
      <c r="G170" s="9" t="n">
        <f aca="false">F170-H170</f>
        <v>34</v>
      </c>
      <c r="H170" s="9" t="n">
        <v>0</v>
      </c>
      <c r="Y170" s="0"/>
    </row>
    <row r="171" customFormat="false" ht="15.85" hidden="false" customHeight="true" outlineLevel="0" collapsed="false">
      <c r="A171" s="0" t="n">
        <v>30</v>
      </c>
      <c r="B171" s="34" t="n">
        <v>41791</v>
      </c>
      <c r="C171" s="9" t="n">
        <v>0</v>
      </c>
      <c r="D171" s="29" t="s">
        <v>42</v>
      </c>
      <c r="E171" s="33" t="n">
        <f aca="false">IF(D171="totale",(C171/(A171*24))/F171,IF(D171="marché libre",(C171/(A171*24))/G171,"spécifier histo"))</f>
        <v>0</v>
      </c>
      <c r="F171" s="9" t="n">
        <v>34</v>
      </c>
      <c r="G171" s="9" t="n">
        <f aca="false">F171-H171</f>
        <v>34</v>
      </c>
      <c r="H171" s="9" t="n">
        <v>0</v>
      </c>
      <c r="Y171" s="0"/>
    </row>
    <row r="172" customFormat="false" ht="15.85" hidden="false" customHeight="true" outlineLevel="0" collapsed="false">
      <c r="A172" s="0" t="n">
        <v>31</v>
      </c>
      <c r="B172" s="31" t="n">
        <v>41821</v>
      </c>
      <c r="C172" s="9" t="n">
        <v>0</v>
      </c>
      <c r="D172" s="29" t="s">
        <v>42</v>
      </c>
      <c r="E172" s="33" t="n">
        <f aca="false">IF(D172="totale",(C172/(A172*24))/F172,IF(D172="marché libre",(C172/(A172*24))/G172,"spécifier histo"))</f>
        <v>0</v>
      </c>
      <c r="F172" s="9" t="n">
        <v>34</v>
      </c>
      <c r="G172" s="9" t="n">
        <f aca="false">F172-H172</f>
        <v>34</v>
      </c>
      <c r="H172" s="9" t="n">
        <v>0</v>
      </c>
      <c r="Y172" s="0"/>
    </row>
    <row r="173" customFormat="false" ht="15.85" hidden="false" customHeight="true" outlineLevel="0" collapsed="false">
      <c r="A173" s="0" t="n">
        <v>31</v>
      </c>
      <c r="B173" s="34" t="n">
        <v>41852</v>
      </c>
      <c r="C173" s="9" t="n">
        <v>0</v>
      </c>
      <c r="D173" s="29" t="s">
        <v>42</v>
      </c>
      <c r="E173" s="33" t="n">
        <f aca="false">IF(D173="totale",(C173/(A173*24))/F173,IF(D173="marché libre",(C173/(A173*24))/G173,"spécifier histo"))</f>
        <v>0</v>
      </c>
      <c r="F173" s="9" t="n">
        <v>34</v>
      </c>
      <c r="G173" s="9" t="n">
        <f aca="false">F173-H173</f>
        <v>34</v>
      </c>
      <c r="H173" s="9" t="n">
        <v>0</v>
      </c>
      <c r="Y173" s="0"/>
    </row>
    <row r="174" customFormat="false" ht="15.85" hidden="false" customHeight="true" outlineLevel="0" collapsed="false">
      <c r="A174" s="0" t="n">
        <v>30</v>
      </c>
      <c r="B174" s="31" t="n">
        <v>41883</v>
      </c>
      <c r="C174" s="9" t="n">
        <v>0</v>
      </c>
      <c r="D174" s="29" t="s">
        <v>42</v>
      </c>
      <c r="E174" s="33" t="n">
        <f aca="false">IF(D174="totale",(C174/(A174*24))/F174,IF(D174="marché libre",(C174/(A174*24))/G174,"spécifier histo"))</f>
        <v>0</v>
      </c>
      <c r="F174" s="9" t="n">
        <v>34</v>
      </c>
      <c r="G174" s="9" t="n">
        <f aca="false">F174-H174</f>
        <v>34</v>
      </c>
      <c r="H174" s="9" t="n">
        <v>0</v>
      </c>
      <c r="Y174" s="0"/>
    </row>
    <row r="175" customFormat="false" ht="15.85" hidden="false" customHeight="true" outlineLevel="0" collapsed="false">
      <c r="A175" s="0" t="n">
        <v>31</v>
      </c>
      <c r="B175" s="34" t="n">
        <v>41913</v>
      </c>
      <c r="C175" s="9" t="n">
        <v>0</v>
      </c>
      <c r="D175" s="29" t="s">
        <v>42</v>
      </c>
      <c r="E175" s="33" t="n">
        <f aca="false">IF(D175="totale",(C175/(A175*24))/F175,IF(D175="marché libre",(C175/(A175*24))/G175,"spécifier histo"))</f>
        <v>0</v>
      </c>
      <c r="F175" s="9" t="n">
        <v>34</v>
      </c>
      <c r="G175" s="9" t="n">
        <f aca="false">F175-H175</f>
        <v>34</v>
      </c>
      <c r="H175" s="9" t="n">
        <v>0</v>
      </c>
      <c r="Y175" s="0"/>
    </row>
    <row r="176" customFormat="false" ht="15.85" hidden="false" customHeight="true" outlineLevel="0" collapsed="false">
      <c r="A176" s="0" t="n">
        <v>30</v>
      </c>
      <c r="B176" s="31" t="n">
        <v>41944</v>
      </c>
      <c r="C176" s="9" t="n">
        <v>0</v>
      </c>
      <c r="D176" s="29" t="s">
        <v>42</v>
      </c>
      <c r="E176" s="33" t="n">
        <f aca="false">IF(D176="totale",(C176/(A176*24))/F176,IF(D176="marché libre",(C176/(A176*24))/G176,"spécifier histo"))</f>
        <v>0</v>
      </c>
      <c r="F176" s="9" t="n">
        <v>34</v>
      </c>
      <c r="G176" s="9" t="n">
        <f aca="false">F176-H176</f>
        <v>34</v>
      </c>
      <c r="H176" s="9" t="n">
        <v>0</v>
      </c>
      <c r="Y176" s="0"/>
    </row>
    <row r="177" customFormat="false" ht="15.85" hidden="false" customHeight="true" outlineLevel="0" collapsed="false">
      <c r="A177" s="0" t="n">
        <v>31</v>
      </c>
      <c r="B177" s="34" t="n">
        <v>41974</v>
      </c>
      <c r="C177" s="9" t="n">
        <v>0</v>
      </c>
      <c r="D177" s="29" t="s">
        <v>42</v>
      </c>
      <c r="E177" s="33" t="n">
        <f aca="false">IF(D177="totale",(C177/(A177*24))/F177,IF(D177="marché libre",(C177/(A177*24))/G177,"spécifier histo"))</f>
        <v>0</v>
      </c>
      <c r="F177" s="9" t="n">
        <v>34</v>
      </c>
      <c r="G177" s="9" t="n">
        <f aca="false">F177-H177</f>
        <v>34</v>
      </c>
      <c r="H177" s="9" t="n">
        <v>0</v>
      </c>
      <c r="Y177" s="0"/>
    </row>
    <row r="178" customFormat="false" ht="15.85" hidden="false" customHeight="true" outlineLevel="0" collapsed="false">
      <c r="A178" s="0" t="n">
        <v>31</v>
      </c>
      <c r="B178" s="31" t="n">
        <v>42005</v>
      </c>
      <c r="C178" s="116" t="n">
        <v>1914</v>
      </c>
      <c r="D178" s="29" t="s">
        <v>42</v>
      </c>
      <c r="E178" s="33" t="n">
        <f aca="false">IF(D178="totale",(C178/(A178*24))/F178,IF(D178="marché libre",(C178/(A178*24))/G178,"spécifier histo"))</f>
        <v>0.0756641366223909</v>
      </c>
      <c r="F178" s="9" t="n">
        <v>34</v>
      </c>
      <c r="G178" s="9" t="n">
        <f aca="false">F178-H178</f>
        <v>34</v>
      </c>
      <c r="H178" s="9" t="n">
        <v>0</v>
      </c>
      <c r="Y178" s="0"/>
    </row>
    <row r="179" customFormat="false" ht="15.85" hidden="false" customHeight="true" outlineLevel="0" collapsed="false">
      <c r="A179" s="0" t="n">
        <v>28</v>
      </c>
      <c r="B179" s="31" t="n">
        <v>42036</v>
      </c>
      <c r="C179" s="116" t="n">
        <v>14851</v>
      </c>
      <c r="D179" s="29" t="s">
        <v>42</v>
      </c>
      <c r="E179" s="33" t="n">
        <f aca="false">IF(D179="totale",(C179/(A179*24))/F179,IF(D179="marché libre",(C179/(A179*24))/G179,"spécifier histo"))</f>
        <v>0.649991246498599</v>
      </c>
      <c r="F179" s="9" t="n">
        <v>34</v>
      </c>
      <c r="G179" s="9" t="n">
        <f aca="false">F179-H179</f>
        <v>34</v>
      </c>
      <c r="H179" s="9" t="n">
        <v>0</v>
      </c>
      <c r="Y179" s="0"/>
    </row>
    <row r="180" customFormat="false" ht="15.85" hidden="false" customHeight="true" outlineLevel="0" collapsed="false">
      <c r="A180" s="0" t="n">
        <v>31</v>
      </c>
      <c r="B180" s="31" t="n">
        <v>42064</v>
      </c>
      <c r="C180" s="116" t="n">
        <v>13792</v>
      </c>
      <c r="D180" s="29" t="s">
        <v>42</v>
      </c>
      <c r="E180" s="33" t="n">
        <f aca="false">IF(D180="totale",(C180/(A180*24))/F180,IF(D180="marché libre",(C180/(A180*24))/G180,"spécifier histo"))</f>
        <v>0.545224541429475</v>
      </c>
      <c r="F180" s="9" t="n">
        <v>34</v>
      </c>
      <c r="G180" s="9" t="n">
        <f aca="false">F180-H180</f>
        <v>34</v>
      </c>
      <c r="H180" s="9" t="n">
        <v>0</v>
      </c>
      <c r="Y180" s="0"/>
    </row>
    <row r="181" customFormat="false" ht="15.85" hidden="false" customHeight="true" outlineLevel="0" collapsed="false">
      <c r="A181" s="0" t="n">
        <v>30</v>
      </c>
      <c r="B181" s="34" t="n">
        <v>42095</v>
      </c>
      <c r="C181" s="116" t="n">
        <v>9264</v>
      </c>
      <c r="D181" s="29" t="s">
        <v>42</v>
      </c>
      <c r="E181" s="33" t="n">
        <f aca="false">IF(D181="totale",(C181/(A181*24))/F181,IF(D181="marché libre",(C181/(A181*24))/G181,"spécifier histo"))</f>
        <v>0.37843137254902</v>
      </c>
      <c r="F181" s="9" t="n">
        <v>34</v>
      </c>
      <c r="G181" s="9" t="n">
        <f aca="false">F181-H181</f>
        <v>34</v>
      </c>
      <c r="H181" s="9" t="n">
        <v>0</v>
      </c>
      <c r="Y181" s="0"/>
    </row>
    <row r="182" customFormat="false" ht="15.85" hidden="false" customHeight="true" outlineLevel="0" collapsed="false">
      <c r="A182" s="0" t="n">
        <v>31</v>
      </c>
      <c r="B182" s="31" t="n">
        <v>42125</v>
      </c>
      <c r="C182" s="116" t="n">
        <v>0</v>
      </c>
      <c r="D182" s="29" t="s">
        <v>42</v>
      </c>
      <c r="E182" s="33" t="n">
        <f aca="false">IF(D182="totale",(C182/(A182*24))/F182,IF(D182="marché libre",(C182/(A182*24))/G182,"spécifier histo"))</f>
        <v>0</v>
      </c>
      <c r="F182" s="9" t="n">
        <v>34</v>
      </c>
      <c r="G182" s="9" t="n">
        <f aca="false">F182-H182</f>
        <v>34</v>
      </c>
      <c r="H182" s="9" t="n">
        <v>0</v>
      </c>
      <c r="Y182" s="0"/>
    </row>
    <row r="183" customFormat="false" ht="15.85" hidden="false" customHeight="true" outlineLevel="0" collapsed="false">
      <c r="A183" s="0" t="n">
        <v>30</v>
      </c>
      <c r="B183" s="34" t="n">
        <v>42156</v>
      </c>
      <c r="C183" s="116" t="n">
        <v>0</v>
      </c>
      <c r="D183" s="29" t="s">
        <v>42</v>
      </c>
      <c r="E183" s="33" t="n">
        <f aca="false">IF(D183="totale",(C183/(A183*24))/F183,IF(D183="marché libre",(C183/(A183*24))/G183,"spécifier histo"))</f>
        <v>0</v>
      </c>
      <c r="F183" s="9" t="n">
        <v>34</v>
      </c>
      <c r="G183" s="9" t="n">
        <f aca="false">F183-H183</f>
        <v>34</v>
      </c>
      <c r="H183" s="9" t="n">
        <v>0</v>
      </c>
      <c r="Y183" s="0"/>
    </row>
    <row r="184" customFormat="false" ht="13.8" hidden="false" customHeight="false" outlineLevel="0" collapsed="false">
      <c r="A184" s="0" t="n">
        <v>31</v>
      </c>
      <c r="B184" s="31" t="n">
        <v>42186</v>
      </c>
      <c r="C184" s="116" t="n">
        <v>0</v>
      </c>
      <c r="D184" s="29" t="s">
        <v>42</v>
      </c>
      <c r="E184" s="33" t="n">
        <f aca="false">IF(D184="totale",(C184/(A184*24))/F184,IF(D184="marché libre",(C184/(A184*24))/G184,"spécifier histo"))</f>
        <v>0</v>
      </c>
      <c r="F184" s="9" t="n">
        <v>34</v>
      </c>
      <c r="G184" s="9" t="n">
        <f aca="false">F184-H184</f>
        <v>34</v>
      </c>
      <c r="H184" s="9" t="n">
        <v>0</v>
      </c>
      <c r="Y184" s="0"/>
    </row>
    <row r="185" customFormat="false" ht="13.8" hidden="false" customHeight="false" outlineLevel="0" collapsed="false">
      <c r="A185" s="0" t="n">
        <v>31</v>
      </c>
      <c r="B185" s="34" t="n">
        <v>42217</v>
      </c>
      <c r="C185" s="116"/>
      <c r="D185" s="29" t="s">
        <v>42</v>
      </c>
      <c r="E185" s="33" t="n">
        <f aca="false">IF(D185="totale",(C185/(A185*24))/F185,IF(D185="marché libre",(C185/(A185*24))/G185,"spécifier histo"))</f>
        <v>0</v>
      </c>
      <c r="F185" s="9" t="n">
        <v>34</v>
      </c>
      <c r="G185" s="9" t="n">
        <f aca="false">F185-H185</f>
        <v>34</v>
      </c>
      <c r="H185" s="9" t="n">
        <v>0</v>
      </c>
      <c r="Y185" s="0"/>
    </row>
    <row r="186" customFormat="false" ht="13.8" hidden="false" customHeight="false" outlineLevel="0" collapsed="false">
      <c r="A186" s="0" t="n">
        <v>30</v>
      </c>
      <c r="B186" s="31" t="n">
        <v>42248</v>
      </c>
      <c r="C186" s="116" t="n">
        <v>0</v>
      </c>
      <c r="D186" s="29" t="s">
        <v>42</v>
      </c>
      <c r="E186" s="33" t="n">
        <f aca="false">IF(D186="totale",(C186/(A186*24))/F186,IF(D186="marché libre",(C186/(A186*24))/G186,"spécifier histo"))</f>
        <v>0</v>
      </c>
      <c r="F186" s="9" t="n">
        <v>34</v>
      </c>
      <c r="G186" s="9" t="n">
        <f aca="false">F186-H186</f>
        <v>34</v>
      </c>
      <c r="H186" s="9" t="n">
        <v>0</v>
      </c>
      <c r="Y186" s="0"/>
    </row>
    <row r="187" customFormat="false" ht="13.8" hidden="false" customHeight="false" outlineLevel="0" collapsed="false">
      <c r="A187" s="0" t="n">
        <v>31</v>
      </c>
      <c r="B187" s="34" t="n">
        <v>42278</v>
      </c>
      <c r="C187" s="116" t="n">
        <v>0</v>
      </c>
      <c r="D187" s="29" t="s">
        <v>42</v>
      </c>
      <c r="E187" s="33" t="n">
        <f aca="false">IF(D187="totale",(C187/(A187*24))/F187,IF(D187="marché libre",(C187/(A187*24))/G187,"spécifier histo"))</f>
        <v>0</v>
      </c>
      <c r="F187" s="9" t="n">
        <v>34</v>
      </c>
      <c r="G187" s="9" t="n">
        <f aca="false">F187-H187</f>
        <v>34</v>
      </c>
      <c r="H187" s="9" t="n">
        <v>0</v>
      </c>
      <c r="Y187" s="0"/>
    </row>
    <row r="188" customFormat="false" ht="13.8" hidden="false" customHeight="false" outlineLevel="0" collapsed="false">
      <c r="A188" s="0" t="n">
        <v>30</v>
      </c>
      <c r="B188" s="31" t="n">
        <v>42309</v>
      </c>
      <c r="C188" s="116" t="n">
        <v>35</v>
      </c>
      <c r="D188" s="29" t="s">
        <v>42</v>
      </c>
      <c r="E188" s="33" t="n">
        <f aca="false">IF(D188="totale",(C188/(A188*24))/F188,IF(D188="marché libre",(C188/(A188*24))/G188,"spécifier histo"))</f>
        <v>0.0014297385620915</v>
      </c>
      <c r="F188" s="9" t="n">
        <v>34</v>
      </c>
      <c r="G188" s="9" t="n">
        <f aca="false">F188-H188</f>
        <v>34</v>
      </c>
      <c r="H188" s="9" t="n">
        <v>0</v>
      </c>
      <c r="Y188" s="0"/>
    </row>
    <row r="189" customFormat="false" ht="13.8" hidden="false" customHeight="false" outlineLevel="0" collapsed="false">
      <c r="A189" s="0" t="n">
        <v>31</v>
      </c>
      <c r="B189" s="34" t="n">
        <v>42339</v>
      </c>
      <c r="C189" s="116" t="n">
        <v>26</v>
      </c>
      <c r="D189" s="29" t="s">
        <v>42</v>
      </c>
      <c r="E189" s="33" t="n">
        <f aca="false">IF(D189="totale",(C189/(A189*24))/F189,IF(D189="marché libre",(C189/(A189*24))/G189,"spécifier histo"))</f>
        <v>0.00102783048703352</v>
      </c>
      <c r="F189" s="9" t="n">
        <v>34</v>
      </c>
      <c r="G189" s="9" t="n">
        <f aca="false">F189-H189</f>
        <v>34</v>
      </c>
      <c r="H189" s="9" t="n">
        <v>0</v>
      </c>
      <c r="Y189" s="0"/>
    </row>
    <row r="190" customFormat="false" ht="12.8" hidden="false" customHeight="false" outlineLevel="0" collapsed="false">
      <c r="A190" s="0" t="n">
        <v>31</v>
      </c>
      <c r="B190" s="31" t="n">
        <v>42370</v>
      </c>
      <c r="C190" s="164" t="n">
        <v>8531</v>
      </c>
      <c r="D190" s="29" t="s">
        <v>42</v>
      </c>
      <c r="E190" s="33" t="n">
        <f aca="false">IF(D190="totale",(C190/(A190*24))/F190,IF(D190="marché libre",(C190/(A190*24))/G190,"spécifier histo"))</f>
        <v>0.337246995572423</v>
      </c>
      <c r="F190" s="9" t="n">
        <v>34</v>
      </c>
      <c r="G190" s="9" t="n">
        <f aca="false">F190-H190</f>
        <v>34</v>
      </c>
      <c r="H190" s="9" t="n">
        <v>0</v>
      </c>
      <c r="Y190" s="0"/>
    </row>
    <row r="191" customFormat="false" ht="12.8" hidden="false" customHeight="false" outlineLevel="0" collapsed="false">
      <c r="A191" s="0" t="n">
        <v>28</v>
      </c>
      <c r="B191" s="34" t="n">
        <v>42401</v>
      </c>
      <c r="C191" s="164" t="n">
        <v>14025</v>
      </c>
      <c r="D191" s="29" t="s">
        <v>42</v>
      </c>
      <c r="E191" s="33" t="n">
        <f aca="false">IF(D191="totale",(C191/(A191*24))/F191,IF(D191="marché libre",(C191/(A191*24))/G191,"spécifier histo"))</f>
        <v>0.613839285714286</v>
      </c>
      <c r="F191" s="9" t="n">
        <v>34</v>
      </c>
      <c r="G191" s="9" t="n">
        <f aca="false">F191-H191</f>
        <v>34</v>
      </c>
      <c r="H191" s="9" t="n">
        <v>0</v>
      </c>
      <c r="Y191" s="0"/>
    </row>
    <row r="192" customFormat="false" ht="12.8" hidden="false" customHeight="false" outlineLevel="0" collapsed="false">
      <c r="A192" s="0" t="n">
        <v>31</v>
      </c>
      <c r="B192" s="31" t="n">
        <v>42430</v>
      </c>
      <c r="C192" s="164" t="n">
        <v>15269</v>
      </c>
      <c r="D192" s="29" t="s">
        <v>42</v>
      </c>
      <c r="E192" s="33" t="n">
        <f aca="false">IF(D192="totale",(C192/(A192*24))/F192,IF(D192="marché libre",(C192/(A192*24))/G192,"spécifier histo"))</f>
        <v>0.603613219481341</v>
      </c>
      <c r="F192" s="9" t="n">
        <v>34</v>
      </c>
      <c r="G192" s="9" t="n">
        <f aca="false">F192-H192</f>
        <v>34</v>
      </c>
      <c r="H192" s="9" t="n">
        <v>0</v>
      </c>
      <c r="Y192" s="0"/>
    </row>
    <row r="193" customFormat="false" ht="12.8" hidden="false" customHeight="false" outlineLevel="0" collapsed="false">
      <c r="A193" s="0" t="n">
        <v>30</v>
      </c>
      <c r="B193" s="34" t="n">
        <v>42461</v>
      </c>
      <c r="C193" s="164" t="n">
        <v>5769</v>
      </c>
      <c r="D193" s="29" t="s">
        <v>42</v>
      </c>
      <c r="E193" s="33" t="n">
        <f aca="false">IF(D193="totale",(C193/(A193*24))/F193,IF(D193="marché libre",(C193/(A193*24))/G193,"spécifier histo"))</f>
        <v>0.235661764705882</v>
      </c>
      <c r="F193" s="9" t="n">
        <v>34</v>
      </c>
      <c r="G193" s="9" t="n">
        <f aca="false">F193-H193</f>
        <v>34</v>
      </c>
      <c r="H193" s="9" t="n">
        <v>0</v>
      </c>
      <c r="Y193" s="0"/>
    </row>
    <row r="194" customFormat="false" ht="12.8" hidden="false" customHeight="false" outlineLevel="0" collapsed="false">
      <c r="A194" s="0" t="n">
        <v>31</v>
      </c>
      <c r="B194" s="31" t="n">
        <v>42491</v>
      </c>
      <c r="C194" s="164" t="n">
        <v>0</v>
      </c>
      <c r="D194" s="29" t="s">
        <v>42</v>
      </c>
      <c r="E194" s="33" t="n">
        <f aca="false">IF(D194="totale",(C194/(A194*24))/F194,IF(D194="marché libre",(C194/(A194*24))/G194,"spécifier histo"))</f>
        <v>0</v>
      </c>
      <c r="F194" s="9" t="n">
        <v>34</v>
      </c>
      <c r="G194" s="9" t="n">
        <f aca="false">F194-H194</f>
        <v>34</v>
      </c>
      <c r="H194" s="9" t="n">
        <v>0</v>
      </c>
      <c r="Y194" s="0"/>
    </row>
    <row r="195" customFormat="false" ht="12.8" hidden="false" customHeight="false" outlineLevel="0" collapsed="false">
      <c r="A195" s="0" t="n">
        <v>30</v>
      </c>
      <c r="B195" s="34" t="n">
        <v>42522</v>
      </c>
      <c r="C195" s="164" t="n">
        <v>0</v>
      </c>
      <c r="D195" s="29" t="s">
        <v>42</v>
      </c>
      <c r="E195" s="33" t="n">
        <f aca="false">IF(D195="totale",(C195/(A195*24))/F195,IF(D195="marché libre",(C195/(A195*24))/G195,"spécifier histo"))</f>
        <v>0</v>
      </c>
      <c r="F195" s="9" t="n">
        <v>34</v>
      </c>
      <c r="G195" s="9" t="n">
        <f aca="false">F195-H195</f>
        <v>34</v>
      </c>
      <c r="H195" s="9" t="n">
        <v>0</v>
      </c>
      <c r="Y195" s="0"/>
    </row>
    <row r="196" customFormat="false" ht="12.8" hidden="false" customHeight="false" outlineLevel="0" collapsed="false">
      <c r="A196" s="0" t="n">
        <v>31</v>
      </c>
      <c r="B196" s="31" t="n">
        <v>42552</v>
      </c>
      <c r="C196" s="164" t="n">
        <v>0</v>
      </c>
      <c r="D196" s="29" t="s">
        <v>42</v>
      </c>
      <c r="E196" s="33" t="n">
        <f aca="false">IF(D196="totale",(C196/(A196*24))/F196,IF(D196="marché libre",(C196/(A196*24))/G196,"spécifier histo"))</f>
        <v>0</v>
      </c>
      <c r="F196" s="9" t="n">
        <v>34</v>
      </c>
      <c r="G196" s="9" t="n">
        <f aca="false">F196-H196</f>
        <v>34</v>
      </c>
      <c r="H196" s="9" t="n">
        <v>0</v>
      </c>
      <c r="Y196" s="0"/>
    </row>
    <row r="197" customFormat="false" ht="12.8" hidden="false" customHeight="false" outlineLevel="0" collapsed="false">
      <c r="A197" s="0" t="n">
        <v>31</v>
      </c>
      <c r="B197" s="34" t="n">
        <v>42583</v>
      </c>
      <c r="C197" s="164" t="n">
        <v>0</v>
      </c>
      <c r="D197" s="29" t="s">
        <v>42</v>
      </c>
      <c r="E197" s="33" t="n">
        <f aca="false">IF(D197="totale",(C197/(A197*24))/F197,IF(D197="marché libre",(C197/(A197*24))/G197,"spécifier histo"))</f>
        <v>0</v>
      </c>
      <c r="F197" s="9" t="n">
        <v>34</v>
      </c>
      <c r="G197" s="9" t="n">
        <f aca="false">F197-H197</f>
        <v>34</v>
      </c>
      <c r="H197" s="9" t="n">
        <v>0</v>
      </c>
      <c r="Y197" s="0"/>
    </row>
    <row r="198" customFormat="false" ht="12.8" hidden="false" customHeight="false" outlineLevel="0" collapsed="false">
      <c r="A198" s="0" t="n">
        <v>30</v>
      </c>
      <c r="B198" s="31" t="n">
        <v>42614</v>
      </c>
      <c r="C198" s="164" t="n">
        <v>0</v>
      </c>
      <c r="D198" s="29" t="s">
        <v>42</v>
      </c>
      <c r="E198" s="33" t="n">
        <f aca="false">IF(D198="totale",(C198/(A198*24))/F198,IF(D198="marché libre",(C198/(A198*24))/G198,"spécifier histo"))</f>
        <v>0</v>
      </c>
      <c r="F198" s="9" t="n">
        <v>34</v>
      </c>
      <c r="G198" s="9" t="n">
        <f aca="false">F198-H198</f>
        <v>34</v>
      </c>
      <c r="H198" s="9" t="n">
        <v>0</v>
      </c>
      <c r="Y198" s="0"/>
    </row>
    <row r="199" customFormat="false" ht="12.8" hidden="false" customHeight="false" outlineLevel="0" collapsed="false">
      <c r="A199" s="0" t="n">
        <v>31</v>
      </c>
      <c r="B199" s="34" t="n">
        <v>42644</v>
      </c>
      <c r="C199" s="164" t="n">
        <v>0</v>
      </c>
      <c r="D199" s="29" t="s">
        <v>42</v>
      </c>
      <c r="E199" s="33" t="n">
        <f aca="false">IF(D199="totale",(C199/(A199*24))/F199,IF(D199="marché libre",(C199/(A199*24))/G199,"spécifier histo"))</f>
        <v>0</v>
      </c>
      <c r="F199" s="9" t="n">
        <v>34</v>
      </c>
      <c r="G199" s="9" t="n">
        <f aca="false">F199-H199</f>
        <v>34</v>
      </c>
      <c r="H199" s="9" t="n">
        <v>0</v>
      </c>
      <c r="Y199" s="0"/>
    </row>
    <row r="200" customFormat="false" ht="12.8" hidden="false" customHeight="false" outlineLevel="0" collapsed="false">
      <c r="A200" s="0" t="n">
        <v>30</v>
      </c>
      <c r="B200" s="31" t="n">
        <v>42675</v>
      </c>
      <c r="C200" s="164" t="n">
        <v>0</v>
      </c>
      <c r="D200" s="29" t="s">
        <v>42</v>
      </c>
      <c r="E200" s="33" t="n">
        <f aca="false">IF(D200="totale",(C200/(A200*24))/F200,IF(D200="marché libre",(C200/(A200*24))/G200,"spécifier histo"))</f>
        <v>0</v>
      </c>
      <c r="F200" s="9" t="n">
        <v>34</v>
      </c>
      <c r="G200" s="9" t="n">
        <f aca="false">F200-H200</f>
        <v>34</v>
      </c>
      <c r="H200" s="9" t="n">
        <v>0</v>
      </c>
      <c r="Y200" s="0"/>
    </row>
    <row r="201" customFormat="false" ht="12.8" hidden="false" customHeight="false" outlineLevel="0" collapsed="false">
      <c r="A201" s="0" t="n">
        <v>31</v>
      </c>
      <c r="B201" s="34" t="n">
        <v>42705</v>
      </c>
      <c r="C201" s="164" t="n">
        <v>0</v>
      </c>
      <c r="D201" s="29" t="s">
        <v>42</v>
      </c>
      <c r="E201" s="33" t="n">
        <f aca="false">IF(D201="totale",(C201/(A201*24))/F201,IF(D201="marché libre",(C201/(A201*24))/G201,"spécifier histo"))</f>
        <v>0</v>
      </c>
      <c r="F201" s="9" t="n">
        <v>34</v>
      </c>
      <c r="G201" s="9" t="n">
        <f aca="false">F201-H201</f>
        <v>34</v>
      </c>
      <c r="H201" s="9" t="n">
        <v>0</v>
      </c>
      <c r="Y201" s="0"/>
    </row>
    <row r="202" customFormat="false" ht="12.8" hidden="false" customHeight="false" outlineLevel="0" collapsed="false">
      <c r="A202" s="0" t="n">
        <v>31</v>
      </c>
      <c r="B202" s="31" t="n">
        <v>42736</v>
      </c>
      <c r="C202" s="121" t="n">
        <v>0</v>
      </c>
      <c r="D202" s="29" t="s">
        <v>42</v>
      </c>
      <c r="E202" s="33" t="n">
        <f aca="false">IF(D202="totale",(C202/(A202*24))/F202,IF(D202="marché libre",(C202/(A202*24))/G202,"spécifier histo"))</f>
        <v>0</v>
      </c>
      <c r="F202" s="9" t="n">
        <v>34</v>
      </c>
      <c r="G202" s="9" t="n">
        <f aca="false">F202-H202</f>
        <v>34</v>
      </c>
      <c r="H202" s="9" t="n">
        <v>0</v>
      </c>
      <c r="Y202" s="0"/>
    </row>
    <row r="203" customFormat="false" ht="12.8" hidden="false" customHeight="false" outlineLevel="0" collapsed="false">
      <c r="A203" s="0" t="n">
        <v>28</v>
      </c>
      <c r="B203" s="34" t="n">
        <v>42767</v>
      </c>
      <c r="C203" s="121" t="n">
        <v>6683</v>
      </c>
      <c r="D203" s="29" t="s">
        <v>42</v>
      </c>
      <c r="E203" s="33" t="n">
        <f aca="false">IF(D203="totale",(C203/(A203*24))/F203,IF(D203="marché libre",(C203/(A203*24))/G203,"spécifier histo"))</f>
        <v>0.29249824929972</v>
      </c>
      <c r="F203" s="9" t="n">
        <v>34</v>
      </c>
      <c r="G203" s="9" t="n">
        <f aca="false">F203-H203</f>
        <v>34</v>
      </c>
      <c r="H203" s="9" t="n">
        <v>0</v>
      </c>
      <c r="Y203" s="0"/>
    </row>
    <row r="204" customFormat="false" ht="12.8" hidden="false" customHeight="false" outlineLevel="0" collapsed="false">
      <c r="A204" s="0" t="n">
        <v>31</v>
      </c>
      <c r="B204" s="31" t="n">
        <v>42795</v>
      </c>
      <c r="C204" s="121" t="n">
        <v>2246</v>
      </c>
      <c r="D204" s="29" t="s">
        <v>42</v>
      </c>
      <c r="E204" s="33" t="n">
        <f aca="false">IF(D204="totale",(C204/(A204*24))/F204,IF(D204="marché libre",(C204/(A204*24))/G204,"spécifier histo"))</f>
        <v>0.0887887413029728</v>
      </c>
      <c r="F204" s="9" t="n">
        <v>34</v>
      </c>
      <c r="G204" s="9" t="n">
        <f aca="false">F204-H204</f>
        <v>34</v>
      </c>
      <c r="H204" s="9" t="n">
        <v>0</v>
      </c>
      <c r="Y204" s="0"/>
    </row>
    <row r="205" customFormat="false" ht="12.8" hidden="false" customHeight="false" outlineLevel="0" collapsed="false">
      <c r="A205" s="0" t="n">
        <v>30</v>
      </c>
      <c r="B205" s="34" t="n">
        <v>42826</v>
      </c>
      <c r="C205" s="121" t="n">
        <v>0</v>
      </c>
      <c r="D205" s="29" t="s">
        <v>42</v>
      </c>
      <c r="E205" s="33" t="n">
        <f aca="false">IF(D205="totale",(C205/(A205*24))/F205,IF(D205="marché libre",(C205/(A205*24))/G205,"spécifier histo"))</f>
        <v>0</v>
      </c>
      <c r="F205" s="9" t="n">
        <v>34</v>
      </c>
      <c r="G205" s="9" t="n">
        <f aca="false">F205-H205</f>
        <v>34</v>
      </c>
      <c r="H205" s="9" t="n">
        <v>0</v>
      </c>
      <c r="Y205" s="0"/>
    </row>
    <row r="206" customFormat="false" ht="12.8" hidden="false" customHeight="false" outlineLevel="0" collapsed="false">
      <c r="A206" s="0" t="n">
        <v>31</v>
      </c>
      <c r="B206" s="31" t="n">
        <v>42856</v>
      </c>
      <c r="C206" s="121" t="n">
        <v>0</v>
      </c>
      <c r="D206" s="29" t="s">
        <v>42</v>
      </c>
      <c r="E206" s="33" t="n">
        <f aca="false">IF(D206="totale",(C206/(A206*24))/F206,IF(D206="marché libre",(C206/(A206*24))/G206,"spécifier histo"))</f>
        <v>0</v>
      </c>
      <c r="F206" s="9" t="n">
        <v>34</v>
      </c>
      <c r="G206" s="9" t="n">
        <f aca="false">F206-H206</f>
        <v>34</v>
      </c>
      <c r="H206" s="9" t="n">
        <v>0</v>
      </c>
      <c r="Y206" s="0"/>
    </row>
    <row r="207" customFormat="false" ht="12.8" hidden="false" customHeight="false" outlineLevel="0" collapsed="false">
      <c r="A207" s="0" t="n">
        <v>30</v>
      </c>
      <c r="B207" s="34" t="n">
        <v>42887</v>
      </c>
      <c r="C207" s="121" t="n">
        <v>0</v>
      </c>
      <c r="D207" s="29" t="s">
        <v>42</v>
      </c>
      <c r="E207" s="33" t="n">
        <f aca="false">IF(D207="totale",(C207/(A207*24))/F207,IF(D207="marché libre",(C207/(A207*24))/G207,"spécifier histo"))</f>
        <v>0</v>
      </c>
      <c r="F207" s="9" t="n">
        <v>34</v>
      </c>
      <c r="G207" s="9" t="n">
        <f aca="false">F207-H207</f>
        <v>34</v>
      </c>
      <c r="H207" s="9" t="n">
        <v>0</v>
      </c>
      <c r="Y207" s="0"/>
    </row>
    <row r="208" customFormat="false" ht="12.8" hidden="false" customHeight="false" outlineLevel="0" collapsed="false">
      <c r="A208" s="0" t="n">
        <v>31</v>
      </c>
      <c r="B208" s="31" t="n">
        <v>42917</v>
      </c>
      <c r="C208" s="121" t="n">
        <v>0</v>
      </c>
      <c r="D208" s="29" t="s">
        <v>42</v>
      </c>
      <c r="E208" s="33" t="n">
        <f aca="false">IF(D208="totale",(C208/(A208*24))/F208,IF(D208="marché libre",(C208/(A208*24))/G208,"spécifier histo"))</f>
        <v>0</v>
      </c>
      <c r="F208" s="9" t="n">
        <v>34</v>
      </c>
      <c r="G208" s="9" t="n">
        <f aca="false">F208-H208</f>
        <v>34</v>
      </c>
      <c r="H208" s="9" t="n">
        <v>0</v>
      </c>
      <c r="Y208" s="0"/>
    </row>
    <row r="209" customFormat="false" ht="12.8" hidden="false" customHeight="false" outlineLevel="0" collapsed="false">
      <c r="A209" s="0" t="n">
        <v>31</v>
      </c>
      <c r="B209" s="34" t="n">
        <v>42948</v>
      </c>
      <c r="C209" s="121" t="n">
        <v>0</v>
      </c>
      <c r="D209" s="29" t="s">
        <v>42</v>
      </c>
      <c r="E209" s="33" t="n">
        <f aca="false">IF(D209="totale",(C209/(A209*24))/F209,IF(D209="marché libre",(C209/(A209*24))/G209,"spécifier histo"))</f>
        <v>0</v>
      </c>
      <c r="F209" s="9" t="n">
        <v>34</v>
      </c>
      <c r="G209" s="9" t="n">
        <f aca="false">F209-H209</f>
        <v>34</v>
      </c>
      <c r="H209" s="9" t="n">
        <v>0</v>
      </c>
      <c r="Y209" s="0"/>
    </row>
    <row r="210" customFormat="false" ht="12.8" hidden="false" customHeight="false" outlineLevel="0" collapsed="false">
      <c r="A210" s="0" t="n">
        <v>30</v>
      </c>
      <c r="B210" s="31" t="n">
        <v>42979</v>
      </c>
      <c r="C210" s="121" t="n">
        <v>0</v>
      </c>
      <c r="D210" s="29" t="s">
        <v>42</v>
      </c>
      <c r="E210" s="33" t="n">
        <f aca="false">IF(D210="totale",(C210/(A210*24))/F210,IF(D210="marché libre",(C210/(A210*24))/G210,"spécifier histo"))</f>
        <v>0</v>
      </c>
      <c r="F210" s="9" t="n">
        <v>34</v>
      </c>
      <c r="G210" s="9" t="n">
        <f aca="false">F210-H210</f>
        <v>34</v>
      </c>
      <c r="H210" s="9" t="n">
        <v>0</v>
      </c>
      <c r="Y210" s="0"/>
    </row>
    <row r="211" customFormat="false" ht="12.8" hidden="false" customHeight="false" outlineLevel="0" collapsed="false">
      <c r="A211" s="0" t="n">
        <v>31</v>
      </c>
      <c r="B211" s="34" t="n">
        <v>43009</v>
      </c>
      <c r="C211" s="121" t="n">
        <v>0</v>
      </c>
      <c r="D211" s="29" t="s">
        <v>42</v>
      </c>
      <c r="E211" s="33" t="n">
        <f aca="false">IF(D211="totale",(C211/(A211*24))/F211,IF(D211="marché libre",(C211/(A211*24))/G211,"spécifier histo"))</f>
        <v>0</v>
      </c>
      <c r="F211" s="9" t="n">
        <v>34</v>
      </c>
      <c r="G211" s="9" t="n">
        <f aca="false">F211-H211</f>
        <v>34</v>
      </c>
      <c r="H211" s="9" t="n">
        <v>0</v>
      </c>
      <c r="Y211" s="0"/>
    </row>
    <row r="212" customFormat="false" ht="12.8" hidden="false" customHeight="false" outlineLevel="0" collapsed="false">
      <c r="A212" s="0" t="n">
        <v>30</v>
      </c>
      <c r="B212" s="31" t="n">
        <v>43040</v>
      </c>
      <c r="C212" s="121" t="n">
        <v>0</v>
      </c>
      <c r="D212" s="29" t="s">
        <v>42</v>
      </c>
      <c r="E212" s="33" t="n">
        <f aca="false">IF(D212="totale",(C212/(A212*24))/F212,IF(D212="marché libre",(C212/(A212*24))/G212,"spécifier histo"))</f>
        <v>0</v>
      </c>
      <c r="F212" s="9" t="n">
        <v>34</v>
      </c>
      <c r="G212" s="9" t="n">
        <f aca="false">F212-H212</f>
        <v>34</v>
      </c>
      <c r="H212" s="9" t="n">
        <v>0</v>
      </c>
      <c r="Y212" s="0"/>
    </row>
    <row r="213" customFormat="false" ht="12.8" hidden="false" customHeight="false" outlineLevel="0" collapsed="false">
      <c r="A213" s="0" t="n">
        <v>31</v>
      </c>
      <c r="B213" s="34" t="n">
        <v>43070</v>
      </c>
      <c r="C213" s="121" t="n">
        <v>0</v>
      </c>
      <c r="D213" s="29" t="s">
        <v>42</v>
      </c>
      <c r="E213" s="33" t="n">
        <f aca="false">IF(D213="totale",(C213/(A213*24))/F213,IF(D213="marché libre",(C213/(A213*24))/G213,"spécifier histo"))</f>
        <v>0</v>
      </c>
      <c r="F213" s="9" t="n">
        <v>34</v>
      </c>
      <c r="G213" s="9" t="n">
        <f aca="false">F213-H213</f>
        <v>34</v>
      </c>
      <c r="H213" s="9" t="n">
        <v>0</v>
      </c>
      <c r="Y213" s="0"/>
    </row>
    <row r="214" customFormat="false" ht="12.8" hidden="false" customHeight="false" outlineLevel="0" collapsed="false">
      <c r="A214" s="0" t="n">
        <v>31</v>
      </c>
      <c r="B214" s="31" t="n">
        <v>43101</v>
      </c>
      <c r="C214" s="121" t="n">
        <v>4091</v>
      </c>
      <c r="D214" s="29" t="s">
        <v>42</v>
      </c>
      <c r="E214" s="33" t="n">
        <f aca="false">IF(D214="totale",(C214/(A214*24))/F214,IF(D214="marché libre",(C214/(A214*24))/G214,"spécifier histo"))</f>
        <v>0.161725173940544</v>
      </c>
      <c r="F214" s="9" t="n">
        <v>34</v>
      </c>
      <c r="G214" s="9" t="n">
        <f aca="false">F214-H214</f>
        <v>34</v>
      </c>
      <c r="H214" s="9" t="n">
        <v>0</v>
      </c>
      <c r="Y214" s="0"/>
    </row>
    <row r="215" customFormat="false" ht="12.8" hidden="false" customHeight="false" outlineLevel="0" collapsed="false">
      <c r="A215" s="0" t="n">
        <v>28</v>
      </c>
      <c r="B215" s="34" t="n">
        <v>43132</v>
      </c>
      <c r="C215" s="121" t="n">
        <v>9072</v>
      </c>
      <c r="D215" s="29" t="s">
        <v>42</v>
      </c>
      <c r="E215" s="33" t="n">
        <f aca="false">IF(D215="totale",(C215/(A215*24))/F215,IF(D215="marché libre",(C215/(A215*24))/G215,"spécifier histo"))</f>
        <v>0.397058823529412</v>
      </c>
      <c r="F215" s="9" t="n">
        <v>34</v>
      </c>
      <c r="G215" s="9" t="n">
        <f aca="false">F215-H215</f>
        <v>34</v>
      </c>
      <c r="H215" s="9" t="n">
        <v>0</v>
      </c>
      <c r="Y215" s="0"/>
    </row>
    <row r="216" customFormat="false" ht="12.8" hidden="false" customHeight="false" outlineLevel="0" collapsed="false">
      <c r="A216" s="0" t="n">
        <v>31</v>
      </c>
      <c r="B216" s="31" t="n">
        <v>43160</v>
      </c>
      <c r="C216" s="121" t="n">
        <v>9647</v>
      </c>
      <c r="D216" s="29" t="s">
        <v>42</v>
      </c>
      <c r="E216" s="33" t="n">
        <f aca="false">IF(D216="totale",(C216/(A216*24))/F216,IF(D216="marché libre",(C216/(A216*24))/G216,"spécifier histo"))</f>
        <v>0.381364642631246</v>
      </c>
      <c r="F216" s="9" t="n">
        <v>34</v>
      </c>
      <c r="G216" s="9" t="n">
        <f aca="false">F216-H216</f>
        <v>34</v>
      </c>
      <c r="H216" s="9" t="n">
        <v>0</v>
      </c>
      <c r="Y216" s="0"/>
    </row>
    <row r="217" customFormat="false" ht="12.8" hidden="false" customHeight="false" outlineLevel="0" collapsed="false">
      <c r="A217" s="0" t="n">
        <v>28</v>
      </c>
      <c r="B217" s="34" t="n">
        <v>43191</v>
      </c>
      <c r="C217" s="121" t="n">
        <v>9000</v>
      </c>
      <c r="D217" s="29" t="s">
        <v>42</v>
      </c>
      <c r="E217" s="33" t="n">
        <f aca="false">IF(D217="totale",(C217/(A217*24))/F217,IF(D217="marché libre",(C217/(A217*24))/G217,"spécifier histo"))</f>
        <v>0.39390756302521</v>
      </c>
      <c r="F217" s="9" t="n">
        <v>34</v>
      </c>
      <c r="G217" s="9" t="n">
        <f aca="false">F217-H217</f>
        <v>34</v>
      </c>
      <c r="H217" s="9" t="n">
        <v>0</v>
      </c>
      <c r="Y217" s="0"/>
    </row>
    <row r="218" customFormat="false" ht="12.8" hidden="false" customHeight="false" outlineLevel="0" collapsed="false">
      <c r="A218" s="0" t="n">
        <v>31</v>
      </c>
      <c r="B218" s="31" t="n">
        <v>43221</v>
      </c>
      <c r="C218" s="121" t="n">
        <v>0</v>
      </c>
      <c r="D218" s="29" t="s">
        <v>42</v>
      </c>
      <c r="E218" s="33" t="n">
        <f aca="false">IF(D218="totale",(C218/(A218*24))/F218,IF(D218="marché libre",(C218/(A218*24))/G218,"spécifier histo"))</f>
        <v>0</v>
      </c>
      <c r="F218" s="9" t="n">
        <v>34</v>
      </c>
      <c r="G218" s="9" t="n">
        <f aca="false">F218-H218</f>
        <v>34</v>
      </c>
      <c r="H218" s="9" t="n">
        <v>0</v>
      </c>
      <c r="Y218" s="0"/>
    </row>
    <row r="219" customFormat="false" ht="12.8" hidden="false" customHeight="false" outlineLevel="0" collapsed="false">
      <c r="A219" s="0" t="n">
        <v>30</v>
      </c>
      <c r="B219" s="34" t="n">
        <v>43252</v>
      </c>
      <c r="C219" s="121" t="n">
        <v>0</v>
      </c>
      <c r="D219" s="29" t="s">
        <v>42</v>
      </c>
      <c r="E219" s="33" t="n">
        <f aca="false">IF(D219="totale",(C219/(A219*24))/F219,IF(D219="marché libre",(C219/(A219*24))/G219,"spécifier histo"))</f>
        <v>0</v>
      </c>
      <c r="F219" s="9" t="n">
        <v>34</v>
      </c>
      <c r="G219" s="9" t="n">
        <f aca="false">F219-H219</f>
        <v>34</v>
      </c>
      <c r="H219" s="9" t="n">
        <v>0</v>
      </c>
      <c r="Y219" s="0"/>
    </row>
    <row r="220" customFormat="false" ht="12.8" hidden="false" customHeight="false" outlineLevel="0" collapsed="false">
      <c r="A220" s="0" t="n">
        <v>31</v>
      </c>
      <c r="B220" s="31" t="n">
        <v>43282</v>
      </c>
      <c r="C220" s="121" t="n">
        <v>0</v>
      </c>
      <c r="D220" s="29" t="s">
        <v>42</v>
      </c>
      <c r="E220" s="33" t="n">
        <f aca="false">IF(D220="totale",(C220/(A220*24))/F220,IF(D220="marché libre",(C220/(A220*24))/G220,"spécifier histo"))</f>
        <v>0</v>
      </c>
      <c r="F220" s="9" t="n">
        <v>34</v>
      </c>
      <c r="G220" s="9" t="n">
        <f aca="false">F220-H220</f>
        <v>34</v>
      </c>
      <c r="H220" s="9" t="n">
        <v>0</v>
      </c>
      <c r="Y220" s="0"/>
    </row>
    <row r="221" customFormat="false" ht="12.8" hidden="false" customHeight="false" outlineLevel="0" collapsed="false">
      <c r="A221" s="0" t="n">
        <v>30</v>
      </c>
      <c r="B221" s="34" t="n">
        <v>43313</v>
      </c>
      <c r="C221" s="121" t="n">
        <v>0</v>
      </c>
      <c r="D221" s="29" t="s">
        <v>42</v>
      </c>
      <c r="E221" s="33" t="n">
        <f aca="false">IF(D221="totale",(C221/(A221*24))/F221,IF(D221="marché libre",(C221/(A221*24))/G221,"spécifier histo"))</f>
        <v>0</v>
      </c>
      <c r="F221" s="9" t="n">
        <v>34</v>
      </c>
      <c r="G221" s="9" t="n">
        <f aca="false">F221-H221</f>
        <v>34</v>
      </c>
      <c r="H221" s="9" t="n">
        <v>0</v>
      </c>
      <c r="Y221" s="0"/>
    </row>
    <row r="222" customFormat="false" ht="12.8" hidden="false" customHeight="false" outlineLevel="0" collapsed="false">
      <c r="A222" s="0" t="n">
        <v>31</v>
      </c>
      <c r="B222" s="31" t="n">
        <v>43344</v>
      </c>
      <c r="C222" s="1" t="n">
        <v>0</v>
      </c>
      <c r="D222" s="29" t="s">
        <v>42</v>
      </c>
      <c r="E222" s="33" t="n">
        <f aca="false">IF(D222="totale",(C222/(A222*24))/F222,IF(D222="marché libre",(C222/(A222*24))/G222,"spécifier histo"))</f>
        <v>0</v>
      </c>
      <c r="F222" s="9" t="n">
        <v>34</v>
      </c>
      <c r="G222" s="9" t="n">
        <f aca="false">F222-H222</f>
        <v>34</v>
      </c>
      <c r="H222" s="9" t="n">
        <v>0</v>
      </c>
      <c r="Y222" s="0"/>
    </row>
    <row r="223" customFormat="false" ht="12.8" hidden="false" customHeight="false" outlineLevel="0" collapsed="false">
      <c r="A223" s="1"/>
      <c r="B223" s="1"/>
      <c r="C223" s="1"/>
      <c r="D223" s="1"/>
      <c r="E223" s="1"/>
      <c r="Y223" s="0"/>
    </row>
    <row r="224" customFormat="false" ht="12.8" hidden="false" customHeight="false" outlineLevel="0" collapsed="false">
      <c r="Y224" s="0"/>
    </row>
    <row r="225" customFormat="false" ht="12.8" hidden="false" customHeight="false" outlineLevel="0" collapsed="false">
      <c r="Y225" s="0"/>
    </row>
    <row r="226" customFormat="false" ht="12.8" hidden="false" customHeight="false" outlineLevel="0" collapsed="false">
      <c r="Y226" s="0"/>
    </row>
    <row r="227" customFormat="false" ht="12.8" hidden="false" customHeight="false" outlineLevel="0" collapsed="false">
      <c r="Y227" s="0"/>
    </row>
    <row r="228" customFormat="false" ht="12.8" hidden="false" customHeight="false" outlineLevel="0" collapsed="false">
      <c r="Y228" s="0"/>
    </row>
    <row r="229" customFormat="false" ht="12.8" hidden="false" customHeight="false" outlineLevel="0" collapsed="false">
      <c r="Y229" s="0"/>
    </row>
    <row r="230" customFormat="false" ht="12.8" hidden="false" customHeight="false" outlineLevel="0" collapsed="false">
      <c r="Y230" s="0"/>
    </row>
    <row r="231" customFormat="false" ht="12.8" hidden="false" customHeight="false" outlineLevel="0" collapsed="false">
      <c r="Y231" s="0"/>
    </row>
    <row r="232" customFormat="false" ht="12.8" hidden="false" customHeight="false" outlineLevel="0" collapsed="false">
      <c r="Y232" s="0"/>
    </row>
    <row r="233" customFormat="false" ht="12.8" hidden="false" customHeight="false" outlineLevel="0" collapsed="false">
      <c r="Y233" s="0"/>
    </row>
  </sheetData>
  <mergeCells count="43">
    <mergeCell ref="B1:E2"/>
    <mergeCell ref="F1:O1"/>
    <mergeCell ref="F2:I2"/>
    <mergeCell ref="J2:L2"/>
    <mergeCell ref="M2:N2"/>
    <mergeCell ref="O2:O3"/>
    <mergeCell ref="J3:K3"/>
    <mergeCell ref="J4:K4"/>
    <mergeCell ref="U4:W4"/>
    <mergeCell ref="C6:D6"/>
    <mergeCell ref="F6:F7"/>
    <mergeCell ref="G6:O7"/>
    <mergeCell ref="C7:D7"/>
    <mergeCell ref="P21:X21"/>
    <mergeCell ref="P23:P24"/>
    <mergeCell ref="Q23:T23"/>
    <mergeCell ref="U23:X23"/>
    <mergeCell ref="Y23:AB23"/>
    <mergeCell ref="P39:X39"/>
    <mergeCell ref="P41:P42"/>
    <mergeCell ref="Q41:T41"/>
    <mergeCell ref="U41:X41"/>
    <mergeCell ref="Y41:AB41"/>
    <mergeCell ref="AD46:AL46"/>
    <mergeCell ref="AD48:AD49"/>
    <mergeCell ref="AE48:AH48"/>
    <mergeCell ref="AI48:AL48"/>
    <mergeCell ref="AM48:AP48"/>
    <mergeCell ref="P57:X57"/>
    <mergeCell ref="P59:P60"/>
    <mergeCell ref="Q59:T59"/>
    <mergeCell ref="U59:X59"/>
    <mergeCell ref="Y59:AB59"/>
    <mergeCell ref="AD64:AL64"/>
    <mergeCell ref="AD66:AD67"/>
    <mergeCell ref="AE66:AH66"/>
    <mergeCell ref="AI66:AL66"/>
    <mergeCell ref="AM66:AP66"/>
    <mergeCell ref="AD82:AL82"/>
    <mergeCell ref="AD84:AD85"/>
    <mergeCell ref="AE84:AH84"/>
    <mergeCell ref="AI84:AL84"/>
    <mergeCell ref="AM84:AP84"/>
  </mergeCells>
  <conditionalFormatting sqref="E10:E222">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1.xml><?xml version="1.0" encoding="utf-8"?>
<worksheet xmlns="http://schemas.openxmlformats.org/spreadsheetml/2006/main" xmlns:r="http://schemas.openxmlformats.org/officeDocument/2006/relationships">
  <sheetPr filterMode="false">
    <tabColor rgb="FF009933"/>
    <pageSetUpPr fitToPage="false"/>
  </sheetPr>
  <dimension ref="A1:Z24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22" activePane="bottomRight" state="frozen"/>
      <selection pane="topLeft" activeCell="A1" activeCellId="0" sqref="A1"/>
      <selection pane="topRight" activeCell="B1" activeCellId="0" sqref="B1"/>
      <selection pane="bottomLeft" activeCell="A222" activeCellId="0" sqref="A222"/>
      <selection pane="bottomRight" activeCell="B228" activeCellId="0" sqref="B228"/>
    </sheetView>
  </sheetViews>
  <sheetFormatPr defaultRowHeight="12.8" zeroHeight="false" outlineLevelRow="0" outlineLevelCol="0"/>
  <cols>
    <col collapsed="false" customWidth="true" hidden="false" outlineLevel="0" max="1" min="1" style="1" width="4.47"/>
    <col collapsed="false" customWidth="true" hidden="false" outlineLevel="0" max="2" min="2" style="1" width="17.13"/>
    <col collapsed="false" customWidth="true" hidden="false" outlineLevel="0" max="3" min="3" style="1" width="14.81"/>
    <col collapsed="false" customWidth="true" hidden="false" outlineLevel="0" max="5" min="4" style="1" width="16.07"/>
    <col collapsed="false" customWidth="true" hidden="false" outlineLevel="0" max="6" min="6" style="1" width="15.42"/>
    <col collapsed="false" customWidth="true" hidden="false" outlineLevel="0" max="7" min="7" style="1" width="16.21"/>
    <col collapsed="false" customWidth="true" hidden="false" outlineLevel="0" max="8" min="8" style="1" width="14.35"/>
    <col collapsed="false" customWidth="true" hidden="false" outlineLevel="0" max="9" min="9" style="1" width="21.3"/>
    <col collapsed="false" customWidth="true" hidden="false" outlineLevel="0" max="10" min="10" style="1" width="23.46"/>
    <col collapsed="false" customWidth="true" hidden="false" outlineLevel="0" max="11" min="11" style="1" width="13.12"/>
    <col collapsed="false" customWidth="true" hidden="false" outlineLevel="0" max="12" min="12" style="1" width="16.98"/>
    <col collapsed="false" customWidth="true" hidden="false" outlineLevel="0" max="13" min="13" style="1" width="23.15"/>
    <col collapsed="false" customWidth="false" hidden="false" outlineLevel="0" max="14" min="14" style="1" width="11.52"/>
    <col collapsed="false" customWidth="true" hidden="false" outlineLevel="0" max="15" min="15" style="1" width="10.8"/>
    <col collapsed="false" customWidth="true" hidden="false" outlineLevel="0" max="16" min="16" style="1" width="4.17"/>
    <col collapsed="false" customWidth="false" hidden="false" outlineLevel="0" max="17" min="17" style="1" width="11.52"/>
    <col collapsed="false" customWidth="true" hidden="false" outlineLevel="0" max="18" min="18" style="1" width="15.28"/>
    <col collapsed="false" customWidth="true" hidden="false" outlineLevel="0" max="19" min="19" style="1" width="4.47"/>
    <col collapsed="false" customWidth="false" hidden="false" outlineLevel="0" max="1025" min="20" style="1" width="11.52"/>
  </cols>
  <sheetData>
    <row r="1" customFormat="false" ht="30.8" hidden="false" customHeight="true" outlineLevel="0" collapsed="false">
      <c r="B1" s="2" t="s">
        <v>0</v>
      </c>
      <c r="C1" s="2"/>
      <c r="D1" s="2"/>
      <c r="E1" s="2"/>
      <c r="F1" s="3" t="s">
        <v>1</v>
      </c>
      <c r="G1" s="3"/>
      <c r="H1" s="3"/>
      <c r="I1" s="3"/>
      <c r="J1" s="3"/>
      <c r="K1" s="3"/>
      <c r="L1" s="3"/>
      <c r="M1" s="3"/>
      <c r="N1" s="3"/>
      <c r="O1" s="3"/>
    </row>
    <row r="2" customFormat="false" ht="30.8" hidden="false" customHeight="true" outlineLevel="0" collapsed="false">
      <c r="B2" s="2"/>
      <c r="C2" s="2"/>
      <c r="D2" s="2"/>
      <c r="E2" s="2"/>
      <c r="F2" s="3" t="s">
        <v>2</v>
      </c>
      <c r="G2" s="3"/>
      <c r="H2" s="3"/>
      <c r="I2" s="3"/>
      <c r="J2" s="3" t="s">
        <v>3</v>
      </c>
      <c r="K2" s="3"/>
      <c r="L2" s="3"/>
      <c r="M2" s="3" t="s">
        <v>4</v>
      </c>
      <c r="N2" s="3"/>
      <c r="O2" s="3" t="s">
        <v>5</v>
      </c>
      <c r="Q2" s="4"/>
      <c r="R2" s="5" t="s">
        <v>6</v>
      </c>
      <c r="T2" s="6"/>
      <c r="U2" s="8" t="s">
        <v>8</v>
      </c>
      <c r="V2" s="9"/>
      <c r="W2" s="9"/>
    </row>
    <row r="3" customFormat="false" ht="37.45" hidden="false" customHeight="true" outlineLevel="0" collapsed="false">
      <c r="B3" s="10" t="s">
        <v>9</v>
      </c>
      <c r="C3" s="10" t="s">
        <v>10</v>
      </c>
      <c r="D3" s="10" t="s">
        <v>11</v>
      </c>
      <c r="E3" s="11" t="s">
        <v>12</v>
      </c>
      <c r="F3" s="10" t="s">
        <v>13</v>
      </c>
      <c r="G3" s="10" t="s">
        <v>14</v>
      </c>
      <c r="H3" s="10" t="s">
        <v>15</v>
      </c>
      <c r="I3" s="10" t="s">
        <v>129</v>
      </c>
      <c r="J3" s="10" t="s">
        <v>130</v>
      </c>
      <c r="K3" s="10" t="s">
        <v>91</v>
      </c>
      <c r="L3" s="10" t="s">
        <v>18</v>
      </c>
      <c r="M3" s="10" t="s">
        <v>19</v>
      </c>
      <c r="N3" s="10" t="s">
        <v>17</v>
      </c>
      <c r="O3" s="3"/>
      <c r="Q3" s="12"/>
      <c r="R3" s="5" t="s">
        <v>20</v>
      </c>
      <c r="T3" s="13"/>
      <c r="U3" s="8" t="s">
        <v>21</v>
      </c>
      <c r="V3" s="9"/>
      <c r="W3" s="9"/>
    </row>
    <row r="4" customFormat="false" ht="43.3" hidden="false" customHeight="true" outlineLevel="0" collapsed="false">
      <c r="B4" s="16" t="s">
        <v>131</v>
      </c>
      <c r="C4" s="16" t="n">
        <v>31108</v>
      </c>
      <c r="D4" s="5" t="s">
        <v>132</v>
      </c>
      <c r="E4" s="14" t="s">
        <v>133</v>
      </c>
      <c r="F4" s="15" t="n">
        <v>1465</v>
      </c>
      <c r="G4" s="15" t="n">
        <v>1350</v>
      </c>
      <c r="H4" s="15" t="n">
        <v>1350</v>
      </c>
      <c r="I4" s="16" t="s">
        <v>134</v>
      </c>
      <c r="J4" s="15" t="n">
        <v>1350</v>
      </c>
      <c r="K4" s="15" t="n">
        <v>1390</v>
      </c>
      <c r="L4" s="16" t="s">
        <v>135</v>
      </c>
      <c r="M4" s="16" t="s">
        <v>136</v>
      </c>
      <c r="N4" s="16" t="n">
        <v>1390</v>
      </c>
      <c r="O4" s="4"/>
      <c r="Q4" s="17"/>
      <c r="R4" s="16" t="s">
        <v>23</v>
      </c>
      <c r="T4" s="18"/>
      <c r="U4" s="19" t="s">
        <v>24</v>
      </c>
      <c r="V4" s="19"/>
      <c r="W4" s="19"/>
    </row>
    <row r="5" customFormat="false" ht="28.35" hidden="false" customHeight="true" outlineLevel="0" collapsed="false">
      <c r="F5" s="9"/>
      <c r="G5" s="9"/>
      <c r="H5" s="9"/>
      <c r="J5" s="9"/>
      <c r="K5" s="9"/>
      <c r="Q5" s="9"/>
      <c r="R5" s="9"/>
    </row>
    <row r="6" customFormat="false" ht="40.8" hidden="false" customHeight="true" outlineLevel="0" collapsed="false">
      <c r="B6" s="0"/>
      <c r="C6" s="10" t="s">
        <v>25</v>
      </c>
      <c r="D6" s="10"/>
      <c r="F6" s="20" t="s">
        <v>26</v>
      </c>
      <c r="G6" s="15" t="s">
        <v>137</v>
      </c>
      <c r="H6" s="15"/>
      <c r="I6" s="15"/>
      <c r="J6" s="15"/>
      <c r="K6" s="15"/>
      <c r="L6" s="15"/>
      <c r="M6" s="15"/>
      <c r="N6" s="15"/>
      <c r="O6" s="15"/>
      <c r="Q6" s="125" t="n">
        <v>41183</v>
      </c>
      <c r="R6" s="19" t="s">
        <v>27</v>
      </c>
      <c r="S6" s="9"/>
      <c r="T6" s="22"/>
      <c r="U6" s="5" t="s">
        <v>28</v>
      </c>
    </row>
    <row r="7" customFormat="false" ht="46.65" hidden="false" customHeight="true" outlineLevel="0" collapsed="false">
      <c r="B7" s="0"/>
      <c r="C7" s="126" t="s">
        <v>138</v>
      </c>
      <c r="D7" s="126"/>
      <c r="F7" s="20"/>
      <c r="G7" s="20"/>
      <c r="H7" s="15"/>
      <c r="I7" s="15"/>
      <c r="J7" s="15"/>
      <c r="K7" s="15"/>
      <c r="L7" s="15"/>
      <c r="M7" s="15"/>
      <c r="N7" s="15"/>
      <c r="O7" s="15"/>
      <c r="Q7" s="24"/>
      <c r="R7" s="5" t="s">
        <v>29</v>
      </c>
      <c r="S7" s="9"/>
      <c r="T7" s="25"/>
      <c r="U7" s="5" t="s">
        <v>30</v>
      </c>
    </row>
    <row r="8" customFormat="false" ht="44.15" hidden="false" customHeight="true" outlineLevel="0" collapsed="false">
      <c r="F8" s="9"/>
      <c r="G8" s="9"/>
      <c r="H8" s="9"/>
      <c r="J8" s="9"/>
      <c r="K8" s="9"/>
      <c r="S8" s="9"/>
      <c r="T8" s="27"/>
      <c r="U8" s="16" t="s">
        <v>31</v>
      </c>
    </row>
    <row r="9" customFormat="false" ht="38.3" hidden="false" customHeight="true" outlineLevel="0" collapsed="false">
      <c r="B9" s="9" t="s">
        <v>32</v>
      </c>
      <c r="C9" s="9" t="s">
        <v>51</v>
      </c>
      <c r="D9" s="29" t="s">
        <v>52</v>
      </c>
      <c r="E9" s="1" t="s">
        <v>35</v>
      </c>
      <c r="F9" s="9" t="s">
        <v>36</v>
      </c>
      <c r="G9" s="9" t="s">
        <v>37</v>
      </c>
      <c r="H9" s="9" t="s">
        <v>38</v>
      </c>
      <c r="I9" s="9" t="s">
        <v>39</v>
      </c>
      <c r="J9" s="30" t="s">
        <v>40</v>
      </c>
      <c r="K9" s="30"/>
    </row>
    <row r="10" customFormat="false" ht="18.15" hidden="false" customHeight="true" outlineLevel="0" collapsed="false">
      <c r="A10" s="0" t="n">
        <v>31</v>
      </c>
      <c r="B10" s="31" t="n">
        <v>36526</v>
      </c>
      <c r="C10" s="165" t="n">
        <v>538800</v>
      </c>
      <c r="D10" s="59" t="s">
        <v>41</v>
      </c>
      <c r="E10" s="33" t="n">
        <f aca="false">IF(D10="totale",(C10/(A10*24))/F10,IF(D10="marché libre",(C10/(A10*24))/G10,"spécifier histo"))</f>
        <v>0.536439665471924</v>
      </c>
      <c r="F10" s="59" t="n">
        <v>1350</v>
      </c>
      <c r="G10" s="59" t="n">
        <f aca="false">F10-H10</f>
        <v>1350</v>
      </c>
      <c r="H10" s="59" t="n">
        <v>0</v>
      </c>
      <c r="I10" s="9"/>
      <c r="J10" s="30"/>
      <c r="K10" s="30"/>
    </row>
    <row r="11" customFormat="false" ht="18.15" hidden="false" customHeight="true" outlineLevel="0" collapsed="false">
      <c r="A11" s="0" t="n">
        <v>28</v>
      </c>
      <c r="B11" s="34" t="n">
        <v>36557</v>
      </c>
      <c r="C11" s="165" t="n">
        <v>678800</v>
      </c>
      <c r="D11" s="59" t="s">
        <v>41</v>
      </c>
      <c r="E11" s="33" t="n">
        <f aca="false">IF(D11="totale",(C11/(A11*24))/F11,IF(D11="marché libre",(C11/(A11*24))/G11,"spécifier histo"))</f>
        <v>0.748236331569665</v>
      </c>
      <c r="F11" s="59" t="n">
        <v>1350</v>
      </c>
      <c r="G11" s="59" t="n">
        <f aca="false">F11-H11</f>
        <v>1350</v>
      </c>
      <c r="H11" s="59" t="n">
        <v>0</v>
      </c>
      <c r="I11" s="9"/>
      <c r="J11" s="166" t="s">
        <v>139</v>
      </c>
      <c r="K11" s="30"/>
    </row>
    <row r="12" customFormat="false" ht="18.15" hidden="false" customHeight="true" outlineLevel="0" collapsed="false">
      <c r="A12" s="0" t="n">
        <v>31</v>
      </c>
      <c r="B12" s="31" t="n">
        <v>36586</v>
      </c>
      <c r="C12" s="165" t="n">
        <v>642400</v>
      </c>
      <c r="D12" s="59" t="s">
        <v>41</v>
      </c>
      <c r="E12" s="33" t="n">
        <f aca="false">IF(D12="totale",(C12/(A12*24))/F12,IF(D12="marché libre",(C12/(A12*24))/G12,"spécifier histo"))</f>
        <v>0.639585822381521</v>
      </c>
      <c r="F12" s="59" t="n">
        <v>1350</v>
      </c>
      <c r="G12" s="59" t="n">
        <f aca="false">F12-H12</f>
        <v>1350</v>
      </c>
      <c r="H12" s="59" t="n">
        <v>0</v>
      </c>
      <c r="I12" s="9"/>
      <c r="J12" s="30"/>
      <c r="K12" s="30"/>
    </row>
    <row r="13" customFormat="false" ht="18.15" hidden="false" customHeight="true" outlineLevel="0" collapsed="false">
      <c r="A13" s="0" t="n">
        <v>30</v>
      </c>
      <c r="B13" s="34" t="n">
        <v>36617</v>
      </c>
      <c r="C13" s="165" t="n">
        <v>580400</v>
      </c>
      <c r="D13" s="59" t="s">
        <v>41</v>
      </c>
      <c r="E13" s="33" t="n">
        <f aca="false">IF(D13="totale",(C13/(A13*24))/F13,IF(D13="marché libre",(C13/(A13*24))/G13,"spécifier histo"))</f>
        <v>0.597119341563786</v>
      </c>
      <c r="F13" s="59" t="n">
        <v>1350</v>
      </c>
      <c r="G13" s="59" t="n">
        <f aca="false">F13-H13</f>
        <v>1350</v>
      </c>
      <c r="H13" s="59" t="n">
        <v>0</v>
      </c>
      <c r="I13" s="9"/>
      <c r="J13" s="30"/>
      <c r="K13" s="30"/>
    </row>
    <row r="14" customFormat="false" ht="18.15" hidden="false" customHeight="true" outlineLevel="0" collapsed="false">
      <c r="A14" s="0" t="n">
        <v>31</v>
      </c>
      <c r="B14" s="31" t="n">
        <v>36647</v>
      </c>
      <c r="C14" s="165" t="n">
        <v>320400</v>
      </c>
      <c r="D14" s="59" t="s">
        <v>41</v>
      </c>
      <c r="E14" s="33" t="n">
        <f aca="false">IF(D14="totale",(C14/(A14*24))/F14,IF(D14="marché libre",(C14/(A14*24))/G14,"spécifier histo"))</f>
        <v>0.318996415770609</v>
      </c>
      <c r="F14" s="59" t="n">
        <v>1350</v>
      </c>
      <c r="G14" s="59" t="n">
        <f aca="false">F14-H14</f>
        <v>1350</v>
      </c>
      <c r="H14" s="59" t="n">
        <v>0</v>
      </c>
      <c r="I14" s="9"/>
      <c r="J14" s="30"/>
      <c r="K14" s="30"/>
    </row>
    <row r="15" customFormat="false" ht="18.15" hidden="false" customHeight="true" outlineLevel="0" collapsed="false">
      <c r="A15" s="0" t="n">
        <v>30</v>
      </c>
      <c r="B15" s="34" t="n">
        <v>36678</v>
      </c>
      <c r="C15" s="165" t="n">
        <v>312000</v>
      </c>
      <c r="D15" s="59" t="s">
        <v>41</v>
      </c>
      <c r="E15" s="33" t="n">
        <f aca="false">IF(D15="totale",(C15/(A15*24))/F15,IF(D15="marché libre",(C15/(A15*24))/G15,"spécifier histo"))</f>
        <v>0.320987654320988</v>
      </c>
      <c r="F15" s="59" t="n">
        <v>1350</v>
      </c>
      <c r="G15" s="59" t="n">
        <f aca="false">F15-H15</f>
        <v>1350</v>
      </c>
      <c r="H15" s="59" t="n">
        <v>0</v>
      </c>
      <c r="I15" s="9"/>
      <c r="J15" s="30"/>
      <c r="K15" s="30"/>
    </row>
    <row r="16" customFormat="false" ht="18.15" hidden="false" customHeight="true" outlineLevel="0" collapsed="false">
      <c r="A16" s="0" t="n">
        <v>31</v>
      </c>
      <c r="B16" s="31" t="n">
        <v>36708</v>
      </c>
      <c r="C16" s="165" t="n">
        <v>351600</v>
      </c>
      <c r="D16" s="59" t="s">
        <v>41</v>
      </c>
      <c r="E16" s="33" t="n">
        <f aca="false">IF(D16="totale",(C16/(A16*24))/F16,IF(D16="marché libre",(C16/(A16*24))/G16,"spécifier histo"))</f>
        <v>0.350059737156511</v>
      </c>
      <c r="F16" s="59" t="n">
        <v>1350</v>
      </c>
      <c r="G16" s="59" t="n">
        <f aca="false">F16-H16</f>
        <v>1350</v>
      </c>
      <c r="H16" s="59" t="n">
        <v>0</v>
      </c>
      <c r="I16" s="9"/>
      <c r="J16" s="30"/>
      <c r="K16" s="30"/>
    </row>
    <row r="17" customFormat="false" ht="18.15" hidden="false" customHeight="true" outlineLevel="0" collapsed="false">
      <c r="A17" s="0" t="n">
        <v>31</v>
      </c>
      <c r="B17" s="34" t="n">
        <v>36739</v>
      </c>
      <c r="C17" s="165" t="n">
        <v>267200</v>
      </c>
      <c r="D17" s="59" t="s">
        <v>41</v>
      </c>
      <c r="E17" s="33" t="n">
        <f aca="false">IF(D17="totale",(C17/(A17*24))/F17,IF(D17="marché libre",(C17/(A17*24))/G17,"spécifier histo"))</f>
        <v>0.266029470330546</v>
      </c>
      <c r="F17" s="59" t="n">
        <v>1350</v>
      </c>
      <c r="G17" s="59" t="n">
        <f aca="false">F17-H17</f>
        <v>1350</v>
      </c>
      <c r="H17" s="59" t="n">
        <v>0</v>
      </c>
      <c r="I17" s="9"/>
      <c r="J17" s="30"/>
      <c r="K17" s="30"/>
    </row>
    <row r="18" customFormat="false" ht="18.15" hidden="false" customHeight="true" outlineLevel="0" collapsed="false">
      <c r="A18" s="0" t="n">
        <v>30</v>
      </c>
      <c r="B18" s="31" t="n">
        <v>36770</v>
      </c>
      <c r="C18" s="165" t="n">
        <v>316400</v>
      </c>
      <c r="D18" s="59" t="s">
        <v>41</v>
      </c>
      <c r="E18" s="33" t="n">
        <f aca="false">IF(D18="totale",(C18/(A18*24))/F18,IF(D18="marché libre",(C18/(A18*24))/G18,"spécifier histo"))</f>
        <v>0.325514403292181</v>
      </c>
      <c r="F18" s="59" t="n">
        <v>1350</v>
      </c>
      <c r="G18" s="59" t="n">
        <f aca="false">F18-H18</f>
        <v>1350</v>
      </c>
      <c r="H18" s="59" t="n">
        <v>0</v>
      </c>
      <c r="I18" s="9"/>
      <c r="J18" s="30"/>
      <c r="K18" s="30"/>
    </row>
    <row r="19" customFormat="false" ht="18.15" hidden="false" customHeight="true" outlineLevel="0" collapsed="false">
      <c r="A19" s="0" t="n">
        <v>31</v>
      </c>
      <c r="B19" s="34" t="n">
        <v>36800</v>
      </c>
      <c r="C19" s="165" t="n">
        <v>367200</v>
      </c>
      <c r="D19" s="59" t="s">
        <v>41</v>
      </c>
      <c r="E19" s="33" t="n">
        <f aca="false">IF(D19="totale",(C19/(A19*24))/F19,IF(D19="marché libre",(C19/(A19*24))/G19,"spécifier histo"))</f>
        <v>0.365591397849462</v>
      </c>
      <c r="F19" s="59" t="n">
        <v>1350</v>
      </c>
      <c r="G19" s="59" t="n">
        <f aca="false">F19-H19</f>
        <v>1350</v>
      </c>
      <c r="H19" s="59" t="n">
        <v>0</v>
      </c>
      <c r="I19" s="9"/>
      <c r="J19" s="30"/>
      <c r="K19" s="30"/>
    </row>
    <row r="20" customFormat="false" ht="18.15" hidden="false" customHeight="true" outlineLevel="0" collapsed="false">
      <c r="A20" s="0" t="n">
        <v>30</v>
      </c>
      <c r="B20" s="31" t="n">
        <v>36831</v>
      </c>
      <c r="C20" s="165" t="n">
        <v>554800</v>
      </c>
      <c r="D20" s="59" t="s">
        <v>41</v>
      </c>
      <c r="E20" s="33" t="n">
        <f aca="false">IF(D20="totale",(C20/(A20*24))/F20,IF(D20="marché libre",(C20/(A20*24))/G20,"spécifier histo"))</f>
        <v>0.570781893004115</v>
      </c>
      <c r="F20" s="59" t="n">
        <v>1350</v>
      </c>
      <c r="G20" s="59" t="n">
        <f aca="false">F20-H20</f>
        <v>1350</v>
      </c>
      <c r="H20" s="59" t="n">
        <v>0</v>
      </c>
      <c r="I20" s="9"/>
      <c r="J20" s="30"/>
      <c r="K20" s="30"/>
    </row>
    <row r="21" customFormat="false" ht="18.15" hidden="false" customHeight="true" outlineLevel="0" collapsed="false">
      <c r="A21" s="0" t="n">
        <v>31</v>
      </c>
      <c r="B21" s="34" t="n">
        <v>36861</v>
      </c>
      <c r="C21" s="165" t="n">
        <v>710200</v>
      </c>
      <c r="D21" s="59" t="s">
        <v>41</v>
      </c>
      <c r="E21" s="33" t="n">
        <f aca="false">IF(D21="totale",(C21/(A21*24))/F21,IF(D21="marché libre",(C21/(A21*24))/G21,"spécifier histo"))</f>
        <v>0.707088809239347</v>
      </c>
      <c r="F21" s="59" t="n">
        <v>1350</v>
      </c>
      <c r="G21" s="59" t="n">
        <f aca="false">F21-H21</f>
        <v>1350</v>
      </c>
      <c r="H21" s="59" t="n">
        <v>0</v>
      </c>
      <c r="I21" s="9"/>
      <c r="J21" s="30"/>
      <c r="K21" s="30"/>
    </row>
    <row r="22" customFormat="false" ht="18.15" hidden="false" customHeight="true" outlineLevel="0" collapsed="false">
      <c r="A22" s="0" t="n">
        <v>31</v>
      </c>
      <c r="B22" s="31" t="n">
        <v>36892</v>
      </c>
      <c r="C22" s="165" t="n">
        <v>761800</v>
      </c>
      <c r="D22" s="59" t="s">
        <v>41</v>
      </c>
      <c r="E22" s="33" t="n">
        <f aca="false">IF(D22="totale",(C22/(A22*24))/F22,IF(D22="marché libre",(C22/(A22*24))/G22,"spécifier histo"))</f>
        <v>0.758462763839108</v>
      </c>
      <c r="F22" s="59" t="n">
        <v>1350</v>
      </c>
      <c r="G22" s="59" t="n">
        <f aca="false">F22-H22</f>
        <v>1350</v>
      </c>
      <c r="H22" s="59" t="n">
        <v>0</v>
      </c>
      <c r="I22" s="9"/>
      <c r="J22" s="30"/>
      <c r="K22" s="30"/>
    </row>
    <row r="23" customFormat="false" ht="18.15" hidden="false" customHeight="true" outlineLevel="0" collapsed="false">
      <c r="A23" s="0" t="n">
        <v>28</v>
      </c>
      <c r="B23" s="34" t="n">
        <v>36923</v>
      </c>
      <c r="C23" s="165" t="n">
        <v>660000</v>
      </c>
      <c r="D23" s="59" t="s">
        <v>41</v>
      </c>
      <c r="E23" s="33" t="n">
        <f aca="false">IF(D23="totale",(C23/(A23*24))/F23,IF(D23="marché libre",(C23/(A23*24))/G23,"spécifier histo"))</f>
        <v>0.727513227513227</v>
      </c>
      <c r="F23" s="59" t="n">
        <v>1350</v>
      </c>
      <c r="G23" s="59" t="n">
        <f aca="false">F23-H23</f>
        <v>1350</v>
      </c>
      <c r="H23" s="59" t="n">
        <v>0</v>
      </c>
      <c r="I23" s="9"/>
      <c r="J23" s="30"/>
      <c r="K23" s="30"/>
    </row>
    <row r="24" customFormat="false" ht="18.15" hidden="false" customHeight="true" outlineLevel="0" collapsed="false">
      <c r="A24" s="0" t="n">
        <v>31</v>
      </c>
      <c r="B24" s="31" t="n">
        <v>36951</v>
      </c>
      <c r="C24" s="165" t="n">
        <v>553400</v>
      </c>
      <c r="D24" s="59" t="s">
        <v>41</v>
      </c>
      <c r="E24" s="33" t="n">
        <f aca="false">IF(D24="totale",(C24/(A24*24))/F24,IF(D24="marché libre",(C24/(A24*24))/G24,"spécifier histo"))</f>
        <v>0.550975706889685</v>
      </c>
      <c r="F24" s="59" t="n">
        <v>1350</v>
      </c>
      <c r="G24" s="59" t="n">
        <f aca="false">F24-H24</f>
        <v>1350</v>
      </c>
      <c r="H24" s="59" t="n">
        <v>0</v>
      </c>
      <c r="I24" s="9"/>
      <c r="J24" s="30"/>
      <c r="K24" s="30"/>
    </row>
    <row r="25" customFormat="false" ht="18.15" hidden="false" customHeight="true" outlineLevel="0" collapsed="false">
      <c r="A25" s="0" t="n">
        <v>30</v>
      </c>
      <c r="B25" s="34" t="n">
        <v>36982</v>
      </c>
      <c r="C25" s="165" t="n">
        <v>738800</v>
      </c>
      <c r="D25" s="59" t="s">
        <v>41</v>
      </c>
      <c r="E25" s="33" t="n">
        <f aca="false">IF(D25="totale",(C25/(A25*24))/F25,IF(D25="marché libre",(C25/(A25*24))/G25,"spécifier histo"))</f>
        <v>0.760082304526749</v>
      </c>
      <c r="F25" s="59" t="n">
        <v>1350</v>
      </c>
      <c r="G25" s="59" t="n">
        <f aca="false">F25-H25</f>
        <v>1350</v>
      </c>
      <c r="H25" s="59" t="n">
        <v>0</v>
      </c>
      <c r="I25" s="9"/>
      <c r="J25" s="30"/>
      <c r="K25" s="30"/>
    </row>
    <row r="26" customFormat="false" ht="18.15" hidden="false" customHeight="true" outlineLevel="0" collapsed="false">
      <c r="A26" s="0" t="n">
        <v>31</v>
      </c>
      <c r="B26" s="31" t="n">
        <v>37012</v>
      </c>
      <c r="C26" s="165" t="n">
        <v>723000</v>
      </c>
      <c r="D26" s="59" t="s">
        <v>41</v>
      </c>
      <c r="E26" s="33" t="n">
        <f aca="false">IF(D26="totale",(C26/(A26*24))/F26,IF(D26="marché libre",(C26/(A26*24))/G26,"spécifier histo"))</f>
        <v>0.719832735961768</v>
      </c>
      <c r="F26" s="59" t="n">
        <v>1350</v>
      </c>
      <c r="G26" s="59" t="n">
        <f aca="false">F26-H26</f>
        <v>1350</v>
      </c>
      <c r="H26" s="59" t="n">
        <v>0</v>
      </c>
      <c r="I26" s="9"/>
      <c r="J26" s="30"/>
      <c r="K26" s="30"/>
    </row>
    <row r="27" customFormat="false" ht="18.15" hidden="false" customHeight="true" outlineLevel="0" collapsed="false">
      <c r="A27" s="0" t="n">
        <v>30</v>
      </c>
      <c r="B27" s="34" t="n">
        <v>37043</v>
      </c>
      <c r="C27" s="165" t="n">
        <v>639000</v>
      </c>
      <c r="D27" s="59" t="s">
        <v>41</v>
      </c>
      <c r="E27" s="33" t="n">
        <f aca="false">IF(D27="totale",(C27/(A27*24))/F27,IF(D27="marché libre",(C27/(A27*24))/G27,"spécifier histo"))</f>
        <v>0.657407407407407</v>
      </c>
      <c r="F27" s="59" t="n">
        <v>1350</v>
      </c>
      <c r="G27" s="59" t="n">
        <f aca="false">F27-H27</f>
        <v>1350</v>
      </c>
      <c r="H27" s="59" t="n">
        <v>0</v>
      </c>
      <c r="I27" s="9"/>
      <c r="J27" s="30"/>
      <c r="K27" s="30"/>
    </row>
    <row r="28" customFormat="false" ht="18.15" hidden="false" customHeight="true" outlineLevel="0" collapsed="false">
      <c r="A28" s="0" t="n">
        <v>31</v>
      </c>
      <c r="B28" s="31" t="n">
        <v>37073</v>
      </c>
      <c r="C28" s="165" t="n">
        <v>509800</v>
      </c>
      <c r="D28" s="59" t="s">
        <v>41</v>
      </c>
      <c r="E28" s="33" t="n">
        <f aca="false">IF(D28="totale",(C28/(A28*24))/F28,IF(D28="marché libre",(C28/(A28*24))/G28,"spécifier histo"))</f>
        <v>0.507566706491438</v>
      </c>
      <c r="F28" s="59" t="n">
        <v>1350</v>
      </c>
      <c r="G28" s="59" t="n">
        <f aca="false">F28-H28</f>
        <v>1350</v>
      </c>
      <c r="H28" s="59" t="n">
        <v>0</v>
      </c>
      <c r="I28" s="9"/>
      <c r="J28" s="30"/>
      <c r="K28" s="30"/>
    </row>
    <row r="29" customFormat="false" ht="18.15" hidden="false" customHeight="true" outlineLevel="0" collapsed="false">
      <c r="A29" s="0" t="n">
        <v>31</v>
      </c>
      <c r="B29" s="34" t="n">
        <v>37104</v>
      </c>
      <c r="C29" s="165" t="n">
        <v>238400</v>
      </c>
      <c r="D29" s="59" t="s">
        <v>41</v>
      </c>
      <c r="E29" s="33" t="n">
        <f aca="false">IF(D29="totale",(C29/(A29*24))/F29,IF(D29="marché libre",(C29/(A29*24))/G29,"spécifier histo"))</f>
        <v>0.237355635205098</v>
      </c>
      <c r="F29" s="59" t="n">
        <v>1350</v>
      </c>
      <c r="G29" s="59" t="n">
        <f aca="false">F29-H29</f>
        <v>1350</v>
      </c>
      <c r="H29" s="59" t="n">
        <v>0</v>
      </c>
      <c r="I29" s="9"/>
      <c r="J29" s="30"/>
      <c r="K29" s="30"/>
    </row>
    <row r="30" customFormat="false" ht="18.15" hidden="false" customHeight="true" outlineLevel="0" collapsed="false">
      <c r="A30" s="0" t="n">
        <v>30</v>
      </c>
      <c r="B30" s="31" t="n">
        <v>37135</v>
      </c>
      <c r="C30" s="165" t="n">
        <v>653200</v>
      </c>
      <c r="D30" s="59" t="s">
        <v>41</v>
      </c>
      <c r="E30" s="33" t="n">
        <f aca="false">IF(D30="totale",(C30/(A30*24))/F30,IF(D30="marché libre",(C30/(A30*24))/G30,"spécifier histo"))</f>
        <v>0.67201646090535</v>
      </c>
      <c r="F30" s="59" t="n">
        <v>1350</v>
      </c>
      <c r="G30" s="59" t="n">
        <f aca="false">F30-H30</f>
        <v>1350</v>
      </c>
      <c r="H30" s="59" t="n">
        <v>0</v>
      </c>
      <c r="I30" s="9"/>
      <c r="J30" s="30"/>
      <c r="K30" s="30"/>
    </row>
    <row r="31" customFormat="false" ht="18.15" hidden="false" customHeight="true" outlineLevel="0" collapsed="false">
      <c r="A31" s="0" t="n">
        <v>31</v>
      </c>
      <c r="B31" s="34" t="n">
        <v>37165</v>
      </c>
      <c r="C31" s="165" t="n">
        <v>542400</v>
      </c>
      <c r="D31" s="59" t="s">
        <v>41</v>
      </c>
      <c r="E31" s="33" t="n">
        <f aca="false">IF(D31="totale",(C31/(A31*24))/F31,IF(D31="marché libre",(C31/(A31*24))/G31,"spécifier histo"))</f>
        <v>0.540023894862604</v>
      </c>
      <c r="F31" s="59" t="n">
        <v>1350</v>
      </c>
      <c r="G31" s="59" t="n">
        <f aca="false">F31-H31</f>
        <v>1350</v>
      </c>
      <c r="H31" s="59" t="n">
        <v>0</v>
      </c>
      <c r="I31" s="9"/>
      <c r="J31" s="30"/>
      <c r="K31" s="30"/>
    </row>
    <row r="32" customFormat="false" ht="18.15" hidden="false" customHeight="true" outlineLevel="0" collapsed="false">
      <c r="A32" s="0" t="n">
        <v>30</v>
      </c>
      <c r="B32" s="31" t="n">
        <v>37196</v>
      </c>
      <c r="C32" s="165" t="n">
        <v>471800</v>
      </c>
      <c r="D32" s="59" t="s">
        <v>41</v>
      </c>
      <c r="E32" s="33" t="n">
        <f aca="false">IF(D32="totale",(C32/(A32*24))/F32,IF(D32="marché libre",(C32/(A32*24))/G32,"spécifier histo"))</f>
        <v>0.485390946502058</v>
      </c>
      <c r="F32" s="59" t="n">
        <v>1350</v>
      </c>
      <c r="G32" s="59" t="n">
        <f aca="false">F32-H32</f>
        <v>1350</v>
      </c>
      <c r="H32" s="59" t="n">
        <v>0</v>
      </c>
      <c r="I32" s="9"/>
      <c r="J32" s="30"/>
      <c r="K32" s="30"/>
    </row>
    <row r="33" customFormat="false" ht="18.15" hidden="false" customHeight="true" outlineLevel="0" collapsed="false">
      <c r="A33" s="0" t="n">
        <v>31</v>
      </c>
      <c r="B33" s="34" t="n">
        <v>37226</v>
      </c>
      <c r="C33" s="165" t="n">
        <v>436800</v>
      </c>
      <c r="D33" s="59" t="s">
        <v>41</v>
      </c>
      <c r="E33" s="33" t="n">
        <f aca="false">IF(D33="totale",(C33/(A33*24))/F33,IF(D33="marché libre",(C33/(A33*24))/G33,"spécifier histo"))</f>
        <v>0.434886499402628</v>
      </c>
      <c r="F33" s="59" t="n">
        <v>1350</v>
      </c>
      <c r="G33" s="59" t="n">
        <f aca="false">F33-H33</f>
        <v>1350</v>
      </c>
      <c r="H33" s="59" t="n">
        <v>0</v>
      </c>
      <c r="I33" s="9"/>
      <c r="J33" s="30"/>
      <c r="K33" s="30"/>
    </row>
    <row r="34" customFormat="false" ht="18.15" hidden="false" customHeight="true" outlineLevel="0" collapsed="false">
      <c r="A34" s="0" t="n">
        <v>31</v>
      </c>
      <c r="B34" s="31" t="n">
        <v>37257</v>
      </c>
      <c r="C34" s="165" t="n">
        <v>472400</v>
      </c>
      <c r="D34" s="59" t="s">
        <v>41</v>
      </c>
      <c r="E34" s="33" t="n">
        <f aca="false">IF(D34="totale",(C34/(A34*24))/F34,IF(D34="marché libre",(C34/(A34*24))/G34,"spécifier histo"))</f>
        <v>0.470330545599363</v>
      </c>
      <c r="F34" s="59" t="n">
        <v>1350</v>
      </c>
      <c r="G34" s="59" t="n">
        <f aca="false">F34-H34</f>
        <v>1350</v>
      </c>
      <c r="H34" s="59" t="n">
        <v>0</v>
      </c>
      <c r="I34" s="9"/>
      <c r="J34" s="30"/>
      <c r="K34" s="30"/>
    </row>
    <row r="35" customFormat="false" ht="18.15" hidden="false" customHeight="true" outlineLevel="0" collapsed="false">
      <c r="A35" s="0" t="n">
        <v>28</v>
      </c>
      <c r="B35" s="34" t="n">
        <v>37288</v>
      </c>
      <c r="C35" s="165" t="n">
        <v>595800</v>
      </c>
      <c r="D35" s="59" t="s">
        <v>41</v>
      </c>
      <c r="E35" s="33" t="n">
        <f aca="false">IF(D35="totale",(C35/(A35*24))/F35,IF(D35="marché libre",(C35/(A35*24))/G35,"spécifier histo"))</f>
        <v>0.656746031746032</v>
      </c>
      <c r="F35" s="59" t="n">
        <v>1350</v>
      </c>
      <c r="G35" s="59" t="n">
        <f aca="false">F35-H35</f>
        <v>1350</v>
      </c>
      <c r="H35" s="59" t="n">
        <v>0</v>
      </c>
      <c r="I35" s="9"/>
      <c r="J35" s="30"/>
      <c r="K35" s="30"/>
    </row>
    <row r="36" customFormat="false" ht="18.15" hidden="false" customHeight="true" outlineLevel="0" collapsed="false">
      <c r="A36" s="0" t="n">
        <v>31</v>
      </c>
      <c r="B36" s="31" t="n">
        <v>37316</v>
      </c>
      <c r="C36" s="165" t="n">
        <v>627800</v>
      </c>
      <c r="D36" s="59" t="s">
        <v>41</v>
      </c>
      <c r="E36" s="33" t="n">
        <f aca="false">IF(D36="totale",(C36/(A36*24))/F36,IF(D36="marché libre",(C36/(A36*24))/G36,"spécifier histo"))</f>
        <v>0.625049780963759</v>
      </c>
      <c r="F36" s="59" t="n">
        <v>1350</v>
      </c>
      <c r="G36" s="59" t="n">
        <f aca="false">F36-H36</f>
        <v>1350</v>
      </c>
      <c r="H36" s="59" t="n">
        <v>0</v>
      </c>
      <c r="I36" s="9"/>
      <c r="J36" s="30"/>
      <c r="K36" s="30"/>
    </row>
    <row r="37" customFormat="false" ht="18.15" hidden="false" customHeight="true" outlineLevel="0" collapsed="false">
      <c r="A37" s="0" t="n">
        <v>30</v>
      </c>
      <c r="B37" s="34" t="n">
        <v>37347</v>
      </c>
      <c r="C37" s="165" t="n">
        <v>293000</v>
      </c>
      <c r="D37" s="59" t="s">
        <v>41</v>
      </c>
      <c r="E37" s="33" t="n">
        <f aca="false">IF(D37="totale",(C37/(A37*24))/F37,IF(D37="marché libre",(C37/(A37*24))/G37,"spécifier histo"))</f>
        <v>0.301440329218107</v>
      </c>
      <c r="F37" s="59" t="n">
        <v>1350</v>
      </c>
      <c r="G37" s="59" t="n">
        <f aca="false">F37-H37</f>
        <v>1350</v>
      </c>
      <c r="H37" s="59" t="n">
        <v>0</v>
      </c>
      <c r="I37" s="9"/>
      <c r="J37" s="30"/>
      <c r="K37" s="30"/>
    </row>
    <row r="38" customFormat="false" ht="18.15" hidden="false" customHeight="true" outlineLevel="0" collapsed="false">
      <c r="A38" s="0" t="n">
        <v>31</v>
      </c>
      <c r="B38" s="31" t="n">
        <v>37377</v>
      </c>
      <c r="C38" s="165" t="n">
        <v>613600</v>
      </c>
      <c r="D38" s="59" t="s">
        <v>41</v>
      </c>
      <c r="E38" s="33" t="n">
        <f aca="false">IF(D38="totale",(C38/(A38*24))/F38,IF(D38="marché libre",(C38/(A38*24))/G38,"spécifier histo"))</f>
        <v>0.610911987256073</v>
      </c>
      <c r="F38" s="59" t="n">
        <v>1350</v>
      </c>
      <c r="G38" s="59" t="n">
        <f aca="false">F38-H38</f>
        <v>1350</v>
      </c>
      <c r="H38" s="59" t="n">
        <v>0</v>
      </c>
      <c r="I38" s="9"/>
      <c r="J38" s="30"/>
      <c r="K38" s="30"/>
    </row>
    <row r="39" customFormat="false" ht="18.15" hidden="false" customHeight="true" outlineLevel="0" collapsed="false">
      <c r="A39" s="0" t="n">
        <v>30</v>
      </c>
      <c r="B39" s="34" t="n">
        <v>37408</v>
      </c>
      <c r="C39" s="165" t="n">
        <v>388200</v>
      </c>
      <c r="D39" s="59" t="s">
        <v>41</v>
      </c>
      <c r="E39" s="33" t="n">
        <f aca="false">IF(D39="totale",(C39/(A39*24))/F39,IF(D39="marché libre",(C39/(A39*24))/G39,"spécifier histo"))</f>
        <v>0.399382716049383</v>
      </c>
      <c r="F39" s="59" t="n">
        <v>1350</v>
      </c>
      <c r="G39" s="59" t="n">
        <f aca="false">F39-H39</f>
        <v>1350</v>
      </c>
      <c r="H39" s="59" t="n">
        <v>0</v>
      </c>
      <c r="I39" s="9"/>
      <c r="J39" s="30"/>
      <c r="K39" s="30"/>
    </row>
    <row r="40" customFormat="false" ht="18.15" hidden="false" customHeight="true" outlineLevel="0" collapsed="false">
      <c r="A40" s="0" t="n">
        <v>31</v>
      </c>
      <c r="B40" s="31" t="n">
        <v>37438</v>
      </c>
      <c r="C40" s="165" t="n">
        <v>299600</v>
      </c>
      <c r="D40" s="59" t="s">
        <v>41</v>
      </c>
      <c r="E40" s="33" t="n">
        <f aca="false">IF(D40="totale",(C40/(A40*24))/F40,IF(D40="marché libre",(C40/(A40*24))/G40,"spécifier histo"))</f>
        <v>0.298287534846675</v>
      </c>
      <c r="F40" s="59" t="n">
        <v>1350</v>
      </c>
      <c r="G40" s="59" t="n">
        <f aca="false">F40-H40</f>
        <v>1350</v>
      </c>
      <c r="H40" s="59" t="n">
        <v>0</v>
      </c>
      <c r="I40" s="9"/>
      <c r="J40" s="30"/>
      <c r="K40" s="30"/>
    </row>
    <row r="41" customFormat="false" ht="18.15" hidden="false" customHeight="true" outlineLevel="0" collapsed="false">
      <c r="A41" s="0" t="n">
        <v>31</v>
      </c>
      <c r="B41" s="34" t="n">
        <v>37469</v>
      </c>
      <c r="C41" s="165" t="n">
        <v>601800</v>
      </c>
      <c r="D41" s="59" t="s">
        <v>41</v>
      </c>
      <c r="E41" s="33" t="n">
        <f aca="false">IF(D41="totale",(C41/(A41*24))/F41,IF(D41="marché libre",(C41/(A41*24))/G41,"spécifier histo"))</f>
        <v>0.599163679808841</v>
      </c>
      <c r="F41" s="59" t="n">
        <v>1350</v>
      </c>
      <c r="G41" s="59" t="n">
        <f aca="false">F41-H41</f>
        <v>1350</v>
      </c>
      <c r="H41" s="59" t="n">
        <v>0</v>
      </c>
      <c r="I41" s="9"/>
      <c r="J41" s="30"/>
      <c r="K41" s="30"/>
    </row>
    <row r="42" customFormat="false" ht="18.15" hidden="false" customHeight="true" outlineLevel="0" collapsed="false">
      <c r="A42" s="0" t="n">
        <v>30</v>
      </c>
      <c r="B42" s="31" t="n">
        <v>37500</v>
      </c>
      <c r="C42" s="165" t="n">
        <v>440400</v>
      </c>
      <c r="D42" s="59" t="s">
        <v>41</v>
      </c>
      <c r="E42" s="33" t="n">
        <f aca="false">IF(D42="totale",(C42/(A42*24))/F42,IF(D42="marché libre",(C42/(A42*24))/G42,"spécifier histo"))</f>
        <v>0.453086419753086</v>
      </c>
      <c r="F42" s="59" t="n">
        <v>1350</v>
      </c>
      <c r="G42" s="59" t="n">
        <f aca="false">F42-H42</f>
        <v>1350</v>
      </c>
      <c r="H42" s="59" t="n">
        <v>0</v>
      </c>
      <c r="I42" s="9"/>
      <c r="J42" s="30"/>
      <c r="K42" s="30"/>
    </row>
    <row r="43" customFormat="false" ht="18.15" hidden="false" customHeight="true" outlineLevel="0" collapsed="false">
      <c r="A43" s="0" t="n">
        <v>31</v>
      </c>
      <c r="B43" s="34" t="n">
        <v>37530</v>
      </c>
      <c r="C43" s="165" t="n">
        <v>499600</v>
      </c>
      <c r="D43" s="59" t="s">
        <v>41</v>
      </c>
      <c r="E43" s="33" t="n">
        <f aca="false">IF(D43="totale",(C43/(A43*24))/F43,IF(D43="marché libre",(C43/(A43*24))/G43,"spécifier histo"))</f>
        <v>0.497411389884508</v>
      </c>
      <c r="F43" s="59" t="n">
        <v>1350</v>
      </c>
      <c r="G43" s="59" t="n">
        <f aca="false">F43-H43</f>
        <v>1350</v>
      </c>
      <c r="H43" s="59" t="n">
        <v>0</v>
      </c>
      <c r="I43" s="9"/>
      <c r="J43" s="30"/>
      <c r="K43" s="30"/>
    </row>
    <row r="44" customFormat="false" ht="18.15" hidden="false" customHeight="true" outlineLevel="0" collapsed="false">
      <c r="A44" s="0" t="n">
        <v>30</v>
      </c>
      <c r="B44" s="31" t="n">
        <v>37561</v>
      </c>
      <c r="C44" s="165" t="n">
        <v>397400</v>
      </c>
      <c r="D44" s="59" t="s">
        <v>41</v>
      </c>
      <c r="E44" s="33" t="n">
        <f aca="false">IF(D44="totale",(C44/(A44*24))/F44,IF(D44="marché libre",(C44/(A44*24))/G44,"spécifier histo"))</f>
        <v>0.408847736625514</v>
      </c>
      <c r="F44" s="59" t="n">
        <v>1350</v>
      </c>
      <c r="G44" s="59" t="n">
        <f aca="false">F44-H44</f>
        <v>1350</v>
      </c>
      <c r="H44" s="59" t="n">
        <v>0</v>
      </c>
      <c r="I44" s="9"/>
      <c r="J44" s="30"/>
      <c r="K44" s="30"/>
    </row>
    <row r="45" customFormat="false" ht="18.15" hidden="false" customHeight="true" outlineLevel="0" collapsed="false">
      <c r="A45" s="0" t="n">
        <v>31</v>
      </c>
      <c r="B45" s="34" t="n">
        <v>37591</v>
      </c>
      <c r="C45" s="165" t="n">
        <v>663400</v>
      </c>
      <c r="D45" s="59" t="s">
        <v>41</v>
      </c>
      <c r="E45" s="33" t="n">
        <f aca="false">IF(D45="totale",(C45/(A45*24))/F45,IF(D45="marché libre",(C45/(A45*24))/G45,"spécifier histo"))</f>
        <v>0.660493827160494</v>
      </c>
      <c r="F45" s="59" t="n">
        <v>1350</v>
      </c>
      <c r="G45" s="59" t="n">
        <f aca="false">F45-H45</f>
        <v>1350</v>
      </c>
      <c r="H45" s="59" t="n">
        <v>0</v>
      </c>
      <c r="I45" s="9"/>
      <c r="J45" s="30"/>
      <c r="K45" s="30"/>
    </row>
    <row r="46" customFormat="false" ht="18.15" hidden="false" customHeight="true" outlineLevel="0" collapsed="false">
      <c r="A46" s="0" t="n">
        <v>31</v>
      </c>
      <c r="B46" s="31" t="n">
        <v>37622</v>
      </c>
      <c r="C46" s="165" t="n">
        <v>625200</v>
      </c>
      <c r="D46" s="59" t="s">
        <v>41</v>
      </c>
      <c r="E46" s="33" t="n">
        <f aca="false">IF(D46="totale",(C46/(A46*24))/F46,IF(D46="marché libre",(C46/(A46*24))/G46,"spécifier histo"))</f>
        <v>0.622461170848268</v>
      </c>
      <c r="F46" s="59" t="n">
        <v>1350</v>
      </c>
      <c r="G46" s="59" t="n">
        <f aca="false">F46-H46</f>
        <v>1350</v>
      </c>
      <c r="H46" s="59" t="n">
        <v>0</v>
      </c>
      <c r="I46" s="9"/>
      <c r="J46" s="30"/>
      <c r="K46" s="30"/>
    </row>
    <row r="47" customFormat="false" ht="18.15" hidden="false" customHeight="true" outlineLevel="0" collapsed="false">
      <c r="A47" s="0" t="n">
        <v>28</v>
      </c>
      <c r="B47" s="34" t="n">
        <v>37653</v>
      </c>
      <c r="C47" s="165" t="n">
        <v>493000</v>
      </c>
      <c r="D47" s="59" t="s">
        <v>41</v>
      </c>
      <c r="E47" s="33" t="n">
        <f aca="false">IF(D47="totale",(C47/(A47*24))/F47,IF(D47="marché libre",(C47/(A47*24))/G47,"spécifier histo"))</f>
        <v>0.543430335097002</v>
      </c>
      <c r="F47" s="59" t="n">
        <v>1350</v>
      </c>
      <c r="G47" s="59" t="n">
        <f aca="false">F47-H47</f>
        <v>1350</v>
      </c>
      <c r="H47" s="59" t="n">
        <v>0</v>
      </c>
      <c r="I47" s="9"/>
      <c r="J47" s="30"/>
      <c r="K47" s="30"/>
    </row>
    <row r="48" customFormat="false" ht="18.15" hidden="false" customHeight="true" outlineLevel="0" collapsed="false">
      <c r="A48" s="0" t="n">
        <v>31</v>
      </c>
      <c r="B48" s="31" t="n">
        <v>37681</v>
      </c>
      <c r="C48" s="165" t="n">
        <v>585600</v>
      </c>
      <c r="D48" s="59" t="s">
        <v>41</v>
      </c>
      <c r="E48" s="33" t="n">
        <f aca="false">IF(D48="totale",(C48/(A48*24))/F48,IF(D48="marché libre",(C48/(A48*24))/G48,"spécifier histo"))</f>
        <v>0.583034647550777</v>
      </c>
      <c r="F48" s="59" t="n">
        <v>1350</v>
      </c>
      <c r="G48" s="59" t="n">
        <f aca="false">F48-H48</f>
        <v>1350</v>
      </c>
      <c r="H48" s="59" t="n">
        <v>0</v>
      </c>
      <c r="I48" s="9"/>
      <c r="J48" s="30"/>
      <c r="K48" s="30"/>
    </row>
    <row r="49" customFormat="false" ht="18.15" hidden="false" customHeight="true" outlineLevel="0" collapsed="false">
      <c r="A49" s="0" t="n">
        <v>30</v>
      </c>
      <c r="B49" s="34" t="n">
        <v>37712</v>
      </c>
      <c r="C49" s="165" t="n">
        <v>396400</v>
      </c>
      <c r="D49" s="59" t="s">
        <v>41</v>
      </c>
      <c r="E49" s="33" t="n">
        <f aca="false">IF(D49="totale",(C49/(A49*24))/F49,IF(D49="marché libre",(C49/(A49*24))/G49,"spécifier histo"))</f>
        <v>0.407818930041152</v>
      </c>
      <c r="F49" s="59" t="n">
        <v>1350</v>
      </c>
      <c r="G49" s="59" t="n">
        <f aca="false">F49-H49</f>
        <v>1350</v>
      </c>
      <c r="H49" s="59" t="n">
        <v>0</v>
      </c>
      <c r="I49" s="9"/>
      <c r="J49" s="30"/>
      <c r="K49" s="30"/>
    </row>
    <row r="50" customFormat="false" ht="18.15" hidden="false" customHeight="true" outlineLevel="0" collapsed="false">
      <c r="A50" s="0" t="n">
        <v>31</v>
      </c>
      <c r="B50" s="31" t="n">
        <v>37742</v>
      </c>
      <c r="C50" s="165" t="n">
        <v>370400</v>
      </c>
      <c r="D50" s="59" t="s">
        <v>41</v>
      </c>
      <c r="E50" s="33" t="n">
        <f aca="false">IF(D50="totale",(C50/(A50*24))/F50,IF(D50="marché libre",(C50/(A50*24))/G50,"spécifier histo"))</f>
        <v>0.368777379530068</v>
      </c>
      <c r="F50" s="59" t="n">
        <v>1350</v>
      </c>
      <c r="G50" s="59" t="n">
        <f aca="false">F50-H50</f>
        <v>1350</v>
      </c>
      <c r="H50" s="59" t="n">
        <v>0</v>
      </c>
      <c r="I50" s="9"/>
      <c r="J50" s="30"/>
      <c r="K50" s="30"/>
    </row>
    <row r="51" customFormat="false" ht="18.15" hidden="false" customHeight="true" outlineLevel="0" collapsed="false">
      <c r="A51" s="0" t="n">
        <v>30</v>
      </c>
      <c r="B51" s="34" t="n">
        <v>37773</v>
      </c>
      <c r="C51" s="165" t="n">
        <v>178000</v>
      </c>
      <c r="D51" s="59" t="s">
        <v>41</v>
      </c>
      <c r="E51" s="33" t="n">
        <f aca="false">IF(D51="totale",(C51/(A51*24))/F51,IF(D51="marché libre",(C51/(A51*24))/G51,"spécifier histo"))</f>
        <v>0.183127572016461</v>
      </c>
      <c r="F51" s="59" t="n">
        <v>1350</v>
      </c>
      <c r="G51" s="59" t="n">
        <f aca="false">F51-H51</f>
        <v>1350</v>
      </c>
      <c r="H51" s="59" t="n">
        <v>0</v>
      </c>
      <c r="I51" s="9"/>
      <c r="J51" s="30"/>
      <c r="K51" s="30"/>
    </row>
    <row r="52" customFormat="false" ht="18.15" hidden="false" customHeight="true" outlineLevel="0" collapsed="false">
      <c r="A52" s="0" t="n">
        <v>31</v>
      </c>
      <c r="B52" s="31" t="n">
        <v>37803</v>
      </c>
      <c r="C52" s="165" t="n">
        <v>107200</v>
      </c>
      <c r="D52" s="59" t="s">
        <v>41</v>
      </c>
      <c r="E52" s="33" t="n">
        <f aca="false">IF(D52="totale",(C52/(A52*24))/F52,IF(D52="marché libre",(C52/(A52*24))/G52,"spécifier histo"))</f>
        <v>0.106730386300279</v>
      </c>
      <c r="F52" s="59" t="n">
        <v>1350</v>
      </c>
      <c r="G52" s="59" t="n">
        <f aca="false">F52-H52</f>
        <v>1350</v>
      </c>
      <c r="H52" s="59" t="n">
        <v>0</v>
      </c>
      <c r="I52" s="9"/>
      <c r="J52" s="30"/>
      <c r="K52" s="30"/>
    </row>
    <row r="53" customFormat="false" ht="18.15" hidden="false" customHeight="true" outlineLevel="0" collapsed="false">
      <c r="A53" s="0" t="n">
        <v>31</v>
      </c>
      <c r="B53" s="34" t="n">
        <v>37834</v>
      </c>
      <c r="C53" s="165" t="n">
        <v>87000</v>
      </c>
      <c r="D53" s="59" t="s">
        <v>41</v>
      </c>
      <c r="E53" s="33" t="n">
        <f aca="false">IF(D53="totale",(C53/(A53*24))/F53,IF(D53="marché libre",(C53/(A53*24))/G53,"spécifier histo"))</f>
        <v>0.0866188769414576</v>
      </c>
      <c r="F53" s="59" t="n">
        <v>1350</v>
      </c>
      <c r="G53" s="59" t="n">
        <f aca="false">F53-H53</f>
        <v>1350</v>
      </c>
      <c r="H53" s="59" t="n">
        <v>0</v>
      </c>
      <c r="I53" s="9"/>
      <c r="J53" s="30"/>
      <c r="K53" s="30"/>
    </row>
    <row r="54" customFormat="false" ht="18.15" hidden="false" customHeight="true" outlineLevel="0" collapsed="false">
      <c r="A54" s="0" t="n">
        <v>30</v>
      </c>
      <c r="B54" s="31" t="n">
        <v>37865</v>
      </c>
      <c r="C54" s="165" t="n">
        <v>108400</v>
      </c>
      <c r="D54" s="59" t="s">
        <v>41</v>
      </c>
      <c r="E54" s="33" t="n">
        <f aca="false">IF(D54="totale",(C54/(A54*24))/F54,IF(D54="marché libre",(C54/(A54*24))/G54,"spécifier histo"))</f>
        <v>0.111522633744856</v>
      </c>
      <c r="F54" s="59" t="n">
        <v>1350</v>
      </c>
      <c r="G54" s="59" t="n">
        <f aca="false">F54-H54</f>
        <v>1350</v>
      </c>
      <c r="H54" s="59" t="n">
        <v>0</v>
      </c>
      <c r="I54" s="9"/>
      <c r="J54" s="30"/>
      <c r="K54" s="30"/>
    </row>
    <row r="55" customFormat="false" ht="18.15" hidden="false" customHeight="true" outlineLevel="0" collapsed="false">
      <c r="A55" s="0" t="n">
        <v>31</v>
      </c>
      <c r="B55" s="34" t="n">
        <v>37895</v>
      </c>
      <c r="C55" s="165" t="n">
        <v>513600</v>
      </c>
      <c r="D55" s="59" t="s">
        <v>41</v>
      </c>
      <c r="E55" s="33" t="n">
        <f aca="false">IF(D55="totale",(C55/(A55*24))/F55,IF(D55="marché libre",(C55/(A55*24))/G55,"spécifier histo"))</f>
        <v>0.511350059737157</v>
      </c>
      <c r="F55" s="59" t="n">
        <v>1350</v>
      </c>
      <c r="G55" s="59" t="n">
        <f aca="false">F55-H55</f>
        <v>1350</v>
      </c>
      <c r="H55" s="59" t="n">
        <v>0</v>
      </c>
      <c r="I55" s="9"/>
      <c r="J55" s="30"/>
      <c r="K55" s="30"/>
    </row>
    <row r="56" customFormat="false" ht="18.15" hidden="false" customHeight="true" outlineLevel="0" collapsed="false">
      <c r="A56" s="0" t="n">
        <v>30</v>
      </c>
      <c r="B56" s="31" t="n">
        <v>37926</v>
      </c>
      <c r="C56" s="165" t="n">
        <v>493800</v>
      </c>
      <c r="D56" s="59" t="s">
        <v>41</v>
      </c>
      <c r="E56" s="33" t="n">
        <f aca="false">IF(D56="totale",(C56/(A56*24))/F56,IF(D56="marché libre",(C56/(A56*24))/G56,"spécifier histo"))</f>
        <v>0.508024691358025</v>
      </c>
      <c r="F56" s="59" t="n">
        <v>1350</v>
      </c>
      <c r="G56" s="59" t="n">
        <f aca="false">F56-H56</f>
        <v>1350</v>
      </c>
      <c r="H56" s="59" t="n">
        <v>0</v>
      </c>
      <c r="I56" s="9"/>
      <c r="J56" s="30"/>
      <c r="K56" s="30"/>
    </row>
    <row r="57" customFormat="false" ht="18.15" hidden="false" customHeight="true" outlineLevel="0" collapsed="false">
      <c r="A57" s="0" t="n">
        <v>31</v>
      </c>
      <c r="B57" s="34" t="n">
        <v>37956</v>
      </c>
      <c r="C57" s="165" t="n">
        <v>398600</v>
      </c>
      <c r="D57" s="59" t="s">
        <v>41</v>
      </c>
      <c r="E57" s="33" t="n">
        <f aca="false">IF(D57="totale",(C57/(A57*24))/F57,IF(D57="marché libre",(C57/(A57*24))/G57,"spécifier histo"))</f>
        <v>0.396853843090402</v>
      </c>
      <c r="F57" s="59" t="n">
        <v>1350</v>
      </c>
      <c r="G57" s="59" t="n">
        <f aca="false">F57-H57</f>
        <v>1350</v>
      </c>
      <c r="H57" s="59" t="n">
        <v>0</v>
      </c>
      <c r="I57" s="9"/>
      <c r="J57" s="30"/>
      <c r="K57" s="30"/>
    </row>
    <row r="58" customFormat="false" ht="18.15" hidden="false" customHeight="true" outlineLevel="0" collapsed="false">
      <c r="A58" s="0" t="n">
        <v>31</v>
      </c>
      <c r="B58" s="31" t="n">
        <v>37987</v>
      </c>
      <c r="C58" s="165" t="n">
        <v>294400</v>
      </c>
      <c r="D58" s="59" t="s">
        <v>41</v>
      </c>
      <c r="E58" s="33" t="n">
        <f aca="false">IF(D58="totale",(C58/(A58*24))/F58,IF(D58="marché libre",(C58/(A58*24))/G58,"spécifier histo"))</f>
        <v>0.293110314615691</v>
      </c>
      <c r="F58" s="59" t="n">
        <v>1350</v>
      </c>
      <c r="G58" s="59" t="n">
        <f aca="false">F58-H58</f>
        <v>1350</v>
      </c>
      <c r="H58" s="59" t="n">
        <v>0</v>
      </c>
      <c r="I58" s="9"/>
      <c r="J58" s="30"/>
      <c r="K58" s="30"/>
    </row>
    <row r="59" customFormat="false" ht="18.15" hidden="false" customHeight="true" outlineLevel="0" collapsed="false">
      <c r="A59" s="0" t="n">
        <v>28</v>
      </c>
      <c r="B59" s="34" t="n">
        <v>38018</v>
      </c>
      <c r="C59" s="165" t="n">
        <v>316800</v>
      </c>
      <c r="D59" s="59" t="s">
        <v>41</v>
      </c>
      <c r="E59" s="33" t="n">
        <f aca="false">IF(D59="totale",(C59/(A59*24))/F59,IF(D59="marché libre",(C59/(A59*24))/G59,"spécifier histo"))</f>
        <v>0.349206349206349</v>
      </c>
      <c r="F59" s="59" t="n">
        <v>1350</v>
      </c>
      <c r="G59" s="59" t="n">
        <f aca="false">F59-H59</f>
        <v>1350</v>
      </c>
      <c r="H59" s="59" t="n">
        <v>0</v>
      </c>
      <c r="I59" s="9"/>
      <c r="J59" s="30"/>
      <c r="K59" s="30"/>
    </row>
    <row r="60" customFormat="false" ht="18.15" hidden="false" customHeight="true" outlineLevel="0" collapsed="false">
      <c r="A60" s="0" t="n">
        <v>31</v>
      </c>
      <c r="B60" s="31" t="n">
        <v>38047</v>
      </c>
      <c r="C60" s="165" t="n">
        <v>393000</v>
      </c>
      <c r="D60" s="59" t="s">
        <v>41</v>
      </c>
      <c r="E60" s="33" t="n">
        <f aca="false">IF(D60="totale",(C60/(A60*24))/F60,IF(D60="marché libre",(C60/(A60*24))/G60,"spécifier histo"))</f>
        <v>0.391278375149343</v>
      </c>
      <c r="F60" s="59" t="n">
        <v>1350</v>
      </c>
      <c r="G60" s="59" t="n">
        <f aca="false">F60-H60</f>
        <v>1350</v>
      </c>
      <c r="H60" s="59" t="n">
        <v>0</v>
      </c>
      <c r="I60" s="9"/>
      <c r="J60" s="30"/>
      <c r="K60" s="30"/>
    </row>
    <row r="61" customFormat="false" ht="18.15" hidden="false" customHeight="true" outlineLevel="0" collapsed="false">
      <c r="A61" s="0" t="n">
        <v>30</v>
      </c>
      <c r="B61" s="34" t="n">
        <v>38078</v>
      </c>
      <c r="C61" s="165" t="n">
        <v>411400</v>
      </c>
      <c r="D61" s="59" t="s">
        <v>41</v>
      </c>
      <c r="E61" s="33" t="n">
        <f aca="false">IF(D61="totale",(C61/(A61*24))/F61,IF(D61="marché libre",(C61/(A61*24))/G61,"spécifier histo"))</f>
        <v>0.423251028806584</v>
      </c>
      <c r="F61" s="59" t="n">
        <v>1350</v>
      </c>
      <c r="G61" s="59" t="n">
        <f aca="false">F61-H61</f>
        <v>1350</v>
      </c>
      <c r="H61" s="59" t="n">
        <v>0</v>
      </c>
      <c r="I61" s="9"/>
      <c r="J61" s="30"/>
      <c r="K61" s="30"/>
    </row>
    <row r="62" customFormat="false" ht="18.15" hidden="false" customHeight="true" outlineLevel="0" collapsed="false">
      <c r="A62" s="0" t="n">
        <v>31</v>
      </c>
      <c r="B62" s="31" t="n">
        <v>38108</v>
      </c>
      <c r="C62" s="165" t="n">
        <v>364200</v>
      </c>
      <c r="D62" s="59" t="s">
        <v>41</v>
      </c>
      <c r="E62" s="33" t="n">
        <f aca="false">IF(D62="totale",(C62/(A62*24))/F62,IF(D62="marché libre",(C62/(A62*24))/G62,"spécifier histo"))</f>
        <v>0.362604540023895</v>
      </c>
      <c r="F62" s="59" t="n">
        <v>1350</v>
      </c>
      <c r="G62" s="59" t="n">
        <f aca="false">F62-H62</f>
        <v>1350</v>
      </c>
      <c r="H62" s="59" t="n">
        <v>0</v>
      </c>
      <c r="I62" s="9"/>
      <c r="J62" s="30"/>
      <c r="K62" s="30"/>
    </row>
    <row r="63" customFormat="false" ht="18.15" hidden="false" customHeight="true" outlineLevel="0" collapsed="false">
      <c r="A63" s="0" t="n">
        <v>30</v>
      </c>
      <c r="B63" s="34" t="n">
        <v>38139</v>
      </c>
      <c r="C63" s="165" t="n">
        <v>347600</v>
      </c>
      <c r="D63" s="59" t="s">
        <v>41</v>
      </c>
      <c r="E63" s="33" t="n">
        <f aca="false">IF(D63="totale",(C63/(A63*24))/F63,IF(D63="marché libre",(C63/(A63*24))/G63,"spécifier histo"))</f>
        <v>0.35761316872428</v>
      </c>
      <c r="F63" s="59" t="n">
        <v>1350</v>
      </c>
      <c r="G63" s="59" t="n">
        <f aca="false">F63-H63</f>
        <v>1350</v>
      </c>
      <c r="H63" s="59" t="n">
        <v>0</v>
      </c>
      <c r="I63" s="9"/>
      <c r="J63" s="30"/>
      <c r="K63" s="30"/>
    </row>
    <row r="64" customFormat="false" ht="18.15" hidden="false" customHeight="true" outlineLevel="0" collapsed="false">
      <c r="A64" s="0" t="n">
        <v>31</v>
      </c>
      <c r="B64" s="31" t="n">
        <v>38169</v>
      </c>
      <c r="C64" s="165" t="n">
        <v>162600</v>
      </c>
      <c r="D64" s="59" t="s">
        <v>41</v>
      </c>
      <c r="E64" s="33" t="n">
        <f aca="false">IF(D64="totale",(C64/(A64*24))/F64,IF(D64="marché libre",(C64/(A64*24))/G64,"spécifier histo"))</f>
        <v>0.161887694145759</v>
      </c>
      <c r="F64" s="59" t="n">
        <v>1350</v>
      </c>
      <c r="G64" s="59" t="n">
        <f aca="false">F64-H64</f>
        <v>1350</v>
      </c>
      <c r="H64" s="59" t="n">
        <v>0</v>
      </c>
      <c r="I64" s="9"/>
      <c r="J64" s="30"/>
      <c r="K64" s="30"/>
    </row>
    <row r="65" customFormat="false" ht="18.15" hidden="false" customHeight="true" outlineLevel="0" collapsed="false">
      <c r="A65" s="0" t="n">
        <v>31</v>
      </c>
      <c r="B65" s="34" t="n">
        <v>38200</v>
      </c>
      <c r="C65" s="165" t="n">
        <v>474400</v>
      </c>
      <c r="D65" s="59" t="s">
        <v>41</v>
      </c>
      <c r="E65" s="33" t="n">
        <f aca="false">IF(D65="totale",(C65/(A65*24))/F65,IF(D65="marché libre",(C65/(A65*24))/G65,"spécifier histo"))</f>
        <v>0.472321784149741</v>
      </c>
      <c r="F65" s="59" t="n">
        <v>1350</v>
      </c>
      <c r="G65" s="59" t="n">
        <f aca="false">F65-H65</f>
        <v>1350</v>
      </c>
      <c r="H65" s="59" t="n">
        <v>0</v>
      </c>
      <c r="I65" s="9"/>
      <c r="J65" s="30"/>
      <c r="K65" s="30"/>
    </row>
    <row r="66" customFormat="false" ht="18.15" hidden="false" customHeight="true" outlineLevel="0" collapsed="false">
      <c r="A66" s="0" t="n">
        <v>30</v>
      </c>
      <c r="B66" s="31" t="n">
        <v>38231</v>
      </c>
      <c r="C66" s="165" t="n">
        <v>324200</v>
      </c>
      <c r="D66" s="59" t="s">
        <v>41</v>
      </c>
      <c r="E66" s="33" t="n">
        <f aca="false">IF(D66="totale",(C66/(A66*24))/F66,IF(D66="marché libre",(C66/(A66*24))/G66,"spécifier histo"))</f>
        <v>0.333539094650206</v>
      </c>
      <c r="F66" s="59" t="n">
        <v>1350</v>
      </c>
      <c r="G66" s="59" t="n">
        <f aca="false">F66-H66</f>
        <v>1350</v>
      </c>
      <c r="H66" s="59" t="n">
        <v>0</v>
      </c>
      <c r="I66" s="9"/>
      <c r="J66" s="30"/>
      <c r="K66" s="30"/>
    </row>
    <row r="67" customFormat="false" ht="18.15" hidden="false" customHeight="true" outlineLevel="0" collapsed="false">
      <c r="A67" s="0" t="n">
        <v>31</v>
      </c>
      <c r="B67" s="34" t="n">
        <v>38261</v>
      </c>
      <c r="C67" s="165" t="n">
        <v>430600</v>
      </c>
      <c r="D67" s="59" t="s">
        <v>41</v>
      </c>
      <c r="E67" s="33" t="n">
        <f aca="false">IF(D67="totale",(C67/(A67*24))/F67,IF(D67="marché libre",(C67/(A67*24))/G67,"spécifier histo"))</f>
        <v>0.428713659896456</v>
      </c>
      <c r="F67" s="59" t="n">
        <v>1350</v>
      </c>
      <c r="G67" s="59" t="n">
        <f aca="false">F67-H67</f>
        <v>1350</v>
      </c>
      <c r="H67" s="59" t="n">
        <v>0</v>
      </c>
      <c r="I67" s="9"/>
      <c r="J67" s="30"/>
      <c r="K67" s="30"/>
    </row>
    <row r="68" customFormat="false" ht="18.15" hidden="false" customHeight="true" outlineLevel="0" collapsed="false">
      <c r="A68" s="0" t="n">
        <v>30</v>
      </c>
      <c r="B68" s="31" t="n">
        <v>38292</v>
      </c>
      <c r="C68" s="165" t="n">
        <v>532200</v>
      </c>
      <c r="D68" s="59" t="s">
        <v>41</v>
      </c>
      <c r="E68" s="33" t="n">
        <f aca="false">IF(D68="totale",(C68/(A68*24))/F68,IF(D68="marché libre",(C68/(A68*24))/G68,"spécifier histo"))</f>
        <v>0.547530864197531</v>
      </c>
      <c r="F68" s="59" t="n">
        <v>1350</v>
      </c>
      <c r="G68" s="59" t="n">
        <f aca="false">F68-H68</f>
        <v>1350</v>
      </c>
      <c r="H68" s="59" t="n">
        <v>0</v>
      </c>
      <c r="I68" s="9"/>
      <c r="J68" s="30"/>
      <c r="K68" s="30"/>
    </row>
    <row r="69" customFormat="false" ht="18.15" hidden="false" customHeight="true" outlineLevel="0" collapsed="false">
      <c r="A69" s="0" t="n">
        <v>31</v>
      </c>
      <c r="B69" s="34" t="n">
        <v>38322</v>
      </c>
      <c r="C69" s="165" t="n">
        <v>581600</v>
      </c>
      <c r="D69" s="59" t="s">
        <v>41</v>
      </c>
      <c r="E69" s="33" t="n">
        <f aca="false">IF(D69="totale",(C69/(A69*24))/F69,IF(D69="marché libre",(C69/(A69*24))/G69,"spécifier histo"))</f>
        <v>0.57905217045002</v>
      </c>
      <c r="F69" s="59" t="n">
        <v>1350</v>
      </c>
      <c r="G69" s="59" t="n">
        <f aca="false">F69-H69</f>
        <v>1350</v>
      </c>
      <c r="H69" s="59" t="n">
        <v>0</v>
      </c>
      <c r="I69" s="9"/>
      <c r="J69" s="30"/>
      <c r="K69" s="30"/>
    </row>
    <row r="70" customFormat="false" ht="19.85" hidden="false" customHeight="true" outlineLevel="0" collapsed="false">
      <c r="A70" s="0" t="n">
        <v>31</v>
      </c>
      <c r="B70" s="31" t="n">
        <v>38353</v>
      </c>
      <c r="C70" s="56" t="n">
        <v>677000</v>
      </c>
      <c r="D70" s="59" t="s">
        <v>41</v>
      </c>
      <c r="E70" s="33" t="n">
        <f aca="false">IF(D70="totale",(C70/(A70*24))/F70,IF(D70="marché libre",(C70/(A70*24))/G70,"spécifier histo"))</f>
        <v>0.674034249303067</v>
      </c>
      <c r="F70" s="59" t="n">
        <v>1350</v>
      </c>
      <c r="G70" s="59" t="n">
        <f aca="false">F70-H70</f>
        <v>1350</v>
      </c>
      <c r="H70" s="59" t="n">
        <v>0</v>
      </c>
      <c r="J70" s="70"/>
      <c r="K70" s="70"/>
      <c r="L70" s="0"/>
      <c r="M70" s="0"/>
      <c r="N70" s="0"/>
      <c r="O70" s="0"/>
      <c r="P70" s="0"/>
      <c r="Q70" s="0"/>
      <c r="R70" s="0"/>
      <c r="S70" s="0"/>
      <c r="T70" s="0"/>
      <c r="U70" s="0"/>
      <c r="V70" s="0"/>
      <c r="W70" s="0"/>
      <c r="X70" s="0"/>
      <c r="Y70" s="0"/>
      <c r="Z70" s="0"/>
    </row>
    <row r="71" customFormat="false" ht="19.85" hidden="false" customHeight="true" outlineLevel="0" collapsed="false">
      <c r="A71" s="0" t="n">
        <v>28</v>
      </c>
      <c r="B71" s="34" t="n">
        <v>38384</v>
      </c>
      <c r="C71" s="56" t="n">
        <v>514000</v>
      </c>
      <c r="D71" s="59" t="s">
        <v>41</v>
      </c>
      <c r="E71" s="33" t="n">
        <f aca="false">IF(D71="totale",(C71/(A71*24))/F71,IF(D71="marché libre",(C71/(A71*24))/G71,"spécifier histo"))</f>
        <v>0.56657848324515</v>
      </c>
      <c r="F71" s="59" t="n">
        <v>1350</v>
      </c>
      <c r="G71" s="59" t="n">
        <f aca="false">F71-H71</f>
        <v>1350</v>
      </c>
      <c r="H71" s="59" t="n">
        <v>0</v>
      </c>
      <c r="J71" s="70"/>
      <c r="K71" s="70"/>
      <c r="L71" s="0"/>
      <c r="M71" s="0"/>
      <c r="N71" s="0"/>
      <c r="O71" s="0"/>
      <c r="P71" s="0"/>
      <c r="Q71" s="0"/>
      <c r="R71" s="0"/>
      <c r="S71" s="0"/>
      <c r="T71" s="0"/>
      <c r="U71" s="0"/>
      <c r="V71" s="0"/>
      <c r="W71" s="0"/>
      <c r="X71" s="0"/>
      <c r="Y71" s="0"/>
      <c r="Z71" s="0"/>
    </row>
    <row r="72" customFormat="false" ht="19.85" hidden="false" customHeight="true" outlineLevel="0" collapsed="false">
      <c r="A72" s="0" t="n">
        <v>31</v>
      </c>
      <c r="B72" s="31" t="n">
        <v>38412</v>
      </c>
      <c r="C72" s="56" t="n">
        <v>512600</v>
      </c>
      <c r="D72" s="59" t="s">
        <v>41</v>
      </c>
      <c r="E72" s="33" t="n">
        <f aca="false">IF(D72="totale",(C72/(A72*24))/F72,IF(D72="marché libre",(C72/(A72*24))/G72,"spécifier histo"))</f>
        <v>0.510354440461967</v>
      </c>
      <c r="F72" s="59" t="n">
        <v>1350</v>
      </c>
      <c r="G72" s="59" t="n">
        <f aca="false">F72-H72</f>
        <v>1350</v>
      </c>
      <c r="H72" s="59" t="n">
        <v>0</v>
      </c>
      <c r="J72" s="70"/>
      <c r="K72" s="70"/>
      <c r="L72" s="0"/>
      <c r="M72" s="0"/>
      <c r="N72" s="0"/>
      <c r="O72" s="0"/>
      <c r="P72" s="0"/>
      <c r="Q72" s="0"/>
      <c r="R72" s="0"/>
      <c r="S72" s="0"/>
      <c r="T72" s="0"/>
      <c r="U72" s="0"/>
      <c r="V72" s="0"/>
      <c r="W72" s="0"/>
      <c r="X72" s="0"/>
      <c r="Y72" s="0"/>
      <c r="Z72" s="0"/>
    </row>
    <row r="73" customFormat="false" ht="19.85" hidden="false" customHeight="true" outlineLevel="0" collapsed="false">
      <c r="A73" s="0" t="n">
        <v>30</v>
      </c>
      <c r="B73" s="34" t="n">
        <v>38443</v>
      </c>
      <c r="C73" s="56" t="n">
        <v>633000</v>
      </c>
      <c r="D73" s="59" t="s">
        <v>41</v>
      </c>
      <c r="E73" s="33" t="n">
        <f aca="false">IF(D73="totale",(C73/(A73*24))/F73,IF(D73="marché libre",(C73/(A73*24))/G73,"spécifier histo"))</f>
        <v>0.651234567901235</v>
      </c>
      <c r="F73" s="59" t="n">
        <v>1350</v>
      </c>
      <c r="G73" s="59" t="n">
        <f aca="false">F73-H73</f>
        <v>1350</v>
      </c>
      <c r="H73" s="59" t="n">
        <v>0</v>
      </c>
      <c r="J73" s="70"/>
      <c r="K73" s="70"/>
      <c r="L73" s="0"/>
      <c r="M73" s="0"/>
      <c r="N73" s="0"/>
      <c r="O73" s="0"/>
      <c r="P73" s="0"/>
      <c r="Q73" s="0"/>
      <c r="R73" s="0"/>
      <c r="S73" s="0"/>
      <c r="T73" s="0"/>
      <c r="U73" s="0"/>
      <c r="V73" s="0"/>
      <c r="W73" s="0"/>
      <c r="X73" s="0"/>
      <c r="Y73" s="0"/>
      <c r="Z73" s="0"/>
    </row>
    <row r="74" customFormat="false" ht="19.85" hidden="false" customHeight="true" outlineLevel="0" collapsed="false">
      <c r="A74" s="0" t="n">
        <v>31</v>
      </c>
      <c r="B74" s="31" t="n">
        <v>38473</v>
      </c>
      <c r="C74" s="56" t="n">
        <v>677600</v>
      </c>
      <c r="D74" s="59" t="s">
        <v>41</v>
      </c>
      <c r="E74" s="33" t="n">
        <f aca="false">IF(D74="totale",(C74/(A74*24))/F74,IF(D74="marché libre",(C74/(A74*24))/G74,"spécifier histo"))</f>
        <v>0.67463162086818</v>
      </c>
      <c r="F74" s="59" t="n">
        <v>1350</v>
      </c>
      <c r="G74" s="59" t="n">
        <f aca="false">F74-H74</f>
        <v>1350</v>
      </c>
      <c r="H74" s="59" t="n">
        <v>0</v>
      </c>
      <c r="J74" s="70"/>
      <c r="K74" s="70"/>
      <c r="L74" s="0"/>
      <c r="M74" s="0"/>
      <c r="N74" s="0"/>
      <c r="O74" s="0"/>
      <c r="P74" s="0"/>
      <c r="Q74" s="0"/>
      <c r="R74" s="0"/>
      <c r="S74" s="0"/>
      <c r="T74" s="0"/>
      <c r="U74" s="0"/>
      <c r="V74" s="0"/>
      <c r="W74" s="0"/>
      <c r="X74" s="0"/>
      <c r="Y74" s="0"/>
      <c r="Z74" s="0"/>
    </row>
    <row r="75" customFormat="false" ht="19.85" hidden="false" customHeight="true" outlineLevel="0" collapsed="false">
      <c r="A75" s="0" t="n">
        <v>30</v>
      </c>
      <c r="B75" s="34" t="n">
        <v>38504</v>
      </c>
      <c r="C75" s="56" t="n">
        <v>276800</v>
      </c>
      <c r="D75" s="59" t="s">
        <v>41</v>
      </c>
      <c r="E75" s="33" t="n">
        <f aca="false">IF(D75="totale",(C75/(A75*24))/F75,IF(D75="marché libre",(C75/(A75*24))/G75,"spécifier histo"))</f>
        <v>0.28477366255144</v>
      </c>
      <c r="F75" s="59" t="n">
        <v>1350</v>
      </c>
      <c r="G75" s="59" t="n">
        <f aca="false">F75-H75</f>
        <v>1350</v>
      </c>
      <c r="H75" s="59" t="n">
        <v>0</v>
      </c>
      <c r="J75" s="70"/>
      <c r="K75" s="70"/>
      <c r="L75" s="0"/>
      <c r="M75" s="0"/>
      <c r="N75" s="0"/>
      <c r="O75" s="0"/>
      <c r="P75" s="0"/>
      <c r="Q75" s="0"/>
      <c r="R75" s="0"/>
      <c r="S75" s="0"/>
      <c r="T75" s="0"/>
      <c r="U75" s="0"/>
      <c r="V75" s="0"/>
      <c r="W75" s="0"/>
      <c r="X75" s="0"/>
      <c r="Y75" s="0"/>
      <c r="Z75" s="0"/>
    </row>
    <row r="76" customFormat="false" ht="19.85" hidden="false" customHeight="true" outlineLevel="0" collapsed="false">
      <c r="A76" s="0" t="n">
        <v>31</v>
      </c>
      <c r="B76" s="31" t="n">
        <v>38534</v>
      </c>
      <c r="C76" s="56" t="n">
        <v>260000</v>
      </c>
      <c r="D76" s="59" t="s">
        <v>41</v>
      </c>
      <c r="E76" s="33" t="n">
        <f aca="false">IF(D76="totale",(C76/(A76*24))/F76,IF(D76="marché libre",(C76/(A76*24))/G76,"spécifier histo"))</f>
        <v>0.258861011549184</v>
      </c>
      <c r="F76" s="59" t="n">
        <v>1350</v>
      </c>
      <c r="G76" s="59" t="n">
        <f aca="false">F76-H76</f>
        <v>1350</v>
      </c>
      <c r="H76" s="59" t="n">
        <v>0</v>
      </c>
      <c r="J76" s="70"/>
      <c r="K76" s="70"/>
      <c r="L76" s="0"/>
      <c r="M76" s="0"/>
      <c r="N76" s="0"/>
      <c r="O76" s="0"/>
      <c r="P76" s="0"/>
      <c r="Q76" s="0"/>
      <c r="R76" s="0"/>
      <c r="S76" s="0"/>
      <c r="T76" s="0"/>
      <c r="U76" s="0"/>
      <c r="V76" s="0"/>
      <c r="W76" s="0"/>
      <c r="X76" s="0"/>
      <c r="Y76" s="0"/>
      <c r="Z76" s="0"/>
    </row>
    <row r="77" customFormat="false" ht="19.85" hidden="false" customHeight="true" outlineLevel="0" collapsed="false">
      <c r="A77" s="0" t="n">
        <v>31</v>
      </c>
      <c r="B77" s="34" t="n">
        <v>38565</v>
      </c>
      <c r="C77" s="56" t="n">
        <v>273600</v>
      </c>
      <c r="D77" s="59" t="s">
        <v>41</v>
      </c>
      <c r="E77" s="33" t="n">
        <f aca="false">IF(D77="totale",(C77/(A77*24))/F77,IF(D77="marché libre",(C77/(A77*24))/G77,"spécifier histo"))</f>
        <v>0.272401433691756</v>
      </c>
      <c r="F77" s="59" t="n">
        <v>1350</v>
      </c>
      <c r="G77" s="59" t="n">
        <f aca="false">F77-H77</f>
        <v>1350</v>
      </c>
      <c r="H77" s="59" t="n">
        <v>0</v>
      </c>
      <c r="J77" s="70"/>
      <c r="K77" s="70"/>
      <c r="L77" s="0"/>
      <c r="M77" s="0"/>
      <c r="N77" s="0"/>
      <c r="O77" s="0"/>
      <c r="P77" s="0"/>
      <c r="Q77" s="0"/>
      <c r="R77" s="0"/>
      <c r="S77" s="0"/>
      <c r="T77" s="0"/>
      <c r="U77" s="0"/>
      <c r="V77" s="0"/>
      <c r="W77" s="0"/>
      <c r="X77" s="0"/>
      <c r="Y77" s="0"/>
      <c r="Z77" s="0"/>
    </row>
    <row r="78" customFormat="false" ht="19.85" hidden="false" customHeight="true" outlineLevel="0" collapsed="false">
      <c r="A78" s="0" t="n">
        <v>30</v>
      </c>
      <c r="B78" s="31" t="n">
        <v>38596</v>
      </c>
      <c r="C78" s="56" t="n">
        <v>329400</v>
      </c>
      <c r="D78" s="59" t="s">
        <v>41</v>
      </c>
      <c r="E78" s="33" t="n">
        <f aca="false">IF(D78="totale",(C78/(A78*24))/F78,IF(D78="marché libre",(C78/(A78*24))/G78,"spécifier histo"))</f>
        <v>0.338888888888889</v>
      </c>
      <c r="F78" s="59" t="n">
        <v>1350</v>
      </c>
      <c r="G78" s="59" t="n">
        <f aca="false">F78-H78</f>
        <v>1350</v>
      </c>
      <c r="H78" s="59" t="n">
        <v>0</v>
      </c>
      <c r="J78" s="70"/>
      <c r="K78" s="70"/>
      <c r="L78" s="0"/>
      <c r="M78" s="0"/>
      <c r="N78" s="0"/>
      <c r="O78" s="0"/>
      <c r="P78" s="0"/>
      <c r="Q78" s="0"/>
      <c r="R78" s="0"/>
      <c r="S78" s="0"/>
      <c r="T78" s="0"/>
      <c r="U78" s="0"/>
      <c r="V78" s="0"/>
      <c r="W78" s="0"/>
      <c r="X78" s="0"/>
      <c r="Y78" s="0"/>
      <c r="Z78" s="0"/>
    </row>
    <row r="79" customFormat="false" ht="19.85" hidden="false" customHeight="true" outlineLevel="0" collapsed="false">
      <c r="A79" s="0" t="n">
        <v>31</v>
      </c>
      <c r="B79" s="34" t="n">
        <v>38626</v>
      </c>
      <c r="C79" s="56" t="n">
        <v>390200</v>
      </c>
      <c r="D79" s="59" t="s">
        <v>41</v>
      </c>
      <c r="E79" s="33" t="n">
        <f aca="false">IF(D79="totale",(C79/(A79*24))/F79,IF(D79="marché libre",(C79/(A79*24))/G79,"spécifier histo"))</f>
        <v>0.388490641178813</v>
      </c>
      <c r="F79" s="59" t="n">
        <v>1350</v>
      </c>
      <c r="G79" s="59" t="n">
        <f aca="false">F79-H79</f>
        <v>1350</v>
      </c>
      <c r="H79" s="59" t="n">
        <v>0</v>
      </c>
      <c r="J79" s="70"/>
      <c r="K79" s="70"/>
      <c r="L79" s="0"/>
      <c r="M79" s="0"/>
      <c r="N79" s="0"/>
      <c r="O79" s="0"/>
      <c r="P79" s="0"/>
      <c r="Q79" s="0"/>
      <c r="R79" s="0"/>
      <c r="S79" s="0"/>
      <c r="T79" s="0"/>
      <c r="U79" s="0"/>
      <c r="V79" s="0"/>
      <c r="W79" s="0"/>
      <c r="X79" s="0"/>
      <c r="Y79" s="0"/>
      <c r="Z79" s="0"/>
    </row>
    <row r="80" customFormat="false" ht="19.85" hidden="false" customHeight="true" outlineLevel="0" collapsed="false">
      <c r="A80" s="0" t="n">
        <v>30</v>
      </c>
      <c r="B80" s="31" t="n">
        <v>38657</v>
      </c>
      <c r="C80" s="56" t="n">
        <v>230000</v>
      </c>
      <c r="D80" s="59" t="s">
        <v>41</v>
      </c>
      <c r="E80" s="33" t="n">
        <f aca="false">IF(D80="totale",(C80/(A80*24))/F80,IF(D80="marché libre",(C80/(A80*24))/G80,"spécifier histo"))</f>
        <v>0.236625514403292</v>
      </c>
      <c r="F80" s="59" t="n">
        <v>1350</v>
      </c>
      <c r="G80" s="59" t="n">
        <f aca="false">F80-H80</f>
        <v>1350</v>
      </c>
      <c r="H80" s="59" t="n">
        <v>0</v>
      </c>
      <c r="J80" s="70"/>
      <c r="K80" s="70"/>
      <c r="L80" s="144"/>
      <c r="M80" s="144"/>
      <c r="N80" s="144"/>
      <c r="O80" s="144"/>
      <c r="P80" s="144"/>
      <c r="Q80" s="144"/>
      <c r="R80" s="144"/>
      <c r="S80" s="144"/>
      <c r="T80" s="144"/>
      <c r="U80" s="144"/>
      <c r="V80" s="144"/>
      <c r="W80" s="144"/>
      <c r="X80" s="144"/>
      <c r="Y80" s="144"/>
      <c r="Z80" s="144"/>
    </row>
    <row r="81" customFormat="false" ht="19.85" hidden="false" customHeight="true" outlineLevel="0" collapsed="false">
      <c r="A81" s="0" t="n">
        <v>31</v>
      </c>
      <c r="B81" s="34" t="n">
        <v>38687</v>
      </c>
      <c r="C81" s="56" t="n">
        <v>473400</v>
      </c>
      <c r="D81" s="59" t="s">
        <v>41</v>
      </c>
      <c r="E81" s="33" t="n">
        <f aca="false">IF(D81="totale",(C81/(A81*24))/F81,IF(D81="marché libre",(C81/(A81*24))/G81,"spécifier histo"))</f>
        <v>0.471326164874552</v>
      </c>
      <c r="F81" s="59" t="n">
        <v>1350</v>
      </c>
      <c r="G81" s="59" t="n">
        <f aca="false">F81-H81</f>
        <v>1350</v>
      </c>
      <c r="H81" s="59" t="n">
        <v>0</v>
      </c>
      <c r="J81" s="70"/>
      <c r="K81" s="70"/>
      <c r="L81" s="167"/>
      <c r="M81" s="0"/>
      <c r="N81" s="0"/>
      <c r="O81" s="0"/>
      <c r="P81" s="0"/>
      <c r="Q81" s="0"/>
      <c r="R81" s="142"/>
      <c r="S81" s="142"/>
      <c r="T81" s="142"/>
      <c r="U81" s="142"/>
      <c r="V81" s="142"/>
      <c r="W81" s="142"/>
      <c r="X81" s="142"/>
      <c r="Y81" s="142"/>
      <c r="Z81" s="142"/>
    </row>
    <row r="82" customFormat="false" ht="19.85" hidden="false" customHeight="true" outlineLevel="0" collapsed="false">
      <c r="A82" s="0" t="n">
        <v>31</v>
      </c>
      <c r="B82" s="31" t="n">
        <v>38718</v>
      </c>
      <c r="C82" s="56" t="n">
        <v>533600</v>
      </c>
      <c r="D82" s="59" t="s">
        <v>41</v>
      </c>
      <c r="E82" s="33" t="n">
        <f aca="false">IF(D82="totale",(C82/(A82*24))/F82,IF(D82="marché libre",(C82/(A82*24))/G82,"spécifier histo"))</f>
        <v>0.53126244524094</v>
      </c>
      <c r="F82" s="59" t="n">
        <v>1350</v>
      </c>
      <c r="G82" s="59" t="n">
        <f aca="false">F82-H82</f>
        <v>1350</v>
      </c>
      <c r="H82" s="59" t="n">
        <v>0</v>
      </c>
      <c r="J82" s="55"/>
      <c r="K82" s="55"/>
      <c r="L82" s="167"/>
      <c r="M82" s="0"/>
      <c r="N82" s="0"/>
      <c r="O82" s="0"/>
      <c r="P82" s="0"/>
      <c r="Q82" s="0"/>
      <c r="R82" s="142"/>
      <c r="S82" s="142"/>
      <c r="T82" s="142"/>
      <c r="U82" s="142"/>
      <c r="V82" s="142"/>
      <c r="W82" s="142"/>
      <c r="X82" s="142"/>
      <c r="Y82" s="142"/>
      <c r="Z82" s="142"/>
    </row>
    <row r="83" customFormat="false" ht="19.85" hidden="false" customHeight="true" outlineLevel="0" collapsed="false">
      <c r="A83" s="0" t="n">
        <v>28</v>
      </c>
      <c r="B83" s="34" t="n">
        <v>38749</v>
      </c>
      <c r="C83" s="56" t="n">
        <v>363400</v>
      </c>
      <c r="D83" s="59" t="s">
        <v>41</v>
      </c>
      <c r="E83" s="33" t="n">
        <f aca="false">IF(D83="totale",(C83/(A83*24))/F83,IF(D83="marché libre",(C83/(A83*24))/G83,"spécifier histo"))</f>
        <v>0.400573192239859</v>
      </c>
      <c r="F83" s="59" t="n">
        <v>1350</v>
      </c>
      <c r="G83" s="59" t="n">
        <f aca="false">F83-H83</f>
        <v>1350</v>
      </c>
      <c r="H83" s="59" t="n">
        <v>0</v>
      </c>
      <c r="J83" s="55"/>
      <c r="K83" s="55"/>
      <c r="L83" s="167"/>
      <c r="M83" s="0"/>
      <c r="N83" s="0"/>
      <c r="O83" s="0"/>
      <c r="P83" s="0"/>
      <c r="Q83" s="0"/>
      <c r="R83" s="142"/>
      <c r="S83" s="142"/>
      <c r="T83" s="142"/>
      <c r="U83" s="142"/>
      <c r="V83" s="142"/>
      <c r="W83" s="142"/>
      <c r="X83" s="142"/>
      <c r="Y83" s="142"/>
      <c r="Z83" s="142"/>
    </row>
    <row r="84" customFormat="false" ht="19.85" hidden="false" customHeight="true" outlineLevel="0" collapsed="false">
      <c r="A84" s="0" t="n">
        <v>31</v>
      </c>
      <c r="B84" s="31" t="n">
        <v>38777</v>
      </c>
      <c r="C84" s="56" t="n">
        <v>539000</v>
      </c>
      <c r="D84" s="59" t="s">
        <v>41</v>
      </c>
      <c r="E84" s="33" t="n">
        <f aca="false">IF(D84="totale",(C84/(A84*24))/F84,IF(D84="marché libre",(C84/(A84*24))/G84,"spécifier histo"))</f>
        <v>0.536638789326961</v>
      </c>
      <c r="F84" s="59" t="n">
        <v>1350</v>
      </c>
      <c r="G84" s="59" t="n">
        <f aca="false">F84-H84</f>
        <v>1350</v>
      </c>
      <c r="H84" s="59" t="n">
        <v>0</v>
      </c>
      <c r="J84" s="55"/>
      <c r="K84" s="55"/>
      <c r="L84" s="167"/>
      <c r="M84" s="0"/>
      <c r="N84" s="0"/>
      <c r="O84" s="0"/>
      <c r="P84" s="0"/>
      <c r="Q84" s="0"/>
      <c r="R84" s="142"/>
      <c r="S84" s="142"/>
      <c r="T84" s="142"/>
      <c r="U84" s="142"/>
      <c r="V84" s="142"/>
      <c r="W84" s="142"/>
      <c r="X84" s="142"/>
      <c r="Y84" s="142"/>
      <c r="Z84" s="142"/>
    </row>
    <row r="85" customFormat="false" ht="19.85" hidden="false" customHeight="true" outlineLevel="0" collapsed="false">
      <c r="A85" s="0" t="n">
        <v>30</v>
      </c>
      <c r="B85" s="34" t="n">
        <v>38808</v>
      </c>
      <c r="C85" s="56" t="n">
        <v>547000</v>
      </c>
      <c r="D85" s="59" t="s">
        <v>41</v>
      </c>
      <c r="E85" s="33" t="n">
        <f aca="false">IF(D85="totale",(C85/(A85*24))/F85,IF(D85="marché libre",(C85/(A85*24))/G85,"spécifier histo"))</f>
        <v>0.56275720164609</v>
      </c>
      <c r="F85" s="59" t="n">
        <v>1350</v>
      </c>
      <c r="G85" s="59" t="n">
        <f aca="false">F85-H85</f>
        <v>1350</v>
      </c>
      <c r="H85" s="59" t="n">
        <v>0</v>
      </c>
      <c r="J85" s="55"/>
      <c r="K85" s="55"/>
      <c r="L85" s="167"/>
      <c r="M85" s="0"/>
      <c r="N85" s="0"/>
      <c r="O85" s="0"/>
      <c r="P85" s="0"/>
      <c r="Q85" s="0"/>
      <c r="R85" s="142"/>
      <c r="S85" s="142"/>
      <c r="T85" s="142"/>
      <c r="U85" s="142"/>
      <c r="V85" s="142"/>
      <c r="W85" s="142"/>
      <c r="X85" s="142"/>
      <c r="Y85" s="142"/>
      <c r="Z85" s="142"/>
    </row>
    <row r="86" customFormat="false" ht="19.85" hidden="false" customHeight="true" outlineLevel="0" collapsed="false">
      <c r="A86" s="0" t="n">
        <v>31</v>
      </c>
      <c r="B86" s="31" t="n">
        <v>38838</v>
      </c>
      <c r="C86" s="56" t="n">
        <v>593000</v>
      </c>
      <c r="D86" s="59" t="s">
        <v>41</v>
      </c>
      <c r="E86" s="33" t="n">
        <f aca="false">IF(D86="totale",(C86/(A86*24))/F86,IF(D86="marché libre",(C86/(A86*24))/G86,"spécifier histo"))</f>
        <v>0.590402230187176</v>
      </c>
      <c r="F86" s="59" t="n">
        <v>1350</v>
      </c>
      <c r="G86" s="59" t="n">
        <f aca="false">F86-H86</f>
        <v>1350</v>
      </c>
      <c r="H86" s="59" t="n">
        <v>0</v>
      </c>
      <c r="J86" s="55"/>
      <c r="K86" s="55"/>
      <c r="L86" s="167"/>
      <c r="M86" s="0"/>
      <c r="N86" s="0"/>
      <c r="O86" s="0"/>
      <c r="P86" s="0"/>
      <c r="Q86" s="0"/>
      <c r="R86" s="142"/>
      <c r="S86" s="142"/>
      <c r="T86" s="142"/>
      <c r="U86" s="142"/>
      <c r="V86" s="142"/>
      <c r="W86" s="142"/>
      <c r="X86" s="142"/>
      <c r="Y86" s="142"/>
      <c r="Z86" s="142"/>
    </row>
    <row r="87" customFormat="false" ht="19.85" hidden="false" customHeight="true" outlineLevel="0" collapsed="false">
      <c r="A87" s="0" t="n">
        <v>30</v>
      </c>
      <c r="B87" s="34" t="n">
        <v>38869</v>
      </c>
      <c r="C87" s="56" t="n">
        <v>387400</v>
      </c>
      <c r="D87" s="59" t="s">
        <v>41</v>
      </c>
      <c r="E87" s="33" t="n">
        <f aca="false">IF(D87="totale",(C87/(A87*24))/F87,IF(D87="marché libre",(C87/(A87*24))/G87,"spécifier histo"))</f>
        <v>0.398559670781893</v>
      </c>
      <c r="F87" s="59" t="n">
        <v>1350</v>
      </c>
      <c r="G87" s="59" t="n">
        <f aca="false">F87-H87</f>
        <v>1350</v>
      </c>
      <c r="H87" s="59" t="n">
        <v>0</v>
      </c>
      <c r="J87" s="55"/>
      <c r="K87" s="55"/>
      <c r="L87" s="167"/>
      <c r="M87" s="0"/>
      <c r="N87" s="0"/>
      <c r="O87" s="0"/>
      <c r="P87" s="0"/>
      <c r="Q87" s="0"/>
      <c r="R87" s="142"/>
      <c r="S87" s="142"/>
      <c r="T87" s="142"/>
      <c r="U87" s="142"/>
      <c r="V87" s="142"/>
      <c r="W87" s="142"/>
      <c r="X87" s="142"/>
      <c r="Y87" s="142"/>
      <c r="Z87" s="142"/>
    </row>
    <row r="88" customFormat="false" ht="19.85" hidden="false" customHeight="true" outlineLevel="0" collapsed="false">
      <c r="A88" s="0" t="n">
        <v>31</v>
      </c>
      <c r="B88" s="31" t="n">
        <v>38899</v>
      </c>
      <c r="C88" s="56" t="n">
        <v>286400</v>
      </c>
      <c r="D88" s="59" t="s">
        <v>41</v>
      </c>
      <c r="E88" s="33" t="n">
        <f aca="false">IF(D88="totale",(C88/(A88*24))/F88,IF(D88="marché libre",(C88/(A88*24))/G88,"spécifier histo"))</f>
        <v>0.285145360414178</v>
      </c>
      <c r="F88" s="59" t="n">
        <v>1350</v>
      </c>
      <c r="G88" s="59" t="n">
        <f aca="false">F88-H88</f>
        <v>1350</v>
      </c>
      <c r="H88" s="59" t="n">
        <v>0</v>
      </c>
      <c r="J88" s="55"/>
      <c r="K88" s="55"/>
      <c r="L88" s="167"/>
      <c r="M88" s="0"/>
      <c r="N88" s="0"/>
      <c r="O88" s="0"/>
      <c r="P88" s="0"/>
      <c r="Q88" s="0"/>
      <c r="R88" s="142"/>
      <c r="S88" s="142"/>
      <c r="T88" s="142"/>
      <c r="U88" s="142"/>
      <c r="V88" s="142"/>
      <c r="W88" s="142"/>
      <c r="X88" s="142"/>
      <c r="Y88" s="142"/>
      <c r="Z88" s="142"/>
    </row>
    <row r="89" customFormat="false" ht="19.85" hidden="false" customHeight="true" outlineLevel="0" collapsed="false">
      <c r="A89" s="0" t="n">
        <v>31</v>
      </c>
      <c r="B89" s="34" t="n">
        <v>38930</v>
      </c>
      <c r="C89" s="56" t="n">
        <v>505800</v>
      </c>
      <c r="D89" s="59" t="s">
        <v>41</v>
      </c>
      <c r="E89" s="33" t="n">
        <f aca="false">IF(D89="totale",(C89/(A89*24))/F89,IF(D89="marché libre",(C89/(A89*24))/G89,"spécifier histo"))</f>
        <v>0.503584229390681</v>
      </c>
      <c r="F89" s="59" t="n">
        <v>1350</v>
      </c>
      <c r="G89" s="59" t="n">
        <f aca="false">F89-H89</f>
        <v>1350</v>
      </c>
      <c r="H89" s="59" t="n">
        <v>0</v>
      </c>
      <c r="J89" s="55"/>
      <c r="K89" s="55"/>
      <c r="L89" s="167"/>
      <c r="M89" s="0"/>
      <c r="N89" s="0"/>
      <c r="O89" s="0"/>
      <c r="P89" s="0"/>
      <c r="Q89" s="0"/>
      <c r="R89" s="142"/>
      <c r="S89" s="142"/>
      <c r="T89" s="142"/>
      <c r="U89" s="142"/>
      <c r="V89" s="142"/>
      <c r="W89" s="142"/>
      <c r="X89" s="142"/>
      <c r="Y89" s="142"/>
      <c r="Z89" s="142"/>
    </row>
    <row r="90" customFormat="false" ht="19.85" hidden="false" customHeight="true" outlineLevel="0" collapsed="false">
      <c r="A90" s="0" t="n">
        <v>30</v>
      </c>
      <c r="B90" s="31" t="n">
        <v>38961</v>
      </c>
      <c r="C90" s="56" t="n">
        <v>523400</v>
      </c>
      <c r="D90" s="59" t="s">
        <v>41</v>
      </c>
      <c r="E90" s="33" t="n">
        <f aca="false">IF(D90="totale",(C90/(A90*24))/F90,IF(D90="marché libre",(C90/(A90*24))/G90,"spécifier histo"))</f>
        <v>0.538477366255144</v>
      </c>
      <c r="F90" s="59" t="n">
        <v>1350</v>
      </c>
      <c r="G90" s="59" t="n">
        <f aca="false">F90-H90</f>
        <v>1350</v>
      </c>
      <c r="H90" s="59" t="n">
        <v>0</v>
      </c>
      <c r="J90" s="55"/>
      <c r="K90" s="55"/>
      <c r="L90" s="167"/>
      <c r="M90" s="0"/>
      <c r="N90" s="0"/>
      <c r="O90" s="0"/>
      <c r="P90" s="0"/>
      <c r="Q90" s="0"/>
      <c r="R90" s="142"/>
      <c r="S90" s="142"/>
      <c r="T90" s="142"/>
      <c r="U90" s="142"/>
      <c r="V90" s="142"/>
      <c r="W90" s="142"/>
      <c r="X90" s="142"/>
      <c r="Y90" s="142"/>
      <c r="Z90" s="142"/>
    </row>
    <row r="91" customFormat="false" ht="19.85" hidden="false" customHeight="true" outlineLevel="0" collapsed="false">
      <c r="A91" s="0" t="n">
        <v>31</v>
      </c>
      <c r="B91" s="34" t="n">
        <v>38991</v>
      </c>
      <c r="C91" s="56" t="n">
        <v>502800</v>
      </c>
      <c r="D91" s="59" t="s">
        <v>41</v>
      </c>
      <c r="E91" s="33" t="n">
        <f aca="false">IF(D91="totale",(C91/(A91*24))/F91,IF(D91="marché libre",(C91/(A91*24))/G91,"spécifier histo"))</f>
        <v>0.500597371565113</v>
      </c>
      <c r="F91" s="59" t="n">
        <v>1350</v>
      </c>
      <c r="G91" s="59" t="n">
        <f aca="false">F91-H91</f>
        <v>1350</v>
      </c>
      <c r="H91" s="59" t="n">
        <v>0</v>
      </c>
      <c r="J91" s="55"/>
      <c r="K91" s="55"/>
      <c r="L91" s="167"/>
      <c r="M91" s="0"/>
      <c r="N91" s="0"/>
      <c r="O91" s="0"/>
      <c r="P91" s="0"/>
      <c r="Q91" s="0"/>
      <c r="R91" s="142"/>
      <c r="S91" s="142"/>
      <c r="T91" s="142"/>
      <c r="U91" s="142"/>
      <c r="V91" s="142"/>
      <c r="W91" s="142"/>
      <c r="X91" s="142"/>
      <c r="Y91" s="142"/>
      <c r="Z91" s="142"/>
    </row>
    <row r="92" customFormat="false" ht="19.85" hidden="false" customHeight="true" outlineLevel="0" collapsed="false">
      <c r="A92" s="0" t="n">
        <v>30</v>
      </c>
      <c r="B92" s="31" t="n">
        <v>39022</v>
      </c>
      <c r="C92" s="56" t="n">
        <v>386200</v>
      </c>
      <c r="D92" s="59" t="s">
        <v>41</v>
      </c>
      <c r="E92" s="33" t="n">
        <f aca="false">IF(D92="totale",(C92/(A92*24))/F92,IF(D92="marché libre",(C92/(A92*24))/G92,"spécifier histo"))</f>
        <v>0.397325102880658</v>
      </c>
      <c r="F92" s="59" t="n">
        <v>1350</v>
      </c>
      <c r="G92" s="59" t="n">
        <f aca="false">F92-H92</f>
        <v>1350</v>
      </c>
      <c r="H92" s="59" t="n">
        <v>0</v>
      </c>
      <c r="J92" s="55"/>
      <c r="K92" s="55"/>
      <c r="L92" s="167"/>
      <c r="M92" s="0"/>
      <c r="N92" s="0"/>
      <c r="O92" s="0"/>
      <c r="P92" s="0"/>
      <c r="Q92" s="0"/>
      <c r="R92" s="142"/>
      <c r="S92" s="142"/>
      <c r="T92" s="142"/>
      <c r="U92" s="142"/>
      <c r="V92" s="142"/>
      <c r="W92" s="142"/>
      <c r="X92" s="142"/>
      <c r="Y92" s="142"/>
      <c r="Z92" s="142"/>
    </row>
    <row r="93" customFormat="false" ht="19.85" hidden="false" customHeight="true" outlineLevel="0" collapsed="false">
      <c r="A93" s="0" t="n">
        <v>31</v>
      </c>
      <c r="B93" s="34" t="n">
        <v>39052</v>
      </c>
      <c r="C93" s="56" t="n">
        <v>531400</v>
      </c>
      <c r="D93" s="59" t="s">
        <v>41</v>
      </c>
      <c r="E93" s="33" t="n">
        <f aca="false">IF(D93="totale",(C93/(A93*24))/F93,IF(D93="marché libre",(C93/(A93*24))/G93,"spécifier histo"))</f>
        <v>0.529072082835524</v>
      </c>
      <c r="F93" s="59" t="n">
        <v>1350</v>
      </c>
      <c r="G93" s="59" t="n">
        <f aca="false">F93-H93</f>
        <v>1350</v>
      </c>
      <c r="H93" s="59" t="n">
        <v>0</v>
      </c>
      <c r="J93" s="55"/>
      <c r="K93" s="55"/>
      <c r="L93" s="9"/>
      <c r="M93" s="0"/>
    </row>
    <row r="94" customFormat="false" ht="19.85" hidden="false" customHeight="true" outlineLevel="0" collapsed="false">
      <c r="A94" s="0" t="n">
        <v>31</v>
      </c>
      <c r="B94" s="31" t="n">
        <v>39083</v>
      </c>
      <c r="C94" s="56" t="n">
        <v>647000</v>
      </c>
      <c r="D94" s="59" t="s">
        <v>41</v>
      </c>
      <c r="E94" s="33" t="n">
        <f aca="false">IF(D94="totale",(C94/(A94*24))/F94,IF(D94="marché libre",(C94/(A94*24))/G94,"spécifier histo"))</f>
        <v>0.644165671047392</v>
      </c>
      <c r="F94" s="59" t="n">
        <v>1350</v>
      </c>
      <c r="G94" s="59" t="n">
        <f aca="false">F94-H94</f>
        <v>1350</v>
      </c>
      <c r="H94" s="59" t="n">
        <v>0</v>
      </c>
      <c r="J94" s="55"/>
      <c r="K94" s="55"/>
      <c r="L94" s="9"/>
      <c r="M94" s="0"/>
    </row>
    <row r="95" customFormat="false" ht="19.85" hidden="false" customHeight="true" outlineLevel="0" collapsed="false">
      <c r="A95" s="0" t="n">
        <v>28</v>
      </c>
      <c r="B95" s="34" t="n">
        <v>39114</v>
      </c>
      <c r="C95" s="56" t="n">
        <v>572400</v>
      </c>
      <c r="D95" s="59" t="s">
        <v>41</v>
      </c>
      <c r="E95" s="33" t="n">
        <f aca="false">IF(D95="totale",(C95/(A95*24))/F95,IF(D95="marché libre",(C95/(A95*24))/G95,"spécifier histo"))</f>
        <v>0.630952380952381</v>
      </c>
      <c r="F95" s="59" t="n">
        <v>1350</v>
      </c>
      <c r="G95" s="59" t="n">
        <f aca="false">F95-H95</f>
        <v>1350</v>
      </c>
      <c r="H95" s="59" t="n">
        <v>0</v>
      </c>
      <c r="J95" s="55"/>
      <c r="K95" s="55"/>
      <c r="L95" s="9"/>
      <c r="M95" s="0"/>
    </row>
    <row r="96" customFormat="false" ht="19.85" hidden="false" customHeight="true" outlineLevel="0" collapsed="false">
      <c r="A96" s="0" t="n">
        <v>31</v>
      </c>
      <c r="B96" s="31" t="n">
        <v>39142</v>
      </c>
      <c r="C96" s="56" t="n">
        <v>627000</v>
      </c>
      <c r="D96" s="59" t="s">
        <v>41</v>
      </c>
      <c r="E96" s="33" t="n">
        <f aca="false">IF(D96="totale",(C96/(A96*24))/F96,IF(D96="marché libre",(C96/(A96*24))/G96,"spécifier histo"))</f>
        <v>0.624253285543608</v>
      </c>
      <c r="F96" s="59" t="n">
        <v>1350</v>
      </c>
      <c r="G96" s="59" t="n">
        <f aca="false">F96-H96</f>
        <v>1350</v>
      </c>
      <c r="H96" s="59" t="n">
        <v>0</v>
      </c>
      <c r="J96" s="55"/>
      <c r="K96" s="55"/>
      <c r="L96" s="9"/>
      <c r="M96" s="0"/>
    </row>
    <row r="97" customFormat="false" ht="19.85" hidden="false" customHeight="true" outlineLevel="0" collapsed="false">
      <c r="A97" s="0" t="n">
        <v>30</v>
      </c>
      <c r="B97" s="34" t="n">
        <v>39173</v>
      </c>
      <c r="C97" s="56" t="n">
        <v>409400</v>
      </c>
      <c r="D97" s="59" t="s">
        <v>41</v>
      </c>
      <c r="E97" s="33" t="n">
        <f aca="false">IF(D97="totale",(C97/(A97*24))/F97,IF(D97="marché libre",(C97/(A97*24))/G97,"spécifier histo"))</f>
        <v>0.42119341563786</v>
      </c>
      <c r="F97" s="59" t="n">
        <v>1350</v>
      </c>
      <c r="G97" s="59" t="n">
        <f aca="false">F97-H97</f>
        <v>1350</v>
      </c>
      <c r="H97" s="59" t="n">
        <v>0</v>
      </c>
      <c r="J97" s="55"/>
      <c r="K97" s="55"/>
      <c r="L97" s="9"/>
      <c r="M97" s="0"/>
    </row>
    <row r="98" customFormat="false" ht="19.85" hidden="false" customHeight="true" outlineLevel="0" collapsed="false">
      <c r="A98" s="0" t="n">
        <v>31</v>
      </c>
      <c r="B98" s="31" t="n">
        <v>39203</v>
      </c>
      <c r="C98" s="56" t="n">
        <v>540600</v>
      </c>
      <c r="D98" s="59" t="s">
        <v>41</v>
      </c>
      <c r="E98" s="33" t="n">
        <f aca="false">IF(D98="totale",(C98/(A98*24))/F98,IF(D98="marché libre",(C98/(A98*24))/G98,"spécifier histo"))</f>
        <v>0.538231780167264</v>
      </c>
      <c r="F98" s="59" t="n">
        <v>1350</v>
      </c>
      <c r="G98" s="59" t="n">
        <f aca="false">F98-H98</f>
        <v>1350</v>
      </c>
      <c r="H98" s="59" t="n">
        <v>0</v>
      </c>
      <c r="J98" s="55"/>
      <c r="K98" s="55"/>
      <c r="L98" s="9"/>
      <c r="M98" s="0"/>
    </row>
    <row r="99" customFormat="false" ht="19.85" hidden="false" customHeight="true" outlineLevel="0" collapsed="false">
      <c r="A99" s="0" t="n">
        <v>30</v>
      </c>
      <c r="B99" s="34" t="n">
        <v>39234</v>
      </c>
      <c r="C99" s="56" t="n">
        <v>645800</v>
      </c>
      <c r="D99" s="59" t="s">
        <v>41</v>
      </c>
      <c r="E99" s="33" t="n">
        <f aca="false">IF(D99="totale",(C99/(A99*24))/F99,IF(D99="marché libre",(C99/(A99*24))/G99,"spécifier histo"))</f>
        <v>0.66440329218107</v>
      </c>
      <c r="F99" s="59" t="n">
        <v>1350</v>
      </c>
      <c r="G99" s="59" t="n">
        <f aca="false">F99-H99</f>
        <v>1350</v>
      </c>
      <c r="H99" s="59" t="n">
        <v>0</v>
      </c>
      <c r="J99" s="55"/>
      <c r="K99" s="55"/>
      <c r="L99" s="9"/>
      <c r="M99" s="0"/>
    </row>
    <row r="100" customFormat="false" ht="19.85" hidden="false" customHeight="true" outlineLevel="0" collapsed="false">
      <c r="A100" s="0" t="n">
        <v>31</v>
      </c>
      <c r="B100" s="31" t="n">
        <v>39264</v>
      </c>
      <c r="C100" s="56" t="n">
        <v>617000</v>
      </c>
      <c r="D100" s="59" t="s">
        <v>41</v>
      </c>
      <c r="E100" s="33" t="n">
        <f aca="false">IF(D100="totale",(C100/(A100*24))/F100,IF(D100="marché libre",(C100/(A100*24))/G100,"spécifier histo"))</f>
        <v>0.614297092791716</v>
      </c>
      <c r="F100" s="59" t="n">
        <v>1350</v>
      </c>
      <c r="G100" s="59" t="n">
        <f aca="false">F100-H100</f>
        <v>1350</v>
      </c>
      <c r="H100" s="59" t="n">
        <v>0</v>
      </c>
      <c r="J100" s="55"/>
      <c r="K100" s="55"/>
      <c r="L100" s="9"/>
      <c r="M100" s="0"/>
    </row>
    <row r="101" customFormat="false" ht="19.85" hidden="false" customHeight="true" outlineLevel="0" collapsed="false">
      <c r="A101" s="0" t="n">
        <v>31</v>
      </c>
      <c r="B101" s="34" t="n">
        <v>39295</v>
      </c>
      <c r="C101" s="56" t="n">
        <v>489200</v>
      </c>
      <c r="D101" s="59" t="s">
        <v>41</v>
      </c>
      <c r="E101" s="33" t="n">
        <f aca="false">IF(D101="totale",(C101/(A101*24))/F101,IF(D101="marché libre",(C101/(A101*24))/G101,"spécifier histo"))</f>
        <v>0.487056949422541</v>
      </c>
      <c r="F101" s="59" t="n">
        <v>1350</v>
      </c>
      <c r="G101" s="59" t="n">
        <f aca="false">F101-H101</f>
        <v>1350</v>
      </c>
      <c r="H101" s="59" t="n">
        <v>0</v>
      </c>
      <c r="J101" s="55"/>
      <c r="K101" s="55"/>
      <c r="L101" s="9"/>
      <c r="M101" s="0"/>
    </row>
    <row r="102" customFormat="false" ht="19.85" hidden="false" customHeight="true" outlineLevel="0" collapsed="false">
      <c r="A102" s="0" t="n">
        <v>30</v>
      </c>
      <c r="B102" s="31" t="n">
        <v>39326</v>
      </c>
      <c r="C102" s="56" t="n">
        <v>397200</v>
      </c>
      <c r="D102" s="59" t="s">
        <v>41</v>
      </c>
      <c r="E102" s="33" t="n">
        <f aca="false">IF(D102="totale",(C102/(A102*24))/F102,IF(D102="marché libre",(C102/(A102*24))/G102,"spécifier histo"))</f>
        <v>0.408641975308642</v>
      </c>
      <c r="F102" s="59" t="n">
        <v>1350</v>
      </c>
      <c r="G102" s="59" t="n">
        <f aca="false">F102-H102</f>
        <v>1350</v>
      </c>
      <c r="H102" s="59" t="n">
        <v>0</v>
      </c>
      <c r="J102" s="55"/>
      <c r="K102" s="55"/>
      <c r="L102" s="9"/>
      <c r="M102" s="0"/>
    </row>
    <row r="103" customFormat="false" ht="19.85" hidden="false" customHeight="true" outlineLevel="0" collapsed="false">
      <c r="A103" s="0" t="n">
        <v>31</v>
      </c>
      <c r="B103" s="34" t="n">
        <v>39356</v>
      </c>
      <c r="C103" s="56" t="n">
        <v>215400</v>
      </c>
      <c r="D103" s="59" t="s">
        <v>41</v>
      </c>
      <c r="E103" s="33" t="n">
        <f aca="false">IF(D103="totale",(C103/(A103*24))/F103,IF(D103="marché libre",(C103/(A103*24))/G103,"spécifier histo"))</f>
        <v>0.214456391875747</v>
      </c>
      <c r="F103" s="59" t="n">
        <v>1350</v>
      </c>
      <c r="G103" s="59" t="n">
        <f aca="false">F103-H103</f>
        <v>1350</v>
      </c>
      <c r="H103" s="59" t="n">
        <v>0</v>
      </c>
      <c r="J103" s="55"/>
      <c r="K103" s="55"/>
      <c r="L103" s="9"/>
      <c r="M103" s="0"/>
    </row>
    <row r="104" customFormat="false" ht="19.85" hidden="false" customHeight="true" outlineLevel="0" collapsed="false">
      <c r="A104" s="0" t="n">
        <v>30</v>
      </c>
      <c r="B104" s="31" t="n">
        <v>39387</v>
      </c>
      <c r="C104" s="56" t="n">
        <v>373400</v>
      </c>
      <c r="D104" s="59" t="s">
        <v>41</v>
      </c>
      <c r="E104" s="33" t="n">
        <f aca="false">IF(D104="totale",(C104/(A104*24))/F104,IF(D104="marché libre",(C104/(A104*24))/G104,"spécifier histo"))</f>
        <v>0.384156378600823</v>
      </c>
      <c r="F104" s="59" t="n">
        <v>1350</v>
      </c>
      <c r="G104" s="59" t="n">
        <f aca="false">F104-H104</f>
        <v>1350</v>
      </c>
      <c r="H104" s="59" t="n">
        <v>0</v>
      </c>
      <c r="J104" s="55"/>
      <c r="K104" s="55"/>
      <c r="L104" s="9"/>
      <c r="M104" s="0"/>
    </row>
    <row r="105" customFormat="false" ht="19.85" hidden="false" customHeight="true" outlineLevel="0" collapsed="false">
      <c r="A105" s="0" t="n">
        <v>31</v>
      </c>
      <c r="B105" s="34" t="n">
        <v>39417</v>
      </c>
      <c r="C105" s="56" t="n">
        <v>500600</v>
      </c>
      <c r="D105" s="59" t="s">
        <v>41</v>
      </c>
      <c r="E105" s="33" t="n">
        <f aca="false">IF(D105="totale",(C105/(A105*24))/F105,IF(D105="marché libre",(C105/(A105*24))/G105,"spécifier histo"))</f>
        <v>0.498407009159697</v>
      </c>
      <c r="F105" s="59" t="n">
        <v>1350</v>
      </c>
      <c r="G105" s="59" t="n">
        <f aca="false">F105-H105</f>
        <v>1350</v>
      </c>
      <c r="H105" s="59" t="n">
        <v>0</v>
      </c>
      <c r="J105" s="55"/>
      <c r="K105" s="55"/>
      <c r="L105" s="9"/>
      <c r="M105" s="0"/>
    </row>
    <row r="106" customFormat="false" ht="19.85" hidden="false" customHeight="true" outlineLevel="0" collapsed="false">
      <c r="A106" s="0" t="n">
        <v>31</v>
      </c>
      <c r="B106" s="31" t="n">
        <v>39448</v>
      </c>
      <c r="C106" s="56" t="n">
        <v>577400</v>
      </c>
      <c r="D106" s="59" t="s">
        <v>41</v>
      </c>
      <c r="E106" s="33" t="n">
        <f aca="false">IF(D106="totale",(C106/(A106*24))/F106,IF(D106="marché libre",(C106/(A106*24))/G106,"spécifier histo"))</f>
        <v>0.574870569494225</v>
      </c>
      <c r="F106" s="59" t="n">
        <v>1350</v>
      </c>
      <c r="G106" s="59" t="n">
        <f aca="false">F106-H106</f>
        <v>1350</v>
      </c>
      <c r="H106" s="59" t="n">
        <v>0</v>
      </c>
      <c r="J106" s="55"/>
      <c r="K106" s="55"/>
      <c r="L106" s="9"/>
      <c r="M106" s="0"/>
    </row>
    <row r="107" customFormat="false" ht="19.85" hidden="false" customHeight="true" outlineLevel="0" collapsed="false">
      <c r="A107" s="0" t="n">
        <v>28</v>
      </c>
      <c r="B107" s="34" t="n">
        <v>39479</v>
      </c>
      <c r="C107" s="56" t="n">
        <v>421800</v>
      </c>
      <c r="D107" s="59" t="s">
        <v>41</v>
      </c>
      <c r="E107" s="33" t="n">
        <f aca="false">IF(D107="totale",(C107/(A107*24))/F107,IF(D107="marché libre",(C107/(A107*24))/G107,"spécifier histo"))</f>
        <v>0.46494708994709</v>
      </c>
      <c r="F107" s="59" t="n">
        <v>1350</v>
      </c>
      <c r="G107" s="59" t="n">
        <f aca="false">F107-H107</f>
        <v>1350</v>
      </c>
      <c r="H107" s="59" t="n">
        <v>0</v>
      </c>
      <c r="J107" s="55"/>
      <c r="K107" s="55"/>
      <c r="L107" s="9"/>
      <c r="M107" s="0"/>
    </row>
    <row r="108" customFormat="false" ht="19.85" hidden="false" customHeight="true" outlineLevel="0" collapsed="false">
      <c r="A108" s="0" t="n">
        <v>31</v>
      </c>
      <c r="B108" s="31" t="n">
        <v>39508</v>
      </c>
      <c r="C108" s="56" t="n">
        <v>654000</v>
      </c>
      <c r="D108" s="59" t="s">
        <v>41</v>
      </c>
      <c r="E108" s="33" t="n">
        <f aca="false">IF(D108="totale",(C108/(A108*24))/F108,IF(D108="marché libre",(C108/(A108*24))/G108,"spécifier histo"))</f>
        <v>0.651135005973716</v>
      </c>
      <c r="F108" s="59" t="n">
        <v>1350</v>
      </c>
      <c r="G108" s="59" t="n">
        <f aca="false">F108-H108</f>
        <v>1350</v>
      </c>
      <c r="H108" s="59" t="n">
        <v>0</v>
      </c>
      <c r="J108" s="55"/>
      <c r="K108" s="55"/>
      <c r="L108" s="9"/>
      <c r="M108" s="0"/>
    </row>
    <row r="109" customFormat="false" ht="19.85" hidden="false" customHeight="true" outlineLevel="0" collapsed="false">
      <c r="A109" s="0" t="n">
        <v>30</v>
      </c>
      <c r="B109" s="34" t="n">
        <v>39539</v>
      </c>
      <c r="C109" s="56" t="n">
        <v>632000</v>
      </c>
      <c r="D109" s="59" t="s">
        <v>41</v>
      </c>
      <c r="E109" s="33" t="n">
        <f aca="false">IF(D109="totale",(C109/(A109*24))/F109,IF(D109="marché libre",(C109/(A109*24))/G109,"spécifier histo"))</f>
        <v>0.650205761316872</v>
      </c>
      <c r="F109" s="59" t="n">
        <v>1350</v>
      </c>
      <c r="G109" s="59" t="n">
        <f aca="false">F109-H109</f>
        <v>1350</v>
      </c>
      <c r="H109" s="59" t="n">
        <v>0</v>
      </c>
      <c r="J109" s="55"/>
      <c r="K109" s="55"/>
      <c r="L109" s="9"/>
      <c r="M109" s="0"/>
    </row>
    <row r="110" customFormat="false" ht="19.85" hidden="false" customHeight="true" outlineLevel="0" collapsed="false">
      <c r="A110" s="0" t="n">
        <v>31</v>
      </c>
      <c r="B110" s="31" t="n">
        <v>39569</v>
      </c>
      <c r="C110" s="56" t="n">
        <v>382400</v>
      </c>
      <c r="D110" s="59" t="s">
        <v>41</v>
      </c>
      <c r="E110" s="33" t="n">
        <f aca="false">IF(D110="totale",(C110/(A110*24))/F110,IF(D110="marché libre",(C110/(A110*24))/G110,"spécifier histo"))</f>
        <v>0.380724810832338</v>
      </c>
      <c r="F110" s="59" t="n">
        <v>1350</v>
      </c>
      <c r="G110" s="59" t="n">
        <f aca="false">F110-H110</f>
        <v>1350</v>
      </c>
      <c r="H110" s="59" t="n">
        <v>0</v>
      </c>
      <c r="J110" s="55"/>
      <c r="K110" s="55"/>
      <c r="L110" s="9"/>
      <c r="M110" s="0"/>
    </row>
    <row r="111" customFormat="false" ht="19.85" hidden="false" customHeight="true" outlineLevel="0" collapsed="false">
      <c r="A111" s="0" t="n">
        <v>30</v>
      </c>
      <c r="B111" s="34" t="n">
        <v>39600</v>
      </c>
      <c r="C111" s="56" t="n">
        <v>532200</v>
      </c>
      <c r="D111" s="59" t="s">
        <v>41</v>
      </c>
      <c r="E111" s="33" t="n">
        <f aca="false">IF(D111="totale",(C111/(A111*24))/F111,IF(D111="marché libre",(C111/(A111*24))/G111,"spécifier histo"))</f>
        <v>0.547530864197531</v>
      </c>
      <c r="F111" s="59" t="n">
        <v>1350</v>
      </c>
      <c r="G111" s="59" t="n">
        <f aca="false">F111-H111</f>
        <v>1350</v>
      </c>
      <c r="H111" s="59" t="n">
        <v>0</v>
      </c>
      <c r="J111" s="55"/>
      <c r="K111" s="55"/>
      <c r="L111" s="9"/>
      <c r="M111" s="0"/>
    </row>
    <row r="112" customFormat="false" ht="19.85" hidden="false" customHeight="true" outlineLevel="0" collapsed="false">
      <c r="A112" s="0" t="n">
        <v>31</v>
      </c>
      <c r="B112" s="31" t="n">
        <v>39630</v>
      </c>
      <c r="C112" s="56" t="n">
        <v>321400</v>
      </c>
      <c r="D112" s="59" t="s">
        <v>41</v>
      </c>
      <c r="E112" s="33" t="n">
        <f aca="false">IF(D112="totale",(C112/(A112*24))/F112,IF(D112="marché libre",(C112/(A112*24))/G112,"spécifier histo"))</f>
        <v>0.319992035045798</v>
      </c>
      <c r="F112" s="59" t="n">
        <v>1350</v>
      </c>
      <c r="G112" s="59" t="n">
        <f aca="false">F112-H112</f>
        <v>1350</v>
      </c>
      <c r="H112" s="59" t="n">
        <v>0</v>
      </c>
      <c r="J112" s="55"/>
      <c r="K112" s="55"/>
      <c r="L112" s="9"/>
      <c r="M112" s="0"/>
    </row>
    <row r="113" customFormat="false" ht="19.85" hidden="false" customHeight="true" outlineLevel="0" collapsed="false">
      <c r="A113" s="0" t="n">
        <v>31</v>
      </c>
      <c r="B113" s="34" t="n">
        <v>39661</v>
      </c>
      <c r="C113" s="56" t="n">
        <v>410400</v>
      </c>
      <c r="D113" s="59" t="s">
        <v>41</v>
      </c>
      <c r="E113" s="33" t="n">
        <f aca="false">IF(D113="totale",(C113/(A113*24))/F113,IF(D113="marché libre",(C113/(A113*24))/G113,"spécifier histo"))</f>
        <v>0.408602150537634</v>
      </c>
      <c r="F113" s="59" t="n">
        <v>1350</v>
      </c>
      <c r="G113" s="59" t="n">
        <f aca="false">F113-H113</f>
        <v>1350</v>
      </c>
      <c r="H113" s="59" t="n">
        <v>0</v>
      </c>
      <c r="J113" s="55"/>
      <c r="K113" s="55"/>
      <c r="L113" s="9"/>
      <c r="M113" s="0"/>
    </row>
    <row r="114" customFormat="false" ht="19.85" hidden="false" customHeight="true" outlineLevel="0" collapsed="false">
      <c r="A114" s="0" t="n">
        <v>30</v>
      </c>
      <c r="B114" s="31" t="n">
        <v>39692</v>
      </c>
      <c r="C114" s="56" t="n">
        <v>441800</v>
      </c>
      <c r="D114" s="59" t="s">
        <v>41</v>
      </c>
      <c r="E114" s="33" t="n">
        <f aca="false">IF(D114="totale",(C114/(A114*24))/F114,IF(D114="marché libre",(C114/(A114*24))/G114,"spécifier histo"))</f>
        <v>0.454526748971193</v>
      </c>
      <c r="F114" s="59" t="n">
        <v>1350</v>
      </c>
      <c r="G114" s="59" t="n">
        <f aca="false">F114-H114</f>
        <v>1350</v>
      </c>
      <c r="H114" s="59" t="n">
        <v>0</v>
      </c>
      <c r="J114" s="55"/>
      <c r="K114" s="55"/>
      <c r="L114" s="9"/>
      <c r="M114" s="0"/>
    </row>
    <row r="115" customFormat="false" ht="19.85" hidden="false" customHeight="true" outlineLevel="0" collapsed="false">
      <c r="A115" s="0" t="n">
        <v>31</v>
      </c>
      <c r="B115" s="34" t="n">
        <v>39722</v>
      </c>
      <c r="C115" s="56" t="n">
        <v>400400</v>
      </c>
      <c r="D115" s="59" t="s">
        <v>41</v>
      </c>
      <c r="E115" s="33" t="n">
        <f aca="false">IF(D115="totale",(C115/(A115*24))/F115,IF(D115="marché libre",(C115/(A115*24))/G115,"spécifier histo"))</f>
        <v>0.398645957785743</v>
      </c>
      <c r="F115" s="59" t="n">
        <v>1350</v>
      </c>
      <c r="G115" s="59" t="n">
        <f aca="false">F115-H115</f>
        <v>1350</v>
      </c>
      <c r="H115" s="59" t="n">
        <v>0</v>
      </c>
      <c r="J115" s="55"/>
      <c r="K115" s="55"/>
      <c r="L115" s="9"/>
      <c r="M115" s="0"/>
    </row>
    <row r="116" customFormat="false" ht="19.85" hidden="false" customHeight="true" outlineLevel="0" collapsed="false">
      <c r="A116" s="0" t="n">
        <v>30</v>
      </c>
      <c r="B116" s="31" t="n">
        <v>39753</v>
      </c>
      <c r="C116" s="56" t="n">
        <v>433400</v>
      </c>
      <c r="D116" s="59" t="s">
        <v>41</v>
      </c>
      <c r="E116" s="33" t="n">
        <f aca="false">IF(D116="totale",(C116/(A116*24))/F116,IF(D116="marché libre",(C116/(A116*24))/G116,"spécifier histo"))</f>
        <v>0.445884773662552</v>
      </c>
      <c r="F116" s="59" t="n">
        <v>1350</v>
      </c>
      <c r="G116" s="59" t="n">
        <f aca="false">F116-H116</f>
        <v>1350</v>
      </c>
      <c r="H116" s="59" t="n">
        <v>0</v>
      </c>
      <c r="J116" s="55"/>
      <c r="K116" s="55"/>
      <c r="L116" s="9"/>
      <c r="M116" s="0"/>
    </row>
    <row r="117" customFormat="false" ht="19.85" hidden="false" customHeight="true" outlineLevel="0" collapsed="false">
      <c r="A117" s="0" t="n">
        <v>31</v>
      </c>
      <c r="B117" s="34" t="n">
        <v>39783</v>
      </c>
      <c r="C117" s="56" t="n">
        <v>624400</v>
      </c>
      <c r="D117" s="59" t="s">
        <v>41</v>
      </c>
      <c r="E117" s="33" t="n">
        <f aca="false">IF(D117="totale",(C117/(A117*24))/F117,IF(D117="marché libre",(C117/(A117*24))/G117,"spécifier histo"))</f>
        <v>0.621664675428116</v>
      </c>
      <c r="F117" s="59" t="n">
        <v>1350</v>
      </c>
      <c r="G117" s="59" t="n">
        <f aca="false">F117-H117</f>
        <v>1350</v>
      </c>
      <c r="H117" s="59" t="n">
        <v>0</v>
      </c>
      <c r="J117" s="55"/>
      <c r="K117" s="55"/>
      <c r="L117" s="9"/>
      <c r="M117" s="0"/>
    </row>
    <row r="118" customFormat="false" ht="19.85" hidden="false" customHeight="true" outlineLevel="0" collapsed="false">
      <c r="A118" s="0" t="n">
        <v>31</v>
      </c>
      <c r="B118" s="31" t="n">
        <v>39814</v>
      </c>
      <c r="C118" s="56" t="n">
        <v>584600</v>
      </c>
      <c r="D118" s="59" t="s">
        <v>41</v>
      </c>
      <c r="E118" s="33" t="n">
        <f aca="false">IF(D118="totale",(C118/(A118*24))/F118,IF(D118="marché libre",(C118/(A118*24))/G118,"spécifier histo"))</f>
        <v>0.582039028275587</v>
      </c>
      <c r="F118" s="59" t="n">
        <v>1350</v>
      </c>
      <c r="G118" s="59" t="n">
        <f aca="false">F118-H118</f>
        <v>1350</v>
      </c>
      <c r="H118" s="59" t="n">
        <v>0</v>
      </c>
      <c r="J118" s="55"/>
      <c r="K118" s="55"/>
      <c r="L118" s="9"/>
      <c r="M118" s="0"/>
    </row>
    <row r="119" customFormat="false" ht="19.85" hidden="false" customHeight="true" outlineLevel="0" collapsed="false">
      <c r="A119" s="0" t="n">
        <v>28</v>
      </c>
      <c r="B119" s="34" t="n">
        <v>39845</v>
      </c>
      <c r="C119" s="56" t="n">
        <v>517000</v>
      </c>
      <c r="D119" s="59" t="s">
        <v>41</v>
      </c>
      <c r="E119" s="33" t="n">
        <f aca="false">IF(D119="totale",(C119/(A119*24))/F119,IF(D119="marché libre",(C119/(A119*24))/G119,"spécifier histo"))</f>
        <v>0.569885361552028</v>
      </c>
      <c r="F119" s="59" t="n">
        <v>1350</v>
      </c>
      <c r="G119" s="59" t="n">
        <f aca="false">F119-H119</f>
        <v>1350</v>
      </c>
      <c r="H119" s="59" t="n">
        <v>0</v>
      </c>
      <c r="J119" s="55"/>
      <c r="K119" s="55"/>
      <c r="L119" s="9"/>
      <c r="M119" s="0"/>
    </row>
    <row r="120" customFormat="false" ht="19.85" hidden="false" customHeight="true" outlineLevel="0" collapsed="false">
      <c r="A120" s="0" t="n">
        <v>31</v>
      </c>
      <c r="B120" s="31" t="n">
        <v>39873</v>
      </c>
      <c r="C120" s="56" t="n">
        <v>647600</v>
      </c>
      <c r="D120" s="59" t="s">
        <v>41</v>
      </c>
      <c r="E120" s="33" t="n">
        <f aca="false">IF(D120="totale",(C120/(A120*24))/F120,IF(D120="marché libre",(C120/(A120*24))/G120,"spécifier histo"))</f>
        <v>0.644763042612505</v>
      </c>
      <c r="F120" s="59" t="n">
        <v>1350</v>
      </c>
      <c r="G120" s="59" t="n">
        <f aca="false">F120-H120</f>
        <v>1350</v>
      </c>
      <c r="H120" s="59" t="n">
        <v>0</v>
      </c>
      <c r="J120" s="55"/>
      <c r="K120" s="55"/>
      <c r="L120" s="9"/>
      <c r="M120" s="0"/>
    </row>
    <row r="121" customFormat="false" ht="19.85" hidden="false" customHeight="true" outlineLevel="0" collapsed="false">
      <c r="A121" s="0" t="n">
        <v>30</v>
      </c>
      <c r="B121" s="34" t="n">
        <v>39904</v>
      </c>
      <c r="C121" s="56" t="n">
        <v>625600</v>
      </c>
      <c r="D121" s="59" t="s">
        <v>41</v>
      </c>
      <c r="E121" s="33" t="n">
        <f aca="false">IF(D121="totale",(C121/(A121*24))/F121,IF(D121="marché libre",(C121/(A121*24))/G121,"spécifier histo"))</f>
        <v>0.643621399176955</v>
      </c>
      <c r="F121" s="59" t="n">
        <v>1350</v>
      </c>
      <c r="G121" s="59" t="n">
        <f aca="false">F121-H121</f>
        <v>1350</v>
      </c>
      <c r="H121" s="59" t="n">
        <v>0</v>
      </c>
      <c r="J121" s="55"/>
      <c r="K121" s="55"/>
      <c r="L121" s="9"/>
      <c r="M121" s="0"/>
    </row>
    <row r="122" customFormat="false" ht="19.85" hidden="false" customHeight="true" outlineLevel="0" collapsed="false">
      <c r="A122" s="0" t="n">
        <v>31</v>
      </c>
      <c r="B122" s="31" t="n">
        <v>39934</v>
      </c>
      <c r="C122" s="56" t="n">
        <v>226800</v>
      </c>
      <c r="D122" s="59" t="s">
        <v>41</v>
      </c>
      <c r="E122" s="33" t="n">
        <f aca="false">IF(D122="totale",(C122/(A122*24))/F122,IF(D122="marché libre",(C122/(A122*24))/G122,"spécifier histo"))</f>
        <v>0.225806451612903</v>
      </c>
      <c r="F122" s="59" t="n">
        <v>1350</v>
      </c>
      <c r="G122" s="59" t="n">
        <f aca="false">F122-H122</f>
        <v>1350</v>
      </c>
      <c r="H122" s="59" t="n">
        <v>0</v>
      </c>
      <c r="J122" s="55"/>
      <c r="K122" s="55"/>
      <c r="L122" s="9"/>
      <c r="M122" s="0"/>
    </row>
    <row r="123" customFormat="false" ht="19.85" hidden="false" customHeight="true" outlineLevel="0" collapsed="false">
      <c r="A123" s="0" t="n">
        <v>30</v>
      </c>
      <c r="B123" s="34" t="n">
        <v>39965</v>
      </c>
      <c r="C123" s="56" t="n">
        <v>152400</v>
      </c>
      <c r="D123" s="59" t="s">
        <v>41</v>
      </c>
      <c r="E123" s="33" t="n">
        <f aca="false">IF(D123="totale",(C123/(A123*24))/F123,IF(D123="marché libre",(C123/(A123*24))/G123,"spécifier histo"))</f>
        <v>0.15679012345679</v>
      </c>
      <c r="F123" s="59" t="n">
        <v>1350</v>
      </c>
      <c r="G123" s="59" t="n">
        <f aca="false">F123-H123</f>
        <v>1350</v>
      </c>
      <c r="H123" s="59" t="n">
        <v>0</v>
      </c>
      <c r="J123" s="55"/>
      <c r="K123" s="55"/>
      <c r="L123" s="9"/>
      <c r="M123" s="0"/>
    </row>
    <row r="124" customFormat="false" ht="19.85" hidden="false" customHeight="true" outlineLevel="0" collapsed="false">
      <c r="A124" s="0" t="n">
        <v>31</v>
      </c>
      <c r="B124" s="31" t="n">
        <v>39995</v>
      </c>
      <c r="C124" s="56" t="n">
        <v>238600</v>
      </c>
      <c r="D124" s="59" t="s">
        <v>41</v>
      </c>
      <c r="E124" s="33" t="n">
        <f aca="false">IF(D124="totale",(C124/(A124*24))/F124,IF(D124="marché libre",(C124/(A124*24))/G124,"spécifier histo"))</f>
        <v>0.237554759060135</v>
      </c>
      <c r="F124" s="59" t="n">
        <v>1350</v>
      </c>
      <c r="G124" s="59" t="n">
        <f aca="false">F124-H124</f>
        <v>1350</v>
      </c>
      <c r="H124" s="59" t="n">
        <v>0</v>
      </c>
      <c r="J124" s="55"/>
      <c r="K124" s="55"/>
      <c r="L124" s="9"/>
      <c r="M124" s="0"/>
    </row>
    <row r="125" customFormat="false" ht="19.85" hidden="false" customHeight="true" outlineLevel="0" collapsed="false">
      <c r="A125" s="0" t="n">
        <v>31</v>
      </c>
      <c r="B125" s="34" t="n">
        <v>40026</v>
      </c>
      <c r="C125" s="56" t="n">
        <v>144800</v>
      </c>
      <c r="D125" s="59" t="s">
        <v>41</v>
      </c>
      <c r="E125" s="33" t="n">
        <f aca="false">IF(D125="totale",(C125/(A125*24))/F125,IF(D125="marché libre",(C125/(A125*24))/G125,"spécifier histo"))</f>
        <v>0.144165671047391</v>
      </c>
      <c r="F125" s="59" t="n">
        <v>1350</v>
      </c>
      <c r="G125" s="59" t="n">
        <f aca="false">F125-H125</f>
        <v>1350</v>
      </c>
      <c r="H125" s="59" t="n">
        <v>0</v>
      </c>
      <c r="J125" s="55"/>
      <c r="K125" s="55"/>
      <c r="L125" s="9"/>
      <c r="M125" s="0"/>
    </row>
    <row r="126" customFormat="false" ht="19.85" hidden="false" customHeight="true" outlineLevel="0" collapsed="false">
      <c r="A126" s="0" t="n">
        <v>30</v>
      </c>
      <c r="B126" s="31" t="n">
        <v>40057</v>
      </c>
      <c r="C126" s="56" t="n">
        <v>99800</v>
      </c>
      <c r="D126" s="59" t="s">
        <v>41</v>
      </c>
      <c r="E126" s="33" t="n">
        <f aca="false">IF(D126="totale",(C126/(A126*24))/F126,IF(D126="marché libre",(C126/(A126*24))/G126,"spécifier histo"))</f>
        <v>0.102674897119342</v>
      </c>
      <c r="F126" s="59" t="n">
        <v>1350</v>
      </c>
      <c r="G126" s="59" t="n">
        <f aca="false">F126-H126</f>
        <v>1350</v>
      </c>
      <c r="H126" s="59" t="n">
        <v>0</v>
      </c>
      <c r="J126" s="55"/>
      <c r="K126" s="55"/>
      <c r="L126" s="9"/>
      <c r="M126" s="0"/>
    </row>
    <row r="127" customFormat="false" ht="19.85" hidden="false" customHeight="true" outlineLevel="0" collapsed="false">
      <c r="A127" s="0" t="n">
        <v>31</v>
      </c>
      <c r="B127" s="34" t="n">
        <v>40087</v>
      </c>
      <c r="C127" s="56" t="n">
        <v>79400</v>
      </c>
      <c r="D127" s="59" t="s">
        <v>41</v>
      </c>
      <c r="E127" s="33" t="n">
        <f aca="false">IF(D127="totale",(C127/(A127*24))/F127,IF(D127="marché libre",(C127/(A127*24))/G127,"spécifier histo"))</f>
        <v>0.0790521704500199</v>
      </c>
      <c r="F127" s="59" t="n">
        <v>1350</v>
      </c>
      <c r="G127" s="59" t="n">
        <f aca="false">F127-H127</f>
        <v>1350</v>
      </c>
      <c r="H127" s="59" t="n">
        <v>0</v>
      </c>
      <c r="J127" s="55"/>
      <c r="K127" s="55"/>
      <c r="L127" s="9"/>
      <c r="M127" s="0"/>
    </row>
    <row r="128" customFormat="false" ht="19.85" hidden="false" customHeight="true" outlineLevel="0" collapsed="false">
      <c r="A128" s="0" t="n">
        <v>30</v>
      </c>
      <c r="B128" s="31" t="n">
        <v>40118</v>
      </c>
      <c r="C128" s="56" t="n">
        <v>423200</v>
      </c>
      <c r="D128" s="59" t="s">
        <v>41</v>
      </c>
      <c r="E128" s="33" t="n">
        <f aca="false">IF(D128="totale",(C128/(A128*24))/F128,IF(D128="marché libre",(C128/(A128*24))/G128,"spécifier histo"))</f>
        <v>0.435390946502058</v>
      </c>
      <c r="F128" s="59" t="n">
        <v>1350</v>
      </c>
      <c r="G128" s="59" t="n">
        <f aca="false">F128-H128</f>
        <v>1350</v>
      </c>
      <c r="H128" s="59" t="n">
        <v>0</v>
      </c>
      <c r="J128" s="55"/>
      <c r="K128" s="55"/>
      <c r="L128" s="9"/>
      <c r="M128" s="0"/>
    </row>
    <row r="129" customFormat="false" ht="19.85" hidden="false" customHeight="true" outlineLevel="0" collapsed="false">
      <c r="A129" s="0" t="n">
        <v>31</v>
      </c>
      <c r="B129" s="34" t="n">
        <v>40148</v>
      </c>
      <c r="C129" s="56" t="n">
        <v>549400</v>
      </c>
      <c r="D129" s="59" t="s">
        <v>41</v>
      </c>
      <c r="E129" s="33" t="n">
        <f aca="false">IF(D129="totale",(C129/(A129*24))/F129,IF(D129="marché libre",(C129/(A129*24))/G129,"spécifier histo"))</f>
        <v>0.546993229788929</v>
      </c>
      <c r="F129" s="59" t="n">
        <v>1350</v>
      </c>
      <c r="G129" s="59" t="n">
        <f aca="false">F129-H129</f>
        <v>1350</v>
      </c>
      <c r="H129" s="59" t="n">
        <v>0</v>
      </c>
      <c r="J129" s="55"/>
      <c r="K129" s="55"/>
      <c r="L129" s="9"/>
      <c r="M129" s="0"/>
    </row>
    <row r="130" customFormat="false" ht="19.85" hidden="false" customHeight="true" outlineLevel="0" collapsed="false">
      <c r="A130" s="1" t="n">
        <v>31</v>
      </c>
      <c r="B130" s="31" t="n">
        <v>40179</v>
      </c>
      <c r="C130" s="56" t="n">
        <v>505200</v>
      </c>
      <c r="D130" s="59" t="s">
        <v>41</v>
      </c>
      <c r="E130" s="33" t="n">
        <f aca="false">IF(D130="totale",(C130/(A130*24))/F130,IF(D130="marché libre",(C130/(A130*24))/G130,"spécifier histo"))</f>
        <v>0.502986857825568</v>
      </c>
      <c r="F130" s="59" t="n">
        <v>1350</v>
      </c>
      <c r="G130" s="59" t="n">
        <f aca="false">F130-H130</f>
        <v>1350</v>
      </c>
      <c r="H130" s="59" t="n">
        <v>0</v>
      </c>
      <c r="J130" s="55"/>
      <c r="K130" s="55"/>
      <c r="L130" s="9"/>
      <c r="M130" s="0"/>
    </row>
    <row r="131" customFormat="false" ht="19.85" hidden="false" customHeight="true" outlineLevel="0" collapsed="false">
      <c r="A131" s="1" t="n">
        <v>28</v>
      </c>
      <c r="B131" s="34" t="n">
        <v>40210</v>
      </c>
      <c r="C131" s="56" t="n">
        <v>457800</v>
      </c>
      <c r="D131" s="59" t="s">
        <v>41</v>
      </c>
      <c r="E131" s="33" t="n">
        <f aca="false">IF(D131="totale",(C131/(A131*24))/F131,IF(D131="marché libre",(C131/(A131*24))/G131,"spécifier histo"))</f>
        <v>0.50462962962963</v>
      </c>
      <c r="F131" s="59" t="n">
        <v>1350</v>
      </c>
      <c r="G131" s="59" t="n">
        <f aca="false">F131-H131</f>
        <v>1350</v>
      </c>
      <c r="H131" s="59" t="n">
        <v>0</v>
      </c>
      <c r="J131" s="55"/>
      <c r="K131" s="55"/>
      <c r="L131" s="9"/>
      <c r="M131" s="0"/>
    </row>
    <row r="132" customFormat="false" ht="19.85" hidden="false" customHeight="true" outlineLevel="0" collapsed="false">
      <c r="A132" s="1" t="n">
        <v>31</v>
      </c>
      <c r="B132" s="31" t="n">
        <v>40238</v>
      </c>
      <c r="C132" s="56" t="n">
        <v>547600</v>
      </c>
      <c r="D132" s="59" t="s">
        <v>41</v>
      </c>
      <c r="E132" s="33" t="n">
        <f aca="false">IF(D132="totale",(C132/(A132*24))/F132,IF(D132="marché libre",(C132/(A132*24))/G132,"spécifier histo"))</f>
        <v>0.545201115093588</v>
      </c>
      <c r="F132" s="59" t="n">
        <v>1350</v>
      </c>
      <c r="G132" s="59" t="n">
        <f aca="false">F132-H132</f>
        <v>1350</v>
      </c>
      <c r="H132" s="59" t="n">
        <v>0</v>
      </c>
      <c r="J132" s="55"/>
      <c r="K132" s="55"/>
      <c r="L132" s="9"/>
      <c r="M132" s="0"/>
    </row>
    <row r="133" customFormat="false" ht="19.85" hidden="false" customHeight="true" outlineLevel="0" collapsed="false">
      <c r="A133" s="1" t="n">
        <v>30</v>
      </c>
      <c r="B133" s="34" t="n">
        <v>40269</v>
      </c>
      <c r="C133" s="56" t="n">
        <v>425000</v>
      </c>
      <c r="D133" s="59" t="s">
        <v>41</v>
      </c>
      <c r="E133" s="33" t="n">
        <f aca="false">IF(D133="totale",(C133/(A133*24))/F133,IF(D133="marché libre",(C133/(A133*24))/G133,"spécifier histo"))</f>
        <v>0.43724279835391</v>
      </c>
      <c r="F133" s="59" t="n">
        <v>1350</v>
      </c>
      <c r="G133" s="59" t="n">
        <f aca="false">F133-H133</f>
        <v>1350</v>
      </c>
      <c r="H133" s="59" t="n">
        <v>0</v>
      </c>
      <c r="J133" s="55"/>
      <c r="K133" s="55"/>
      <c r="L133" s="9"/>
      <c r="M133" s="0"/>
    </row>
    <row r="134" customFormat="false" ht="19.85" hidden="false" customHeight="true" outlineLevel="0" collapsed="false">
      <c r="A134" s="1" t="n">
        <v>31</v>
      </c>
      <c r="B134" s="31" t="n">
        <v>40299</v>
      </c>
      <c r="C134" s="56" t="n">
        <v>330600</v>
      </c>
      <c r="D134" s="59" t="s">
        <v>41</v>
      </c>
      <c r="E134" s="33" t="n">
        <f aca="false">IF(D134="totale",(C134/(A134*24))/F134,IF(D134="marché libre",(C134/(A134*24))/G134,"spécifier histo"))</f>
        <v>0.329151732377539</v>
      </c>
      <c r="F134" s="59" t="n">
        <v>1350</v>
      </c>
      <c r="G134" s="59" t="n">
        <f aca="false">F134-H134</f>
        <v>1350</v>
      </c>
      <c r="H134" s="59" t="n">
        <v>0</v>
      </c>
      <c r="J134" s="55"/>
      <c r="K134" s="55"/>
      <c r="L134" s="9"/>
      <c r="M134" s="0"/>
    </row>
    <row r="135" customFormat="false" ht="19.85" hidden="false" customHeight="true" outlineLevel="0" collapsed="false">
      <c r="A135" s="1" t="n">
        <v>30</v>
      </c>
      <c r="B135" s="34" t="n">
        <v>40330</v>
      </c>
      <c r="C135" s="56" t="n">
        <v>368800</v>
      </c>
      <c r="D135" s="59" t="s">
        <v>41</v>
      </c>
      <c r="E135" s="33" t="n">
        <f aca="false">IF(D135="totale",(C135/(A135*24))/F135,IF(D135="marché libre",(C135/(A135*24))/G135,"spécifier histo"))</f>
        <v>0.379423868312757</v>
      </c>
      <c r="F135" s="59" t="n">
        <v>1350</v>
      </c>
      <c r="G135" s="59" t="n">
        <f aca="false">F135-H135</f>
        <v>1350</v>
      </c>
      <c r="H135" s="59" t="n">
        <v>0</v>
      </c>
      <c r="J135" s="55"/>
      <c r="K135" s="55"/>
      <c r="L135" s="9"/>
      <c r="M135" s="0"/>
    </row>
    <row r="136" customFormat="false" ht="19.85" hidden="false" customHeight="true" outlineLevel="0" collapsed="false">
      <c r="A136" s="1" t="n">
        <v>31</v>
      </c>
      <c r="B136" s="31" t="n">
        <v>40360</v>
      </c>
      <c r="C136" s="56" t="n">
        <v>192600</v>
      </c>
      <c r="D136" s="59" t="s">
        <v>41</v>
      </c>
      <c r="E136" s="33" t="n">
        <f aca="false">IF(D136="totale",(C136/(A136*24))/F136,IF(D136="marché libre",(C136/(A136*24))/G136,"spécifier histo"))</f>
        <v>0.191756272401434</v>
      </c>
      <c r="F136" s="59" t="n">
        <v>1350</v>
      </c>
      <c r="G136" s="59" t="n">
        <f aca="false">F136-H136</f>
        <v>1350</v>
      </c>
      <c r="H136" s="59" t="n">
        <v>0</v>
      </c>
      <c r="J136" s="55"/>
      <c r="K136" s="55"/>
      <c r="L136" s="9"/>
      <c r="M136" s="0"/>
    </row>
    <row r="137" customFormat="false" ht="19.85" hidden="false" customHeight="true" outlineLevel="0" collapsed="false">
      <c r="A137" s="1" t="n">
        <v>31</v>
      </c>
      <c r="B137" s="34" t="n">
        <v>40391</v>
      </c>
      <c r="C137" s="56" t="n">
        <v>426600</v>
      </c>
      <c r="D137" s="59" t="s">
        <v>41</v>
      </c>
      <c r="E137" s="33" t="n">
        <f aca="false">IF(D137="totale",(C137/(A137*24))/F137,IF(D137="marché libre",(C137/(A137*24))/G137,"spécifier histo"))</f>
        <v>0.424731182795699</v>
      </c>
      <c r="F137" s="59" t="n">
        <v>1350</v>
      </c>
      <c r="G137" s="59" t="n">
        <f aca="false">F137-H137</f>
        <v>1350</v>
      </c>
      <c r="H137" s="59" t="n">
        <v>0</v>
      </c>
      <c r="J137" s="55"/>
      <c r="K137" s="55"/>
      <c r="L137" s="9"/>
      <c r="M137" s="0"/>
    </row>
    <row r="138" customFormat="false" ht="19.85" hidden="false" customHeight="true" outlineLevel="0" collapsed="false">
      <c r="A138" s="1" t="n">
        <v>30</v>
      </c>
      <c r="B138" s="31" t="n">
        <v>40422</v>
      </c>
      <c r="C138" s="56" t="n">
        <v>341400</v>
      </c>
      <c r="D138" s="59" t="s">
        <v>41</v>
      </c>
      <c r="E138" s="33" t="n">
        <f aca="false">IF(D138="totale",(C138/(A138*24))/F138,IF(D138="marché libre",(C138/(A138*24))/G138,"spécifier histo"))</f>
        <v>0.351234567901235</v>
      </c>
      <c r="F138" s="59" t="n">
        <v>1350</v>
      </c>
      <c r="G138" s="59" t="n">
        <f aca="false">F138-H138</f>
        <v>1350</v>
      </c>
      <c r="H138" s="59" t="n">
        <v>0</v>
      </c>
      <c r="J138" s="55"/>
      <c r="K138" s="55"/>
      <c r="L138" s="9"/>
      <c r="M138" s="0"/>
    </row>
    <row r="139" customFormat="false" ht="19.85" hidden="false" customHeight="true" outlineLevel="0" collapsed="false">
      <c r="A139" s="1" t="n">
        <v>31</v>
      </c>
      <c r="B139" s="34" t="n">
        <v>40452</v>
      </c>
      <c r="C139" s="56" t="n">
        <v>252000</v>
      </c>
      <c r="D139" s="59" t="s">
        <v>41</v>
      </c>
      <c r="E139" s="33" t="n">
        <f aca="false">IF(D139="totale",(C139/(A139*24))/F139,IF(D139="marché libre",(C139/(A139*24))/G139,"spécifier histo"))</f>
        <v>0.25089605734767</v>
      </c>
      <c r="F139" s="59" t="n">
        <v>1350</v>
      </c>
      <c r="G139" s="59" t="n">
        <f aca="false">F139-H139</f>
        <v>1350</v>
      </c>
      <c r="H139" s="59" t="n">
        <v>0</v>
      </c>
      <c r="J139" s="55"/>
      <c r="K139" s="55"/>
      <c r="L139" s="9"/>
      <c r="M139" s="0"/>
    </row>
    <row r="140" customFormat="false" ht="19.85" hidden="false" customHeight="true" outlineLevel="0" collapsed="false">
      <c r="A140" s="1" t="n">
        <v>30</v>
      </c>
      <c r="B140" s="31" t="n">
        <v>40483</v>
      </c>
      <c r="C140" s="56" t="n">
        <v>408200</v>
      </c>
      <c r="D140" s="59" t="s">
        <v>41</v>
      </c>
      <c r="E140" s="33" t="n">
        <f aca="false">IF(D140="totale",(C140/(A140*24))/F140,IF(D140="marché libre",(C140/(A140*24))/G140,"spécifier histo"))</f>
        <v>0.419958847736625</v>
      </c>
      <c r="F140" s="59" t="n">
        <v>1350</v>
      </c>
      <c r="G140" s="59" t="n">
        <f aca="false">F140-H140</f>
        <v>1350</v>
      </c>
      <c r="H140" s="59" t="n">
        <v>0</v>
      </c>
      <c r="J140" s="55"/>
      <c r="K140" s="55"/>
      <c r="L140" s="9"/>
      <c r="M140" s="0"/>
    </row>
    <row r="141" customFormat="false" ht="19.85" hidden="false" customHeight="true" outlineLevel="0" collapsed="false">
      <c r="A141" s="1" t="n">
        <v>31</v>
      </c>
      <c r="B141" s="34" t="n">
        <v>40513</v>
      </c>
      <c r="C141" s="56" t="n">
        <v>533000</v>
      </c>
      <c r="D141" s="59" t="s">
        <v>41</v>
      </c>
      <c r="E141" s="33" t="n">
        <f aca="false">IF(D141="totale",(C141/(A141*24))/F141,IF(D141="marché libre",(C141/(A141*24))/G141,"spécifier histo"))</f>
        <v>0.530665073675826</v>
      </c>
      <c r="F141" s="59" t="n">
        <v>1350</v>
      </c>
      <c r="G141" s="59" t="n">
        <f aca="false">F141-H141</f>
        <v>1350</v>
      </c>
      <c r="H141" s="59" t="n">
        <v>0</v>
      </c>
      <c r="J141" s="55"/>
      <c r="K141" s="55"/>
      <c r="L141" s="9"/>
    </row>
    <row r="142" customFormat="false" ht="19.85" hidden="false" customHeight="true" outlineLevel="0" collapsed="false">
      <c r="A142" s="1" t="n">
        <v>31</v>
      </c>
      <c r="B142" s="31" t="n">
        <v>40544</v>
      </c>
      <c r="C142" s="56" t="n">
        <v>613600</v>
      </c>
      <c r="D142" s="59" t="s">
        <v>41</v>
      </c>
      <c r="E142" s="33" t="n">
        <f aca="false">IF(D142="totale",(C142/(A142*24))/F142,IF(D142="marché libre",(C142/(A142*24))/G142,"spécifier histo"))</f>
        <v>0.610911987256073</v>
      </c>
      <c r="F142" s="59" t="n">
        <v>1350</v>
      </c>
      <c r="G142" s="59" t="n">
        <f aca="false">F142-H142</f>
        <v>1350</v>
      </c>
      <c r="H142" s="59" t="n">
        <v>0</v>
      </c>
      <c r="J142" s="55"/>
      <c r="K142" s="55"/>
      <c r="L142" s="9"/>
    </row>
    <row r="143" customFormat="false" ht="19.85" hidden="false" customHeight="true" outlineLevel="0" collapsed="false">
      <c r="A143" s="1" t="n">
        <v>28</v>
      </c>
      <c r="B143" s="34" t="n">
        <v>40575</v>
      </c>
      <c r="C143" s="56" t="n">
        <v>319200</v>
      </c>
      <c r="D143" s="59" t="s">
        <v>41</v>
      </c>
      <c r="E143" s="33" t="n">
        <f aca="false">IF(D143="totale",(C143/(A143*24))/F143,IF(D143="marché libre",(C143/(A143*24))/G143,"spécifier histo"))</f>
        <v>0.351851851851852</v>
      </c>
      <c r="F143" s="59" t="n">
        <v>1350</v>
      </c>
      <c r="G143" s="59" t="n">
        <f aca="false">F143-H143</f>
        <v>1350</v>
      </c>
      <c r="H143" s="59" t="n">
        <v>0</v>
      </c>
      <c r="J143" s="55"/>
      <c r="K143" s="55"/>
      <c r="L143" s="9"/>
    </row>
    <row r="144" customFormat="false" ht="19.85" hidden="false" customHeight="true" outlineLevel="0" collapsed="false">
      <c r="A144" s="1" t="n">
        <v>31</v>
      </c>
      <c r="B144" s="31" t="n">
        <v>40603</v>
      </c>
      <c r="C144" s="56" t="n">
        <v>438400</v>
      </c>
      <c r="D144" s="59" t="s">
        <v>41</v>
      </c>
      <c r="E144" s="33" t="n">
        <f aca="false">IF(D144="totale",(C144/(A144*24))/F144,IF(D144="marché libre",(C144/(A144*24))/G144,"spécifier histo"))</f>
        <v>0.436479490242931</v>
      </c>
      <c r="F144" s="59" t="n">
        <v>1350</v>
      </c>
      <c r="G144" s="59" t="n">
        <f aca="false">F144-H144</f>
        <v>1350</v>
      </c>
      <c r="H144" s="59" t="n">
        <v>0</v>
      </c>
      <c r="J144" s="55"/>
      <c r="K144" s="55"/>
      <c r="L144" s="9"/>
    </row>
    <row r="145" customFormat="false" ht="19.85" hidden="false" customHeight="true" outlineLevel="0" collapsed="false">
      <c r="A145" s="1" t="n">
        <v>30</v>
      </c>
      <c r="B145" s="34" t="n">
        <v>40634</v>
      </c>
      <c r="C145" s="56" t="n">
        <v>258600</v>
      </c>
      <c r="D145" s="59" t="s">
        <v>41</v>
      </c>
      <c r="E145" s="33" t="n">
        <f aca="false">IF(D145="totale",(C145/(A145*24))/F145,IF(D145="marché libre",(C145/(A145*24))/G145,"spécifier histo"))</f>
        <v>0.266049382716049</v>
      </c>
      <c r="F145" s="59" t="n">
        <v>1350</v>
      </c>
      <c r="G145" s="59" t="n">
        <f aca="false">F145-H145</f>
        <v>1350</v>
      </c>
      <c r="H145" s="59" t="n">
        <v>0</v>
      </c>
      <c r="J145" s="55"/>
      <c r="K145" s="55"/>
      <c r="L145" s="9"/>
    </row>
    <row r="146" customFormat="false" ht="19.85" hidden="false" customHeight="true" outlineLevel="0" collapsed="false">
      <c r="A146" s="1" t="n">
        <v>31</v>
      </c>
      <c r="B146" s="31" t="n">
        <v>40664</v>
      </c>
      <c r="C146" s="56" t="n">
        <v>135200</v>
      </c>
      <c r="D146" s="59" t="s">
        <v>41</v>
      </c>
      <c r="E146" s="33" t="n">
        <f aca="false">IF(D146="totale",(C146/(A146*24))/F146,IF(D146="marché libre",(C146/(A146*24))/G146,"spécifier histo"))</f>
        <v>0.134607726005575</v>
      </c>
      <c r="F146" s="59" t="n">
        <v>1350</v>
      </c>
      <c r="G146" s="59" t="n">
        <f aca="false">F146-H146</f>
        <v>1350</v>
      </c>
      <c r="H146" s="59" t="n">
        <v>0</v>
      </c>
      <c r="J146" s="55"/>
      <c r="K146" s="55"/>
      <c r="L146" s="9"/>
    </row>
    <row r="147" customFormat="false" ht="19.85" hidden="false" customHeight="true" outlineLevel="0" collapsed="false">
      <c r="A147" s="1" t="n">
        <v>30</v>
      </c>
      <c r="B147" s="34" t="n">
        <v>40695</v>
      </c>
      <c r="C147" s="56" t="n">
        <v>214800</v>
      </c>
      <c r="D147" s="59" t="s">
        <v>41</v>
      </c>
      <c r="E147" s="33" t="n">
        <f aca="false">IF(D147="totale",(C147/(A147*24))/F147,IF(D147="marché libre",(C147/(A147*24))/G147,"spécifier histo"))</f>
        <v>0.220987654320988</v>
      </c>
      <c r="F147" s="59" t="n">
        <v>1350</v>
      </c>
      <c r="G147" s="59" t="n">
        <f aca="false">F147-H147</f>
        <v>1350</v>
      </c>
      <c r="H147" s="59" t="n">
        <v>0</v>
      </c>
      <c r="J147" s="55"/>
      <c r="K147" s="55"/>
      <c r="L147" s="9"/>
    </row>
    <row r="148" customFormat="false" ht="19.85" hidden="false" customHeight="true" outlineLevel="0" collapsed="false">
      <c r="A148" s="1" t="n">
        <v>31</v>
      </c>
      <c r="B148" s="31" t="n">
        <v>40725</v>
      </c>
      <c r="C148" s="56" t="n">
        <v>401200</v>
      </c>
      <c r="D148" s="59" t="s">
        <v>41</v>
      </c>
      <c r="E148" s="33" t="n">
        <f aca="false">IF(D148="totale",(C148/(A148*24))/F148,IF(D148="marché libre",(C148/(A148*24))/G148,"spécifier histo"))</f>
        <v>0.399442453205894</v>
      </c>
      <c r="F148" s="59" t="n">
        <v>1350</v>
      </c>
      <c r="G148" s="59" t="n">
        <f aca="false">F148-H148</f>
        <v>1350</v>
      </c>
      <c r="H148" s="59" t="n">
        <v>0</v>
      </c>
      <c r="J148" s="55"/>
      <c r="K148" s="55"/>
      <c r="L148" s="9"/>
    </row>
    <row r="149" customFormat="false" ht="19.85" hidden="false" customHeight="true" outlineLevel="0" collapsed="false">
      <c r="A149" s="1" t="n">
        <v>31</v>
      </c>
      <c r="B149" s="34" t="n">
        <v>40756</v>
      </c>
      <c r="C149" s="56" t="n">
        <v>320000</v>
      </c>
      <c r="D149" s="59" t="s">
        <v>41</v>
      </c>
      <c r="E149" s="33" t="n">
        <f aca="false">IF(D149="totale",(C149/(A149*24))/F149,IF(D149="marché libre",(C149/(A149*24))/G149,"spécifier histo"))</f>
        <v>0.318598168060534</v>
      </c>
      <c r="F149" s="59" t="n">
        <v>1350</v>
      </c>
      <c r="G149" s="59" t="n">
        <f aca="false">F149-H149</f>
        <v>1350</v>
      </c>
      <c r="H149" s="59" t="n">
        <v>0</v>
      </c>
      <c r="J149" s="55"/>
      <c r="K149" s="55"/>
      <c r="L149" s="9"/>
    </row>
    <row r="150" customFormat="false" ht="19.85" hidden="false" customHeight="true" outlineLevel="0" collapsed="false">
      <c r="A150" s="1" t="n">
        <v>30</v>
      </c>
      <c r="B150" s="31" t="n">
        <v>40787</v>
      </c>
      <c r="C150" s="56" t="n">
        <v>255400</v>
      </c>
      <c r="D150" s="59" t="s">
        <v>41</v>
      </c>
      <c r="E150" s="33" t="n">
        <f aca="false">IF(D150="totale",(C150/(A150*24))/F150,IF(D150="marché libre",(C150/(A150*24))/G150,"spécifier histo"))</f>
        <v>0.262757201646091</v>
      </c>
      <c r="F150" s="59" t="n">
        <v>1350</v>
      </c>
      <c r="G150" s="59" t="n">
        <f aca="false">F150-H150</f>
        <v>1350</v>
      </c>
      <c r="H150" s="59" t="n">
        <v>0</v>
      </c>
      <c r="J150" s="55"/>
      <c r="K150" s="55"/>
      <c r="L150" s="9"/>
    </row>
    <row r="151" customFormat="false" ht="19.85" hidden="false" customHeight="true" outlineLevel="0" collapsed="false">
      <c r="A151" s="1" t="n">
        <v>31</v>
      </c>
      <c r="B151" s="34" t="n">
        <v>40817</v>
      </c>
      <c r="C151" s="56" t="n">
        <v>299800</v>
      </c>
      <c r="D151" s="59" t="s">
        <v>41</v>
      </c>
      <c r="E151" s="33" t="n">
        <f aca="false">IF(D151="totale",(C151/(A151*24))/F151,IF(D151="marché libre",(C151/(A151*24))/G151,"spécifier histo"))</f>
        <v>0.298486658701712</v>
      </c>
      <c r="F151" s="59" t="n">
        <v>1350</v>
      </c>
      <c r="G151" s="59" t="n">
        <f aca="false">F151-H151</f>
        <v>1350</v>
      </c>
      <c r="H151" s="59" t="n">
        <v>0</v>
      </c>
      <c r="J151" s="55"/>
      <c r="K151" s="55"/>
      <c r="L151" s="9"/>
    </row>
    <row r="152" customFormat="false" ht="19.85" hidden="false" customHeight="true" outlineLevel="0" collapsed="false">
      <c r="A152" s="1" t="n">
        <v>30</v>
      </c>
      <c r="B152" s="31" t="n">
        <v>40848</v>
      </c>
      <c r="C152" s="56" t="n">
        <v>137000</v>
      </c>
      <c r="D152" s="59" t="s">
        <v>41</v>
      </c>
      <c r="E152" s="33" t="n">
        <f aca="false">IF(D152="totale",(C152/(A152*24))/F152,IF(D152="marché libre",(C152/(A152*24))/G152,"spécifier histo"))</f>
        <v>0.140946502057613</v>
      </c>
      <c r="F152" s="59" t="n">
        <v>1350</v>
      </c>
      <c r="G152" s="59" t="n">
        <f aca="false">F152-H152</f>
        <v>1350</v>
      </c>
      <c r="H152" s="59" t="n">
        <v>0</v>
      </c>
      <c r="J152" s="55"/>
      <c r="K152" s="55"/>
      <c r="L152" s="9"/>
    </row>
    <row r="153" customFormat="false" ht="19.85" hidden="false" customHeight="true" outlineLevel="0" collapsed="false">
      <c r="A153" s="1" t="n">
        <v>31</v>
      </c>
      <c r="B153" s="34" t="n">
        <v>40878</v>
      </c>
      <c r="C153" s="56" t="n">
        <v>581000</v>
      </c>
      <c r="D153" s="59" t="s">
        <v>41</v>
      </c>
      <c r="E153" s="33" t="n">
        <f aca="false">IF(D153="totale",(C153/(A153*24))/F153,IF(D153="marché libre",(C153/(A153*24))/G153,"spécifier histo"))</f>
        <v>0.578454798884906</v>
      </c>
      <c r="F153" s="59" t="n">
        <v>1350</v>
      </c>
      <c r="G153" s="59" t="n">
        <f aca="false">F153-H153</f>
        <v>1350</v>
      </c>
      <c r="H153" s="59" t="n">
        <v>0</v>
      </c>
      <c r="J153" s="55"/>
      <c r="K153" s="55"/>
      <c r="L153" s="9"/>
    </row>
    <row r="154" customFormat="false" ht="19.85" hidden="false" customHeight="true" outlineLevel="0" collapsed="false">
      <c r="A154" s="1" t="n">
        <v>31</v>
      </c>
      <c r="B154" s="31" t="n">
        <v>40909</v>
      </c>
      <c r="C154" s="56" t="n">
        <v>705400</v>
      </c>
      <c r="D154" s="59" t="s">
        <v>41</v>
      </c>
      <c r="E154" s="33" t="n">
        <f aca="false">IF(D154="totale",(C154/(A154*24))/F154,IF(D154="marché libre",(C154/(A154*24))/G154,"spécifier histo"))</f>
        <v>0.702309836718439</v>
      </c>
      <c r="F154" s="59" t="n">
        <v>1350</v>
      </c>
      <c r="G154" s="59" t="n">
        <f aca="false">F154-H154</f>
        <v>1350</v>
      </c>
      <c r="H154" s="59" t="n">
        <v>0</v>
      </c>
      <c r="J154" s="55"/>
      <c r="K154" s="55"/>
      <c r="L154" s="9"/>
    </row>
    <row r="155" customFormat="false" ht="19.85" hidden="false" customHeight="true" outlineLevel="0" collapsed="false">
      <c r="A155" s="1" t="n">
        <v>28</v>
      </c>
      <c r="B155" s="34" t="n">
        <v>40940</v>
      </c>
      <c r="C155" s="56" t="n">
        <v>461200</v>
      </c>
      <c r="D155" s="59" t="s">
        <v>41</v>
      </c>
      <c r="E155" s="33" t="n">
        <f aca="false">IF(D155="totale",(C155/(A155*24))/F155,IF(D155="marché libre",(C155/(A155*24))/G155,"spécifier histo"))</f>
        <v>0.508377425044092</v>
      </c>
      <c r="F155" s="59" t="n">
        <v>1350</v>
      </c>
      <c r="G155" s="59" t="n">
        <f aca="false">F155-H155</f>
        <v>1350</v>
      </c>
      <c r="H155" s="59" t="n">
        <v>0</v>
      </c>
      <c r="J155" s="55"/>
      <c r="K155" s="55"/>
      <c r="L155" s="9"/>
    </row>
    <row r="156" customFormat="false" ht="19.85" hidden="false" customHeight="true" outlineLevel="0" collapsed="false">
      <c r="A156" s="1" t="n">
        <v>31</v>
      </c>
      <c r="B156" s="31" t="n">
        <v>40969</v>
      </c>
      <c r="C156" s="56" t="n">
        <v>618400</v>
      </c>
      <c r="D156" s="59" t="s">
        <v>41</v>
      </c>
      <c r="E156" s="33" t="n">
        <f aca="false">IF(D156="totale",(C156/(A156*24))/F156,IF(D156="marché libre",(C156/(A156*24))/G156,"spécifier histo"))</f>
        <v>0.615690959776981</v>
      </c>
      <c r="F156" s="59" t="n">
        <v>1350</v>
      </c>
      <c r="G156" s="59" t="n">
        <f aca="false">F156-H156</f>
        <v>1350</v>
      </c>
      <c r="H156" s="59" t="n">
        <v>0</v>
      </c>
      <c r="J156" s="55"/>
      <c r="K156" s="55"/>
      <c r="L156" s="9"/>
    </row>
    <row r="157" customFormat="false" ht="19.85" hidden="false" customHeight="true" outlineLevel="0" collapsed="false">
      <c r="A157" s="1" t="n">
        <v>30</v>
      </c>
      <c r="B157" s="34" t="n">
        <v>41000</v>
      </c>
      <c r="C157" s="56" t="n">
        <v>670200</v>
      </c>
      <c r="D157" s="59" t="s">
        <v>41</v>
      </c>
      <c r="E157" s="33" t="n">
        <f aca="false">IF(D157="totale",(C157/(A157*24))/F157,IF(D157="marché libre",(C157/(A157*24))/G157,"spécifier histo"))</f>
        <v>0.689506172839506</v>
      </c>
      <c r="F157" s="59" t="n">
        <v>1350</v>
      </c>
      <c r="G157" s="59" t="n">
        <f aca="false">F157-H157</f>
        <v>1350</v>
      </c>
      <c r="H157" s="59" t="n">
        <v>0</v>
      </c>
      <c r="J157" s="55"/>
      <c r="K157" s="55"/>
      <c r="L157" s="9"/>
    </row>
    <row r="158" customFormat="false" ht="19.85" hidden="false" customHeight="true" outlineLevel="0" collapsed="false">
      <c r="A158" s="1" t="n">
        <v>31</v>
      </c>
      <c r="B158" s="31" t="n">
        <v>41030</v>
      </c>
      <c r="C158" s="56" t="n">
        <v>516800</v>
      </c>
      <c r="D158" s="59" t="s">
        <v>41</v>
      </c>
      <c r="E158" s="33" t="n">
        <f aca="false">IF(D158="totale",(C158/(A158*24))/F158,IF(D158="marché libre",(C158/(A158*24))/G158,"spécifier histo"))</f>
        <v>0.514536041417762</v>
      </c>
      <c r="F158" s="59" t="n">
        <v>1350</v>
      </c>
      <c r="G158" s="59" t="n">
        <f aca="false">F158-H158</f>
        <v>1350</v>
      </c>
      <c r="H158" s="59" t="n">
        <v>0</v>
      </c>
      <c r="J158" s="55"/>
      <c r="K158" s="55"/>
      <c r="L158" s="9"/>
    </row>
    <row r="159" customFormat="false" ht="19.85" hidden="false" customHeight="true" outlineLevel="0" collapsed="false">
      <c r="A159" s="1" t="n">
        <v>30</v>
      </c>
      <c r="B159" s="34" t="n">
        <v>41061</v>
      </c>
      <c r="C159" s="56" t="n">
        <v>558400</v>
      </c>
      <c r="D159" s="59" t="s">
        <v>41</v>
      </c>
      <c r="E159" s="33" t="n">
        <f aca="false">IF(D159="totale",(C159/(A159*24))/F159,IF(D159="marché libre",(C159/(A159*24))/G159,"spécifier histo"))</f>
        <v>0.574485596707819</v>
      </c>
      <c r="F159" s="59" t="n">
        <v>1350</v>
      </c>
      <c r="G159" s="59" t="n">
        <f aca="false">F159-H159</f>
        <v>1350</v>
      </c>
      <c r="H159" s="59" t="n">
        <v>0</v>
      </c>
      <c r="J159" s="55"/>
      <c r="K159" s="55"/>
      <c r="L159" s="9"/>
    </row>
    <row r="160" customFormat="false" ht="19.85" hidden="false" customHeight="true" outlineLevel="0" collapsed="false">
      <c r="A160" s="1" t="n">
        <v>31</v>
      </c>
      <c r="B160" s="31" t="n">
        <v>41091</v>
      </c>
      <c r="C160" s="56" t="n">
        <v>508600</v>
      </c>
      <c r="D160" s="59" t="s">
        <v>41</v>
      </c>
      <c r="E160" s="33" t="n">
        <f aca="false">IF(D160="totale",(C160/(A160*24))/F160,IF(D160="marché libre",(C160/(A160*24))/G160,"spécifier histo"))</f>
        <v>0.506371963361211</v>
      </c>
      <c r="F160" s="59" t="n">
        <v>1350</v>
      </c>
      <c r="G160" s="59" t="n">
        <f aca="false">F160-H160</f>
        <v>1350</v>
      </c>
      <c r="H160" s="59" t="n">
        <v>0</v>
      </c>
      <c r="J160" s="55"/>
      <c r="K160" s="55"/>
      <c r="L160" s="9"/>
    </row>
    <row r="161" customFormat="false" ht="19.85" hidden="false" customHeight="true" outlineLevel="0" collapsed="false">
      <c r="A161" s="1" t="n">
        <v>31</v>
      </c>
      <c r="B161" s="34" t="n">
        <v>41122</v>
      </c>
      <c r="C161" s="56" t="n">
        <v>223200</v>
      </c>
      <c r="D161" s="59" t="s">
        <v>41</v>
      </c>
      <c r="E161" s="33" t="n">
        <f aca="false">IF(D161="totale",(C161/(A161*24))/F161,IF(D161="marché libre",(C161/(A161*24))/G161,"spécifier histo"))</f>
        <v>0.222222222222222</v>
      </c>
      <c r="F161" s="59" t="n">
        <v>1350</v>
      </c>
      <c r="G161" s="59" t="n">
        <f aca="false">F161-H161</f>
        <v>1350</v>
      </c>
      <c r="H161" s="59" t="n">
        <v>0</v>
      </c>
      <c r="J161" s="55"/>
      <c r="K161" s="55"/>
      <c r="L161" s="9"/>
    </row>
    <row r="162" customFormat="false" ht="19.85" hidden="false" customHeight="true" outlineLevel="0" collapsed="false">
      <c r="A162" s="1" t="n">
        <v>30</v>
      </c>
      <c r="B162" s="31" t="n">
        <v>41153</v>
      </c>
      <c r="C162" s="56" t="n">
        <v>516800</v>
      </c>
      <c r="D162" s="59" t="s">
        <v>41</v>
      </c>
      <c r="E162" s="33" t="n">
        <f aca="false">IF(D162="totale",(C162/(A162*24))/F162,IF(D162="marché libre",(C162/(A162*24))/G162,"spécifier histo"))</f>
        <v>0.531687242798354</v>
      </c>
      <c r="F162" s="59" t="n">
        <v>1350</v>
      </c>
      <c r="G162" s="59" t="n">
        <f aca="false">F162-H162</f>
        <v>1350</v>
      </c>
      <c r="H162" s="59" t="n">
        <v>0</v>
      </c>
      <c r="J162" s="55"/>
      <c r="K162" s="55"/>
      <c r="L162" s="9"/>
    </row>
    <row r="163" customFormat="false" ht="19.85" hidden="false" customHeight="true" outlineLevel="0" collapsed="false">
      <c r="A163" s="168" t="n">
        <v>31</v>
      </c>
      <c r="B163" s="169" t="n">
        <v>41183</v>
      </c>
      <c r="C163" s="170" t="n">
        <v>426800</v>
      </c>
      <c r="D163" s="171" t="s">
        <v>42</v>
      </c>
      <c r="E163" s="172" t="n">
        <f aca="false">IF(D163="totale",(C163/(A163*24))/F163,IF(D163="marché libre",(C163/(A163*24))/G163,"spécifier histo"))</f>
        <v>0.424930306650737</v>
      </c>
      <c r="F163" s="171" t="n">
        <v>1350</v>
      </c>
      <c r="G163" s="171" t="n">
        <f aca="false">F163-H163</f>
        <v>1350</v>
      </c>
      <c r="H163" s="171" t="n">
        <v>0</v>
      </c>
      <c r="I163" s="1" t="s">
        <v>140</v>
      </c>
      <c r="J163" s="55"/>
      <c r="K163" s="173"/>
      <c r="L163" s="9"/>
    </row>
    <row r="164" customFormat="false" ht="19.85" hidden="false" customHeight="true" outlineLevel="0" collapsed="false">
      <c r="A164" s="1" t="n">
        <v>30</v>
      </c>
      <c r="B164" s="31" t="n">
        <v>41214</v>
      </c>
      <c r="C164" s="56" t="n">
        <v>668800</v>
      </c>
      <c r="D164" s="59" t="s">
        <v>42</v>
      </c>
      <c r="E164" s="33" t="n">
        <f aca="false">IF(D164="totale",(C164/(A164*24))/F164,IF(D164="marché libre",(C164/(A164*24))/G164,"spécifier histo"))</f>
        <v>0.688065843621399</v>
      </c>
      <c r="F164" s="59" t="n">
        <v>1350</v>
      </c>
      <c r="G164" s="59" t="n">
        <f aca="false">F164-H164</f>
        <v>1350</v>
      </c>
      <c r="H164" s="59" t="n">
        <v>0</v>
      </c>
      <c r="J164" s="55"/>
      <c r="K164" s="173"/>
      <c r="L164" s="9"/>
    </row>
    <row r="165" customFormat="false" ht="19.85" hidden="false" customHeight="true" outlineLevel="0" collapsed="false">
      <c r="A165" s="1" t="n">
        <v>31</v>
      </c>
      <c r="B165" s="34" t="n">
        <v>41244</v>
      </c>
      <c r="C165" s="56" t="n">
        <v>648400</v>
      </c>
      <c r="D165" s="59" t="s">
        <v>42</v>
      </c>
      <c r="E165" s="33" t="n">
        <f aca="false">IF(D165="totale",(C165/(A165*24))/F165,IF(D165="marché libre",(C165/(A165*24))/G165,"spécifier histo"))</f>
        <v>0.645559538032656</v>
      </c>
      <c r="F165" s="59" t="n">
        <v>1350</v>
      </c>
      <c r="G165" s="59" t="n">
        <f aca="false">F165-H165</f>
        <v>1350</v>
      </c>
      <c r="H165" s="59" t="n">
        <v>0</v>
      </c>
      <c r="J165" s="55"/>
      <c r="K165" s="173"/>
      <c r="L165" s="9"/>
    </row>
    <row r="166" customFormat="false" ht="19.85" hidden="false" customHeight="true" outlineLevel="0" collapsed="false">
      <c r="A166" s="1" t="n">
        <v>31</v>
      </c>
      <c r="B166" s="31" t="n">
        <v>41275</v>
      </c>
      <c r="C166" s="56" t="n">
        <v>798800</v>
      </c>
      <c r="D166" s="59" t="s">
        <v>42</v>
      </c>
      <c r="E166" s="33" t="n">
        <f aca="false">IF(D166="totale",(C166/(A166*24))/F166,IF(D166="marché libre",(C166/(A166*24))/G166,"spécifier histo"))</f>
        <v>0.795300677021107</v>
      </c>
      <c r="F166" s="59" t="n">
        <v>1350</v>
      </c>
      <c r="G166" s="59" t="n">
        <f aca="false">F166-H166</f>
        <v>1350</v>
      </c>
      <c r="H166" s="59" t="n">
        <v>0</v>
      </c>
      <c r="J166" s="55"/>
      <c r="K166" s="173"/>
      <c r="L166" s="9"/>
    </row>
    <row r="167" customFormat="false" ht="19.85" hidden="false" customHeight="true" outlineLevel="0" collapsed="false">
      <c r="A167" s="1" t="n">
        <v>28</v>
      </c>
      <c r="B167" s="34" t="n">
        <v>41306</v>
      </c>
      <c r="C167" s="56" t="n">
        <v>622200</v>
      </c>
      <c r="D167" s="59" t="s">
        <v>42</v>
      </c>
      <c r="E167" s="33" t="n">
        <f aca="false">IF(D167="totale",(C167/(A167*24))/F167,IF(D167="marché libre",(C167/(A167*24))/G167,"spécifier histo"))</f>
        <v>0.685846560846561</v>
      </c>
      <c r="F167" s="59" t="n">
        <v>1350</v>
      </c>
      <c r="G167" s="59" t="n">
        <f aca="false">F167-H167</f>
        <v>1350</v>
      </c>
      <c r="H167" s="59" t="n">
        <v>0</v>
      </c>
      <c r="J167" s="55"/>
      <c r="K167" s="173"/>
      <c r="L167" s="9"/>
    </row>
    <row r="168" customFormat="false" ht="19.85" hidden="false" customHeight="true" outlineLevel="0" collapsed="false">
      <c r="A168" s="1" t="n">
        <v>31</v>
      </c>
      <c r="B168" s="31" t="n">
        <v>41334</v>
      </c>
      <c r="C168" s="56" t="n">
        <v>774800</v>
      </c>
      <c r="D168" s="59" t="s">
        <v>42</v>
      </c>
      <c r="E168" s="33" t="n">
        <f aca="false">IF(D168="totale",(C168/(A168*24))/F168,IF(D168="marché libre",(C168/(A168*24))/G168,"spécifier histo"))</f>
        <v>0.771405814416567</v>
      </c>
      <c r="F168" s="59" t="n">
        <v>1350</v>
      </c>
      <c r="G168" s="59" t="n">
        <f aca="false">F168-H168</f>
        <v>1350</v>
      </c>
      <c r="H168" s="59" t="n">
        <v>0</v>
      </c>
      <c r="J168" s="55"/>
      <c r="K168" s="173"/>
      <c r="L168" s="9"/>
    </row>
    <row r="169" customFormat="false" ht="19.85" hidden="false" customHeight="true" outlineLevel="0" collapsed="false">
      <c r="A169" s="1" t="n">
        <v>30</v>
      </c>
      <c r="B169" s="34" t="n">
        <v>41365</v>
      </c>
      <c r="C169" s="56" t="n">
        <v>820400</v>
      </c>
      <c r="D169" s="59" t="s">
        <v>42</v>
      </c>
      <c r="E169" s="33" t="n">
        <f aca="false">IF(D169="totale",(C169/(A169*24))/F169,IF(D169="marché libre",(C169/(A169*24))/G169,"spécifier histo"))</f>
        <v>0.8440329218107</v>
      </c>
      <c r="F169" s="59" t="n">
        <v>1350</v>
      </c>
      <c r="G169" s="59" t="n">
        <f aca="false">F169-H169</f>
        <v>1350</v>
      </c>
      <c r="H169" s="59" t="n">
        <v>0</v>
      </c>
      <c r="J169" s="55"/>
      <c r="K169" s="173"/>
      <c r="L169" s="9"/>
    </row>
    <row r="170" customFormat="false" ht="19.85" hidden="false" customHeight="true" outlineLevel="0" collapsed="false">
      <c r="A170" s="1" t="n">
        <v>31</v>
      </c>
      <c r="B170" s="31" t="n">
        <v>41395</v>
      </c>
      <c r="C170" s="56" t="n">
        <v>856400</v>
      </c>
      <c r="D170" s="59" t="s">
        <v>42</v>
      </c>
      <c r="E170" s="33" t="n">
        <f aca="false">IF(D170="totale",(C170/(A170*24))/F170,IF(D170="marché libre",(C170/(A170*24))/G170,"spécifier histo"))</f>
        <v>0.852648347272003</v>
      </c>
      <c r="F170" s="59" t="n">
        <v>1350</v>
      </c>
      <c r="G170" s="59" t="n">
        <f aca="false">F170-H170</f>
        <v>1350</v>
      </c>
      <c r="H170" s="59" t="n">
        <v>0</v>
      </c>
      <c r="J170" s="55"/>
      <c r="K170" s="173"/>
      <c r="L170" s="9"/>
    </row>
    <row r="171" customFormat="false" ht="19.85" hidden="false" customHeight="true" outlineLevel="0" collapsed="false">
      <c r="A171" s="1" t="n">
        <v>30</v>
      </c>
      <c r="B171" s="34" t="n">
        <v>41426</v>
      </c>
      <c r="C171" s="56" t="n">
        <v>655400</v>
      </c>
      <c r="D171" s="59" t="s">
        <v>42</v>
      </c>
      <c r="E171" s="33" t="n">
        <f aca="false">IF(D171="totale",(C171/(A171*24))/F171,IF(D171="marché libre",(C171/(A171*24))/G171,"spécifier histo"))</f>
        <v>0.674279835390947</v>
      </c>
      <c r="F171" s="59" t="n">
        <v>1350</v>
      </c>
      <c r="G171" s="59" t="n">
        <f aca="false">F171-H171</f>
        <v>1350</v>
      </c>
      <c r="H171" s="59" t="n">
        <v>0</v>
      </c>
      <c r="J171" s="55"/>
      <c r="K171" s="173"/>
      <c r="L171" s="9"/>
    </row>
    <row r="172" customFormat="false" ht="19.85" hidden="false" customHeight="true" outlineLevel="0" collapsed="false">
      <c r="A172" s="1" t="n">
        <v>31</v>
      </c>
      <c r="B172" s="31" t="n">
        <v>41456</v>
      </c>
      <c r="C172" s="56" t="n">
        <v>399800</v>
      </c>
      <c r="D172" s="59" t="s">
        <v>42</v>
      </c>
      <c r="E172" s="33" t="n">
        <f aca="false">IF(D172="totale",(C172/(A172*24))/F172,IF(D172="marché libre",(C172/(A172*24))/G172,"spécifier histo"))</f>
        <v>0.398048586220629</v>
      </c>
      <c r="F172" s="59" t="n">
        <v>1350</v>
      </c>
      <c r="G172" s="59" t="n">
        <f aca="false">F172-H172</f>
        <v>1350</v>
      </c>
      <c r="H172" s="59" t="n">
        <v>0</v>
      </c>
      <c r="J172" s="55"/>
      <c r="K172" s="173"/>
      <c r="L172" s="9"/>
    </row>
    <row r="173" customFormat="false" ht="19.85" hidden="false" customHeight="true" outlineLevel="0" collapsed="false">
      <c r="A173" s="1" t="n">
        <v>31</v>
      </c>
      <c r="B173" s="34" t="n">
        <v>41487</v>
      </c>
      <c r="C173" s="56" t="n">
        <v>281200</v>
      </c>
      <c r="D173" s="59" t="s">
        <v>42</v>
      </c>
      <c r="E173" s="33" t="n">
        <f aca="false">IF(D173="totale",(C173/(A173*24))/F173,IF(D173="marché libre",(C173/(A173*24))/G173,"spécifier histo"))</f>
        <v>0.279968140183194</v>
      </c>
      <c r="F173" s="59" t="n">
        <v>1350</v>
      </c>
      <c r="G173" s="59" t="n">
        <f aca="false">F173-H173</f>
        <v>1350</v>
      </c>
      <c r="H173" s="59" t="n">
        <v>0</v>
      </c>
      <c r="J173" s="55"/>
      <c r="K173" s="173"/>
      <c r="L173" s="9"/>
    </row>
    <row r="174" customFormat="false" ht="19.85" hidden="false" customHeight="true" outlineLevel="0" collapsed="false">
      <c r="A174" s="1" t="n">
        <v>30</v>
      </c>
      <c r="B174" s="31" t="n">
        <v>41518</v>
      </c>
      <c r="C174" s="56" t="n">
        <v>439600</v>
      </c>
      <c r="D174" s="59" t="s">
        <v>42</v>
      </c>
      <c r="E174" s="33" t="n">
        <f aca="false">IF(D174="totale",(C174/(A174*24))/F174,IF(D174="marché libre",(C174/(A174*24))/G174,"spécifier histo"))</f>
        <v>0.452263374485597</v>
      </c>
      <c r="F174" s="59" t="n">
        <v>1350</v>
      </c>
      <c r="G174" s="59" t="n">
        <f aca="false">F174-H174</f>
        <v>1350</v>
      </c>
      <c r="H174" s="59" t="n">
        <v>0</v>
      </c>
      <c r="J174" s="55"/>
      <c r="K174" s="173"/>
      <c r="L174" s="9"/>
    </row>
    <row r="175" customFormat="false" ht="19.85" hidden="false" customHeight="true" outlineLevel="0" collapsed="false">
      <c r="A175" s="1" t="n">
        <v>31</v>
      </c>
      <c r="B175" s="34" t="n">
        <v>41548</v>
      </c>
      <c r="C175" s="56" t="n">
        <v>532000</v>
      </c>
      <c r="D175" s="59" t="s">
        <v>42</v>
      </c>
      <c r="E175" s="33" t="n">
        <f aca="false">IF(D175="totale",(C175/(A175*24))/F175,IF(D175="marché libre",(C175/(A175*24))/G175,"spécifier histo"))</f>
        <v>0.529669454400637</v>
      </c>
      <c r="F175" s="59" t="n">
        <v>1350</v>
      </c>
      <c r="G175" s="59" t="n">
        <f aca="false">F175-H175</f>
        <v>1350</v>
      </c>
      <c r="H175" s="59" t="n">
        <v>0</v>
      </c>
      <c r="J175" s="55"/>
      <c r="K175" s="173"/>
      <c r="L175" s="9"/>
    </row>
    <row r="176" customFormat="false" ht="19.85" hidden="false" customHeight="true" outlineLevel="0" collapsed="false">
      <c r="A176" s="1" t="n">
        <v>30</v>
      </c>
      <c r="B176" s="31" t="n">
        <v>41579</v>
      </c>
      <c r="C176" s="56" t="n">
        <v>599600</v>
      </c>
      <c r="D176" s="59" t="s">
        <v>42</v>
      </c>
      <c r="E176" s="33" t="n">
        <f aca="false">IF(D176="totale",(C176/(A176*24))/F176,IF(D176="marché libre",(C176/(A176*24))/G176,"spécifier histo"))</f>
        <v>0.616872427983539</v>
      </c>
      <c r="F176" s="59" t="n">
        <v>1350</v>
      </c>
      <c r="G176" s="59" t="n">
        <f aca="false">F176-H176</f>
        <v>1350</v>
      </c>
      <c r="H176" s="59" t="n">
        <v>0</v>
      </c>
      <c r="J176" s="55"/>
      <c r="K176" s="173"/>
      <c r="L176" s="9"/>
    </row>
    <row r="177" customFormat="false" ht="19.85" hidden="false" customHeight="true" outlineLevel="0" collapsed="false">
      <c r="A177" s="1" t="n">
        <v>31</v>
      </c>
      <c r="B177" s="34" t="n">
        <v>41609</v>
      </c>
      <c r="C177" s="56" t="n">
        <v>482400</v>
      </c>
      <c r="D177" s="59" t="s">
        <v>42</v>
      </c>
      <c r="E177" s="33" t="n">
        <f aca="false">IF(D177="totale",(C177/(A177*24))/F177,IF(D177="marché libre",(C177/(A177*24))/G177,"spécifier histo"))</f>
        <v>0.480286738351254</v>
      </c>
      <c r="F177" s="59" t="n">
        <v>1350</v>
      </c>
      <c r="G177" s="59" t="n">
        <f aca="false">F177-H177</f>
        <v>1350</v>
      </c>
      <c r="H177" s="59" t="n">
        <v>0</v>
      </c>
      <c r="J177" s="55"/>
      <c r="K177" s="173"/>
      <c r="L177" s="9"/>
    </row>
    <row r="178" customFormat="false" ht="19.85" hidden="false" customHeight="true" outlineLevel="0" collapsed="false">
      <c r="A178" s="1" t="n">
        <v>31</v>
      </c>
      <c r="B178" s="31" t="n">
        <v>41640</v>
      </c>
      <c r="C178" s="56" t="n">
        <v>666200</v>
      </c>
      <c r="D178" s="59" t="s">
        <v>42</v>
      </c>
      <c r="E178" s="33" t="n">
        <f aca="false">IF(D178="totale",(C178/(A178*24))/F178,IF(D178="marché libre",(C178/(A178*24))/G178,"spécifier histo"))</f>
        <v>0.663281561131023</v>
      </c>
      <c r="F178" s="59" t="n">
        <v>1350</v>
      </c>
      <c r="G178" s="59" t="n">
        <f aca="false">F178-H178</f>
        <v>1350</v>
      </c>
      <c r="H178" s="59" t="n">
        <v>0</v>
      </c>
      <c r="J178" s="55"/>
      <c r="K178" s="173"/>
      <c r="L178" s="9"/>
    </row>
    <row r="179" customFormat="false" ht="19.85" hidden="false" customHeight="true" outlineLevel="0" collapsed="false">
      <c r="A179" s="1" t="n">
        <v>28</v>
      </c>
      <c r="B179" s="34" t="n">
        <v>41671</v>
      </c>
      <c r="C179" s="56" t="n">
        <v>673600</v>
      </c>
      <c r="D179" s="59" t="s">
        <v>42</v>
      </c>
      <c r="E179" s="33" t="n">
        <f aca="false">IF(D179="totale",(C179/(A179*24))/F179,IF(D179="marché libre",(C179/(A179*24))/G179,"spécifier histo"))</f>
        <v>0.742504409171076</v>
      </c>
      <c r="F179" s="59" t="n">
        <v>1350</v>
      </c>
      <c r="G179" s="59" t="n">
        <f aca="false">F179-H179</f>
        <v>1350</v>
      </c>
      <c r="H179" s="59" t="n">
        <v>0</v>
      </c>
      <c r="J179" s="55"/>
      <c r="K179" s="173"/>
      <c r="L179" s="9"/>
    </row>
    <row r="180" customFormat="false" ht="19.85" hidden="false" customHeight="true" outlineLevel="0" collapsed="false">
      <c r="A180" s="1" t="n">
        <v>31</v>
      </c>
      <c r="B180" s="31" t="n">
        <v>41699</v>
      </c>
      <c r="C180" s="56" t="n">
        <v>457000</v>
      </c>
      <c r="D180" s="59" t="s">
        <v>42</v>
      </c>
      <c r="E180" s="33" t="n">
        <f aca="false">IF(D180="totale",(C180/(A180*24))/F180,IF(D180="marché libre",(C180/(A180*24))/G180,"spécifier histo"))</f>
        <v>0.45499800876145</v>
      </c>
      <c r="F180" s="59" t="n">
        <v>1350</v>
      </c>
      <c r="G180" s="59" t="n">
        <f aca="false">F180-H180</f>
        <v>1350</v>
      </c>
      <c r="H180" s="59" t="n">
        <v>0</v>
      </c>
      <c r="J180" s="55"/>
      <c r="K180" s="173"/>
      <c r="L180" s="9"/>
    </row>
    <row r="181" customFormat="false" ht="19.85" hidden="false" customHeight="true" outlineLevel="0" collapsed="false">
      <c r="A181" s="1" t="n">
        <v>30</v>
      </c>
      <c r="B181" s="34" t="n">
        <v>41730</v>
      </c>
      <c r="C181" s="56" t="n">
        <v>333200</v>
      </c>
      <c r="D181" s="59" t="s">
        <v>42</v>
      </c>
      <c r="E181" s="33" t="n">
        <f aca="false">IF(D181="totale",(C181/(A181*24))/F181,IF(D181="marché libre",(C181/(A181*24))/G181,"spécifier histo"))</f>
        <v>0.342798353909465</v>
      </c>
      <c r="F181" s="59" t="n">
        <v>1350</v>
      </c>
      <c r="G181" s="59" t="n">
        <f aca="false">F181-H181</f>
        <v>1350</v>
      </c>
      <c r="H181" s="59" t="n">
        <v>0</v>
      </c>
      <c r="J181" s="55"/>
      <c r="K181" s="173"/>
      <c r="L181" s="9"/>
    </row>
    <row r="182" customFormat="false" ht="19.85" hidden="false" customHeight="true" outlineLevel="0" collapsed="false">
      <c r="A182" s="1" t="n">
        <v>31</v>
      </c>
      <c r="B182" s="31" t="n">
        <v>41760</v>
      </c>
      <c r="C182" s="56" t="n">
        <v>593800</v>
      </c>
      <c r="D182" s="59" t="s">
        <v>42</v>
      </c>
      <c r="E182" s="33" t="n">
        <f aca="false">IF(D182="totale",(C182/(A182*24))/F182,IF(D182="marché libre",(C182/(A182*24))/G182,"spécifier histo"))</f>
        <v>0.591198725607328</v>
      </c>
      <c r="F182" s="59" t="n">
        <v>1350</v>
      </c>
      <c r="G182" s="59" t="n">
        <f aca="false">F182-H182</f>
        <v>1350</v>
      </c>
      <c r="H182" s="59" t="n">
        <v>0</v>
      </c>
      <c r="J182" s="55"/>
      <c r="K182" s="173"/>
      <c r="L182" s="9"/>
    </row>
    <row r="183" customFormat="false" ht="19.85" hidden="false" customHeight="true" outlineLevel="0" collapsed="false">
      <c r="A183" s="1" t="n">
        <v>30</v>
      </c>
      <c r="B183" s="34" t="n">
        <v>41791</v>
      </c>
      <c r="C183" s="56" t="n">
        <v>232400</v>
      </c>
      <c r="D183" s="59" t="s">
        <v>42</v>
      </c>
      <c r="E183" s="33" t="n">
        <f aca="false">IF(D183="totale",(C183/(A183*24))/F183,IF(D183="marché libre",(C183/(A183*24))/G183,"spécifier histo"))</f>
        <v>0.239094650205761</v>
      </c>
      <c r="F183" s="59" t="n">
        <v>1350</v>
      </c>
      <c r="G183" s="59" t="n">
        <f aca="false">F183-H183</f>
        <v>1350</v>
      </c>
      <c r="H183" s="59" t="n">
        <v>0</v>
      </c>
      <c r="J183" s="55"/>
      <c r="K183" s="173"/>
      <c r="L183" s="9"/>
    </row>
    <row r="184" customFormat="false" ht="19.85" hidden="false" customHeight="true" outlineLevel="0" collapsed="false">
      <c r="A184" s="1" t="n">
        <v>31</v>
      </c>
      <c r="B184" s="31" t="n">
        <v>41821</v>
      </c>
      <c r="C184" s="56" t="n">
        <v>618200</v>
      </c>
      <c r="D184" s="59" t="s">
        <v>42</v>
      </c>
      <c r="E184" s="33" t="n">
        <f aca="false">IF(D184="totale",(C184/(A184*24))/F184,IF(D184="marché libre",(C184/(A184*24))/G184,"spécifier histo"))</f>
        <v>0.615491835921943</v>
      </c>
      <c r="F184" s="59" t="n">
        <v>1350</v>
      </c>
      <c r="G184" s="59" t="n">
        <f aca="false">F184-H184</f>
        <v>1350</v>
      </c>
      <c r="H184" s="59" t="n">
        <v>0</v>
      </c>
      <c r="J184" s="55"/>
      <c r="K184" s="173"/>
      <c r="L184" s="9"/>
    </row>
    <row r="185" customFormat="false" ht="19.85" hidden="false" customHeight="true" outlineLevel="0" collapsed="false">
      <c r="A185" s="1" t="n">
        <v>31</v>
      </c>
      <c r="B185" s="34" t="n">
        <v>41852</v>
      </c>
      <c r="C185" s="56" t="n">
        <v>554400</v>
      </c>
      <c r="D185" s="59" t="s">
        <v>42</v>
      </c>
      <c r="E185" s="33" t="n">
        <f aca="false">IF(D185="totale",(C185/(A185*24))/F185,IF(D185="marché libre",(C185/(A185*24))/G185,"spécifier histo"))</f>
        <v>0.551971326164875</v>
      </c>
      <c r="F185" s="59" t="n">
        <v>1350</v>
      </c>
      <c r="G185" s="59" t="n">
        <f aca="false">F185-H185</f>
        <v>1350</v>
      </c>
      <c r="H185" s="59" t="n">
        <v>0</v>
      </c>
      <c r="J185" s="55"/>
      <c r="K185" s="173"/>
      <c r="L185" s="9"/>
    </row>
    <row r="186" customFormat="false" ht="19.85" hidden="false" customHeight="true" outlineLevel="0" collapsed="false">
      <c r="A186" s="1" t="n">
        <v>30</v>
      </c>
      <c r="B186" s="31" t="n">
        <v>41883</v>
      </c>
      <c r="C186" s="56" t="n">
        <v>287200</v>
      </c>
      <c r="D186" s="59" t="s">
        <v>42</v>
      </c>
      <c r="E186" s="33" t="n">
        <f aca="false">IF(D186="totale",(C186/(A186*24))/F186,IF(D186="marché libre",(C186/(A186*24))/G186,"spécifier histo"))</f>
        <v>0.295473251028807</v>
      </c>
      <c r="F186" s="59" t="n">
        <v>1350</v>
      </c>
      <c r="G186" s="59" t="n">
        <f aca="false">F186-H186</f>
        <v>1350</v>
      </c>
      <c r="H186" s="59" t="n">
        <v>0</v>
      </c>
      <c r="J186" s="55"/>
      <c r="K186" s="173"/>
      <c r="L186" s="9"/>
    </row>
    <row r="187" customFormat="false" ht="19.85" hidden="false" customHeight="true" outlineLevel="0" collapsed="false">
      <c r="A187" s="1" t="n">
        <v>31</v>
      </c>
      <c r="B187" s="34" t="n">
        <v>41913</v>
      </c>
      <c r="C187" s="56" t="n">
        <v>474000</v>
      </c>
      <c r="D187" s="59" t="s">
        <v>42</v>
      </c>
      <c r="E187" s="33" t="n">
        <f aca="false">IF(D187="totale",(C187/(A187*24))/F187,IF(D187="marché libre",(C187/(A187*24))/G187,"spécifier histo"))</f>
        <v>0.471923536439665</v>
      </c>
      <c r="F187" s="59" t="n">
        <v>1350</v>
      </c>
      <c r="G187" s="59" t="n">
        <f aca="false">F187-H187</f>
        <v>1350</v>
      </c>
      <c r="H187" s="59" t="n">
        <v>0</v>
      </c>
      <c r="J187" s="55"/>
      <c r="K187" s="173"/>
      <c r="L187" s="9"/>
    </row>
    <row r="188" customFormat="false" ht="19.85" hidden="false" customHeight="true" outlineLevel="0" collapsed="false">
      <c r="A188" s="1" t="n">
        <v>30</v>
      </c>
      <c r="B188" s="31" t="n">
        <v>41944</v>
      </c>
      <c r="C188" s="56" t="n">
        <v>348800</v>
      </c>
      <c r="D188" s="59" t="s">
        <v>42</v>
      </c>
      <c r="E188" s="33" t="n">
        <f aca="false">IF(D188="totale",(C188/(A188*24))/F188,IF(D188="marché libre",(C188/(A188*24))/G188,"spécifier histo"))</f>
        <v>0.358847736625514</v>
      </c>
      <c r="F188" s="59" t="n">
        <v>1350</v>
      </c>
      <c r="G188" s="59" t="n">
        <f aca="false">F188-H188</f>
        <v>1350</v>
      </c>
      <c r="H188" s="59" t="n">
        <v>0</v>
      </c>
      <c r="J188" s="55"/>
      <c r="K188" s="173"/>
      <c r="L188" s="9"/>
    </row>
    <row r="189" customFormat="false" ht="19.85" hidden="false" customHeight="true" outlineLevel="0" collapsed="false">
      <c r="A189" s="1" t="n">
        <v>31</v>
      </c>
      <c r="B189" s="34" t="n">
        <v>41974</v>
      </c>
      <c r="C189" s="56" t="n">
        <v>397600</v>
      </c>
      <c r="D189" s="59" t="s">
        <v>42</v>
      </c>
      <c r="E189" s="33" t="n">
        <f aca="false">IF(D189="totale",(C189/(A189*24))/F189,IF(D189="marché libre",(C189/(A189*24))/G189,"spécifier histo"))</f>
        <v>0.395858223815213</v>
      </c>
      <c r="F189" s="59" t="n">
        <v>1350</v>
      </c>
      <c r="G189" s="59" t="n">
        <f aca="false">F189-H189</f>
        <v>1350</v>
      </c>
      <c r="H189" s="59" t="n">
        <v>0</v>
      </c>
      <c r="J189" s="55"/>
      <c r="K189" s="173"/>
      <c r="L189" s="9"/>
    </row>
    <row r="190" customFormat="false" ht="19.85" hidden="false" customHeight="true" outlineLevel="0" collapsed="false">
      <c r="A190" s="1" t="n">
        <v>31</v>
      </c>
      <c r="B190" s="31" t="n">
        <v>42005</v>
      </c>
      <c r="C190" s="56" t="n">
        <v>425000</v>
      </c>
      <c r="D190" s="59" t="s">
        <v>42</v>
      </c>
      <c r="E190" s="33" t="n">
        <f aca="false">IF(D190="totale",(C190/(A190*24))/F190,IF(D190="marché libre",(C190/(A190*24))/G190,"spécifier histo"))</f>
        <v>0.423138191955396</v>
      </c>
      <c r="F190" s="59" t="n">
        <v>1350</v>
      </c>
      <c r="G190" s="59" t="n">
        <f aca="false">F190-H190</f>
        <v>1350</v>
      </c>
      <c r="H190" s="59" t="n">
        <v>0</v>
      </c>
      <c r="J190" s="55"/>
      <c r="K190" s="173"/>
      <c r="L190" s="9"/>
    </row>
    <row r="191" customFormat="false" ht="19.85" hidden="false" customHeight="true" outlineLevel="0" collapsed="false">
      <c r="A191" s="1" t="n">
        <v>28</v>
      </c>
      <c r="B191" s="34" t="n">
        <v>42036</v>
      </c>
      <c r="C191" s="56" t="n">
        <v>422200</v>
      </c>
      <c r="D191" s="59" t="s">
        <v>42</v>
      </c>
      <c r="E191" s="33" t="n">
        <f aca="false">IF(D191="totale",(C191/(A191*24))/F191,IF(D191="marché libre",(C191/(A191*24))/G191,"spécifier histo"))</f>
        <v>0.465388007054674</v>
      </c>
      <c r="F191" s="59" t="n">
        <v>1350</v>
      </c>
      <c r="G191" s="59" t="n">
        <f aca="false">F191-H191</f>
        <v>1350</v>
      </c>
      <c r="H191" s="59" t="n">
        <v>0</v>
      </c>
      <c r="J191" s="55"/>
      <c r="K191" s="173"/>
      <c r="L191" s="9"/>
    </row>
    <row r="192" customFormat="false" ht="19.85" hidden="false" customHeight="true" outlineLevel="0" collapsed="false">
      <c r="A192" s="1" t="n">
        <v>31</v>
      </c>
      <c r="B192" s="31" t="n">
        <v>42064</v>
      </c>
      <c r="C192" s="56" t="n">
        <v>410000</v>
      </c>
      <c r="D192" s="59" t="s">
        <v>42</v>
      </c>
      <c r="E192" s="33" t="n">
        <f aca="false">IF(D192="totale",(C192/(A192*24))/F192,IF(D192="marché libre",(C192/(A192*24))/G192,"spécifier histo"))</f>
        <v>0.408203902827559</v>
      </c>
      <c r="F192" s="59" t="n">
        <v>1350</v>
      </c>
      <c r="G192" s="59" t="n">
        <f aca="false">F192-H192</f>
        <v>1350</v>
      </c>
      <c r="H192" s="59" t="n">
        <v>0</v>
      </c>
      <c r="J192" s="55"/>
      <c r="K192" s="173"/>
      <c r="L192" s="9"/>
    </row>
    <row r="193" customFormat="false" ht="19.85" hidden="false" customHeight="true" outlineLevel="0" collapsed="false">
      <c r="A193" s="1" t="n">
        <v>30</v>
      </c>
      <c r="B193" s="34" t="n">
        <v>42095</v>
      </c>
      <c r="C193" s="56" t="n">
        <v>432000</v>
      </c>
      <c r="D193" s="59" t="s">
        <v>42</v>
      </c>
      <c r="E193" s="33" t="n">
        <f aca="false">IF(D193="totale",(C193/(A193*24))/F193,IF(D193="marché libre",(C193/(A193*24))/G193,"spécifier histo"))</f>
        <v>0.444444444444444</v>
      </c>
      <c r="F193" s="59" t="n">
        <v>1350</v>
      </c>
      <c r="G193" s="59" t="n">
        <f aca="false">F193-H193</f>
        <v>1350</v>
      </c>
      <c r="H193" s="59" t="n">
        <v>0</v>
      </c>
      <c r="J193" s="55"/>
      <c r="K193" s="173"/>
      <c r="L193" s="9"/>
    </row>
    <row r="194" customFormat="false" ht="19.85" hidden="false" customHeight="true" outlineLevel="0" collapsed="false">
      <c r="A194" s="1" t="n">
        <v>31</v>
      </c>
      <c r="B194" s="31" t="n">
        <v>42125</v>
      </c>
      <c r="C194" s="56" t="n">
        <v>301400</v>
      </c>
      <c r="D194" s="59" t="s">
        <v>42</v>
      </c>
      <c r="E194" s="33" t="n">
        <f aca="false">IF(D194="totale",(C194/(A194*24))/F194,IF(D194="marché libre",(C194/(A194*24))/G194,"spécifier histo"))</f>
        <v>0.300079649542015</v>
      </c>
      <c r="F194" s="59" t="n">
        <v>1350</v>
      </c>
      <c r="G194" s="59" t="n">
        <f aca="false">F194-H194</f>
        <v>1350</v>
      </c>
      <c r="H194" s="59" t="n">
        <v>0</v>
      </c>
      <c r="J194" s="55"/>
      <c r="K194" s="173"/>
      <c r="L194" s="9"/>
    </row>
    <row r="195" customFormat="false" ht="19.85" hidden="false" customHeight="true" outlineLevel="0" collapsed="false">
      <c r="A195" s="1" t="n">
        <v>30</v>
      </c>
      <c r="B195" s="34" t="n">
        <v>42156</v>
      </c>
      <c r="C195" s="56" t="n">
        <v>270400</v>
      </c>
      <c r="D195" s="59" t="s">
        <v>42</v>
      </c>
      <c r="E195" s="33" t="n">
        <f aca="false">IF(D195="totale",(C195/(A195*24))/F195,IF(D195="marché libre",(C195/(A195*24))/G195,"spécifier histo"))</f>
        <v>0.278189300411523</v>
      </c>
      <c r="F195" s="59" t="n">
        <v>1350</v>
      </c>
      <c r="G195" s="59" t="n">
        <f aca="false">F195-H195</f>
        <v>1350</v>
      </c>
      <c r="H195" s="59" t="n">
        <v>0</v>
      </c>
      <c r="J195" s="55"/>
      <c r="K195" s="173"/>
      <c r="L195" s="9"/>
    </row>
    <row r="196" customFormat="false" ht="19.85" hidden="false" customHeight="true" outlineLevel="0" collapsed="false">
      <c r="A196" s="1" t="n">
        <v>31</v>
      </c>
      <c r="B196" s="31" t="n">
        <v>42186</v>
      </c>
      <c r="C196" s="56" t="n">
        <v>167400</v>
      </c>
      <c r="D196" s="59" t="s">
        <v>42</v>
      </c>
      <c r="E196" s="33" t="n">
        <f aca="false">IF(D196="totale",(C196/(A196*24))/F196,IF(D196="marché libre",(C196/(A196*24))/G196,"spécifier histo"))</f>
        <v>0.166666666666667</v>
      </c>
      <c r="F196" s="59" t="n">
        <v>1350</v>
      </c>
      <c r="G196" s="59" t="n">
        <f aca="false">F196-H196</f>
        <v>1350</v>
      </c>
      <c r="H196" s="59" t="n">
        <v>0</v>
      </c>
      <c r="J196" s="55"/>
      <c r="K196" s="173"/>
      <c r="L196" s="9"/>
    </row>
    <row r="197" customFormat="false" ht="19.85" hidden="false" customHeight="true" outlineLevel="0" collapsed="false">
      <c r="A197" s="1" t="n">
        <v>31</v>
      </c>
      <c r="B197" s="34" t="n">
        <v>42217</v>
      </c>
      <c r="C197" s="56" t="n">
        <v>73800</v>
      </c>
      <c r="D197" s="59" t="s">
        <v>42</v>
      </c>
      <c r="E197" s="33" t="n">
        <f aca="false">IF(D197="totale",(C197/(A197*24))/F197,IF(D197="marché libre",(C197/(A197*24))/G197,"spécifier histo"))</f>
        <v>0.0734767025089606</v>
      </c>
      <c r="F197" s="59" t="n">
        <v>1350</v>
      </c>
      <c r="G197" s="59" t="n">
        <f aca="false">F197-H197</f>
        <v>1350</v>
      </c>
      <c r="H197" s="59" t="n">
        <v>0</v>
      </c>
      <c r="J197" s="55"/>
      <c r="K197" s="173"/>
      <c r="L197" s="9"/>
    </row>
    <row r="198" customFormat="false" ht="19.85" hidden="false" customHeight="true" outlineLevel="0" collapsed="false">
      <c r="A198" s="1" t="n">
        <v>30</v>
      </c>
      <c r="B198" s="31" t="n">
        <v>42248</v>
      </c>
      <c r="C198" s="56" t="n">
        <v>194800</v>
      </c>
      <c r="D198" s="59" t="s">
        <v>42</v>
      </c>
      <c r="E198" s="33" t="n">
        <f aca="false">IF(D198="totale",(C198/(A198*24))/F198,IF(D198="marché libre",(C198/(A198*24))/G198,"spécifier histo"))</f>
        <v>0.200411522633745</v>
      </c>
      <c r="F198" s="59" t="n">
        <v>1350</v>
      </c>
      <c r="G198" s="59" t="n">
        <f aca="false">F198-H198</f>
        <v>1350</v>
      </c>
      <c r="H198" s="59" t="n">
        <v>0</v>
      </c>
      <c r="J198" s="55"/>
      <c r="K198" s="173"/>
      <c r="L198" s="9"/>
    </row>
    <row r="199" customFormat="false" ht="19.85" hidden="false" customHeight="true" outlineLevel="0" collapsed="false">
      <c r="A199" s="1" t="n">
        <v>31</v>
      </c>
      <c r="B199" s="34" t="n">
        <v>42278</v>
      </c>
      <c r="C199" s="56" t="n">
        <v>164600</v>
      </c>
      <c r="D199" s="59" t="s">
        <v>42</v>
      </c>
      <c r="E199" s="33" t="n">
        <f aca="false">IF(D199="totale",(C199/(A199*24))/F199,IF(D199="marché libre",(C199/(A199*24))/G199,"spécifier histo"))</f>
        <v>0.163878932696137</v>
      </c>
      <c r="F199" s="59" t="n">
        <v>1350</v>
      </c>
      <c r="G199" s="59" t="n">
        <f aca="false">F199-H199</f>
        <v>1350</v>
      </c>
      <c r="H199" s="59" t="n">
        <v>0</v>
      </c>
      <c r="J199" s="55"/>
      <c r="K199" s="173"/>
      <c r="L199" s="9"/>
    </row>
    <row r="200" customFormat="false" ht="19.85" hidden="false" customHeight="true" outlineLevel="0" collapsed="false">
      <c r="A200" s="1" t="n">
        <v>30</v>
      </c>
      <c r="B200" s="31" t="n">
        <v>42309</v>
      </c>
      <c r="C200" s="56" t="n">
        <v>182800</v>
      </c>
      <c r="D200" s="59" t="s">
        <v>42</v>
      </c>
      <c r="E200" s="33" t="n">
        <f aca="false">IF(D200="totale",(C200/(A200*24))/F200,IF(D200="marché libre",(C200/(A200*24))/G200,"spécifier histo"))</f>
        <v>0.188065843621399</v>
      </c>
      <c r="F200" s="59" t="n">
        <v>1350</v>
      </c>
      <c r="G200" s="59" t="n">
        <f aca="false">F200-H200</f>
        <v>1350</v>
      </c>
      <c r="H200" s="59" t="n">
        <v>0</v>
      </c>
      <c r="J200" s="55"/>
      <c r="K200" s="173"/>
      <c r="L200" s="9"/>
    </row>
    <row r="201" customFormat="false" ht="19.85" hidden="false" customHeight="true" outlineLevel="0" collapsed="false">
      <c r="A201" s="1" t="n">
        <v>31</v>
      </c>
      <c r="B201" s="34" t="n">
        <v>42339</v>
      </c>
      <c r="C201" s="56" t="n">
        <v>350400</v>
      </c>
      <c r="D201" s="59" t="s">
        <v>42</v>
      </c>
      <c r="E201" s="33" t="n">
        <f aca="false">IF(D201="totale",(C201/(A201*24))/F201,IF(D201="marché libre",(C201/(A201*24))/G201,"spécifier histo"))</f>
        <v>0.348864994026284</v>
      </c>
      <c r="F201" s="59" t="n">
        <v>1350</v>
      </c>
      <c r="G201" s="59" t="n">
        <f aca="false">F201-H201</f>
        <v>1350</v>
      </c>
      <c r="H201" s="59" t="n">
        <v>0</v>
      </c>
      <c r="J201" s="55"/>
      <c r="K201" s="173"/>
      <c r="L201" s="9"/>
    </row>
    <row r="202" customFormat="false" ht="19.85" hidden="false" customHeight="true" outlineLevel="0" collapsed="false">
      <c r="A202" s="1" t="n">
        <v>31</v>
      </c>
      <c r="B202" s="31" t="n">
        <v>42370</v>
      </c>
      <c r="C202" s="56" t="n">
        <v>372000</v>
      </c>
      <c r="D202" s="59" t="s">
        <v>42</v>
      </c>
      <c r="E202" s="33" t="n">
        <f aca="false">IF(D202="totale",(C202/(A202*24))/F202,IF(D202="marché libre",(C202/(A202*24))/G202,"spécifier histo"))</f>
        <v>0.37037037037037</v>
      </c>
      <c r="F202" s="59" t="n">
        <v>1350</v>
      </c>
      <c r="G202" s="59" t="n">
        <f aca="false">F202-H202</f>
        <v>1350</v>
      </c>
      <c r="H202" s="59" t="n">
        <v>0</v>
      </c>
      <c r="J202" s="55"/>
      <c r="K202" s="173"/>
      <c r="L202" s="9"/>
    </row>
    <row r="203" customFormat="false" ht="19.85" hidden="false" customHeight="true" outlineLevel="0" collapsed="false">
      <c r="A203" s="1" t="n">
        <v>28</v>
      </c>
      <c r="B203" s="34" t="n">
        <v>42401</v>
      </c>
      <c r="C203" s="9" t="n">
        <v>358438</v>
      </c>
      <c r="D203" s="59" t="s">
        <v>42</v>
      </c>
      <c r="E203" s="33" t="n">
        <f aca="false">IF(D203="totale",(C203/(A203*24))/F203,IF(D203="marché libre",(C203/(A203*24))/G203,"spécifier histo"))</f>
        <v>0.395103615520282</v>
      </c>
      <c r="F203" s="59" t="n">
        <v>1350</v>
      </c>
      <c r="G203" s="59" t="n">
        <f aca="false">F203-H203</f>
        <v>1350</v>
      </c>
      <c r="H203" s="59" t="n">
        <v>0</v>
      </c>
      <c r="J203" s="55"/>
      <c r="K203" s="173"/>
      <c r="L203" s="9"/>
    </row>
    <row r="204" customFormat="false" ht="19.85" hidden="false" customHeight="true" outlineLevel="0" collapsed="false">
      <c r="A204" s="1" t="n">
        <v>31</v>
      </c>
      <c r="B204" s="31" t="n">
        <v>42430</v>
      </c>
      <c r="C204" s="9" t="n">
        <v>458097</v>
      </c>
      <c r="D204" s="59" t="s">
        <v>42</v>
      </c>
      <c r="E204" s="33" t="n">
        <f aca="false">IF(D204="totale",(C204/(A204*24))/F204,IF(D204="marché libre",(C204/(A204*24))/G204,"spécifier histo"))</f>
        <v>0.456090203106332</v>
      </c>
      <c r="F204" s="59" t="n">
        <v>1350</v>
      </c>
      <c r="G204" s="59" t="n">
        <f aca="false">F204-H204</f>
        <v>1350</v>
      </c>
      <c r="H204" s="59" t="n">
        <v>0</v>
      </c>
      <c r="J204" s="55"/>
      <c r="K204" s="173"/>
      <c r="L204" s="9"/>
    </row>
    <row r="205" customFormat="false" ht="19.85" hidden="false" customHeight="true" outlineLevel="0" collapsed="false">
      <c r="A205" s="1" t="n">
        <v>30</v>
      </c>
      <c r="B205" s="34" t="n">
        <v>42461</v>
      </c>
      <c r="C205" s="9" t="n">
        <v>426882</v>
      </c>
      <c r="D205" s="59" t="s">
        <v>42</v>
      </c>
      <c r="E205" s="33" t="n">
        <f aca="false">IF(D205="totale",(C205/(A205*24))/F205,IF(D205="marché libre",(C205/(A205*24))/G205,"spécifier histo"))</f>
        <v>0.439179012345679</v>
      </c>
      <c r="F205" s="59" t="n">
        <v>1350</v>
      </c>
      <c r="G205" s="59" t="n">
        <f aca="false">F205-H205</f>
        <v>1350</v>
      </c>
      <c r="H205" s="59" t="n">
        <v>0</v>
      </c>
      <c r="J205" s="55"/>
      <c r="K205" s="173"/>
      <c r="L205" s="9"/>
    </row>
    <row r="206" customFormat="false" ht="19.85" hidden="false" customHeight="true" outlineLevel="0" collapsed="false">
      <c r="A206" s="1" t="n">
        <v>31</v>
      </c>
      <c r="B206" s="31" t="n">
        <v>42491</v>
      </c>
      <c r="C206" s="9" t="n">
        <v>431405</v>
      </c>
      <c r="D206" s="59" t="s">
        <v>42</v>
      </c>
      <c r="E206" s="33" t="n">
        <f aca="false">IF(D206="totale",(C206/(A206*24))/F206,IF(D206="marché libre",(C206/(A206*24))/G206,"spécifier histo"))</f>
        <v>0.429515133412983</v>
      </c>
      <c r="F206" s="59" t="n">
        <v>1350</v>
      </c>
      <c r="G206" s="59" t="n">
        <f aca="false">F206-H206</f>
        <v>1350</v>
      </c>
      <c r="H206" s="59" t="n">
        <v>0</v>
      </c>
      <c r="J206" s="55"/>
      <c r="K206" s="173"/>
      <c r="L206" s="140"/>
    </row>
    <row r="207" customFormat="false" ht="19.85" hidden="false" customHeight="true" outlineLevel="0" collapsed="false">
      <c r="A207" s="1" t="n">
        <v>30</v>
      </c>
      <c r="B207" s="34" t="n">
        <v>42522</v>
      </c>
      <c r="C207" s="9" t="n">
        <v>415772</v>
      </c>
      <c r="D207" s="59" t="s">
        <v>42</v>
      </c>
      <c r="E207" s="33" t="n">
        <f aca="false">IF(D207="totale",(C207/(A207*24))/F207,IF(D207="marché libre",(C207/(A207*24))/G207,"spécifier histo"))</f>
        <v>0.427748971193416</v>
      </c>
      <c r="F207" s="59" t="n">
        <v>1350</v>
      </c>
      <c r="G207" s="59" t="n">
        <f aca="false">F207-H207</f>
        <v>1350</v>
      </c>
      <c r="H207" s="59" t="n">
        <v>0</v>
      </c>
      <c r="J207" s="55"/>
      <c r="K207" s="173"/>
      <c r="L207" s="140"/>
    </row>
    <row r="208" customFormat="false" ht="19.85" hidden="false" customHeight="true" outlineLevel="0" collapsed="false">
      <c r="A208" s="1" t="n">
        <v>31</v>
      </c>
      <c r="B208" s="31" t="n">
        <v>42552</v>
      </c>
      <c r="C208" s="9" t="n">
        <v>274344</v>
      </c>
      <c r="D208" s="59" t="s">
        <v>42</v>
      </c>
      <c r="E208" s="33" t="n">
        <f aca="false">IF(D208="totale",(C208/(A208*24))/F208,IF(D208="marché libre",(C208/(A208*24))/G208,"spécifier histo"))</f>
        <v>0.273142174432497</v>
      </c>
      <c r="F208" s="59" t="n">
        <v>1350</v>
      </c>
      <c r="G208" s="59" t="n">
        <f aca="false">F208-H208</f>
        <v>1350</v>
      </c>
      <c r="H208" s="59" t="n">
        <v>0</v>
      </c>
      <c r="J208" s="55"/>
      <c r="K208" s="173"/>
      <c r="L208" s="140"/>
    </row>
    <row r="209" customFormat="false" ht="19.85" hidden="false" customHeight="true" outlineLevel="0" collapsed="false">
      <c r="A209" s="1" t="n">
        <v>31</v>
      </c>
      <c r="B209" s="34" t="n">
        <v>42583</v>
      </c>
      <c r="C209" s="9" t="n">
        <v>58477</v>
      </c>
      <c r="D209" s="59" t="s">
        <v>42</v>
      </c>
      <c r="E209" s="33" t="n">
        <f aca="false">IF(D209="totale",(C209/(A209*24))/F209,IF(D209="marché libre",(C209/(A209*24))/G209,"spécifier histo"))</f>
        <v>0.058220828355237</v>
      </c>
      <c r="F209" s="59" t="n">
        <v>1350</v>
      </c>
      <c r="G209" s="59" t="n">
        <f aca="false">F209-H209</f>
        <v>1350</v>
      </c>
      <c r="H209" s="59" t="n">
        <v>0</v>
      </c>
      <c r="J209" s="55"/>
      <c r="K209" s="173"/>
      <c r="L209" s="9"/>
    </row>
    <row r="210" customFormat="false" ht="19.85" hidden="false" customHeight="true" outlineLevel="0" collapsed="false">
      <c r="A210" s="1" t="n">
        <v>30</v>
      </c>
      <c r="B210" s="31" t="n">
        <v>42614</v>
      </c>
      <c r="C210" s="9" t="n">
        <v>60752</v>
      </c>
      <c r="D210" s="59" t="s">
        <v>42</v>
      </c>
      <c r="E210" s="33" t="n">
        <f aca="false">IF(D210="totale",(C210/(A210*24))/F210,IF(D210="marché libre",(C210/(A210*24))/G210,"spécifier histo"))</f>
        <v>0.0625020576131687</v>
      </c>
      <c r="F210" s="59" t="n">
        <v>1350</v>
      </c>
      <c r="G210" s="59" t="n">
        <f aca="false">F210-H210</f>
        <v>1350</v>
      </c>
      <c r="H210" s="59" t="n">
        <v>0</v>
      </c>
      <c r="J210" s="55"/>
      <c r="K210" s="173"/>
      <c r="L210" s="9"/>
    </row>
    <row r="211" customFormat="false" ht="19.85" hidden="false" customHeight="true" outlineLevel="0" collapsed="false">
      <c r="A211" s="1" t="n">
        <v>31</v>
      </c>
      <c r="B211" s="34" t="n">
        <v>42644</v>
      </c>
      <c r="C211" s="9" t="n">
        <v>107852</v>
      </c>
      <c r="D211" s="59" t="s">
        <v>42</v>
      </c>
      <c r="E211" s="33" t="n">
        <f aca="false">IF(D211="totale",(C211/(A211*24))/F211,IF(D211="marché libre",(C211/(A211*24))/G211,"spécifier histo"))</f>
        <v>0.107379530067702</v>
      </c>
      <c r="F211" s="59" t="n">
        <v>1350</v>
      </c>
      <c r="G211" s="59" t="n">
        <f aca="false">F211-H211</f>
        <v>1350</v>
      </c>
      <c r="H211" s="59" t="n">
        <v>0</v>
      </c>
      <c r="J211" s="55"/>
      <c r="K211" s="173"/>
      <c r="L211" s="9"/>
    </row>
    <row r="212" customFormat="false" ht="19.85" hidden="false" customHeight="true" outlineLevel="0" collapsed="false">
      <c r="A212" s="1" t="n">
        <v>30</v>
      </c>
      <c r="B212" s="31" t="n">
        <v>42675</v>
      </c>
      <c r="C212" s="9" t="n">
        <v>364788</v>
      </c>
      <c r="D212" s="59" t="s">
        <v>42</v>
      </c>
      <c r="E212" s="33" t="n">
        <f aca="false">IF(D212="totale",(C212/(A212*24))/F212,IF(D212="marché libre",(C212/(A212*24))/G212,"spécifier histo"))</f>
        <v>0.375296296296296</v>
      </c>
      <c r="F212" s="59" t="n">
        <v>1350</v>
      </c>
      <c r="G212" s="59" t="n">
        <f aca="false">F212-H212</f>
        <v>1350</v>
      </c>
      <c r="H212" s="59" t="n">
        <v>0</v>
      </c>
      <c r="J212" s="55"/>
      <c r="K212" s="173"/>
      <c r="L212" s="9"/>
    </row>
    <row r="213" customFormat="false" ht="19.85" hidden="false" customHeight="true" outlineLevel="0" collapsed="false">
      <c r="A213" s="1" t="n">
        <v>31</v>
      </c>
      <c r="B213" s="34" t="n">
        <v>42705</v>
      </c>
      <c r="C213" s="9" t="n">
        <v>185488</v>
      </c>
      <c r="D213" s="59" t="s">
        <v>42</v>
      </c>
      <c r="E213" s="33" t="n">
        <f aca="false">IF(D213="totale",(C213/(A213*24))/F213,IF(D213="marché libre",(C213/(A213*24))/G213,"spécifier histo"))</f>
        <v>0.184675428116288</v>
      </c>
      <c r="F213" s="59" t="n">
        <v>1350</v>
      </c>
      <c r="G213" s="59" t="n">
        <f aca="false">F213-H213</f>
        <v>1350</v>
      </c>
      <c r="H213" s="59" t="n">
        <v>0</v>
      </c>
      <c r="J213" s="55"/>
      <c r="K213" s="173"/>
      <c r="L213" s="9"/>
    </row>
    <row r="214" customFormat="false" ht="19.85" hidden="false" customHeight="true" outlineLevel="0" collapsed="false">
      <c r="A214" s="1" t="n">
        <v>31</v>
      </c>
      <c r="B214" s="31" t="n">
        <v>42736</v>
      </c>
      <c r="C214" s="9" t="n">
        <v>136224</v>
      </c>
      <c r="D214" s="59" t="s">
        <v>42</v>
      </c>
      <c r="E214" s="33" t="n">
        <f aca="false">IF(D214="totale",(C214/(A214*24))/F214,IF(D214="marché libre",(C214/(A214*24))/G214,"spécifier histo"))</f>
        <v>0.135627240143369</v>
      </c>
      <c r="F214" s="59" t="n">
        <v>1350</v>
      </c>
      <c r="G214" s="59" t="n">
        <f aca="false">F214-H214</f>
        <v>1350</v>
      </c>
      <c r="H214" s="59" t="n">
        <v>0</v>
      </c>
      <c r="J214" s="30"/>
      <c r="K214" s="103"/>
      <c r="L214" s="9"/>
    </row>
    <row r="215" customFormat="false" ht="19.85" hidden="false" customHeight="true" outlineLevel="0" collapsed="false">
      <c r="A215" s="1" t="n">
        <v>28</v>
      </c>
      <c r="B215" s="34" t="n">
        <v>42767</v>
      </c>
      <c r="C215" s="9" t="n">
        <v>410018</v>
      </c>
      <c r="D215" s="59" t="s">
        <v>42</v>
      </c>
      <c r="E215" s="33" t="n">
        <f aca="false">IF(D215="totale",(C215/(A215*24))/F215,IF(D215="marché libre",(C215/(A215*24))/G215,"spécifier histo"))</f>
        <v>0.45195987654321</v>
      </c>
      <c r="F215" s="59" t="n">
        <v>1350</v>
      </c>
      <c r="G215" s="59" t="n">
        <f aca="false">F215-H215</f>
        <v>1350</v>
      </c>
      <c r="H215" s="59" t="n">
        <v>0</v>
      </c>
      <c r="J215" s="55"/>
      <c r="K215" s="173"/>
      <c r="L215" s="9"/>
    </row>
    <row r="216" customFormat="false" ht="19.85" hidden="false" customHeight="true" outlineLevel="0" collapsed="false">
      <c r="A216" s="1" t="n">
        <v>31</v>
      </c>
      <c r="B216" s="31" t="n">
        <v>42795</v>
      </c>
      <c r="C216" s="9" t="n">
        <v>360127</v>
      </c>
      <c r="D216" s="59" t="s">
        <v>42</v>
      </c>
      <c r="E216" s="33" t="n">
        <f aca="false">IF(D216="totale",(C216/(A216*24))/F216,IF(D216="marché libre",(C216/(A216*24))/G216,"spécifier histo"))</f>
        <v>0.358549382716049</v>
      </c>
      <c r="F216" s="59" t="n">
        <v>1350</v>
      </c>
      <c r="G216" s="59" t="n">
        <f aca="false">F216-H216</f>
        <v>1350</v>
      </c>
      <c r="H216" s="59" t="n">
        <v>0</v>
      </c>
      <c r="J216" s="55"/>
      <c r="K216" s="173"/>
      <c r="L216" s="9"/>
    </row>
    <row r="217" customFormat="false" ht="19.85" hidden="false" customHeight="true" outlineLevel="0" collapsed="false">
      <c r="A217" s="1" t="n">
        <v>30</v>
      </c>
      <c r="B217" s="34" t="n">
        <v>42826</v>
      </c>
      <c r="C217" s="9" t="n">
        <v>250896</v>
      </c>
      <c r="D217" s="59" t="s">
        <v>42</v>
      </c>
      <c r="E217" s="33" t="n">
        <f aca="false">IF(D217="totale",(C217/(A217*24))/F217,IF(D217="marché libre",(C217/(A217*24))/G217,"spécifier histo"))</f>
        <v>0.258123456790123</v>
      </c>
      <c r="F217" s="59" t="n">
        <v>1350</v>
      </c>
      <c r="G217" s="59" t="n">
        <f aca="false">F217-H217</f>
        <v>1350</v>
      </c>
      <c r="H217" s="59" t="n">
        <v>0</v>
      </c>
      <c r="J217" s="55"/>
      <c r="K217" s="173"/>
      <c r="L217" s="9"/>
    </row>
    <row r="218" customFormat="false" ht="19.85" hidden="false" customHeight="true" outlineLevel="0" collapsed="false">
      <c r="A218" s="1" t="n">
        <v>31</v>
      </c>
      <c r="B218" s="31" t="n">
        <v>42856</v>
      </c>
      <c r="C218" s="9" t="n">
        <v>384184</v>
      </c>
      <c r="D218" s="59" t="s">
        <v>42</v>
      </c>
      <c r="E218" s="33" t="n">
        <f aca="false">IF(D218="totale",(C218/(A218*24))/F218,IF(D218="marché libre",(C218/(A218*24))/G218,"spécifier histo"))</f>
        <v>0.382500995619275</v>
      </c>
      <c r="F218" s="59" t="n">
        <v>1350</v>
      </c>
      <c r="G218" s="59" t="n">
        <f aca="false">F218-H218</f>
        <v>1350</v>
      </c>
      <c r="H218" s="59" t="n">
        <v>0</v>
      </c>
      <c r="J218" s="55"/>
      <c r="K218" s="173"/>
      <c r="L218" s="9"/>
    </row>
    <row r="219" customFormat="false" ht="22.45" hidden="false" customHeight="true" outlineLevel="0" collapsed="false">
      <c r="A219" s="1" t="n">
        <v>30</v>
      </c>
      <c r="B219" s="34" t="n">
        <v>42887</v>
      </c>
      <c r="C219" s="9" t="n">
        <v>260987</v>
      </c>
      <c r="D219" s="59" t="s">
        <v>42</v>
      </c>
      <c r="E219" s="33" t="n">
        <f aca="false">IF(D219="totale",(C219/(A219*24))/F219,IF(D219="marché libre",(C219/(A219*24))/G219,"spécifier histo"))</f>
        <v>0.268505144032922</v>
      </c>
      <c r="F219" s="59" t="n">
        <v>1350</v>
      </c>
      <c r="G219" s="59" t="n">
        <f aca="false">F219-H219</f>
        <v>1350</v>
      </c>
      <c r="H219" s="59" t="n">
        <v>0</v>
      </c>
      <c r="J219" s="55"/>
      <c r="K219" s="55"/>
    </row>
    <row r="220" customFormat="false" ht="21.65" hidden="false" customHeight="true" outlineLevel="0" collapsed="false">
      <c r="A220" s="1" t="n">
        <v>31</v>
      </c>
      <c r="B220" s="31" t="n">
        <v>42917</v>
      </c>
      <c r="C220" s="9" t="n">
        <v>195870</v>
      </c>
      <c r="D220" s="59" t="s">
        <v>42</v>
      </c>
      <c r="E220" s="33" t="n">
        <f aca="false">IF(D220="totale",(C220/(A220*24))/F220,IF(D220="marché libre",(C220/(A220*24))/G220,"spécifier histo"))</f>
        <v>0.195011947431302</v>
      </c>
      <c r="F220" s="59" t="n">
        <v>1350</v>
      </c>
      <c r="G220" s="59" t="n">
        <f aca="false">F220-H220</f>
        <v>1350</v>
      </c>
      <c r="H220" s="59" t="n">
        <v>0</v>
      </c>
      <c r="J220" s="55"/>
      <c r="K220" s="55"/>
    </row>
    <row r="221" customFormat="false" ht="21.65" hidden="false" customHeight="true" outlineLevel="0" collapsed="false">
      <c r="A221" s="1" t="n">
        <v>31</v>
      </c>
      <c r="B221" s="34" t="n">
        <v>42948</v>
      </c>
      <c r="C221" s="9" t="n">
        <v>197388</v>
      </c>
      <c r="D221" s="59" t="s">
        <v>42</v>
      </c>
      <c r="E221" s="33" t="n">
        <f aca="false">IF(D221="totale",(C221/(A221*24))/F221,IF(D221="marché libre",(C221/(A221*24))/G221,"spécifier histo"))</f>
        <v>0.196523297491039</v>
      </c>
      <c r="F221" s="59" t="n">
        <v>1350</v>
      </c>
      <c r="G221" s="59" t="n">
        <f aca="false">F221-H221</f>
        <v>1350</v>
      </c>
      <c r="H221" s="59" t="n">
        <v>0</v>
      </c>
      <c r="J221" s="55"/>
      <c r="K221" s="55"/>
    </row>
    <row r="222" customFormat="false" ht="21.65" hidden="false" customHeight="true" outlineLevel="0" collapsed="false">
      <c r="A222" s="1" t="n">
        <v>30</v>
      </c>
      <c r="B222" s="31" t="n">
        <v>42979</v>
      </c>
      <c r="C222" s="9" t="n">
        <v>158159</v>
      </c>
      <c r="D222" s="59" t="s">
        <v>42</v>
      </c>
      <c r="E222" s="33" t="n">
        <f aca="false">IF(D222="totale",(C222/(A222*24))/F222,IF(D222="marché libre",(C222/(A222*24))/G222,"spécifier histo"))</f>
        <v>0.162715020576132</v>
      </c>
      <c r="F222" s="59" t="n">
        <v>1350</v>
      </c>
      <c r="G222" s="59" t="n">
        <f aca="false">F222-H222</f>
        <v>1350</v>
      </c>
      <c r="H222" s="59" t="n">
        <v>0</v>
      </c>
      <c r="J222" s="55"/>
      <c r="K222" s="55"/>
    </row>
    <row r="223" customFormat="false" ht="21.65" hidden="false" customHeight="true" outlineLevel="0" collapsed="false">
      <c r="A223" s="1" t="n">
        <v>31</v>
      </c>
      <c r="B223" s="34" t="n">
        <v>43009</v>
      </c>
      <c r="C223" s="9" t="n">
        <v>158303</v>
      </c>
      <c r="D223" s="59" t="s">
        <v>42</v>
      </c>
      <c r="E223" s="33" t="n">
        <f aca="false">IF(D223="totale",(C223/(A223*24))/F223,IF(D223="marché libre",(C223/(A223*24))/G223,"spécifier histo"))</f>
        <v>0.157609518120271</v>
      </c>
      <c r="F223" s="59" t="n">
        <v>1350</v>
      </c>
      <c r="G223" s="59" t="n">
        <f aca="false">F223-H223</f>
        <v>1350</v>
      </c>
      <c r="H223" s="59" t="n">
        <v>0</v>
      </c>
      <c r="J223" s="55"/>
      <c r="K223" s="55"/>
    </row>
    <row r="224" customFormat="false" ht="21.65" hidden="false" customHeight="true" outlineLevel="0" collapsed="false">
      <c r="A224" s="1" t="n">
        <v>30</v>
      </c>
      <c r="B224" s="31" t="n">
        <v>43040</v>
      </c>
      <c r="C224" s="9" t="n">
        <v>357074</v>
      </c>
      <c r="D224" s="59" t="s">
        <v>42</v>
      </c>
      <c r="E224" s="33" t="n">
        <f aca="false">IF(D224="totale",(C224/(A224*24))/F224,IF(D224="marché libre",(C224/(A224*24))/G224,"spécifier histo"))</f>
        <v>0.367360082304527</v>
      </c>
      <c r="F224" s="59" t="n">
        <v>1350</v>
      </c>
      <c r="G224" s="59" t="n">
        <f aca="false">F224-H224</f>
        <v>1350</v>
      </c>
      <c r="H224" s="59" t="n">
        <v>0</v>
      </c>
      <c r="J224" s="55"/>
      <c r="K224" s="55"/>
    </row>
    <row r="225" customFormat="false" ht="21.65" hidden="false" customHeight="true" outlineLevel="0" collapsed="false">
      <c r="A225" s="1" t="n">
        <v>31</v>
      </c>
      <c r="B225" s="174" t="n">
        <v>43070</v>
      </c>
      <c r="C225" s="9" t="n">
        <v>398421</v>
      </c>
      <c r="D225" s="59" t="s">
        <v>42</v>
      </c>
      <c r="E225" s="33" t="n">
        <f aca="false">IF(D225="totale",(C225/(A225*24))/F225,IF(D225="marché libre",(C225/(A225*24))/G225,"spécifier histo"))</f>
        <v>0.396675627240143</v>
      </c>
      <c r="F225" s="59" t="n">
        <v>1350</v>
      </c>
      <c r="G225" s="59" t="n">
        <f aca="false">F225-H225</f>
        <v>1350</v>
      </c>
      <c r="H225" s="59" t="n">
        <v>0</v>
      </c>
      <c r="J225" s="55"/>
      <c r="K225" s="55"/>
    </row>
    <row r="226" customFormat="false" ht="28.35" hidden="false" customHeight="true" outlineLevel="0" collapsed="false">
      <c r="J226" s="30"/>
      <c r="K226" s="30"/>
    </row>
    <row r="227" customFormat="false" ht="28.35" hidden="false" customHeight="true" outlineLevel="0" collapsed="false"/>
    <row r="228" customFormat="false" ht="28.35" hidden="false" customHeight="true" outlineLevel="0" collapsed="false"/>
    <row r="229" customFormat="false" ht="28.35" hidden="false" customHeight="true" outlineLevel="0" collapsed="false"/>
    <row r="230" customFormat="false" ht="28.35" hidden="false" customHeight="true" outlineLevel="0" collapsed="false"/>
    <row r="231" customFormat="false" ht="28.35" hidden="false" customHeight="true" outlineLevel="0" collapsed="false"/>
    <row r="232" customFormat="false" ht="28.35" hidden="false" customHeight="true" outlineLevel="0" collapsed="false"/>
    <row r="233" customFormat="false" ht="28.35" hidden="false" customHeight="true" outlineLevel="0" collapsed="false"/>
    <row r="234" customFormat="false" ht="28.35" hidden="false" customHeight="true" outlineLevel="0" collapsed="false"/>
    <row r="235" customFormat="false" ht="28.35" hidden="false" customHeight="true" outlineLevel="0" collapsed="false"/>
    <row r="236" customFormat="false" ht="28.35" hidden="false" customHeight="true" outlineLevel="0" collapsed="false"/>
    <row r="237" customFormat="false" ht="28.35" hidden="false" customHeight="true" outlineLevel="0" collapsed="false"/>
    <row r="238" customFormat="false" ht="28.35" hidden="false" customHeight="true" outlineLevel="0" collapsed="false"/>
    <row r="239" customFormat="false" ht="28.35" hidden="false" customHeight="true" outlineLevel="0" collapsed="false"/>
    <row r="240" customFormat="false" ht="28.35" hidden="false" customHeight="true" outlineLevel="0" collapsed="false"/>
    <row r="241" customFormat="false" ht="28.35" hidden="false" customHeight="true" outlineLevel="0" collapsed="false"/>
    <row r="242" customFormat="false" ht="28.35" hidden="false" customHeight="true" outlineLevel="0" collapsed="false"/>
  </sheetData>
  <mergeCells count="12">
    <mergeCell ref="B1:E2"/>
    <mergeCell ref="F1:O1"/>
    <mergeCell ref="F2:I2"/>
    <mergeCell ref="J2:L2"/>
    <mergeCell ref="M2:N2"/>
    <mergeCell ref="O2:O3"/>
    <mergeCell ref="U2:U3"/>
    <mergeCell ref="U4:W4"/>
    <mergeCell ref="C6:D6"/>
    <mergeCell ref="F6:F7"/>
    <mergeCell ref="G6:O7"/>
    <mergeCell ref="C7:D7"/>
  </mergeCells>
  <conditionalFormatting sqref="E164:E165 E10:E162 E167:E22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66">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63">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2.xml><?xml version="1.0" encoding="utf-8"?>
<worksheet xmlns="http://schemas.openxmlformats.org/spreadsheetml/2006/main" xmlns:r="http://schemas.openxmlformats.org/officeDocument/2006/relationships">
  <sheetPr filterMode="false">
    <tabColor rgb="FF00CC33"/>
    <pageSetUpPr fitToPage="false"/>
  </sheetPr>
  <dimension ref="A1:Z21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33" activePane="bottomRight" state="frozen"/>
      <selection pane="topLeft" activeCell="A1" activeCellId="0" sqref="A1"/>
      <selection pane="topRight" activeCell="B1" activeCellId="0" sqref="B1"/>
      <selection pane="bottomLeft" activeCell="A133" activeCellId="0" sqref="A133"/>
      <selection pane="bottomRight" activeCell="H10" activeCellId="0" sqref="H10"/>
    </sheetView>
  </sheetViews>
  <sheetFormatPr defaultRowHeight="12.8" zeroHeight="false" outlineLevelRow="0" outlineLevelCol="0"/>
  <cols>
    <col collapsed="false" customWidth="true" hidden="false" outlineLevel="0" max="1" min="1" style="1" width="4.17"/>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8.06"/>
    <col collapsed="false" customWidth="true" hidden="false" outlineLevel="0" max="7" min="6" style="1" width="14.66"/>
    <col collapsed="false" customWidth="true" hidden="false" outlineLevel="0" max="8" min="8" style="1" width="16.07"/>
    <col collapsed="false" customWidth="true" hidden="false" outlineLevel="0" max="9" min="9" style="1" width="23.93"/>
    <col collapsed="false" customWidth="true" hidden="false" outlineLevel="0" max="10" min="10" style="1" width="17.13"/>
    <col collapsed="false" customWidth="true" hidden="false" outlineLevel="0" max="11" min="11" style="1" width="14.66"/>
    <col collapsed="false" customWidth="true" hidden="false" outlineLevel="0" max="12" min="12" style="1" width="14.05"/>
    <col collapsed="false" customWidth="true" hidden="false" outlineLevel="0" max="13" min="13" style="1" width="22.09"/>
    <col collapsed="false" customWidth="false" hidden="false" outlineLevel="0" max="14" min="14" style="1" width="11.52"/>
    <col collapsed="false" customWidth="true" hidden="false" outlineLevel="0" max="15" min="15" style="1" width="10.19"/>
    <col collapsed="false" customWidth="true" hidden="false" outlineLevel="0" max="16" min="16" style="1" width="4.78"/>
    <col collapsed="false" customWidth="false" hidden="false" outlineLevel="0" max="17" min="17" style="1" width="11.52"/>
    <col collapsed="false" customWidth="true" hidden="false" outlineLevel="0" max="18" min="18" style="1" width="14.96"/>
    <col collapsed="false" customWidth="true" hidden="false" outlineLevel="0" max="19" min="19" style="1" width="7.71"/>
    <col collapsed="false" customWidth="false" hidden="false" outlineLevel="0" max="1025" min="20" style="1" width="11.52"/>
  </cols>
  <sheetData>
    <row r="1" customFormat="false" ht="30.8" hidden="false" customHeight="true" outlineLevel="0" collapsed="false">
      <c r="A1" s="122" t="s">
        <v>108</v>
      </c>
      <c r="B1" s="2" t="s">
        <v>0</v>
      </c>
      <c r="C1" s="2"/>
      <c r="D1" s="2"/>
      <c r="E1" s="2"/>
      <c r="F1" s="3" t="s">
        <v>1</v>
      </c>
      <c r="G1" s="3"/>
      <c r="H1" s="3"/>
      <c r="I1" s="3"/>
      <c r="J1" s="3"/>
      <c r="K1" s="3"/>
      <c r="L1" s="3"/>
      <c r="M1" s="3"/>
      <c r="N1" s="3"/>
      <c r="O1" s="3"/>
    </row>
    <row r="2" customFormat="false" ht="30.8" hidden="false" customHeight="true" outlineLevel="0" collapsed="false">
      <c r="A2" s="1" t="n">
        <v>1</v>
      </c>
      <c r="B2" s="2"/>
      <c r="C2" s="2"/>
      <c r="D2" s="2"/>
      <c r="E2" s="2"/>
      <c r="F2" s="3" t="s">
        <v>2</v>
      </c>
      <c r="G2" s="3"/>
      <c r="H2" s="3"/>
      <c r="I2" s="3"/>
      <c r="J2" s="3" t="s">
        <v>3</v>
      </c>
      <c r="K2" s="3"/>
      <c r="L2" s="3"/>
      <c r="M2" s="3" t="s">
        <v>4</v>
      </c>
      <c r="N2" s="3"/>
      <c r="O2" s="3" t="s">
        <v>5</v>
      </c>
      <c r="Q2" s="4"/>
      <c r="R2" s="5" t="s">
        <v>6</v>
      </c>
      <c r="T2" s="6"/>
      <c r="U2" s="7" t="s">
        <v>7</v>
      </c>
      <c r="V2" s="9"/>
      <c r="W2" s="9"/>
    </row>
    <row r="3" customFormat="false" ht="42.45" hidden="false" customHeight="true" outlineLevel="0" collapsed="false">
      <c r="B3" s="10" t="s">
        <v>9</v>
      </c>
      <c r="C3" s="10" t="s">
        <v>10</v>
      </c>
      <c r="D3" s="10" t="s">
        <v>11</v>
      </c>
      <c r="E3" s="11" t="s">
        <v>12</v>
      </c>
      <c r="F3" s="10" t="s">
        <v>13</v>
      </c>
      <c r="G3" s="10" t="s">
        <v>14</v>
      </c>
      <c r="H3" s="10" t="s">
        <v>15</v>
      </c>
      <c r="I3" s="10" t="s">
        <v>16</v>
      </c>
      <c r="J3" s="175" t="s">
        <v>130</v>
      </c>
      <c r="K3" s="10" t="s">
        <v>91</v>
      </c>
      <c r="L3" s="10" t="s">
        <v>18</v>
      </c>
      <c r="M3" s="10" t="s">
        <v>19</v>
      </c>
      <c r="N3" s="10" t="s">
        <v>17</v>
      </c>
      <c r="O3" s="3"/>
      <c r="Q3" s="12"/>
      <c r="R3" s="5" t="s">
        <v>20</v>
      </c>
      <c r="T3" s="13"/>
      <c r="U3" s="7" t="s">
        <v>21</v>
      </c>
      <c r="V3" s="9"/>
      <c r="W3" s="9"/>
    </row>
    <row r="4" customFormat="false" ht="45.8" hidden="false" customHeight="true" outlineLevel="0" collapsed="false">
      <c r="B4" s="16" t="s">
        <v>141</v>
      </c>
      <c r="C4" s="16" t="n">
        <v>31115</v>
      </c>
      <c r="D4" s="5" t="s">
        <v>142</v>
      </c>
      <c r="E4" s="14" t="s">
        <v>143</v>
      </c>
      <c r="F4" s="15" t="n">
        <v>3040</v>
      </c>
      <c r="G4" s="15" t="n">
        <v>2340</v>
      </c>
      <c r="H4" s="15" t="n">
        <v>2340</v>
      </c>
      <c r="I4" s="16" t="s">
        <v>144</v>
      </c>
      <c r="J4" s="18" t="n">
        <v>2340</v>
      </c>
      <c r="K4" s="15" t="n">
        <v>2730</v>
      </c>
      <c r="L4" s="5" t="s">
        <v>145</v>
      </c>
      <c r="M4" s="5" t="s">
        <v>145</v>
      </c>
      <c r="N4" s="5" t="s">
        <v>145</v>
      </c>
      <c r="O4" s="4"/>
      <c r="Q4" s="17"/>
      <c r="R4" s="16" t="s">
        <v>23</v>
      </c>
      <c r="T4" s="18"/>
      <c r="U4" s="19" t="s">
        <v>24</v>
      </c>
      <c r="V4" s="19"/>
      <c r="W4" s="19"/>
    </row>
    <row r="5" customFormat="false" ht="28.35" hidden="false" customHeight="true" outlineLevel="0" collapsed="false">
      <c r="G5" s="9"/>
      <c r="H5" s="9"/>
      <c r="I5" s="9"/>
      <c r="L5" s="9"/>
      <c r="Q5" s="9"/>
      <c r="R5" s="9"/>
    </row>
    <row r="6" customFormat="false" ht="64.15" hidden="false" customHeight="true" outlineLevel="0" collapsed="false">
      <c r="B6" s="0"/>
      <c r="C6" s="10" t="s">
        <v>25</v>
      </c>
      <c r="D6" s="10"/>
      <c r="F6" s="20" t="s">
        <v>26</v>
      </c>
      <c r="G6" s="15" t="s">
        <v>146</v>
      </c>
      <c r="H6" s="15"/>
      <c r="I6" s="15"/>
      <c r="J6" s="15"/>
      <c r="K6" s="15"/>
      <c r="L6" s="15"/>
      <c r="M6" s="15"/>
      <c r="N6" s="15"/>
      <c r="O6" s="15"/>
      <c r="P6" s="0"/>
      <c r="Q6" s="21" t="n">
        <v>41640</v>
      </c>
      <c r="R6" s="19" t="s">
        <v>27</v>
      </c>
      <c r="S6" s="9"/>
      <c r="T6" s="22"/>
      <c r="U6" s="5" t="s">
        <v>28</v>
      </c>
    </row>
    <row r="7" customFormat="false" ht="66.9" hidden="false" customHeight="true" outlineLevel="0" collapsed="false">
      <c r="B7" s="0"/>
      <c r="C7" s="23" t="s">
        <v>147</v>
      </c>
      <c r="D7" s="23"/>
      <c r="F7" s="20"/>
      <c r="G7" s="15" t="s">
        <v>148</v>
      </c>
      <c r="H7" s="15"/>
      <c r="I7" s="15"/>
      <c r="J7" s="15"/>
      <c r="K7" s="15"/>
      <c r="L7" s="15"/>
      <c r="M7" s="15"/>
      <c r="N7" s="15"/>
      <c r="O7" s="15"/>
      <c r="P7" s="0"/>
      <c r="Q7" s="24"/>
      <c r="R7" s="5" t="s">
        <v>29</v>
      </c>
      <c r="S7" s="9"/>
      <c r="T7" s="25"/>
      <c r="U7" s="5" t="s">
        <v>30</v>
      </c>
    </row>
    <row r="8" customFormat="false" ht="34.95" hidden="false" customHeight="true" outlineLevel="0" collapsed="false">
      <c r="C8" s="0"/>
      <c r="F8" s="9"/>
      <c r="G8" s="9"/>
      <c r="H8" s="9"/>
      <c r="J8" s="9"/>
      <c r="K8" s="9"/>
      <c r="S8" s="9"/>
      <c r="T8" s="27"/>
      <c r="U8" s="16" t="s">
        <v>31</v>
      </c>
    </row>
    <row r="9" customFormat="false" ht="38.8" hidden="false" customHeight="true" outlineLevel="0" collapsed="false">
      <c r="B9" s="9" t="s">
        <v>32</v>
      </c>
      <c r="C9" s="1" t="s">
        <v>33</v>
      </c>
      <c r="D9" s="0"/>
      <c r="E9" s="1" t="s">
        <v>35</v>
      </c>
      <c r="F9" s="9" t="s">
        <v>97</v>
      </c>
      <c r="G9" s="9" t="s">
        <v>37</v>
      </c>
      <c r="H9" s="9" t="s">
        <v>38</v>
      </c>
      <c r="I9" s="9" t="s">
        <v>39</v>
      </c>
      <c r="J9" s="30" t="s">
        <v>40</v>
      </c>
      <c r="K9" s="30"/>
    </row>
    <row r="10" customFormat="false" ht="25.35" hidden="false" customHeight="true" outlineLevel="0" collapsed="false">
      <c r="A10" s="1" t="n">
        <v>31</v>
      </c>
      <c r="B10" s="31" t="n">
        <v>37257</v>
      </c>
      <c r="C10" s="56" t="n">
        <v>1291761</v>
      </c>
      <c r="D10" s="26" t="s">
        <v>41</v>
      </c>
      <c r="E10" s="33" t="n">
        <f aca="false">IF(D10="totale",(C10/(A10*24))/F10,IF(D10="marché libre",(C10/(A10*24))/G10,"spécifier histo"))</f>
        <v>0.741982009925558</v>
      </c>
      <c r="F10" s="59" t="n">
        <v>2340</v>
      </c>
      <c r="G10" s="57" t="n">
        <f aca="false">F10-H10</f>
        <v>0</v>
      </c>
      <c r="H10" s="59" t="n">
        <v>2340</v>
      </c>
      <c r="I10" s="9"/>
      <c r="J10" s="0"/>
      <c r="K10" s="0" t="s">
        <v>149</v>
      </c>
      <c r="L10" s="0"/>
      <c r="M10" s="0"/>
      <c r="N10" s="0"/>
      <c r="O10" s="0"/>
      <c r="P10" s="0"/>
      <c r="Q10" s="0"/>
    </row>
    <row r="11" customFormat="false" ht="25.35" hidden="false" customHeight="true" outlineLevel="0" collapsed="false">
      <c r="A11" s="1" t="n">
        <v>28</v>
      </c>
      <c r="B11" s="34" t="n">
        <v>37288</v>
      </c>
      <c r="C11" s="56" t="n">
        <v>1531609</v>
      </c>
      <c r="D11" s="26" t="s">
        <v>41</v>
      </c>
      <c r="E11" s="33" t="n">
        <f aca="false">IF(D11="totale",(C11/(A11*24))/F11,IF(D11="marché libre",(C11/(A11*24))/G11,"spécifier histo"))</f>
        <v>0.974008572446073</v>
      </c>
      <c r="F11" s="59" t="n">
        <v>2340</v>
      </c>
      <c r="G11" s="57" t="n">
        <f aca="false">F11-H11</f>
        <v>0</v>
      </c>
      <c r="H11" s="59" t="n">
        <v>2340</v>
      </c>
      <c r="I11" s="9"/>
      <c r="J11" s="0"/>
      <c r="K11" s="176" t="s">
        <v>150</v>
      </c>
      <c r="L11" s="0"/>
      <c r="M11" s="0"/>
      <c r="N11" s="0"/>
      <c r="O11" s="0"/>
      <c r="P11" s="0"/>
      <c r="Q11" s="0"/>
      <c r="R11" s="117"/>
    </row>
    <row r="12" customFormat="false" ht="25.35" hidden="false" customHeight="true" outlineLevel="0" collapsed="false">
      <c r="A12" s="1" t="n">
        <v>31</v>
      </c>
      <c r="B12" s="31" t="n">
        <v>37316</v>
      </c>
      <c r="C12" s="56" t="n">
        <v>1698942</v>
      </c>
      <c r="D12" s="26" t="s">
        <v>41</v>
      </c>
      <c r="E12" s="33" t="n">
        <f aca="false">IF(D12="totale",(C12/(A12*24))/F12,IF(D12="marché libre",(C12/(A12*24))/G12,"spécifier histo"))</f>
        <v>0.975865039977943</v>
      </c>
      <c r="F12" s="59" t="n">
        <v>2340</v>
      </c>
      <c r="G12" s="57" t="n">
        <f aca="false">F12-H12</f>
        <v>0</v>
      </c>
      <c r="H12" s="59" t="n">
        <v>2340</v>
      </c>
      <c r="I12" s="9"/>
      <c r="J12" s="0"/>
      <c r="K12" s="177" t="s">
        <v>151</v>
      </c>
      <c r="L12" s="0"/>
      <c r="M12" s="0"/>
      <c r="N12" s="0"/>
      <c r="O12" s="0"/>
      <c r="P12" s="0"/>
      <c r="Q12" s="0"/>
    </row>
    <row r="13" customFormat="false" ht="25.35" hidden="false" customHeight="true" outlineLevel="0" collapsed="false">
      <c r="A13" s="1" t="n">
        <v>30</v>
      </c>
      <c r="B13" s="34" t="n">
        <v>37347</v>
      </c>
      <c r="C13" s="56" t="n">
        <v>648982</v>
      </c>
      <c r="D13" s="26" t="s">
        <v>41</v>
      </c>
      <c r="E13" s="33" t="n">
        <f aca="false">IF(D13="totale",(C13/(A13*24))/F13,IF(D13="marché libre",(C13/(A13*24))/G13,"spécifier histo"))</f>
        <v>0.38519824311491</v>
      </c>
      <c r="F13" s="59" t="n">
        <v>2340</v>
      </c>
      <c r="G13" s="57" t="n">
        <f aca="false">F13-H13</f>
        <v>0</v>
      </c>
      <c r="H13" s="59" t="n">
        <v>2340</v>
      </c>
      <c r="I13" s="9"/>
      <c r="J13" s="0"/>
      <c r="K13" s="177" t="s">
        <v>152</v>
      </c>
      <c r="L13" s="0"/>
      <c r="M13" s="0"/>
      <c r="N13" s="0"/>
      <c r="O13" s="0"/>
      <c r="P13" s="0"/>
      <c r="Q13" s="0"/>
    </row>
    <row r="14" customFormat="false" ht="25.35" hidden="false" customHeight="true" outlineLevel="0" collapsed="false">
      <c r="A14" s="1" t="n">
        <v>31</v>
      </c>
      <c r="B14" s="31" t="n">
        <v>37377</v>
      </c>
      <c r="C14" s="56" t="n">
        <v>1555051</v>
      </c>
      <c r="D14" s="26" t="s">
        <v>41</v>
      </c>
      <c r="E14" s="33" t="n">
        <f aca="false">IF(D14="totale",(C14/(A14*24))/F14,IF(D14="marché libre",(C14/(A14*24))/G14,"spécifier histo"))</f>
        <v>0.89321466317434</v>
      </c>
      <c r="F14" s="59" t="n">
        <v>2340</v>
      </c>
      <c r="G14" s="57" t="n">
        <f aca="false">F14-H14</f>
        <v>0</v>
      </c>
      <c r="H14" s="59" t="n">
        <v>2340</v>
      </c>
      <c r="I14" s="9"/>
      <c r="J14" s="0"/>
      <c r="K14" s="177" t="s">
        <v>153</v>
      </c>
      <c r="L14" s="0"/>
      <c r="M14" s="0"/>
      <c r="N14" s="0"/>
      <c r="O14" s="0"/>
      <c r="P14" s="0"/>
      <c r="Q14" s="0"/>
    </row>
    <row r="15" customFormat="false" ht="25.35" hidden="false" customHeight="true" outlineLevel="0" collapsed="false">
      <c r="A15" s="1" t="n">
        <v>30</v>
      </c>
      <c r="B15" s="34" t="n">
        <v>37408</v>
      </c>
      <c r="C15" s="56" t="n">
        <v>752817</v>
      </c>
      <c r="D15" s="26" t="s">
        <v>41</v>
      </c>
      <c r="E15" s="33" t="n">
        <f aca="false">IF(D15="totale",(C15/(A15*24))/F15,IF(D15="marché libre",(C15/(A15*24))/G15,"spécifier histo"))</f>
        <v>0.446828703703704</v>
      </c>
      <c r="F15" s="59" t="n">
        <v>2340</v>
      </c>
      <c r="G15" s="57" t="n">
        <f aca="false">F15-H15</f>
        <v>0</v>
      </c>
      <c r="H15" s="59" t="n">
        <v>2340</v>
      </c>
      <c r="I15" s="9"/>
      <c r="J15" s="0"/>
      <c r="K15" s="177" t="s">
        <v>154</v>
      </c>
      <c r="L15" s="0"/>
      <c r="M15" s="0"/>
      <c r="N15" s="0"/>
      <c r="O15" s="0"/>
      <c r="P15" s="0"/>
      <c r="Q15" s="0"/>
    </row>
    <row r="16" customFormat="false" ht="25.35" hidden="false" customHeight="true" outlineLevel="0" collapsed="false">
      <c r="A16" s="1" t="n">
        <v>31</v>
      </c>
      <c r="B16" s="31" t="n">
        <v>37438</v>
      </c>
      <c r="C16" s="56" t="n">
        <v>603939</v>
      </c>
      <c r="D16" s="26" t="s">
        <v>41</v>
      </c>
      <c r="E16" s="33" t="n">
        <f aca="false">IF(D16="totale",(C16/(A16*24))/F16,IF(D16="marché libre",(C16/(A16*24))/G16,"spécifier histo"))</f>
        <v>0.346899986214502</v>
      </c>
      <c r="F16" s="59" t="n">
        <v>2340</v>
      </c>
      <c r="G16" s="57" t="n">
        <f aca="false">F16-H16</f>
        <v>0</v>
      </c>
      <c r="H16" s="59" t="n">
        <v>2340</v>
      </c>
      <c r="I16" s="9"/>
      <c r="J16" s="0"/>
      <c r="K16" s="177" t="s">
        <v>155</v>
      </c>
      <c r="P16" s="0"/>
    </row>
    <row r="17" customFormat="false" ht="25.35" hidden="false" customHeight="true" outlineLevel="0" collapsed="false">
      <c r="A17" s="1" t="n">
        <v>31</v>
      </c>
      <c r="B17" s="34" t="n">
        <v>37469</v>
      </c>
      <c r="C17" s="56" t="n">
        <v>1005852</v>
      </c>
      <c r="D17" s="26" t="s">
        <v>41</v>
      </c>
      <c r="E17" s="33" t="n">
        <f aca="false">IF(D17="totale",(C17/(A17*24))/F17,IF(D17="marché libre",(C17/(A17*24))/G17,"spécifier histo"))</f>
        <v>0.577757099531293</v>
      </c>
      <c r="F17" s="59" t="n">
        <v>2340</v>
      </c>
      <c r="G17" s="57" t="n">
        <f aca="false">F17-H17</f>
        <v>0</v>
      </c>
      <c r="H17" s="59" t="n">
        <v>2340</v>
      </c>
      <c r="I17" s="9"/>
      <c r="J17" s="0"/>
      <c r="K17" s="177" t="s">
        <v>156</v>
      </c>
      <c r="P17" s="0"/>
    </row>
    <row r="18" customFormat="false" ht="25.35" hidden="false" customHeight="true" outlineLevel="0" collapsed="false">
      <c r="A18" s="1" t="n">
        <v>30</v>
      </c>
      <c r="B18" s="31" t="n">
        <v>37500</v>
      </c>
      <c r="C18" s="56" t="n">
        <v>813839</v>
      </c>
      <c r="D18" s="26" t="s">
        <v>41</v>
      </c>
      <c r="E18" s="33" t="n">
        <f aca="false">IF(D18="totale",(C18/(A18*24))/F18,IF(D18="marché libre",(C18/(A18*24))/G18,"spécifier histo"))</f>
        <v>0.483047839506173</v>
      </c>
      <c r="F18" s="59" t="n">
        <v>2340</v>
      </c>
      <c r="G18" s="57" t="n">
        <f aca="false">F18-H18</f>
        <v>0</v>
      </c>
      <c r="H18" s="59" t="n">
        <v>2340</v>
      </c>
      <c r="I18" s="9"/>
      <c r="J18" s="0"/>
      <c r="K18" s="177" t="s">
        <v>157</v>
      </c>
      <c r="P18" s="0"/>
    </row>
    <row r="19" customFormat="false" ht="25.35" hidden="false" customHeight="true" outlineLevel="0" collapsed="false">
      <c r="A19" s="1" t="n">
        <v>31</v>
      </c>
      <c r="B19" s="34" t="n">
        <v>37530</v>
      </c>
      <c r="C19" s="56" t="n">
        <v>1341170</v>
      </c>
      <c r="D19" s="26" t="s">
        <v>41</v>
      </c>
      <c r="E19" s="33" t="n">
        <f aca="false">IF(D19="totale",(C19/(A19*24))/F19,IF(D19="marché libre",(C19/(A19*24))/G19,"spécifier histo"))</f>
        <v>0.770362328830071</v>
      </c>
      <c r="F19" s="59" t="n">
        <v>2340</v>
      </c>
      <c r="G19" s="57" t="n">
        <f aca="false">F19-H19</f>
        <v>0</v>
      </c>
      <c r="H19" s="59" t="n">
        <v>2340</v>
      </c>
      <c r="I19" s="9"/>
      <c r="J19" s="30"/>
      <c r="K19" s="0"/>
      <c r="P19" s="0"/>
    </row>
    <row r="20" customFormat="false" ht="25.35" hidden="false" customHeight="true" outlineLevel="0" collapsed="false">
      <c r="A20" s="1" t="n">
        <v>30</v>
      </c>
      <c r="B20" s="31" t="n">
        <v>37561</v>
      </c>
      <c r="C20" s="56" t="n">
        <v>1461238</v>
      </c>
      <c r="D20" s="26" t="s">
        <v>41</v>
      </c>
      <c r="E20" s="33" t="n">
        <f aca="false">IF(D20="totale",(C20/(A20*24))/F20,IF(D20="marché libre",(C20/(A20*24))/G20,"spécifier histo"))</f>
        <v>0.867306505223172</v>
      </c>
      <c r="F20" s="59" t="n">
        <v>2340</v>
      </c>
      <c r="G20" s="57" t="n">
        <f aca="false">F20-H20</f>
        <v>0</v>
      </c>
      <c r="H20" s="59" t="n">
        <v>2340</v>
      </c>
      <c r="I20" s="9"/>
      <c r="J20" s="30"/>
      <c r="K20" s="0"/>
      <c r="P20" s="0"/>
    </row>
    <row r="21" customFormat="false" ht="25.35" hidden="false" customHeight="true" outlineLevel="0" collapsed="false">
      <c r="A21" s="1" t="n">
        <v>31</v>
      </c>
      <c r="B21" s="34" t="n">
        <v>37591</v>
      </c>
      <c r="C21" s="56" t="n">
        <v>1914867</v>
      </c>
      <c r="D21" s="26" t="s">
        <v>41</v>
      </c>
      <c r="E21" s="33" t="n">
        <f aca="false">IF(D21="totale",(C21/(A21*24))/F21,IF(D21="marché libre",(C21/(A21*24))/G21,"spécifier histo"))</f>
        <v>1.09989143920596</v>
      </c>
      <c r="F21" s="59" t="n">
        <v>2340</v>
      </c>
      <c r="G21" s="57" t="n">
        <f aca="false">F21-H21</f>
        <v>0</v>
      </c>
      <c r="H21" s="59" t="n">
        <v>2340</v>
      </c>
      <c r="I21" s="9"/>
      <c r="J21" s="30"/>
      <c r="K21" s="0"/>
      <c r="P21" s="0"/>
    </row>
    <row r="22" customFormat="false" ht="23.05" hidden="false" customHeight="true" outlineLevel="0" collapsed="false">
      <c r="A22" s="1" t="n">
        <v>31</v>
      </c>
      <c r="B22" s="31" t="n">
        <v>37622</v>
      </c>
      <c r="C22" s="56" t="n">
        <v>1715014</v>
      </c>
      <c r="D22" s="26" t="s">
        <v>41</v>
      </c>
      <c r="E22" s="33" t="n">
        <f aca="false">IF(D22="totale",(C22/(A22*24))/F22,IF(D22="marché libre",(C22/(A22*24))/G22,"spécifier histo"))</f>
        <v>0.985096728241889</v>
      </c>
      <c r="F22" s="59" t="n">
        <v>2340</v>
      </c>
      <c r="G22" s="57" t="n">
        <f aca="false">F22-H22</f>
        <v>0</v>
      </c>
      <c r="H22" s="59" t="n">
        <v>2340</v>
      </c>
      <c r="I22" s="9"/>
      <c r="J22" s="30"/>
      <c r="K22" s="0"/>
      <c r="P22" s="0"/>
    </row>
    <row r="23" customFormat="false" ht="23.05" hidden="false" customHeight="true" outlineLevel="0" collapsed="false">
      <c r="A23" s="1" t="n">
        <v>28</v>
      </c>
      <c r="B23" s="34" t="n">
        <v>37653</v>
      </c>
      <c r="C23" s="56" t="n">
        <v>1274996</v>
      </c>
      <c r="D23" s="26" t="s">
        <v>41</v>
      </c>
      <c r="E23" s="33" t="n">
        <f aca="false">IF(D23="totale",(C23/(A23*24))/F23,IF(D23="marché libre",(C23/(A23*24))/G23,"spécifier histo"))</f>
        <v>0.81081857956858</v>
      </c>
      <c r="F23" s="59" t="n">
        <v>2340</v>
      </c>
      <c r="G23" s="57" t="n">
        <f aca="false">F23-H23</f>
        <v>0</v>
      </c>
      <c r="H23" s="59" t="n">
        <v>2340</v>
      </c>
      <c r="I23" s="9"/>
      <c r="J23" s="30"/>
      <c r="K23" s="0"/>
      <c r="P23" s="0"/>
    </row>
    <row r="24" customFormat="false" ht="23.05" hidden="false" customHeight="true" outlineLevel="0" collapsed="false">
      <c r="A24" s="1" t="n">
        <v>31</v>
      </c>
      <c r="B24" s="31" t="n">
        <v>37681</v>
      </c>
      <c r="C24" s="56" t="n">
        <v>1472696</v>
      </c>
      <c r="D24" s="26" t="s">
        <v>41</v>
      </c>
      <c r="E24" s="33" t="n">
        <f aca="false">IF(D24="totale",(C24/(A24*24))/F24,IF(D24="marché libre",(C24/(A24*24))/G24,"spécifier histo"))</f>
        <v>0.845910302361915</v>
      </c>
      <c r="F24" s="59" t="n">
        <v>2340</v>
      </c>
      <c r="G24" s="57" t="n">
        <f aca="false">F24-H24</f>
        <v>0</v>
      </c>
      <c r="H24" s="59" t="n">
        <v>2340</v>
      </c>
      <c r="I24" s="9"/>
      <c r="J24" s="30"/>
      <c r="K24" s="0"/>
      <c r="L24" s="0"/>
      <c r="P24" s="0"/>
    </row>
    <row r="25" customFormat="false" ht="23.05" hidden="false" customHeight="true" outlineLevel="0" collapsed="false">
      <c r="A25" s="1" t="n">
        <v>30</v>
      </c>
      <c r="B25" s="34" t="n">
        <v>37712</v>
      </c>
      <c r="C25" s="56" t="n">
        <v>675906</v>
      </c>
      <c r="D25" s="26" t="s">
        <v>41</v>
      </c>
      <c r="E25" s="33" t="n">
        <f aca="false">IF(D25="totale",(C25/(A25*24))/F25,IF(D25="marché libre",(C25/(A25*24))/G25,"spécifier histo"))</f>
        <v>0.401178774928775</v>
      </c>
      <c r="F25" s="59" t="n">
        <v>2340</v>
      </c>
      <c r="G25" s="57" t="n">
        <f aca="false">F25-H25</f>
        <v>0</v>
      </c>
      <c r="H25" s="59" t="n">
        <v>2340</v>
      </c>
      <c r="I25" s="9"/>
      <c r="J25" s="30"/>
      <c r="K25" s="0"/>
      <c r="L25" s="0"/>
      <c r="M25" s="0"/>
    </row>
    <row r="26" customFormat="false" ht="23.05" hidden="false" customHeight="true" outlineLevel="0" collapsed="false">
      <c r="A26" s="1" t="n">
        <v>31</v>
      </c>
      <c r="B26" s="31" t="n">
        <v>37742</v>
      </c>
      <c r="C26" s="56" t="n">
        <v>513670</v>
      </c>
      <c r="D26" s="26" t="s">
        <v>41</v>
      </c>
      <c r="E26" s="33" t="n">
        <f aca="false">IF(D26="totale",(C26/(A26*24))/F26,IF(D26="marché libre",(C26/(A26*24))/G26,"spécifier histo"))</f>
        <v>0.295049857549857</v>
      </c>
      <c r="F26" s="59" t="n">
        <v>2340</v>
      </c>
      <c r="G26" s="57" t="n">
        <f aca="false">F26-H26</f>
        <v>0</v>
      </c>
      <c r="H26" s="59" t="n">
        <v>2340</v>
      </c>
      <c r="I26" s="9"/>
      <c r="J26" s="30"/>
      <c r="K26" s="0"/>
      <c r="L26" s="0"/>
    </row>
    <row r="27" customFormat="false" ht="23.05" hidden="false" customHeight="true" outlineLevel="0" collapsed="false">
      <c r="A27" s="1" t="n">
        <v>30</v>
      </c>
      <c r="B27" s="34" t="n">
        <v>37773</v>
      </c>
      <c r="C27" s="56" t="n">
        <v>465752</v>
      </c>
      <c r="D27" s="26" t="s">
        <v>41</v>
      </c>
      <c r="E27" s="33" t="n">
        <f aca="false">IF(D27="totale",(C27/(A27*24))/F27,IF(D27="marché libre",(C27/(A27*24))/G27,"spécifier histo"))</f>
        <v>0.276443494776828</v>
      </c>
      <c r="F27" s="59" t="n">
        <v>2340</v>
      </c>
      <c r="G27" s="57" t="n">
        <f aca="false">F27-H27</f>
        <v>0</v>
      </c>
      <c r="H27" s="59" t="n">
        <v>2340</v>
      </c>
      <c r="I27" s="9"/>
      <c r="J27" s="30"/>
      <c r="K27" s="0"/>
      <c r="L27" s="0"/>
    </row>
    <row r="28" customFormat="false" ht="23.05" hidden="false" customHeight="true" outlineLevel="0" collapsed="false">
      <c r="A28" s="1" t="n">
        <v>31</v>
      </c>
      <c r="B28" s="31" t="n">
        <v>37803</v>
      </c>
      <c r="C28" s="56" t="n">
        <v>220296</v>
      </c>
      <c r="D28" s="26" t="s">
        <v>41</v>
      </c>
      <c r="E28" s="33" t="n">
        <f aca="false">IF(D28="totale",(C28/(A28*24))/F28,IF(D28="marché libre",(C28/(A28*24))/G28,"spécifier histo"))</f>
        <v>0.126537082988696</v>
      </c>
      <c r="F28" s="59" t="n">
        <v>2340</v>
      </c>
      <c r="G28" s="57" t="n">
        <f aca="false">F28-H28</f>
        <v>0</v>
      </c>
      <c r="H28" s="59" t="n">
        <v>2340</v>
      </c>
      <c r="I28" s="9"/>
      <c r="J28" s="30"/>
      <c r="K28" s="0"/>
      <c r="L28" s="0"/>
    </row>
    <row r="29" customFormat="false" ht="23.05" hidden="false" customHeight="true" outlineLevel="0" collapsed="false">
      <c r="A29" s="1" t="n">
        <v>31</v>
      </c>
      <c r="B29" s="34" t="n">
        <v>37834</v>
      </c>
      <c r="C29" s="56" t="n">
        <v>158789</v>
      </c>
      <c r="D29" s="26" t="s">
        <v>41</v>
      </c>
      <c r="E29" s="33" t="n">
        <f aca="false">IF(D29="totale",(C29/(A29*24))/F29,IF(D29="marché libre",(C29/(A29*24))/G29,"spécifier histo"))</f>
        <v>0.0912077244738535</v>
      </c>
      <c r="F29" s="59" t="n">
        <v>2340</v>
      </c>
      <c r="G29" s="57" t="n">
        <f aca="false">F29-H29</f>
        <v>0</v>
      </c>
      <c r="H29" s="59" t="n">
        <v>2340</v>
      </c>
      <c r="I29" s="9"/>
      <c r="J29" s="30"/>
      <c r="K29" s="0"/>
      <c r="L29" s="0"/>
    </row>
    <row r="30" customFormat="false" ht="23.05" hidden="false" customHeight="true" outlineLevel="0" collapsed="false">
      <c r="A30" s="1" t="n">
        <v>30</v>
      </c>
      <c r="B30" s="31" t="n">
        <v>37865</v>
      </c>
      <c r="C30" s="56" t="n">
        <v>186550</v>
      </c>
      <c r="D30" s="26" t="s">
        <v>41</v>
      </c>
      <c r="E30" s="33" t="n">
        <f aca="false">IF(D30="totale",(C30/(A30*24))/F30,IF(D30="marché libre",(C30/(A30*24))/G30,"spécifier histo"))</f>
        <v>0.110725308641975</v>
      </c>
      <c r="F30" s="59" t="n">
        <v>2340</v>
      </c>
      <c r="G30" s="57" t="n">
        <f aca="false">F30-H30</f>
        <v>0</v>
      </c>
      <c r="H30" s="59" t="n">
        <v>2340</v>
      </c>
      <c r="I30" s="9"/>
      <c r="J30" s="30"/>
      <c r="K30" s="0"/>
      <c r="L30" s="0"/>
    </row>
    <row r="31" customFormat="false" ht="23.05" hidden="false" customHeight="true" outlineLevel="0" collapsed="false">
      <c r="A31" s="1" t="n">
        <v>31</v>
      </c>
      <c r="B31" s="34" t="n">
        <v>37895</v>
      </c>
      <c r="C31" s="56" t="n">
        <v>1272172</v>
      </c>
      <c r="D31" s="26" t="s">
        <v>41</v>
      </c>
      <c r="E31" s="33" t="n">
        <f aca="false">IF(D31="totale",(C31/(A31*24))/F31,IF(D31="marché libre",(C31/(A31*24))/G31,"spécifier histo"))</f>
        <v>0.730730171859204</v>
      </c>
      <c r="F31" s="59" t="n">
        <v>2340</v>
      </c>
      <c r="G31" s="57" t="n">
        <f aca="false">F31-H31</f>
        <v>0</v>
      </c>
      <c r="H31" s="59" t="n">
        <v>2340</v>
      </c>
      <c r="I31" s="9"/>
      <c r="J31" s="30"/>
      <c r="K31" s="0"/>
      <c r="L31" s="0"/>
    </row>
    <row r="32" customFormat="false" ht="23.05" hidden="false" customHeight="true" outlineLevel="0" collapsed="false">
      <c r="A32" s="1" t="n">
        <v>30</v>
      </c>
      <c r="B32" s="31" t="n">
        <v>37926</v>
      </c>
      <c r="C32" s="56" t="n">
        <v>1175931</v>
      </c>
      <c r="D32" s="26" t="s">
        <v>41</v>
      </c>
      <c r="E32" s="33" t="n">
        <f aca="false">IF(D32="totale",(C32/(A32*24))/F32,IF(D32="marché libre",(C32/(A32*24))/G32,"spécifier histo"))</f>
        <v>0.697964743589744</v>
      </c>
      <c r="F32" s="59" t="n">
        <v>2340</v>
      </c>
      <c r="G32" s="57" t="n">
        <f aca="false">F32-H32</f>
        <v>0</v>
      </c>
      <c r="H32" s="59" t="n">
        <v>2340</v>
      </c>
      <c r="I32" s="9"/>
      <c r="J32" s="30"/>
      <c r="K32" s="0"/>
      <c r="L32" s="0"/>
    </row>
    <row r="33" customFormat="false" ht="23.05" hidden="false" customHeight="true" outlineLevel="0" collapsed="false">
      <c r="A33" s="1" t="n">
        <v>31</v>
      </c>
      <c r="B33" s="34" t="n">
        <v>37956</v>
      </c>
      <c r="C33" s="56" t="n">
        <v>1386058</v>
      </c>
      <c r="D33" s="26" t="s">
        <v>41</v>
      </c>
      <c r="E33" s="33" t="n">
        <f aca="false">IF(D33="totale",(C33/(A33*24))/F33,IF(D33="marché libre",(C33/(A33*24))/G33,"spécifier histo"))</f>
        <v>0.796145804613547</v>
      </c>
      <c r="F33" s="59" t="n">
        <v>2340</v>
      </c>
      <c r="G33" s="57" t="n">
        <f aca="false">F33-H33</f>
        <v>0</v>
      </c>
      <c r="H33" s="59" t="n">
        <v>2340</v>
      </c>
      <c r="I33" s="9"/>
      <c r="J33" s="30"/>
      <c r="K33" s="0"/>
      <c r="L33" s="0"/>
    </row>
    <row r="34" customFormat="false" ht="32.3" hidden="false" customHeight="true" outlineLevel="0" collapsed="false">
      <c r="A34" s="1" t="n">
        <v>31</v>
      </c>
      <c r="B34" s="31" t="n">
        <v>37987</v>
      </c>
      <c r="C34" s="56" t="n">
        <v>1510757</v>
      </c>
      <c r="D34" s="26" t="s">
        <v>41</v>
      </c>
      <c r="E34" s="33" t="n">
        <f aca="false">IF(D34="totale",(C34/(A34*24))/F34,IF(D34="marché libre",(C34/(A34*24))/G34,"spécifier histo"))</f>
        <v>0.867772378457862</v>
      </c>
      <c r="F34" s="59" t="n">
        <v>2340</v>
      </c>
      <c r="G34" s="57" t="n">
        <f aca="false">F34-H34</f>
        <v>0</v>
      </c>
      <c r="H34" s="59" t="n">
        <v>2340</v>
      </c>
      <c r="I34" s="9"/>
      <c r="J34" s="30"/>
      <c r="K34" s="0"/>
      <c r="L34" s="0"/>
    </row>
    <row r="35" customFormat="false" ht="26.5" hidden="false" customHeight="true" outlineLevel="0" collapsed="false">
      <c r="A35" s="1" t="n">
        <v>28</v>
      </c>
      <c r="B35" s="34" t="n">
        <v>38018</v>
      </c>
      <c r="C35" s="56" t="n">
        <v>1501298</v>
      </c>
      <c r="D35" s="26" t="s">
        <v>41</v>
      </c>
      <c r="E35" s="33" t="n">
        <f aca="false">IF(D35="totale",(C35/(A35*24))/F35,IF(D35="marché libre",(C35/(A35*24))/G35,"spécifier histo"))</f>
        <v>0.954732651607652</v>
      </c>
      <c r="F35" s="59" t="n">
        <v>2340</v>
      </c>
      <c r="G35" s="57" t="n">
        <f aca="false">F35-H35</f>
        <v>0</v>
      </c>
      <c r="H35" s="59" t="n">
        <v>2340</v>
      </c>
      <c r="I35" s="9"/>
      <c r="J35" s="30"/>
      <c r="K35" s="30"/>
    </row>
    <row r="36" customFormat="false" ht="21.9" hidden="false" customHeight="true" outlineLevel="0" collapsed="false">
      <c r="A36" s="1" t="n">
        <v>31</v>
      </c>
      <c r="B36" s="31" t="n">
        <v>38047</v>
      </c>
      <c r="C36" s="56" t="n">
        <v>1642488</v>
      </c>
      <c r="D36" s="26" t="s">
        <v>41</v>
      </c>
      <c r="E36" s="33" t="n">
        <f aca="false">IF(D36="totale",(C36/(A36*24))/F36,IF(D36="marché libre",(C36/(A36*24))/G36,"spécifier histo"))</f>
        <v>0.943438103115522</v>
      </c>
      <c r="F36" s="59" t="n">
        <v>2340</v>
      </c>
      <c r="G36" s="57" t="n">
        <f aca="false">F36-H36</f>
        <v>0</v>
      </c>
      <c r="H36" s="59" t="n">
        <v>2340</v>
      </c>
      <c r="I36" s="9"/>
      <c r="J36" s="30"/>
      <c r="K36" s="30"/>
    </row>
    <row r="37" customFormat="false" ht="21.9" hidden="false" customHeight="true" outlineLevel="0" collapsed="false">
      <c r="A37" s="1" t="n">
        <v>30</v>
      </c>
      <c r="B37" s="34" t="n">
        <v>38078</v>
      </c>
      <c r="C37" s="56" t="n">
        <v>1294857</v>
      </c>
      <c r="D37" s="26" t="s">
        <v>41</v>
      </c>
      <c r="E37" s="33" t="n">
        <f aca="false">IF(D37="totale",(C37/(A37*24))/F37,IF(D37="marché libre",(C37/(A37*24))/G37,"spécifier histo"))</f>
        <v>0.76855235042735</v>
      </c>
      <c r="F37" s="59" t="n">
        <v>2340</v>
      </c>
      <c r="G37" s="57" t="n">
        <f aca="false">F37-H37</f>
        <v>0</v>
      </c>
      <c r="H37" s="59" t="n">
        <v>2340</v>
      </c>
      <c r="I37" s="9"/>
      <c r="J37" s="30"/>
      <c r="K37" s="30"/>
    </row>
    <row r="38" customFormat="false" ht="23.05" hidden="false" customHeight="true" outlineLevel="0" collapsed="false">
      <c r="A38" s="1" t="n">
        <v>31</v>
      </c>
      <c r="B38" s="31" t="n">
        <v>38108</v>
      </c>
      <c r="C38" s="56" t="n">
        <v>663414</v>
      </c>
      <c r="D38" s="26" t="s">
        <v>41</v>
      </c>
      <c r="E38" s="33" t="n">
        <f aca="false">IF(D38="totale",(C38/(A38*24))/F38,IF(D38="marché libre",(C38/(A38*24))/G38,"spécifier histo"))</f>
        <v>0.381062172594431</v>
      </c>
      <c r="F38" s="59" t="n">
        <v>2340</v>
      </c>
      <c r="G38" s="57" t="n">
        <f aca="false">F38-H38</f>
        <v>0</v>
      </c>
      <c r="H38" s="59" t="n">
        <v>2340</v>
      </c>
      <c r="I38" s="9"/>
      <c r="J38" s="30"/>
      <c r="K38" s="30"/>
    </row>
    <row r="39" customFormat="false" ht="21.9" hidden="false" customHeight="true" outlineLevel="0" collapsed="false">
      <c r="A39" s="1" t="n">
        <v>30</v>
      </c>
      <c r="B39" s="34" t="n">
        <v>38139</v>
      </c>
      <c r="C39" s="56" t="n">
        <v>622315</v>
      </c>
      <c r="D39" s="26" t="s">
        <v>41</v>
      </c>
      <c r="E39" s="33" t="n">
        <f aca="false">IF(D39="totale",(C39/(A39*24))/F39,IF(D39="marché libre",(C39/(A39*24))/G39,"spécifier histo"))</f>
        <v>0.369370251661918</v>
      </c>
      <c r="F39" s="59" t="n">
        <v>2340</v>
      </c>
      <c r="G39" s="57" t="n">
        <f aca="false">F39-H39</f>
        <v>0</v>
      </c>
      <c r="H39" s="59" t="n">
        <v>2340</v>
      </c>
      <c r="I39" s="9"/>
      <c r="J39" s="30"/>
      <c r="K39" s="0"/>
      <c r="L39" s="0"/>
    </row>
    <row r="40" customFormat="false" ht="26.5" hidden="false" customHeight="true" outlineLevel="0" collapsed="false">
      <c r="A40" s="1" t="n">
        <v>31</v>
      </c>
      <c r="B40" s="31" t="n">
        <v>38169</v>
      </c>
      <c r="C40" s="56" t="n">
        <v>323443</v>
      </c>
      <c r="D40" s="26" t="s">
        <v>41</v>
      </c>
      <c r="E40" s="33" t="n">
        <f aca="false">IF(D40="totale",(C40/(A40*24))/F40,IF(D40="marché libre",(C40/(A40*24))/G40,"spécifier histo"))</f>
        <v>0.185784279937506</v>
      </c>
      <c r="F40" s="59" t="n">
        <v>2340</v>
      </c>
      <c r="G40" s="57" t="n">
        <f aca="false">F40-H40</f>
        <v>0</v>
      </c>
      <c r="H40" s="59" t="n">
        <v>2340</v>
      </c>
      <c r="I40" s="9"/>
      <c r="J40" s="30"/>
      <c r="K40" s="30"/>
    </row>
    <row r="41" customFormat="false" ht="24.2" hidden="false" customHeight="true" outlineLevel="0" collapsed="false">
      <c r="A41" s="1" t="n">
        <v>31</v>
      </c>
      <c r="B41" s="34" t="n">
        <v>38200</v>
      </c>
      <c r="C41" s="56" t="n">
        <v>963404</v>
      </c>
      <c r="D41" s="26" t="s">
        <v>41</v>
      </c>
      <c r="E41" s="33" t="n">
        <f aca="false">IF(D41="totale",(C41/(A41*24))/F41,IF(D41="marché libre",(C41/(A41*24))/G41,"spécifier histo"))</f>
        <v>0.553375149342891</v>
      </c>
      <c r="F41" s="59" t="n">
        <v>2340</v>
      </c>
      <c r="G41" s="57" t="n">
        <f aca="false">F41-H41</f>
        <v>0</v>
      </c>
      <c r="H41" s="59" t="n">
        <v>2340</v>
      </c>
      <c r="I41" s="9"/>
      <c r="J41" s="30"/>
      <c r="K41" s="30"/>
    </row>
    <row r="42" customFormat="false" ht="23.05" hidden="false" customHeight="true" outlineLevel="0" collapsed="false">
      <c r="A42" s="1" t="n">
        <v>30</v>
      </c>
      <c r="B42" s="31" t="n">
        <v>38231</v>
      </c>
      <c r="C42" s="56" t="n">
        <v>543362</v>
      </c>
      <c r="D42" s="26" t="s">
        <v>41</v>
      </c>
      <c r="E42" s="33" t="n">
        <f aca="false">IF(D42="totale",(C42/(A42*24))/F42,IF(D42="marché libre",(C42/(A42*24))/G42,"spécifier histo"))</f>
        <v>0.322508309591643</v>
      </c>
      <c r="F42" s="59" t="n">
        <v>2340</v>
      </c>
      <c r="G42" s="57" t="n">
        <f aca="false">F42-H42</f>
        <v>0</v>
      </c>
      <c r="H42" s="59" t="n">
        <v>2340</v>
      </c>
      <c r="I42" s="9"/>
      <c r="J42" s="30"/>
      <c r="K42" s="30"/>
    </row>
    <row r="43" customFormat="false" ht="23.05" hidden="false" customHeight="true" outlineLevel="0" collapsed="false">
      <c r="A43" s="1" t="n">
        <v>31</v>
      </c>
      <c r="B43" s="34" t="n">
        <v>38261</v>
      </c>
      <c r="C43" s="56" t="n">
        <v>1145656</v>
      </c>
      <c r="D43" s="26" t="s">
        <v>41</v>
      </c>
      <c r="E43" s="33" t="n">
        <f aca="false">IF(D43="totale",(C43/(A43*24))/F43,IF(D43="marché libre",(C43/(A43*24))/G43,"spécifier histo"))</f>
        <v>0.658059920963147</v>
      </c>
      <c r="F43" s="59" t="n">
        <v>2340</v>
      </c>
      <c r="G43" s="57" t="n">
        <f aca="false">F43-H43</f>
        <v>0</v>
      </c>
      <c r="H43" s="59" t="n">
        <v>2340</v>
      </c>
      <c r="I43" s="9"/>
      <c r="J43" s="30"/>
      <c r="K43" s="30"/>
    </row>
    <row r="44" customFormat="false" ht="25.35" hidden="false" customHeight="true" outlineLevel="0" collapsed="false">
      <c r="A44" s="1" t="n">
        <v>30</v>
      </c>
      <c r="B44" s="31" t="n">
        <v>38292</v>
      </c>
      <c r="C44" s="56" t="n">
        <v>1350255</v>
      </c>
      <c r="D44" s="26" t="s">
        <v>41</v>
      </c>
      <c r="E44" s="33" t="n">
        <f aca="false">IF(D44="totale",(C44/(A44*24))/F44,IF(D44="marché libre",(C44/(A44*24))/G44,"spécifier histo"))</f>
        <v>0.801433404558405</v>
      </c>
      <c r="F44" s="59" t="n">
        <v>2340</v>
      </c>
      <c r="G44" s="57" t="n">
        <f aca="false">F44-H44</f>
        <v>0</v>
      </c>
      <c r="H44" s="59" t="n">
        <v>2340</v>
      </c>
      <c r="I44" s="9"/>
      <c r="J44" s="30"/>
      <c r="K44" s="30"/>
    </row>
    <row r="45" customFormat="false" ht="25.35" hidden="false" customHeight="true" outlineLevel="0" collapsed="false">
      <c r="A45" s="1" t="n">
        <v>31</v>
      </c>
      <c r="B45" s="34" t="n">
        <v>38322</v>
      </c>
      <c r="C45" s="56" t="n">
        <v>1618242</v>
      </c>
      <c r="D45" s="26" t="s">
        <v>41</v>
      </c>
      <c r="E45" s="33" t="n">
        <f aca="false">IF(D45="totale",(C45/(A45*24))/F45,IF(D45="marché libre",(C45/(A45*24))/G45,"spécifier histo"))</f>
        <v>0.929511304108078</v>
      </c>
      <c r="F45" s="59" t="n">
        <v>2340</v>
      </c>
      <c r="G45" s="57" t="n">
        <f aca="false">F45-H45</f>
        <v>0</v>
      </c>
      <c r="H45" s="59" t="n">
        <v>2340</v>
      </c>
      <c r="I45" s="9"/>
      <c r="J45" s="30"/>
      <c r="K45" s="30"/>
    </row>
    <row r="46" customFormat="false" ht="19.85" hidden="false" customHeight="true" outlineLevel="0" collapsed="false">
      <c r="A46" s="1" t="n">
        <v>31</v>
      </c>
      <c r="B46" s="31" t="n">
        <v>38353</v>
      </c>
      <c r="C46" s="56" t="n">
        <v>1791932</v>
      </c>
      <c r="D46" s="26" t="s">
        <v>41</v>
      </c>
      <c r="E46" s="33" t="n">
        <f aca="false">IF(D46="totale",(C46/(A46*24))/F46,IF(D46="marché libre",(C46/(A46*24))/G46,"spécifier histo"))</f>
        <v>1.02927809943939</v>
      </c>
      <c r="F46" s="59" t="n">
        <v>2340</v>
      </c>
      <c r="G46" s="57" t="n">
        <f aca="false">F46-H46</f>
        <v>0</v>
      </c>
      <c r="H46" s="59" t="n">
        <v>2340</v>
      </c>
      <c r="J46" s="178" t="s">
        <v>158</v>
      </c>
      <c r="K46" s="178"/>
    </row>
    <row r="47" customFormat="false" ht="19.85" hidden="false" customHeight="true" outlineLevel="0" collapsed="false">
      <c r="A47" s="1" t="n">
        <v>28</v>
      </c>
      <c r="B47" s="34" t="n">
        <v>38384</v>
      </c>
      <c r="C47" s="56" t="n">
        <v>1330725</v>
      </c>
      <c r="D47" s="26" t="s">
        <v>41</v>
      </c>
      <c r="E47" s="33" t="n">
        <f aca="false">IF(D47="totale",(C47/(A47*24))/F47,IF(D47="marché libre",(C47/(A47*24))/G47,"spécifier histo"))</f>
        <v>0.846258775946276</v>
      </c>
      <c r="F47" s="59" t="n">
        <v>2340</v>
      </c>
      <c r="G47" s="57" t="n">
        <f aca="false">F47-H47</f>
        <v>0</v>
      </c>
      <c r="H47" s="59" t="n">
        <v>2340</v>
      </c>
      <c r="J47" s="178" t="s">
        <v>159</v>
      </c>
      <c r="K47" s="178"/>
    </row>
    <row r="48" customFormat="false" ht="19.85" hidden="false" customHeight="true" outlineLevel="0" collapsed="false">
      <c r="A48" s="1" t="n">
        <v>31</v>
      </c>
      <c r="B48" s="31" t="n">
        <v>38412</v>
      </c>
      <c r="C48" s="56" t="n">
        <v>1547653</v>
      </c>
      <c r="D48" s="26" t="s">
        <v>41</v>
      </c>
      <c r="E48" s="33" t="n">
        <f aca="false">IF(D48="totale",(C48/(A48*24))/F48,IF(D48="marché libre",(C48/(A48*24))/G48,"spécifier histo"))</f>
        <v>0.888965283521735</v>
      </c>
      <c r="F48" s="59" t="n">
        <v>2340</v>
      </c>
      <c r="G48" s="57" t="n">
        <f aca="false">F48-H48</f>
        <v>0</v>
      </c>
      <c r="H48" s="59" t="n">
        <v>2340</v>
      </c>
      <c r="J48" s="178"/>
      <c r="K48" s="178"/>
      <c r="S48" s="1" t="s">
        <v>160</v>
      </c>
      <c r="T48" s="1" t="s">
        <v>161</v>
      </c>
      <c r="U48" s="1" t="s">
        <v>162</v>
      </c>
      <c r="V48" s="1" t="s">
        <v>163</v>
      </c>
      <c r="W48" s="1" t="s">
        <v>164</v>
      </c>
    </row>
    <row r="49" customFormat="false" ht="19.85" hidden="false" customHeight="true" outlineLevel="0" collapsed="false">
      <c r="A49" s="1" t="n">
        <v>30</v>
      </c>
      <c r="B49" s="34" t="n">
        <v>38443</v>
      </c>
      <c r="C49" s="56" t="n">
        <v>1684800</v>
      </c>
      <c r="D49" s="26" t="s">
        <v>41</v>
      </c>
      <c r="E49" s="33" t="n">
        <f aca="false">IF(D49="totale",(C49/(A49*24))/F49,IF(D49="marché libre",(C49/(A49*24))/G49,"spécifier histo"))</f>
        <v>1</v>
      </c>
      <c r="F49" s="59" t="n">
        <v>2340</v>
      </c>
      <c r="G49" s="57" t="n">
        <f aca="false">F49-H49</f>
        <v>0</v>
      </c>
      <c r="H49" s="59" t="n">
        <v>2340</v>
      </c>
      <c r="J49" s="178"/>
      <c r="K49" s="178"/>
      <c r="S49" s="1" t="n">
        <v>0.8</v>
      </c>
      <c r="T49" s="1" t="s">
        <v>165</v>
      </c>
      <c r="U49" s="1" t="s">
        <v>166</v>
      </c>
      <c r="V49" s="179" t="n">
        <v>40930</v>
      </c>
      <c r="W49" s="180" t="s">
        <v>167</v>
      </c>
    </row>
    <row r="50" customFormat="false" ht="19.85" hidden="false" customHeight="true" outlineLevel="0" collapsed="false">
      <c r="A50" s="1" t="n">
        <v>31</v>
      </c>
      <c r="B50" s="31" t="n">
        <v>38473</v>
      </c>
      <c r="C50" s="56" t="n">
        <v>1584474</v>
      </c>
      <c r="D50" s="26" t="s">
        <v>41</v>
      </c>
      <c r="E50" s="33" t="n">
        <f aca="false">IF(D50="totale",(C50/(A50*24))/F50,IF(D50="marché libre",(C50/(A50*24))/G50,"spécifier histo"))</f>
        <v>0.910115108905432</v>
      </c>
      <c r="F50" s="59" t="n">
        <v>2340</v>
      </c>
      <c r="G50" s="57" t="n">
        <f aca="false">F50-H50</f>
        <v>0</v>
      </c>
      <c r="H50" s="59" t="n">
        <v>2340</v>
      </c>
      <c r="J50" s="178"/>
      <c r="K50" s="178"/>
      <c r="S50" s="1" t="n">
        <v>0.87</v>
      </c>
      <c r="T50" s="1" t="n">
        <v>435</v>
      </c>
      <c r="U50" s="1" t="n">
        <v>380</v>
      </c>
      <c r="V50" s="179"/>
      <c r="W50" s="180"/>
    </row>
    <row r="51" customFormat="false" ht="19.85" hidden="false" customHeight="true" outlineLevel="0" collapsed="false">
      <c r="A51" s="1" t="n">
        <v>30</v>
      </c>
      <c r="B51" s="34" t="n">
        <v>38504</v>
      </c>
      <c r="C51" s="56" t="n">
        <v>568021</v>
      </c>
      <c r="D51" s="26" t="s">
        <v>41</v>
      </c>
      <c r="E51" s="33" t="n">
        <f aca="false">IF(D51="totale",(C51/(A51*24))/F51,IF(D51="marché libre",(C51/(A51*24))/G51,"spécifier histo"))</f>
        <v>0.337144468186135</v>
      </c>
      <c r="F51" s="59" t="n">
        <v>2340</v>
      </c>
      <c r="G51" s="57" t="n">
        <f aca="false">F51-H51</f>
        <v>0</v>
      </c>
      <c r="H51" s="59" t="n">
        <v>2340</v>
      </c>
      <c r="J51" s="178"/>
      <c r="K51" s="178"/>
      <c r="S51" s="1" t="n">
        <v>0.9</v>
      </c>
      <c r="T51" s="1" t="n">
        <v>1875</v>
      </c>
      <c r="U51" s="1" t="n">
        <v>1600</v>
      </c>
      <c r="V51" s="179"/>
      <c r="W51" s="180"/>
    </row>
    <row r="52" customFormat="false" ht="19.85" hidden="false" customHeight="true" outlineLevel="0" collapsed="false">
      <c r="A52" s="1" t="n">
        <v>31</v>
      </c>
      <c r="B52" s="31" t="n">
        <v>38534</v>
      </c>
      <c r="C52" s="56" t="n">
        <v>526628</v>
      </c>
      <c r="D52" s="26" t="s">
        <v>41</v>
      </c>
      <c r="E52" s="33" t="n">
        <f aca="false">IF(D52="totale",(C52/(A52*24))/F52,IF(D52="marché libre",(C52/(A52*24))/G52,"spécifier histo"))</f>
        <v>0.302492877492877</v>
      </c>
      <c r="F52" s="59" t="n">
        <v>2340</v>
      </c>
      <c r="G52" s="57" t="n">
        <f aca="false">F52-H52</f>
        <v>0</v>
      </c>
      <c r="H52" s="59" t="n">
        <v>2340</v>
      </c>
      <c r="J52" s="178"/>
      <c r="K52" s="178"/>
      <c r="W52" s="180"/>
    </row>
    <row r="53" customFormat="false" ht="19.85" hidden="false" customHeight="true" outlineLevel="0" collapsed="false">
      <c r="A53" s="1" t="n">
        <v>31</v>
      </c>
      <c r="B53" s="34" t="n">
        <v>38565</v>
      </c>
      <c r="C53" s="56" t="n">
        <v>521846</v>
      </c>
      <c r="D53" s="26" t="s">
        <v>41</v>
      </c>
      <c r="E53" s="33" t="n">
        <f aca="false">IF(D53="totale",(C53/(A53*24))/F53,IF(D53="marché libre",(C53/(A53*24))/G53,"spécifier histo"))</f>
        <v>0.299746117084827</v>
      </c>
      <c r="F53" s="59" t="n">
        <v>2340</v>
      </c>
      <c r="G53" s="57" t="n">
        <f aca="false">F53-H53</f>
        <v>0</v>
      </c>
      <c r="H53" s="59" t="n">
        <v>2340</v>
      </c>
      <c r="J53" s="178"/>
      <c r="K53" s="178"/>
      <c r="S53" s="1" t="n">
        <v>0.8</v>
      </c>
      <c r="T53" s="1" t="s">
        <v>168</v>
      </c>
      <c r="U53" s="181" t="s">
        <v>169</v>
      </c>
      <c r="V53" s="182" t="n">
        <v>42517</v>
      </c>
      <c r="W53" s="180" t="s">
        <v>170</v>
      </c>
    </row>
    <row r="54" customFormat="false" ht="19.85" hidden="false" customHeight="true" outlineLevel="0" collapsed="false">
      <c r="A54" s="1" t="n">
        <v>30</v>
      </c>
      <c r="B54" s="31" t="n">
        <v>38596</v>
      </c>
      <c r="C54" s="56" t="n">
        <v>513229</v>
      </c>
      <c r="D54" s="26" t="s">
        <v>41</v>
      </c>
      <c r="E54" s="33" t="n">
        <f aca="false">IF(D54="totale",(C54/(A54*24))/F54,IF(D54="marché libre",(C54/(A54*24))/G54,"spécifier histo"))</f>
        <v>0.304623100664767</v>
      </c>
      <c r="F54" s="59" t="n">
        <v>2340</v>
      </c>
      <c r="G54" s="57" t="n">
        <f aca="false">F54-H54</f>
        <v>0</v>
      </c>
      <c r="H54" s="59" t="n">
        <v>2340</v>
      </c>
      <c r="J54" s="178"/>
      <c r="K54" s="178"/>
      <c r="S54" s="1" t="n">
        <v>0.87</v>
      </c>
      <c r="T54" s="1" t="n">
        <v>436</v>
      </c>
      <c r="U54" s="181"/>
      <c r="V54" s="181"/>
      <c r="W54" s="180"/>
    </row>
    <row r="55" customFormat="false" ht="19.85" hidden="false" customHeight="true" outlineLevel="0" collapsed="false">
      <c r="A55" s="1" t="n">
        <v>31</v>
      </c>
      <c r="B55" s="34" t="n">
        <v>38626</v>
      </c>
      <c r="C55" s="56" t="n">
        <v>761301</v>
      </c>
      <c r="D55" s="26" t="s">
        <v>41</v>
      </c>
      <c r="E55" s="33" t="n">
        <f aca="false">IF(D55="totale",(C55/(A55*24))/F55,IF(D55="marché libre",(C55/(A55*24))/G55,"spécifier histo"))</f>
        <v>0.437288047973532</v>
      </c>
      <c r="F55" s="59" t="n">
        <v>2340</v>
      </c>
      <c r="G55" s="57" t="n">
        <f aca="false">F55-H55</f>
        <v>0</v>
      </c>
      <c r="H55" s="59" t="n">
        <v>2340</v>
      </c>
      <c r="J55" s="178"/>
      <c r="K55" s="178"/>
      <c r="S55" s="1" t="n">
        <v>0.9</v>
      </c>
      <c r="T55" s="1" t="n">
        <v>1875</v>
      </c>
      <c r="U55" s="1" t="n">
        <v>1600</v>
      </c>
      <c r="V55" s="182"/>
      <c r="W55" s="180"/>
    </row>
    <row r="56" customFormat="false" ht="19.85" hidden="false" customHeight="true" outlineLevel="0" collapsed="false">
      <c r="A56" s="1" t="n">
        <v>30</v>
      </c>
      <c r="B56" s="31" t="n">
        <v>38657</v>
      </c>
      <c r="C56" s="56" t="n">
        <v>446970</v>
      </c>
      <c r="D56" s="26" t="s">
        <v>41</v>
      </c>
      <c r="E56" s="33" t="n">
        <f aca="false">IF(D56="totale",(C56/(A56*24))/F56,IF(D56="marché libre",(C56/(A56*24))/G56,"spécifier histo"))</f>
        <v>0.265295584045584</v>
      </c>
      <c r="F56" s="59" t="n">
        <v>2340</v>
      </c>
      <c r="G56" s="57" t="n">
        <f aca="false">F56-H56</f>
        <v>0</v>
      </c>
      <c r="H56" s="59" t="n">
        <v>2340</v>
      </c>
      <c r="J56" s="178"/>
      <c r="K56" s="178"/>
      <c r="W56" s="180"/>
    </row>
    <row r="57" customFormat="false" ht="19.85" hidden="false" customHeight="true" outlineLevel="0" collapsed="false">
      <c r="A57" s="1" t="n">
        <v>31</v>
      </c>
      <c r="B57" s="34" t="n">
        <v>38687</v>
      </c>
      <c r="C57" s="56" t="n">
        <v>1253846</v>
      </c>
      <c r="D57" s="26" t="s">
        <v>41</v>
      </c>
      <c r="E57" s="33" t="n">
        <f aca="false">IF(D57="totale",(C57/(A57*24))/F57,IF(D57="marché libre",(C57/(A57*24))/G57,"spécifier histo"))</f>
        <v>0.720203795607021</v>
      </c>
      <c r="F57" s="59" t="n">
        <v>2340</v>
      </c>
      <c r="G57" s="57" t="n">
        <f aca="false">F57-H57</f>
        <v>0</v>
      </c>
      <c r="H57" s="59" t="n">
        <v>2340</v>
      </c>
      <c r="J57" s="178"/>
      <c r="K57" s="178"/>
      <c r="W57" s="180"/>
    </row>
    <row r="58" customFormat="false" ht="19.85" hidden="false" customHeight="true" outlineLevel="0" collapsed="false">
      <c r="A58" s="1" t="n">
        <v>31</v>
      </c>
      <c r="B58" s="31" t="n">
        <v>38718</v>
      </c>
      <c r="C58" s="56" t="n">
        <v>1328836</v>
      </c>
      <c r="D58" s="26" t="s">
        <v>41</v>
      </c>
      <c r="E58" s="33" t="n">
        <f aca="false">IF(D58="totale",(C58/(A58*24))/F58,IF(D58="marché libre",(C58/(A58*24))/G58,"spécifier histo"))</f>
        <v>0.763277731826119</v>
      </c>
      <c r="F58" s="59" t="n">
        <v>2340</v>
      </c>
      <c r="G58" s="57" t="n">
        <f aca="false">F58-H58</f>
        <v>0</v>
      </c>
      <c r="H58" s="59" t="n">
        <v>2340</v>
      </c>
      <c r="J58" s="183"/>
      <c r="K58" s="183"/>
      <c r="W58" s="180"/>
    </row>
    <row r="59" customFormat="false" ht="19.85" hidden="false" customHeight="true" outlineLevel="0" collapsed="false">
      <c r="A59" s="1" t="n">
        <v>28</v>
      </c>
      <c r="B59" s="34" t="n">
        <v>38749</v>
      </c>
      <c r="C59" s="56" t="n">
        <v>994799</v>
      </c>
      <c r="D59" s="26" t="s">
        <v>41</v>
      </c>
      <c r="E59" s="33" t="n">
        <f aca="false">IF(D59="totale",(C59/(A59*24))/F59,IF(D59="marché libre",(C59/(A59*24))/G59,"spécifier histo"))</f>
        <v>0.632630621693122</v>
      </c>
      <c r="F59" s="59" t="n">
        <v>2340</v>
      </c>
      <c r="G59" s="57" t="n">
        <f aca="false">F59-H59</f>
        <v>0</v>
      </c>
      <c r="H59" s="59" t="n">
        <v>2340</v>
      </c>
      <c r="J59" s="183"/>
      <c r="K59" s="183"/>
      <c r="W59" s="180"/>
    </row>
    <row r="60" customFormat="false" ht="19.85" hidden="false" customHeight="true" outlineLevel="0" collapsed="false">
      <c r="A60" s="1" t="n">
        <v>31</v>
      </c>
      <c r="B60" s="31" t="n">
        <v>38777</v>
      </c>
      <c r="C60" s="56" t="n">
        <v>1610195</v>
      </c>
      <c r="D60" s="26" t="s">
        <v>41</v>
      </c>
      <c r="E60" s="33" t="n">
        <f aca="false">IF(D60="totale",(C60/(A60*24))/F60,IF(D60="marché libre",(C60/(A60*24))/G60,"spécifier histo"))</f>
        <v>0.924889141623013</v>
      </c>
      <c r="F60" s="59" t="n">
        <v>2340</v>
      </c>
      <c r="G60" s="57" t="n">
        <f aca="false">F60-H60</f>
        <v>0</v>
      </c>
      <c r="H60" s="59" t="n">
        <v>2340</v>
      </c>
      <c r="J60" s="183"/>
      <c r="K60" s="183"/>
      <c r="W60" s="180"/>
    </row>
    <row r="61" customFormat="false" ht="19.85" hidden="false" customHeight="true" outlineLevel="0" collapsed="false">
      <c r="A61" s="1" t="n">
        <v>30</v>
      </c>
      <c r="B61" s="34" t="n">
        <v>38808</v>
      </c>
      <c r="C61" s="56" t="n">
        <v>1669821</v>
      </c>
      <c r="D61" s="26" t="s">
        <v>41</v>
      </c>
      <c r="E61" s="33" t="n">
        <f aca="false">IF(D61="totale",(C61/(A61*24))/F61,IF(D61="marché libre",(C61/(A61*24))/G61,"spécifier histo"))</f>
        <v>0.99110933048433</v>
      </c>
      <c r="F61" s="59" t="n">
        <v>2340</v>
      </c>
      <c r="G61" s="57" t="n">
        <f aca="false">F61-H61</f>
        <v>0</v>
      </c>
      <c r="H61" s="59" t="n">
        <v>2340</v>
      </c>
      <c r="J61" s="183"/>
      <c r="K61" s="183"/>
    </row>
    <row r="62" customFormat="false" ht="19.85" hidden="false" customHeight="true" outlineLevel="0" collapsed="false">
      <c r="A62" s="1" t="n">
        <v>31</v>
      </c>
      <c r="B62" s="31" t="n">
        <v>38838</v>
      </c>
      <c r="C62" s="56" t="n">
        <v>1740348</v>
      </c>
      <c r="D62" s="26" t="s">
        <v>41</v>
      </c>
      <c r="E62" s="33" t="n">
        <f aca="false">IF(D62="totale",(C62/(A62*24))/F62,IF(D62="marché libre",(C62/(A62*24))/G62,"spécifier histo"))</f>
        <v>0.99964846980976</v>
      </c>
      <c r="F62" s="59" t="n">
        <v>2340</v>
      </c>
      <c r="G62" s="57" t="n">
        <f aca="false">F62-H62</f>
        <v>0</v>
      </c>
      <c r="H62" s="59" t="n">
        <v>2340</v>
      </c>
      <c r="J62" s="183"/>
      <c r="K62" s="183"/>
    </row>
    <row r="63" customFormat="false" ht="19.85" hidden="false" customHeight="true" outlineLevel="0" collapsed="false">
      <c r="A63" s="1" t="n">
        <v>30</v>
      </c>
      <c r="B63" s="34" t="n">
        <v>38869</v>
      </c>
      <c r="C63" s="56" t="n">
        <v>958954</v>
      </c>
      <c r="D63" s="26" t="s">
        <v>41</v>
      </c>
      <c r="E63" s="33" t="n">
        <f aca="false">IF(D63="totale",(C63/(A63*24))/F63,IF(D63="marché libre",(C63/(A63*24))/G63,"spécifier histo"))</f>
        <v>0.569179724596391</v>
      </c>
      <c r="F63" s="59" t="n">
        <v>2340</v>
      </c>
      <c r="G63" s="57" t="n">
        <f aca="false">F63-H63</f>
        <v>0</v>
      </c>
      <c r="H63" s="59" t="n">
        <v>2340</v>
      </c>
      <c r="J63" s="183"/>
      <c r="K63" s="183"/>
    </row>
    <row r="64" customFormat="false" ht="19.85" hidden="false" customHeight="true" outlineLevel="0" collapsed="false">
      <c r="A64" s="1" t="n">
        <v>31</v>
      </c>
      <c r="B64" s="31" t="n">
        <v>38899</v>
      </c>
      <c r="C64" s="56" t="n">
        <v>355653</v>
      </c>
      <c r="D64" s="26" t="s">
        <v>41</v>
      </c>
      <c r="E64" s="33" t="n">
        <f aca="false">IF(D64="totale",(C64/(A64*24))/F64,IF(D64="marché libre",(C64/(A64*24))/G64,"spécifier histo"))</f>
        <v>0.204285566583954</v>
      </c>
      <c r="F64" s="59" t="n">
        <v>2340</v>
      </c>
      <c r="G64" s="57" t="n">
        <f aca="false">F64-H64</f>
        <v>0</v>
      </c>
      <c r="H64" s="59" t="n">
        <v>2340</v>
      </c>
      <c r="J64" s="183"/>
      <c r="K64" s="183"/>
    </row>
    <row r="65" customFormat="false" ht="19.85" hidden="false" customHeight="true" outlineLevel="0" collapsed="false">
      <c r="A65" s="1" t="n">
        <v>31</v>
      </c>
      <c r="B65" s="34" t="n">
        <v>38930</v>
      </c>
      <c r="C65" s="56" t="n">
        <v>1248673</v>
      </c>
      <c r="D65" s="26" t="s">
        <v>41</v>
      </c>
      <c r="E65" s="33" t="n">
        <f aca="false">IF(D65="totale",(C65/(A65*24))/F65,IF(D65="marché libre",(C65/(A65*24))/G65,"spécifier histo"))</f>
        <v>0.717232446466317</v>
      </c>
      <c r="F65" s="59" t="n">
        <v>2340</v>
      </c>
      <c r="G65" s="57" t="n">
        <f aca="false">F65-H65</f>
        <v>0</v>
      </c>
      <c r="H65" s="59" t="n">
        <v>2340</v>
      </c>
      <c r="J65" s="183"/>
      <c r="K65" s="183"/>
    </row>
    <row r="66" customFormat="false" ht="19.85" hidden="false" customHeight="true" outlineLevel="0" collapsed="false">
      <c r="A66" s="1" t="n">
        <v>30</v>
      </c>
      <c r="B66" s="31" t="n">
        <v>38961</v>
      </c>
      <c r="C66" s="56" t="n">
        <v>1217853</v>
      </c>
      <c r="D66" s="26" t="s">
        <v>41</v>
      </c>
      <c r="E66" s="33" t="n">
        <f aca="false">IF(D66="totale",(C66/(A66*24))/F66,IF(D66="marché libre",(C66/(A66*24))/G66,"spécifier histo"))</f>
        <v>0.722847222222222</v>
      </c>
      <c r="F66" s="59" t="n">
        <v>2340</v>
      </c>
      <c r="G66" s="57" t="n">
        <f aca="false">F66-H66</f>
        <v>0</v>
      </c>
      <c r="H66" s="59" t="n">
        <v>2340</v>
      </c>
      <c r="J66" s="183"/>
      <c r="K66" s="183"/>
    </row>
    <row r="67" customFormat="false" ht="19.85" hidden="false" customHeight="true" outlineLevel="0" collapsed="false">
      <c r="A67" s="1" t="n">
        <v>31</v>
      </c>
      <c r="B67" s="34" t="n">
        <v>38991</v>
      </c>
      <c r="C67" s="56" t="n">
        <v>1421481</v>
      </c>
      <c r="D67" s="26" t="s">
        <v>41</v>
      </c>
      <c r="E67" s="33" t="n">
        <f aca="false">IF(D67="totale",(C67/(A67*24))/F67,IF(D67="marché libre",(C67/(A67*24))/G67,"spécifier histo"))</f>
        <v>0.816492624758754</v>
      </c>
      <c r="F67" s="59" t="n">
        <v>2340</v>
      </c>
      <c r="G67" s="57" t="n">
        <f aca="false">F67-H67</f>
        <v>0</v>
      </c>
      <c r="H67" s="59" t="n">
        <v>2340</v>
      </c>
      <c r="J67" s="183"/>
      <c r="K67" s="183"/>
    </row>
    <row r="68" customFormat="false" ht="19.85" hidden="false" customHeight="true" outlineLevel="0" collapsed="false">
      <c r="A68" s="1" t="n">
        <v>30</v>
      </c>
      <c r="B68" s="31" t="n">
        <v>39022</v>
      </c>
      <c r="C68" s="56" t="n">
        <v>1130424</v>
      </c>
      <c r="D68" s="26" t="s">
        <v>41</v>
      </c>
      <c r="E68" s="33" t="n">
        <f aca="false">IF(D68="totale",(C68/(A68*24))/F68,IF(D68="marché libre",(C68/(A68*24))/G68,"spécifier histo"))</f>
        <v>0.670954415954416</v>
      </c>
      <c r="F68" s="59" t="n">
        <v>2340</v>
      </c>
      <c r="G68" s="57" t="n">
        <f aca="false">F68-H68</f>
        <v>0</v>
      </c>
      <c r="H68" s="59" t="n">
        <v>2340</v>
      </c>
      <c r="J68" s="183"/>
      <c r="K68" s="183"/>
    </row>
    <row r="69" customFormat="false" ht="19.85" hidden="false" customHeight="true" outlineLevel="0" collapsed="false">
      <c r="A69" s="1" t="n">
        <v>31</v>
      </c>
      <c r="B69" s="34" t="n">
        <v>39052</v>
      </c>
      <c r="C69" s="56" t="n">
        <v>1399824</v>
      </c>
      <c r="D69" s="26" t="s">
        <v>41</v>
      </c>
      <c r="E69" s="33" t="n">
        <f aca="false">IF(D69="totale",(C69/(A69*24))/F69,IF(D69="marché libre",(C69/(A69*24))/G69,"spécifier histo"))</f>
        <v>0.804052936311001</v>
      </c>
      <c r="F69" s="59" t="n">
        <v>2340</v>
      </c>
      <c r="G69" s="57" t="n">
        <f aca="false">F69-H69</f>
        <v>0</v>
      </c>
      <c r="H69" s="59" t="n">
        <v>2340</v>
      </c>
      <c r="J69" s="183"/>
      <c r="K69" s="183"/>
    </row>
    <row r="70" customFormat="false" ht="19.85" hidden="false" customHeight="true" outlineLevel="0" collapsed="false">
      <c r="A70" s="1" t="n">
        <v>31</v>
      </c>
      <c r="B70" s="31" t="n">
        <v>39083</v>
      </c>
      <c r="C70" s="56" t="n">
        <v>1738967</v>
      </c>
      <c r="D70" s="26" t="s">
        <v>41</v>
      </c>
      <c r="E70" s="33" t="n">
        <f aca="false">IF(D70="totale",(C70/(A70*24))/F70,IF(D70="marché libre",(C70/(A70*24))/G70,"spécifier histo"))</f>
        <v>0.998855229298778</v>
      </c>
      <c r="F70" s="59" t="n">
        <v>2340</v>
      </c>
      <c r="G70" s="57" t="n">
        <f aca="false">F70-H70</f>
        <v>0</v>
      </c>
      <c r="H70" s="59" t="n">
        <v>2340</v>
      </c>
      <c r="J70" s="183"/>
      <c r="K70" s="183"/>
    </row>
    <row r="71" customFormat="false" ht="19.85" hidden="false" customHeight="true" outlineLevel="0" collapsed="false">
      <c r="A71" s="1" t="n">
        <v>28</v>
      </c>
      <c r="B71" s="34" t="n">
        <v>39114</v>
      </c>
      <c r="C71" s="56" t="n">
        <v>1572320</v>
      </c>
      <c r="D71" s="26" t="s">
        <v>41</v>
      </c>
      <c r="E71" s="33" t="n">
        <f aca="false">IF(D71="totale",(C71/(A71*24))/F71,IF(D71="marché libre",(C71/(A71*24))/G71,"spécifier histo"))</f>
        <v>0.99989824989825</v>
      </c>
      <c r="F71" s="59" t="n">
        <v>2340</v>
      </c>
      <c r="G71" s="57" t="n">
        <f aca="false">F71-H71</f>
        <v>0</v>
      </c>
      <c r="H71" s="59" t="n">
        <v>2340</v>
      </c>
      <c r="J71" s="183"/>
      <c r="K71" s="183"/>
    </row>
    <row r="72" customFormat="false" ht="19.85" hidden="false" customHeight="true" outlineLevel="0" collapsed="false">
      <c r="A72" s="1" t="n">
        <v>31</v>
      </c>
      <c r="B72" s="31" t="n">
        <v>39142</v>
      </c>
      <c r="C72" s="56" t="n">
        <v>1736696</v>
      </c>
      <c r="D72" s="26" t="s">
        <v>41</v>
      </c>
      <c r="E72" s="33" t="n">
        <f aca="false">IF(D72="totale",(C72/(A72*24))/F72,IF(D72="marché libre",(C72/(A72*24))/G72,"spécifier histo"))</f>
        <v>0.997550776583035</v>
      </c>
      <c r="F72" s="59" t="n">
        <v>2340</v>
      </c>
      <c r="G72" s="57" t="n">
        <f aca="false">F72-H72</f>
        <v>0</v>
      </c>
      <c r="H72" s="59" t="n">
        <v>2340</v>
      </c>
      <c r="J72" s="183"/>
      <c r="K72" s="183"/>
    </row>
    <row r="73" customFormat="false" ht="19.85" hidden="false" customHeight="true" outlineLevel="0" collapsed="false">
      <c r="A73" s="1" t="n">
        <v>30</v>
      </c>
      <c r="B73" s="34" t="n">
        <v>39173</v>
      </c>
      <c r="C73" s="56" t="n">
        <v>1272114</v>
      </c>
      <c r="D73" s="26" t="s">
        <v>41</v>
      </c>
      <c r="E73" s="33" t="n">
        <f aca="false">IF(D73="totale",(C73/(A73*24))/F73,IF(D73="marché libre",(C73/(A73*24))/G73,"spécifier histo"))</f>
        <v>0.755053418803419</v>
      </c>
      <c r="F73" s="59" t="n">
        <v>2340</v>
      </c>
      <c r="G73" s="57" t="n">
        <f aca="false">F73-H73</f>
        <v>0</v>
      </c>
      <c r="H73" s="59" t="n">
        <v>2340</v>
      </c>
      <c r="J73" s="183"/>
      <c r="K73" s="183"/>
    </row>
    <row r="74" customFormat="false" ht="19.85" hidden="false" customHeight="true" outlineLevel="0" collapsed="false">
      <c r="A74" s="1" t="n">
        <v>31</v>
      </c>
      <c r="B74" s="31" t="n">
        <v>39203</v>
      </c>
      <c r="C74" s="56" t="n">
        <v>1172033</v>
      </c>
      <c r="D74" s="26" t="s">
        <v>41</v>
      </c>
      <c r="E74" s="33" t="n">
        <f aca="false">IF(D74="totale",(C74/(A74*24))/F74,IF(D74="marché libre",(C74/(A74*24))/G74,"spécifier histo"))</f>
        <v>0.673210757283338</v>
      </c>
      <c r="F74" s="59" t="n">
        <v>2340</v>
      </c>
      <c r="G74" s="57" t="n">
        <f aca="false">F74-H74</f>
        <v>0</v>
      </c>
      <c r="H74" s="59" t="n">
        <v>2340</v>
      </c>
      <c r="J74" s="183"/>
      <c r="K74" s="183"/>
    </row>
    <row r="75" customFormat="false" ht="19.85" hidden="false" customHeight="true" outlineLevel="0" collapsed="false">
      <c r="A75" s="1" t="n">
        <v>30</v>
      </c>
      <c r="B75" s="34" t="n">
        <v>39234</v>
      </c>
      <c r="C75" s="56" t="n">
        <v>1679952</v>
      </c>
      <c r="D75" s="26" t="s">
        <v>41</v>
      </c>
      <c r="E75" s="33" t="n">
        <f aca="false">IF(D75="totale",(C75/(A75*24))/F75,IF(D75="marché libre",(C75/(A75*24))/G75,"spécifier histo"))</f>
        <v>0.997122507122507</v>
      </c>
      <c r="F75" s="59" t="n">
        <v>2340</v>
      </c>
      <c r="G75" s="57" t="n">
        <f aca="false">F75-H75</f>
        <v>0</v>
      </c>
      <c r="H75" s="59" t="n">
        <v>2340</v>
      </c>
      <c r="J75" s="183"/>
      <c r="K75" s="183"/>
    </row>
    <row r="76" customFormat="false" ht="19.85" hidden="false" customHeight="true" outlineLevel="0" collapsed="false">
      <c r="A76" s="1" t="n">
        <v>31</v>
      </c>
      <c r="B76" s="31" t="n">
        <v>39264</v>
      </c>
      <c r="C76" s="56" t="n">
        <v>1740785</v>
      </c>
      <c r="D76" s="26" t="s">
        <v>41</v>
      </c>
      <c r="E76" s="33" t="n">
        <f aca="false">IF(D76="totale",(C76/(A76*24))/F76,IF(D76="marché libre",(C76/(A76*24))/G76,"spécifier histo"))</f>
        <v>0.999899480746255</v>
      </c>
      <c r="F76" s="59" t="n">
        <v>2340</v>
      </c>
      <c r="G76" s="57" t="n">
        <f aca="false">F76-H76</f>
        <v>0</v>
      </c>
      <c r="H76" s="59" t="n">
        <v>2340</v>
      </c>
      <c r="J76" s="183"/>
      <c r="K76" s="183"/>
    </row>
    <row r="77" customFormat="false" ht="19.85" hidden="false" customHeight="true" outlineLevel="0" collapsed="false">
      <c r="A77" s="1" t="n">
        <v>31</v>
      </c>
      <c r="B77" s="34" t="n">
        <v>39295</v>
      </c>
      <c r="C77" s="56" t="n">
        <v>1299706</v>
      </c>
      <c r="D77" s="26" t="s">
        <v>41</v>
      </c>
      <c r="E77" s="33" t="n">
        <f aca="false">IF(D77="totale",(C77/(A77*24))/F77,IF(D77="marché libre",(C77/(A77*24))/G77,"spécifier histo"))</f>
        <v>0.746545584045584</v>
      </c>
      <c r="F77" s="59" t="n">
        <v>2340</v>
      </c>
      <c r="G77" s="57" t="n">
        <f aca="false">F77-H77</f>
        <v>0</v>
      </c>
      <c r="H77" s="59" t="n">
        <v>2340</v>
      </c>
      <c r="J77" s="183"/>
      <c r="K77" s="183"/>
    </row>
    <row r="78" customFormat="false" ht="19.85" hidden="false" customHeight="true" outlineLevel="0" collapsed="false">
      <c r="A78" s="1" t="n">
        <v>30</v>
      </c>
      <c r="B78" s="31" t="n">
        <v>39326</v>
      </c>
      <c r="C78" s="56" t="n">
        <v>777900</v>
      </c>
      <c r="D78" s="26" t="s">
        <v>41</v>
      </c>
      <c r="E78" s="33" t="n">
        <f aca="false">IF(D78="totale",(C78/(A78*24))/F78,IF(D78="marché libre",(C78/(A78*24))/G78,"spécifier histo"))</f>
        <v>0.461716524216524</v>
      </c>
      <c r="F78" s="59" t="n">
        <v>2340</v>
      </c>
      <c r="G78" s="57" t="n">
        <f aca="false">F78-H78</f>
        <v>0</v>
      </c>
      <c r="H78" s="59" t="n">
        <v>2340</v>
      </c>
      <c r="J78" s="183"/>
      <c r="K78" s="183"/>
    </row>
    <row r="79" customFormat="false" ht="19.85" hidden="false" customHeight="true" outlineLevel="0" collapsed="false">
      <c r="A79" s="1" t="n">
        <v>31</v>
      </c>
      <c r="B79" s="34" t="n">
        <v>39356</v>
      </c>
      <c r="C79" s="56" t="n">
        <v>422627</v>
      </c>
      <c r="D79" s="26" t="s">
        <v>41</v>
      </c>
      <c r="E79" s="33" t="n">
        <f aca="false">IF(D79="totale",(C79/(A79*24))/F79,IF(D79="marché libre",(C79/(A79*24))/G79,"spécifier histo"))</f>
        <v>0.242755146585792</v>
      </c>
      <c r="F79" s="59" t="n">
        <v>2340</v>
      </c>
      <c r="G79" s="57" t="n">
        <f aca="false">F79-H79</f>
        <v>0</v>
      </c>
      <c r="H79" s="59" t="n">
        <v>2340</v>
      </c>
      <c r="J79" s="183"/>
      <c r="K79" s="183"/>
    </row>
    <row r="80" customFormat="false" ht="19.85" hidden="false" customHeight="true" outlineLevel="0" collapsed="false">
      <c r="A80" s="1" t="n">
        <v>30</v>
      </c>
      <c r="B80" s="31" t="n">
        <v>39387</v>
      </c>
      <c r="C80" s="56" t="n">
        <v>1060736</v>
      </c>
      <c r="D80" s="26" t="s">
        <v>41</v>
      </c>
      <c r="E80" s="33" t="n">
        <f aca="false">IF(D80="totale",(C80/(A80*24))/F80,IF(D80="marché libre",(C80/(A80*24))/G80,"spécifier histo"))</f>
        <v>0.629591642924976</v>
      </c>
      <c r="F80" s="59" t="n">
        <v>2340</v>
      </c>
      <c r="G80" s="57" t="n">
        <f aca="false">F80-H80</f>
        <v>0</v>
      </c>
      <c r="H80" s="59" t="n">
        <v>2340</v>
      </c>
      <c r="J80" s="183"/>
      <c r="K80" s="183"/>
    </row>
    <row r="81" customFormat="false" ht="19.85" hidden="false" customHeight="true" outlineLevel="0" collapsed="false">
      <c r="A81" s="1" t="n">
        <v>31</v>
      </c>
      <c r="B81" s="34" t="n">
        <v>39417</v>
      </c>
      <c r="C81" s="56" t="n">
        <v>1454542</v>
      </c>
      <c r="D81" s="26" t="s">
        <v>41</v>
      </c>
      <c r="E81" s="33" t="n">
        <f aca="false">IF(D81="totale",(C81/(A81*24))/F81,IF(D81="marché libre",(C81/(A81*24))/G81,"spécifier histo"))</f>
        <v>0.83548272217627</v>
      </c>
      <c r="F81" s="59" t="n">
        <v>2340</v>
      </c>
      <c r="G81" s="57" t="n">
        <f aca="false">F81-H81</f>
        <v>0</v>
      </c>
      <c r="H81" s="59" t="n">
        <v>2340</v>
      </c>
      <c r="J81" s="183"/>
      <c r="K81" s="183"/>
    </row>
    <row r="82" customFormat="false" ht="19.85" hidden="false" customHeight="true" outlineLevel="0" collapsed="false">
      <c r="A82" s="1" t="n">
        <v>31</v>
      </c>
      <c r="B82" s="31" t="n">
        <v>39448</v>
      </c>
      <c r="C82" s="56" t="n">
        <v>1700125</v>
      </c>
      <c r="D82" s="26" t="s">
        <v>41</v>
      </c>
      <c r="E82" s="33" t="n">
        <f aca="false">IF(D82="totale",(C82/(A82*24))/F82,IF(D82="marché libre",(C82/(A82*24))/G82,"spécifier histo"))</f>
        <v>0.97654455013326</v>
      </c>
      <c r="F82" s="59" t="n">
        <v>2340</v>
      </c>
      <c r="G82" s="57" t="n">
        <f aca="false">F82-H82</f>
        <v>0</v>
      </c>
      <c r="H82" s="59" t="n">
        <v>2340</v>
      </c>
      <c r="J82" s="183"/>
      <c r="K82" s="183"/>
      <c r="M82" s="0"/>
      <c r="N82" s="0"/>
      <c r="O82" s="0"/>
      <c r="P82" s="0"/>
      <c r="Q82" s="0"/>
      <c r="R82" s="0"/>
      <c r="S82" s="0"/>
      <c r="T82" s="0"/>
      <c r="U82" s="0"/>
      <c r="V82" s="0"/>
      <c r="W82" s="0"/>
      <c r="X82" s="0"/>
      <c r="Y82" s="0"/>
      <c r="Z82" s="0"/>
    </row>
    <row r="83" customFormat="false" ht="19.85" hidden="false" customHeight="true" outlineLevel="0" collapsed="false">
      <c r="A83" s="1" t="n">
        <v>28</v>
      </c>
      <c r="B83" s="34" t="n">
        <v>39479</v>
      </c>
      <c r="C83" s="56" t="n">
        <v>1054088</v>
      </c>
      <c r="D83" s="26" t="s">
        <v>41</v>
      </c>
      <c r="E83" s="33" t="n">
        <f aca="false">IF(D83="totale",(C83/(A83*24))/F83,IF(D83="marché libre",(C83/(A83*24))/G83,"spécifier histo"))</f>
        <v>0.670334757834758</v>
      </c>
      <c r="F83" s="59" t="n">
        <v>2340</v>
      </c>
      <c r="G83" s="57" t="n">
        <f aca="false">F83-H83</f>
        <v>0</v>
      </c>
      <c r="H83" s="59" t="n">
        <v>2340</v>
      </c>
      <c r="J83" s="183"/>
      <c r="K83" s="183"/>
      <c r="M83" s="0"/>
      <c r="N83" s="0"/>
      <c r="O83" s="184"/>
      <c r="P83" s="184"/>
      <c r="Q83" s="184"/>
      <c r="R83" s="184"/>
      <c r="S83" s="184"/>
      <c r="T83" s="184"/>
      <c r="U83" s="184"/>
      <c r="V83" s="184"/>
      <c r="W83" s="184"/>
      <c r="X83" s="184"/>
      <c r="Y83" s="184"/>
      <c r="Z83" s="184"/>
    </row>
    <row r="84" customFormat="false" ht="19.85" hidden="false" customHeight="true" outlineLevel="0" collapsed="false">
      <c r="A84" s="1" t="n">
        <v>31</v>
      </c>
      <c r="B84" s="31" t="n">
        <v>39508</v>
      </c>
      <c r="C84" s="56" t="n">
        <v>1740960</v>
      </c>
      <c r="D84" s="26" t="s">
        <v>41</v>
      </c>
      <c r="E84" s="33" t="n">
        <f aca="false">IF(D84="totale",(C84/(A84*24))/F84,IF(D84="marché libre",(C84/(A84*24))/G84,"spécifier histo"))</f>
        <v>1</v>
      </c>
      <c r="F84" s="59" t="n">
        <v>2340</v>
      </c>
      <c r="G84" s="57" t="n">
        <f aca="false">F84-H84</f>
        <v>0</v>
      </c>
      <c r="H84" s="59" t="n">
        <v>2340</v>
      </c>
      <c r="J84" s="183"/>
      <c r="K84" s="183"/>
    </row>
    <row r="85" customFormat="false" ht="19.85" hidden="false" customHeight="true" outlineLevel="0" collapsed="false">
      <c r="A85" s="1" t="n">
        <v>30</v>
      </c>
      <c r="B85" s="34" t="n">
        <v>39539</v>
      </c>
      <c r="C85" s="56" t="n">
        <v>1684800</v>
      </c>
      <c r="D85" s="26" t="s">
        <v>41</v>
      </c>
      <c r="E85" s="33" t="n">
        <f aca="false">IF(D85="totale",(C85/(A85*24))/F85,IF(D85="marché libre",(C85/(A85*24))/G85,"spécifier histo"))</f>
        <v>1</v>
      </c>
      <c r="F85" s="59" t="n">
        <v>2340</v>
      </c>
      <c r="G85" s="57" t="n">
        <f aca="false">F85-H85</f>
        <v>0</v>
      </c>
      <c r="H85" s="59" t="n">
        <v>2340</v>
      </c>
      <c r="J85" s="183"/>
      <c r="K85" s="183"/>
    </row>
    <row r="86" customFormat="false" ht="19.85" hidden="false" customHeight="true" outlineLevel="0" collapsed="false">
      <c r="A86" s="1" t="n">
        <v>31</v>
      </c>
      <c r="B86" s="31" t="n">
        <v>39569</v>
      </c>
      <c r="C86" s="56" t="n">
        <v>823319</v>
      </c>
      <c r="D86" s="26" t="s">
        <v>41</v>
      </c>
      <c r="E86" s="33" t="n">
        <f aca="false">IF(D86="totale",(C86/(A86*24))/F86,IF(D86="marché libre",(C86/(A86*24))/G86,"spécifier histo"))</f>
        <v>0.47291092270931</v>
      </c>
      <c r="F86" s="59" t="n">
        <v>2340</v>
      </c>
      <c r="G86" s="57" t="n">
        <f aca="false">F86-H86</f>
        <v>0</v>
      </c>
      <c r="H86" s="59" t="n">
        <v>2340</v>
      </c>
      <c r="J86" s="183"/>
      <c r="K86" s="183"/>
    </row>
    <row r="87" customFormat="false" ht="19.85" hidden="false" customHeight="true" outlineLevel="0" collapsed="false">
      <c r="A87" s="1" t="n">
        <v>30</v>
      </c>
      <c r="B87" s="34" t="n">
        <v>39600</v>
      </c>
      <c r="C87" s="56" t="n">
        <v>992737</v>
      </c>
      <c r="D87" s="26" t="s">
        <v>41</v>
      </c>
      <c r="E87" s="33" t="n">
        <f aca="false">IF(D87="totale",(C87/(A87*24))/F87,IF(D87="marché libre",(C87/(A87*24))/G87,"spécifier histo"))</f>
        <v>0.589231362773029</v>
      </c>
      <c r="F87" s="59" t="n">
        <v>2340</v>
      </c>
      <c r="G87" s="57" t="n">
        <f aca="false">F87-H87</f>
        <v>0</v>
      </c>
      <c r="H87" s="59" t="n">
        <v>2340</v>
      </c>
      <c r="J87" s="183"/>
      <c r="K87" s="183"/>
    </row>
    <row r="88" customFormat="false" ht="19.85" hidden="false" customHeight="true" outlineLevel="0" collapsed="false">
      <c r="A88" s="1" t="n">
        <v>31</v>
      </c>
      <c r="B88" s="31" t="n">
        <v>39630</v>
      </c>
      <c r="C88" s="56" t="n">
        <v>522451</v>
      </c>
      <c r="D88" s="26" t="s">
        <v>41</v>
      </c>
      <c r="E88" s="33" t="n">
        <f aca="false">IF(D88="totale",(C88/(A88*24))/F88,IF(D88="marché libre",(C88/(A88*24))/G88,"spécifier histo"))</f>
        <v>0.300093626504917</v>
      </c>
      <c r="F88" s="59" t="n">
        <v>2340</v>
      </c>
      <c r="G88" s="57" t="n">
        <f aca="false">F88-H88</f>
        <v>0</v>
      </c>
      <c r="H88" s="59" t="n">
        <v>2340</v>
      </c>
      <c r="J88" s="183"/>
      <c r="K88" s="183"/>
    </row>
    <row r="89" customFormat="false" ht="19.85" hidden="false" customHeight="true" outlineLevel="0" collapsed="false">
      <c r="A89" s="1" t="n">
        <v>31</v>
      </c>
      <c r="B89" s="34" t="n">
        <v>39661</v>
      </c>
      <c r="C89" s="56" t="n">
        <v>809593</v>
      </c>
      <c r="D89" s="26" t="s">
        <v>41</v>
      </c>
      <c r="E89" s="33" t="n">
        <f aca="false">IF(D89="totale",(C89/(A89*24))/F89,IF(D89="marché libre",(C89/(A89*24))/G89,"spécifier histo"))</f>
        <v>0.465026766841283</v>
      </c>
      <c r="F89" s="59" t="n">
        <v>2340</v>
      </c>
      <c r="G89" s="57" t="n">
        <f aca="false">F89-H89</f>
        <v>0</v>
      </c>
      <c r="H89" s="59" t="n">
        <v>2340</v>
      </c>
      <c r="J89" s="183"/>
      <c r="K89" s="183"/>
    </row>
    <row r="90" customFormat="false" ht="19.85" hidden="false" customHeight="true" outlineLevel="0" collapsed="false">
      <c r="A90" s="1" t="n">
        <v>30</v>
      </c>
      <c r="B90" s="31" t="n">
        <v>39692</v>
      </c>
      <c r="C90" s="56" t="n">
        <v>1183557</v>
      </c>
      <c r="D90" s="26" t="s">
        <v>41</v>
      </c>
      <c r="E90" s="33" t="n">
        <f aca="false">IF(D90="totale",(C90/(A90*24))/F90,IF(D90="marché libre",(C90/(A90*24))/G90,"spécifier histo"))</f>
        <v>0.702491096866097</v>
      </c>
      <c r="F90" s="59" t="n">
        <v>2340</v>
      </c>
      <c r="G90" s="57" t="n">
        <f aca="false">F90-H90</f>
        <v>0</v>
      </c>
      <c r="H90" s="59" t="n">
        <v>2340</v>
      </c>
      <c r="J90" s="183"/>
      <c r="K90" s="183"/>
    </row>
    <row r="91" customFormat="false" ht="19.85" hidden="false" customHeight="true" outlineLevel="0" collapsed="false">
      <c r="A91" s="1" t="n">
        <v>31</v>
      </c>
      <c r="B91" s="34" t="n">
        <v>39722</v>
      </c>
      <c r="C91" s="56" t="n">
        <v>1106173</v>
      </c>
      <c r="D91" s="26" t="s">
        <v>41</v>
      </c>
      <c r="E91" s="33" t="n">
        <f aca="false">IF(D91="totale",(C91/(A91*24))/F91,IF(D91="marché libre",(C91/(A91*24))/G91,"spécifier histo"))</f>
        <v>0.635381054131054</v>
      </c>
      <c r="F91" s="59" t="n">
        <v>2340</v>
      </c>
      <c r="G91" s="57" t="n">
        <f aca="false">F91-H91</f>
        <v>0</v>
      </c>
      <c r="H91" s="59" t="n">
        <v>2340</v>
      </c>
      <c r="J91" s="183"/>
      <c r="K91" s="183"/>
    </row>
    <row r="92" customFormat="false" ht="19.85" hidden="false" customHeight="true" outlineLevel="0" collapsed="false">
      <c r="A92" s="1" t="n">
        <v>30</v>
      </c>
      <c r="B92" s="31" t="n">
        <v>39753</v>
      </c>
      <c r="C92" s="56" t="n">
        <v>1346221</v>
      </c>
      <c r="D92" s="26" t="s">
        <v>41</v>
      </c>
      <c r="E92" s="33" t="n">
        <f aca="false">IF(D92="totale",(C92/(A92*24))/F92,IF(D92="marché libre",(C92/(A92*24))/G92,"spécifier histo"))</f>
        <v>0.799039055080722</v>
      </c>
      <c r="F92" s="59" t="n">
        <v>2340</v>
      </c>
      <c r="G92" s="57" t="n">
        <f aca="false">F92-H92</f>
        <v>0</v>
      </c>
      <c r="H92" s="59" t="n">
        <v>2340</v>
      </c>
      <c r="J92" s="183"/>
      <c r="K92" s="183"/>
    </row>
    <row r="93" customFormat="false" ht="19.85" hidden="false" customHeight="true" outlineLevel="0" collapsed="false">
      <c r="A93" s="1" t="n">
        <v>31</v>
      </c>
      <c r="B93" s="34" t="n">
        <v>39783</v>
      </c>
      <c r="C93" s="56" t="n">
        <v>1731572</v>
      </c>
      <c r="D93" s="26" t="s">
        <v>41</v>
      </c>
      <c r="E93" s="33" t="n">
        <f aca="false">IF(D93="totale",(C93/(A93*24))/F93,IF(D93="marché libre",(C93/(A93*24))/G93,"spécifier histo"))</f>
        <v>0.994607572833379</v>
      </c>
      <c r="F93" s="59" t="n">
        <v>2340</v>
      </c>
      <c r="G93" s="57" t="n">
        <f aca="false">F93-H93</f>
        <v>0</v>
      </c>
      <c r="H93" s="59" t="n">
        <v>2340</v>
      </c>
      <c r="J93" s="183"/>
      <c r="K93" s="183"/>
    </row>
    <row r="94" customFormat="false" ht="19.85" hidden="false" customHeight="true" outlineLevel="0" collapsed="false">
      <c r="A94" s="1" t="n">
        <v>31</v>
      </c>
      <c r="B94" s="31" t="n">
        <v>39814</v>
      </c>
      <c r="C94" s="56" t="n">
        <v>1375024</v>
      </c>
      <c r="D94" s="26" t="s">
        <v>41</v>
      </c>
      <c r="E94" s="33" t="n">
        <f aca="false">IF(D94="totale",(C94/(A94*24))/F94,IF(D94="marché libre",(C94/(A94*24))/G94,"spécifier histo"))</f>
        <v>0.789807922065987</v>
      </c>
      <c r="F94" s="59" t="n">
        <v>2340</v>
      </c>
      <c r="G94" s="57" t="n">
        <f aca="false">F94-H94</f>
        <v>0</v>
      </c>
      <c r="H94" s="59" t="n">
        <v>2340</v>
      </c>
      <c r="J94" s="183"/>
      <c r="K94" s="183"/>
    </row>
    <row r="95" customFormat="false" ht="19.85" hidden="false" customHeight="true" outlineLevel="0" collapsed="false">
      <c r="A95" s="1" t="n">
        <v>28</v>
      </c>
      <c r="B95" s="34" t="n">
        <v>39845</v>
      </c>
      <c r="C95" s="56" t="n">
        <v>764282</v>
      </c>
      <c r="D95" s="26" t="s">
        <v>41</v>
      </c>
      <c r="E95" s="33" t="n">
        <f aca="false">IF(D95="totale",(C95/(A95*24))/F95,IF(D95="marché libre",(C95/(A95*24))/G95,"spécifier histo"))</f>
        <v>0.763304969638862</v>
      </c>
      <c r="F95" s="59" t="n">
        <f aca="false">2940-1450</f>
        <v>1490</v>
      </c>
      <c r="G95" s="57" t="n">
        <f aca="false">F95-H95</f>
        <v>0</v>
      </c>
      <c r="H95" s="59" t="n">
        <v>1490</v>
      </c>
      <c r="I95" s="180" t="s">
        <v>171</v>
      </c>
      <c r="J95" s="185"/>
      <c r="K95" s="183"/>
    </row>
    <row r="96" customFormat="false" ht="19.85" hidden="false" customHeight="true" outlineLevel="0" collapsed="false">
      <c r="A96" s="1" t="n">
        <v>31</v>
      </c>
      <c r="B96" s="31" t="n">
        <v>39873</v>
      </c>
      <c r="C96" s="56" t="n">
        <v>859915</v>
      </c>
      <c r="D96" s="26" t="s">
        <v>41</v>
      </c>
      <c r="E96" s="33" t="n">
        <f aca="false">IF(D96="totale",(C96/(A96*24))/F96,IF(D96="marché libre",(C96/(A96*24))/G96,"spécifier histo"))</f>
        <v>0.775704517572346</v>
      </c>
      <c r="F96" s="59" t="n">
        <f aca="false">2940-1450</f>
        <v>1490</v>
      </c>
      <c r="G96" s="57" t="n">
        <f aca="false">F96-H96</f>
        <v>0</v>
      </c>
      <c r="H96" s="59" t="n">
        <v>1490</v>
      </c>
      <c r="I96" s="180" t="s">
        <v>171</v>
      </c>
      <c r="J96" s="183" t="s">
        <v>172</v>
      </c>
      <c r="K96" s="183"/>
    </row>
    <row r="97" customFormat="false" ht="19.85" hidden="false" customHeight="true" outlineLevel="0" collapsed="false">
      <c r="A97" s="1" t="n">
        <v>30</v>
      </c>
      <c r="B97" s="34" t="n">
        <v>39904</v>
      </c>
      <c r="C97" s="56" t="n">
        <v>804812</v>
      </c>
      <c r="D97" s="26" t="s">
        <v>41</v>
      </c>
      <c r="E97" s="33" t="n">
        <f aca="false">IF(D97="totale",(C97/(A97*24))/F97,IF(D97="marché libre",(C97/(A97*24))/G97,"spécifier histo"))</f>
        <v>0.750197613721104</v>
      </c>
      <c r="F97" s="59" t="n">
        <f aca="false">2940-1450</f>
        <v>1490</v>
      </c>
      <c r="G97" s="57" t="n">
        <f aca="false">F97-H97</f>
        <v>0</v>
      </c>
      <c r="H97" s="59" t="n">
        <v>1490</v>
      </c>
      <c r="I97" s="180" t="s">
        <v>171</v>
      </c>
      <c r="J97" s="183"/>
      <c r="K97" s="183"/>
    </row>
    <row r="98" customFormat="false" ht="19.85" hidden="false" customHeight="true" outlineLevel="0" collapsed="false">
      <c r="A98" s="1" t="n">
        <v>31</v>
      </c>
      <c r="B98" s="31" t="n">
        <v>39934</v>
      </c>
      <c r="C98" s="56" t="n">
        <v>442134</v>
      </c>
      <c r="D98" s="26" t="s">
        <v>41</v>
      </c>
      <c r="E98" s="33" t="n">
        <f aca="false">IF(D98="totale",(C98/(A98*24))/F98,IF(D98="marché libre",(C98/(A98*24))/G98,"spécifier histo"))</f>
        <v>0.25395988420182</v>
      </c>
      <c r="F98" s="59" t="n">
        <v>2340</v>
      </c>
      <c r="G98" s="57" t="n">
        <f aca="false">F98-H98</f>
        <v>0</v>
      </c>
      <c r="H98" s="59" t="n">
        <v>2340</v>
      </c>
      <c r="J98" s="183" t="s">
        <v>173</v>
      </c>
      <c r="K98" s="183"/>
    </row>
    <row r="99" customFormat="false" ht="19.85" hidden="false" customHeight="true" outlineLevel="0" collapsed="false">
      <c r="A99" s="1" t="n">
        <v>30</v>
      </c>
      <c r="B99" s="34" t="n">
        <v>39965</v>
      </c>
      <c r="C99" s="56" t="n">
        <v>269373</v>
      </c>
      <c r="D99" s="26" t="s">
        <v>41</v>
      </c>
      <c r="E99" s="33" t="n">
        <f aca="false">IF(D99="totale",(C99/(A99*24))/F99,IF(D99="marché libre",(C99/(A99*24))/G99,"spécifier histo"))</f>
        <v>0.159884259259259</v>
      </c>
      <c r="F99" s="59" t="n">
        <v>2340</v>
      </c>
      <c r="G99" s="57" t="n">
        <f aca="false">F99-H99</f>
        <v>0</v>
      </c>
      <c r="H99" s="59" t="n">
        <v>2340</v>
      </c>
      <c r="J99" s="183"/>
      <c r="K99" s="183"/>
    </row>
    <row r="100" customFormat="false" ht="19.85" hidden="false" customHeight="true" outlineLevel="0" collapsed="false">
      <c r="A100" s="1" t="n">
        <v>31</v>
      </c>
      <c r="B100" s="31" t="n">
        <v>39995</v>
      </c>
      <c r="C100" s="56" t="n">
        <v>392648</v>
      </c>
      <c r="D100" s="26" t="s">
        <v>41</v>
      </c>
      <c r="E100" s="33" t="n">
        <f aca="false">IF(D100="totale",(C100/(A100*24))/F100,IF(D100="marché libre",(C100/(A100*24))/G100,"spécifier histo"))</f>
        <v>0.225535336825659</v>
      </c>
      <c r="F100" s="59" t="n">
        <v>2340</v>
      </c>
      <c r="G100" s="57" t="n">
        <f aca="false">F100-H100</f>
        <v>0</v>
      </c>
      <c r="H100" s="59" t="n">
        <v>2340</v>
      </c>
      <c r="J100" s="183"/>
      <c r="K100" s="183"/>
    </row>
    <row r="101" customFormat="false" ht="19.85" hidden="false" customHeight="true" outlineLevel="0" collapsed="false">
      <c r="A101" s="1" t="n">
        <v>31</v>
      </c>
      <c r="B101" s="34" t="n">
        <v>40026</v>
      </c>
      <c r="C101" s="56" t="n">
        <v>239205</v>
      </c>
      <c r="D101" s="26" t="s">
        <v>41</v>
      </c>
      <c r="E101" s="33" t="n">
        <f aca="false">IF(D101="totale",(C101/(A101*24))/F101,IF(D101="marché libre",(C101/(A101*24))/G101,"spécifier histo"))</f>
        <v>0.137398331954784</v>
      </c>
      <c r="F101" s="59" t="n">
        <v>2340</v>
      </c>
      <c r="G101" s="57" t="n">
        <f aca="false">F101-H101</f>
        <v>0</v>
      </c>
      <c r="H101" s="59" t="n">
        <v>2340</v>
      </c>
      <c r="J101" s="183"/>
      <c r="K101" s="183"/>
    </row>
    <row r="102" customFormat="false" ht="19.85" hidden="false" customHeight="true" outlineLevel="0" collapsed="false">
      <c r="A102" s="1" t="n">
        <v>30</v>
      </c>
      <c r="B102" s="31" t="n">
        <v>40057</v>
      </c>
      <c r="C102" s="56" t="n">
        <v>163784</v>
      </c>
      <c r="D102" s="26" t="s">
        <v>41</v>
      </c>
      <c r="E102" s="33" t="n">
        <f aca="false">IF(D102="totale",(C102/(A102*24))/F102,IF(D102="marché libre",(C102/(A102*24))/G102,"spécifier histo"))</f>
        <v>0.0972127255460589</v>
      </c>
      <c r="F102" s="59" t="n">
        <v>2340</v>
      </c>
      <c r="G102" s="57" t="n">
        <f aca="false">F102-H102</f>
        <v>0</v>
      </c>
      <c r="H102" s="59" t="n">
        <v>2340</v>
      </c>
      <c r="J102" s="183"/>
      <c r="K102" s="183"/>
    </row>
    <row r="103" customFormat="false" ht="19.85" hidden="false" customHeight="true" outlineLevel="0" collapsed="false">
      <c r="A103" s="1" t="n">
        <v>31</v>
      </c>
      <c r="B103" s="34" t="n">
        <v>40087</v>
      </c>
      <c r="C103" s="56" t="n">
        <v>149847</v>
      </c>
      <c r="D103" s="26" t="s">
        <v>41</v>
      </c>
      <c r="E103" s="33" t="n">
        <f aca="false">IF(D103="totale",(C103/(A103*24))/F103,IF(D103="marché libre",(C103/(A103*24))/G103,"spécifier histo"))</f>
        <v>0.0860714778053488</v>
      </c>
      <c r="F103" s="59" t="n">
        <v>2340</v>
      </c>
      <c r="G103" s="57" t="n">
        <f aca="false">F103-H103</f>
        <v>0</v>
      </c>
      <c r="H103" s="59" t="n">
        <v>2340</v>
      </c>
      <c r="J103" s="183"/>
      <c r="K103" s="183"/>
    </row>
    <row r="104" customFormat="false" ht="19.85" hidden="false" customHeight="true" outlineLevel="0" collapsed="false">
      <c r="A104" s="1" t="n">
        <v>30</v>
      </c>
      <c r="B104" s="31" t="n">
        <v>40118</v>
      </c>
      <c r="C104" s="56" t="n">
        <v>1065888</v>
      </c>
      <c r="D104" s="26" t="s">
        <v>41</v>
      </c>
      <c r="E104" s="33" t="n">
        <f aca="false">IF(D104="totale",(C104/(A104*24))/F104,IF(D104="marché libre",(C104/(A104*24))/G104,"spécifier histo"))</f>
        <v>0.632649572649573</v>
      </c>
      <c r="F104" s="59" t="n">
        <v>2340</v>
      </c>
      <c r="G104" s="57" t="n">
        <f aca="false">F104-H104</f>
        <v>0</v>
      </c>
      <c r="H104" s="59" t="n">
        <v>2340</v>
      </c>
      <c r="J104" s="183"/>
      <c r="K104" s="183"/>
    </row>
    <row r="105" customFormat="false" ht="19.85" hidden="false" customHeight="true" outlineLevel="0" collapsed="false">
      <c r="A105" s="1" t="n">
        <v>31</v>
      </c>
      <c r="B105" s="34" t="n">
        <v>40148</v>
      </c>
      <c r="C105" s="56" t="n">
        <v>1676707</v>
      </c>
      <c r="D105" s="26" t="s">
        <v>41</v>
      </c>
      <c r="E105" s="33" t="n">
        <f aca="false">IF(D105="totale",(C105/(A105*24))/F105,IF(D105="marché libre",(C105/(A105*24))/G105,"spécifier histo"))</f>
        <v>0.963093350794964</v>
      </c>
      <c r="F105" s="59" t="n">
        <v>2340</v>
      </c>
      <c r="G105" s="57" t="n">
        <f aca="false">F105-H105</f>
        <v>0</v>
      </c>
      <c r="H105" s="59" t="n">
        <v>2340</v>
      </c>
      <c r="J105" s="183"/>
      <c r="K105" s="183"/>
    </row>
    <row r="106" customFormat="false" ht="19.85" hidden="false" customHeight="true" outlineLevel="0" collapsed="false">
      <c r="A106" s="1" t="n">
        <v>31</v>
      </c>
      <c r="B106" s="31" t="n">
        <v>40179</v>
      </c>
      <c r="C106" s="56" t="n">
        <v>1537350</v>
      </c>
      <c r="D106" s="26" t="s">
        <v>41</v>
      </c>
      <c r="E106" s="33" t="n">
        <f aca="false">IF(D106="totale",(C106/(A106*24))/F106,IF(D106="marché libre",(C106/(A106*24))/G106,"spécifier histo"))</f>
        <v>0.883047284256962</v>
      </c>
      <c r="F106" s="59" t="n">
        <v>2340</v>
      </c>
      <c r="G106" s="57" t="n">
        <f aca="false">F106-H106</f>
        <v>0</v>
      </c>
      <c r="H106" s="59" t="n">
        <v>2340</v>
      </c>
      <c r="J106" s="183"/>
      <c r="K106" s="183"/>
    </row>
    <row r="107" customFormat="false" ht="19.85" hidden="false" customHeight="true" outlineLevel="0" collapsed="false">
      <c r="A107" s="1" t="n">
        <v>28</v>
      </c>
      <c r="B107" s="34" t="n">
        <v>40210</v>
      </c>
      <c r="C107" s="56" t="n">
        <v>1526681</v>
      </c>
      <c r="D107" s="26" t="s">
        <v>41</v>
      </c>
      <c r="E107" s="33" t="n">
        <f aca="false">IF(D107="totale",(C107/(A107*24))/F107,IF(D107="marché libre",(C107/(A107*24))/G107,"spécifier histo"))</f>
        <v>0.970874669312169</v>
      </c>
      <c r="F107" s="59" t="n">
        <v>2340</v>
      </c>
      <c r="G107" s="57" t="n">
        <f aca="false">F107-H107</f>
        <v>0</v>
      </c>
      <c r="H107" s="59" t="n">
        <v>2340</v>
      </c>
      <c r="J107" s="183"/>
      <c r="K107" s="183"/>
    </row>
    <row r="108" customFormat="false" ht="19.85" hidden="false" customHeight="true" outlineLevel="0" collapsed="false">
      <c r="A108" s="1" t="n">
        <v>31</v>
      </c>
      <c r="B108" s="31" t="n">
        <v>40238</v>
      </c>
      <c r="C108" s="56" t="n">
        <v>1531670</v>
      </c>
      <c r="D108" s="26" t="s">
        <v>41</v>
      </c>
      <c r="E108" s="33" t="n">
        <f aca="false">IF(D108="totale",(C108/(A108*24))/F108,IF(D108="marché libre",(C108/(A108*24))/G108,"spécifier histo"))</f>
        <v>0.879784716478265</v>
      </c>
      <c r="F108" s="59" t="n">
        <v>2340</v>
      </c>
      <c r="G108" s="57" t="n">
        <f aca="false">F108-H108</f>
        <v>0</v>
      </c>
      <c r="H108" s="59" t="n">
        <v>2340</v>
      </c>
      <c r="J108" s="183"/>
      <c r="K108" s="183"/>
    </row>
    <row r="109" customFormat="false" ht="19.85" hidden="false" customHeight="true" outlineLevel="0" collapsed="false">
      <c r="A109" s="1" t="n">
        <v>30</v>
      </c>
      <c r="B109" s="34" t="n">
        <v>40269</v>
      </c>
      <c r="C109" s="56" t="n">
        <v>1120160</v>
      </c>
      <c r="D109" s="26" t="s">
        <v>41</v>
      </c>
      <c r="E109" s="33" t="n">
        <f aca="false">IF(D109="totale",(C109/(A109*24))/F109,IF(D109="marché libre",(C109/(A109*24))/G109,"spécifier histo"))</f>
        <v>0.664862298195632</v>
      </c>
      <c r="F109" s="59" t="n">
        <v>2340</v>
      </c>
      <c r="G109" s="57" t="n">
        <f aca="false">F109-H109</f>
        <v>0</v>
      </c>
      <c r="H109" s="59" t="n">
        <v>2340</v>
      </c>
      <c r="J109" s="183"/>
      <c r="K109" s="183"/>
    </row>
    <row r="110" customFormat="false" ht="19.85" hidden="false" customHeight="true" outlineLevel="0" collapsed="false">
      <c r="A110" s="1" t="n">
        <v>31</v>
      </c>
      <c r="B110" s="31" t="n">
        <v>40299</v>
      </c>
      <c r="C110" s="56" t="n">
        <v>909114</v>
      </c>
      <c r="D110" s="26" t="s">
        <v>41</v>
      </c>
      <c r="E110" s="33" t="n">
        <f aca="false">IF(D110="totale",(C110/(A110*24))/F110,IF(D110="marché libre",(C110/(A110*24))/G110,"spécifier histo"))</f>
        <v>0.522191204852495</v>
      </c>
      <c r="F110" s="59" t="n">
        <v>2340</v>
      </c>
      <c r="G110" s="57" t="n">
        <f aca="false">F110-H110</f>
        <v>0</v>
      </c>
      <c r="H110" s="59" t="n">
        <v>2340</v>
      </c>
      <c r="J110" s="183"/>
      <c r="K110" s="183"/>
    </row>
    <row r="111" customFormat="false" ht="19.85" hidden="false" customHeight="true" outlineLevel="0" collapsed="false">
      <c r="A111" s="1" t="n">
        <v>30</v>
      </c>
      <c r="B111" s="34" t="n">
        <v>40330</v>
      </c>
      <c r="C111" s="56" t="n">
        <v>912023</v>
      </c>
      <c r="D111" s="26" t="s">
        <v>41</v>
      </c>
      <c r="E111" s="33" t="n">
        <f aca="false">IF(D111="totale",(C111/(A111*24))/F111,IF(D111="marché libre",(C111/(A111*24))/G111,"spécifier histo"))</f>
        <v>0.541324192782526</v>
      </c>
      <c r="F111" s="59" t="n">
        <v>2340</v>
      </c>
      <c r="G111" s="57" t="n">
        <f aca="false">F111-H111</f>
        <v>0</v>
      </c>
      <c r="H111" s="59" t="n">
        <v>2340</v>
      </c>
      <c r="J111" s="183"/>
      <c r="K111" s="183"/>
    </row>
    <row r="112" customFormat="false" ht="19.85" hidden="false" customHeight="true" outlineLevel="0" collapsed="false">
      <c r="A112" s="1" t="n">
        <v>31</v>
      </c>
      <c r="B112" s="31" t="n">
        <v>40360</v>
      </c>
      <c r="C112" s="56" t="n">
        <v>319151</v>
      </c>
      <c r="D112" s="26" t="s">
        <v>41</v>
      </c>
      <c r="E112" s="33" t="n">
        <f aca="false">IF(D112="totale",(C112/(A112*24))/F112,IF(D112="marché libre",(C112/(A112*24))/G112,"spécifier histo"))</f>
        <v>0.183318973439941</v>
      </c>
      <c r="F112" s="59" t="n">
        <v>2340</v>
      </c>
      <c r="G112" s="57" t="n">
        <f aca="false">F112-H112</f>
        <v>0</v>
      </c>
      <c r="H112" s="59" t="n">
        <v>2340</v>
      </c>
      <c r="J112" s="183"/>
      <c r="K112" s="183"/>
    </row>
    <row r="113" customFormat="false" ht="19.85" hidden="false" customHeight="true" outlineLevel="0" collapsed="false">
      <c r="A113" s="1" t="n">
        <v>31</v>
      </c>
      <c r="B113" s="34" t="n">
        <v>40391</v>
      </c>
      <c r="C113" s="56" t="n">
        <v>1037936</v>
      </c>
      <c r="D113" s="26" t="s">
        <v>41</v>
      </c>
      <c r="E113" s="33" t="n">
        <f aca="false">IF(D113="totale",(C113/(A113*24))/F113,IF(D113="marché libre",(C113/(A113*24))/G113,"spécifier histo"))</f>
        <v>0.596186012315045</v>
      </c>
      <c r="F113" s="59" t="n">
        <v>2340</v>
      </c>
      <c r="G113" s="57" t="n">
        <f aca="false">F113-H113</f>
        <v>0</v>
      </c>
      <c r="H113" s="59" t="n">
        <v>2340</v>
      </c>
      <c r="J113" s="183"/>
      <c r="K113" s="183"/>
    </row>
    <row r="114" customFormat="false" ht="19.85" hidden="false" customHeight="true" outlineLevel="0" collapsed="false">
      <c r="A114" s="1" t="n">
        <v>30</v>
      </c>
      <c r="B114" s="31" t="n">
        <v>40422</v>
      </c>
      <c r="C114" s="56" t="n">
        <v>777572</v>
      </c>
      <c r="D114" s="26" t="s">
        <v>41</v>
      </c>
      <c r="E114" s="33" t="n">
        <f aca="false">IF(D114="totale",(C114/(A114*24))/F114,IF(D114="marché libre",(C114/(A114*24))/G114,"spécifier histo"))</f>
        <v>0.461521842355176</v>
      </c>
      <c r="F114" s="59" t="n">
        <v>2340</v>
      </c>
      <c r="G114" s="57" t="n">
        <f aca="false">F114-H114</f>
        <v>0</v>
      </c>
      <c r="H114" s="59" t="n">
        <v>2340</v>
      </c>
      <c r="J114" s="183"/>
      <c r="K114" s="183"/>
    </row>
    <row r="115" customFormat="false" ht="19.85" hidden="false" customHeight="true" outlineLevel="0" collapsed="false">
      <c r="A115" s="1" t="n">
        <v>31</v>
      </c>
      <c r="B115" s="34" t="n">
        <v>40452</v>
      </c>
      <c r="C115" s="56" t="n">
        <v>611957</v>
      </c>
      <c r="D115" s="26" t="s">
        <v>41</v>
      </c>
      <c r="E115" s="33" t="n">
        <f aca="false">IF(D115="totale",(C115/(A115*24))/F115,IF(D115="marché libre",(C115/(A115*24))/G115,"spécifier histo"))</f>
        <v>0.351505491223233</v>
      </c>
      <c r="F115" s="59" t="n">
        <v>2340</v>
      </c>
      <c r="G115" s="57" t="n">
        <f aca="false">F115-H115</f>
        <v>0</v>
      </c>
      <c r="H115" s="59" t="n">
        <v>2340</v>
      </c>
      <c r="J115" s="183"/>
      <c r="K115" s="183"/>
    </row>
    <row r="116" customFormat="false" ht="19.85" hidden="false" customHeight="true" outlineLevel="0" collapsed="false">
      <c r="A116" s="1" t="n">
        <v>30</v>
      </c>
      <c r="B116" s="31" t="n">
        <v>40483</v>
      </c>
      <c r="C116" s="56" t="n">
        <v>1234169</v>
      </c>
      <c r="D116" s="26" t="s">
        <v>41</v>
      </c>
      <c r="E116" s="33" t="n">
        <f aca="false">IF(D116="totale",(C116/(A116*24))/F116,IF(D116="marché libre",(C116/(A116*24))/G116,"spécifier histo"))</f>
        <v>0.732531457739791</v>
      </c>
      <c r="F116" s="59" t="n">
        <v>2340</v>
      </c>
      <c r="G116" s="57" t="n">
        <f aca="false">F116-H116</f>
        <v>0</v>
      </c>
      <c r="H116" s="59" t="n">
        <v>2340</v>
      </c>
      <c r="J116" s="183"/>
      <c r="K116" s="183"/>
    </row>
    <row r="117" customFormat="false" ht="19.85" hidden="false" customHeight="true" outlineLevel="0" collapsed="false">
      <c r="A117" s="1" t="n">
        <v>31</v>
      </c>
      <c r="B117" s="34" t="n">
        <v>40513</v>
      </c>
      <c r="C117" s="56" t="n">
        <v>1520438</v>
      </c>
      <c r="D117" s="26" t="s">
        <v>41</v>
      </c>
      <c r="E117" s="33" t="n">
        <f aca="false">IF(D117="totale",(C117/(A117*24))/F117,IF(D117="marché libre",(C117/(A117*24))/G117,"spécifier histo"))</f>
        <v>0.873333103575039</v>
      </c>
      <c r="F117" s="59" t="n">
        <v>2340</v>
      </c>
      <c r="G117" s="57" t="n">
        <f aca="false">F117-H117</f>
        <v>0</v>
      </c>
      <c r="H117" s="59" t="n">
        <v>2340</v>
      </c>
      <c r="J117" s="183"/>
      <c r="K117" s="183"/>
    </row>
    <row r="118" customFormat="false" ht="19.85" hidden="false" customHeight="true" outlineLevel="0" collapsed="false">
      <c r="A118" s="1" t="n">
        <v>31</v>
      </c>
      <c r="B118" s="31" t="n">
        <v>40544</v>
      </c>
      <c r="C118" s="56" t="n">
        <v>1657250</v>
      </c>
      <c r="D118" s="26" t="s">
        <v>41</v>
      </c>
      <c r="E118" s="33" t="n">
        <f aca="false">IF(D118="totale",(C118/(A118*24))/F118,IF(D118="marché libre",(C118/(A118*24))/G118,"spécifier histo"))</f>
        <v>0.95191733296572</v>
      </c>
      <c r="F118" s="59" t="n">
        <v>2340</v>
      </c>
      <c r="G118" s="57" t="n">
        <f aca="false">F118-H118</f>
        <v>0</v>
      </c>
      <c r="H118" s="59" t="n">
        <v>2340</v>
      </c>
      <c r="J118" s="183"/>
      <c r="K118" s="183"/>
    </row>
    <row r="119" customFormat="false" ht="19.85" hidden="false" customHeight="true" outlineLevel="0" collapsed="false">
      <c r="A119" s="1" t="n">
        <v>28</v>
      </c>
      <c r="B119" s="34" t="n">
        <v>40575</v>
      </c>
      <c r="C119" s="56" t="n">
        <v>821981</v>
      </c>
      <c r="D119" s="26" t="s">
        <v>41</v>
      </c>
      <c r="E119" s="33" t="n">
        <f aca="false">IF(D119="totale",(C119/(A119*24))/F119,IF(D119="marché libre",(C119/(A119*24))/G119,"spécifier histo"))</f>
        <v>0.522729064916565</v>
      </c>
      <c r="F119" s="59" t="n">
        <v>2340</v>
      </c>
      <c r="G119" s="57" t="n">
        <f aca="false">F119-H119</f>
        <v>0</v>
      </c>
      <c r="H119" s="59" t="n">
        <v>2340</v>
      </c>
      <c r="J119" s="183"/>
      <c r="K119" s="183"/>
    </row>
    <row r="120" customFormat="false" ht="19.85" hidden="false" customHeight="true" outlineLevel="0" collapsed="false">
      <c r="A120" s="1" t="n">
        <v>31</v>
      </c>
      <c r="B120" s="31" t="n">
        <v>40603</v>
      </c>
      <c r="C120" s="56" t="n">
        <v>994361</v>
      </c>
      <c r="D120" s="26" t="s">
        <v>41</v>
      </c>
      <c r="E120" s="33" t="n">
        <f aca="false">IF(D120="totale",(C120/(A120*24))/F120,IF(D120="marché libre",(C120/(A120*24))/G120,"spécifier histo"))</f>
        <v>0.571156718132525</v>
      </c>
      <c r="F120" s="59" t="n">
        <v>2340</v>
      </c>
      <c r="G120" s="57" t="n">
        <f aca="false">F120-H120</f>
        <v>0</v>
      </c>
      <c r="H120" s="59" t="n">
        <v>2340</v>
      </c>
      <c r="J120" s="183"/>
      <c r="K120" s="183"/>
    </row>
    <row r="121" customFormat="false" ht="19.85" hidden="false" customHeight="true" outlineLevel="0" collapsed="false">
      <c r="A121" s="1" t="n">
        <v>30</v>
      </c>
      <c r="B121" s="34" t="n">
        <v>40634</v>
      </c>
      <c r="C121" s="56" t="n">
        <v>582858</v>
      </c>
      <c r="D121" s="26" t="s">
        <v>41</v>
      </c>
      <c r="E121" s="33" t="n">
        <f aca="false">IF(D121="totale",(C121/(A121*24))/F121,IF(D121="marché libre",(C121/(A121*24))/G121,"spécifier histo"))</f>
        <v>0.345950854700855</v>
      </c>
      <c r="F121" s="59" t="n">
        <v>2340</v>
      </c>
      <c r="G121" s="57" t="n">
        <f aca="false">F121-H121</f>
        <v>0</v>
      </c>
      <c r="H121" s="59" t="n">
        <v>2340</v>
      </c>
      <c r="J121" s="183"/>
      <c r="K121" s="183"/>
    </row>
    <row r="122" customFormat="false" ht="19.85" hidden="false" customHeight="true" outlineLevel="0" collapsed="false">
      <c r="A122" s="1" t="n">
        <v>31</v>
      </c>
      <c r="B122" s="31" t="n">
        <v>40664</v>
      </c>
      <c r="C122" s="56" t="n">
        <v>278900</v>
      </c>
      <c r="D122" s="26" t="s">
        <v>41</v>
      </c>
      <c r="E122" s="33" t="n">
        <f aca="false">IF(D122="totale",(C122/(A122*24))/F122,IF(D122="marché libre",(C122/(A122*24))/G122,"spécifier histo"))</f>
        <v>0.160198970682842</v>
      </c>
      <c r="F122" s="59" t="n">
        <v>2340</v>
      </c>
      <c r="G122" s="57" t="n">
        <f aca="false">F122-H122</f>
        <v>0</v>
      </c>
      <c r="H122" s="59" t="n">
        <v>2340</v>
      </c>
      <c r="J122" s="183"/>
      <c r="K122" s="183"/>
    </row>
    <row r="123" customFormat="false" ht="19.85" hidden="false" customHeight="true" outlineLevel="0" collapsed="false">
      <c r="A123" s="1" t="n">
        <v>30</v>
      </c>
      <c r="B123" s="34" t="n">
        <v>40695</v>
      </c>
      <c r="C123" s="56" t="n">
        <v>334034</v>
      </c>
      <c r="D123" s="26" t="s">
        <v>41</v>
      </c>
      <c r="E123" s="33" t="n">
        <f aca="false">IF(D123="totale",(C123/(A123*24))/F123,IF(D123="marché libre",(C123/(A123*24))/G123,"spécifier histo"))</f>
        <v>0.198263295346629</v>
      </c>
      <c r="F123" s="59" t="n">
        <v>2340</v>
      </c>
      <c r="G123" s="57" t="n">
        <f aca="false">F123-H123</f>
        <v>0</v>
      </c>
      <c r="H123" s="59" t="n">
        <v>2340</v>
      </c>
      <c r="J123" s="183"/>
      <c r="K123" s="183"/>
    </row>
    <row r="124" customFormat="false" ht="19.85" hidden="false" customHeight="true" outlineLevel="0" collapsed="false">
      <c r="A124" s="1" t="n">
        <v>31</v>
      </c>
      <c r="B124" s="31" t="n">
        <v>40725</v>
      </c>
      <c r="C124" s="56" t="n">
        <v>633416</v>
      </c>
      <c r="D124" s="26" t="s">
        <v>41</v>
      </c>
      <c r="E124" s="33" t="n">
        <f aca="false">IF(D124="totale",(C124/(A124*24))/F124,IF(D124="marché libre",(C124/(A124*24))/G124,"spécifier histo"))</f>
        <v>0.36383144931532</v>
      </c>
      <c r="F124" s="59" t="n">
        <v>2340</v>
      </c>
      <c r="G124" s="57" t="n">
        <f aca="false">F124-H124</f>
        <v>0</v>
      </c>
      <c r="H124" s="59" t="n">
        <v>2340</v>
      </c>
      <c r="J124" s="183"/>
      <c r="K124" s="183"/>
    </row>
    <row r="125" customFormat="false" ht="19.85" hidden="false" customHeight="true" outlineLevel="0" collapsed="false">
      <c r="A125" s="1" t="n">
        <v>31</v>
      </c>
      <c r="B125" s="34" t="n">
        <v>40756</v>
      </c>
      <c r="C125" s="56" t="n">
        <v>329755</v>
      </c>
      <c r="D125" s="26" t="s">
        <v>41</v>
      </c>
      <c r="E125" s="33" t="n">
        <f aca="false">IF(D125="totale",(C125/(A125*24))/F125,IF(D125="marché libre",(C125/(A125*24))/G125,"spécifier histo"))</f>
        <v>0.189409865821156</v>
      </c>
      <c r="F125" s="59" t="n">
        <v>2340</v>
      </c>
      <c r="G125" s="57" t="n">
        <f aca="false">F125-H125</f>
        <v>0</v>
      </c>
      <c r="H125" s="59" t="n">
        <v>2340</v>
      </c>
      <c r="J125" s="183"/>
      <c r="K125" s="183"/>
    </row>
    <row r="126" customFormat="false" ht="19.85" hidden="false" customHeight="true" outlineLevel="0" collapsed="false">
      <c r="A126" s="1" t="n">
        <v>30</v>
      </c>
      <c r="B126" s="31" t="n">
        <v>40787</v>
      </c>
      <c r="C126" s="56" t="n">
        <v>506036</v>
      </c>
      <c r="D126" s="26" t="s">
        <v>41</v>
      </c>
      <c r="E126" s="33" t="n">
        <f aca="false">IF(D126="totale",(C126/(A126*24))/F126,IF(D126="marché libre",(C126/(A126*24))/G126,"spécifier histo"))</f>
        <v>0.300353751187084</v>
      </c>
      <c r="F126" s="59" t="n">
        <v>2340</v>
      </c>
      <c r="G126" s="57" t="n">
        <f aca="false">F126-H126</f>
        <v>0</v>
      </c>
      <c r="H126" s="59" t="n">
        <v>2340</v>
      </c>
      <c r="J126" s="183"/>
      <c r="K126" s="183"/>
    </row>
    <row r="127" customFormat="false" ht="19.85" hidden="false" customHeight="true" outlineLevel="0" collapsed="false">
      <c r="A127" s="1" t="n">
        <v>31</v>
      </c>
      <c r="B127" s="34" t="n">
        <v>40817</v>
      </c>
      <c r="C127" s="56" t="n">
        <v>545732</v>
      </c>
      <c r="D127" s="26" t="s">
        <v>41</v>
      </c>
      <c r="E127" s="33" t="n">
        <f aca="false">IF(D127="totale",(C127/(A127*24))/F127,IF(D127="marché libre",(C127/(A127*24))/G127,"spécifier histo"))</f>
        <v>0.313466133627424</v>
      </c>
      <c r="F127" s="59" t="n">
        <v>2340</v>
      </c>
      <c r="G127" s="57" t="n">
        <f aca="false">F127-H127</f>
        <v>0</v>
      </c>
      <c r="H127" s="59" t="n">
        <v>2340</v>
      </c>
      <c r="J127" s="183"/>
      <c r="K127" s="183"/>
    </row>
    <row r="128" customFormat="false" ht="19.85" hidden="false" customHeight="true" outlineLevel="0" collapsed="false">
      <c r="A128" s="1" t="n">
        <v>30</v>
      </c>
      <c r="B128" s="31" t="n">
        <v>40848</v>
      </c>
      <c r="C128" s="56" t="n">
        <v>302163</v>
      </c>
      <c r="D128" s="26" t="s">
        <v>41</v>
      </c>
      <c r="E128" s="33" t="n">
        <f aca="false">IF(D128="totale",(C128/(A128*24))/F128,IF(D128="marché libre",(C128/(A128*24))/G128,"spécifier histo"))</f>
        <v>0.17934650997151</v>
      </c>
      <c r="F128" s="59" t="n">
        <v>2340</v>
      </c>
      <c r="G128" s="57" t="n">
        <f aca="false">F128-H128</f>
        <v>0</v>
      </c>
      <c r="H128" s="59" t="n">
        <v>2340</v>
      </c>
      <c r="J128" s="183"/>
      <c r="K128" s="183"/>
    </row>
    <row r="129" customFormat="false" ht="19.85" hidden="false" customHeight="true" outlineLevel="0" collapsed="false">
      <c r="A129" s="1" t="n">
        <v>31</v>
      </c>
      <c r="B129" s="34" t="n">
        <v>40878</v>
      </c>
      <c r="C129" s="56" t="n">
        <v>1599934</v>
      </c>
      <c r="D129" s="26" t="s">
        <v>41</v>
      </c>
      <c r="E129" s="33" t="n">
        <f aca="false">IF(D129="totale",(C129/(A129*24))/F129,IF(D129="marché libre",(C129/(A129*24))/G129,"spécifier histo"))</f>
        <v>0.918995266979138</v>
      </c>
      <c r="F129" s="59" t="n">
        <v>2340</v>
      </c>
      <c r="G129" s="57" t="n">
        <f aca="false">F129-H129</f>
        <v>0</v>
      </c>
      <c r="H129" s="59" t="n">
        <v>2340</v>
      </c>
      <c r="J129" s="183"/>
      <c r="K129" s="183"/>
    </row>
    <row r="130" customFormat="false" ht="19.85" hidden="false" customHeight="true" outlineLevel="0" collapsed="false">
      <c r="A130" s="1" t="n">
        <v>31</v>
      </c>
      <c r="B130" s="31" t="n">
        <v>40909</v>
      </c>
      <c r="C130" s="56" t="n">
        <v>1626080</v>
      </c>
      <c r="D130" s="26" t="s">
        <v>41</v>
      </c>
      <c r="E130" s="33" t="n">
        <f aca="false">IF(D130="totale",(C130/(A130*24))/F130,IF(D130="marché libre",(C130/(A130*24))/G130,"spécifier histo"))</f>
        <v>0.934013417884386</v>
      </c>
      <c r="F130" s="59" t="n">
        <v>2340</v>
      </c>
      <c r="G130" s="57" t="n">
        <f aca="false">F130-H130</f>
        <v>0</v>
      </c>
      <c r="H130" s="59" t="n">
        <v>2340</v>
      </c>
      <c r="J130" s="183"/>
      <c r="K130" s="183"/>
    </row>
    <row r="131" customFormat="false" ht="19.85" hidden="false" customHeight="true" outlineLevel="0" collapsed="false">
      <c r="A131" s="1" t="n">
        <v>28</v>
      </c>
      <c r="B131" s="34" t="n">
        <v>40940</v>
      </c>
      <c r="C131" s="56" t="n">
        <v>967949</v>
      </c>
      <c r="D131" s="26" t="s">
        <v>41</v>
      </c>
      <c r="E131" s="33" t="n">
        <f aca="false">IF(D131="totale",(C131/(A131*24))/F131,IF(D131="marché libre",(C131/(A131*24))/G131,"spécifier histo"))</f>
        <v>0.615555682743183</v>
      </c>
      <c r="F131" s="59" t="n">
        <v>2340</v>
      </c>
      <c r="G131" s="57" t="n">
        <f aca="false">F131-H131</f>
        <v>0</v>
      </c>
      <c r="H131" s="59" t="n">
        <v>2340</v>
      </c>
      <c r="J131" s="183"/>
      <c r="K131" s="183"/>
    </row>
    <row r="132" customFormat="false" ht="19.85" hidden="false" customHeight="true" outlineLevel="0" collapsed="false">
      <c r="A132" s="1" t="n">
        <v>31</v>
      </c>
      <c r="B132" s="31" t="n">
        <v>40969</v>
      </c>
      <c r="C132" s="56" t="n">
        <v>1208512</v>
      </c>
      <c r="D132" s="26" t="s">
        <v>41</v>
      </c>
      <c r="E132" s="33" t="n">
        <f aca="false">IF(D132="totale",(C132/(A132*24))/F132,IF(D132="marché libre",(C132/(A132*24))/G132,"spécifier histo"))</f>
        <v>0.69416413932543</v>
      </c>
      <c r="F132" s="59" t="n">
        <v>2340</v>
      </c>
      <c r="G132" s="57" t="n">
        <f aca="false">F132-H132</f>
        <v>0</v>
      </c>
      <c r="H132" s="59" t="n">
        <v>2340</v>
      </c>
      <c r="J132" s="183"/>
      <c r="K132" s="183"/>
    </row>
    <row r="133" customFormat="false" ht="19.85" hidden="false" customHeight="true" outlineLevel="0" collapsed="false">
      <c r="A133" s="1" t="n">
        <v>30</v>
      </c>
      <c r="B133" s="34" t="n">
        <v>41000</v>
      </c>
      <c r="C133" s="56" t="n">
        <v>1277226</v>
      </c>
      <c r="D133" s="26" t="s">
        <v>41</v>
      </c>
      <c r="E133" s="33" t="n">
        <f aca="false">IF(D133="totale",(C133/(A133*24))/F133,IF(D133="marché libre",(C133/(A133*24))/G133,"spécifier histo"))</f>
        <v>0.758087606837607</v>
      </c>
      <c r="F133" s="59" t="n">
        <v>2340</v>
      </c>
      <c r="G133" s="57" t="n">
        <f aca="false">F133-H133</f>
        <v>0</v>
      </c>
      <c r="H133" s="59" t="n">
        <v>2340</v>
      </c>
      <c r="J133" s="183"/>
      <c r="K133" s="183"/>
    </row>
    <row r="134" customFormat="false" ht="19.85" hidden="false" customHeight="true" outlineLevel="0" collapsed="false">
      <c r="A134" s="1" t="n">
        <v>31</v>
      </c>
      <c r="B134" s="31" t="n">
        <v>41030</v>
      </c>
      <c r="C134" s="56" t="n">
        <v>1333846</v>
      </c>
      <c r="D134" s="26" t="s">
        <v>41</v>
      </c>
      <c r="E134" s="33" t="n">
        <f aca="false">IF(D134="totale",(C134/(A134*24))/F134,IF(D134="marché libre",(C134/(A134*24))/G134,"spécifier histo"))</f>
        <v>0.766155454461906</v>
      </c>
      <c r="F134" s="59" t="n">
        <v>2340</v>
      </c>
      <c r="G134" s="57" t="n">
        <f aca="false">F134-H134</f>
        <v>0</v>
      </c>
      <c r="H134" s="59" t="n">
        <v>2340</v>
      </c>
      <c r="J134" s="183"/>
      <c r="K134" s="183"/>
    </row>
    <row r="135" customFormat="false" ht="19.85" hidden="false" customHeight="true" outlineLevel="0" collapsed="false">
      <c r="A135" s="1" t="n">
        <v>30</v>
      </c>
      <c r="B135" s="34" t="n">
        <v>41061</v>
      </c>
      <c r="C135" s="56" t="n">
        <v>1059053</v>
      </c>
      <c r="D135" s="26" t="s">
        <v>41</v>
      </c>
      <c r="E135" s="33" t="n">
        <f aca="false">IF(D135="totale",(C135/(A135*24))/F135,IF(D135="marché libre",(C135/(A135*24))/G135,"spécifier histo"))</f>
        <v>0.628592711301045</v>
      </c>
      <c r="F135" s="59" t="n">
        <v>2340</v>
      </c>
      <c r="G135" s="57" t="n">
        <f aca="false">F135-H135</f>
        <v>0</v>
      </c>
      <c r="H135" s="59" t="n">
        <v>2340</v>
      </c>
      <c r="J135" s="183"/>
      <c r="K135" s="183"/>
    </row>
    <row r="136" customFormat="false" ht="19.85" hidden="false" customHeight="true" outlineLevel="0" collapsed="false">
      <c r="A136" s="1" t="n">
        <v>31</v>
      </c>
      <c r="B136" s="31" t="n">
        <v>41091</v>
      </c>
      <c r="C136" s="56" t="n">
        <v>1032081</v>
      </c>
      <c r="D136" s="26" t="s">
        <v>41</v>
      </c>
      <c r="E136" s="33" t="n">
        <f aca="false">IF(D136="totale",(C136/(A136*24))/F136,IF(D136="marché libre",(C136/(A136*24))/G136,"spécifier histo"))</f>
        <v>0.592822925282603</v>
      </c>
      <c r="F136" s="59" t="n">
        <v>2340</v>
      </c>
      <c r="G136" s="57" t="n">
        <f aca="false">F136-H136</f>
        <v>0</v>
      </c>
      <c r="H136" s="59" t="n">
        <v>2340</v>
      </c>
      <c r="J136" s="183"/>
      <c r="K136" s="183"/>
    </row>
    <row r="137" customFormat="false" ht="19.85" hidden="false" customHeight="true" outlineLevel="0" collapsed="false">
      <c r="A137" s="1" t="n">
        <v>31</v>
      </c>
      <c r="B137" s="34" t="n">
        <v>41122</v>
      </c>
      <c r="C137" s="56" t="n">
        <v>465661</v>
      </c>
      <c r="D137" s="26" t="s">
        <v>41</v>
      </c>
      <c r="E137" s="33" t="n">
        <f aca="false">IF(D137="totale",(C137/(A137*24))/F137,IF(D137="marché libre",(C137/(A137*24))/G137,"spécifier histo"))</f>
        <v>0.267473692675306</v>
      </c>
      <c r="F137" s="59" t="n">
        <v>2340</v>
      </c>
      <c r="G137" s="57" t="n">
        <f aca="false">F137-H137</f>
        <v>0</v>
      </c>
      <c r="H137" s="59" t="n">
        <v>2340</v>
      </c>
      <c r="J137" s="183"/>
      <c r="K137" s="183"/>
    </row>
    <row r="138" customFormat="false" ht="19.85" hidden="false" customHeight="true" outlineLevel="0" collapsed="false">
      <c r="A138" s="1" t="n">
        <v>30</v>
      </c>
      <c r="B138" s="31" t="n">
        <v>41153</v>
      </c>
      <c r="C138" s="56" t="n">
        <v>1057777</v>
      </c>
      <c r="D138" s="26" t="s">
        <v>41</v>
      </c>
      <c r="E138" s="33" t="n">
        <f aca="false">IF(D138="totale",(C138/(A138*24))/F138,IF(D138="marché libre",(C138/(A138*24))/G138,"spécifier histo"))</f>
        <v>0.627835351377018</v>
      </c>
      <c r="F138" s="59" t="n">
        <v>2340</v>
      </c>
      <c r="G138" s="57" t="n">
        <f aca="false">F138-H138</f>
        <v>0</v>
      </c>
      <c r="H138" s="59" t="n">
        <v>2340</v>
      </c>
      <c r="I138" s="38" t="s">
        <v>174</v>
      </c>
      <c r="J138" s="186" t="n">
        <v>41166</v>
      </c>
      <c r="K138" s="183"/>
    </row>
    <row r="139" customFormat="false" ht="19.85" hidden="false" customHeight="true" outlineLevel="0" collapsed="false">
      <c r="A139" s="1" t="n">
        <v>31</v>
      </c>
      <c r="B139" s="34" t="n">
        <v>41183</v>
      </c>
      <c r="C139" s="56" t="n">
        <v>1357711</v>
      </c>
      <c r="D139" s="26" t="s">
        <v>41</v>
      </c>
      <c r="E139" s="33" t="n">
        <f aca="false">IF(D139="totale",(C139/(A139*24))/F139,IF(D139="marché libre",(C139/(A139*24))/G139,"spécifier histo"))</f>
        <v>0.779863408694054</v>
      </c>
      <c r="F139" s="59" t="n">
        <v>2340</v>
      </c>
      <c r="G139" s="57" t="n">
        <f aca="false">F139-H139</f>
        <v>2340</v>
      </c>
      <c r="H139" s="59" t="n">
        <v>0</v>
      </c>
      <c r="I139" s="0"/>
      <c r="J139" s="0"/>
      <c r="K139" s="183"/>
    </row>
    <row r="140" customFormat="false" ht="19.85" hidden="false" customHeight="true" outlineLevel="0" collapsed="false">
      <c r="A140" s="1" t="n">
        <v>30</v>
      </c>
      <c r="B140" s="31" t="n">
        <v>41214</v>
      </c>
      <c r="C140" s="56" t="n">
        <v>1452970</v>
      </c>
      <c r="D140" s="26" t="s">
        <v>41</v>
      </c>
      <c r="E140" s="33" t="n">
        <f aca="false">IF(D140="totale",(C140/(A140*24))/F140,IF(D140="marché libre",(C140/(A140*24))/G140,"spécifier histo"))</f>
        <v>0.862399097815765</v>
      </c>
      <c r="F140" s="59" t="n">
        <v>2340</v>
      </c>
      <c r="G140" s="57" t="n">
        <f aca="false">F140-H140</f>
        <v>2340</v>
      </c>
      <c r="H140" s="59" t="n">
        <v>0</v>
      </c>
      <c r="J140" s="185" t="s">
        <v>175</v>
      </c>
      <c r="K140" s="183"/>
    </row>
    <row r="141" customFormat="false" ht="19.85" hidden="false" customHeight="true" outlineLevel="0" collapsed="false">
      <c r="A141" s="1" t="n">
        <v>31</v>
      </c>
      <c r="B141" s="34" t="n">
        <v>41244</v>
      </c>
      <c r="C141" s="56" t="n">
        <v>1271871</v>
      </c>
      <c r="D141" s="26" t="s">
        <v>41</v>
      </c>
      <c r="E141" s="33" t="n">
        <f aca="false">IF(D141="totale",(C141/(A141*24))/F141,IF(D141="marché libre",(C141/(A141*24))/G141,"spécifier histo"))</f>
        <v>0.730557278742763</v>
      </c>
      <c r="F141" s="59" t="n">
        <v>2340</v>
      </c>
      <c r="G141" s="57" t="n">
        <f aca="false">F141-H141</f>
        <v>2340</v>
      </c>
      <c r="H141" s="59" t="n">
        <v>0</v>
      </c>
      <c r="J141" s="183"/>
      <c r="K141" s="183"/>
    </row>
    <row r="142" customFormat="false" ht="19.85" hidden="false" customHeight="true" outlineLevel="0" collapsed="false">
      <c r="A142" s="1" t="n">
        <v>31</v>
      </c>
      <c r="B142" s="31" t="n">
        <v>41275</v>
      </c>
      <c r="C142" s="56" t="n">
        <v>1601679</v>
      </c>
      <c r="D142" s="26" t="s">
        <v>41</v>
      </c>
      <c r="E142" s="33" t="n">
        <f aca="false">IF(D142="totale",(C142/(A142*24))/F142,IF(D142="marché libre",(C142/(A142*24))/G142,"spécifier histo"))</f>
        <v>0.91999758753791</v>
      </c>
      <c r="F142" s="59" t="n">
        <v>2340</v>
      </c>
      <c r="G142" s="57" t="n">
        <f aca="false">F142-H142</f>
        <v>2340</v>
      </c>
      <c r="H142" s="59" t="n">
        <v>0</v>
      </c>
      <c r="J142" s="183"/>
      <c r="K142" s="183"/>
    </row>
    <row r="143" customFormat="false" ht="19.85" hidden="false" customHeight="true" outlineLevel="0" collapsed="false">
      <c r="A143" s="1" t="n">
        <v>28</v>
      </c>
      <c r="B143" s="34" t="n">
        <v>41306</v>
      </c>
      <c r="C143" s="56" t="n">
        <v>1357725</v>
      </c>
      <c r="D143" s="26" t="s">
        <v>41</v>
      </c>
      <c r="E143" s="33" t="n">
        <f aca="false">IF(D143="totale",(C143/(A143*24))/F143,IF(D143="marché libre",(C143/(A143*24))/G143,"spécifier histo"))</f>
        <v>0.863429105616606</v>
      </c>
      <c r="F143" s="59" t="n">
        <v>2340</v>
      </c>
      <c r="G143" s="57" t="n">
        <f aca="false">F143-H143</f>
        <v>2340</v>
      </c>
      <c r="H143" s="59" t="n">
        <v>0</v>
      </c>
      <c r="J143" s="183"/>
      <c r="K143" s="183"/>
    </row>
    <row r="144" customFormat="false" ht="19.85" hidden="false" customHeight="true" outlineLevel="0" collapsed="false">
      <c r="A144" s="1" t="n">
        <v>31</v>
      </c>
      <c r="B144" s="31" t="n">
        <v>41334</v>
      </c>
      <c r="C144" s="56" t="n">
        <v>1420235</v>
      </c>
      <c r="D144" s="26" t="s">
        <v>41</v>
      </c>
      <c r="E144" s="33" t="n">
        <f aca="false">IF(D144="totale",(C144/(A144*24))/F144,IF(D144="marché libre",(C144/(A144*24))/G144,"spécifier histo"))</f>
        <v>0.815776927672089</v>
      </c>
      <c r="F144" s="59" t="n">
        <v>2340</v>
      </c>
      <c r="G144" s="57" t="n">
        <f aca="false">F144-H144</f>
        <v>2340</v>
      </c>
      <c r="H144" s="59" t="n">
        <v>0</v>
      </c>
      <c r="J144" s="183"/>
      <c r="K144" s="183"/>
    </row>
    <row r="145" customFormat="false" ht="19.85" hidden="false" customHeight="true" outlineLevel="0" collapsed="false">
      <c r="A145" s="1" t="n">
        <v>30</v>
      </c>
      <c r="B145" s="34" t="n">
        <v>41365</v>
      </c>
      <c r="C145" s="56" t="n">
        <v>855774</v>
      </c>
      <c r="D145" s="26" t="s">
        <v>41</v>
      </c>
      <c r="E145" s="33" t="n">
        <f aca="false">IF(D145="totale",(C145/(A145*24))/F145,IF(D145="marché libre",(C145/(A145*24))/G145,"spécifier histo"))</f>
        <v>0.507938034188034</v>
      </c>
      <c r="F145" s="59" t="n">
        <v>2340</v>
      </c>
      <c r="G145" s="57" t="n">
        <f aca="false">F145-H145</f>
        <v>2340</v>
      </c>
      <c r="H145" s="59" t="n">
        <v>0</v>
      </c>
      <c r="J145" s="183"/>
      <c r="K145" s="183"/>
    </row>
    <row r="146" customFormat="false" ht="19.85" hidden="false" customHeight="true" outlineLevel="0" collapsed="false">
      <c r="A146" s="1" t="n">
        <v>31</v>
      </c>
      <c r="B146" s="31" t="n">
        <v>41395</v>
      </c>
      <c r="C146" s="56" t="n">
        <v>878349</v>
      </c>
      <c r="D146" s="26" t="s">
        <v>41</v>
      </c>
      <c r="E146" s="33" t="n">
        <f aca="false">IF(D146="totale",(C146/(A146*24))/F146,IF(D146="marché libre",(C146/(A146*24))/G146,"spécifier histo"))</f>
        <v>0.504519920044114</v>
      </c>
      <c r="F146" s="59" t="n">
        <v>2340</v>
      </c>
      <c r="G146" s="57" t="n">
        <f aca="false">F146-H146</f>
        <v>2340</v>
      </c>
      <c r="H146" s="59" t="n">
        <v>0</v>
      </c>
      <c r="J146" s="183"/>
      <c r="K146" s="183"/>
    </row>
    <row r="147" customFormat="false" ht="19.85" hidden="false" customHeight="true" outlineLevel="0" collapsed="false">
      <c r="A147" s="1" t="n">
        <v>30</v>
      </c>
      <c r="B147" s="34" t="n">
        <v>41426</v>
      </c>
      <c r="C147" s="56" t="n">
        <v>1059753</v>
      </c>
      <c r="D147" s="26" t="s">
        <v>41</v>
      </c>
      <c r="E147" s="33" t="n">
        <f aca="false">IF(D147="totale",(C147/(A147*24))/F147,IF(D147="marché libre",(C147/(A147*24))/G147,"spécifier histo"))</f>
        <v>0.629008190883191</v>
      </c>
      <c r="F147" s="59" t="n">
        <v>2340</v>
      </c>
      <c r="G147" s="57" t="n">
        <f aca="false">F147-H147</f>
        <v>2340</v>
      </c>
      <c r="H147" s="59" t="n">
        <v>0</v>
      </c>
      <c r="J147" s="183"/>
      <c r="K147" s="183"/>
    </row>
    <row r="148" customFormat="false" ht="19.85" hidden="false" customHeight="true" outlineLevel="0" collapsed="false">
      <c r="A148" s="1" t="n">
        <v>31</v>
      </c>
      <c r="B148" s="31" t="n">
        <v>41456</v>
      </c>
      <c r="C148" s="56" t="n">
        <v>644730</v>
      </c>
      <c r="D148" s="26" t="s">
        <v>41</v>
      </c>
      <c r="E148" s="33" t="n">
        <f aca="false">IF(D148="totale",(C148/(A148*24))/F148,IF(D148="marché libre",(C148/(A148*24))/G148,"spécifier histo"))</f>
        <v>0.370330162668872</v>
      </c>
      <c r="F148" s="59" t="n">
        <v>2340</v>
      </c>
      <c r="G148" s="57" t="n">
        <f aca="false">F148-H148</f>
        <v>2340</v>
      </c>
      <c r="H148" s="59" t="n">
        <v>0</v>
      </c>
      <c r="J148" s="183"/>
      <c r="K148" s="183"/>
    </row>
    <row r="149" customFormat="false" ht="19.85" hidden="false" customHeight="true" outlineLevel="0" collapsed="false">
      <c r="A149" s="1" t="n">
        <v>31</v>
      </c>
      <c r="B149" s="34" t="n">
        <v>41487</v>
      </c>
      <c r="C149" s="56" t="n">
        <v>481153</v>
      </c>
      <c r="D149" s="26" t="s">
        <v>41</v>
      </c>
      <c r="E149" s="33" t="n">
        <f aca="false">IF(D149="totale",(C149/(A149*24))/F149,IF(D149="marché libre",(C149/(A149*24))/G149,"spécifier histo"))</f>
        <v>0.276372231412554</v>
      </c>
      <c r="F149" s="59" t="n">
        <v>2340</v>
      </c>
      <c r="G149" s="57" t="n">
        <f aca="false">F149-H149</f>
        <v>2340</v>
      </c>
      <c r="H149" s="59" t="n">
        <v>0</v>
      </c>
      <c r="J149" s="183"/>
      <c r="K149" s="183"/>
    </row>
    <row r="150" customFormat="false" ht="19.85" hidden="false" customHeight="true" outlineLevel="0" collapsed="false">
      <c r="A150" s="1" t="n">
        <v>30</v>
      </c>
      <c r="B150" s="31" t="n">
        <v>41518</v>
      </c>
      <c r="C150" s="56" t="n">
        <v>714662</v>
      </c>
      <c r="D150" s="26" t="s">
        <v>41</v>
      </c>
      <c r="E150" s="33" t="n">
        <f aca="false">IF(D150="totale",(C150/(A150*24))/F150,IF(D150="marché libre",(C150/(A150*24))/G150,"spécifier histo"))</f>
        <v>0.424182098765432</v>
      </c>
      <c r="F150" s="59" t="n">
        <v>2340</v>
      </c>
      <c r="G150" s="57" t="n">
        <f aca="false">F150-H150</f>
        <v>2340</v>
      </c>
      <c r="H150" s="59" t="n">
        <v>0</v>
      </c>
      <c r="J150" s="183"/>
      <c r="K150" s="183"/>
    </row>
    <row r="151" customFormat="false" ht="19.85" hidden="false" customHeight="true" outlineLevel="0" collapsed="false">
      <c r="A151" s="1" t="n">
        <v>31</v>
      </c>
      <c r="B151" s="34" t="n">
        <v>41548</v>
      </c>
      <c r="C151" s="56" t="n">
        <v>1283734</v>
      </c>
      <c r="D151" s="26" t="s">
        <v>41</v>
      </c>
      <c r="E151" s="33" t="n">
        <f aca="false">IF(D151="totale",(C151/(A151*24))/F151,IF(D151="marché libre",(C151/(A151*24))/G151,"spécifier histo"))</f>
        <v>0.737371335355206</v>
      </c>
      <c r="F151" s="59" t="n">
        <v>2340</v>
      </c>
      <c r="G151" s="57" t="n">
        <f aca="false">F151-H151</f>
        <v>2340</v>
      </c>
      <c r="H151" s="59" t="n">
        <v>0</v>
      </c>
      <c r="J151" s="183"/>
      <c r="K151" s="183"/>
    </row>
    <row r="152" customFormat="false" ht="19.85" hidden="false" customHeight="true" outlineLevel="0" collapsed="false">
      <c r="A152" s="1" t="n">
        <v>30</v>
      </c>
      <c r="B152" s="31" t="n">
        <v>41579</v>
      </c>
      <c r="C152" s="56" t="n">
        <v>1401167</v>
      </c>
      <c r="D152" s="26" t="s">
        <v>41</v>
      </c>
      <c r="E152" s="33" t="n">
        <f aca="false">IF(D152="totale",(C152/(A152*24))/F152,IF(D152="marché libre",(C152/(A152*24))/G152,"spécifier histo"))</f>
        <v>0.831651828110161</v>
      </c>
      <c r="F152" s="59" t="n">
        <v>2340</v>
      </c>
      <c r="G152" s="57" t="n">
        <f aca="false">F152-H152</f>
        <v>2340</v>
      </c>
      <c r="H152" s="59" t="n">
        <v>0</v>
      </c>
      <c r="I152" s="183"/>
      <c r="J152" s="183"/>
      <c r="K152" s="183"/>
    </row>
    <row r="153" customFormat="false" ht="19.85" hidden="false" customHeight="true" outlineLevel="0" collapsed="false">
      <c r="A153" s="1" t="n">
        <v>31</v>
      </c>
      <c r="B153" s="34" t="n">
        <v>41609</v>
      </c>
      <c r="C153" s="56" t="n">
        <v>1061682</v>
      </c>
      <c r="D153" s="26" t="s">
        <v>41</v>
      </c>
      <c r="E153" s="33" t="n">
        <f aca="false">IF(D153="totale",(C153/(A153*24))/F153,IF(D153="marché libre",(C153/(A153*24))/G153,"spécifier histo"))</f>
        <v>0.609825613454646</v>
      </c>
      <c r="F153" s="59" t="n">
        <v>2340</v>
      </c>
      <c r="G153" s="57" t="n">
        <f aca="false">F153-H153</f>
        <v>2340</v>
      </c>
      <c r="H153" s="59" t="n">
        <v>0</v>
      </c>
      <c r="I153" s="183"/>
      <c r="J153" s="183"/>
      <c r="K153" s="183"/>
    </row>
    <row r="154" customFormat="false" ht="19.85" hidden="false" customHeight="true" outlineLevel="0" collapsed="false">
      <c r="A154" s="1" t="n">
        <v>31</v>
      </c>
      <c r="B154" s="31" t="n">
        <v>41640</v>
      </c>
      <c r="C154" s="56" t="n">
        <v>1651203</v>
      </c>
      <c r="D154" s="187" t="s">
        <v>42</v>
      </c>
      <c r="E154" s="188" t="n">
        <f aca="false">IF(D154="totale",(C154/(A154*24))/F154,IF(D154="marché libre",(C154/(A154*24))/G154,"spécifier histo"))</f>
        <v>0.948443961952026</v>
      </c>
      <c r="F154" s="189" t="n">
        <v>2340</v>
      </c>
      <c r="G154" s="190" t="n">
        <f aca="false">F154-H154</f>
        <v>2340</v>
      </c>
      <c r="H154" s="189" t="n">
        <v>0</v>
      </c>
      <c r="I154" s="1" t="s">
        <v>176</v>
      </c>
      <c r="J154" s="0"/>
      <c r="K154" s="30"/>
      <c r="L154" s="0"/>
    </row>
    <row r="155" customFormat="false" ht="19.85" hidden="false" customHeight="true" outlineLevel="0" collapsed="false">
      <c r="A155" s="1" t="n">
        <v>28</v>
      </c>
      <c r="B155" s="34" t="n">
        <v>41671</v>
      </c>
      <c r="C155" s="56" t="n">
        <v>1419611</v>
      </c>
      <c r="D155" s="187" t="s">
        <v>42</v>
      </c>
      <c r="E155" s="33" t="n">
        <f aca="false">IF(D155="totale",(C155/(A155*24))/F155,IF(D155="marché libre",(C155/(A155*24))/G155,"spécifier histo"))</f>
        <v>0.902784773097273</v>
      </c>
      <c r="F155" s="59" t="n">
        <v>2340</v>
      </c>
      <c r="G155" s="57" t="n">
        <f aca="false">F155-H155</f>
        <v>2340</v>
      </c>
      <c r="H155" s="59" t="n">
        <v>0</v>
      </c>
      <c r="J155" s="0"/>
      <c r="K155" s="183"/>
      <c r="L155" s="0"/>
    </row>
    <row r="156" customFormat="false" ht="19.85" hidden="false" customHeight="true" outlineLevel="0" collapsed="false">
      <c r="A156" s="1" t="n">
        <v>31</v>
      </c>
      <c r="B156" s="31" t="n">
        <v>41699</v>
      </c>
      <c r="C156" s="56" t="n">
        <v>1082872</v>
      </c>
      <c r="D156" s="187" t="s">
        <v>42</v>
      </c>
      <c r="E156" s="33" t="n">
        <f aca="false">IF(D156="totale",(C156/(A156*24))/F156,IF(D156="marché libre",(C156/(A156*24))/G156,"spécifier histo"))</f>
        <v>0.621997059093833</v>
      </c>
      <c r="F156" s="59" t="n">
        <v>2340</v>
      </c>
      <c r="G156" s="57" t="n">
        <f aca="false">F156-H156</f>
        <v>2340</v>
      </c>
      <c r="H156" s="59" t="n">
        <v>0</v>
      </c>
      <c r="J156" s="0"/>
      <c r="K156" s="183"/>
    </row>
    <row r="157" customFormat="false" ht="19.85" hidden="false" customHeight="true" outlineLevel="0" collapsed="false">
      <c r="A157" s="1" t="n">
        <v>30</v>
      </c>
      <c r="B157" s="34" t="n">
        <v>41730</v>
      </c>
      <c r="C157" s="56" t="n">
        <v>369434</v>
      </c>
      <c r="D157" s="187" t="s">
        <v>42</v>
      </c>
      <c r="E157" s="33" t="n">
        <f aca="false">IF(D157="totale",(C157/(A157*24))/F157,IF(D157="marché libre",(C157/(A157*24))/G157,"spécifier histo"))</f>
        <v>0.219274691358025</v>
      </c>
      <c r="F157" s="59" t="n">
        <v>2340</v>
      </c>
      <c r="G157" s="57" t="n">
        <f aca="false">F157-H157</f>
        <v>2340</v>
      </c>
      <c r="H157" s="59" t="n">
        <v>0</v>
      </c>
      <c r="J157" s="0"/>
      <c r="K157" s="183"/>
    </row>
    <row r="158" customFormat="false" ht="19.85" hidden="false" customHeight="true" outlineLevel="0" collapsed="false">
      <c r="A158" s="1" t="n">
        <v>31</v>
      </c>
      <c r="B158" s="31" t="n">
        <v>41760</v>
      </c>
      <c r="C158" s="56" t="n">
        <v>1285072</v>
      </c>
      <c r="D158" s="187" t="s">
        <v>42</v>
      </c>
      <c r="E158" s="33" t="n">
        <f aca="false">IF(D158="totale",(C158/(A158*24))/F158,IF(D158="marché libre",(C158/(A158*24))/G158,"spécifier histo"))</f>
        <v>0.738139876849554</v>
      </c>
      <c r="F158" s="59" t="n">
        <v>2340</v>
      </c>
      <c r="G158" s="57" t="n">
        <f aca="false">F158-H158</f>
        <v>2340</v>
      </c>
      <c r="H158" s="59" t="n">
        <v>0</v>
      </c>
      <c r="J158" s="0"/>
      <c r="K158" s="183"/>
    </row>
    <row r="159" customFormat="false" ht="19.85" hidden="false" customHeight="true" outlineLevel="0" collapsed="false">
      <c r="A159" s="1" t="n">
        <v>30</v>
      </c>
      <c r="B159" s="34" t="n">
        <v>41791</v>
      </c>
      <c r="C159" s="56" t="n">
        <v>418404</v>
      </c>
      <c r="D159" s="187" t="s">
        <v>42</v>
      </c>
      <c r="E159" s="33" t="n">
        <f aca="false">IF(D159="totale",(C159/(A159*24))/F159,IF(D159="marché libre",(C159/(A159*24))/G159,"spécifier histo"))</f>
        <v>0.248340455840456</v>
      </c>
      <c r="F159" s="59" t="n">
        <v>2340</v>
      </c>
      <c r="G159" s="57" t="n">
        <f aca="false">F159-H159</f>
        <v>2340</v>
      </c>
      <c r="H159" s="59" t="n">
        <v>0</v>
      </c>
      <c r="J159" s="0"/>
      <c r="K159" s="183"/>
    </row>
    <row r="160" customFormat="false" ht="19.85" hidden="false" customHeight="true" outlineLevel="0" collapsed="false">
      <c r="A160" s="1" t="n">
        <v>31</v>
      </c>
      <c r="B160" s="31" t="n">
        <v>41821</v>
      </c>
      <c r="C160" s="56" t="n">
        <v>1202394</v>
      </c>
      <c r="D160" s="187" t="s">
        <v>42</v>
      </c>
      <c r="E160" s="33" t="n">
        <f aca="false">IF(D160="totale",(C160/(A160*24))/F160,IF(D160="marché libre",(C160/(A160*24))/G160,"spécifier histo"))</f>
        <v>0.690649986214502</v>
      </c>
      <c r="F160" s="59" t="n">
        <v>2340</v>
      </c>
      <c r="G160" s="57" t="n">
        <f aca="false">F160-H160</f>
        <v>2340</v>
      </c>
      <c r="H160" s="59" t="n">
        <v>0</v>
      </c>
      <c r="J160" s="0"/>
      <c r="K160" s="183"/>
    </row>
    <row r="161" customFormat="false" ht="19.85" hidden="false" customHeight="true" outlineLevel="0" collapsed="false">
      <c r="A161" s="1" t="n">
        <v>31</v>
      </c>
      <c r="B161" s="34" t="n">
        <v>41852</v>
      </c>
      <c r="C161" s="56" t="n">
        <v>1451648</v>
      </c>
      <c r="D161" s="187" t="s">
        <v>42</v>
      </c>
      <c r="E161" s="33" t="n">
        <f aca="false">IF(D161="totale",(C161/(A161*24))/F161,IF(D161="marché libre",(C161/(A161*24))/G161,"spécifier histo"))</f>
        <v>0.833820420917195</v>
      </c>
      <c r="F161" s="59" t="n">
        <v>2340</v>
      </c>
      <c r="G161" s="57" t="n">
        <f aca="false">F161-H161</f>
        <v>2340</v>
      </c>
      <c r="H161" s="59" t="n">
        <v>0</v>
      </c>
      <c r="J161" s="0"/>
      <c r="K161" s="183"/>
    </row>
    <row r="162" customFormat="false" ht="19.85" hidden="false" customHeight="true" outlineLevel="0" collapsed="false">
      <c r="A162" s="1" t="n">
        <v>30</v>
      </c>
      <c r="B162" s="31" t="n">
        <v>41883</v>
      </c>
      <c r="C162" s="56" t="n">
        <v>516936</v>
      </c>
      <c r="D162" s="187" t="s">
        <v>42</v>
      </c>
      <c r="E162" s="33" t="n">
        <f aca="false">IF(D162="totale",(C162/(A162*24))/F162,IF(D162="marché libre",(C162/(A162*24))/G162,"spécifier histo"))</f>
        <v>0.306823361823362</v>
      </c>
      <c r="F162" s="59" t="n">
        <v>2340</v>
      </c>
      <c r="G162" s="57" t="n">
        <f aca="false">F162-H162</f>
        <v>2340</v>
      </c>
      <c r="H162" s="59" t="n">
        <v>0</v>
      </c>
      <c r="J162" s="0"/>
      <c r="K162" s="183"/>
    </row>
    <row r="163" customFormat="false" ht="19.85" hidden="false" customHeight="true" outlineLevel="0" collapsed="false">
      <c r="A163" s="1" t="n">
        <v>31</v>
      </c>
      <c r="B163" s="34" t="n">
        <v>41913</v>
      </c>
      <c r="C163" s="56" t="n">
        <v>1102028</v>
      </c>
      <c r="D163" s="187" t="s">
        <v>42</v>
      </c>
      <c r="E163" s="33" t="n">
        <f aca="false">IF(D163="totale",(C163/(A163*24))/F163,IF(D163="marché libre",(C163/(A163*24))/G163,"spécifier histo"))</f>
        <v>0.633000183806635</v>
      </c>
      <c r="F163" s="59" t="n">
        <v>2340</v>
      </c>
      <c r="G163" s="57" t="n">
        <f aca="false">F163-H163</f>
        <v>2340</v>
      </c>
      <c r="H163" s="59" t="n">
        <v>0</v>
      </c>
      <c r="J163" s="0"/>
      <c r="K163" s="183"/>
    </row>
    <row r="164" customFormat="false" ht="19.85" hidden="false" customHeight="true" outlineLevel="0" collapsed="false">
      <c r="A164" s="1" t="n">
        <v>30</v>
      </c>
      <c r="B164" s="31" t="n">
        <v>41944</v>
      </c>
      <c r="C164" s="56" t="n">
        <v>1201616</v>
      </c>
      <c r="D164" s="187" t="s">
        <v>42</v>
      </c>
      <c r="E164" s="33" t="n">
        <f aca="false">IF(D164="totale",(C164/(A164*24))/F164,IF(D164="marché libre",(C164/(A164*24))/G164,"spécifier histo"))</f>
        <v>0.71320987654321</v>
      </c>
      <c r="F164" s="59" t="n">
        <v>2340</v>
      </c>
      <c r="G164" s="57" t="n">
        <f aca="false">F164-H164</f>
        <v>2340</v>
      </c>
      <c r="H164" s="59" t="n">
        <v>0</v>
      </c>
      <c r="J164" s="0"/>
      <c r="K164" s="183"/>
    </row>
    <row r="165" customFormat="false" ht="19.85" hidden="false" customHeight="true" outlineLevel="0" collapsed="false">
      <c r="A165" s="1" t="n">
        <v>31</v>
      </c>
      <c r="B165" s="34" t="n">
        <v>41974</v>
      </c>
      <c r="C165" s="56" t="n">
        <v>1205878</v>
      </c>
      <c r="D165" s="187" t="s">
        <v>42</v>
      </c>
      <c r="E165" s="33" t="n">
        <f aca="false">IF(D165="totale",(C165/(A165*24))/F165,IF(D165="marché libre",(C165/(A165*24))/G165,"spécifier histo"))</f>
        <v>0.692651180957633</v>
      </c>
      <c r="F165" s="59" t="n">
        <v>2340</v>
      </c>
      <c r="G165" s="57" t="n">
        <f aca="false">F165-H165</f>
        <v>2340</v>
      </c>
      <c r="H165" s="59" t="n">
        <v>0</v>
      </c>
      <c r="J165" s="0"/>
      <c r="K165" s="183"/>
    </row>
    <row r="166" customFormat="false" ht="19.85" hidden="false" customHeight="true" outlineLevel="0" collapsed="false">
      <c r="A166" s="1" t="n">
        <v>31</v>
      </c>
      <c r="B166" s="31" t="n">
        <v>42005</v>
      </c>
      <c r="C166" s="56" t="n">
        <v>1587067</v>
      </c>
      <c r="D166" s="187" t="s">
        <v>42</v>
      </c>
      <c r="E166" s="33" t="n">
        <f aca="false">IF(D166="totale",(C166/(A166*24))/F166,IF(D166="marché libre",(C166/(A166*24))/G166,"spécifier histo"))</f>
        <v>0.911604517048066</v>
      </c>
      <c r="F166" s="59" t="n">
        <v>2340</v>
      </c>
      <c r="G166" s="57" t="n">
        <f aca="false">F166-H166</f>
        <v>2340</v>
      </c>
      <c r="H166" s="59" t="n">
        <v>0</v>
      </c>
      <c r="J166" s="0"/>
      <c r="K166" s="183"/>
    </row>
    <row r="167" customFormat="false" ht="19.85" hidden="false" customHeight="true" outlineLevel="0" collapsed="false">
      <c r="A167" s="1" t="n">
        <v>28</v>
      </c>
      <c r="B167" s="34" t="n">
        <v>42036</v>
      </c>
      <c r="C167" s="56" t="n">
        <v>1413494</v>
      </c>
      <c r="D167" s="187" t="s">
        <v>42</v>
      </c>
      <c r="E167" s="33" t="n">
        <f aca="false">IF(D167="totale",(C167/(A167*24))/F167,IF(D167="marché libre",(C167/(A167*24))/G167,"spécifier histo"))</f>
        <v>0.898894739519739</v>
      </c>
      <c r="F167" s="59" t="n">
        <v>2340</v>
      </c>
      <c r="G167" s="57" t="n">
        <f aca="false">F167-H167</f>
        <v>2340</v>
      </c>
      <c r="H167" s="59" t="n">
        <v>0</v>
      </c>
      <c r="J167" s="0"/>
      <c r="K167" s="183"/>
    </row>
    <row r="168" customFormat="false" ht="19.85" hidden="false" customHeight="true" outlineLevel="0" collapsed="false">
      <c r="A168" s="1" t="n">
        <v>31</v>
      </c>
      <c r="B168" s="31" t="n">
        <v>42064</v>
      </c>
      <c r="C168" s="56" t="n">
        <v>1580238</v>
      </c>
      <c r="D168" s="187" t="s">
        <v>42</v>
      </c>
      <c r="E168" s="33" t="n">
        <f aca="false">IF(D168="totale",(C168/(A168*24))/F168,IF(D168="marché libre",(C168/(A168*24))/G168,"spécifier histo"))</f>
        <v>0.907681968569065</v>
      </c>
      <c r="F168" s="59" t="n">
        <v>2340</v>
      </c>
      <c r="G168" s="57" t="n">
        <f aca="false">F168-H168</f>
        <v>2340</v>
      </c>
      <c r="H168" s="59" t="n">
        <v>0</v>
      </c>
      <c r="J168" s="0"/>
      <c r="K168" s="183"/>
    </row>
    <row r="169" customFormat="false" ht="19.85" hidden="false" customHeight="true" outlineLevel="0" collapsed="false">
      <c r="A169" s="1" t="n">
        <v>30</v>
      </c>
      <c r="B169" s="34" t="n">
        <v>42095</v>
      </c>
      <c r="C169" s="56" t="n">
        <v>1345273</v>
      </c>
      <c r="D169" s="187" t="s">
        <v>42</v>
      </c>
      <c r="E169" s="33" t="n">
        <f aca="false">IF(D169="totale",(C169/(A169*24))/F169,IF(D169="marché libre",(C169/(A169*24))/G169,"spécifier histo"))</f>
        <v>0.798476377018044</v>
      </c>
      <c r="F169" s="59" t="n">
        <v>2340</v>
      </c>
      <c r="G169" s="57" t="n">
        <f aca="false">F169-H169</f>
        <v>2340</v>
      </c>
      <c r="H169" s="59" t="n">
        <v>0</v>
      </c>
      <c r="J169" s="0"/>
      <c r="K169" s="183"/>
    </row>
    <row r="170" customFormat="false" ht="19.85" hidden="false" customHeight="true" outlineLevel="0" collapsed="false">
      <c r="A170" s="1" t="n">
        <v>31</v>
      </c>
      <c r="B170" s="31" t="n">
        <v>42125</v>
      </c>
      <c r="C170" s="56" t="n">
        <v>1121031</v>
      </c>
      <c r="D170" s="187" t="s">
        <v>42</v>
      </c>
      <c r="E170" s="33" t="n">
        <f aca="false">IF(D170="totale",(C170/(A170*24))/F170,IF(D170="marché libre",(C170/(A170*24))/G170,"spécifier histo"))</f>
        <v>0.643915425971878</v>
      </c>
      <c r="F170" s="59" t="n">
        <v>2340</v>
      </c>
      <c r="G170" s="57" t="n">
        <f aca="false">F170-H170</f>
        <v>2340</v>
      </c>
      <c r="H170" s="59" t="n">
        <v>0</v>
      </c>
      <c r="J170" s="0"/>
      <c r="K170" s="183"/>
    </row>
    <row r="171" customFormat="false" ht="19.85" hidden="false" customHeight="true" outlineLevel="0" collapsed="false">
      <c r="A171" s="1" t="n">
        <v>30</v>
      </c>
      <c r="B171" s="34" t="n">
        <v>42156</v>
      </c>
      <c r="C171" s="56" t="n">
        <v>411694</v>
      </c>
      <c r="D171" s="187" t="s">
        <v>42</v>
      </c>
      <c r="E171" s="33" t="n">
        <f aca="false">IF(D171="totale",(C171/(A171*24))/F171,IF(D171="marché libre",(C171/(A171*24))/G171,"spécifier histo"))</f>
        <v>0.244357787274454</v>
      </c>
      <c r="F171" s="59" t="n">
        <v>2340</v>
      </c>
      <c r="G171" s="57" t="n">
        <f aca="false">F171-H171</f>
        <v>2340</v>
      </c>
      <c r="H171" s="59" t="n">
        <v>0</v>
      </c>
      <c r="J171" s="0"/>
      <c r="K171" s="183"/>
    </row>
    <row r="172" customFormat="false" ht="19.85" hidden="false" customHeight="true" outlineLevel="0" collapsed="false">
      <c r="A172" s="1" t="n">
        <v>31</v>
      </c>
      <c r="B172" s="31" t="n">
        <v>42186</v>
      </c>
      <c r="C172" s="56" t="n">
        <v>225596</v>
      </c>
      <c r="D172" s="187" t="s">
        <v>42</v>
      </c>
      <c r="E172" s="33" t="n">
        <f aca="false">IF(D172="totale",(C172/(A172*24))/F172,IF(D172="marché libre",(C172/(A172*24))/G172,"spécifier histo"))</f>
        <v>0.129581380387832</v>
      </c>
      <c r="F172" s="59" t="n">
        <v>2340</v>
      </c>
      <c r="G172" s="57" t="n">
        <f aca="false">F172-H172</f>
        <v>2340</v>
      </c>
      <c r="H172" s="59" t="n">
        <v>0</v>
      </c>
      <c r="J172" s="0"/>
      <c r="K172" s="183"/>
    </row>
    <row r="173" customFormat="false" ht="19.85" hidden="false" customHeight="true" outlineLevel="0" collapsed="false">
      <c r="A173" s="1" t="n">
        <v>31</v>
      </c>
      <c r="B173" s="34" t="n">
        <v>42217</v>
      </c>
      <c r="C173" s="56" t="n">
        <v>232289</v>
      </c>
      <c r="D173" s="187" t="s">
        <v>42</v>
      </c>
      <c r="E173" s="33" t="n">
        <f aca="false">IF(D173="totale",(C173/(A173*24))/F173,IF(D173="marché libre",(C173/(A173*24))/G173,"spécifier histo"))</f>
        <v>0.133425811046779</v>
      </c>
      <c r="F173" s="59" t="n">
        <v>2340</v>
      </c>
      <c r="G173" s="57" t="n">
        <f aca="false">F173-H173</f>
        <v>2340</v>
      </c>
      <c r="H173" s="59" t="n">
        <v>0</v>
      </c>
      <c r="J173" s="0"/>
      <c r="K173" s="183"/>
    </row>
    <row r="174" customFormat="false" ht="19.85" hidden="false" customHeight="true" outlineLevel="0" collapsed="false">
      <c r="A174" s="1" t="n">
        <v>30</v>
      </c>
      <c r="B174" s="31" t="n">
        <v>42248</v>
      </c>
      <c r="C174" s="56" t="n">
        <v>334390</v>
      </c>
      <c r="D174" s="187" t="s">
        <v>42</v>
      </c>
      <c r="E174" s="33" t="n">
        <f aca="false">IF(D174="totale",(C174/(A174*24))/F174,IF(D174="marché libre",(C174/(A174*24))/G174,"spécifier histo"))</f>
        <v>0.198474596391263</v>
      </c>
      <c r="F174" s="59" t="n">
        <v>2340</v>
      </c>
      <c r="G174" s="57" t="n">
        <f aca="false">F174-H174</f>
        <v>2340</v>
      </c>
      <c r="H174" s="59" t="n">
        <v>0</v>
      </c>
      <c r="J174" s="0"/>
      <c r="K174" s="183"/>
    </row>
    <row r="175" customFormat="false" ht="19.85" hidden="false" customHeight="true" outlineLevel="0" collapsed="false">
      <c r="A175" s="1" t="n">
        <v>31</v>
      </c>
      <c r="B175" s="34" t="n">
        <v>42278</v>
      </c>
      <c r="C175" s="56" t="n">
        <v>246435</v>
      </c>
      <c r="D175" s="187" t="s">
        <v>42</v>
      </c>
      <c r="E175" s="33" t="n">
        <f aca="false">IF(D175="totale",(C175/(A175*24))/F175,IF(D175="marché libre",(C175/(A175*24))/G175,"spécifier histo"))</f>
        <v>0.141551213123794</v>
      </c>
      <c r="F175" s="59" t="n">
        <v>2340</v>
      </c>
      <c r="G175" s="57" t="n">
        <f aca="false">F175-H175</f>
        <v>2340</v>
      </c>
      <c r="H175" s="59" t="n">
        <v>0</v>
      </c>
      <c r="J175" s="0"/>
      <c r="K175" s="183"/>
    </row>
    <row r="176" customFormat="false" ht="19.85" hidden="false" customHeight="true" outlineLevel="0" collapsed="false">
      <c r="A176" s="1" t="n">
        <v>30</v>
      </c>
      <c r="B176" s="31" t="n">
        <v>42309</v>
      </c>
      <c r="C176" s="56" t="n">
        <v>561531</v>
      </c>
      <c r="D176" s="187" t="s">
        <v>42</v>
      </c>
      <c r="E176" s="33" t="n">
        <f aca="false">IF(D176="totale",(C176/(A176*24))/F176,IF(D176="marché libre",(C176/(A176*24))/G176,"spécifier histo"))</f>
        <v>0.333292378917379</v>
      </c>
      <c r="F176" s="59" t="n">
        <v>2340</v>
      </c>
      <c r="G176" s="57" t="n">
        <f aca="false">F176-H176</f>
        <v>2340</v>
      </c>
      <c r="H176" s="59" t="n">
        <v>0</v>
      </c>
      <c r="J176" s="0"/>
      <c r="K176" s="183"/>
    </row>
    <row r="177" customFormat="false" ht="19.85" hidden="false" customHeight="true" outlineLevel="0" collapsed="false">
      <c r="A177" s="1" t="n">
        <v>31</v>
      </c>
      <c r="B177" s="34" t="n">
        <v>42339</v>
      </c>
      <c r="C177" s="56" t="n">
        <v>846906</v>
      </c>
      <c r="D177" s="187" t="s">
        <v>42</v>
      </c>
      <c r="E177" s="33" t="n">
        <f aca="false">IF(D177="totale",(C177/(A177*24))/F177,IF(D177="marché libre",(C177/(A177*24))/G177,"spécifier histo"))</f>
        <v>0.486459194926937</v>
      </c>
      <c r="F177" s="59" t="n">
        <v>2340</v>
      </c>
      <c r="G177" s="57" t="n">
        <f aca="false">F177-H177</f>
        <v>2340</v>
      </c>
      <c r="H177" s="59" t="n">
        <v>0</v>
      </c>
      <c r="J177" s="183"/>
      <c r="K177" s="183"/>
    </row>
    <row r="178" customFormat="false" ht="19.85" hidden="false" customHeight="true" outlineLevel="0" collapsed="false">
      <c r="A178" s="1" t="n">
        <v>31</v>
      </c>
      <c r="B178" s="31" t="n">
        <v>42370</v>
      </c>
      <c r="C178" s="56" t="n">
        <v>1476508</v>
      </c>
      <c r="D178" s="187" t="s">
        <v>42</v>
      </c>
      <c r="E178" s="33" t="n">
        <f aca="false">IF(D178="totale",(C178/(A178*24))/F178,IF(D178="marché libre",(C178/(A178*24))/G178,"spécifier histo"))</f>
        <v>0.84809989890635</v>
      </c>
      <c r="F178" s="59" t="n">
        <v>2340</v>
      </c>
      <c r="G178" s="57" t="n">
        <f aca="false">F178-H178</f>
        <v>2340</v>
      </c>
      <c r="H178" s="59" t="n">
        <v>0</v>
      </c>
      <c r="J178" s="183"/>
      <c r="K178" s="183"/>
      <c r="M178" s="0"/>
    </row>
    <row r="179" customFormat="false" ht="19.85" hidden="false" customHeight="true" outlineLevel="0" collapsed="false">
      <c r="A179" s="1" t="n">
        <v>28</v>
      </c>
      <c r="B179" s="34" t="n">
        <v>42401</v>
      </c>
      <c r="C179" s="56" t="n">
        <v>1246653</v>
      </c>
      <c r="D179" s="187" t="s">
        <v>42</v>
      </c>
      <c r="E179" s="33" t="n">
        <f aca="false">IF(D179="totale",(C179/(A179*24))/F179,IF(D179="marché libre",(C179/(A179*24))/G179,"spécifier histo"))</f>
        <v>0.792794184981685</v>
      </c>
      <c r="F179" s="59" t="n">
        <v>2340</v>
      </c>
      <c r="G179" s="57" t="n">
        <f aca="false">F179-H179</f>
        <v>2340</v>
      </c>
      <c r="H179" s="59" t="n">
        <v>0</v>
      </c>
      <c r="J179" s="183"/>
      <c r="K179" s="183"/>
      <c r="M179" s="0"/>
    </row>
    <row r="180" customFormat="false" ht="19.85" hidden="false" customHeight="true" outlineLevel="0" collapsed="false">
      <c r="A180" s="1" t="n">
        <v>31</v>
      </c>
      <c r="B180" s="31" t="n">
        <v>42430</v>
      </c>
      <c r="C180" s="56" t="n">
        <v>1016865</v>
      </c>
      <c r="D180" s="187" t="s">
        <v>42</v>
      </c>
      <c r="E180" s="33" t="n">
        <f aca="false">IF(D180="totale",(C180/(A180*24))/F180,IF(D180="marché libre",(C180/(A180*24))/G180,"spécifier histo"))</f>
        <v>0.584082919768404</v>
      </c>
      <c r="F180" s="59" t="n">
        <v>2340</v>
      </c>
      <c r="G180" s="57" t="n">
        <f aca="false">F180-H180</f>
        <v>2340</v>
      </c>
      <c r="H180" s="59" t="n">
        <v>0</v>
      </c>
      <c r="J180" s="191" t="s">
        <v>177</v>
      </c>
      <c r="K180" s="183"/>
      <c r="M180" s="0"/>
    </row>
    <row r="181" customFormat="false" ht="19.85" hidden="false" customHeight="true" outlineLevel="0" collapsed="false">
      <c r="A181" s="1" t="n">
        <v>30</v>
      </c>
      <c r="B181" s="34" t="n">
        <v>42461</v>
      </c>
      <c r="C181" s="56" t="n">
        <v>1006948</v>
      </c>
      <c r="D181" s="187" t="s">
        <v>42</v>
      </c>
      <c r="E181" s="33" t="n">
        <f aca="false">IF(D181="totale",(C181/(A181*24))/F181,IF(D181="marché libre",(C181/(A181*24))/G181,"spécifier histo"))</f>
        <v>0.597666191832858</v>
      </c>
      <c r="F181" s="59" t="n">
        <v>2340</v>
      </c>
      <c r="G181" s="57" t="n">
        <f aca="false">F181-H181</f>
        <v>2340</v>
      </c>
      <c r="H181" s="59" t="n">
        <v>0</v>
      </c>
      <c r="I181" s="192" t="s">
        <v>178</v>
      </c>
      <c r="J181" s="193" t="s">
        <v>179</v>
      </c>
      <c r="K181" s="194" t="s">
        <v>180</v>
      </c>
      <c r="L181" s="195" t="s">
        <v>181</v>
      </c>
      <c r="M181" s="196"/>
      <c r="N181" s="197"/>
      <c r="O181" s="196"/>
      <c r="P181" s="198" t="s">
        <v>182</v>
      </c>
      <c r="Q181" s="198"/>
      <c r="R181" s="198"/>
      <c r="S181" s="198"/>
      <c r="T181" s="198"/>
      <c r="U181" s="198"/>
      <c r="V181" s="198"/>
    </row>
    <row r="182" customFormat="false" ht="19.85" hidden="false" customHeight="true" outlineLevel="0" collapsed="false">
      <c r="A182" s="1" t="n">
        <v>31</v>
      </c>
      <c r="B182" s="31" t="n">
        <v>42491</v>
      </c>
      <c r="C182" s="56" t="n">
        <v>578660</v>
      </c>
      <c r="D182" s="187" t="s">
        <v>42</v>
      </c>
      <c r="E182" s="33" t="n">
        <f aca="false">IF(D182="totale",(C182/(A182*24))/F182,IF(D182="marché libre",(C182/(A182*24))/G182,"spécifier histo"))</f>
        <v>0.486105510752688</v>
      </c>
      <c r="F182" s="59" t="n">
        <v>1600</v>
      </c>
      <c r="G182" s="57" t="n">
        <f aca="false">F182-H182</f>
        <v>1600</v>
      </c>
      <c r="H182" s="59" t="n">
        <v>0</v>
      </c>
      <c r="I182" s="1" t="s">
        <v>183</v>
      </c>
      <c r="J182" s="193" t="s">
        <v>184</v>
      </c>
      <c r="K182" s="183" t="s">
        <v>185</v>
      </c>
      <c r="L182" s="183"/>
      <c r="N182" s="0"/>
      <c r="P182" s="199"/>
      <c r="Q182" s="199"/>
      <c r="R182" s="199"/>
      <c r="S182" s="199"/>
      <c r="T182" s="199"/>
      <c r="U182" s="199"/>
      <c r="V182" s="199"/>
    </row>
    <row r="183" customFormat="false" ht="19.85" hidden="false" customHeight="true" outlineLevel="0" collapsed="false">
      <c r="A183" s="1" t="n">
        <v>30</v>
      </c>
      <c r="B183" s="34" t="n">
        <v>42522</v>
      </c>
      <c r="C183" s="56" t="n">
        <v>707635</v>
      </c>
      <c r="D183" s="187" t="s">
        <v>42</v>
      </c>
      <c r="E183" s="33" t="n">
        <f aca="false">IF(D183="totale",(C183/(A183*24))/F183,IF(D183="marché libre",(C183/(A183*24))/G183,"spécifier histo"))</f>
        <v>0.614266493055556</v>
      </c>
      <c r="F183" s="59" t="n">
        <v>1600</v>
      </c>
      <c r="G183" s="57" t="n">
        <f aca="false">F183-H183</f>
        <v>1600</v>
      </c>
      <c r="H183" s="59" t="n">
        <v>0</v>
      </c>
      <c r="I183" s="1" t="s">
        <v>186</v>
      </c>
      <c r="J183" s="0"/>
      <c r="K183" s="183"/>
      <c r="L183" s="183"/>
      <c r="N183" s="0"/>
      <c r="O183" s="0"/>
      <c r="P183" s="200"/>
      <c r="Q183" s="199"/>
      <c r="R183" s="199"/>
      <c r="S183" s="199"/>
      <c r="T183" s="199"/>
      <c r="U183" s="199"/>
      <c r="V183" s="199"/>
    </row>
    <row r="184" customFormat="false" ht="19.85" hidden="false" customHeight="true" outlineLevel="0" collapsed="false">
      <c r="A184" s="1" t="n">
        <v>31</v>
      </c>
      <c r="B184" s="31" t="n">
        <v>42552</v>
      </c>
      <c r="C184" s="56" t="n">
        <v>575266</v>
      </c>
      <c r="D184" s="187" t="s">
        <v>42</v>
      </c>
      <c r="E184" s="33" t="n">
        <f aca="false">IF(D184="totale",(C184/(A184*24))/F184,IF(D184="marché libre",(C184/(A184*24))/G184,"spécifier histo"))</f>
        <v>0.644339157706093</v>
      </c>
      <c r="F184" s="59" t="n">
        <v>2340</v>
      </c>
      <c r="G184" s="57" t="n">
        <f aca="false">F184-H184</f>
        <v>1200</v>
      </c>
      <c r="H184" s="201" t="n">
        <f aca="false">3*380</f>
        <v>1140</v>
      </c>
      <c r="I184" s="38" t="s">
        <v>187</v>
      </c>
      <c r="J184" s="0"/>
      <c r="K184" s="183" t="s">
        <v>188</v>
      </c>
      <c r="L184" s="183"/>
      <c r="N184" s="0"/>
      <c r="O184" s="202" t="s">
        <v>189</v>
      </c>
      <c r="P184" s="199"/>
      <c r="Q184" s="199"/>
      <c r="R184" s="199"/>
      <c r="S184" s="199"/>
      <c r="T184" s="199"/>
      <c r="U184" s="199"/>
      <c r="V184" s="199"/>
    </row>
    <row r="185" customFormat="false" ht="19.85" hidden="false" customHeight="true" outlineLevel="0" collapsed="false">
      <c r="A185" s="1" t="n">
        <v>31</v>
      </c>
      <c r="B185" s="34" t="n">
        <v>42583</v>
      </c>
      <c r="C185" s="56" t="n">
        <v>0</v>
      </c>
      <c r="D185" s="187" t="s">
        <v>42</v>
      </c>
      <c r="E185" s="33" t="n">
        <f aca="false">IF(D185="totale",(C185/(A185*24))/F185,IF(D185="marché libre",(C185/(A185*24))/G185,"spécifier histo"))</f>
        <v>0</v>
      </c>
      <c r="F185" s="59" t="n">
        <v>2340</v>
      </c>
      <c r="G185" s="57" t="n">
        <f aca="false">F185-H185</f>
        <v>1200</v>
      </c>
      <c r="H185" s="59" t="n">
        <f aca="false">3*380</f>
        <v>1140</v>
      </c>
      <c r="J185" s="0"/>
      <c r="K185" s="183" t="s">
        <v>190</v>
      </c>
      <c r="L185" s="183"/>
      <c r="N185" s="0"/>
      <c r="P185" s="203" t="s">
        <v>191</v>
      </c>
      <c r="Q185" s="203"/>
      <c r="R185" s="203"/>
      <c r="S185" s="203"/>
      <c r="T185" s="203"/>
      <c r="U185" s="203"/>
      <c r="V185" s="199"/>
    </row>
    <row r="186" customFormat="false" ht="19.85" hidden="false" customHeight="true" outlineLevel="0" collapsed="false">
      <c r="A186" s="1" t="n">
        <v>30</v>
      </c>
      <c r="B186" s="31" t="n">
        <v>42614</v>
      </c>
      <c r="C186" s="56" t="n">
        <v>0</v>
      </c>
      <c r="D186" s="187" t="s">
        <v>42</v>
      </c>
      <c r="E186" s="33" t="n">
        <f aca="false">IF(D186="totale",(C186/(A186*24))/F186,IF(D186="marché libre",(C186/(A186*24))/G186,"spécifier histo"))</f>
        <v>0</v>
      </c>
      <c r="F186" s="59" t="n">
        <v>2340</v>
      </c>
      <c r="G186" s="57" t="n">
        <f aca="false">F186-H186</f>
        <v>1200</v>
      </c>
      <c r="H186" s="59" t="n">
        <f aca="false">3*380</f>
        <v>1140</v>
      </c>
      <c r="J186" s="0"/>
      <c r="K186" s="183"/>
      <c r="L186" s="183"/>
      <c r="N186" s="0"/>
      <c r="P186" s="199"/>
      <c r="Q186" s="199"/>
      <c r="R186" s="199"/>
      <c r="S186" s="199"/>
      <c r="T186" s="199"/>
      <c r="U186" s="199"/>
      <c r="V186" s="199"/>
    </row>
    <row r="187" customFormat="false" ht="19.85" hidden="false" customHeight="true" outlineLevel="0" collapsed="false">
      <c r="A187" s="1" t="n">
        <v>31</v>
      </c>
      <c r="B187" s="34" t="n">
        <v>42644</v>
      </c>
      <c r="C187" s="56" t="n">
        <v>22638</v>
      </c>
      <c r="D187" s="187" t="s">
        <v>42</v>
      </c>
      <c r="E187" s="33" t="n">
        <f aca="false">IF(D187="totale",(C187/(A187*24))/F187,IF(D187="marché libre",(C187/(A187*24))/G187,"spécifier histo"))</f>
        <v>0.0253561827956989</v>
      </c>
      <c r="F187" s="59" t="n">
        <v>2340</v>
      </c>
      <c r="G187" s="57" t="n">
        <f aca="false">F187-H187</f>
        <v>1200</v>
      </c>
      <c r="H187" s="59" t="n">
        <f aca="false">3*380</f>
        <v>1140</v>
      </c>
      <c r="J187" s="0"/>
      <c r="K187" s="183"/>
      <c r="L187" s="183"/>
      <c r="N187" s="0"/>
      <c r="P187" s="203" t="s">
        <v>192</v>
      </c>
      <c r="Q187" s="203"/>
      <c r="R187" s="203"/>
      <c r="S187" s="203"/>
      <c r="T187" s="203"/>
      <c r="U187" s="203"/>
      <c r="V187" s="199"/>
    </row>
    <row r="188" customFormat="false" ht="19.85" hidden="false" customHeight="true" outlineLevel="0" collapsed="false">
      <c r="A188" s="1" t="n">
        <v>30</v>
      </c>
      <c r="B188" s="31" t="n">
        <v>42675</v>
      </c>
      <c r="C188" s="56" t="n">
        <v>493000</v>
      </c>
      <c r="D188" s="187" t="s">
        <v>42</v>
      </c>
      <c r="E188" s="33" t="n">
        <f aca="false">IF(D188="totale",(C188/(A188*24))/F188,IF(D188="marché libre",(C188/(A188*24))/G188,"spécifier histo"))</f>
        <v>0.570601851851852</v>
      </c>
      <c r="F188" s="59" t="n">
        <v>2340</v>
      </c>
      <c r="G188" s="57" t="n">
        <f aca="false">F188-H188</f>
        <v>1200</v>
      </c>
      <c r="H188" s="59" t="n">
        <f aca="false">3*380</f>
        <v>1140</v>
      </c>
      <c r="J188" s="0"/>
      <c r="K188" s="183"/>
      <c r="L188" s="183"/>
      <c r="N188" s="0"/>
      <c r="P188" s="203"/>
      <c r="Q188" s="203"/>
      <c r="R188" s="203"/>
      <c r="S188" s="203"/>
      <c r="T188" s="203"/>
      <c r="U188" s="203"/>
      <c r="V188" s="199"/>
    </row>
    <row r="189" customFormat="false" ht="19.85" hidden="false" customHeight="true" outlineLevel="0" collapsed="false">
      <c r="A189" s="1" t="n">
        <v>31</v>
      </c>
      <c r="B189" s="34" t="n">
        <v>42705</v>
      </c>
      <c r="C189" s="56" t="n">
        <v>0</v>
      </c>
      <c r="D189" s="187" t="s">
        <v>42</v>
      </c>
      <c r="E189" s="33" t="n">
        <f aca="false">IF(D189="totale",(C189/(A189*24))/F189,IF(D189="marché libre",(C189/(A189*24))/G189,"spécifier histo"))</f>
        <v>0</v>
      </c>
      <c r="F189" s="59" t="n">
        <v>2340</v>
      </c>
      <c r="G189" s="57" t="n">
        <f aca="false">F189-H189</f>
        <v>1200</v>
      </c>
      <c r="H189" s="59" t="n">
        <f aca="false">3*380</f>
        <v>1140</v>
      </c>
      <c r="J189" s="0"/>
      <c r="K189" s="183" t="s">
        <v>193</v>
      </c>
      <c r="L189" s="183"/>
      <c r="N189" s="0"/>
      <c r="P189" s="203" t="s">
        <v>194</v>
      </c>
      <c r="Q189" s="203"/>
      <c r="R189" s="203"/>
      <c r="S189" s="203"/>
      <c r="T189" s="203"/>
      <c r="U189" s="203"/>
      <c r="V189" s="199"/>
    </row>
    <row r="190" customFormat="false" ht="19.85" hidden="false" customHeight="true" outlineLevel="0" collapsed="false">
      <c r="A190" s="1" t="n">
        <v>31</v>
      </c>
      <c r="B190" s="31" t="n">
        <v>42736</v>
      </c>
      <c r="C190" s="56" t="n">
        <v>4881</v>
      </c>
      <c r="D190" s="187" t="s">
        <v>42</v>
      </c>
      <c r="E190" s="33" t="n">
        <f aca="false">IF(D190="totale",(C190/(A190*24))/F190,IF(D190="marché libre",(C190/(A190*24))/G190,"spécifier histo"))</f>
        <v>0.00546706989247312</v>
      </c>
      <c r="F190" s="59" t="n">
        <v>2340</v>
      </c>
      <c r="G190" s="57" t="n">
        <f aca="false">F190-H190</f>
        <v>1200</v>
      </c>
      <c r="H190" s="59" t="n">
        <f aca="false">3*380</f>
        <v>1140</v>
      </c>
      <c r="J190" s="0"/>
      <c r="K190" s="183"/>
      <c r="L190" s="183"/>
      <c r="P190" s="203"/>
      <c r="Q190" s="203"/>
      <c r="R190" s="203"/>
      <c r="S190" s="203"/>
      <c r="T190" s="203"/>
      <c r="U190" s="203"/>
      <c r="V190" s="199"/>
    </row>
    <row r="191" customFormat="false" ht="19.85" hidden="false" customHeight="true" outlineLevel="0" collapsed="false">
      <c r="A191" s="1" t="n">
        <v>28</v>
      </c>
      <c r="B191" s="34" t="n">
        <v>42767</v>
      </c>
      <c r="C191" s="56" t="n">
        <v>408850</v>
      </c>
      <c r="D191" s="187" t="s">
        <v>42</v>
      </c>
      <c r="E191" s="33" t="n">
        <f aca="false">IF(D191="totale",(C191/(A191*24))/F191,IF(D191="marché libre",(C191/(A191*24))/G191,"spécifier histo"))</f>
        <v>0.507006448412698</v>
      </c>
      <c r="F191" s="59" t="n">
        <v>2340</v>
      </c>
      <c r="G191" s="57" t="n">
        <f aca="false">F191-H191</f>
        <v>1200</v>
      </c>
      <c r="H191" s="59" t="n">
        <f aca="false">3*380</f>
        <v>1140</v>
      </c>
      <c r="J191" s="0"/>
      <c r="K191" s="183"/>
      <c r="L191" s="183"/>
      <c r="P191" s="203" t="s">
        <v>195</v>
      </c>
      <c r="Q191" s="203"/>
      <c r="R191" s="203"/>
      <c r="S191" s="203"/>
      <c r="T191" s="203"/>
      <c r="U191" s="203"/>
      <c r="V191" s="199"/>
    </row>
    <row r="192" customFormat="false" ht="19.85" hidden="false" customHeight="true" outlineLevel="0" collapsed="false">
      <c r="A192" s="1" t="n">
        <v>31</v>
      </c>
      <c r="B192" s="31" t="n">
        <v>42795</v>
      </c>
      <c r="C192" s="56" t="n">
        <v>695864</v>
      </c>
      <c r="D192" s="187" t="s">
        <v>42</v>
      </c>
      <c r="E192" s="33" t="n">
        <f aca="false">IF(D192="totale",(C192/(A192*24))/F192,IF(D192="marché libre",(C192/(A192*24))/G192,"spécifier histo"))</f>
        <v>0.779417562724014</v>
      </c>
      <c r="F192" s="59" t="n">
        <v>2340</v>
      </c>
      <c r="G192" s="57" t="n">
        <f aca="false">F192-H192</f>
        <v>1200</v>
      </c>
      <c r="H192" s="59" t="n">
        <f aca="false">3*380</f>
        <v>1140</v>
      </c>
      <c r="J192" s="0"/>
      <c r="K192" s="183"/>
      <c r="L192" s="183"/>
      <c r="P192" s="203"/>
      <c r="Q192" s="203"/>
      <c r="R192" s="203"/>
      <c r="S192" s="203"/>
      <c r="T192" s="203"/>
      <c r="U192" s="203"/>
      <c r="V192" s="199"/>
    </row>
    <row r="193" customFormat="false" ht="19.85" hidden="false" customHeight="true" outlineLevel="0" collapsed="false">
      <c r="A193" s="1" t="n">
        <v>30</v>
      </c>
      <c r="B193" s="34" t="n">
        <v>42826</v>
      </c>
      <c r="C193" s="56" t="n">
        <v>0</v>
      </c>
      <c r="D193" s="187" t="s">
        <v>42</v>
      </c>
      <c r="E193" s="33" t="n">
        <f aca="false">IF(D193="totale",(C193/(A193*24))/F193,IF(D193="marché libre",(C193/(A193*24))/G193,"spécifier histo"))</f>
        <v>0</v>
      </c>
      <c r="F193" s="59" t="n">
        <v>2340</v>
      </c>
      <c r="G193" s="57" t="n">
        <f aca="false">F193-H193</f>
        <v>1200</v>
      </c>
      <c r="H193" s="59" t="n">
        <f aca="false">3*380</f>
        <v>1140</v>
      </c>
      <c r="J193" s="0"/>
      <c r="K193" s="0"/>
      <c r="L193" s="183"/>
      <c r="P193" s="199"/>
      <c r="Q193" s="199"/>
      <c r="R193" s="199"/>
      <c r="S193" s="199"/>
      <c r="T193" s="199"/>
      <c r="U193" s="199"/>
      <c r="V193" s="0"/>
    </row>
    <row r="194" customFormat="false" ht="19.85" hidden="false" customHeight="true" outlineLevel="0" collapsed="false">
      <c r="A194" s="1" t="n">
        <v>31</v>
      </c>
      <c r="B194" s="31" t="n">
        <v>42856</v>
      </c>
      <c r="C194" s="56" t="n">
        <v>296021</v>
      </c>
      <c r="D194" s="187" t="s">
        <v>42</v>
      </c>
      <c r="E194" s="33" t="n">
        <f aca="false">IF(D194="totale",(C194/(A194*24))/F194,IF(D194="marché libre",(C194/(A194*24))/G194,"spécifier histo"))</f>
        <v>0.331564740143369</v>
      </c>
      <c r="F194" s="59" t="n">
        <v>2340</v>
      </c>
      <c r="G194" s="57" t="n">
        <f aca="false">F194-H194</f>
        <v>1200</v>
      </c>
      <c r="H194" s="59" t="n">
        <f aca="false">3*380</f>
        <v>1140</v>
      </c>
      <c r="J194" s="0"/>
      <c r="K194" s="0"/>
      <c r="L194" s="183"/>
      <c r="P194" s="203" t="s">
        <v>196</v>
      </c>
      <c r="Q194" s="203"/>
      <c r="R194" s="203"/>
      <c r="S194" s="203"/>
      <c r="T194" s="203"/>
      <c r="U194" s="203"/>
      <c r="V194" s="0"/>
    </row>
    <row r="195" customFormat="false" ht="19.95" hidden="false" customHeight="true" outlineLevel="0" collapsed="false">
      <c r="A195" s="1" t="n">
        <v>30</v>
      </c>
      <c r="B195" s="34" t="n">
        <v>42887</v>
      </c>
      <c r="C195" s="56" t="n">
        <v>0</v>
      </c>
      <c r="D195" s="187" t="s">
        <v>42</v>
      </c>
      <c r="E195" s="33" t="n">
        <f aca="false">IF(D195="totale",(C195/(A195*24))/F195,IF(D195="marché libre",(C195/(A195*24))/G195,"spécifier histo"))</f>
        <v>0</v>
      </c>
      <c r="F195" s="59" t="n">
        <v>2340</v>
      </c>
      <c r="G195" s="57" t="n">
        <f aca="false">F195-H195</f>
        <v>1200</v>
      </c>
      <c r="H195" s="59" t="n">
        <f aca="false">3*380</f>
        <v>1140</v>
      </c>
      <c r="I195" s="204"/>
      <c r="J195" s="0"/>
      <c r="K195" s="0"/>
      <c r="L195" s="30"/>
      <c r="P195" s="203"/>
      <c r="Q195" s="203"/>
      <c r="R195" s="203"/>
      <c r="S195" s="203"/>
      <c r="T195" s="203"/>
      <c r="U195" s="203"/>
      <c r="V195" s="0"/>
      <c r="W195" s="0"/>
    </row>
    <row r="196" customFormat="false" ht="19.95" hidden="false" customHeight="true" outlineLevel="0" collapsed="false">
      <c r="A196" s="1" t="n">
        <v>31</v>
      </c>
      <c r="B196" s="31" t="n">
        <v>42917</v>
      </c>
      <c r="C196" s="56" t="n">
        <v>0</v>
      </c>
      <c r="D196" s="187" t="s">
        <v>42</v>
      </c>
      <c r="E196" s="33" t="n">
        <f aca="false">IF(D196="totale",(C196/(A196*24))/F196,IF(D196="marché libre",(C196/(A196*24))/G196,"spécifier histo"))</f>
        <v>0</v>
      </c>
      <c r="F196" s="59" t="n">
        <v>2340</v>
      </c>
      <c r="G196" s="57" t="n">
        <f aca="false">F196-H196</f>
        <v>1200</v>
      </c>
      <c r="H196" s="59" t="n">
        <f aca="false">3*380</f>
        <v>1140</v>
      </c>
      <c r="I196" s="204"/>
      <c r="J196" s="0"/>
      <c r="O196" s="0"/>
      <c r="P196" s="0"/>
      <c r="Q196" s="0"/>
      <c r="R196" s="0"/>
      <c r="S196" s="0"/>
      <c r="T196" s="0"/>
      <c r="U196" s="0"/>
      <c r="V196" s="0"/>
      <c r="W196" s="0"/>
    </row>
    <row r="197" customFormat="false" ht="19.95" hidden="false" customHeight="true" outlineLevel="0" collapsed="false">
      <c r="A197" s="1" t="n">
        <v>31</v>
      </c>
      <c r="B197" s="34" t="n">
        <v>42948</v>
      </c>
      <c r="C197" s="56" t="n">
        <v>0</v>
      </c>
      <c r="D197" s="187" t="s">
        <v>42</v>
      </c>
      <c r="E197" s="33" t="n">
        <f aca="false">IF(D197="totale",(C197/(A197*24))/F197,IF(D197="marché libre",(C197/(A197*24))/G197,"spécifier histo"))</f>
        <v>0</v>
      </c>
      <c r="F197" s="59" t="n">
        <v>2340</v>
      </c>
      <c r="G197" s="57" t="n">
        <f aca="false">F197-H197</f>
        <v>1200</v>
      </c>
      <c r="H197" s="59" t="n">
        <f aca="false">3*380</f>
        <v>1140</v>
      </c>
      <c r="I197" s="204"/>
      <c r="J197" s="0"/>
      <c r="O197" s="0"/>
      <c r="P197" s="0"/>
      <c r="Q197" s="0"/>
      <c r="R197" s="0"/>
      <c r="S197" s="0"/>
      <c r="T197" s="0"/>
      <c r="V197" s="0"/>
      <c r="W197" s="0"/>
    </row>
    <row r="198" customFormat="false" ht="19.95" hidden="false" customHeight="true" outlineLevel="0" collapsed="false">
      <c r="A198" s="1" t="n">
        <v>30</v>
      </c>
      <c r="B198" s="31" t="n">
        <v>42979</v>
      </c>
      <c r="C198" s="56" t="n">
        <v>0</v>
      </c>
      <c r="D198" s="187" t="s">
        <v>42</v>
      </c>
      <c r="E198" s="33" t="n">
        <f aca="false">IF(D198="totale",(C198/(A198*24))/F198,IF(D198="marché libre",(C198/(A198*24))/G198,"spécifier histo"))</f>
        <v>0</v>
      </c>
      <c r="F198" s="59" t="n">
        <v>2340</v>
      </c>
      <c r="G198" s="57" t="n">
        <f aca="false">F198-H198</f>
        <v>1200</v>
      </c>
      <c r="H198" s="59" t="n">
        <f aca="false">3*380</f>
        <v>1140</v>
      </c>
      <c r="I198" s="204"/>
      <c r="J198" s="0"/>
      <c r="O198" s="0"/>
      <c r="P198" s="0"/>
      <c r="Q198" s="0"/>
      <c r="R198" s="0"/>
      <c r="S198" s="0"/>
      <c r="T198" s="0"/>
    </row>
    <row r="199" customFormat="false" ht="19.95" hidden="false" customHeight="true" outlineLevel="0" collapsed="false">
      <c r="A199" s="1" t="n">
        <v>31</v>
      </c>
      <c r="B199" s="34" t="n">
        <v>43009</v>
      </c>
      <c r="C199" s="56" t="n">
        <v>0</v>
      </c>
      <c r="D199" s="187" t="s">
        <v>42</v>
      </c>
      <c r="E199" s="33" t="n">
        <f aca="false">IF(D199="totale",(C199/(A199*24))/F199,IF(D199="marché libre",(C199/(A199*24))/G199,"spécifier histo"))</f>
        <v>0</v>
      </c>
      <c r="F199" s="59" t="n">
        <v>2340</v>
      </c>
      <c r="G199" s="57" t="n">
        <f aca="false">F199-H199</f>
        <v>1200</v>
      </c>
      <c r="H199" s="59" t="n">
        <f aca="false">3*380</f>
        <v>1140</v>
      </c>
      <c r="I199" s="204"/>
      <c r="J199" s="0"/>
    </row>
    <row r="200" customFormat="false" ht="19.95" hidden="false" customHeight="true" outlineLevel="0" collapsed="false">
      <c r="A200" s="1" t="n">
        <v>30</v>
      </c>
      <c r="B200" s="31" t="n">
        <v>43040</v>
      </c>
      <c r="C200" s="56" t="n">
        <v>456705</v>
      </c>
      <c r="D200" s="187" t="s">
        <v>42</v>
      </c>
      <c r="E200" s="33" t="n">
        <f aca="false">IF(D200="totale",(C200/(A200*24))/F200,IF(D200="marché libre",(C200/(A200*24))/G200,"spécifier histo"))</f>
        <v>0.52859375</v>
      </c>
      <c r="F200" s="59" t="n">
        <v>2340</v>
      </c>
      <c r="G200" s="57" t="n">
        <f aca="false">F200-H200</f>
        <v>1200</v>
      </c>
      <c r="H200" s="59" t="n">
        <f aca="false">3*380</f>
        <v>1140</v>
      </c>
      <c r="I200" s="204"/>
      <c r="J200" s="0"/>
    </row>
    <row r="201" customFormat="false" ht="19.95" hidden="false" customHeight="true" outlineLevel="0" collapsed="false">
      <c r="A201" s="1" t="n">
        <v>31</v>
      </c>
      <c r="B201" s="34" t="n">
        <v>43070</v>
      </c>
      <c r="C201" s="56" t="n">
        <v>967852</v>
      </c>
      <c r="D201" s="187" t="s">
        <v>42</v>
      </c>
      <c r="E201" s="33" t="n">
        <f aca="false">IF(D201="totale",(C201/(A201*24))/F201,IF(D201="marché libre",(C201/(A201*24))/G201,"spécifier histo"))</f>
        <v>1.08406362007168</v>
      </c>
      <c r="F201" s="59" t="n">
        <v>2340</v>
      </c>
      <c r="G201" s="57" t="n">
        <f aca="false">F201-H201</f>
        <v>1200</v>
      </c>
      <c r="H201" s="59" t="n">
        <f aca="false">3*380</f>
        <v>1140</v>
      </c>
      <c r="I201" s="204"/>
      <c r="J201" s="0"/>
    </row>
    <row r="202" customFormat="false" ht="19.95" hidden="false" customHeight="true" outlineLevel="0" collapsed="false">
      <c r="A202" s="1" t="n">
        <v>31</v>
      </c>
      <c r="B202" s="31" t="n">
        <v>43101</v>
      </c>
      <c r="C202" s="56" t="n">
        <v>670035</v>
      </c>
      <c r="D202" s="187" t="s">
        <v>42</v>
      </c>
      <c r="E202" s="33" t="n">
        <f aca="false">IF(D202="totale",(C202/(A202*24))/F202,IF(D202="marché libre",(C202/(A202*24))/G202,"spécifier histo"))</f>
        <v>0.750487231182796</v>
      </c>
      <c r="F202" s="59" t="n">
        <v>2340</v>
      </c>
      <c r="G202" s="57" t="n">
        <f aca="false">F202-H202</f>
        <v>1200</v>
      </c>
      <c r="H202" s="59" t="n">
        <f aca="false">3*380</f>
        <v>1140</v>
      </c>
      <c r="J202" s="0"/>
    </row>
    <row r="203" customFormat="false" ht="28.35" hidden="false" customHeight="true" outlineLevel="0" collapsed="false">
      <c r="D203" s="9"/>
      <c r="J203" s="0"/>
    </row>
    <row r="204" customFormat="false" ht="28.35" hidden="false" customHeight="true" outlineLevel="0" collapsed="false">
      <c r="D204" s="9"/>
      <c r="J204" s="0"/>
    </row>
    <row r="205" customFormat="false" ht="28.35" hidden="false" customHeight="true" outlineLevel="0" collapsed="false">
      <c r="D205" s="9"/>
    </row>
    <row r="206" customFormat="false" ht="28.35" hidden="false" customHeight="true" outlineLevel="0" collapsed="false">
      <c r="D206" s="9"/>
    </row>
    <row r="207" customFormat="false" ht="28.35" hidden="false" customHeight="true" outlineLevel="0" collapsed="false">
      <c r="D207" s="9"/>
    </row>
    <row r="208" customFormat="false" ht="28.35" hidden="false" customHeight="true" outlineLevel="0" collapsed="false">
      <c r="D208" s="9"/>
    </row>
    <row r="209" customFormat="false" ht="28.35" hidden="false" customHeight="true" outlineLevel="0" collapsed="false">
      <c r="D209" s="9"/>
    </row>
    <row r="210" customFormat="false" ht="28.35" hidden="false" customHeight="true" outlineLevel="0" collapsed="false">
      <c r="D210" s="9"/>
    </row>
    <row r="211" customFormat="false" ht="28.35" hidden="false" customHeight="true" outlineLevel="0" collapsed="false">
      <c r="D211" s="9"/>
    </row>
    <row r="212" customFormat="false" ht="28.35" hidden="false" customHeight="true" outlineLevel="0" collapsed="false">
      <c r="D212" s="9"/>
    </row>
    <row r="213" customFormat="false" ht="28.35" hidden="false" customHeight="true" outlineLevel="0" collapsed="false">
      <c r="D213" s="9"/>
    </row>
    <row r="214" customFormat="false" ht="28.35" hidden="false" customHeight="true" outlineLevel="0" collapsed="false">
      <c r="D214" s="9"/>
    </row>
    <row r="215" customFormat="false" ht="28.35" hidden="false" customHeight="true" outlineLevel="0" collapsed="false">
      <c r="D215" s="9"/>
    </row>
    <row r="216" customFormat="false" ht="28.35" hidden="false" customHeight="true" outlineLevel="0" collapsed="false">
      <c r="D216" s="9"/>
    </row>
    <row r="217" customFormat="false" ht="28.35" hidden="false" customHeight="true" outlineLevel="0" collapsed="false"/>
    <row r="218" customFormat="false" ht="28.35" hidden="false" customHeight="true" outlineLevel="0" collapsed="false"/>
    <row r="219" customFormat="false" ht="28.35" hidden="false" customHeight="true" outlineLevel="0" collapsed="false"/>
  </sheetData>
  <mergeCells count="20">
    <mergeCell ref="B1:E2"/>
    <mergeCell ref="F1:O1"/>
    <mergeCell ref="F2:I2"/>
    <mergeCell ref="J2:L2"/>
    <mergeCell ref="M2:N2"/>
    <mergeCell ref="O2:O3"/>
    <mergeCell ref="U4:W4"/>
    <mergeCell ref="C6:D6"/>
    <mergeCell ref="F6:F7"/>
    <mergeCell ref="G6:O7"/>
    <mergeCell ref="C7:D7"/>
    <mergeCell ref="V49:V51"/>
    <mergeCell ref="U53:U54"/>
    <mergeCell ref="V53:V55"/>
    <mergeCell ref="P181:V181"/>
    <mergeCell ref="P185:U185"/>
    <mergeCell ref="P187:U188"/>
    <mergeCell ref="P189:U190"/>
    <mergeCell ref="P191:U192"/>
    <mergeCell ref="P194:U195"/>
  </mergeCells>
  <conditionalFormatting sqref="E10:E202">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3.xml><?xml version="1.0" encoding="utf-8"?>
<worksheet xmlns="http://schemas.openxmlformats.org/spreadsheetml/2006/main" xmlns:r="http://schemas.openxmlformats.org/officeDocument/2006/relationships">
  <sheetPr filterMode="false">
    <tabColor rgb="FF158466"/>
    <pageSetUpPr fitToPage="false"/>
  </sheetPr>
  <dimension ref="A1:V17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33" activePane="bottomRight" state="frozen"/>
      <selection pane="topLeft" activeCell="A1" activeCellId="0" sqref="A1"/>
      <selection pane="topRight" activeCell="B1" activeCellId="0" sqref="B1"/>
      <selection pane="bottomLeft" activeCell="A133" activeCellId="0" sqref="A133"/>
      <selection pane="bottomRight" activeCell="B139" activeCellId="0" sqref="B139"/>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197</v>
      </c>
      <c r="C4" s="16" t="n">
        <v>32535</v>
      </c>
      <c r="D4" s="5" t="s">
        <v>198</v>
      </c>
      <c r="E4" s="14" t="s">
        <v>199</v>
      </c>
      <c r="F4" s="15" t="n">
        <v>630</v>
      </c>
      <c r="G4" s="15" t="n">
        <v>630</v>
      </c>
      <c r="H4" s="15" t="n">
        <v>630</v>
      </c>
      <c r="I4" s="16" t="s">
        <v>200</v>
      </c>
      <c r="J4" s="15" t="n">
        <v>630</v>
      </c>
      <c r="K4" s="16"/>
      <c r="L4" s="16" t="s">
        <v>113</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c r="H6" s="19"/>
      <c r="I6" s="19"/>
      <c r="J6" s="19"/>
      <c r="K6" s="19"/>
      <c r="L6" s="19"/>
      <c r="M6" s="19"/>
      <c r="N6" s="19"/>
      <c r="P6" s="21" t="n">
        <v>42705</v>
      </c>
      <c r="Q6" s="19" t="s">
        <v>27</v>
      </c>
      <c r="R6" s="9"/>
      <c r="S6" s="22"/>
      <c r="T6" s="5" t="s">
        <v>28</v>
      </c>
    </row>
    <row r="7" customFormat="false" ht="41.65" hidden="false" customHeight="true" outlineLevel="0" collapsed="false">
      <c r="A7" s="0"/>
      <c r="B7" s="0"/>
      <c r="C7" s="126" t="s">
        <v>201</v>
      </c>
      <c r="D7" s="126"/>
      <c r="F7" s="20"/>
      <c r="G7" s="20"/>
      <c r="H7" s="19"/>
      <c r="I7" s="19"/>
      <c r="J7" s="19"/>
      <c r="K7" s="19"/>
      <c r="L7" s="19"/>
      <c r="M7" s="19"/>
      <c r="N7" s="19"/>
      <c r="P7" s="24"/>
      <c r="Q7" s="5" t="s">
        <v>29</v>
      </c>
      <c r="R7" s="9"/>
      <c r="S7" s="25"/>
      <c r="T7" s="5" t="s">
        <v>30</v>
      </c>
    </row>
    <row r="8" customFormat="false" ht="42.45" hidden="false" customHeight="true" outlineLevel="0" collapsed="false">
      <c r="A8" s="26" t="n">
        <f aca="false">_xlfn.SHEET()</f>
        <v>13</v>
      </c>
      <c r="F8" s="9"/>
      <c r="G8" s="9"/>
      <c r="H8" s="9"/>
      <c r="J8" s="9"/>
      <c r="R8" s="9"/>
      <c r="S8" s="27"/>
      <c r="T8" s="16" t="s">
        <v>31</v>
      </c>
    </row>
    <row r="9" customFormat="false" ht="36.65" hidden="false" customHeight="true" outlineLevel="0" collapsed="false">
      <c r="A9" s="26" t="n">
        <f aca="false">_xlfn.SHEETS()</f>
        <v>79</v>
      </c>
      <c r="B9" s="9" t="s">
        <v>32</v>
      </c>
      <c r="C9" s="28" t="s">
        <v>33</v>
      </c>
      <c r="E9" s="1" t="s">
        <v>35</v>
      </c>
      <c r="F9" s="9" t="s">
        <v>36</v>
      </c>
      <c r="G9" s="9" t="s">
        <v>37</v>
      </c>
      <c r="H9" s="9" t="s">
        <v>38</v>
      </c>
      <c r="I9" s="9" t="s">
        <v>39</v>
      </c>
      <c r="J9" s="205" t="s">
        <v>40</v>
      </c>
      <c r="K9" s="206"/>
    </row>
    <row r="10" customFormat="false" ht="19.85" hidden="false" customHeight="true" outlineLevel="0" collapsed="false">
      <c r="A10" s="0" t="n">
        <v>31</v>
      </c>
      <c r="B10" s="31" t="n">
        <v>39448</v>
      </c>
      <c r="C10" s="207" t="n">
        <v>0</v>
      </c>
      <c r="D10" s="1" t="s">
        <v>42</v>
      </c>
      <c r="E10" s="33" t="n">
        <f aca="false">IF(D10="totale",(C10/(A10*24))/F10,IF(D10="marché libre",(C10/(A10*24))/G10,"spécifier histo"))</f>
        <v>0</v>
      </c>
      <c r="F10" s="59" t="n">
        <v>630</v>
      </c>
      <c r="G10" s="59" t="n">
        <f aca="false">F10-H10</f>
        <v>630</v>
      </c>
      <c r="H10" s="59" t="n">
        <v>0</v>
      </c>
      <c r="J10" s="0"/>
      <c r="K10" s="0"/>
      <c r="L10" s="0"/>
      <c r="M10" s="0"/>
      <c r="N10" s="0"/>
      <c r="O10" s="0"/>
      <c r="P10" s="0"/>
      <c r="Q10" s="0"/>
      <c r="R10" s="0"/>
      <c r="S10" s="0"/>
    </row>
    <row r="11" customFormat="false" ht="19.85" hidden="false" customHeight="true" outlineLevel="0" collapsed="false">
      <c r="A11" s="0" t="n">
        <v>28</v>
      </c>
      <c r="B11" s="34" t="n">
        <v>39479</v>
      </c>
      <c r="C11" s="207" t="n">
        <v>0</v>
      </c>
      <c r="D11" s="1" t="s">
        <v>42</v>
      </c>
      <c r="E11" s="33" t="n">
        <f aca="false">IF(D11="totale",(C11/(A11*24))/F11,IF(D11="marché libre",(C11/(A11*24))/G11,"spécifier histo"))</f>
        <v>0</v>
      </c>
      <c r="F11" s="59" t="n">
        <v>630</v>
      </c>
      <c r="G11" s="59" t="n">
        <f aca="false">F11-H11</f>
        <v>630</v>
      </c>
      <c r="H11" s="59" t="n">
        <v>0</v>
      </c>
      <c r="J11" s="0"/>
      <c r="K11" s="0"/>
      <c r="L11" s="0"/>
      <c r="M11" s="0"/>
      <c r="N11" s="0"/>
      <c r="O11" s="0"/>
      <c r="P11" s="0"/>
      <c r="Q11" s="0"/>
      <c r="R11" s="0"/>
      <c r="S11" s="0"/>
    </row>
    <row r="12" customFormat="false" ht="19.85" hidden="false" customHeight="true" outlineLevel="0" collapsed="false">
      <c r="A12" s="0" t="n">
        <v>31</v>
      </c>
      <c r="B12" s="31" t="n">
        <v>39508</v>
      </c>
      <c r="C12" s="207" t="n">
        <v>104001</v>
      </c>
      <c r="D12" s="1" t="s">
        <v>42</v>
      </c>
      <c r="E12" s="33" t="n">
        <f aca="false">IF(D12="totale",(C12/(A12*24))/F12,IF(D12="marché libre",(C12/(A12*24))/G12,"spécifier histo"))</f>
        <v>0.221883000512033</v>
      </c>
      <c r="F12" s="59" t="n">
        <v>630</v>
      </c>
      <c r="G12" s="59" t="n">
        <f aca="false">F12-H12</f>
        <v>630</v>
      </c>
      <c r="H12" s="59" t="n">
        <v>0</v>
      </c>
      <c r="J12" s="0"/>
      <c r="K12" s="0"/>
      <c r="L12" s="0"/>
      <c r="M12" s="0"/>
      <c r="N12" s="0"/>
      <c r="O12" s="0"/>
      <c r="P12" s="0"/>
      <c r="Q12" s="0"/>
      <c r="R12" s="0"/>
      <c r="S12" s="0"/>
    </row>
    <row r="13" customFormat="false" ht="19.85" hidden="false" customHeight="true" outlineLevel="0" collapsed="false">
      <c r="A13" s="0" t="n">
        <v>30</v>
      </c>
      <c r="B13" s="34" t="n">
        <v>39539</v>
      </c>
      <c r="C13" s="207" t="n">
        <v>259108</v>
      </c>
      <c r="D13" s="1" t="s">
        <v>42</v>
      </c>
      <c r="E13" s="33" t="n">
        <f aca="false">IF(D13="totale",(C13/(A13*24))/F13,IF(D13="marché libre",(C13/(A13*24))/G13,"spécifier histo"))</f>
        <v>0.571225749559083</v>
      </c>
      <c r="F13" s="59" t="n">
        <v>630</v>
      </c>
      <c r="G13" s="59" t="n">
        <f aca="false">F13-H13</f>
        <v>630</v>
      </c>
      <c r="H13" s="59" t="n">
        <v>0</v>
      </c>
      <c r="J13" s="0"/>
      <c r="K13" s="0"/>
      <c r="L13" s="0"/>
      <c r="M13" s="0"/>
      <c r="N13" s="0"/>
      <c r="O13" s="0"/>
      <c r="P13" s="0"/>
      <c r="Q13" s="0"/>
      <c r="R13" s="0"/>
      <c r="S13" s="0"/>
    </row>
    <row r="14" customFormat="false" ht="19.85" hidden="false" customHeight="true" outlineLevel="0" collapsed="false">
      <c r="A14" s="0" t="n">
        <v>31</v>
      </c>
      <c r="B14" s="31" t="n">
        <v>39569</v>
      </c>
      <c r="C14" s="207" t="n">
        <v>18198</v>
      </c>
      <c r="D14" s="1" t="s">
        <v>42</v>
      </c>
      <c r="E14" s="33" t="n">
        <f aca="false">IF(D14="totale",(C14/(A14*24))/F14,IF(D14="marché libre",(C14/(A14*24))/G14,"spécifier histo"))</f>
        <v>0.0388248847926267</v>
      </c>
      <c r="F14" s="59" t="n">
        <v>630</v>
      </c>
      <c r="G14" s="59" t="n">
        <f aca="false">F14-H14</f>
        <v>630</v>
      </c>
      <c r="H14" s="59" t="n">
        <v>0</v>
      </c>
      <c r="J14" s="0"/>
      <c r="K14" s="0"/>
      <c r="L14" s="0"/>
      <c r="M14" s="0"/>
      <c r="N14" s="0"/>
      <c r="O14" s="0"/>
      <c r="P14" s="0"/>
      <c r="Q14" s="0"/>
      <c r="R14" s="0"/>
      <c r="S14" s="0"/>
    </row>
    <row r="15" customFormat="false" ht="19.85" hidden="false" customHeight="true" outlineLevel="0" collapsed="false">
      <c r="A15" s="0" t="n">
        <v>30</v>
      </c>
      <c r="B15" s="34" t="n">
        <v>39600</v>
      </c>
      <c r="C15" s="207" t="n">
        <v>24677</v>
      </c>
      <c r="D15" s="1" t="s">
        <v>42</v>
      </c>
      <c r="E15" s="33" t="n">
        <f aca="false">IF(D15="totale",(C15/(A15*24))/F15,IF(D15="marché libre",(C15/(A15*24))/G15,"spécifier histo"))</f>
        <v>0.054402557319224</v>
      </c>
      <c r="F15" s="59" t="n">
        <v>630</v>
      </c>
      <c r="G15" s="59" t="n">
        <f aca="false">F15-H15</f>
        <v>630</v>
      </c>
      <c r="H15" s="59" t="n">
        <v>0</v>
      </c>
      <c r="J15" s="0"/>
      <c r="K15" s="0"/>
      <c r="L15" s="0"/>
      <c r="M15" s="0"/>
      <c r="N15" s="0"/>
      <c r="O15" s="0"/>
      <c r="P15" s="0"/>
      <c r="Q15" s="0"/>
      <c r="R15" s="0"/>
      <c r="S15" s="0"/>
    </row>
    <row r="16" customFormat="false" ht="19.85" hidden="false" customHeight="true" outlineLevel="0" collapsed="false">
      <c r="A16" s="0" t="n">
        <v>31</v>
      </c>
      <c r="B16" s="31" t="n">
        <v>39630</v>
      </c>
      <c r="C16" s="207" t="n">
        <v>1278</v>
      </c>
      <c r="D16" s="1" t="s">
        <v>42</v>
      </c>
      <c r="E16" s="33" t="n">
        <f aca="false">IF(D16="totale",(C16/(A16*24))/F16,IF(D16="marché libre",(C16/(A16*24))/G16,"spécifier histo"))</f>
        <v>0.00272657450076805</v>
      </c>
      <c r="F16" s="59" t="n">
        <v>630</v>
      </c>
      <c r="G16" s="59" t="n">
        <f aca="false">F16-H16</f>
        <v>630</v>
      </c>
      <c r="H16" s="59" t="n">
        <v>0</v>
      </c>
      <c r="J16" s="0"/>
      <c r="K16" s="0"/>
      <c r="L16" s="0"/>
      <c r="M16" s="0"/>
      <c r="N16" s="0"/>
      <c r="O16" s="0"/>
      <c r="P16" s="0"/>
      <c r="Q16" s="0"/>
      <c r="R16" s="0"/>
      <c r="S16" s="0"/>
    </row>
    <row r="17" customFormat="false" ht="19.85" hidden="false" customHeight="true" outlineLevel="0" collapsed="false">
      <c r="A17" s="0" t="n">
        <v>31</v>
      </c>
      <c r="B17" s="34" t="n">
        <v>39661</v>
      </c>
      <c r="C17" s="207" t="n">
        <v>3528</v>
      </c>
      <c r="D17" s="1" t="s">
        <v>42</v>
      </c>
      <c r="E17" s="33" t="n">
        <f aca="false">IF(D17="totale",(C17/(A17*24))/F17,IF(D17="marché libre",(C17/(A17*24))/G17,"spécifier histo"))</f>
        <v>0.00752688172043011</v>
      </c>
      <c r="F17" s="59" t="n">
        <v>630</v>
      </c>
      <c r="G17" s="59" t="n">
        <f aca="false">F17-H17</f>
        <v>630</v>
      </c>
      <c r="H17" s="59" t="n">
        <v>0</v>
      </c>
      <c r="J17" s="0"/>
      <c r="K17" s="0"/>
      <c r="L17" s="0"/>
      <c r="M17" s="0"/>
      <c r="N17" s="0"/>
      <c r="O17" s="0"/>
      <c r="P17" s="0"/>
      <c r="Q17" s="0"/>
      <c r="R17" s="0"/>
      <c r="S17" s="0"/>
    </row>
    <row r="18" customFormat="false" ht="19.85" hidden="false" customHeight="true" outlineLevel="0" collapsed="false">
      <c r="A18" s="0" t="n">
        <v>30</v>
      </c>
      <c r="B18" s="31" t="n">
        <v>39692</v>
      </c>
      <c r="C18" s="207" t="n">
        <v>25632</v>
      </c>
      <c r="D18" s="1" t="s">
        <v>42</v>
      </c>
      <c r="E18" s="33" t="n">
        <f aca="false">IF(D18="totale",(C18/(A18*24))/F18,IF(D18="marché libre",(C18/(A18*24))/G18,"spécifier histo"))</f>
        <v>0.0565079365079365</v>
      </c>
      <c r="F18" s="59" t="n">
        <v>630</v>
      </c>
      <c r="G18" s="59" t="n">
        <f aca="false">F18-H18</f>
        <v>630</v>
      </c>
      <c r="H18" s="59" t="n">
        <v>0</v>
      </c>
      <c r="J18" s="0"/>
      <c r="K18" s="0"/>
      <c r="L18" s="0"/>
      <c r="M18" s="0"/>
      <c r="N18" s="0"/>
      <c r="O18" s="0"/>
      <c r="P18" s="0"/>
      <c r="Q18" s="0"/>
      <c r="R18" s="0"/>
      <c r="S18" s="0"/>
    </row>
    <row r="19" customFormat="false" ht="19.85" hidden="false" customHeight="true" outlineLevel="0" collapsed="false">
      <c r="A19" s="0" t="n">
        <v>31</v>
      </c>
      <c r="B19" s="34" t="n">
        <v>39722</v>
      </c>
      <c r="C19" s="207" t="n">
        <v>0</v>
      </c>
      <c r="D19" s="1" t="s">
        <v>42</v>
      </c>
      <c r="E19" s="33" t="n">
        <f aca="false">IF(D19="totale",(C19/(A19*24))/F19,IF(D19="marché libre",(C19/(A19*24))/G19,"spécifier histo"))</f>
        <v>0</v>
      </c>
      <c r="F19" s="59" t="n">
        <v>630</v>
      </c>
      <c r="G19" s="59" t="n">
        <f aca="false">F19-H19</f>
        <v>630</v>
      </c>
      <c r="H19" s="59" t="n">
        <v>0</v>
      </c>
      <c r="J19" s="0"/>
      <c r="K19" s="0"/>
      <c r="L19" s="0"/>
      <c r="M19" s="0"/>
      <c r="N19" s="0"/>
      <c r="O19" s="0"/>
      <c r="P19" s="0"/>
      <c r="Q19" s="0"/>
      <c r="R19" s="0"/>
      <c r="S19" s="0"/>
    </row>
    <row r="20" customFormat="false" ht="19.85" hidden="false" customHeight="true" outlineLevel="0" collapsed="false">
      <c r="A20" s="0" t="n">
        <v>30</v>
      </c>
      <c r="B20" s="31" t="n">
        <v>39753</v>
      </c>
      <c r="C20" s="207" t="n">
        <v>85941</v>
      </c>
      <c r="D20" s="1" t="s">
        <v>42</v>
      </c>
      <c r="E20" s="33" t="n">
        <f aca="false">IF(D20="totale",(C20/(A20*24))/F20,IF(D20="marché libre",(C20/(A20*24))/G20,"spécifier histo"))</f>
        <v>0.189464285714286</v>
      </c>
      <c r="F20" s="59" t="n">
        <v>630</v>
      </c>
      <c r="G20" s="59" t="n">
        <f aca="false">F20-H20</f>
        <v>630</v>
      </c>
      <c r="H20" s="59" t="n">
        <v>0</v>
      </c>
      <c r="J20" s="0"/>
      <c r="K20" s="0"/>
      <c r="L20" s="0"/>
      <c r="M20" s="0"/>
      <c r="N20" s="0"/>
      <c r="O20" s="0"/>
      <c r="P20" s="0"/>
      <c r="Q20" s="0"/>
      <c r="R20" s="0"/>
      <c r="S20" s="0"/>
    </row>
    <row r="21" customFormat="false" ht="19.85" hidden="false" customHeight="true" outlineLevel="0" collapsed="false">
      <c r="A21" s="0" t="n">
        <v>31</v>
      </c>
      <c r="B21" s="34" t="n">
        <v>39783</v>
      </c>
      <c r="C21" s="207" t="n">
        <v>209514</v>
      </c>
      <c r="D21" s="1" t="s">
        <v>42</v>
      </c>
      <c r="E21" s="33" t="n">
        <f aca="false">IF(D21="totale",(C21/(A21*24))/F21,IF(D21="marché libre",(C21/(A21*24))/G21,"spécifier histo"))</f>
        <v>0.446991807475678</v>
      </c>
      <c r="F21" s="59" t="n">
        <v>630</v>
      </c>
      <c r="G21" s="59" t="n">
        <f aca="false">F21-H21</f>
        <v>630</v>
      </c>
      <c r="H21" s="59" t="n">
        <v>0</v>
      </c>
      <c r="J21" s="0"/>
      <c r="K21" s="0"/>
      <c r="L21" s="0"/>
      <c r="M21" s="0"/>
      <c r="N21" s="0"/>
      <c r="O21" s="0"/>
      <c r="P21" s="0"/>
      <c r="Q21" s="0"/>
      <c r="R21" s="0"/>
      <c r="S21" s="207"/>
    </row>
    <row r="22" customFormat="false" ht="19.85" hidden="false" customHeight="true" outlineLevel="0" collapsed="false">
      <c r="A22" s="0" t="n">
        <v>31</v>
      </c>
      <c r="B22" s="31" t="n">
        <v>39814</v>
      </c>
      <c r="C22" s="207" t="n">
        <v>105962</v>
      </c>
      <c r="D22" s="1" t="s">
        <v>42</v>
      </c>
      <c r="E22" s="33" t="n">
        <f aca="false">IF(D22="totale",(C22/(A22*24))/F22,IF(D22="marché libre",(C22/(A22*24))/G22,"spécifier histo"))</f>
        <v>0.226066734937703</v>
      </c>
      <c r="F22" s="59" t="n">
        <v>630</v>
      </c>
      <c r="G22" s="59" t="n">
        <f aca="false">F22-H22</f>
        <v>630</v>
      </c>
      <c r="H22" s="59" t="n">
        <v>0</v>
      </c>
      <c r="J22" s="0"/>
      <c r="K22" s="0"/>
      <c r="L22" s="0"/>
      <c r="M22" s="0"/>
      <c r="N22" s="0"/>
      <c r="O22" s="0"/>
      <c r="P22" s="0"/>
      <c r="Q22" s="0"/>
      <c r="R22" s="0"/>
      <c r="S22" s="207"/>
    </row>
    <row r="23" customFormat="false" ht="19.85" hidden="false" customHeight="true" outlineLevel="0" collapsed="false">
      <c r="A23" s="0" t="n">
        <v>28</v>
      </c>
      <c r="B23" s="34" t="n">
        <v>39845</v>
      </c>
      <c r="C23" s="207" t="n">
        <v>113373</v>
      </c>
      <c r="D23" s="1" t="s">
        <v>42</v>
      </c>
      <c r="E23" s="33" t="n">
        <f aca="false">IF(D23="totale",(C23/(A23*24))/F23,IF(D23="marché libre",(C23/(A23*24))/G23,"spécifier histo"))</f>
        <v>0.267793367346939</v>
      </c>
      <c r="F23" s="59" t="n">
        <v>630</v>
      </c>
      <c r="G23" s="59" t="n">
        <f aca="false">F23-H23</f>
        <v>630</v>
      </c>
      <c r="H23" s="59" t="n">
        <v>0</v>
      </c>
      <c r="J23" s="208"/>
      <c r="K23" s="0"/>
      <c r="M23" s="0"/>
      <c r="O23" s="0"/>
      <c r="Q23" s="0"/>
    </row>
    <row r="24" customFormat="false" ht="19.85" hidden="false" customHeight="true" outlineLevel="0" collapsed="false">
      <c r="A24" s="0" t="n">
        <v>31</v>
      </c>
      <c r="B24" s="31" t="n">
        <v>39873</v>
      </c>
      <c r="C24" s="207" t="n">
        <v>275737</v>
      </c>
      <c r="D24" s="1" t="s">
        <v>42</v>
      </c>
      <c r="E24" s="33" t="n">
        <f aca="false">IF(D24="totale",(C24/(A24*24))/F24,IF(D24="marché libre",(C24/(A24*24))/G24,"spécifier histo"))</f>
        <v>0.588276583034648</v>
      </c>
      <c r="F24" s="59" t="n">
        <v>630</v>
      </c>
      <c r="G24" s="59" t="n">
        <f aca="false">F24-H24</f>
        <v>630</v>
      </c>
      <c r="H24" s="59" t="n">
        <v>0</v>
      </c>
      <c r="J24" s="208"/>
      <c r="K24" s="0"/>
      <c r="M24" s="0"/>
      <c r="O24" s="0"/>
      <c r="Q24" s="0"/>
    </row>
    <row r="25" customFormat="false" ht="19.85" hidden="false" customHeight="true" outlineLevel="0" collapsed="false">
      <c r="A25" s="0" t="n">
        <v>30</v>
      </c>
      <c r="B25" s="34" t="n">
        <v>39904</v>
      </c>
      <c r="C25" s="207" t="n">
        <v>255146</v>
      </c>
      <c r="D25" s="1" t="s">
        <v>42</v>
      </c>
      <c r="E25" s="33" t="n">
        <f aca="false">IF(D25="totale",(C25/(A25*24))/F25,IF(D25="marché libre",(C25/(A25*24))/G25,"spécifier histo"))</f>
        <v>0.562491181657848</v>
      </c>
      <c r="F25" s="59" t="n">
        <v>630</v>
      </c>
      <c r="G25" s="59" t="n">
        <f aca="false">F25-H25</f>
        <v>630</v>
      </c>
      <c r="H25" s="59" t="n">
        <v>0</v>
      </c>
      <c r="J25" s="208"/>
      <c r="K25" s="0"/>
      <c r="M25" s="0"/>
      <c r="O25" s="0"/>
      <c r="Q25" s="0"/>
    </row>
    <row r="26" customFormat="false" ht="19.85" hidden="false" customHeight="true" outlineLevel="0" collapsed="false">
      <c r="A26" s="0" t="n">
        <v>31</v>
      </c>
      <c r="B26" s="31" t="n">
        <v>39934</v>
      </c>
      <c r="C26" s="207" t="n">
        <v>5913</v>
      </c>
      <c r="D26" s="1" t="s">
        <v>42</v>
      </c>
      <c r="E26" s="33" t="n">
        <f aca="false">IF(D26="totale",(C26/(A26*24))/F26,IF(D26="marché libre",(C26/(A26*24))/G26,"spécifier histo"))</f>
        <v>0.0126152073732719</v>
      </c>
      <c r="F26" s="59" t="n">
        <v>630</v>
      </c>
      <c r="G26" s="59" t="n">
        <f aca="false">F26-H26</f>
        <v>630</v>
      </c>
      <c r="H26" s="59" t="n">
        <v>0</v>
      </c>
      <c r="J26" s="208"/>
      <c r="K26" s="0"/>
      <c r="M26" s="0"/>
      <c r="O26" s="0"/>
      <c r="Q26" s="0"/>
    </row>
    <row r="27" customFormat="false" ht="19.85" hidden="false" customHeight="true" outlineLevel="0" collapsed="false">
      <c r="A27" s="0" t="n">
        <v>30</v>
      </c>
      <c r="B27" s="34" t="n">
        <v>39965</v>
      </c>
      <c r="C27" s="207" t="n">
        <v>5784</v>
      </c>
      <c r="D27" s="1" t="s">
        <v>42</v>
      </c>
      <c r="E27" s="33" t="n">
        <f aca="false">IF(D27="totale",(C27/(A27*24))/F27,IF(D27="marché libre",(C27/(A27*24))/G27,"spécifier histo"))</f>
        <v>0.0127513227513228</v>
      </c>
      <c r="F27" s="59" t="n">
        <v>630</v>
      </c>
      <c r="G27" s="59" t="n">
        <f aca="false">F27-H27</f>
        <v>630</v>
      </c>
      <c r="H27" s="59" t="n">
        <v>0</v>
      </c>
      <c r="J27" s="208"/>
      <c r="K27" s="0"/>
      <c r="M27" s="0"/>
      <c r="O27" s="0"/>
      <c r="Q27" s="0"/>
    </row>
    <row r="28" customFormat="false" ht="19.85" hidden="false" customHeight="true" outlineLevel="0" collapsed="false">
      <c r="A28" s="0" t="n">
        <v>31</v>
      </c>
      <c r="B28" s="31" t="n">
        <v>39995</v>
      </c>
      <c r="C28" s="207" t="n">
        <v>32793</v>
      </c>
      <c r="D28" s="1" t="s">
        <v>42</v>
      </c>
      <c r="E28" s="33" t="n">
        <f aca="false">IF(D28="totale",(C28/(A28*24))/F28,IF(D28="marché libre",(C28/(A28*24))/G28,"spécifier histo"))</f>
        <v>0.0699628776241679</v>
      </c>
      <c r="F28" s="59" t="n">
        <v>630</v>
      </c>
      <c r="G28" s="59" t="n">
        <f aca="false">F28-H28</f>
        <v>630</v>
      </c>
      <c r="H28" s="59" t="n">
        <v>0</v>
      </c>
      <c r="J28" s="208"/>
      <c r="K28" s="0"/>
      <c r="M28" s="0"/>
      <c r="O28" s="0"/>
      <c r="Q28" s="0"/>
    </row>
    <row r="29" customFormat="false" ht="19.85" hidden="false" customHeight="true" outlineLevel="0" collapsed="false">
      <c r="A29" s="0" t="n">
        <v>31</v>
      </c>
      <c r="B29" s="34" t="n">
        <v>40026</v>
      </c>
      <c r="C29" s="207" t="n">
        <v>1325</v>
      </c>
      <c r="D29" s="1" t="s">
        <v>42</v>
      </c>
      <c r="E29" s="33" t="n">
        <f aca="false">IF(D29="totale",(C29/(A29*24))/F29,IF(D29="marché libre",(C29/(A29*24))/G29,"spécifier histo"))</f>
        <v>0.0028268475849121</v>
      </c>
      <c r="F29" s="59" t="n">
        <v>630</v>
      </c>
      <c r="G29" s="59" t="n">
        <f aca="false">F29-H29</f>
        <v>630</v>
      </c>
      <c r="H29" s="59" t="n">
        <v>0</v>
      </c>
      <c r="J29" s="208"/>
      <c r="K29" s="0"/>
      <c r="M29" s="0"/>
      <c r="O29" s="0"/>
      <c r="Q29" s="0"/>
    </row>
    <row r="30" customFormat="false" ht="19.85" hidden="false" customHeight="true" outlineLevel="0" collapsed="false">
      <c r="A30" s="0" t="n">
        <v>30</v>
      </c>
      <c r="B30" s="31" t="n">
        <v>40057</v>
      </c>
      <c r="C30" s="207" t="n">
        <v>826</v>
      </c>
      <c r="D30" s="1" t="s">
        <v>42</v>
      </c>
      <c r="E30" s="33" t="n">
        <f aca="false">IF(D30="totale",(C30/(A30*24))/F30,IF(D30="marché libre",(C30/(A30*24))/G30,"spécifier histo"))</f>
        <v>0.00182098765432099</v>
      </c>
      <c r="F30" s="59" t="n">
        <v>630</v>
      </c>
      <c r="G30" s="59" t="n">
        <f aca="false">F30-H30</f>
        <v>630</v>
      </c>
      <c r="H30" s="59" t="n">
        <v>0</v>
      </c>
      <c r="J30" s="208"/>
      <c r="K30" s="0"/>
      <c r="M30" s="0"/>
      <c r="O30" s="0"/>
      <c r="Q30" s="0"/>
    </row>
    <row r="31" customFormat="false" ht="19.85" hidden="false" customHeight="true" outlineLevel="0" collapsed="false">
      <c r="A31" s="0" t="n">
        <v>31</v>
      </c>
      <c r="B31" s="34" t="n">
        <v>40087</v>
      </c>
      <c r="C31" s="207" t="n">
        <v>693</v>
      </c>
      <c r="D31" s="1" t="s">
        <v>42</v>
      </c>
      <c r="E31" s="33" t="n">
        <f aca="false">IF(D31="totale",(C31/(A31*24))/F31,IF(D31="marché libre",(C31/(A31*24))/G31,"spécifier histo"))</f>
        <v>0.00147849462365591</v>
      </c>
      <c r="F31" s="59" t="n">
        <v>630</v>
      </c>
      <c r="G31" s="59" t="n">
        <f aca="false">F31-H31</f>
        <v>630</v>
      </c>
      <c r="H31" s="59" t="n">
        <v>0</v>
      </c>
      <c r="J31" s="208"/>
      <c r="K31" s="0"/>
      <c r="M31" s="0"/>
      <c r="O31" s="0"/>
      <c r="Q31" s="0"/>
    </row>
    <row r="32" customFormat="false" ht="19.85" hidden="false" customHeight="true" outlineLevel="0" collapsed="false">
      <c r="A32" s="0" t="n">
        <v>30</v>
      </c>
      <c r="B32" s="31" t="n">
        <v>40118</v>
      </c>
      <c r="C32" s="207" t="n">
        <v>208459</v>
      </c>
      <c r="D32" s="1" t="s">
        <v>42</v>
      </c>
      <c r="E32" s="33" t="n">
        <f aca="false">IF(D32="totale",(C32/(A32*24))/F32,IF(D32="marché libre",(C32/(A32*24))/G32,"spécifier histo"))</f>
        <v>0.45956569664903</v>
      </c>
      <c r="F32" s="59" t="n">
        <v>630</v>
      </c>
      <c r="G32" s="59" t="n">
        <f aca="false">F32-H32</f>
        <v>630</v>
      </c>
      <c r="H32" s="59" t="n">
        <v>0</v>
      </c>
      <c r="J32" s="208"/>
      <c r="K32" s="0"/>
      <c r="M32" s="0"/>
      <c r="O32" s="0"/>
      <c r="Q32" s="0"/>
    </row>
    <row r="33" customFormat="false" ht="19.85" hidden="false" customHeight="true" outlineLevel="0" collapsed="false">
      <c r="A33" s="0" t="n">
        <v>31</v>
      </c>
      <c r="B33" s="34" t="n">
        <v>40148</v>
      </c>
      <c r="C33" s="207" t="n">
        <v>271421</v>
      </c>
      <c r="D33" s="1" t="s">
        <v>42</v>
      </c>
      <c r="E33" s="33" t="n">
        <f aca="false">IF(D33="totale",(C33/(A33*24))/F33,IF(D33="marché libre",(C33/(A33*24))/G33,"spécifier histo"))</f>
        <v>0.579068527052398</v>
      </c>
      <c r="F33" s="59" t="n">
        <v>630</v>
      </c>
      <c r="G33" s="59" t="n">
        <f aca="false">F33-H33</f>
        <v>630</v>
      </c>
      <c r="H33" s="59" t="n">
        <v>0</v>
      </c>
      <c r="J33" s="208"/>
      <c r="K33" s="0"/>
      <c r="M33" s="0"/>
      <c r="O33" s="0"/>
      <c r="Q33" s="0"/>
    </row>
    <row r="34" customFormat="false" ht="19.85" hidden="false" customHeight="true" outlineLevel="0" collapsed="false">
      <c r="A34" s="0" t="n">
        <v>31</v>
      </c>
      <c r="B34" s="31" t="n">
        <v>40179</v>
      </c>
      <c r="C34" s="207" t="n">
        <v>86617</v>
      </c>
      <c r="D34" s="1" t="s">
        <v>42</v>
      </c>
      <c r="E34" s="33" t="n">
        <f aca="false">IF(D34="totale",(C34/(A34*24))/F34,IF(D34="marché libre",(C34/(A34*24))/G34,"spécifier histo"))</f>
        <v>0.184794760197986</v>
      </c>
      <c r="F34" s="59" t="n">
        <v>630</v>
      </c>
      <c r="G34" s="59" t="n">
        <f aca="false">F34-H34</f>
        <v>630</v>
      </c>
      <c r="H34" s="59" t="n">
        <v>0</v>
      </c>
      <c r="J34" s="208"/>
      <c r="K34" s="0"/>
      <c r="M34" s="0"/>
      <c r="O34" s="0"/>
      <c r="Q34" s="0"/>
    </row>
    <row r="35" customFormat="false" ht="19.85" hidden="false" customHeight="true" outlineLevel="0" collapsed="false">
      <c r="A35" s="0" t="n">
        <v>28</v>
      </c>
      <c r="B35" s="34" t="n">
        <v>40210</v>
      </c>
      <c r="C35" s="207" t="n">
        <v>136702</v>
      </c>
      <c r="D35" s="1" t="s">
        <v>42</v>
      </c>
      <c r="E35" s="33" t="n">
        <f aca="false">IF(D35="totale",(C35/(A35*24))/F35,IF(D35="marché libre",(C35/(A35*24))/G35,"spécifier histo"))</f>
        <v>0.322897770219199</v>
      </c>
      <c r="F35" s="59" t="n">
        <v>630</v>
      </c>
      <c r="G35" s="59" t="n">
        <f aca="false">F35-H35</f>
        <v>630</v>
      </c>
      <c r="H35" s="59" t="n">
        <v>0</v>
      </c>
      <c r="J35" s="208"/>
      <c r="K35" s="0"/>
      <c r="Q35" s="0"/>
    </row>
    <row r="36" customFormat="false" ht="19.85" hidden="false" customHeight="true" outlineLevel="0" collapsed="false">
      <c r="A36" s="0" t="n">
        <v>31</v>
      </c>
      <c r="B36" s="31" t="n">
        <v>40238</v>
      </c>
      <c r="C36" s="207" t="n">
        <v>247680</v>
      </c>
      <c r="D36" s="1" t="s">
        <v>42</v>
      </c>
      <c r="E36" s="33" t="n">
        <f aca="false">IF(D36="totale",(C36/(A36*24))/F36,IF(D36="marché libre",(C36/(A36*24))/G36,"spécifier histo"))</f>
        <v>0.528417818740399</v>
      </c>
      <c r="F36" s="59" t="n">
        <v>630</v>
      </c>
      <c r="G36" s="59" t="n">
        <f aca="false">F36-H36</f>
        <v>630</v>
      </c>
      <c r="H36" s="59" t="n">
        <v>0</v>
      </c>
      <c r="J36" s="208"/>
      <c r="K36" s="0"/>
      <c r="Q36" s="0"/>
    </row>
    <row r="37" customFormat="false" ht="19.85" hidden="false" customHeight="true" outlineLevel="0" collapsed="false">
      <c r="A37" s="0" t="n">
        <v>30</v>
      </c>
      <c r="B37" s="34" t="n">
        <v>40269</v>
      </c>
      <c r="C37" s="207" t="n">
        <v>112874</v>
      </c>
      <c r="D37" s="1" t="s">
        <v>42</v>
      </c>
      <c r="E37" s="33" t="n">
        <f aca="false">IF(D37="totale",(C37/(A37*24))/F37,IF(D37="marché libre",(C37/(A37*24))/G37,"spécifier histo"))</f>
        <v>0.248840388007055</v>
      </c>
      <c r="F37" s="59" t="n">
        <v>630</v>
      </c>
      <c r="G37" s="59" t="n">
        <f aca="false">F37-H37</f>
        <v>630</v>
      </c>
      <c r="H37" s="59" t="n">
        <v>0</v>
      </c>
      <c r="J37" s="208"/>
      <c r="K37" s="0"/>
      <c r="Q37" s="0"/>
    </row>
    <row r="38" customFormat="false" ht="19.85" hidden="false" customHeight="true" outlineLevel="0" collapsed="false">
      <c r="A38" s="0" t="n">
        <v>31</v>
      </c>
      <c r="B38" s="31" t="n">
        <v>40299</v>
      </c>
      <c r="C38" s="207" t="n">
        <v>30765</v>
      </c>
      <c r="D38" s="1" t="s">
        <v>42</v>
      </c>
      <c r="E38" s="33" t="n">
        <f aca="false">IF(D38="totale",(C38/(A38*24))/F38,IF(D38="marché libre",(C38/(A38*24))/G38,"spécifier histo"))</f>
        <v>0.0656362007168459</v>
      </c>
      <c r="F38" s="59" t="n">
        <v>630</v>
      </c>
      <c r="G38" s="59" t="n">
        <f aca="false">F38-H38</f>
        <v>630</v>
      </c>
      <c r="H38" s="59" t="n">
        <v>0</v>
      </c>
      <c r="J38" s="208"/>
      <c r="K38" s="0"/>
      <c r="Q38" s="0"/>
    </row>
    <row r="39" customFormat="false" ht="19.85" hidden="false" customHeight="true" outlineLevel="0" collapsed="false">
      <c r="A39" s="0" t="n">
        <v>30</v>
      </c>
      <c r="B39" s="34" t="n">
        <v>40330</v>
      </c>
      <c r="C39" s="207" t="n">
        <v>2346</v>
      </c>
      <c r="D39" s="1" t="s">
        <v>42</v>
      </c>
      <c r="E39" s="33" t="n">
        <f aca="false">IF(D39="totale",(C39/(A39*24))/F39,IF(D39="marché libre",(C39/(A39*24))/G39,"spécifier histo"))</f>
        <v>0.00517195767195767</v>
      </c>
      <c r="F39" s="59" t="n">
        <v>630</v>
      </c>
      <c r="G39" s="59" t="n">
        <f aca="false">F39-H39</f>
        <v>630</v>
      </c>
      <c r="H39" s="59" t="n">
        <v>0</v>
      </c>
      <c r="J39" s="208"/>
      <c r="K39" s="0"/>
      <c r="Q39" s="0"/>
    </row>
    <row r="40" customFormat="false" ht="19.85" hidden="false" customHeight="true" outlineLevel="0" collapsed="false">
      <c r="A40" s="0" t="n">
        <v>31</v>
      </c>
      <c r="B40" s="31" t="n">
        <v>40360</v>
      </c>
      <c r="C40" s="207" t="n">
        <v>0</v>
      </c>
      <c r="D40" s="1" t="s">
        <v>42</v>
      </c>
      <c r="E40" s="33" t="n">
        <f aca="false">IF(D40="totale",(C40/(A40*24))/F40,IF(D40="marché libre",(C40/(A40*24))/G40,"spécifier histo"))</f>
        <v>0</v>
      </c>
      <c r="F40" s="59" t="n">
        <v>630</v>
      </c>
      <c r="G40" s="59" t="n">
        <f aca="false">F40-H40</f>
        <v>630</v>
      </c>
      <c r="H40" s="59" t="n">
        <v>0</v>
      </c>
      <c r="J40" s="208"/>
      <c r="K40" s="0"/>
      <c r="Q40" s="0"/>
    </row>
    <row r="41" customFormat="false" ht="19.85" hidden="false" customHeight="true" outlineLevel="0" collapsed="false">
      <c r="A41" s="0" t="n">
        <v>31</v>
      </c>
      <c r="B41" s="34" t="n">
        <v>40391</v>
      </c>
      <c r="C41" s="207" t="n">
        <v>58000</v>
      </c>
      <c r="D41" s="1" t="s">
        <v>42</v>
      </c>
      <c r="E41" s="33" t="n">
        <f aca="false">IF(D41="totale",(C41/(A41*24))/F41,IF(D41="marché libre",(C41/(A41*24))/G41,"spécifier histo"))</f>
        <v>0.123741252773511</v>
      </c>
      <c r="F41" s="59" t="n">
        <v>630</v>
      </c>
      <c r="G41" s="59" t="n">
        <f aca="false">F41-H41</f>
        <v>630</v>
      </c>
      <c r="H41" s="59" t="n">
        <v>0</v>
      </c>
      <c r="J41" s="208"/>
      <c r="K41" s="0"/>
      <c r="Q41" s="0"/>
    </row>
    <row r="42" customFormat="false" ht="19.85" hidden="false" customHeight="true" outlineLevel="0" collapsed="false">
      <c r="A42" s="0" t="n">
        <v>30</v>
      </c>
      <c r="B42" s="31" t="n">
        <v>40422</v>
      </c>
      <c r="C42" s="207" t="n">
        <v>55500</v>
      </c>
      <c r="D42" s="1" t="s">
        <v>42</v>
      </c>
      <c r="E42" s="33" t="n">
        <f aca="false">IF(D42="totale",(C42/(A42*24))/F42,IF(D42="marché libre",(C42/(A42*24))/G42,"spécifier histo"))</f>
        <v>0.122354497354497</v>
      </c>
      <c r="F42" s="59" t="n">
        <v>630</v>
      </c>
      <c r="G42" s="59" t="n">
        <f aca="false">F42-H42</f>
        <v>630</v>
      </c>
      <c r="H42" s="59" t="n">
        <v>0</v>
      </c>
      <c r="J42" s="208"/>
      <c r="K42" s="0"/>
      <c r="Q42" s="0"/>
    </row>
    <row r="43" customFormat="false" ht="19.85" hidden="false" customHeight="true" outlineLevel="0" collapsed="false">
      <c r="A43" s="0" t="n">
        <v>31</v>
      </c>
      <c r="B43" s="34" t="n">
        <v>40452</v>
      </c>
      <c r="C43" s="207" t="n">
        <v>27649</v>
      </c>
      <c r="D43" s="1" t="s">
        <v>42</v>
      </c>
      <c r="E43" s="33" t="n">
        <f aca="false">IF(D43="totale",(C43/(A43*24))/F43,IF(D43="marché libre",(C43/(A43*24))/G43,"spécifier histo"))</f>
        <v>0.0589883085850828</v>
      </c>
      <c r="F43" s="59" t="n">
        <v>630</v>
      </c>
      <c r="G43" s="59" t="n">
        <f aca="false">F43-H43</f>
        <v>630</v>
      </c>
      <c r="H43" s="59" t="n">
        <v>0</v>
      </c>
      <c r="J43" s="208"/>
      <c r="K43" s="0"/>
      <c r="Q43" s="0"/>
    </row>
    <row r="44" customFormat="false" ht="19.85" hidden="false" customHeight="true" outlineLevel="0" collapsed="false">
      <c r="A44" s="0" t="n">
        <v>30</v>
      </c>
      <c r="B44" s="31" t="n">
        <v>40483</v>
      </c>
      <c r="C44" s="207" t="n">
        <v>205166</v>
      </c>
      <c r="D44" s="1" t="s">
        <v>42</v>
      </c>
      <c r="E44" s="33" t="n">
        <f aca="false">IF(D44="totale",(C44/(A44*24))/F44,IF(D44="marché libre",(C44/(A44*24))/G44,"spécifier histo"))</f>
        <v>0.452305996472663</v>
      </c>
      <c r="F44" s="59" t="n">
        <v>630</v>
      </c>
      <c r="G44" s="59" t="n">
        <f aca="false">F44-H44</f>
        <v>630</v>
      </c>
      <c r="H44" s="59" t="n">
        <v>0</v>
      </c>
      <c r="J44" s="208"/>
      <c r="K44" s="0"/>
      <c r="Q44" s="0"/>
    </row>
    <row r="45" customFormat="false" ht="19.85" hidden="false" customHeight="true" outlineLevel="0" collapsed="false">
      <c r="A45" s="0" t="n">
        <v>31</v>
      </c>
      <c r="B45" s="34" t="n">
        <v>40513</v>
      </c>
      <c r="C45" s="207" t="n">
        <v>261511</v>
      </c>
      <c r="D45" s="1" t="s">
        <v>42</v>
      </c>
      <c r="E45" s="33" t="n">
        <f aca="false">IF(D45="totale",(C45/(A45*24))/F45,IF(D45="marché libre",(C45/(A45*24))/G45,"spécifier histo"))</f>
        <v>0.557925840587131</v>
      </c>
      <c r="F45" s="59" t="n">
        <v>630</v>
      </c>
      <c r="G45" s="59" t="n">
        <f aca="false">F45-H45</f>
        <v>630</v>
      </c>
      <c r="H45" s="59" t="n">
        <v>0</v>
      </c>
      <c r="J45" s="208"/>
      <c r="K45" s="0"/>
    </row>
    <row r="46" customFormat="false" ht="19.85" hidden="false" customHeight="true" outlineLevel="0" collapsed="false">
      <c r="A46" s="0" t="n">
        <v>31</v>
      </c>
      <c r="B46" s="31" t="n">
        <v>40544</v>
      </c>
      <c r="C46" s="207" t="n">
        <v>247424</v>
      </c>
      <c r="D46" s="1" t="s">
        <v>42</v>
      </c>
      <c r="E46" s="33" t="n">
        <f aca="false">IF(D46="totale",(C46/(A46*24))/F46,IF(D46="marché libre",(C46/(A46*24))/G46,"spécifier histo"))</f>
        <v>0.527871650452296</v>
      </c>
      <c r="F46" s="59" t="n">
        <v>630</v>
      </c>
      <c r="G46" s="59" t="n">
        <f aca="false">F46-H46</f>
        <v>630</v>
      </c>
      <c r="H46" s="59" t="n">
        <v>0</v>
      </c>
      <c r="J46" s="208"/>
      <c r="K46" s="0"/>
    </row>
    <row r="47" customFormat="false" ht="19.85" hidden="false" customHeight="true" outlineLevel="0" collapsed="false">
      <c r="A47" s="0" t="n">
        <v>28</v>
      </c>
      <c r="B47" s="34" t="n">
        <v>40575</v>
      </c>
      <c r="C47" s="207" t="n">
        <v>54650</v>
      </c>
      <c r="D47" s="1" t="s">
        <v>42</v>
      </c>
      <c r="E47" s="33" t="n">
        <f aca="false">IF(D47="totale",(C47/(A47*24))/F47,IF(D47="marché libre",(C47/(A47*24))/G47,"spécifier histo"))</f>
        <v>0.129086356764928</v>
      </c>
      <c r="F47" s="59" t="n">
        <v>630</v>
      </c>
      <c r="G47" s="59" t="n">
        <f aca="false">F47-H47</f>
        <v>630</v>
      </c>
      <c r="H47" s="59" t="n">
        <v>0</v>
      </c>
      <c r="J47" s="208"/>
      <c r="K47" s="0"/>
    </row>
    <row r="48" customFormat="false" ht="19.85" hidden="false" customHeight="true" outlineLevel="0" collapsed="false">
      <c r="A48" s="0" t="n">
        <v>31</v>
      </c>
      <c r="B48" s="31" t="n">
        <v>40603</v>
      </c>
      <c r="C48" s="207" t="n">
        <v>48731</v>
      </c>
      <c r="D48" s="1" t="s">
        <v>42</v>
      </c>
      <c r="E48" s="33" t="n">
        <f aca="false">IF(D48="totale",(C48/(A48*24))/F48,IF(D48="marché libre",(C48/(A48*24))/G48,"spécifier histo"))</f>
        <v>0.103966120498379</v>
      </c>
      <c r="F48" s="59" t="n">
        <v>630</v>
      </c>
      <c r="G48" s="59" t="n">
        <f aca="false">F48-H48</f>
        <v>630</v>
      </c>
      <c r="H48" s="59" t="n">
        <v>0</v>
      </c>
      <c r="J48" s="208"/>
      <c r="K48" s="0"/>
    </row>
    <row r="49" customFormat="false" ht="19.85" hidden="false" customHeight="true" outlineLevel="0" collapsed="false">
      <c r="A49" s="0" t="n">
        <v>30</v>
      </c>
      <c r="B49" s="34" t="n">
        <v>40634</v>
      </c>
      <c r="C49" s="207" t="n">
        <v>27711</v>
      </c>
      <c r="D49" s="1" t="s">
        <v>42</v>
      </c>
      <c r="E49" s="33" t="n">
        <f aca="false">IF(D49="totale",(C49/(A49*24))/F49,IF(D49="marché libre",(C49/(A49*24))/G49,"spécifier histo"))</f>
        <v>0.0610912698412698</v>
      </c>
      <c r="F49" s="59" t="n">
        <v>630</v>
      </c>
      <c r="G49" s="59" t="n">
        <f aca="false">F49-H49</f>
        <v>630</v>
      </c>
      <c r="H49" s="59" t="n">
        <v>0</v>
      </c>
      <c r="J49" s="208"/>
      <c r="K49" s="0"/>
    </row>
    <row r="50" customFormat="false" ht="19.85" hidden="false" customHeight="true" outlineLevel="0" collapsed="false">
      <c r="A50" s="0" t="n">
        <v>31</v>
      </c>
      <c r="B50" s="31" t="n">
        <v>40664</v>
      </c>
      <c r="C50" s="207" t="n">
        <v>0</v>
      </c>
      <c r="D50" s="1" t="s">
        <v>42</v>
      </c>
      <c r="E50" s="33" t="n">
        <f aca="false">IF(D50="totale",(C50/(A50*24))/F50,IF(D50="marché libre",(C50/(A50*24))/G50,"spécifier histo"))</f>
        <v>0</v>
      </c>
      <c r="F50" s="59" t="n">
        <v>630</v>
      </c>
      <c r="G50" s="59" t="n">
        <f aca="false">F50-H50</f>
        <v>630</v>
      </c>
      <c r="H50" s="59" t="n">
        <v>0</v>
      </c>
      <c r="J50" s="208"/>
      <c r="K50" s="0"/>
    </row>
    <row r="51" customFormat="false" ht="19.85" hidden="false" customHeight="true" outlineLevel="0" collapsed="false">
      <c r="A51" s="0" t="n">
        <v>30</v>
      </c>
      <c r="B51" s="34" t="n">
        <v>40695</v>
      </c>
      <c r="C51" s="207" t="n">
        <v>2737</v>
      </c>
      <c r="D51" s="1" t="s">
        <v>42</v>
      </c>
      <c r="E51" s="33" t="n">
        <f aca="false">IF(D51="totale",(C51/(A51*24))/F51,IF(D51="marché libre",(C51/(A51*24))/G51,"spécifier histo"))</f>
        <v>0.00603395061728395</v>
      </c>
      <c r="F51" s="59" t="n">
        <v>630</v>
      </c>
      <c r="G51" s="59" t="n">
        <f aca="false">F51-H51</f>
        <v>630</v>
      </c>
      <c r="H51" s="59" t="n">
        <v>0</v>
      </c>
      <c r="J51" s="208"/>
      <c r="K51" s="0"/>
    </row>
    <row r="52" customFormat="false" ht="19.85" hidden="false" customHeight="true" outlineLevel="0" collapsed="false">
      <c r="A52" s="0" t="n">
        <v>31</v>
      </c>
      <c r="B52" s="31" t="n">
        <v>40725</v>
      </c>
      <c r="C52" s="207" t="n">
        <v>41338</v>
      </c>
      <c r="D52" s="1" t="s">
        <v>42</v>
      </c>
      <c r="E52" s="33" t="n">
        <f aca="false">IF(D52="totale",(C52/(A52*24))/F52,IF(D52="marché libre",(C52/(A52*24))/G52,"spécifier histo"))</f>
        <v>0.0881933777095068</v>
      </c>
      <c r="F52" s="59" t="n">
        <v>630</v>
      </c>
      <c r="G52" s="59" t="n">
        <f aca="false">F52-H52</f>
        <v>630</v>
      </c>
      <c r="H52" s="59" t="n">
        <v>0</v>
      </c>
      <c r="J52" s="208"/>
      <c r="K52" s="0"/>
    </row>
    <row r="53" customFormat="false" ht="19.85" hidden="false" customHeight="true" outlineLevel="0" collapsed="false">
      <c r="A53" s="0" t="n">
        <v>31</v>
      </c>
      <c r="B53" s="34" t="n">
        <v>40756</v>
      </c>
      <c r="C53" s="207" t="n">
        <v>31147</v>
      </c>
      <c r="D53" s="1" t="s">
        <v>42</v>
      </c>
      <c r="E53" s="33" t="n">
        <f aca="false">IF(D53="totale",(C53/(A53*24))/F53,IF(D53="marché libre",(C53/(A53*24))/G53,"spécifier histo"))</f>
        <v>0.0664511862092507</v>
      </c>
      <c r="F53" s="59" t="n">
        <v>630</v>
      </c>
      <c r="G53" s="59" t="n">
        <f aca="false">F53-H53</f>
        <v>630</v>
      </c>
      <c r="H53" s="59" t="n">
        <v>0</v>
      </c>
      <c r="J53" s="208"/>
      <c r="K53" s="0"/>
    </row>
    <row r="54" customFormat="false" ht="19.85" hidden="false" customHeight="true" outlineLevel="0" collapsed="false">
      <c r="A54" s="0" t="n">
        <v>30</v>
      </c>
      <c r="B54" s="31" t="n">
        <v>40787</v>
      </c>
      <c r="C54" s="207" t="n">
        <v>28750</v>
      </c>
      <c r="D54" s="1" t="s">
        <v>42</v>
      </c>
      <c r="E54" s="33" t="n">
        <f aca="false">IF(D54="totale",(C54/(A54*24))/F54,IF(D54="marché libre",(C54/(A54*24))/G54,"spécifier histo"))</f>
        <v>0.0633818342151676</v>
      </c>
      <c r="F54" s="59" t="n">
        <v>630</v>
      </c>
      <c r="G54" s="59" t="n">
        <f aca="false">F54-H54</f>
        <v>630</v>
      </c>
      <c r="H54" s="59" t="n">
        <v>0</v>
      </c>
      <c r="J54" s="208"/>
      <c r="K54" s="0"/>
    </row>
    <row r="55" customFormat="false" ht="19.85" hidden="false" customHeight="true" outlineLevel="0" collapsed="false">
      <c r="A55" s="0" t="n">
        <v>31</v>
      </c>
      <c r="B55" s="34" t="n">
        <v>40817</v>
      </c>
      <c r="C55" s="207" t="n">
        <v>883</v>
      </c>
      <c r="D55" s="1" t="s">
        <v>42</v>
      </c>
      <c r="E55" s="33" t="n">
        <f aca="false">IF(D55="totale",(C55/(A55*24))/F55,IF(D55="marché libre",(C55/(A55*24))/G55,"spécifier histo"))</f>
        <v>0.00188385389998293</v>
      </c>
      <c r="F55" s="59" t="n">
        <v>630</v>
      </c>
      <c r="G55" s="59" t="n">
        <f aca="false">F55-H55</f>
        <v>630</v>
      </c>
      <c r="H55" s="59" t="n">
        <v>0</v>
      </c>
      <c r="J55" s="208"/>
      <c r="K55" s="0"/>
    </row>
    <row r="56" customFormat="false" ht="19.85" hidden="false" customHeight="true" outlineLevel="0" collapsed="false">
      <c r="A56" s="0" t="n">
        <v>30</v>
      </c>
      <c r="B56" s="31" t="n">
        <v>40848</v>
      </c>
      <c r="C56" s="207" t="n">
        <v>1000</v>
      </c>
      <c r="D56" s="1" t="s">
        <v>42</v>
      </c>
      <c r="E56" s="33" t="n">
        <f aca="false">IF(D56="totale",(C56/(A56*24))/F56,IF(D56="marché libre",(C56/(A56*24))/G56,"spécifier histo"))</f>
        <v>0.00220458553791887</v>
      </c>
      <c r="F56" s="59" t="n">
        <v>630</v>
      </c>
      <c r="G56" s="59" t="n">
        <f aca="false">F56-H56</f>
        <v>630</v>
      </c>
      <c r="H56" s="59" t="n">
        <v>0</v>
      </c>
      <c r="J56" s="208"/>
      <c r="K56" s="0"/>
    </row>
    <row r="57" customFormat="false" ht="19.85" hidden="false" customHeight="true" outlineLevel="0" collapsed="false">
      <c r="A57" s="0" t="n">
        <v>31</v>
      </c>
      <c r="B57" s="34" t="n">
        <v>40878</v>
      </c>
      <c r="C57" s="207" t="n">
        <v>352791</v>
      </c>
      <c r="D57" s="1" t="s">
        <v>42</v>
      </c>
      <c r="E57" s="33" t="n">
        <f aca="false">IF(D57="totale",(C57/(A57*24))/F57,IF(D57="marché libre",(C57/(A57*24))/G57,"spécifier histo"))</f>
        <v>0.752668970814132</v>
      </c>
      <c r="F57" s="59" t="n">
        <v>630</v>
      </c>
      <c r="G57" s="59" t="n">
        <f aca="false">F57-H57</f>
        <v>630</v>
      </c>
      <c r="H57" s="59" t="n">
        <v>0</v>
      </c>
      <c r="J57" s="208"/>
      <c r="K57" s="0"/>
    </row>
    <row r="58" customFormat="false" ht="19.85" hidden="false" customHeight="true" outlineLevel="0" collapsed="false">
      <c r="A58" s="0" t="n">
        <v>31</v>
      </c>
      <c r="B58" s="31" t="n">
        <v>40909</v>
      </c>
      <c r="C58" s="207" t="n">
        <v>364465</v>
      </c>
      <c r="D58" s="1" t="s">
        <v>42</v>
      </c>
      <c r="E58" s="33" t="n">
        <f aca="false">IF(D58="totale",(C58/(A58*24))/F58,IF(D58="marché libre",(C58/(A58*24))/G58,"spécifier histo"))</f>
        <v>0.777575098139614</v>
      </c>
      <c r="F58" s="59" t="n">
        <v>630</v>
      </c>
      <c r="G58" s="59" t="n">
        <f aca="false">F58-H58</f>
        <v>630</v>
      </c>
      <c r="H58" s="59" t="n">
        <v>0</v>
      </c>
      <c r="J58" s="208"/>
      <c r="K58" s="0"/>
    </row>
    <row r="59" customFormat="false" ht="19.85" hidden="false" customHeight="true" outlineLevel="0" collapsed="false">
      <c r="A59" s="0" t="n">
        <v>28</v>
      </c>
      <c r="B59" s="34" t="n">
        <v>40940</v>
      </c>
      <c r="C59" s="207" t="n">
        <v>56348</v>
      </c>
      <c r="D59" s="1" t="s">
        <v>42</v>
      </c>
      <c r="E59" s="33" t="n">
        <f aca="false">IF(D59="totale",(C59/(A59*24))/F59,IF(D59="marché libre",(C59/(A59*24))/G59,"spécifier histo"))</f>
        <v>0.133097127739985</v>
      </c>
      <c r="F59" s="59" t="n">
        <v>630</v>
      </c>
      <c r="G59" s="59" t="n">
        <f aca="false">F59-H59</f>
        <v>630</v>
      </c>
      <c r="H59" s="59" t="n">
        <v>0</v>
      </c>
      <c r="J59" s="208"/>
      <c r="K59" s="0"/>
    </row>
    <row r="60" customFormat="false" ht="19.85" hidden="false" customHeight="true" outlineLevel="0" collapsed="false">
      <c r="A60" s="0" t="n">
        <v>31</v>
      </c>
      <c r="B60" s="31" t="n">
        <v>40969</v>
      </c>
      <c r="C60" s="207" t="n">
        <v>145824</v>
      </c>
      <c r="D60" s="1" t="s">
        <v>42</v>
      </c>
      <c r="E60" s="33" t="n">
        <f aca="false">IF(D60="totale",(C60/(A60*24))/F60,IF(D60="marché libre",(C60/(A60*24))/G60,"spécifier histo"))</f>
        <v>0.311111111111111</v>
      </c>
      <c r="F60" s="59" t="n">
        <v>630</v>
      </c>
      <c r="G60" s="59" t="n">
        <f aca="false">F60-H60</f>
        <v>630</v>
      </c>
      <c r="H60" s="59" t="n">
        <v>0</v>
      </c>
      <c r="J60" s="208"/>
      <c r="K60" s="0"/>
    </row>
    <row r="61" customFormat="false" ht="19.85" hidden="false" customHeight="true" outlineLevel="0" collapsed="false">
      <c r="A61" s="0" t="n">
        <v>30</v>
      </c>
      <c r="B61" s="34" t="n">
        <v>41000</v>
      </c>
      <c r="C61" s="207" t="n">
        <v>153937</v>
      </c>
      <c r="D61" s="1" t="s">
        <v>42</v>
      </c>
      <c r="E61" s="33" t="n">
        <f aca="false">IF(D61="totale",(C61/(A61*24))/F61,IF(D61="marché libre",(C61/(A61*24))/G61,"spécifier histo"))</f>
        <v>0.339367283950617</v>
      </c>
      <c r="F61" s="59" t="n">
        <v>630</v>
      </c>
      <c r="G61" s="59" t="n">
        <f aca="false">F61-H61</f>
        <v>630</v>
      </c>
      <c r="H61" s="59" t="n">
        <v>0</v>
      </c>
      <c r="J61" s="208"/>
      <c r="K61" s="0"/>
    </row>
    <row r="62" customFormat="false" ht="19.85" hidden="false" customHeight="true" outlineLevel="0" collapsed="false">
      <c r="A62" s="0" t="n">
        <v>31</v>
      </c>
      <c r="B62" s="31" t="n">
        <v>41030</v>
      </c>
      <c r="C62" s="207" t="n">
        <v>107202</v>
      </c>
      <c r="D62" s="1" t="s">
        <v>42</v>
      </c>
      <c r="E62" s="33" t="n">
        <f aca="false">IF(D62="totale",(C62/(A62*24))/F62,IF(D62="marché libre",(C62/(A62*24))/G62,"spécifier histo"))</f>
        <v>0.228712237583205</v>
      </c>
      <c r="F62" s="59" t="n">
        <v>630</v>
      </c>
      <c r="G62" s="59" t="n">
        <f aca="false">F62-H62</f>
        <v>630</v>
      </c>
      <c r="H62" s="59" t="n">
        <v>0</v>
      </c>
      <c r="J62" s="208"/>
      <c r="K62" s="0"/>
    </row>
    <row r="63" customFormat="false" ht="19.85" hidden="false" customHeight="true" outlineLevel="0" collapsed="false">
      <c r="A63" s="0" t="n">
        <v>30</v>
      </c>
      <c r="B63" s="34" t="n">
        <v>41061</v>
      </c>
      <c r="C63" s="207" t="n">
        <v>100891</v>
      </c>
      <c r="D63" s="1" t="s">
        <v>42</v>
      </c>
      <c r="E63" s="33" t="n">
        <f aca="false">IF(D63="totale",(C63/(A63*24))/F63,IF(D63="marché libre",(C63/(A63*24))/G63,"spécifier histo"))</f>
        <v>0.222422839506173</v>
      </c>
      <c r="F63" s="59" t="n">
        <v>630</v>
      </c>
      <c r="G63" s="59" t="n">
        <f aca="false">F63-H63</f>
        <v>630</v>
      </c>
      <c r="H63" s="59" t="n">
        <v>0</v>
      </c>
      <c r="J63" s="208"/>
      <c r="K63" s="0"/>
    </row>
    <row r="64" customFormat="false" ht="19.85" hidden="false" customHeight="true" outlineLevel="0" collapsed="false">
      <c r="A64" s="0" t="n">
        <v>31</v>
      </c>
      <c r="B64" s="31" t="n">
        <v>41091</v>
      </c>
      <c r="C64" s="207" t="n">
        <v>79526</v>
      </c>
      <c r="D64" s="1" t="s">
        <v>42</v>
      </c>
      <c r="E64" s="33" t="n">
        <f aca="false">IF(D64="totale",(C64/(A64*24))/F64,IF(D64="marché libre",(C64/(A64*24))/G64,"spécifier histo"))</f>
        <v>0.169666325311487</v>
      </c>
      <c r="F64" s="59" t="n">
        <v>630</v>
      </c>
      <c r="G64" s="59" t="n">
        <f aca="false">F64-H64</f>
        <v>630</v>
      </c>
      <c r="H64" s="59" t="n">
        <v>0</v>
      </c>
      <c r="J64" s="208"/>
      <c r="K64" s="0"/>
    </row>
    <row r="65" customFormat="false" ht="19.85" hidden="false" customHeight="true" outlineLevel="0" collapsed="false">
      <c r="A65" s="0" t="n">
        <v>31</v>
      </c>
      <c r="B65" s="34" t="n">
        <v>41122</v>
      </c>
      <c r="C65" s="207" t="n">
        <v>4103</v>
      </c>
      <c r="D65" s="1" t="s">
        <v>42</v>
      </c>
      <c r="E65" s="33" t="n">
        <f aca="false">IF(D65="totale",(C65/(A65*24))/F65,IF(D65="marché libre",(C65/(A65*24))/G65,"spécifier histo"))</f>
        <v>0.00875362689878819</v>
      </c>
      <c r="F65" s="59" t="n">
        <v>630</v>
      </c>
      <c r="G65" s="59" t="n">
        <f aca="false">F65-H65</f>
        <v>630</v>
      </c>
      <c r="H65" s="59" t="n">
        <v>0</v>
      </c>
      <c r="J65" s="208"/>
      <c r="K65" s="0"/>
    </row>
    <row r="66" customFormat="false" ht="19.85" hidden="false" customHeight="true" outlineLevel="0" collapsed="false">
      <c r="A66" s="0" t="n">
        <v>30</v>
      </c>
      <c r="B66" s="31" t="n">
        <v>41153</v>
      </c>
      <c r="C66" s="207" t="n">
        <v>3711</v>
      </c>
      <c r="D66" s="1" t="s">
        <v>42</v>
      </c>
      <c r="E66" s="33" t="n">
        <f aca="false">IF(D66="totale",(C66/(A66*24))/F66,IF(D66="marché libre",(C66/(A66*24))/G66,"spécifier histo"))</f>
        <v>0.00818121693121693</v>
      </c>
      <c r="F66" s="59" t="n">
        <v>630</v>
      </c>
      <c r="G66" s="59" t="n">
        <f aca="false">F66-H66</f>
        <v>630</v>
      </c>
      <c r="H66" s="59" t="n">
        <v>0</v>
      </c>
      <c r="J66" s="208"/>
      <c r="K66" s="0"/>
    </row>
    <row r="67" customFormat="false" ht="19.85" hidden="false" customHeight="true" outlineLevel="0" collapsed="false">
      <c r="A67" s="0" t="n">
        <v>31</v>
      </c>
      <c r="B67" s="34" t="n">
        <v>41183</v>
      </c>
      <c r="C67" s="207" t="n">
        <v>142866</v>
      </c>
      <c r="D67" s="1" t="s">
        <v>42</v>
      </c>
      <c r="E67" s="33" t="n">
        <f aca="false">IF(D67="totale",(C67/(A67*24))/F67,IF(D67="marché libre",(C67/(A67*24))/G67,"spécifier histo"))</f>
        <v>0.304800307219662</v>
      </c>
      <c r="F67" s="59" t="n">
        <v>630</v>
      </c>
      <c r="G67" s="59" t="n">
        <f aca="false">F67-H67</f>
        <v>630</v>
      </c>
      <c r="H67" s="59" t="n">
        <v>0</v>
      </c>
      <c r="J67" s="208"/>
      <c r="K67" s="0"/>
    </row>
    <row r="68" customFormat="false" ht="19.85" hidden="false" customHeight="true" outlineLevel="0" collapsed="false">
      <c r="A68" s="0" t="n">
        <v>30</v>
      </c>
      <c r="B68" s="31" t="n">
        <v>41214</v>
      </c>
      <c r="C68" s="207" t="n">
        <v>247150</v>
      </c>
      <c r="D68" s="1" t="s">
        <v>42</v>
      </c>
      <c r="E68" s="33" t="n">
        <f aca="false">IF(D68="totale",(C68/(A68*24))/F68,IF(D68="marché libre",(C68/(A68*24))/G68,"spécifier histo"))</f>
        <v>0.544863315696649</v>
      </c>
      <c r="F68" s="59" t="n">
        <v>630</v>
      </c>
      <c r="G68" s="59" t="n">
        <f aca="false">F68-H68</f>
        <v>630</v>
      </c>
      <c r="H68" s="59" t="n">
        <v>0</v>
      </c>
      <c r="J68" s="208"/>
      <c r="K68" s="0"/>
    </row>
    <row r="69" customFormat="false" ht="19.85" hidden="false" customHeight="true" outlineLevel="0" collapsed="false">
      <c r="A69" s="0" t="n">
        <v>31</v>
      </c>
      <c r="B69" s="34" t="n">
        <v>41244</v>
      </c>
      <c r="C69" s="207" t="n">
        <v>328288</v>
      </c>
      <c r="D69" s="1" t="s">
        <v>42</v>
      </c>
      <c r="E69" s="33" t="n">
        <f aca="false">IF(D69="totale",(C69/(A69*24))/F69,IF(D69="marché libre",(C69/(A69*24))/G69,"spécifier histo"))</f>
        <v>0.700392558457075</v>
      </c>
      <c r="F69" s="59" t="n">
        <v>630</v>
      </c>
      <c r="G69" s="59" t="n">
        <f aca="false">F69-H69</f>
        <v>630</v>
      </c>
      <c r="H69" s="59" t="n">
        <v>0</v>
      </c>
      <c r="J69" s="208"/>
      <c r="K69" s="0"/>
    </row>
    <row r="70" customFormat="false" ht="19.85" hidden="false" customHeight="true" outlineLevel="0" collapsed="false">
      <c r="A70" s="0" t="n">
        <v>31</v>
      </c>
      <c r="B70" s="31" t="n">
        <v>41275</v>
      </c>
      <c r="C70" s="207" t="n">
        <v>193609</v>
      </c>
      <c r="D70" s="1" t="s">
        <v>42</v>
      </c>
      <c r="E70" s="33" t="n">
        <f aca="false">IF(D70="totale",(C70/(A70*24))/F70,IF(D70="marché libre",(C70/(A70*24))/G70,"spécifier histo"))</f>
        <v>0.413058969107356</v>
      </c>
      <c r="F70" s="59" t="n">
        <v>630</v>
      </c>
      <c r="G70" s="59" t="n">
        <f aca="false">F70-H70</f>
        <v>630</v>
      </c>
      <c r="H70" s="59" t="n">
        <v>0</v>
      </c>
      <c r="J70" s="208"/>
      <c r="K70" s="0"/>
    </row>
    <row r="71" customFormat="false" ht="19.85" hidden="false" customHeight="true" outlineLevel="0" collapsed="false">
      <c r="A71" s="0" t="n">
        <v>28</v>
      </c>
      <c r="B71" s="34" t="n">
        <v>41306</v>
      </c>
      <c r="C71" s="207" t="n">
        <v>181580</v>
      </c>
      <c r="D71" s="1" t="s">
        <v>42</v>
      </c>
      <c r="E71" s="33" t="n">
        <f aca="false">IF(D71="totale",(C71/(A71*24))/F71,IF(D71="marché libre",(C71/(A71*24))/G71,"spécifier histo"))</f>
        <v>0.428902116402116</v>
      </c>
      <c r="F71" s="59" t="n">
        <v>630</v>
      </c>
      <c r="G71" s="59" t="n">
        <f aca="false">F71-H71</f>
        <v>630</v>
      </c>
      <c r="H71" s="59" t="n">
        <v>0</v>
      </c>
      <c r="J71" s="208"/>
      <c r="K71" s="0"/>
    </row>
    <row r="72" customFormat="false" ht="19.85" hidden="false" customHeight="true" outlineLevel="0" collapsed="false">
      <c r="A72" s="0" t="n">
        <v>31</v>
      </c>
      <c r="B72" s="31" t="n">
        <v>41334</v>
      </c>
      <c r="C72" s="207" t="n">
        <v>186585</v>
      </c>
      <c r="D72" s="1" t="s">
        <v>42</v>
      </c>
      <c r="E72" s="33" t="n">
        <f aca="false">IF(D72="totale",(C72/(A72*24))/F72,IF(D72="marché libre",(C72/(A72*24))/G72,"spécifier histo"))</f>
        <v>0.398073476702509</v>
      </c>
      <c r="F72" s="59" t="n">
        <v>630</v>
      </c>
      <c r="G72" s="59" t="n">
        <f aca="false">F72-H72</f>
        <v>630</v>
      </c>
      <c r="H72" s="59" t="n">
        <v>0</v>
      </c>
      <c r="J72" s="208"/>
      <c r="K72" s="0"/>
    </row>
    <row r="73" customFormat="false" ht="19.85" hidden="false" customHeight="true" outlineLevel="0" collapsed="false">
      <c r="A73" s="0" t="n">
        <v>30</v>
      </c>
      <c r="B73" s="34" t="n">
        <v>41365</v>
      </c>
      <c r="C73" s="207" t="n">
        <v>217749</v>
      </c>
      <c r="D73" s="1" t="s">
        <v>42</v>
      </c>
      <c r="E73" s="33" t="n">
        <f aca="false">IF(D73="totale",(C73/(A73*24))/F73,IF(D73="marché libre",(C73/(A73*24))/G73,"spécifier histo"))</f>
        <v>0.480046296296296</v>
      </c>
      <c r="F73" s="59" t="n">
        <v>630</v>
      </c>
      <c r="G73" s="59" t="n">
        <f aca="false">F73-H73</f>
        <v>630</v>
      </c>
      <c r="H73" s="59" t="n">
        <v>0</v>
      </c>
      <c r="J73" s="208"/>
      <c r="K73" s="0"/>
    </row>
    <row r="74" customFormat="false" ht="19.85" hidden="false" customHeight="true" outlineLevel="0" collapsed="false">
      <c r="A74" s="0" t="n">
        <v>31</v>
      </c>
      <c r="B74" s="31" t="n">
        <v>41395</v>
      </c>
      <c r="C74" s="207" t="n">
        <v>180430</v>
      </c>
      <c r="D74" s="1" t="s">
        <v>42</v>
      </c>
      <c r="E74" s="33" t="n">
        <f aca="false">IF(D74="totale",(C74/(A74*24))/F74,IF(D74="marché libre",(C74/(A74*24))/G74,"spécifier histo"))</f>
        <v>0.384941969619389</v>
      </c>
      <c r="F74" s="59" t="n">
        <v>630</v>
      </c>
      <c r="G74" s="59" t="n">
        <f aca="false">F74-H74</f>
        <v>630</v>
      </c>
      <c r="H74" s="59" t="n">
        <v>0</v>
      </c>
      <c r="J74" s="208"/>
      <c r="K74" s="0"/>
    </row>
    <row r="75" customFormat="false" ht="19.85" hidden="false" customHeight="true" outlineLevel="0" collapsed="false">
      <c r="A75" s="0" t="n">
        <v>30</v>
      </c>
      <c r="B75" s="34" t="n">
        <v>41426</v>
      </c>
      <c r="C75" s="207" t="n">
        <v>69141</v>
      </c>
      <c r="D75" s="1" t="s">
        <v>42</v>
      </c>
      <c r="E75" s="33" t="n">
        <f aca="false">IF(D75="totale",(C75/(A75*24))/F75,IF(D75="marché libre",(C75/(A75*24))/G75,"spécifier histo"))</f>
        <v>0.152427248677249</v>
      </c>
      <c r="F75" s="59" t="n">
        <v>630</v>
      </c>
      <c r="G75" s="59" t="n">
        <f aca="false">F75-H75</f>
        <v>630</v>
      </c>
      <c r="H75" s="59" t="n">
        <v>0</v>
      </c>
      <c r="J75" s="208"/>
      <c r="K75" s="0"/>
    </row>
    <row r="76" customFormat="false" ht="19.85" hidden="false" customHeight="true" outlineLevel="0" collapsed="false">
      <c r="A76" s="0" t="n">
        <v>31</v>
      </c>
      <c r="B76" s="31" t="n">
        <v>41456</v>
      </c>
      <c r="C76" s="207" t="n">
        <v>11322</v>
      </c>
      <c r="D76" s="1" t="s">
        <v>42</v>
      </c>
      <c r="E76" s="33" t="n">
        <f aca="false">IF(D76="totale",(C76/(A76*24))/F76,IF(D76="marché libre",(C76/(A76*24))/G76,"spécifier histo"))</f>
        <v>0.0241551459293395</v>
      </c>
      <c r="F76" s="59" t="n">
        <v>630</v>
      </c>
      <c r="G76" s="59" t="n">
        <f aca="false">F76-H76</f>
        <v>630</v>
      </c>
      <c r="H76" s="59" t="n">
        <v>0</v>
      </c>
      <c r="J76" s="208"/>
      <c r="K76" s="0"/>
    </row>
    <row r="77" customFormat="false" ht="19.85" hidden="false" customHeight="true" outlineLevel="0" collapsed="false">
      <c r="A77" s="0" t="n">
        <v>31</v>
      </c>
      <c r="B77" s="34" t="n">
        <v>41487</v>
      </c>
      <c r="C77" s="207" t="n">
        <v>0</v>
      </c>
      <c r="D77" s="1" t="s">
        <v>42</v>
      </c>
      <c r="E77" s="33" t="n">
        <f aca="false">IF(D77="totale",(C77/(A77*24))/F77,IF(D77="marché libre",(C77/(A77*24))/G77,"spécifier histo"))</f>
        <v>0</v>
      </c>
      <c r="F77" s="59" t="n">
        <v>630</v>
      </c>
      <c r="G77" s="59" t="n">
        <f aca="false">F77-H77</f>
        <v>630</v>
      </c>
      <c r="H77" s="59" t="n">
        <v>0</v>
      </c>
      <c r="J77" s="208"/>
      <c r="K77" s="0"/>
    </row>
    <row r="78" customFormat="false" ht="19.85" hidden="false" customHeight="true" outlineLevel="0" collapsed="false">
      <c r="A78" s="0" t="n">
        <v>30</v>
      </c>
      <c r="B78" s="31" t="n">
        <v>41518</v>
      </c>
      <c r="C78" s="207" t="n">
        <v>85997</v>
      </c>
      <c r="D78" s="1" t="s">
        <v>42</v>
      </c>
      <c r="E78" s="33" t="n">
        <f aca="false">IF(D78="totale",(C78/(A78*24))/F78,IF(D78="marché libre",(C78/(A78*24))/G78,"spécifier histo"))</f>
        <v>0.189587742504409</v>
      </c>
      <c r="F78" s="59" t="n">
        <v>630</v>
      </c>
      <c r="G78" s="59" t="n">
        <f aca="false">F78-H78</f>
        <v>630</v>
      </c>
      <c r="H78" s="59" t="n">
        <v>0</v>
      </c>
      <c r="J78" s="208"/>
      <c r="K78" s="0"/>
    </row>
    <row r="79" customFormat="false" ht="19.85" hidden="false" customHeight="true" outlineLevel="0" collapsed="false">
      <c r="A79" s="0" t="n">
        <v>31</v>
      </c>
      <c r="B79" s="34" t="n">
        <v>41548</v>
      </c>
      <c r="C79" s="207" t="n">
        <v>250931</v>
      </c>
      <c r="D79" s="1" t="s">
        <v>42</v>
      </c>
      <c r="E79" s="33" t="n">
        <f aca="false">IF(D79="totale",(C79/(A79*24))/F79,IF(D79="marché libre",(C79/(A79*24))/G79,"spécifier histo"))</f>
        <v>0.535353729305342</v>
      </c>
      <c r="F79" s="59" t="n">
        <v>630</v>
      </c>
      <c r="G79" s="59" t="n">
        <f aca="false">F79-H79</f>
        <v>630</v>
      </c>
      <c r="H79" s="59" t="n">
        <v>0</v>
      </c>
      <c r="J79" s="208"/>
      <c r="K79" s="0"/>
    </row>
    <row r="80" customFormat="false" ht="19.85" hidden="false" customHeight="true" outlineLevel="0" collapsed="false">
      <c r="A80" s="0" t="n">
        <v>30</v>
      </c>
      <c r="B80" s="31" t="n">
        <v>41579</v>
      </c>
      <c r="C80" s="207" t="n">
        <v>269472</v>
      </c>
      <c r="D80" s="1" t="s">
        <v>42</v>
      </c>
      <c r="E80" s="33" t="n">
        <f aca="false">IF(D80="totale",(C80/(A80*24))/F80,IF(D80="marché libre",(C80/(A80*24))/G80,"spécifier histo"))</f>
        <v>0.594074074074074</v>
      </c>
      <c r="F80" s="59" t="n">
        <v>630</v>
      </c>
      <c r="G80" s="59" t="n">
        <f aca="false">F80-H80</f>
        <v>630</v>
      </c>
      <c r="H80" s="59" t="n">
        <v>0</v>
      </c>
      <c r="I80" s="38"/>
      <c r="J80" s="208"/>
      <c r="K80" s="0"/>
    </row>
    <row r="81" customFormat="false" ht="19.85" hidden="false" customHeight="true" outlineLevel="0" collapsed="false">
      <c r="A81" s="0" t="n">
        <v>31</v>
      </c>
      <c r="B81" s="34" t="n">
        <v>41609</v>
      </c>
      <c r="C81" s="207" t="n">
        <v>157847</v>
      </c>
      <c r="D81" s="1" t="s">
        <v>42</v>
      </c>
      <c r="E81" s="33" t="n">
        <f aca="false">IF(D81="totale",(C81/(A81*24))/F81,IF(D81="marché libre",(C81/(A81*24))/G81,"spécifier histo"))</f>
        <v>0.33676181942311</v>
      </c>
      <c r="F81" s="59" t="n">
        <v>630</v>
      </c>
      <c r="G81" s="59" t="n">
        <f aca="false">F81-H81</f>
        <v>630</v>
      </c>
      <c r="H81" s="59" t="n">
        <v>0</v>
      </c>
      <c r="J81" s="209"/>
      <c r="K81" s="0"/>
    </row>
    <row r="82" customFormat="false" ht="19.85" hidden="false" customHeight="true" outlineLevel="0" collapsed="false">
      <c r="A82" s="0" t="n">
        <v>31</v>
      </c>
      <c r="B82" s="31" t="n">
        <v>41640</v>
      </c>
      <c r="C82" s="207" t="n">
        <v>232383</v>
      </c>
      <c r="D82" s="1" t="s">
        <v>42</v>
      </c>
      <c r="E82" s="33" t="n">
        <f aca="false">IF(D82="totale",(C82/(A82*24))/F82,IF(D82="marché libre",(C82/(A82*24))/G82,"spécifier histo"))</f>
        <v>0.495782130056324</v>
      </c>
      <c r="F82" s="59" t="n">
        <v>630</v>
      </c>
      <c r="G82" s="59" t="n">
        <f aca="false">F82-H82</f>
        <v>630</v>
      </c>
      <c r="H82" s="59" t="n">
        <v>0</v>
      </c>
      <c r="J82" s="208"/>
      <c r="K82" s="0"/>
    </row>
    <row r="83" customFormat="false" ht="19.85" hidden="false" customHeight="true" outlineLevel="0" collapsed="false">
      <c r="A83" s="0" t="n">
        <v>28</v>
      </c>
      <c r="B83" s="34" t="n">
        <v>41671</v>
      </c>
      <c r="C83" s="207" t="n">
        <v>268516</v>
      </c>
      <c r="D83" s="1" t="s">
        <v>42</v>
      </c>
      <c r="E83" s="33" t="n">
        <f aca="false">IF(D83="totale",(C83/(A83*24))/F83,IF(D83="marché libre",(C83/(A83*24))/G83,"spécifier histo"))</f>
        <v>0.634249811035525</v>
      </c>
      <c r="F83" s="59" t="n">
        <v>630</v>
      </c>
      <c r="G83" s="59" t="n">
        <f aca="false">F83-H83</f>
        <v>630</v>
      </c>
      <c r="H83" s="59" t="n">
        <v>0</v>
      </c>
      <c r="J83" s="208"/>
      <c r="K83" s="0"/>
    </row>
    <row r="84" customFormat="false" ht="19.85" hidden="false" customHeight="true" outlineLevel="0" collapsed="false">
      <c r="A84" s="0" t="n">
        <v>31</v>
      </c>
      <c r="B84" s="31" t="n">
        <v>41699</v>
      </c>
      <c r="C84" s="207" t="n">
        <v>122981</v>
      </c>
      <c r="D84" s="1" t="s">
        <v>42</v>
      </c>
      <c r="E84" s="33" t="n">
        <f aca="false">IF(D84="totale",(C84/(A84*24))/F84,IF(D84="marché libre",(C84/(A84*24))/G84,"spécifier histo"))</f>
        <v>0.262376258747227</v>
      </c>
      <c r="F84" s="59" t="n">
        <v>630</v>
      </c>
      <c r="G84" s="59" t="n">
        <f aca="false">F84-H84</f>
        <v>630</v>
      </c>
      <c r="H84" s="59" t="n">
        <v>0</v>
      </c>
      <c r="J84" s="208"/>
      <c r="K84" s="0"/>
    </row>
    <row r="85" customFormat="false" ht="19.85" hidden="false" customHeight="true" outlineLevel="0" collapsed="false">
      <c r="A85" s="0" t="n">
        <v>30</v>
      </c>
      <c r="B85" s="34" t="n">
        <v>41730</v>
      </c>
      <c r="C85" s="207" t="n">
        <v>7850</v>
      </c>
      <c r="D85" s="1" t="s">
        <v>42</v>
      </c>
      <c r="E85" s="33" t="n">
        <f aca="false">IF(D85="totale",(C85/(A85*24))/F85,IF(D85="marché libre",(C85/(A85*24))/G85,"spécifier histo"))</f>
        <v>0.0173059964726631</v>
      </c>
      <c r="F85" s="59" t="n">
        <v>630</v>
      </c>
      <c r="G85" s="59" t="n">
        <f aca="false">F85-H85</f>
        <v>630</v>
      </c>
      <c r="H85" s="59" t="n">
        <v>0</v>
      </c>
      <c r="J85" s="208"/>
      <c r="K85" s="0"/>
    </row>
    <row r="86" customFormat="false" ht="19.85" hidden="false" customHeight="true" outlineLevel="0" collapsed="false">
      <c r="A86" s="0" t="n">
        <v>31</v>
      </c>
      <c r="B86" s="31" t="n">
        <v>41760</v>
      </c>
      <c r="C86" s="207" t="n">
        <v>56996</v>
      </c>
      <c r="D86" s="1" t="s">
        <v>42</v>
      </c>
      <c r="E86" s="33" t="n">
        <f aca="false">IF(D86="totale",(C86/(A86*24))/F86,IF(D86="marché libre",(C86/(A86*24))/G86,"spécifier histo"))</f>
        <v>0.121599249018604</v>
      </c>
      <c r="F86" s="59" t="n">
        <v>630</v>
      </c>
      <c r="G86" s="59" t="n">
        <f aca="false">F86-H86</f>
        <v>630</v>
      </c>
      <c r="H86" s="59" t="n">
        <v>0</v>
      </c>
      <c r="J86" s="208"/>
      <c r="K86" s="0"/>
    </row>
    <row r="87" customFormat="false" ht="19.85" hidden="false" customHeight="true" outlineLevel="0" collapsed="false">
      <c r="A87" s="0" t="n">
        <v>30</v>
      </c>
      <c r="B87" s="34" t="n">
        <v>41791</v>
      </c>
      <c r="C87" s="207" t="n">
        <v>741</v>
      </c>
      <c r="D87" s="1" t="s">
        <v>42</v>
      </c>
      <c r="E87" s="33" t="n">
        <f aca="false">IF(D87="totale",(C87/(A87*24))/F87,IF(D87="marché libre",(C87/(A87*24))/G87,"spécifier histo"))</f>
        <v>0.00163359788359788</v>
      </c>
      <c r="F87" s="59" t="n">
        <v>630</v>
      </c>
      <c r="G87" s="59" t="n">
        <f aca="false">F87-H87</f>
        <v>630</v>
      </c>
      <c r="H87" s="59" t="n">
        <v>0</v>
      </c>
      <c r="J87" s="208"/>
      <c r="K87" s="0"/>
    </row>
    <row r="88" customFormat="false" ht="19.85" hidden="false" customHeight="true" outlineLevel="0" collapsed="false">
      <c r="A88" s="0" t="n">
        <v>31</v>
      </c>
      <c r="B88" s="31" t="n">
        <v>41821</v>
      </c>
      <c r="C88" s="207" t="n">
        <v>86073</v>
      </c>
      <c r="D88" s="1" t="s">
        <v>42</v>
      </c>
      <c r="E88" s="33" t="n">
        <f aca="false">IF(D88="totale",(C88/(A88*24))/F88,IF(D88="marché libre",(C88/(A88*24))/G88,"spécifier histo"))</f>
        <v>0.183634152585765</v>
      </c>
      <c r="F88" s="59" t="n">
        <v>630</v>
      </c>
      <c r="G88" s="59" t="n">
        <f aca="false">F88-H88</f>
        <v>630</v>
      </c>
      <c r="H88" s="59" t="n">
        <v>0</v>
      </c>
      <c r="J88" s="208"/>
      <c r="K88" s="0"/>
    </row>
    <row r="89" customFormat="false" ht="19.85" hidden="false" customHeight="true" outlineLevel="0" collapsed="false">
      <c r="A89" s="0" t="n">
        <v>31</v>
      </c>
      <c r="B89" s="34" t="n">
        <v>41852</v>
      </c>
      <c r="C89" s="207" t="n">
        <v>114284</v>
      </c>
      <c r="D89" s="1" t="s">
        <v>42</v>
      </c>
      <c r="E89" s="33" t="n">
        <f aca="false">IF(D89="totale",(C89/(A89*24))/F89,IF(D89="marché libre",(C89/(A89*24))/G89,"spécifier histo"))</f>
        <v>0.243821471240826</v>
      </c>
      <c r="F89" s="59" t="n">
        <v>630</v>
      </c>
      <c r="G89" s="59" t="n">
        <f aca="false">F89-H89</f>
        <v>630</v>
      </c>
      <c r="H89" s="59" t="n">
        <v>0</v>
      </c>
      <c r="J89" s="208"/>
      <c r="K89" s="0"/>
    </row>
    <row r="90" customFormat="false" ht="19.85" hidden="false" customHeight="true" outlineLevel="0" collapsed="false">
      <c r="A90" s="0" t="n">
        <v>30</v>
      </c>
      <c r="B90" s="31" t="n">
        <v>41883</v>
      </c>
      <c r="C90" s="207" t="n">
        <v>19094</v>
      </c>
      <c r="D90" s="1" t="s">
        <v>42</v>
      </c>
      <c r="E90" s="33" t="n">
        <f aca="false">IF(D90="totale",(C90/(A90*24))/F90,IF(D90="marché libre",(C90/(A90*24))/G90,"spécifier histo"))</f>
        <v>0.0420943562610229</v>
      </c>
      <c r="F90" s="59" t="n">
        <v>630</v>
      </c>
      <c r="G90" s="59" t="n">
        <f aca="false">F90-H90</f>
        <v>630</v>
      </c>
      <c r="H90" s="59" t="n">
        <v>0</v>
      </c>
      <c r="J90" s="208"/>
      <c r="K90" s="0"/>
    </row>
    <row r="91" customFormat="false" ht="19.85" hidden="false" customHeight="true" outlineLevel="0" collapsed="false">
      <c r="A91" s="0" t="n">
        <v>31</v>
      </c>
      <c r="B91" s="34" t="n">
        <v>41913</v>
      </c>
      <c r="C91" s="207" t="n">
        <v>91261</v>
      </c>
      <c r="D91" s="1" t="s">
        <v>42</v>
      </c>
      <c r="E91" s="33" t="n">
        <f aca="false">IF(D91="totale",(C91/(A91*24))/F91,IF(D91="marché libre",(C91/(A91*24))/G91,"spécifier histo"))</f>
        <v>0.194702594299368</v>
      </c>
      <c r="F91" s="59" t="n">
        <v>630</v>
      </c>
      <c r="G91" s="59" t="n">
        <f aca="false">F91-H91</f>
        <v>630</v>
      </c>
      <c r="H91" s="59" t="n">
        <v>0</v>
      </c>
      <c r="J91" s="208"/>
      <c r="K91" s="0"/>
    </row>
    <row r="92" customFormat="false" ht="19.85" hidden="false" customHeight="true" outlineLevel="0" collapsed="false">
      <c r="A92" s="0" t="n">
        <v>30</v>
      </c>
      <c r="B92" s="31" t="n">
        <v>41944</v>
      </c>
      <c r="C92" s="207" t="n">
        <v>111892</v>
      </c>
      <c r="D92" s="1" t="s">
        <v>42</v>
      </c>
      <c r="E92" s="33" t="n">
        <f aca="false">IF(D92="totale",(C92/(A92*24))/F92,IF(D92="marché libre",(C92/(A92*24))/G92,"spécifier histo"))</f>
        <v>0.246675485008818</v>
      </c>
      <c r="F92" s="59" t="n">
        <v>630</v>
      </c>
      <c r="G92" s="59" t="n">
        <f aca="false">F92-H92</f>
        <v>630</v>
      </c>
      <c r="H92" s="59" t="n">
        <v>0</v>
      </c>
      <c r="J92" s="208"/>
      <c r="K92" s="0"/>
    </row>
    <row r="93" customFormat="false" ht="19.95" hidden="false" customHeight="true" outlineLevel="0" collapsed="false">
      <c r="A93" s="0" t="n">
        <v>31</v>
      </c>
      <c r="B93" s="34" t="n">
        <v>41974</v>
      </c>
      <c r="C93" s="207" t="n">
        <v>205272</v>
      </c>
      <c r="D93" s="1" t="s">
        <v>42</v>
      </c>
      <c r="E93" s="33" t="n">
        <f aca="false">IF(D93="totale",(C93/(A93*24))/F93,IF(D93="marché libre",(C93/(A93*24))/G93,"spécifier histo"))</f>
        <v>0.437941628264209</v>
      </c>
      <c r="F93" s="59" t="n">
        <v>630</v>
      </c>
      <c r="G93" s="59" t="n">
        <f aca="false">F93-H93</f>
        <v>630</v>
      </c>
      <c r="H93" s="59" t="n">
        <v>0</v>
      </c>
      <c r="J93" s="208"/>
      <c r="K93" s="0"/>
    </row>
    <row r="94" customFormat="false" ht="19.85" hidden="false" customHeight="true" outlineLevel="0" collapsed="false">
      <c r="A94" s="0" t="n">
        <v>31</v>
      </c>
      <c r="B94" s="31" t="n">
        <v>42005</v>
      </c>
      <c r="C94" s="207" t="n">
        <v>301144</v>
      </c>
      <c r="D94" s="1" t="s">
        <v>42</v>
      </c>
      <c r="E94" s="33" t="n">
        <f aca="false">IF(D94="totale",(C94/(A94*24))/F94,IF(D94="marché libre",(C94/(A94*24))/G94,"spécifier histo"))</f>
        <v>0.642481652159071</v>
      </c>
      <c r="F94" s="59" t="n">
        <v>630</v>
      </c>
      <c r="G94" s="59" t="n">
        <f aca="false">F94-H94</f>
        <v>630</v>
      </c>
      <c r="H94" s="59" t="n">
        <v>0</v>
      </c>
      <c r="J94" s="208"/>
      <c r="K94" s="0"/>
    </row>
    <row r="95" customFormat="false" ht="19.85" hidden="false" customHeight="true" outlineLevel="0" collapsed="false">
      <c r="A95" s="0" t="n">
        <v>28</v>
      </c>
      <c r="B95" s="34" t="n">
        <v>42036</v>
      </c>
      <c r="C95" s="207" t="n">
        <v>96201</v>
      </c>
      <c r="D95" s="1" t="s">
        <v>42</v>
      </c>
      <c r="E95" s="33" t="n">
        <f aca="false">IF(D95="totale",(C95/(A95*24))/F95,IF(D95="marché libre",(C95/(A95*24))/G95,"spécifier histo"))</f>
        <v>0.227232142857143</v>
      </c>
      <c r="F95" s="59" t="n">
        <v>630</v>
      </c>
      <c r="G95" s="59" t="n">
        <f aca="false">F95-H95</f>
        <v>630</v>
      </c>
      <c r="H95" s="59" t="n">
        <v>0</v>
      </c>
      <c r="J95" s="208"/>
      <c r="K95" s="0"/>
    </row>
    <row r="96" customFormat="false" ht="19.85" hidden="false" customHeight="true" outlineLevel="0" collapsed="false">
      <c r="A96" s="0" t="n">
        <v>31</v>
      </c>
      <c r="B96" s="31" t="n">
        <v>42064</v>
      </c>
      <c r="C96" s="207" t="n">
        <v>267995</v>
      </c>
      <c r="D96" s="1" t="s">
        <v>42</v>
      </c>
      <c r="E96" s="33" t="n">
        <f aca="false">IF(D96="totale",(C96/(A96*24))/F96,IF(D96="marché libre",(C96/(A96*24))/G96,"spécifier histo"))</f>
        <v>0.571759259259259</v>
      </c>
      <c r="F96" s="59" t="n">
        <v>630</v>
      </c>
      <c r="G96" s="59" t="n">
        <f aca="false">F96-H96</f>
        <v>630</v>
      </c>
      <c r="H96" s="59" t="n">
        <v>0</v>
      </c>
      <c r="J96" s="208"/>
      <c r="K96" s="0"/>
    </row>
    <row r="97" customFormat="false" ht="19.85" hidden="false" customHeight="true" outlineLevel="0" collapsed="false">
      <c r="A97" s="0" t="n">
        <v>30</v>
      </c>
      <c r="B97" s="34" t="n">
        <v>42095</v>
      </c>
      <c r="C97" s="207" t="n">
        <v>173858</v>
      </c>
      <c r="D97" s="1" t="s">
        <v>42</v>
      </c>
      <c r="E97" s="33" t="n">
        <f aca="false">IF(D97="totale",(C97/(A97*24))/F97,IF(D97="marché libre",(C97/(A97*24))/G97,"spécifier histo"))</f>
        <v>0.383284832451499</v>
      </c>
      <c r="F97" s="59" t="n">
        <v>630</v>
      </c>
      <c r="G97" s="59" t="n">
        <f aca="false">F97-H97</f>
        <v>630</v>
      </c>
      <c r="H97" s="59" t="n">
        <v>0</v>
      </c>
      <c r="J97" s="208"/>
      <c r="K97" s="0"/>
    </row>
    <row r="98" customFormat="false" ht="19.85" hidden="false" customHeight="true" outlineLevel="0" collapsed="false">
      <c r="A98" s="0" t="n">
        <v>31</v>
      </c>
      <c r="B98" s="31" t="n">
        <v>42125</v>
      </c>
      <c r="C98" s="207" t="n">
        <v>146056</v>
      </c>
      <c r="D98" s="1" t="s">
        <v>42</v>
      </c>
      <c r="E98" s="33" t="n">
        <f aca="false">IF(D98="totale",(C98/(A98*24))/F98,IF(D98="marché libre",(C98/(A98*24))/G98,"spécifier histo"))</f>
        <v>0.311606076122205</v>
      </c>
      <c r="F98" s="59" t="n">
        <v>630</v>
      </c>
      <c r="G98" s="59" t="n">
        <f aca="false">F98-H98</f>
        <v>630</v>
      </c>
      <c r="H98" s="59" t="n">
        <v>0</v>
      </c>
      <c r="J98" s="208"/>
      <c r="K98" s="0"/>
    </row>
    <row r="99" customFormat="false" ht="19.85" hidden="false" customHeight="true" outlineLevel="0" collapsed="false">
      <c r="A99" s="0" t="n">
        <v>30</v>
      </c>
      <c r="B99" s="34" t="n">
        <v>42156</v>
      </c>
      <c r="C99" s="207" t="n">
        <v>2084</v>
      </c>
      <c r="D99" s="1" t="s">
        <v>42</v>
      </c>
      <c r="E99" s="33" t="n">
        <f aca="false">IF(D99="totale",(C99/(A99*24))/F99,IF(D99="marché libre",(C99/(A99*24))/G99,"spécifier histo"))</f>
        <v>0.00459435626102293</v>
      </c>
      <c r="F99" s="59" t="n">
        <v>630</v>
      </c>
      <c r="G99" s="59" t="n">
        <f aca="false">F99-H99</f>
        <v>630</v>
      </c>
      <c r="H99" s="59" t="n">
        <v>0</v>
      </c>
      <c r="J99" s="208"/>
      <c r="K99" s="0"/>
    </row>
    <row r="100" customFormat="false" ht="19.85" hidden="false" customHeight="true" outlineLevel="0" collapsed="false">
      <c r="A100" s="0" t="n">
        <v>31</v>
      </c>
      <c r="B100" s="31" t="n">
        <v>42186</v>
      </c>
      <c r="C100" s="207" t="n">
        <v>0</v>
      </c>
      <c r="D100" s="1" t="s">
        <v>42</v>
      </c>
      <c r="E100" s="33" t="n">
        <f aca="false">IF(D100="totale",(C100/(A100*24))/F100,IF(D100="marché libre",(C100/(A100*24))/G100,"spécifier histo"))</f>
        <v>0</v>
      </c>
      <c r="F100" s="59" t="n">
        <v>630</v>
      </c>
      <c r="G100" s="59" t="n">
        <f aca="false">F100-H100</f>
        <v>630</v>
      </c>
      <c r="H100" s="59" t="n">
        <v>0</v>
      </c>
      <c r="J100" s="208"/>
      <c r="K100" s="0"/>
    </row>
    <row r="101" customFormat="false" ht="19.85" hidden="false" customHeight="true" outlineLevel="0" collapsed="false">
      <c r="A101" s="0" t="n">
        <v>31</v>
      </c>
      <c r="B101" s="34" t="n">
        <v>42217</v>
      </c>
      <c r="C101" s="207" t="n">
        <v>0</v>
      </c>
      <c r="D101" s="1" t="s">
        <v>42</v>
      </c>
      <c r="E101" s="33" t="n">
        <f aca="false">IF(D101="totale",(C101/(A101*24))/F101,IF(D101="marché libre",(C101/(A101*24))/G101,"spécifier histo"))</f>
        <v>0</v>
      </c>
      <c r="F101" s="59" t="n">
        <v>630</v>
      </c>
      <c r="G101" s="59" t="n">
        <f aca="false">F101-H101</f>
        <v>630</v>
      </c>
      <c r="H101" s="59" t="n">
        <v>0</v>
      </c>
      <c r="J101" s="208"/>
      <c r="K101" s="0"/>
    </row>
    <row r="102" customFormat="false" ht="19.85" hidden="false" customHeight="true" outlineLevel="0" collapsed="false">
      <c r="A102" s="0" t="n">
        <v>30</v>
      </c>
      <c r="B102" s="31" t="n">
        <v>42248</v>
      </c>
      <c r="C102" s="207" t="n">
        <v>0</v>
      </c>
      <c r="D102" s="1" t="s">
        <v>42</v>
      </c>
      <c r="E102" s="33" t="n">
        <f aca="false">IF(D102="totale",(C102/(A102*24))/F102,IF(D102="marché libre",(C102/(A102*24))/G102,"spécifier histo"))</f>
        <v>0</v>
      </c>
      <c r="F102" s="59" t="n">
        <v>630</v>
      </c>
      <c r="G102" s="59" t="n">
        <f aca="false">F102-H102</f>
        <v>630</v>
      </c>
      <c r="H102" s="59" t="n">
        <v>0</v>
      </c>
      <c r="J102" s="208"/>
      <c r="K102" s="0"/>
    </row>
    <row r="103" customFormat="false" ht="19.85" hidden="false" customHeight="true" outlineLevel="0" collapsed="false">
      <c r="A103" s="0" t="n">
        <v>31</v>
      </c>
      <c r="B103" s="34" t="n">
        <v>42278</v>
      </c>
      <c r="C103" s="207" t="n">
        <v>0</v>
      </c>
      <c r="D103" s="1" t="s">
        <v>42</v>
      </c>
      <c r="E103" s="33" t="n">
        <f aca="false">IF(D103="totale",(C103/(A103*24))/F103,IF(D103="marché libre",(C103/(A103*24))/G103,"spécifier histo"))</f>
        <v>0</v>
      </c>
      <c r="F103" s="59" t="n">
        <v>630</v>
      </c>
      <c r="G103" s="59" t="n">
        <f aca="false">F103-H103</f>
        <v>630</v>
      </c>
      <c r="H103" s="59" t="n">
        <v>0</v>
      </c>
      <c r="J103" s="208"/>
      <c r="K103" s="0"/>
    </row>
    <row r="104" customFormat="false" ht="19.85" hidden="false" customHeight="true" outlineLevel="0" collapsed="false">
      <c r="A104" s="0" t="n">
        <v>30</v>
      </c>
      <c r="B104" s="31" t="n">
        <v>42309</v>
      </c>
      <c r="C104" s="207" t="n">
        <v>85645</v>
      </c>
      <c r="D104" s="1" t="s">
        <v>42</v>
      </c>
      <c r="E104" s="33" t="n">
        <f aca="false">IF(D104="totale",(C104/(A104*24))/F104,IF(D104="marché libre",(C104/(A104*24))/G104,"spécifier histo"))</f>
        <v>0.188811728395062</v>
      </c>
      <c r="F104" s="59" t="n">
        <v>630</v>
      </c>
      <c r="G104" s="59" t="n">
        <f aca="false">F104-H104</f>
        <v>630</v>
      </c>
      <c r="H104" s="59" t="n">
        <v>0</v>
      </c>
      <c r="J104" s="208"/>
      <c r="K104" s="0"/>
    </row>
    <row r="105" customFormat="false" ht="19.85" hidden="false" customHeight="true" outlineLevel="0" collapsed="false">
      <c r="A105" s="0" t="n">
        <v>31</v>
      </c>
      <c r="B105" s="34" t="n">
        <v>42339</v>
      </c>
      <c r="C105" s="207" t="n">
        <v>160500</v>
      </c>
      <c r="D105" s="1" t="s">
        <v>42</v>
      </c>
      <c r="E105" s="33" t="n">
        <f aca="false">IF(D105="totale",(C105/(A105*24))/F105,IF(D105="marché libre",(C105/(A105*24))/G105,"spécifier histo"))</f>
        <v>0.34242191500256</v>
      </c>
      <c r="F105" s="59" t="n">
        <v>630</v>
      </c>
      <c r="G105" s="59" t="n">
        <f aca="false">F105-H105</f>
        <v>630</v>
      </c>
      <c r="H105" s="59" t="n">
        <v>0</v>
      </c>
      <c r="J105" s="208"/>
      <c r="K105" s="0"/>
    </row>
    <row r="106" customFormat="false" ht="19.85" hidden="false" customHeight="true" outlineLevel="0" collapsed="false">
      <c r="A106" s="0" t="n">
        <v>31</v>
      </c>
      <c r="B106" s="31" t="n">
        <v>42370</v>
      </c>
      <c r="C106" s="207" t="n">
        <v>325018</v>
      </c>
      <c r="D106" s="1" t="s">
        <v>42</v>
      </c>
      <c r="E106" s="33" t="n">
        <f aca="false">IF(D106="totale",(C106/(A106*24))/F106,IF(D106="marché libre",(C106/(A106*24))/G106,"spécifier histo"))</f>
        <v>0.693416111964499</v>
      </c>
      <c r="F106" s="59" t="n">
        <v>630</v>
      </c>
      <c r="G106" s="59" t="n">
        <f aca="false">F106-H106</f>
        <v>630</v>
      </c>
      <c r="H106" s="59" t="n">
        <v>0</v>
      </c>
      <c r="J106" s="208"/>
      <c r="K106" s="0"/>
    </row>
    <row r="107" customFormat="false" ht="19.85" hidden="false" customHeight="true" outlineLevel="0" collapsed="false">
      <c r="A107" s="0" t="n">
        <v>28</v>
      </c>
      <c r="B107" s="34" t="n">
        <v>42401</v>
      </c>
      <c r="C107" s="207" t="n">
        <v>401960</v>
      </c>
      <c r="D107" s="1" t="s">
        <v>42</v>
      </c>
      <c r="E107" s="33" t="n">
        <f aca="false">IF(D107="totale",(C107/(A107*24))/F107,IF(D107="marché libre",(C107/(A107*24))/G107,"spécifier histo"))</f>
        <v>0.949452003023432</v>
      </c>
      <c r="F107" s="59" t="n">
        <v>630</v>
      </c>
      <c r="G107" s="59" t="n">
        <f aca="false">F107-H107</f>
        <v>630</v>
      </c>
      <c r="H107" s="59" t="n">
        <v>0</v>
      </c>
      <c r="J107" s="208"/>
      <c r="K107" s="0"/>
    </row>
    <row r="108" customFormat="false" ht="19.85" hidden="false" customHeight="true" outlineLevel="0" collapsed="false">
      <c r="A108" s="0" t="n">
        <v>31</v>
      </c>
      <c r="B108" s="31" t="n">
        <v>42430</v>
      </c>
      <c r="C108" s="207" t="n">
        <v>243841</v>
      </c>
      <c r="D108" s="1" t="s">
        <v>42</v>
      </c>
      <c r="E108" s="33" t="n">
        <f aca="false">IF(D108="totale",(C108/(A108*24))/F108,IF(D108="marché libre",(C108/(A108*24))/G108,"spécifier histo"))</f>
        <v>0.520227427888718</v>
      </c>
      <c r="F108" s="59" t="n">
        <v>630</v>
      </c>
      <c r="G108" s="59" t="n">
        <f aca="false">F108-H108</f>
        <v>630</v>
      </c>
      <c r="H108" s="59" t="n">
        <v>0</v>
      </c>
      <c r="J108" s="208"/>
      <c r="K108" s="0"/>
    </row>
    <row r="109" customFormat="false" ht="19.85" hidden="false" customHeight="true" outlineLevel="0" collapsed="false">
      <c r="A109" s="0" t="n">
        <v>30</v>
      </c>
      <c r="B109" s="34" t="n">
        <v>42461</v>
      </c>
      <c r="C109" s="207" t="n">
        <v>302009</v>
      </c>
      <c r="D109" s="1" t="s">
        <v>42</v>
      </c>
      <c r="E109" s="33" t="n">
        <f aca="false">IF(D109="totale",(C109/(A109*24))/F109,IF(D109="marché libre",(C109/(A109*24))/G109,"spécifier histo"))</f>
        <v>0.66580467372134</v>
      </c>
      <c r="F109" s="59" t="n">
        <v>630</v>
      </c>
      <c r="G109" s="59" t="n">
        <f aca="false">F109-H109</f>
        <v>630</v>
      </c>
      <c r="H109" s="59" t="n">
        <v>0</v>
      </c>
      <c r="J109" s="208"/>
      <c r="K109" s="0"/>
    </row>
    <row r="110" customFormat="false" ht="19.85" hidden="false" customHeight="true" outlineLevel="0" collapsed="false">
      <c r="A110" s="0" t="n">
        <v>31</v>
      </c>
      <c r="B110" s="31" t="n">
        <v>42491</v>
      </c>
      <c r="C110" s="207" t="n">
        <v>156759</v>
      </c>
      <c r="D110" s="1" t="s">
        <v>42</v>
      </c>
      <c r="E110" s="33" t="n">
        <f aca="false">IF(D110="totale",(C110/(A110*24))/F110,IF(D110="marché libre",(C110/(A110*24))/G110,"spécifier histo"))</f>
        <v>0.334440604198669</v>
      </c>
      <c r="F110" s="59" t="n">
        <v>630</v>
      </c>
      <c r="G110" s="59" t="n">
        <f aca="false">F110-H110</f>
        <v>630</v>
      </c>
      <c r="H110" s="59" t="n">
        <v>0</v>
      </c>
      <c r="J110" s="208"/>
      <c r="K110" s="0"/>
    </row>
    <row r="111" customFormat="false" ht="19.85" hidden="false" customHeight="true" outlineLevel="0" collapsed="false">
      <c r="A111" s="0" t="n">
        <v>30</v>
      </c>
      <c r="B111" s="34" t="n">
        <v>42522</v>
      </c>
      <c r="C111" s="207" t="n">
        <v>343711</v>
      </c>
      <c r="D111" s="1" t="s">
        <v>42</v>
      </c>
      <c r="E111" s="33" t="n">
        <f aca="false">IF(D111="totale",(C111/(A111*24))/F111,IF(D111="marché libre",(C111/(A111*24))/G111,"spécifier histo"))</f>
        <v>0.757740299823633</v>
      </c>
      <c r="F111" s="59" t="n">
        <v>630</v>
      </c>
      <c r="G111" s="59" t="n">
        <f aca="false">F111-H111</f>
        <v>630</v>
      </c>
      <c r="H111" s="59" t="n">
        <v>0</v>
      </c>
      <c r="J111" s="208"/>
      <c r="K111" s="0"/>
    </row>
    <row r="112" customFormat="false" ht="19.85" hidden="false" customHeight="true" outlineLevel="0" collapsed="false">
      <c r="A112" s="0" t="n">
        <v>31</v>
      </c>
      <c r="B112" s="31" t="n">
        <v>42552</v>
      </c>
      <c r="C112" s="207" t="n">
        <v>33082</v>
      </c>
      <c r="D112" s="1" t="s">
        <v>42</v>
      </c>
      <c r="E112" s="33" t="n">
        <f aca="false">IF(D112="totale",(C112/(A112*24))/F112,IF(D112="marché libre",(C112/(A112*24))/G112,"spécifier histo"))</f>
        <v>0.0705794504181601</v>
      </c>
      <c r="F112" s="59" t="n">
        <v>630</v>
      </c>
      <c r="G112" s="59" t="n">
        <f aca="false">F112-H112</f>
        <v>630</v>
      </c>
      <c r="H112" s="59" t="n">
        <v>0</v>
      </c>
      <c r="J112" s="208"/>
      <c r="K112" s="0"/>
    </row>
    <row r="113" customFormat="false" ht="19.85" hidden="false" customHeight="true" outlineLevel="0" collapsed="false">
      <c r="A113" s="0" t="n">
        <v>31</v>
      </c>
      <c r="B113" s="34" t="n">
        <v>42583</v>
      </c>
      <c r="C113" s="207" t="n">
        <v>1746</v>
      </c>
      <c r="D113" s="1" t="s">
        <v>42</v>
      </c>
      <c r="E113" s="33" t="n">
        <f aca="false">IF(D113="totale",(C113/(A113*24))/F113,IF(D113="marché libre",(C113/(A113*24))/G113,"spécifier histo"))</f>
        <v>0.00372503840245776</v>
      </c>
      <c r="F113" s="59" t="n">
        <v>630</v>
      </c>
      <c r="G113" s="59" t="n">
        <f aca="false">F113-H113</f>
        <v>630</v>
      </c>
      <c r="H113" s="59" t="n">
        <v>0</v>
      </c>
      <c r="J113" s="208"/>
      <c r="K113" s="0"/>
    </row>
    <row r="114" customFormat="false" ht="19.85" hidden="false" customHeight="true" outlineLevel="0" collapsed="false">
      <c r="A114" s="0" t="n">
        <v>30</v>
      </c>
      <c r="B114" s="31" t="n">
        <v>42614</v>
      </c>
      <c r="C114" s="207" t="n">
        <v>0</v>
      </c>
      <c r="D114" s="1" t="s">
        <v>42</v>
      </c>
      <c r="E114" s="33" t="n">
        <f aca="false">IF(D114="totale",(C114/(A114*24))/F114,IF(D114="marché libre",(C114/(A114*24))/G114,"spécifier histo"))</f>
        <v>0</v>
      </c>
      <c r="F114" s="59" t="n">
        <v>630</v>
      </c>
      <c r="G114" s="59" t="n">
        <f aca="false">F114-H114</f>
        <v>630</v>
      </c>
      <c r="H114" s="59" t="n">
        <v>0</v>
      </c>
      <c r="J114" s="208"/>
      <c r="K114" s="0"/>
    </row>
    <row r="115" customFormat="false" ht="19.85" hidden="false" customHeight="true" outlineLevel="0" collapsed="false">
      <c r="A115" s="0" t="n">
        <v>31</v>
      </c>
      <c r="B115" s="34" t="n">
        <v>42644</v>
      </c>
      <c r="C115" s="207" t="n">
        <v>0</v>
      </c>
      <c r="D115" s="1" t="s">
        <v>42</v>
      </c>
      <c r="E115" s="33" t="n">
        <f aca="false">IF(D115="totale",(C115/(A115*24))/F115,IF(D115="marché libre",(C115/(A115*24))/G115,"spécifier histo"))</f>
        <v>0</v>
      </c>
      <c r="F115" s="59" t="n">
        <v>630</v>
      </c>
      <c r="G115" s="59" t="n">
        <f aca="false">F115-H115</f>
        <v>630</v>
      </c>
      <c r="H115" s="59" t="n">
        <v>0</v>
      </c>
      <c r="J115" s="208"/>
      <c r="K115" s="0"/>
    </row>
    <row r="116" customFormat="false" ht="19.85" hidden="false" customHeight="true" outlineLevel="0" collapsed="false">
      <c r="A116" s="0" t="n">
        <v>30</v>
      </c>
      <c r="B116" s="31" t="n">
        <v>42675</v>
      </c>
      <c r="C116" s="207" t="n">
        <v>69540</v>
      </c>
      <c r="D116" s="1" t="s">
        <v>42</v>
      </c>
      <c r="E116" s="33" t="n">
        <f aca="false">IF(D116="totale",(C116/(A116*24))/F116,IF(D116="marché libre",(C116/(A116*24))/G116,"spécifier histo"))</f>
        <v>0.153306878306878</v>
      </c>
      <c r="F116" s="59" t="n">
        <v>630</v>
      </c>
      <c r="G116" s="59" t="n">
        <f aca="false">F116-H116</f>
        <v>630</v>
      </c>
      <c r="H116" s="59" t="n">
        <v>0</v>
      </c>
      <c r="J116" s="208"/>
      <c r="K116" s="0"/>
    </row>
    <row r="117" customFormat="false" ht="19.85" hidden="false" customHeight="true" outlineLevel="0" collapsed="false">
      <c r="A117" s="0" t="n">
        <v>31</v>
      </c>
      <c r="B117" s="34" t="n">
        <v>42705</v>
      </c>
      <c r="C117" s="207" t="n">
        <v>21145</v>
      </c>
      <c r="D117" s="1" t="s">
        <v>42</v>
      </c>
      <c r="E117" s="33" t="n">
        <f aca="false">IF(D117="totale",(C117/(A117*24))/F117,IF(D117="marché libre",(C117/(A117*24))/G117,"spécifier histo"))</f>
        <v>0.0451122205154463</v>
      </c>
      <c r="F117" s="59" t="n">
        <v>630</v>
      </c>
      <c r="G117" s="59" t="n">
        <f aca="false">F117-H117</f>
        <v>630</v>
      </c>
      <c r="H117" s="59" t="n">
        <v>0</v>
      </c>
      <c r="J117" s="208"/>
      <c r="K117" s="206"/>
    </row>
    <row r="118" customFormat="false" ht="19.85" hidden="false" customHeight="true" outlineLevel="0" collapsed="false">
      <c r="A118" s="210" t="n">
        <v>31</v>
      </c>
      <c r="B118" s="211" t="n">
        <v>42736</v>
      </c>
      <c r="C118" s="212" t="n">
        <v>28669</v>
      </c>
      <c r="D118" s="213" t="s">
        <v>42</v>
      </c>
      <c r="E118" s="214" t="n">
        <f aca="false">IF(D118="totale",(C118/(A118*24))/F118,IF(D118="marché libre",(C118/(A118*24))/G118,"spécifier histo"))</f>
        <v>0.0611644478579962</v>
      </c>
      <c r="F118" s="215" t="n">
        <v>630</v>
      </c>
      <c r="G118" s="215" t="n">
        <f aca="false">F118-H118</f>
        <v>630</v>
      </c>
      <c r="H118" s="215" t="n">
        <v>0</v>
      </c>
      <c r="J118" s="216"/>
      <c r="K118" s="206"/>
    </row>
    <row r="119" customFormat="false" ht="19.85" hidden="false" customHeight="true" outlineLevel="0" collapsed="false">
      <c r="A119" s="0" t="n">
        <v>28</v>
      </c>
      <c r="B119" s="34" t="n">
        <v>42767</v>
      </c>
      <c r="C119" s="217" t="n">
        <v>270619</v>
      </c>
      <c r="D119" s="1" t="s">
        <v>42</v>
      </c>
      <c r="E119" s="33" t="n">
        <f aca="false">IF(D119="totale",(C119/(A119*24))/F119,IF(D119="marché libre",(C119/(A119*24))/G119,"spécifier histo"))</f>
        <v>0.639217214663643</v>
      </c>
      <c r="F119" s="59" t="n">
        <v>630</v>
      </c>
      <c r="G119" s="59" t="n">
        <f aca="false">F119-H119</f>
        <v>630</v>
      </c>
      <c r="H119" s="59" t="n">
        <v>0</v>
      </c>
      <c r="J119" s="208"/>
      <c r="K119" s="206"/>
    </row>
    <row r="120" customFormat="false" ht="19.85" hidden="false" customHeight="true" outlineLevel="0" collapsed="false">
      <c r="A120" s="0" t="n">
        <v>31</v>
      </c>
      <c r="B120" s="31" t="n">
        <v>42795</v>
      </c>
      <c r="C120" s="217" t="n">
        <v>332517</v>
      </c>
      <c r="D120" s="1" t="s">
        <v>42</v>
      </c>
      <c r="E120" s="33" t="n">
        <f aca="false">IF(D120="totale",(C120/(A120*24))/F120,IF(D120="marché libre",(C120/(A120*24))/G120,"spécifier histo"))</f>
        <v>0.709415002560164</v>
      </c>
      <c r="F120" s="59" t="n">
        <v>630</v>
      </c>
      <c r="G120" s="59" t="n">
        <f aca="false">F120-H120</f>
        <v>630</v>
      </c>
      <c r="H120" s="59" t="n">
        <v>0</v>
      </c>
      <c r="J120" s="208"/>
      <c r="K120" s="206"/>
    </row>
    <row r="121" customFormat="false" ht="19.85" hidden="false" customHeight="true" outlineLevel="0" collapsed="false">
      <c r="A121" s="0" t="n">
        <v>30</v>
      </c>
      <c r="B121" s="34" t="n">
        <v>42826</v>
      </c>
      <c r="C121" s="217" t="n">
        <v>17176</v>
      </c>
      <c r="D121" s="1" t="s">
        <v>42</v>
      </c>
      <c r="E121" s="33" t="n">
        <f aca="false">IF(D121="totale",(C121/(A121*24))/F121,IF(D121="marché libre",(C121/(A121*24))/G121,"spécifier histo"))</f>
        <v>0.0378659611992945</v>
      </c>
      <c r="F121" s="59" t="n">
        <v>630</v>
      </c>
      <c r="G121" s="59" t="n">
        <f aca="false">F121-H121</f>
        <v>630</v>
      </c>
      <c r="H121" s="59" t="n">
        <v>0</v>
      </c>
      <c r="J121" s="208"/>
      <c r="K121" s="206"/>
    </row>
    <row r="122" customFormat="false" ht="19.85" hidden="false" customHeight="true" outlineLevel="0" collapsed="false">
      <c r="A122" s="0" t="n">
        <v>31</v>
      </c>
      <c r="B122" s="31" t="n">
        <v>42856</v>
      </c>
      <c r="C122" s="217" t="n">
        <v>59611</v>
      </c>
      <c r="D122" s="1" t="s">
        <v>42</v>
      </c>
      <c r="E122" s="33" t="n">
        <f aca="false">IF(D122="totale",(C122/(A122*24))/F122,IF(D122="marché libre",(C122/(A122*24))/G122,"spécifier histo"))</f>
        <v>0.127178272742789</v>
      </c>
      <c r="F122" s="59" t="n">
        <v>630</v>
      </c>
      <c r="G122" s="59" t="n">
        <f aca="false">F122-H122</f>
        <v>630</v>
      </c>
      <c r="H122" s="59" t="n">
        <v>0</v>
      </c>
      <c r="J122" s="208"/>
      <c r="K122" s="206"/>
    </row>
    <row r="123" customFormat="false" ht="22.45" hidden="false" customHeight="true" outlineLevel="0" collapsed="false">
      <c r="A123" s="0" t="n">
        <v>30</v>
      </c>
      <c r="B123" s="34" t="n">
        <v>42887</v>
      </c>
      <c r="C123" s="217" t="n">
        <v>7437</v>
      </c>
      <c r="D123" s="1" t="s">
        <v>42</v>
      </c>
      <c r="E123" s="33" t="n">
        <f aca="false">IF(D123="totale",(C123/(A123*24))/F123,IF(D123="marché libre",(C123/(A123*24))/G123,"spécifier histo"))</f>
        <v>0.0163955026455026</v>
      </c>
      <c r="F123" s="59" t="n">
        <v>630</v>
      </c>
      <c r="G123" s="59" t="n">
        <f aca="false">F123-H123</f>
        <v>630</v>
      </c>
      <c r="H123" s="59" t="n">
        <v>0</v>
      </c>
      <c r="J123" s="208"/>
      <c r="K123" s="206"/>
    </row>
    <row r="124" customFormat="false" ht="21.65" hidden="false" customHeight="true" outlineLevel="0" collapsed="false">
      <c r="A124" s="0" t="n">
        <v>31</v>
      </c>
      <c r="B124" s="31" t="n">
        <v>42917</v>
      </c>
      <c r="C124" s="217" t="n">
        <v>19030</v>
      </c>
      <c r="D124" s="1" t="s">
        <v>42</v>
      </c>
      <c r="E124" s="33" t="n">
        <f aca="false">IF(D124="totale",(C124/(A124*24))/F124,IF(D124="marché libre",(C124/(A124*24))/G124,"spécifier histo"))</f>
        <v>0.040599931728964</v>
      </c>
      <c r="F124" s="59" t="n">
        <v>630</v>
      </c>
      <c r="G124" s="59" t="n">
        <f aca="false">F124-H124</f>
        <v>630</v>
      </c>
      <c r="H124" s="59" t="n">
        <v>0</v>
      </c>
      <c r="J124" s="208"/>
      <c r="K124" s="206"/>
    </row>
    <row r="125" customFormat="false" ht="21.65" hidden="false" customHeight="true" outlineLevel="0" collapsed="false">
      <c r="A125" s="0" t="n">
        <v>31</v>
      </c>
      <c r="B125" s="34" t="n">
        <v>42948</v>
      </c>
      <c r="C125" s="217" t="n">
        <v>1793</v>
      </c>
      <c r="D125" s="1" t="s">
        <v>42</v>
      </c>
      <c r="E125" s="33" t="n">
        <f aca="false">IF(D125="totale",(C125/(A125*24))/F125,IF(D125="marché libre",(C125/(A125*24))/G125,"spécifier histo"))</f>
        <v>0.00382531148660181</v>
      </c>
      <c r="F125" s="59" t="n">
        <v>630</v>
      </c>
      <c r="G125" s="59" t="n">
        <f aca="false">F125-H125</f>
        <v>630</v>
      </c>
      <c r="H125" s="59" t="n">
        <v>0</v>
      </c>
      <c r="J125" s="208"/>
      <c r="K125" s="206"/>
    </row>
    <row r="126" customFormat="false" ht="21.65" hidden="false" customHeight="true" outlineLevel="0" collapsed="false">
      <c r="A126" s="0" t="n">
        <v>30</v>
      </c>
      <c r="B126" s="31" t="n">
        <v>42979</v>
      </c>
      <c r="C126" s="217" t="n">
        <v>31087</v>
      </c>
      <c r="D126" s="1" t="s">
        <v>42</v>
      </c>
      <c r="E126" s="33" t="n">
        <f aca="false">IF(D126="totale",(C126/(A126*24))/F126,IF(D126="marché libre",(C126/(A126*24))/G126,"spécifier histo"))</f>
        <v>0.0685339506172839</v>
      </c>
      <c r="F126" s="59" t="n">
        <v>630</v>
      </c>
      <c r="G126" s="59" t="n">
        <f aca="false">F126-H126</f>
        <v>630</v>
      </c>
      <c r="H126" s="59" t="n">
        <v>0</v>
      </c>
      <c r="J126" s="208"/>
      <c r="K126" s="206"/>
    </row>
    <row r="127" customFormat="false" ht="21.65" hidden="false" customHeight="true" outlineLevel="0" collapsed="false">
      <c r="A127" s="0" t="n">
        <v>31</v>
      </c>
      <c r="B127" s="34" t="n">
        <v>43009</v>
      </c>
      <c r="C127" s="217" t="n">
        <v>22751</v>
      </c>
      <c r="D127" s="1" t="s">
        <v>42</v>
      </c>
      <c r="E127" s="33" t="n">
        <f aca="false">IF(D127="totale",(C127/(A127*24))/F127,IF(D127="marché libre",(C127/(A127*24))/G127,"spécifier histo"))</f>
        <v>0.0485385731353473</v>
      </c>
      <c r="F127" s="59" t="n">
        <v>630</v>
      </c>
      <c r="G127" s="59" t="n">
        <f aca="false">F127-H127</f>
        <v>630</v>
      </c>
      <c r="H127" s="59" t="n">
        <v>0</v>
      </c>
      <c r="J127" s="208"/>
      <c r="K127" s="206"/>
    </row>
    <row r="128" customFormat="false" ht="21.65" hidden="false" customHeight="true" outlineLevel="0" collapsed="false">
      <c r="A128" s="0" t="n">
        <v>30</v>
      </c>
      <c r="B128" s="31" t="n">
        <v>43040</v>
      </c>
      <c r="C128" s="217" t="n">
        <v>234666</v>
      </c>
      <c r="D128" s="1" t="s">
        <v>42</v>
      </c>
      <c r="E128" s="33" t="n">
        <f aca="false">IF(D128="totale",(C128/(A128*24))/F128,IF(D128="marché libre",(C128/(A128*24))/G128,"spécifier histo"))</f>
        <v>0.51734126984127</v>
      </c>
      <c r="F128" s="59" t="n">
        <v>630</v>
      </c>
      <c r="G128" s="59" t="n">
        <f aca="false">F128-H128</f>
        <v>630</v>
      </c>
      <c r="H128" s="59" t="n">
        <v>0</v>
      </c>
      <c r="J128" s="208"/>
      <c r="K128" s="206"/>
    </row>
    <row r="129" customFormat="false" ht="21.65" hidden="false" customHeight="true" outlineLevel="0" collapsed="false">
      <c r="A129" s="0" t="n">
        <v>31</v>
      </c>
      <c r="B129" s="34" t="n">
        <v>43070</v>
      </c>
      <c r="C129" s="217" t="n">
        <v>313545</v>
      </c>
      <c r="D129" s="1" t="s">
        <v>42</v>
      </c>
      <c r="E129" s="33" t="n">
        <f aca="false">IF(D129="totale",(C129/(A129*24))/F129,IF(D129="marché libre",(C129/(A129*24))/G129,"spécifier histo"))</f>
        <v>0.668938812083973</v>
      </c>
      <c r="F129" s="59" t="n">
        <v>630</v>
      </c>
      <c r="G129" s="59" t="n">
        <f aca="false">F129-H129</f>
        <v>630</v>
      </c>
      <c r="H129" s="59" t="n">
        <v>0</v>
      </c>
      <c r="J129" s="208"/>
      <c r="K129" s="206"/>
    </row>
    <row r="130" customFormat="false" ht="28.35" hidden="false" customHeight="true" outlineLevel="0" collapsed="false">
      <c r="A130" s="0" t="n">
        <v>31</v>
      </c>
      <c r="B130" s="31" t="n">
        <v>43101</v>
      </c>
      <c r="C130" s="1" t="n">
        <v>402705</v>
      </c>
      <c r="D130" s="1" t="s">
        <v>42</v>
      </c>
      <c r="E130" s="33" t="n">
        <f aca="false">IF(D130="totale",(C130/(A130*24))/F130,IF(D130="marché libre",(C130/(A130*24))/G130,"spécifier histo"))</f>
        <v>0.859158986175115</v>
      </c>
      <c r="F130" s="59" t="n">
        <v>630</v>
      </c>
      <c r="G130" s="59" t="n">
        <f aca="false">F130-H130</f>
        <v>630</v>
      </c>
      <c r="H130" s="59" t="n">
        <v>0</v>
      </c>
      <c r="J130" s="216"/>
      <c r="K130" s="206"/>
    </row>
    <row r="131" customFormat="false" ht="28.35" hidden="false" customHeight="true" outlineLevel="0" collapsed="false">
      <c r="A131" s="0" t="n">
        <v>28</v>
      </c>
      <c r="B131" s="34" t="n">
        <v>43132</v>
      </c>
      <c r="C131" s="1" t="n">
        <v>162279</v>
      </c>
      <c r="D131" s="1" t="s">
        <v>42</v>
      </c>
      <c r="E131" s="33" t="n">
        <f aca="false">IF(D131="totale",(C131/(A131*24))/F131,IF(D131="marché libre",(C131/(A131*24))/G131,"spécifier histo"))</f>
        <v>0.383312074829932</v>
      </c>
      <c r="F131" s="59" t="n">
        <v>630</v>
      </c>
      <c r="G131" s="59" t="n">
        <f aca="false">F131-H131</f>
        <v>630</v>
      </c>
      <c r="H131" s="59" t="n">
        <v>0</v>
      </c>
      <c r="J131" s="180"/>
      <c r="K131" s="206"/>
    </row>
    <row r="132" customFormat="false" ht="28.35" hidden="false" customHeight="true" outlineLevel="0" collapsed="false">
      <c r="A132" s="0" t="n">
        <v>31</v>
      </c>
      <c r="B132" s="31" t="n">
        <v>43160</v>
      </c>
      <c r="C132" s="1" t="n">
        <v>201063</v>
      </c>
      <c r="D132" s="1" t="s">
        <v>42</v>
      </c>
      <c r="E132" s="33" t="n">
        <f aca="false">IF(D132="totale",(C132/(A132*24))/F132,IF(D132="marché libre",(C132/(A132*24))/G132,"spécifier histo"))</f>
        <v>0.428961853558628</v>
      </c>
      <c r="F132" s="59" t="n">
        <v>630</v>
      </c>
      <c r="G132" s="59" t="n">
        <f aca="false">F132-H132</f>
        <v>630</v>
      </c>
      <c r="H132" s="59" t="n">
        <v>0</v>
      </c>
      <c r="J132" s="180"/>
      <c r="K132" s="206"/>
    </row>
    <row r="133" customFormat="false" ht="28.35" hidden="false" customHeight="true" outlineLevel="0" collapsed="false">
      <c r="A133" s="0" t="n">
        <v>30</v>
      </c>
      <c r="B133" s="34" t="n">
        <v>43191</v>
      </c>
      <c r="C133" s="1" t="n">
        <v>144019</v>
      </c>
      <c r="D133" s="1" t="s">
        <v>42</v>
      </c>
      <c r="E133" s="33" t="n">
        <f aca="false">IF(D133="totale",(C133/(A133*24))/F133,IF(D133="marché libre",(C133/(A133*24))/G133,"spécifier histo"))</f>
        <v>0.317502204585538</v>
      </c>
      <c r="F133" s="59" t="n">
        <v>630</v>
      </c>
      <c r="G133" s="59" t="n">
        <f aca="false">F133-H133</f>
        <v>630</v>
      </c>
      <c r="H133" s="59" t="n">
        <v>0</v>
      </c>
      <c r="J133" s="180"/>
      <c r="K133" s="206"/>
    </row>
    <row r="134" customFormat="false" ht="28.35" hidden="false" customHeight="true" outlineLevel="0" collapsed="false">
      <c r="A134" s="0" t="n">
        <v>31</v>
      </c>
      <c r="B134" s="31" t="n">
        <v>43221</v>
      </c>
      <c r="C134" s="1" t="n">
        <v>41313</v>
      </c>
      <c r="D134" s="1" t="s">
        <v>42</v>
      </c>
      <c r="E134" s="33" t="n">
        <f aca="false">IF(D134="totale",(C134/(A134*24))/F134,IF(D134="marché libre",(C134/(A134*24))/G134,"spécifier histo"))</f>
        <v>0.0881400409626216</v>
      </c>
      <c r="F134" s="59" t="n">
        <v>630</v>
      </c>
      <c r="G134" s="59" t="n">
        <f aca="false">F134-H134</f>
        <v>630</v>
      </c>
      <c r="H134" s="59" t="n">
        <v>0</v>
      </c>
      <c r="J134" s="180"/>
      <c r="K134" s="206"/>
    </row>
    <row r="135" customFormat="false" ht="28.35" hidden="false" customHeight="true" outlineLevel="0" collapsed="false">
      <c r="A135" s="0" t="n">
        <v>30</v>
      </c>
      <c r="B135" s="34" t="n">
        <v>43252</v>
      </c>
      <c r="C135" s="1" t="n">
        <v>51246</v>
      </c>
      <c r="D135" s="1" t="s">
        <v>42</v>
      </c>
      <c r="E135" s="33" t="n">
        <f aca="false">IF(D135="totale",(C135/(A135*24))/F135,IF(D135="marché libre",(C135/(A135*24))/G135,"spécifier histo"))</f>
        <v>0.11297619047619</v>
      </c>
      <c r="F135" s="59" t="n">
        <v>630</v>
      </c>
      <c r="G135" s="59" t="n">
        <f aca="false">F135-H135</f>
        <v>630</v>
      </c>
      <c r="H135" s="59" t="n">
        <v>0</v>
      </c>
      <c r="J135" s="180"/>
    </row>
    <row r="136" customFormat="false" ht="28.35" hidden="false" customHeight="true" outlineLevel="0" collapsed="false">
      <c r="A136" s="0" t="n">
        <v>31</v>
      </c>
      <c r="B136" s="31" t="n">
        <v>43282</v>
      </c>
      <c r="C136" s="1" t="n">
        <v>24</v>
      </c>
      <c r="D136" s="1" t="s">
        <v>42</v>
      </c>
      <c r="E136" s="33" t="n">
        <f aca="false">IF(D136="totale",(C136/(A136*24))/F136,IF(D136="marché libre",(C136/(A136*24))/G136,"spécifier histo"))</f>
        <v>5.12032770097286E-005</v>
      </c>
      <c r="F136" s="59" t="n">
        <v>630</v>
      </c>
      <c r="G136" s="59" t="n">
        <f aca="false">F136-H136</f>
        <v>630</v>
      </c>
      <c r="H136" s="59" t="n">
        <v>0</v>
      </c>
      <c r="J136" s="180"/>
    </row>
    <row r="137" customFormat="false" ht="28.35" hidden="false" customHeight="true" outlineLevel="0" collapsed="false">
      <c r="A137" s="0" t="n">
        <v>31</v>
      </c>
      <c r="B137" s="34" t="n">
        <v>43313</v>
      </c>
      <c r="C137" s="1" t="n">
        <v>0</v>
      </c>
      <c r="D137" s="1" t="s">
        <v>42</v>
      </c>
      <c r="E137" s="33" t="n">
        <f aca="false">IF(D137="totale",(C137/(A137*24))/F137,IF(D137="marché libre",(C137/(A137*24))/G137,"spécifier histo"))</f>
        <v>0</v>
      </c>
      <c r="F137" s="59" t="n">
        <v>630</v>
      </c>
      <c r="G137" s="59" t="n">
        <f aca="false">F137-H137</f>
        <v>630</v>
      </c>
      <c r="H137" s="59" t="n">
        <v>0</v>
      </c>
      <c r="J137" s="180"/>
    </row>
    <row r="138" customFormat="false" ht="28.35" hidden="false" customHeight="true" outlineLevel="0" collapsed="false">
      <c r="A138" s="0" t="n">
        <v>30</v>
      </c>
      <c r="B138" s="31" t="n">
        <v>43344</v>
      </c>
      <c r="C138" s="1" t="n">
        <v>0</v>
      </c>
      <c r="D138" s="1" t="s">
        <v>42</v>
      </c>
      <c r="E138" s="33" t="n">
        <f aca="false">IF(D138="totale",(C138/(A138*24))/F138,IF(D138="marché libre",(C138/(A138*24))/G138,"spécifier histo"))</f>
        <v>0</v>
      </c>
      <c r="F138" s="59" t="n">
        <v>630</v>
      </c>
      <c r="G138" s="59" t="n">
        <f aca="false">F138-H138</f>
        <v>630</v>
      </c>
      <c r="H138" s="59" t="n">
        <v>0</v>
      </c>
      <c r="J138" s="180"/>
    </row>
    <row r="139" customFormat="false" ht="28.35" hidden="false" customHeight="true" outlineLevel="0" collapsed="false">
      <c r="A139" s="0"/>
      <c r="J139" s="180"/>
    </row>
    <row r="140" customFormat="false" ht="28.35" hidden="false" customHeight="true" outlineLevel="0" collapsed="false">
      <c r="A140" s="0"/>
      <c r="J140" s="180"/>
    </row>
    <row r="141" customFormat="false" ht="28.35" hidden="false" customHeight="true" outlineLevel="0" collapsed="false">
      <c r="A141" s="0"/>
      <c r="J141" s="180"/>
    </row>
    <row r="142" customFormat="false" ht="28.35" hidden="false" customHeight="true" outlineLevel="0" collapsed="false">
      <c r="A142" s="0"/>
      <c r="J142" s="180"/>
    </row>
    <row r="143" customFormat="false" ht="28.35" hidden="false" customHeight="true" outlineLevel="0" collapsed="false">
      <c r="A143" s="0"/>
      <c r="J143" s="180"/>
    </row>
    <row r="144" customFormat="false" ht="28.35" hidden="false" customHeight="true" outlineLevel="0" collapsed="false">
      <c r="A144" s="0"/>
      <c r="J144" s="180"/>
    </row>
    <row r="145" customFormat="false" ht="12.8" hidden="false" customHeight="false" outlineLevel="0" collapsed="false">
      <c r="A145" s="0"/>
      <c r="J145" s="180"/>
    </row>
    <row r="146" customFormat="false" ht="12.8" hidden="false" customHeight="false" outlineLevel="0" collapsed="false">
      <c r="A146" s="0"/>
      <c r="J146" s="180"/>
    </row>
    <row r="147" customFormat="false" ht="12.8" hidden="false" customHeight="false" outlineLevel="0" collapsed="false">
      <c r="A147" s="0"/>
      <c r="J147" s="180"/>
    </row>
    <row r="148" customFormat="false" ht="12.8" hidden="false" customHeight="false" outlineLevel="0" collapsed="false">
      <c r="A148" s="0"/>
      <c r="J148" s="180"/>
    </row>
    <row r="149" customFormat="false" ht="12.8" hidden="false" customHeight="false" outlineLevel="0" collapsed="false">
      <c r="A149" s="0"/>
      <c r="J149" s="180"/>
    </row>
    <row r="150" customFormat="false" ht="12.8" hidden="false" customHeight="false" outlineLevel="0" collapsed="false">
      <c r="A150" s="0"/>
      <c r="J150" s="180"/>
    </row>
    <row r="151" customFormat="false" ht="12.8" hidden="false" customHeight="false" outlineLevel="0" collapsed="false">
      <c r="A151" s="0"/>
      <c r="J151" s="180"/>
    </row>
    <row r="152" customFormat="false" ht="12.8" hidden="false" customHeight="false" outlineLevel="0" collapsed="false">
      <c r="A152" s="0"/>
      <c r="J152" s="180"/>
    </row>
    <row r="153" customFormat="false" ht="12.8" hidden="false" customHeight="false" outlineLevel="0" collapsed="false">
      <c r="A153" s="0"/>
      <c r="J153" s="180"/>
    </row>
    <row r="154" customFormat="false" ht="12.8" hidden="false" customHeight="false" outlineLevel="0" collapsed="false">
      <c r="A154" s="0"/>
      <c r="J154" s="180"/>
    </row>
    <row r="155" customFormat="false" ht="12.8" hidden="false" customHeight="false" outlineLevel="0" collapsed="false">
      <c r="A155" s="0"/>
      <c r="J155" s="180"/>
    </row>
    <row r="156" customFormat="false" ht="12.8" hidden="false" customHeight="false" outlineLevel="0" collapsed="false">
      <c r="A156" s="0"/>
      <c r="J156" s="180"/>
    </row>
    <row r="157" customFormat="false" ht="12.8" hidden="false" customHeight="false" outlineLevel="0" collapsed="false">
      <c r="A157" s="0"/>
    </row>
    <row r="158" customFormat="false" ht="12.8" hidden="false" customHeight="false" outlineLevel="0" collapsed="false">
      <c r="A158" s="0"/>
    </row>
    <row r="159" customFormat="false" ht="12.8" hidden="false" customHeight="false" outlineLevel="0" collapsed="false">
      <c r="A159" s="0"/>
    </row>
    <row r="160" customFormat="false" ht="12.8" hidden="false" customHeight="false" outlineLevel="0" collapsed="false">
      <c r="A160" s="0"/>
    </row>
    <row r="161" customFormat="false" ht="12.8" hidden="false" customHeight="false" outlineLevel="0" collapsed="false">
      <c r="A161" s="0"/>
    </row>
    <row r="162" customFormat="false" ht="12.8" hidden="false" customHeight="false" outlineLevel="0" collapsed="false">
      <c r="A162" s="0"/>
    </row>
    <row r="163" customFormat="false" ht="12.8" hidden="false" customHeight="false" outlineLevel="0" collapsed="false">
      <c r="A163" s="0"/>
    </row>
    <row r="164" customFormat="false" ht="12.8" hidden="false" customHeight="false" outlineLevel="0" collapsed="false">
      <c r="A164" s="0"/>
    </row>
    <row r="165" customFormat="false" ht="12.8" hidden="false" customHeight="false" outlineLevel="0" collapsed="false">
      <c r="A165" s="0"/>
    </row>
    <row r="166" customFormat="false" ht="12.8" hidden="false" customHeight="false" outlineLevel="0" collapsed="false">
      <c r="A166" s="0"/>
    </row>
    <row r="167" customFormat="false" ht="12.8" hidden="false" customHeight="false" outlineLevel="0" collapsed="false">
      <c r="A167" s="0"/>
    </row>
    <row r="168" customFormat="false" ht="12.8" hidden="false" customHeight="false" outlineLevel="0" collapsed="false">
      <c r="A168" s="0"/>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3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4.xml><?xml version="1.0" encoding="utf-8"?>
<worksheet xmlns="http://schemas.openxmlformats.org/spreadsheetml/2006/main" xmlns:r="http://schemas.openxmlformats.org/officeDocument/2006/relationships">
  <sheetPr filterMode="false">
    <tabColor rgb="FF00A933"/>
    <pageSetUpPr fitToPage="false"/>
  </sheetPr>
  <dimension ref="A1:W45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358" activePane="bottomRight" state="frozen"/>
      <selection pane="topLeft" activeCell="A1" activeCellId="0" sqref="A1"/>
      <selection pane="topRight" activeCell="B1" activeCellId="0" sqref="B1"/>
      <selection pane="bottomLeft" activeCell="A358" activeCellId="0" sqref="A358"/>
      <selection pane="bottomRight" activeCell="B364" activeCellId="0" sqref="B364"/>
    </sheetView>
  </sheetViews>
  <sheetFormatPr defaultRowHeight="12.8" zeroHeight="false" outlineLevelRow="0" outlineLevelCol="0"/>
  <cols>
    <col collapsed="false" customWidth="true" hidden="false" outlineLevel="0" max="1" min="1" style="1" width="4.17"/>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4.81"/>
    <col collapsed="false" customWidth="true" hidden="false" outlineLevel="0" max="9" min="9" style="1" width="18.2"/>
    <col collapsed="false" customWidth="true" hidden="false" outlineLevel="0" max="10" min="10" style="1" width="16.98"/>
    <col collapsed="false" customWidth="true" hidden="false" outlineLevel="0" max="11" min="11" style="1" width="13.89"/>
    <col collapsed="false" customWidth="true" hidden="false" outlineLevel="0" max="12" min="12" style="1" width="16.98"/>
    <col collapsed="false" customWidth="true" hidden="false" outlineLevel="0" max="13" min="13" style="1" width="23.61"/>
    <col collapsed="false" customWidth="false" hidden="false" outlineLevel="0" max="14" min="14" style="1" width="11.52"/>
    <col collapsed="false" customWidth="true" hidden="false" outlineLevel="0" max="15" min="15" style="1" width="10.8"/>
    <col collapsed="false" customWidth="true" hidden="false" outlineLevel="0" max="16" min="16" style="1" width="4.32"/>
    <col collapsed="false" customWidth="false" hidden="false" outlineLevel="0" max="17" min="17" style="1" width="11.52"/>
    <col collapsed="false" customWidth="true" hidden="false" outlineLevel="0" max="18" min="18" style="1" width="15.28"/>
    <col collapsed="false" customWidth="true" hidden="false" outlineLevel="0" max="19" min="19" style="1" width="4.32"/>
    <col collapsed="false" customWidth="false" hidden="false" outlineLevel="0" max="1025" min="20" style="1" width="11.52"/>
  </cols>
  <sheetData>
    <row r="1" customFormat="false" ht="30.8" hidden="false" customHeight="true" outlineLevel="0" collapsed="false">
      <c r="B1" s="2" t="s">
        <v>0</v>
      </c>
      <c r="C1" s="2"/>
      <c r="D1" s="2"/>
      <c r="E1" s="2"/>
      <c r="F1" s="3" t="s">
        <v>1</v>
      </c>
      <c r="G1" s="3"/>
      <c r="H1" s="3"/>
      <c r="I1" s="3"/>
      <c r="J1" s="3"/>
      <c r="K1" s="3"/>
      <c r="L1" s="3"/>
      <c r="M1" s="3"/>
      <c r="N1" s="3"/>
      <c r="O1" s="3"/>
    </row>
    <row r="2" customFormat="false" ht="30.8" hidden="false" customHeight="true" outlineLevel="0" collapsed="false">
      <c r="B2" s="2"/>
      <c r="C2" s="2"/>
      <c r="D2" s="2"/>
      <c r="E2" s="2"/>
      <c r="F2" s="3" t="s">
        <v>2</v>
      </c>
      <c r="G2" s="3"/>
      <c r="H2" s="3"/>
      <c r="I2" s="3"/>
      <c r="J2" s="3" t="s">
        <v>3</v>
      </c>
      <c r="K2" s="3"/>
      <c r="L2" s="3"/>
      <c r="M2" s="3" t="s">
        <v>4</v>
      </c>
      <c r="N2" s="3"/>
      <c r="O2" s="3" t="s">
        <v>5</v>
      </c>
      <c r="Q2" s="4"/>
      <c r="R2" s="5" t="s">
        <v>6</v>
      </c>
      <c r="T2" s="6"/>
      <c r="U2" s="7" t="s">
        <v>7</v>
      </c>
      <c r="V2" s="9"/>
      <c r="W2" s="9"/>
    </row>
    <row r="3" customFormat="false" ht="37.45" hidden="false" customHeight="true" outlineLevel="0" collapsed="false">
      <c r="B3" s="10" t="s">
        <v>9</v>
      </c>
      <c r="C3" s="10" t="s">
        <v>10</v>
      </c>
      <c r="D3" s="10" t="s">
        <v>11</v>
      </c>
      <c r="E3" s="11" t="s">
        <v>12</v>
      </c>
      <c r="F3" s="10" t="s">
        <v>13</v>
      </c>
      <c r="G3" s="10" t="s">
        <v>14</v>
      </c>
      <c r="H3" s="10" t="s">
        <v>15</v>
      </c>
      <c r="I3" s="10" t="s">
        <v>16</v>
      </c>
      <c r="J3" s="10" t="s">
        <v>91</v>
      </c>
      <c r="K3" s="10"/>
      <c r="L3" s="10" t="s">
        <v>18</v>
      </c>
      <c r="M3" s="10" t="s">
        <v>19</v>
      </c>
      <c r="N3" s="10" t="s">
        <v>17</v>
      </c>
      <c r="O3" s="3"/>
      <c r="Q3" s="12"/>
      <c r="R3" s="5" t="s">
        <v>20</v>
      </c>
      <c r="T3" s="13"/>
      <c r="U3" s="7" t="s">
        <v>21</v>
      </c>
      <c r="V3" s="9"/>
      <c r="W3" s="9"/>
    </row>
    <row r="4" customFormat="false" ht="40.8" hidden="false" customHeight="true" outlineLevel="0" collapsed="false">
      <c r="B4" s="218" t="s">
        <v>202</v>
      </c>
      <c r="C4" s="219" t="n">
        <v>40304</v>
      </c>
      <c r="D4" s="218" t="s">
        <v>203</v>
      </c>
      <c r="E4" s="123" t="s">
        <v>204</v>
      </c>
      <c r="F4" s="15" t="n">
        <v>220</v>
      </c>
      <c r="G4" s="15" t="n">
        <v>220</v>
      </c>
      <c r="H4" s="15" t="n">
        <v>220</v>
      </c>
      <c r="I4" s="16"/>
      <c r="J4" s="15" t="n">
        <v>220</v>
      </c>
      <c r="K4" s="15"/>
      <c r="L4" s="16"/>
      <c r="M4" s="16"/>
      <c r="N4" s="16"/>
      <c r="O4" s="4"/>
      <c r="Q4" s="17"/>
      <c r="R4" s="16" t="s">
        <v>23</v>
      </c>
      <c r="T4" s="18"/>
      <c r="U4" s="19" t="s">
        <v>24</v>
      </c>
      <c r="V4" s="19"/>
      <c r="W4" s="19"/>
    </row>
    <row r="5" customFormat="false" ht="28.35" hidden="false" customHeight="true" outlineLevel="0" collapsed="false">
      <c r="F5" s="9"/>
      <c r="G5" s="9"/>
      <c r="H5" s="9"/>
      <c r="J5" s="9"/>
      <c r="K5" s="9"/>
      <c r="Q5" s="9"/>
      <c r="R5" s="9"/>
    </row>
    <row r="6" customFormat="false" ht="28.35" hidden="false" customHeight="true" outlineLevel="0" collapsed="false">
      <c r="B6" s="0"/>
      <c r="C6" s="10" t="s">
        <v>25</v>
      </c>
      <c r="D6" s="10"/>
      <c r="F6" s="20" t="s">
        <v>26</v>
      </c>
      <c r="G6" s="220" t="s">
        <v>205</v>
      </c>
      <c r="H6" s="220"/>
      <c r="I6" s="220"/>
      <c r="J6" s="220"/>
      <c r="K6" s="220"/>
      <c r="L6" s="220"/>
      <c r="M6" s="220"/>
      <c r="N6" s="220"/>
      <c r="O6" s="220"/>
      <c r="Q6" s="21" t="s">
        <v>206</v>
      </c>
      <c r="R6" s="19" t="s">
        <v>27</v>
      </c>
      <c r="S6" s="9"/>
      <c r="T6" s="22"/>
      <c r="U6" s="5" t="s">
        <v>28</v>
      </c>
    </row>
    <row r="7" customFormat="false" ht="44.15" hidden="false" customHeight="true" outlineLevel="0" collapsed="false">
      <c r="B7" s="0"/>
      <c r="C7" s="126" t="s">
        <v>207</v>
      </c>
      <c r="D7" s="126"/>
      <c r="F7" s="20"/>
      <c r="G7" s="20"/>
      <c r="H7" s="220"/>
      <c r="I7" s="220"/>
      <c r="J7" s="220"/>
      <c r="K7" s="220"/>
      <c r="L7" s="220"/>
      <c r="M7" s="220"/>
      <c r="N7" s="220"/>
      <c r="O7" s="220"/>
      <c r="Q7" s="24"/>
      <c r="R7" s="5" t="s">
        <v>29</v>
      </c>
      <c r="S7" s="9"/>
      <c r="T7" s="25"/>
      <c r="U7" s="5" t="s">
        <v>30</v>
      </c>
    </row>
    <row r="8" customFormat="false" ht="44.15" hidden="false" customHeight="true" outlineLevel="0" collapsed="false">
      <c r="A8" s="1" t="n">
        <f aca="false">_xlfn.SHEET()</f>
        <v>14</v>
      </c>
      <c r="F8" s="9"/>
      <c r="G8" s="9"/>
      <c r="H8" s="9"/>
      <c r="J8" s="9"/>
      <c r="K8" s="9"/>
      <c r="S8" s="9"/>
      <c r="T8" s="27"/>
      <c r="U8" s="16" t="s">
        <v>31</v>
      </c>
    </row>
    <row r="9" customFormat="false" ht="39.95" hidden="false" customHeight="true" outlineLevel="0" collapsed="false">
      <c r="A9" s="1" t="n">
        <f aca="false">_xlfn.SHEETS()</f>
        <v>79</v>
      </c>
      <c r="B9" s="9" t="s">
        <v>32</v>
      </c>
      <c r="C9" s="9" t="s">
        <v>51</v>
      </c>
      <c r="D9" s="29" t="s">
        <v>52</v>
      </c>
      <c r="E9" s="1" t="s">
        <v>35</v>
      </c>
      <c r="F9" s="9" t="s">
        <v>36</v>
      </c>
      <c r="G9" s="9" t="s">
        <v>37</v>
      </c>
      <c r="H9" s="9" t="s">
        <v>38</v>
      </c>
      <c r="I9" s="9" t="s">
        <v>39</v>
      </c>
      <c r="J9" s="30" t="s">
        <v>40</v>
      </c>
      <c r="K9" s="30"/>
    </row>
    <row r="10" customFormat="false" ht="23.4" hidden="false" customHeight="true" outlineLevel="0" collapsed="false">
      <c r="A10" s="1" t="n">
        <v>31</v>
      </c>
      <c r="B10" s="31" t="n">
        <v>32568</v>
      </c>
      <c r="C10" s="56" t="n">
        <v>116400</v>
      </c>
      <c r="D10" s="29" t="s">
        <v>42</v>
      </c>
      <c r="E10" s="33" t="n">
        <f aca="false">IF(D10="totale",(C10/(A10*24))/F10,IF(D10="marché libre",(C10/(A10*24))/G10,"spécifier histo"))</f>
        <v>0.711143695014663</v>
      </c>
      <c r="F10" s="59" t="n">
        <v>220</v>
      </c>
      <c r="G10" s="59" t="n">
        <f aca="false">F10-H10</f>
        <v>220</v>
      </c>
      <c r="H10" s="59" t="n">
        <v>0</v>
      </c>
      <c r="I10" s="9"/>
      <c r="J10" s="30"/>
      <c r="K10" s="30"/>
    </row>
    <row r="11" customFormat="false" ht="23.4" hidden="false" customHeight="true" outlineLevel="0" collapsed="false">
      <c r="A11" s="1" t="n">
        <v>30</v>
      </c>
      <c r="B11" s="34" t="n">
        <v>32599</v>
      </c>
      <c r="C11" s="56" t="n">
        <v>116400</v>
      </c>
      <c r="D11" s="29" t="s">
        <v>42</v>
      </c>
      <c r="E11" s="33" t="n">
        <f aca="false">IF(D11="totale",(C11/(A11*24))/F11,IF(D11="marché libre",(C11/(A11*24))/G11,"spécifier histo"))</f>
        <v>0.734848484848485</v>
      </c>
      <c r="F11" s="59" t="n">
        <v>220</v>
      </c>
      <c r="G11" s="59" t="n">
        <f aca="false">F11-H11</f>
        <v>220</v>
      </c>
      <c r="H11" s="59" t="n">
        <v>0</v>
      </c>
      <c r="I11" s="9"/>
      <c r="J11" s="30"/>
      <c r="K11" s="30"/>
    </row>
    <row r="12" customFormat="false" ht="23.4" hidden="false" customHeight="true" outlineLevel="0" collapsed="false">
      <c r="A12" s="1" t="n">
        <v>31</v>
      </c>
      <c r="B12" s="31" t="n">
        <v>32629</v>
      </c>
      <c r="C12" s="56" t="n">
        <v>116400</v>
      </c>
      <c r="D12" s="29" t="s">
        <v>42</v>
      </c>
      <c r="E12" s="33" t="n">
        <f aca="false">IF(D12="totale",(C12/(A12*24))/F12,IF(D12="marché libre",(C12/(A12*24))/G12,"spécifier histo"))</f>
        <v>0.711143695014663</v>
      </c>
      <c r="F12" s="59" t="n">
        <v>220</v>
      </c>
      <c r="G12" s="59" t="n">
        <f aca="false">F12-H12</f>
        <v>220</v>
      </c>
      <c r="H12" s="59" t="n">
        <v>0</v>
      </c>
      <c r="I12" s="9"/>
      <c r="J12" s="30"/>
      <c r="K12" s="30"/>
    </row>
    <row r="13" customFormat="false" ht="23.4" hidden="false" customHeight="true" outlineLevel="0" collapsed="false">
      <c r="A13" s="1" t="n">
        <v>31</v>
      </c>
      <c r="B13" s="34" t="n">
        <v>32660</v>
      </c>
      <c r="C13" s="56" t="n">
        <v>116400</v>
      </c>
      <c r="D13" s="29" t="s">
        <v>42</v>
      </c>
      <c r="E13" s="33" t="n">
        <f aca="false">IF(D13="totale",(C13/(A13*24))/F13,IF(D13="marché libre",(C13/(A13*24))/G13,"spécifier histo"))</f>
        <v>0.711143695014663</v>
      </c>
      <c r="F13" s="59" t="n">
        <v>220</v>
      </c>
      <c r="G13" s="59" t="n">
        <f aca="false">F13-H13</f>
        <v>220</v>
      </c>
      <c r="H13" s="59" t="n">
        <v>0</v>
      </c>
      <c r="I13" s="9"/>
      <c r="J13" s="30"/>
      <c r="K13" s="30"/>
    </row>
    <row r="14" customFormat="false" ht="23.4" hidden="false" customHeight="true" outlineLevel="0" collapsed="false">
      <c r="A14" s="1" t="n">
        <v>28</v>
      </c>
      <c r="B14" s="31" t="n">
        <v>32690</v>
      </c>
      <c r="C14" s="56" t="n">
        <v>59800</v>
      </c>
      <c r="D14" s="29" t="s">
        <v>42</v>
      </c>
      <c r="E14" s="33" t="n">
        <f aca="false">IF(D14="totale",(C14/(A14*24))/F14,IF(D14="marché libre",(C14/(A14*24))/G14,"spécifier histo"))</f>
        <v>0.404491341991342</v>
      </c>
      <c r="F14" s="59" t="n">
        <v>220</v>
      </c>
      <c r="G14" s="59" t="n">
        <f aca="false">F14-H14</f>
        <v>220</v>
      </c>
      <c r="H14" s="59" t="n">
        <v>0</v>
      </c>
      <c r="I14" s="9"/>
      <c r="J14" s="30"/>
      <c r="K14" s="30"/>
    </row>
    <row r="15" customFormat="false" ht="23.4" hidden="false" customHeight="true" outlineLevel="0" collapsed="false">
      <c r="A15" s="1" t="n">
        <v>31</v>
      </c>
      <c r="B15" s="34" t="n">
        <v>32721</v>
      </c>
      <c r="C15" s="56" t="n">
        <v>59800</v>
      </c>
      <c r="D15" s="29" t="s">
        <v>42</v>
      </c>
      <c r="E15" s="33" t="n">
        <f aca="false">IF(D15="totale",(C15/(A15*24))/F15,IF(D15="marché libre",(C15/(A15*24))/G15,"spécifier histo"))</f>
        <v>0.365347018572825</v>
      </c>
      <c r="F15" s="59" t="n">
        <v>220</v>
      </c>
      <c r="G15" s="59" t="n">
        <f aca="false">F15-H15</f>
        <v>220</v>
      </c>
      <c r="H15" s="59" t="n">
        <v>0</v>
      </c>
      <c r="I15" s="9"/>
      <c r="J15" s="30"/>
      <c r="K15" s="30"/>
    </row>
    <row r="16" customFormat="false" ht="23.4" hidden="false" customHeight="true" outlineLevel="0" collapsed="false">
      <c r="A16" s="1" t="n">
        <v>30</v>
      </c>
      <c r="B16" s="31" t="n">
        <v>32752</v>
      </c>
      <c r="C16" s="56" t="n">
        <v>45940</v>
      </c>
      <c r="D16" s="29" t="s">
        <v>42</v>
      </c>
      <c r="E16" s="33" t="n">
        <f aca="false">IF(D16="totale",(C16/(A16*24))/F16,IF(D16="marché libre",(C16/(A16*24))/G16,"spécifier histo"))</f>
        <v>0.290025252525252</v>
      </c>
      <c r="F16" s="59" t="n">
        <v>220</v>
      </c>
      <c r="G16" s="59" t="n">
        <f aca="false">F16-H16</f>
        <v>220</v>
      </c>
      <c r="H16" s="59" t="n">
        <v>0</v>
      </c>
      <c r="I16" s="9"/>
      <c r="J16" s="30"/>
      <c r="K16" s="30"/>
    </row>
    <row r="17" customFormat="false" ht="23.4" hidden="false" customHeight="true" outlineLevel="0" collapsed="false">
      <c r="A17" s="1" t="n">
        <v>31</v>
      </c>
      <c r="B17" s="34" t="n">
        <v>32782</v>
      </c>
      <c r="C17" s="26" t="n">
        <v>45940</v>
      </c>
      <c r="D17" s="29" t="s">
        <v>42</v>
      </c>
      <c r="E17" s="33" t="n">
        <f aca="false">IF(D17="totale",(C18/(A17*24))/F17,IF(D17="marché libre",(C18/(A17*24))/G17,"spécifier histo"))</f>
        <v>0.305229716520039</v>
      </c>
      <c r="F17" s="59" t="n">
        <v>220</v>
      </c>
      <c r="G17" s="59" t="n">
        <f aca="false">F17-H17</f>
        <v>220</v>
      </c>
      <c r="H17" s="59" t="n">
        <v>0</v>
      </c>
      <c r="I17" s="9"/>
      <c r="J17" s="30"/>
      <c r="K17" s="30"/>
    </row>
    <row r="18" customFormat="false" ht="23.4" hidden="false" customHeight="true" outlineLevel="0" collapsed="false">
      <c r="A18" s="1" t="n">
        <v>30</v>
      </c>
      <c r="B18" s="31" t="n">
        <v>32813</v>
      </c>
      <c r="C18" s="56" t="n">
        <v>49960</v>
      </c>
      <c r="D18" s="29" t="s">
        <v>42</v>
      </c>
      <c r="E18" s="33" t="n">
        <f aca="false">IF(D18="totale",(C19/(A18*24))/F18,IF(D18="marché libre",(C19/(A18*24))/G18,"spécifier histo"))</f>
        <v>0.326767676767677</v>
      </c>
      <c r="F18" s="59" t="n">
        <v>220</v>
      </c>
      <c r="G18" s="59" t="n">
        <f aca="false">F18-H18</f>
        <v>220</v>
      </c>
      <c r="H18" s="59" t="n">
        <v>0</v>
      </c>
      <c r="I18" s="9"/>
      <c r="J18" s="30"/>
      <c r="K18" s="30"/>
    </row>
    <row r="19" customFormat="false" ht="23.4" hidden="false" customHeight="true" outlineLevel="0" collapsed="false">
      <c r="A19" s="1" t="n">
        <v>31</v>
      </c>
      <c r="B19" s="34" t="n">
        <v>32843</v>
      </c>
      <c r="C19" s="56" t="n">
        <v>51760</v>
      </c>
      <c r="D19" s="29" t="s">
        <v>42</v>
      </c>
      <c r="E19" s="33" t="n">
        <f aca="false">IF(D19="totale",(C19/(A19*24))/F19,IF(D19="marché libre",(C19/(A19*24))/G19,"spécifier histo"))</f>
        <v>0.316226783968719</v>
      </c>
      <c r="F19" s="59" t="n">
        <v>220</v>
      </c>
      <c r="G19" s="59" t="n">
        <f aca="false">F19-H19</f>
        <v>220</v>
      </c>
      <c r="H19" s="59" t="n">
        <v>0</v>
      </c>
      <c r="I19" s="9"/>
      <c r="J19" s="30"/>
      <c r="K19" s="30"/>
    </row>
    <row r="20" customFormat="false" ht="23.4" hidden="false" customHeight="true" outlineLevel="0" collapsed="false">
      <c r="A20" s="1" t="n">
        <v>31</v>
      </c>
      <c r="B20" s="31" t="n">
        <v>32874</v>
      </c>
      <c r="C20" s="56" t="n">
        <v>41200</v>
      </c>
      <c r="D20" s="29" t="s">
        <v>42</v>
      </c>
      <c r="E20" s="33" t="n">
        <f aca="false">IF(D20="totale",(C20/(A20*24))/F20,IF(D20="marché libre",(C20/(A20*24))/G20,"spécifier histo"))</f>
        <v>0.251710654936461</v>
      </c>
      <c r="F20" s="59" t="n">
        <v>220</v>
      </c>
      <c r="G20" s="59" t="n">
        <f aca="false">F20-H20</f>
        <v>220</v>
      </c>
      <c r="H20" s="59" t="n">
        <v>0</v>
      </c>
      <c r="I20" s="9"/>
      <c r="J20" s="30"/>
      <c r="K20" s="30"/>
    </row>
    <row r="21" customFormat="false" ht="23.4" hidden="false" customHeight="true" outlineLevel="0" collapsed="false">
      <c r="A21" s="1" t="n">
        <v>30</v>
      </c>
      <c r="B21" s="34" t="n">
        <v>32905</v>
      </c>
      <c r="C21" s="56" t="n">
        <v>107600</v>
      </c>
      <c r="D21" s="29" t="s">
        <v>42</v>
      </c>
      <c r="E21" s="33" t="n">
        <f aca="false">IF(D21="totale",(C21/(A21*24))/F21,IF(D21="marché libre",(C21/(A21*24))/G21,"spécifier histo"))</f>
        <v>0.679292929292929</v>
      </c>
      <c r="F21" s="59" t="n">
        <v>220</v>
      </c>
      <c r="G21" s="59" t="n">
        <f aca="false">F21-H21</f>
        <v>220</v>
      </c>
      <c r="H21" s="59" t="n">
        <v>0</v>
      </c>
      <c r="I21" s="9"/>
      <c r="J21" s="30"/>
      <c r="K21" s="30"/>
    </row>
    <row r="22" customFormat="false" ht="23.4" hidden="false" customHeight="true" outlineLevel="0" collapsed="false">
      <c r="A22" s="1" t="n">
        <v>31</v>
      </c>
      <c r="B22" s="31" t="n">
        <v>32933</v>
      </c>
      <c r="C22" s="56" t="n">
        <v>135520</v>
      </c>
      <c r="D22" s="29" t="s">
        <v>42</v>
      </c>
      <c r="E22" s="33" t="n">
        <f aca="false">IF(D22="totale",(C22/(A22*24))/F22,IF(D22="marché libre",(C22/(A22*24))/G22,"spécifier histo"))</f>
        <v>0.827956989247312</v>
      </c>
      <c r="F22" s="59" t="n">
        <v>220</v>
      </c>
      <c r="G22" s="59" t="n">
        <f aca="false">F22-H22</f>
        <v>220</v>
      </c>
      <c r="H22" s="59" t="n">
        <v>0</v>
      </c>
      <c r="I22" s="9"/>
      <c r="J22" s="30"/>
      <c r="K22" s="30"/>
    </row>
    <row r="23" customFormat="false" ht="23.4" hidden="false" customHeight="true" outlineLevel="0" collapsed="false">
      <c r="A23" s="1" t="n">
        <v>30</v>
      </c>
      <c r="B23" s="34" t="n">
        <v>32964</v>
      </c>
      <c r="C23" s="56" t="n">
        <v>146520</v>
      </c>
      <c r="D23" s="29" t="s">
        <v>42</v>
      </c>
      <c r="E23" s="33" t="n">
        <f aca="false">IF(D23="totale",(C23/(A23*24))/F23,IF(D23="marché libre",(C23/(A23*24))/G23,"spécifier histo"))</f>
        <v>0.925</v>
      </c>
      <c r="F23" s="59" t="n">
        <v>220</v>
      </c>
      <c r="G23" s="59" t="n">
        <f aca="false">F23-H23</f>
        <v>220</v>
      </c>
      <c r="H23" s="59" t="n">
        <v>0</v>
      </c>
      <c r="I23" s="9"/>
      <c r="J23" s="30"/>
      <c r="K23" s="30"/>
    </row>
    <row r="24" customFormat="false" ht="23.4" hidden="false" customHeight="true" outlineLevel="0" collapsed="false">
      <c r="A24" s="1" t="n">
        <v>31</v>
      </c>
      <c r="B24" s="31" t="n">
        <v>32994</v>
      </c>
      <c r="C24" s="56" t="n">
        <v>82200</v>
      </c>
      <c r="D24" s="29" t="s">
        <v>42</v>
      </c>
      <c r="E24" s="33" t="n">
        <f aca="false">IF(D24="totale",(C24/(A24*24))/F24,IF(D24="marché libre",(C24/(A24*24))/G24,"spécifier histo"))</f>
        <v>0.502199413489736</v>
      </c>
      <c r="F24" s="59" t="n">
        <v>220</v>
      </c>
      <c r="G24" s="59" t="n">
        <f aca="false">F24-H24</f>
        <v>220</v>
      </c>
      <c r="H24" s="59" t="n">
        <v>0</v>
      </c>
      <c r="I24" s="9"/>
      <c r="J24" s="30"/>
      <c r="K24" s="30"/>
    </row>
    <row r="25" customFormat="false" ht="23.4" hidden="false" customHeight="true" outlineLevel="0" collapsed="false">
      <c r="A25" s="1" t="n">
        <v>31</v>
      </c>
      <c r="B25" s="34" t="n">
        <v>33025</v>
      </c>
      <c r="C25" s="56" t="n">
        <v>73840</v>
      </c>
      <c r="D25" s="29" t="s">
        <v>42</v>
      </c>
      <c r="E25" s="33" t="n">
        <f aca="false">IF(D25="totale",(C25/(A25*24))/F25,IF(D25="marché libre",(C25/(A25*24))/G25,"spécifier histo"))</f>
        <v>0.451124144672532</v>
      </c>
      <c r="F25" s="59" t="n">
        <v>220</v>
      </c>
      <c r="G25" s="59" t="n">
        <f aca="false">F25-H25</f>
        <v>220</v>
      </c>
      <c r="H25" s="59" t="n">
        <v>0</v>
      </c>
      <c r="I25" s="9"/>
      <c r="J25" s="30"/>
      <c r="K25" s="30"/>
    </row>
    <row r="26" customFormat="false" ht="23.4" hidden="false" customHeight="true" outlineLevel="0" collapsed="false">
      <c r="A26" s="1" t="n">
        <v>28</v>
      </c>
      <c r="B26" s="31" t="n">
        <v>33055</v>
      </c>
      <c r="C26" s="56" t="n">
        <v>65240</v>
      </c>
      <c r="D26" s="29" t="s">
        <v>42</v>
      </c>
      <c r="E26" s="33" t="n">
        <f aca="false">IF(D26="totale",(C26/(A26*24))/F26,IF(D26="marché libre",(C26/(A26*24))/G26,"spécifier histo"))</f>
        <v>0.441287878787879</v>
      </c>
      <c r="F26" s="59" t="n">
        <v>220</v>
      </c>
      <c r="G26" s="59" t="n">
        <f aca="false">F26-H26</f>
        <v>220</v>
      </c>
      <c r="H26" s="59" t="n">
        <v>0</v>
      </c>
      <c r="I26" s="9"/>
      <c r="J26" s="30"/>
      <c r="K26" s="30"/>
    </row>
    <row r="27" customFormat="false" ht="23.4" hidden="false" customHeight="true" outlineLevel="0" collapsed="false">
      <c r="A27" s="1" t="n">
        <v>31</v>
      </c>
      <c r="B27" s="34" t="n">
        <v>33086</v>
      </c>
      <c r="C27" s="56" t="n">
        <v>65240</v>
      </c>
      <c r="D27" s="29" t="s">
        <v>42</v>
      </c>
      <c r="E27" s="33" t="n">
        <f aca="false">IF(D27="totale",(C27/(A27*24))/F27,IF(D27="marché libre",(C27/(A27*24))/G27,"spécifier histo"))</f>
        <v>0.398582600195503</v>
      </c>
      <c r="F27" s="59" t="n">
        <v>220</v>
      </c>
      <c r="G27" s="59" t="n">
        <f aca="false">F27-H27</f>
        <v>220</v>
      </c>
      <c r="H27" s="59" t="n">
        <v>0</v>
      </c>
      <c r="I27" s="9"/>
      <c r="J27" s="30"/>
      <c r="K27" s="30"/>
    </row>
    <row r="28" customFormat="false" ht="23.4" hidden="false" customHeight="true" outlineLevel="0" collapsed="false">
      <c r="A28" s="1" t="n">
        <v>30</v>
      </c>
      <c r="B28" s="31" t="n">
        <v>33117</v>
      </c>
      <c r="C28" s="56" t="n">
        <v>41560</v>
      </c>
      <c r="D28" s="29" t="s">
        <v>42</v>
      </c>
      <c r="E28" s="33" t="n">
        <f aca="false">IF(D28="totale",(C28/(A28*24))/F28,IF(D28="marché libre",(C28/(A28*24))/G28,"spécifier histo"))</f>
        <v>0.262373737373737</v>
      </c>
      <c r="F28" s="59" t="n">
        <v>220</v>
      </c>
      <c r="G28" s="59" t="n">
        <f aca="false">F28-H28</f>
        <v>220</v>
      </c>
      <c r="H28" s="59" t="n">
        <v>0</v>
      </c>
      <c r="I28" s="9"/>
      <c r="J28" s="30"/>
      <c r="K28" s="30"/>
    </row>
    <row r="29" customFormat="false" ht="23.4" hidden="false" customHeight="true" outlineLevel="0" collapsed="false">
      <c r="A29" s="1" t="n">
        <v>31</v>
      </c>
      <c r="B29" s="34" t="n">
        <v>33147</v>
      </c>
      <c r="C29" s="56" t="n">
        <v>58560</v>
      </c>
      <c r="D29" s="29" t="s">
        <v>42</v>
      </c>
      <c r="E29" s="33" t="n">
        <f aca="false">IF(D29="totale",(C29/(A29*24))/F29,IF(D29="marché libre",(C29/(A29*24))/G29,"spécifier histo"))</f>
        <v>0.357771260997067</v>
      </c>
      <c r="F29" s="59" t="n">
        <v>220</v>
      </c>
      <c r="G29" s="59" t="n">
        <f aca="false">F29-H29</f>
        <v>220</v>
      </c>
      <c r="H29" s="59" t="n">
        <v>0</v>
      </c>
      <c r="I29" s="9"/>
      <c r="J29" s="30"/>
      <c r="K29" s="30"/>
    </row>
    <row r="30" customFormat="false" ht="23.4" hidden="false" customHeight="true" outlineLevel="0" collapsed="false">
      <c r="A30" s="1" t="n">
        <v>30</v>
      </c>
      <c r="B30" s="31" t="n">
        <v>33178</v>
      </c>
      <c r="C30" s="56" t="n">
        <v>146480</v>
      </c>
      <c r="D30" s="29" t="s">
        <v>42</v>
      </c>
      <c r="E30" s="33" t="n">
        <f aca="false">IF(D30="totale",(C30/(A30*24))/F30,IF(D30="marché libre",(C30/(A30*24))/G30,"spécifier histo"))</f>
        <v>0.924747474747475</v>
      </c>
      <c r="F30" s="59" t="n">
        <v>220</v>
      </c>
      <c r="G30" s="59" t="n">
        <f aca="false">F30-H30</f>
        <v>220</v>
      </c>
      <c r="H30" s="59" t="n">
        <v>0</v>
      </c>
      <c r="I30" s="9"/>
      <c r="J30" s="30"/>
      <c r="K30" s="30"/>
    </row>
    <row r="31" customFormat="false" ht="23.4" hidden="false" customHeight="true" outlineLevel="0" collapsed="false">
      <c r="A31" s="1" t="n">
        <v>31</v>
      </c>
      <c r="B31" s="34" t="n">
        <v>33208</v>
      </c>
      <c r="C31" s="56" t="n">
        <v>127160</v>
      </c>
      <c r="D31" s="29" t="s">
        <v>42</v>
      </c>
      <c r="E31" s="33" t="n">
        <f aca="false">IF(D31="totale",(C31/(A31*24))/F31,IF(D31="marché libre",(C31/(A31*24))/G31,"spécifier histo"))</f>
        <v>0.776881720430108</v>
      </c>
      <c r="F31" s="59" t="n">
        <v>220</v>
      </c>
      <c r="G31" s="59" t="n">
        <f aca="false">F31-H31</f>
        <v>220</v>
      </c>
      <c r="H31" s="59" t="n">
        <v>0</v>
      </c>
      <c r="I31" s="9"/>
      <c r="J31" s="30"/>
      <c r="K31" s="30"/>
    </row>
    <row r="32" customFormat="false" ht="23.4" hidden="false" customHeight="true" outlineLevel="0" collapsed="false">
      <c r="A32" s="1" t="n">
        <v>31</v>
      </c>
      <c r="B32" s="31" t="n">
        <v>33239</v>
      </c>
      <c r="C32" s="56" t="n">
        <v>144640</v>
      </c>
      <c r="D32" s="29" t="s">
        <v>42</v>
      </c>
      <c r="E32" s="33" t="n">
        <f aca="false">IF(D32="totale",(C32/(A32*24))/F32,IF(D32="marché libre",(C32/(A32*24))/G32,"spécifier histo"))</f>
        <v>0.883675464320626</v>
      </c>
      <c r="F32" s="59" t="n">
        <v>220</v>
      </c>
      <c r="G32" s="59" t="n">
        <f aca="false">F32-H32</f>
        <v>220</v>
      </c>
      <c r="H32" s="59" t="n">
        <v>0</v>
      </c>
      <c r="I32" s="9"/>
      <c r="J32" s="30"/>
      <c r="K32" s="30"/>
    </row>
    <row r="33" customFormat="false" ht="23.4" hidden="false" customHeight="true" outlineLevel="0" collapsed="false">
      <c r="A33" s="1" t="n">
        <v>30</v>
      </c>
      <c r="B33" s="34" t="n">
        <v>33270</v>
      </c>
      <c r="C33" s="56" t="n">
        <v>96000</v>
      </c>
      <c r="D33" s="29" t="s">
        <v>42</v>
      </c>
      <c r="E33" s="33" t="n">
        <f aca="false">IF(D33="totale",(C33/(A33*24))/F33,IF(D33="marché libre",(C33/(A33*24))/G33,"spécifier histo"))</f>
        <v>0.606060606060606</v>
      </c>
      <c r="F33" s="59" t="n">
        <v>220</v>
      </c>
      <c r="G33" s="59" t="n">
        <f aca="false">F33-H33</f>
        <v>220</v>
      </c>
      <c r="H33" s="59" t="n">
        <v>0</v>
      </c>
      <c r="I33" s="9"/>
      <c r="J33" s="30"/>
      <c r="K33" s="30"/>
    </row>
    <row r="34" customFormat="false" ht="23.4" hidden="false" customHeight="true" outlineLevel="0" collapsed="false">
      <c r="A34" s="1" t="n">
        <v>31</v>
      </c>
      <c r="B34" s="31" t="n">
        <v>33298</v>
      </c>
      <c r="C34" s="56" t="n">
        <v>145360</v>
      </c>
      <c r="D34" s="29" t="s">
        <v>42</v>
      </c>
      <c r="E34" s="33" t="n">
        <f aca="false">IF(D34="totale",(C34/(A34*24))/F34,IF(D34="marché libre",(C34/(A34*24))/G34,"spécifier histo"))</f>
        <v>0.888074291300098</v>
      </c>
      <c r="F34" s="59" t="n">
        <v>220</v>
      </c>
      <c r="G34" s="59" t="n">
        <f aca="false">F34-H34</f>
        <v>220</v>
      </c>
      <c r="H34" s="59" t="n">
        <v>0</v>
      </c>
      <c r="I34" s="9"/>
      <c r="J34" s="30"/>
      <c r="K34" s="30"/>
    </row>
    <row r="35" customFormat="false" ht="23.4" hidden="false" customHeight="true" outlineLevel="0" collapsed="false">
      <c r="A35" s="1" t="n">
        <v>30</v>
      </c>
      <c r="B35" s="34" t="n">
        <v>33329</v>
      </c>
      <c r="C35" s="56" t="n">
        <v>128000</v>
      </c>
      <c r="D35" s="29" t="s">
        <v>42</v>
      </c>
      <c r="E35" s="33" t="n">
        <f aca="false">IF(D35="totale",(C35/(A35*24))/F35,IF(D35="marché libre",(C35/(A35*24))/G35,"spécifier histo"))</f>
        <v>0.808080808080808</v>
      </c>
      <c r="F35" s="59" t="n">
        <v>220</v>
      </c>
      <c r="G35" s="59" t="n">
        <f aca="false">F35-H35</f>
        <v>220</v>
      </c>
      <c r="H35" s="59" t="n">
        <v>0</v>
      </c>
      <c r="I35" s="9"/>
      <c r="J35" s="30"/>
      <c r="K35" s="30"/>
    </row>
    <row r="36" customFormat="false" ht="23.4" hidden="false" customHeight="true" outlineLevel="0" collapsed="false">
      <c r="A36" s="1" t="n">
        <v>31</v>
      </c>
      <c r="B36" s="31" t="n">
        <v>33359</v>
      </c>
      <c r="C36" s="56" t="n">
        <v>101360</v>
      </c>
      <c r="D36" s="29" t="s">
        <v>42</v>
      </c>
      <c r="E36" s="33" t="n">
        <f aca="false">IF(D36="totale",(C36/(A36*24))/F36,IF(D36="marché libre",(C36/(A36*24))/G36,"spécifier histo"))</f>
        <v>0.619257086999022</v>
      </c>
      <c r="F36" s="59" t="n">
        <v>220</v>
      </c>
      <c r="G36" s="59" t="n">
        <f aca="false">F36-H36</f>
        <v>220</v>
      </c>
      <c r="H36" s="59" t="n">
        <v>0</v>
      </c>
      <c r="I36" s="9"/>
      <c r="J36" s="30"/>
      <c r="K36" s="30"/>
    </row>
    <row r="37" customFormat="false" ht="23.4" hidden="false" customHeight="true" outlineLevel="0" collapsed="false">
      <c r="A37" s="1" t="n">
        <v>31</v>
      </c>
      <c r="B37" s="34" t="n">
        <v>33390</v>
      </c>
      <c r="C37" s="56" t="n">
        <v>96800</v>
      </c>
      <c r="D37" s="29" t="s">
        <v>42</v>
      </c>
      <c r="E37" s="33" t="n">
        <f aca="false">IF(D37="totale",(C37/(A37*24))/F37,IF(D37="marché libre",(C37/(A37*24))/G37,"spécifier histo"))</f>
        <v>0.591397849462366</v>
      </c>
      <c r="F37" s="59" t="n">
        <v>220</v>
      </c>
      <c r="G37" s="59" t="n">
        <f aca="false">F37-H37</f>
        <v>220</v>
      </c>
      <c r="H37" s="59" t="n">
        <v>0</v>
      </c>
      <c r="I37" s="9"/>
      <c r="J37" s="30"/>
      <c r="K37" s="30"/>
    </row>
    <row r="38" customFormat="false" ht="23.4" hidden="false" customHeight="true" outlineLevel="0" collapsed="false">
      <c r="A38" s="1" t="n">
        <v>28</v>
      </c>
      <c r="B38" s="31" t="n">
        <v>33420</v>
      </c>
      <c r="C38" s="56" t="n">
        <v>79800</v>
      </c>
      <c r="D38" s="29" t="s">
        <v>42</v>
      </c>
      <c r="E38" s="33" t="n">
        <f aca="false">IF(D38="totale",(C38/(A38*24))/F38,IF(D38="marché libre",(C38/(A38*24))/G38,"spécifier histo"))</f>
        <v>0.539772727272727</v>
      </c>
      <c r="F38" s="59" t="n">
        <v>220</v>
      </c>
      <c r="G38" s="59" t="n">
        <f aca="false">F38-H38</f>
        <v>220</v>
      </c>
      <c r="H38" s="59" t="n">
        <v>0</v>
      </c>
      <c r="I38" s="9"/>
      <c r="J38" s="30"/>
      <c r="K38" s="30"/>
    </row>
    <row r="39" customFormat="false" ht="23.4" hidden="false" customHeight="true" outlineLevel="0" collapsed="false">
      <c r="A39" s="1" t="n">
        <v>31</v>
      </c>
      <c r="B39" s="34" t="n">
        <v>33451</v>
      </c>
      <c r="C39" s="56" t="n">
        <v>54340</v>
      </c>
      <c r="D39" s="29" t="s">
        <v>42</v>
      </c>
      <c r="E39" s="33" t="n">
        <f aca="false">IF(D39="totale",(C39/(A39*24))/F39,IF(D39="marché libre",(C39/(A39*24))/G39,"spécifier histo"))</f>
        <v>0.331989247311828</v>
      </c>
      <c r="F39" s="59" t="n">
        <v>220</v>
      </c>
      <c r="G39" s="59" t="n">
        <f aca="false">F39-H39</f>
        <v>220</v>
      </c>
      <c r="H39" s="59" t="n">
        <v>0</v>
      </c>
      <c r="I39" s="9"/>
      <c r="J39" s="30"/>
      <c r="K39" s="30"/>
    </row>
    <row r="40" customFormat="false" ht="23.4" hidden="false" customHeight="true" outlineLevel="0" collapsed="false">
      <c r="A40" s="1" t="n">
        <v>30</v>
      </c>
      <c r="B40" s="31" t="n">
        <v>33482</v>
      </c>
      <c r="C40" s="56" t="n">
        <v>54340</v>
      </c>
      <c r="D40" s="29" t="s">
        <v>42</v>
      </c>
      <c r="E40" s="33" t="n">
        <f aca="false">IF(D40="totale",(C40/(A40*24))/F40,IF(D40="marché libre",(C40/(A40*24))/G40,"spécifier histo"))</f>
        <v>0.343055555555556</v>
      </c>
      <c r="F40" s="59" t="n">
        <v>220</v>
      </c>
      <c r="G40" s="59" t="n">
        <f aca="false">F40-H40</f>
        <v>220</v>
      </c>
      <c r="H40" s="59" t="n">
        <v>0</v>
      </c>
      <c r="I40" s="9"/>
      <c r="J40" s="30"/>
      <c r="K40" s="30"/>
    </row>
    <row r="41" customFormat="false" ht="23.4" hidden="false" customHeight="true" outlineLevel="0" collapsed="false">
      <c r="A41" s="1" t="n">
        <v>31</v>
      </c>
      <c r="B41" s="34" t="n">
        <v>33512</v>
      </c>
      <c r="C41" s="56" t="n">
        <v>77320</v>
      </c>
      <c r="D41" s="29" t="s">
        <v>42</v>
      </c>
      <c r="E41" s="33" t="n">
        <f aca="false">IF(D41="totale",(C41/(A41*24))/F41,IF(D41="marché libre",(C41/(A41*24))/G41,"spécifier histo"))</f>
        <v>0.47238514173998</v>
      </c>
      <c r="F41" s="59" t="n">
        <v>220</v>
      </c>
      <c r="G41" s="59" t="n">
        <f aca="false">F41-H41</f>
        <v>220</v>
      </c>
      <c r="H41" s="59" t="n">
        <v>0</v>
      </c>
      <c r="I41" s="9"/>
      <c r="J41" s="30"/>
      <c r="K41" s="30"/>
    </row>
    <row r="42" customFormat="false" ht="23.4" hidden="false" customHeight="true" outlineLevel="0" collapsed="false">
      <c r="A42" s="1" t="n">
        <v>30</v>
      </c>
      <c r="B42" s="31" t="n">
        <v>33543</v>
      </c>
      <c r="C42" s="56" t="n">
        <v>137840</v>
      </c>
      <c r="D42" s="29" t="s">
        <v>42</v>
      </c>
      <c r="E42" s="33" t="n">
        <f aca="false">IF(D42="totale",(C42/(A42*24))/F42,IF(D42="marché libre",(C42/(A42*24))/G42,"spécifier histo"))</f>
        <v>0.87020202020202</v>
      </c>
      <c r="F42" s="59" t="n">
        <v>220</v>
      </c>
      <c r="G42" s="59" t="n">
        <f aca="false">F42-H42</f>
        <v>220</v>
      </c>
      <c r="H42" s="59" t="n">
        <v>0</v>
      </c>
      <c r="I42" s="9"/>
      <c r="J42" s="30"/>
      <c r="K42" s="30"/>
    </row>
    <row r="43" customFormat="false" ht="23.4" hidden="false" customHeight="true" outlineLevel="0" collapsed="false">
      <c r="A43" s="1" t="n">
        <v>31</v>
      </c>
      <c r="B43" s="34" t="n">
        <v>33573</v>
      </c>
      <c r="C43" s="56" t="n">
        <v>102400</v>
      </c>
      <c r="D43" s="29" t="s">
        <v>42</v>
      </c>
      <c r="E43" s="33" t="n">
        <f aca="false">IF(D43="totale",(C43/(A43*24))/F43,IF(D43="marché libre",(C43/(A43*24))/G43,"spécifier histo"))</f>
        <v>0.625610948191593</v>
      </c>
      <c r="F43" s="59" t="n">
        <v>220</v>
      </c>
      <c r="G43" s="59" t="n">
        <f aca="false">F43-H43</f>
        <v>220</v>
      </c>
      <c r="H43" s="59" t="n">
        <v>0</v>
      </c>
      <c r="I43" s="9"/>
      <c r="J43" s="30"/>
      <c r="K43" s="30"/>
    </row>
    <row r="44" customFormat="false" ht="23.4" hidden="false" customHeight="true" outlineLevel="0" collapsed="false">
      <c r="A44" s="1" t="n">
        <v>31</v>
      </c>
      <c r="B44" s="31" t="n">
        <v>33604</v>
      </c>
      <c r="C44" s="56" t="n">
        <v>130400</v>
      </c>
      <c r="D44" s="29" t="s">
        <v>42</v>
      </c>
      <c r="E44" s="33" t="n">
        <f aca="false">IF(D44="totale",(C44/(A44*24))/F44,IF(D44="marché libre",(C44/(A44*24))/G44,"spécifier histo"))</f>
        <v>0.796676441837732</v>
      </c>
      <c r="F44" s="59" t="n">
        <v>220</v>
      </c>
      <c r="G44" s="59" t="n">
        <f aca="false">F44-H44</f>
        <v>220</v>
      </c>
      <c r="H44" s="59" t="n">
        <v>0</v>
      </c>
      <c r="I44" s="9"/>
      <c r="J44" s="30"/>
      <c r="K44" s="30"/>
    </row>
    <row r="45" customFormat="false" ht="23.4" hidden="false" customHeight="true" outlineLevel="0" collapsed="false">
      <c r="A45" s="1" t="n">
        <v>30</v>
      </c>
      <c r="B45" s="34" t="n">
        <v>33635</v>
      </c>
      <c r="C45" s="56" t="n">
        <v>121600</v>
      </c>
      <c r="D45" s="29" t="s">
        <v>42</v>
      </c>
      <c r="E45" s="33" t="n">
        <f aca="false">IF(D45="totale",(C45/(A45*24))/F45,IF(D45="marché libre",(C45/(A45*24))/G45,"spécifier histo"))</f>
        <v>0.767676767676768</v>
      </c>
      <c r="F45" s="59" t="n">
        <v>220</v>
      </c>
      <c r="G45" s="59" t="n">
        <f aca="false">F45-H45</f>
        <v>220</v>
      </c>
      <c r="H45" s="59" t="n">
        <v>0</v>
      </c>
      <c r="I45" s="9"/>
      <c r="J45" s="30"/>
      <c r="K45" s="30"/>
    </row>
    <row r="46" customFormat="false" ht="23.4" hidden="false" customHeight="true" outlineLevel="0" collapsed="false">
      <c r="A46" s="1" t="n">
        <v>31</v>
      </c>
      <c r="B46" s="31" t="n">
        <v>33664</v>
      </c>
      <c r="C46" s="56" t="n">
        <v>137040</v>
      </c>
      <c r="D46" s="29" t="s">
        <v>42</v>
      </c>
      <c r="E46" s="33" t="n">
        <f aca="false">IF(D46="totale",(C46/(A46*24))/F46,IF(D46="marché libre",(C46/(A46*24))/G46,"spécifier histo"))</f>
        <v>0.837243401759531</v>
      </c>
      <c r="F46" s="59" t="n">
        <v>220</v>
      </c>
      <c r="G46" s="59" t="n">
        <f aca="false">F46-H46</f>
        <v>220</v>
      </c>
      <c r="H46" s="59" t="n">
        <v>0</v>
      </c>
      <c r="I46" s="9"/>
      <c r="J46" s="30"/>
      <c r="K46" s="30"/>
    </row>
    <row r="47" customFormat="false" ht="23.4" hidden="false" customHeight="true" outlineLevel="0" collapsed="false">
      <c r="A47" s="1" t="n">
        <v>30</v>
      </c>
      <c r="B47" s="34" t="n">
        <v>33695</v>
      </c>
      <c r="C47" s="56" t="n">
        <v>151600</v>
      </c>
      <c r="D47" s="29" t="s">
        <v>42</v>
      </c>
      <c r="E47" s="33" t="n">
        <f aca="false">IF(D47="totale",(C47/(A47*24))/F47,IF(D47="marché libre",(C47/(A47*24))/G47,"spécifier histo"))</f>
        <v>0.957070707070707</v>
      </c>
      <c r="F47" s="59" t="n">
        <v>220</v>
      </c>
      <c r="G47" s="59" t="n">
        <f aca="false">F47-H47</f>
        <v>220</v>
      </c>
      <c r="H47" s="59" t="n">
        <v>0</v>
      </c>
      <c r="I47" s="9"/>
      <c r="J47" s="30"/>
      <c r="K47" s="30"/>
    </row>
    <row r="48" customFormat="false" ht="23.4" hidden="false" customHeight="true" outlineLevel="0" collapsed="false">
      <c r="A48" s="1" t="n">
        <v>31</v>
      </c>
      <c r="B48" s="31" t="n">
        <v>33725</v>
      </c>
      <c r="C48" s="56" t="n">
        <v>127880</v>
      </c>
      <c r="D48" s="29" t="s">
        <v>42</v>
      </c>
      <c r="E48" s="33" t="n">
        <f aca="false">IF(D48="totale",(C48/(A48*24))/F48,IF(D48="marché libre",(C48/(A48*24))/G48,"spécifier histo"))</f>
        <v>0.78128054740958</v>
      </c>
      <c r="F48" s="59" t="n">
        <v>220</v>
      </c>
      <c r="G48" s="59" t="n">
        <f aca="false">F48-H48</f>
        <v>220</v>
      </c>
      <c r="H48" s="59" t="n">
        <v>0</v>
      </c>
      <c r="I48" s="9"/>
      <c r="J48" s="30"/>
      <c r="K48" s="30"/>
    </row>
    <row r="49" customFormat="false" ht="23.4" hidden="false" customHeight="true" outlineLevel="0" collapsed="false">
      <c r="A49" s="1" t="n">
        <v>31</v>
      </c>
      <c r="B49" s="34" t="n">
        <v>33756</v>
      </c>
      <c r="C49" s="56" t="n">
        <v>144160</v>
      </c>
      <c r="D49" s="29" t="s">
        <v>42</v>
      </c>
      <c r="E49" s="33" t="n">
        <f aca="false">IF(D49="totale",(C49/(A49*24))/F49,IF(D49="marché libre",(C49/(A49*24))/G49,"spécifier histo"))</f>
        <v>0.880742913000977</v>
      </c>
      <c r="F49" s="59" t="n">
        <v>220</v>
      </c>
      <c r="G49" s="59" t="n">
        <f aca="false">F49-H49</f>
        <v>220</v>
      </c>
      <c r="H49" s="59" t="n">
        <v>0</v>
      </c>
      <c r="I49" s="9"/>
      <c r="J49" s="30"/>
      <c r="K49" s="30"/>
    </row>
    <row r="50" customFormat="false" ht="23.4" hidden="false" customHeight="true" outlineLevel="0" collapsed="false">
      <c r="A50" s="0" t="n">
        <v>28</v>
      </c>
      <c r="B50" s="31" t="n">
        <v>33786</v>
      </c>
      <c r="C50" s="56" t="n">
        <v>125760</v>
      </c>
      <c r="D50" s="29" t="s">
        <v>42</v>
      </c>
      <c r="E50" s="33" t="n">
        <f aca="false">IF(D50="totale",(C50/(A50*24))/F50,IF(D50="marché libre",(C50/(A50*24))/G50,"spécifier histo"))</f>
        <v>0.850649350649351</v>
      </c>
      <c r="F50" s="59" t="n">
        <v>220</v>
      </c>
      <c r="G50" s="59" t="n">
        <f aca="false">F50-H50</f>
        <v>220</v>
      </c>
      <c r="H50" s="59" t="n">
        <v>0</v>
      </c>
      <c r="I50" s="9"/>
      <c r="J50" s="30"/>
      <c r="K50" s="30"/>
    </row>
    <row r="51" customFormat="false" ht="23.4" hidden="false" customHeight="true" outlineLevel="0" collapsed="false">
      <c r="A51" s="0" t="n">
        <v>31</v>
      </c>
      <c r="B51" s="34" t="n">
        <v>33817</v>
      </c>
      <c r="C51" s="56" t="n">
        <v>89640</v>
      </c>
      <c r="D51" s="29" t="s">
        <v>42</v>
      </c>
      <c r="E51" s="33" t="n">
        <f aca="false">IF(D51="totale",(C51/(A51*24))/F51,IF(D51="marché libre",(C51/(A51*24))/G51,"spécifier histo"))</f>
        <v>0.547653958944281</v>
      </c>
      <c r="F51" s="59" t="n">
        <v>220</v>
      </c>
      <c r="G51" s="59" t="n">
        <f aca="false">F51-H51</f>
        <v>220</v>
      </c>
      <c r="H51" s="59" t="n">
        <v>0</v>
      </c>
      <c r="I51" s="9"/>
      <c r="J51" s="30"/>
      <c r="K51" s="30"/>
    </row>
    <row r="52" customFormat="false" ht="23.4" hidden="false" customHeight="true" outlineLevel="0" collapsed="false">
      <c r="A52" s="0" t="n">
        <v>30</v>
      </c>
      <c r="B52" s="31" t="n">
        <v>33848</v>
      </c>
      <c r="C52" s="56" t="n">
        <v>89640</v>
      </c>
      <c r="D52" s="29" t="s">
        <v>42</v>
      </c>
      <c r="E52" s="33" t="n">
        <f aca="false">IF(D52="totale",(C52/(A52*24))/F52,IF(D52="marché libre",(C52/(A52*24))/G52,"spécifier histo"))</f>
        <v>0.565909090909091</v>
      </c>
      <c r="F52" s="59" t="n">
        <v>220</v>
      </c>
      <c r="G52" s="59" t="n">
        <f aca="false">F52-H52</f>
        <v>220</v>
      </c>
      <c r="H52" s="59" t="n">
        <v>0</v>
      </c>
      <c r="I52" s="9"/>
      <c r="J52" s="30"/>
      <c r="K52" s="30"/>
    </row>
    <row r="53" customFormat="false" ht="23.4" hidden="false" customHeight="true" outlineLevel="0" collapsed="false">
      <c r="A53" s="0" t="n">
        <v>31</v>
      </c>
      <c r="B53" s="34" t="n">
        <v>33878</v>
      </c>
      <c r="C53" s="26" t="n">
        <v>118920</v>
      </c>
      <c r="D53" s="29" t="s">
        <v>42</v>
      </c>
      <c r="E53" s="33" t="n">
        <f aca="false">IF(D53="totale",(C54/(A53*24))/F53,IF(D53="marché libre",(C54/(A53*24))/G53,"spécifier histo"))</f>
        <v>0.8455522971652</v>
      </c>
      <c r="F53" s="59" t="n">
        <v>220</v>
      </c>
      <c r="G53" s="59" t="n">
        <f aca="false">F53-H53</f>
        <v>220</v>
      </c>
      <c r="H53" s="59" t="n">
        <v>0</v>
      </c>
      <c r="I53" s="9"/>
      <c r="J53" s="30"/>
      <c r="K53" s="30"/>
    </row>
    <row r="54" customFormat="false" ht="23.4" hidden="false" customHeight="true" outlineLevel="0" collapsed="false">
      <c r="A54" s="0" t="n">
        <v>30</v>
      </c>
      <c r="B54" s="31" t="n">
        <v>33909</v>
      </c>
      <c r="C54" s="56" t="n">
        <v>138400</v>
      </c>
      <c r="D54" s="29" t="s">
        <v>42</v>
      </c>
      <c r="E54" s="33" t="n">
        <f aca="false">IF(D54="totale",(C55/(A54*24))/F54,IF(D54="marché libre",(C55/(A54*24))/G54,"spécifier histo"))</f>
        <v>0.902525252525252</v>
      </c>
      <c r="F54" s="59" t="n">
        <v>220</v>
      </c>
      <c r="G54" s="59" t="n">
        <f aca="false">F54-H54</f>
        <v>220</v>
      </c>
      <c r="H54" s="59" t="n">
        <v>0</v>
      </c>
      <c r="I54" s="9"/>
      <c r="J54" s="30"/>
      <c r="K54" s="30"/>
    </row>
    <row r="55" customFormat="false" ht="23.4" hidden="false" customHeight="true" outlineLevel="0" collapsed="false">
      <c r="A55" s="0" t="n">
        <v>31</v>
      </c>
      <c r="B55" s="34" t="n">
        <v>33939</v>
      </c>
      <c r="C55" s="56" t="n">
        <v>142960</v>
      </c>
      <c r="D55" s="29" t="s">
        <v>42</v>
      </c>
      <c r="E55" s="33" t="n">
        <f aca="false">IF(D55="totale",(C55/(A55*24))/F55,IF(D55="marché libre",(C55/(A55*24))/G55,"spécifier histo"))</f>
        <v>0.873411534701857</v>
      </c>
      <c r="F55" s="59" t="n">
        <v>220</v>
      </c>
      <c r="G55" s="59" t="n">
        <f aca="false">F55-H55</f>
        <v>220</v>
      </c>
      <c r="H55" s="59" t="n">
        <v>0</v>
      </c>
      <c r="I55" s="9"/>
      <c r="J55" s="30"/>
      <c r="K55" s="30"/>
    </row>
    <row r="56" customFormat="false" ht="23.4" hidden="false" customHeight="true" outlineLevel="0" collapsed="false">
      <c r="A56" s="0" t="n">
        <v>31</v>
      </c>
      <c r="B56" s="31" t="n">
        <v>33970</v>
      </c>
      <c r="C56" s="56" t="n">
        <v>119000</v>
      </c>
      <c r="D56" s="29" t="s">
        <v>42</v>
      </c>
      <c r="E56" s="33" t="n">
        <f aca="false">IF(D56="totale",(C56/(A56*24))/F56,IF(D56="marché libre",(C56/(A56*24))/G56,"spécifier histo"))</f>
        <v>0.72702834799609</v>
      </c>
      <c r="F56" s="59" t="n">
        <v>220</v>
      </c>
      <c r="G56" s="59" t="n">
        <f aca="false">F56-H56</f>
        <v>220</v>
      </c>
      <c r="H56" s="59" t="n">
        <v>0</v>
      </c>
      <c r="I56" s="9"/>
      <c r="J56" s="30"/>
      <c r="K56" s="30"/>
    </row>
    <row r="57" customFormat="false" ht="23.4" hidden="false" customHeight="true" outlineLevel="0" collapsed="false">
      <c r="A57" s="0" t="n">
        <v>30</v>
      </c>
      <c r="B57" s="34" t="n">
        <v>34001</v>
      </c>
      <c r="C57" s="56" t="n">
        <v>88440</v>
      </c>
      <c r="D57" s="29" t="s">
        <v>42</v>
      </c>
      <c r="E57" s="33" t="n">
        <f aca="false">IF(D57="totale",(C57/(A57*24))/F57,IF(D57="marché libre",(C57/(A57*24))/G57,"spécifier histo"))</f>
        <v>0.558333333333333</v>
      </c>
      <c r="F57" s="59" t="n">
        <v>220</v>
      </c>
      <c r="G57" s="59" t="n">
        <f aca="false">F57-H57</f>
        <v>220</v>
      </c>
      <c r="H57" s="59" t="n">
        <v>0</v>
      </c>
      <c r="I57" s="9"/>
      <c r="J57" s="30"/>
      <c r="K57" s="30"/>
    </row>
    <row r="58" customFormat="false" ht="23.4" hidden="false" customHeight="true" outlineLevel="0" collapsed="false">
      <c r="A58" s="0" t="n">
        <v>31</v>
      </c>
      <c r="B58" s="31" t="n">
        <v>34029</v>
      </c>
      <c r="C58" s="56" t="n">
        <v>88080</v>
      </c>
      <c r="D58" s="29" t="s">
        <v>42</v>
      </c>
      <c r="E58" s="33" t="n">
        <f aca="false">IF(D58="totale",(C58/(A58*24))/F58,IF(D58="marché libre",(C58/(A58*24))/G58,"spécifier histo"))</f>
        <v>0.538123167155425</v>
      </c>
      <c r="F58" s="59" t="n">
        <v>220</v>
      </c>
      <c r="G58" s="59" t="n">
        <f aca="false">F58-H58</f>
        <v>220</v>
      </c>
      <c r="H58" s="59" t="n">
        <v>0</v>
      </c>
      <c r="I58" s="9"/>
      <c r="J58" s="30"/>
      <c r="K58" s="30"/>
    </row>
    <row r="59" customFormat="false" ht="23.4" hidden="false" customHeight="true" outlineLevel="0" collapsed="false">
      <c r="A59" s="0" t="n">
        <v>30</v>
      </c>
      <c r="B59" s="34" t="n">
        <v>34060</v>
      </c>
      <c r="C59" s="56" t="n">
        <v>133040</v>
      </c>
      <c r="D59" s="29" t="s">
        <v>42</v>
      </c>
      <c r="E59" s="33" t="n">
        <f aca="false">IF(D59="totale",(C59/(A59*24))/F59,IF(D59="marché libre",(C59/(A59*24))/G59,"spécifier histo"))</f>
        <v>0.83989898989899</v>
      </c>
      <c r="F59" s="59" t="n">
        <v>220</v>
      </c>
      <c r="G59" s="59" t="n">
        <f aca="false">F59-H59</f>
        <v>220</v>
      </c>
      <c r="H59" s="59" t="n">
        <v>0</v>
      </c>
      <c r="I59" s="9"/>
      <c r="J59" s="30"/>
      <c r="K59" s="30"/>
    </row>
    <row r="60" customFormat="false" ht="23.4" hidden="false" customHeight="true" outlineLevel="0" collapsed="false">
      <c r="A60" s="0" t="n">
        <v>31</v>
      </c>
      <c r="B60" s="31" t="n">
        <v>34090</v>
      </c>
      <c r="C60" s="56" t="n">
        <v>109200</v>
      </c>
      <c r="D60" s="29" t="s">
        <v>42</v>
      </c>
      <c r="E60" s="33" t="n">
        <f aca="false">IF(D60="totale",(C60/(A60*24))/F60,IF(D60="marché libre",(C60/(A60*24))/G60,"spécifier histo"))</f>
        <v>0.667155425219941</v>
      </c>
      <c r="F60" s="59" t="n">
        <v>220</v>
      </c>
      <c r="G60" s="59" t="n">
        <f aca="false">F60-H60</f>
        <v>220</v>
      </c>
      <c r="H60" s="59" t="n">
        <v>0</v>
      </c>
      <c r="I60" s="9"/>
      <c r="J60" s="30"/>
      <c r="K60" s="30"/>
    </row>
    <row r="61" customFormat="false" ht="23.4" hidden="false" customHeight="true" outlineLevel="0" collapsed="false">
      <c r="A61" s="0" t="n">
        <v>31</v>
      </c>
      <c r="B61" s="34" t="n">
        <v>34121</v>
      </c>
      <c r="C61" s="56" t="n">
        <v>115220</v>
      </c>
      <c r="D61" s="29" t="s">
        <v>42</v>
      </c>
      <c r="E61" s="33" t="n">
        <f aca="false">IF(D61="totale",(C61/(A61*24))/F61,IF(D61="marché libre",(C61/(A61*24))/G61,"spécifier histo"))</f>
        <v>0.703934506353861</v>
      </c>
      <c r="F61" s="59" t="n">
        <v>220</v>
      </c>
      <c r="G61" s="59" t="n">
        <f aca="false">F61-H61</f>
        <v>220</v>
      </c>
      <c r="H61" s="59" t="n">
        <v>0</v>
      </c>
      <c r="I61" s="9"/>
      <c r="J61" s="30"/>
      <c r="K61" s="30"/>
    </row>
    <row r="62" customFormat="false" ht="23.4" hidden="false" customHeight="true" outlineLevel="0" collapsed="false">
      <c r="A62" s="0" t="n">
        <v>28</v>
      </c>
      <c r="B62" s="31" t="n">
        <v>34151</v>
      </c>
      <c r="C62" s="56" t="n">
        <v>115220</v>
      </c>
      <c r="D62" s="29" t="s">
        <v>42</v>
      </c>
      <c r="E62" s="33" t="n">
        <f aca="false">IF(D62="totale",(C62/(A62*24))/F62,IF(D62="marché libre",(C62/(A62*24))/G62,"spécifier histo"))</f>
        <v>0.779356060606061</v>
      </c>
      <c r="F62" s="59" t="n">
        <v>220</v>
      </c>
      <c r="G62" s="59" t="n">
        <f aca="false">F62-H62</f>
        <v>220</v>
      </c>
      <c r="H62" s="59" t="n">
        <v>0</v>
      </c>
      <c r="I62" s="9"/>
      <c r="J62" s="30"/>
      <c r="K62" s="30"/>
    </row>
    <row r="63" customFormat="false" ht="23.4" hidden="false" customHeight="true" outlineLevel="0" collapsed="false">
      <c r="A63" s="0" t="n">
        <v>31</v>
      </c>
      <c r="B63" s="34" t="n">
        <v>34182</v>
      </c>
      <c r="C63" s="56" t="n">
        <v>81600</v>
      </c>
      <c r="D63" s="29" t="s">
        <v>42</v>
      </c>
      <c r="E63" s="33" t="n">
        <f aca="false">IF(D63="totale",(C63/(A63*24))/F63,IF(D63="marché libre",(C63/(A63*24))/G63,"spécifier histo"))</f>
        <v>0.498533724340176</v>
      </c>
      <c r="F63" s="59" t="n">
        <v>220</v>
      </c>
      <c r="G63" s="59" t="n">
        <f aca="false">F63-H63</f>
        <v>220</v>
      </c>
      <c r="H63" s="59" t="n">
        <v>0</v>
      </c>
      <c r="I63" s="9"/>
      <c r="J63" s="30"/>
      <c r="K63" s="30"/>
    </row>
    <row r="64" customFormat="false" ht="23.4" hidden="false" customHeight="true" outlineLevel="0" collapsed="false">
      <c r="A64" s="0" t="n">
        <v>30</v>
      </c>
      <c r="B64" s="31" t="n">
        <v>34213</v>
      </c>
      <c r="C64" s="56" t="n">
        <v>107200</v>
      </c>
      <c r="D64" s="29" t="s">
        <v>42</v>
      </c>
      <c r="E64" s="33" t="n">
        <f aca="false">IF(D64="totale",(C64/(A64*24))/F64,IF(D64="marché libre",(C64/(A64*24))/G64,"spécifier histo"))</f>
        <v>0.676767676767677</v>
      </c>
      <c r="F64" s="59" t="n">
        <v>220</v>
      </c>
      <c r="G64" s="59" t="n">
        <f aca="false">F64-H64</f>
        <v>220</v>
      </c>
      <c r="H64" s="59" t="n">
        <v>0</v>
      </c>
      <c r="I64" s="9"/>
      <c r="J64" s="30"/>
      <c r="K64" s="30"/>
    </row>
    <row r="65" customFormat="false" ht="23.4" hidden="false" customHeight="true" outlineLevel="0" collapsed="false">
      <c r="A65" s="0" t="n">
        <v>31</v>
      </c>
      <c r="B65" s="34" t="n">
        <v>34243</v>
      </c>
      <c r="C65" s="56" t="n">
        <v>135000</v>
      </c>
      <c r="D65" s="29" t="s">
        <v>42</v>
      </c>
      <c r="E65" s="33" t="n">
        <f aca="false">IF(D65="totale",(C65/(A65*24))/F65,IF(D65="marché libre",(C65/(A65*24))/G65,"spécifier histo"))</f>
        <v>0.824780058651026</v>
      </c>
      <c r="F65" s="59" t="n">
        <v>220</v>
      </c>
      <c r="G65" s="59" t="n">
        <f aca="false">F65-H65</f>
        <v>220</v>
      </c>
      <c r="H65" s="59" t="n">
        <v>0</v>
      </c>
      <c r="I65" s="9"/>
      <c r="J65" s="30"/>
      <c r="K65" s="30"/>
    </row>
    <row r="66" customFormat="false" ht="23.4" hidden="false" customHeight="true" outlineLevel="0" collapsed="false">
      <c r="A66" s="0" t="n">
        <v>30</v>
      </c>
      <c r="B66" s="31" t="n">
        <v>34274</v>
      </c>
      <c r="C66" s="56" t="n">
        <v>71320</v>
      </c>
      <c r="D66" s="29" t="s">
        <v>42</v>
      </c>
      <c r="E66" s="33" t="n">
        <f aca="false">IF(D66="totale",(C66/(A66*24))/F66,IF(D66="marché libre",(C66/(A66*24))/G66,"spécifier histo"))</f>
        <v>0.450252525252525</v>
      </c>
      <c r="F66" s="59" t="n">
        <v>220</v>
      </c>
      <c r="G66" s="59" t="n">
        <f aca="false">F66-H66</f>
        <v>220</v>
      </c>
      <c r="H66" s="59" t="n">
        <v>0</v>
      </c>
      <c r="I66" s="9"/>
      <c r="J66" s="30"/>
      <c r="K66" s="30"/>
    </row>
    <row r="67" customFormat="false" ht="23.4" hidden="false" customHeight="true" outlineLevel="0" collapsed="false">
      <c r="A67" s="0" t="n">
        <v>31</v>
      </c>
      <c r="B67" s="34" t="n">
        <v>34304</v>
      </c>
      <c r="C67" s="56" t="n">
        <v>81960</v>
      </c>
      <c r="D67" s="29" t="s">
        <v>42</v>
      </c>
      <c r="E67" s="33" t="n">
        <f aca="false">IF(D67="totale",(C67/(A67*24))/F67,IF(D67="marché libre",(C67/(A67*24))/G67,"spécifier histo"))</f>
        <v>0.500733137829912</v>
      </c>
      <c r="F67" s="59" t="n">
        <v>220</v>
      </c>
      <c r="G67" s="59" t="n">
        <f aca="false">F67-H67</f>
        <v>220</v>
      </c>
      <c r="H67" s="59" t="n">
        <v>0</v>
      </c>
      <c r="I67" s="9"/>
      <c r="J67" s="30"/>
      <c r="K67" s="30"/>
    </row>
    <row r="68" customFormat="false" ht="23.4" hidden="false" customHeight="true" outlineLevel="0" collapsed="false">
      <c r="A68" s="0" t="n">
        <v>31</v>
      </c>
      <c r="B68" s="31" t="n">
        <v>34335</v>
      </c>
      <c r="C68" s="56" t="n">
        <v>78940</v>
      </c>
      <c r="D68" s="29" t="s">
        <v>42</v>
      </c>
      <c r="E68" s="33" t="n">
        <f aca="false">IF(D68="totale",(C68/(A68*24))/F68,IF(D68="marché libre",(C68/(A68*24))/G68,"spécifier histo"))</f>
        <v>0.482282502443793</v>
      </c>
      <c r="F68" s="59" t="n">
        <v>220</v>
      </c>
      <c r="G68" s="59" t="n">
        <f aca="false">F68-H68</f>
        <v>220</v>
      </c>
      <c r="H68" s="59" t="n">
        <v>0</v>
      </c>
      <c r="I68" s="9"/>
      <c r="J68" s="30"/>
      <c r="K68" s="30"/>
    </row>
    <row r="69" customFormat="false" ht="23.4" hidden="false" customHeight="true" outlineLevel="0" collapsed="false">
      <c r="A69" s="0" t="n">
        <v>30</v>
      </c>
      <c r="B69" s="34" t="n">
        <v>34366</v>
      </c>
      <c r="C69" s="56" t="n">
        <v>78940</v>
      </c>
      <c r="D69" s="29" t="s">
        <v>42</v>
      </c>
      <c r="E69" s="33" t="n">
        <f aca="false">IF(D69="totale",(C69/(A69*24))/F69,IF(D69="marché libre",(C69/(A69*24))/G69,"spécifier histo"))</f>
        <v>0.498358585858586</v>
      </c>
      <c r="F69" s="59" t="n">
        <v>220</v>
      </c>
      <c r="G69" s="59" t="n">
        <f aca="false">F69-H69</f>
        <v>220</v>
      </c>
      <c r="H69" s="59" t="n">
        <v>0</v>
      </c>
      <c r="I69" s="9"/>
      <c r="J69" s="30"/>
      <c r="K69" s="30"/>
    </row>
    <row r="70" customFormat="false" ht="23.4" hidden="false" customHeight="true" outlineLevel="0" collapsed="false">
      <c r="A70" s="0" t="n">
        <v>31</v>
      </c>
      <c r="B70" s="31" t="n">
        <v>34394</v>
      </c>
      <c r="C70" s="56" t="n">
        <v>112000</v>
      </c>
      <c r="D70" s="29" t="s">
        <v>42</v>
      </c>
      <c r="E70" s="33" t="n">
        <f aca="false">IF(D70="totale",(C70/(A70*24))/F70,IF(D70="marché libre",(C70/(A70*24))/G70,"spécifier histo"))</f>
        <v>0.684261974584555</v>
      </c>
      <c r="F70" s="59" t="n">
        <v>220</v>
      </c>
      <c r="G70" s="59" t="n">
        <f aca="false">F70-H70</f>
        <v>220</v>
      </c>
      <c r="H70" s="59" t="n">
        <v>0</v>
      </c>
      <c r="I70" s="9"/>
      <c r="J70" s="30"/>
      <c r="K70" s="30"/>
    </row>
    <row r="71" customFormat="false" ht="23.4" hidden="false" customHeight="true" outlineLevel="0" collapsed="false">
      <c r="A71" s="0" t="n">
        <v>30</v>
      </c>
      <c r="B71" s="34" t="n">
        <v>34425</v>
      </c>
      <c r="C71" s="56" t="n">
        <v>118093</v>
      </c>
      <c r="D71" s="29" t="s">
        <v>42</v>
      </c>
      <c r="E71" s="33" t="n">
        <f aca="false">IF(D71="totale",(C71/(A71*24))/F71,IF(D71="marché libre",(C71/(A71*24))/G71,"spécifier histo"))</f>
        <v>0.745536616161616</v>
      </c>
      <c r="F71" s="59" t="n">
        <v>220</v>
      </c>
      <c r="G71" s="59" t="n">
        <f aca="false">F71-H71</f>
        <v>220</v>
      </c>
      <c r="H71" s="59" t="n">
        <v>0</v>
      </c>
      <c r="I71" s="9"/>
      <c r="J71" s="30"/>
      <c r="K71" s="30"/>
    </row>
    <row r="72" customFormat="false" ht="23.4" hidden="false" customHeight="true" outlineLevel="0" collapsed="false">
      <c r="A72" s="0" t="n">
        <v>31</v>
      </c>
      <c r="B72" s="31" t="n">
        <v>34455</v>
      </c>
      <c r="C72" s="26" t="n">
        <v>118093</v>
      </c>
      <c r="D72" s="29" t="s">
        <v>42</v>
      </c>
      <c r="E72" s="33" t="n">
        <f aca="false">IF(D72="totale",(C74/(A72*24))/F72,IF(D72="marché libre",(C74/(A72*24))/G72,"spécifier histo"))</f>
        <v>0.442937438905181</v>
      </c>
      <c r="F72" s="59" t="n">
        <v>220</v>
      </c>
      <c r="G72" s="59" t="n">
        <f aca="false">F72-H72</f>
        <v>220</v>
      </c>
      <c r="H72" s="59" t="n">
        <v>0</v>
      </c>
      <c r="I72" s="9"/>
      <c r="J72" s="30"/>
      <c r="K72" s="30"/>
    </row>
    <row r="73" customFormat="false" ht="23.4" hidden="false" customHeight="true" outlineLevel="0" collapsed="false">
      <c r="A73" s="0" t="n">
        <v>31</v>
      </c>
      <c r="B73" s="34" t="n">
        <v>34486</v>
      </c>
      <c r="C73" s="26" t="n">
        <v>118093</v>
      </c>
      <c r="D73" s="29" t="s">
        <v>42</v>
      </c>
      <c r="E73" s="33" t="n">
        <f aca="false">IF(D73="totale",(C74/(A73*24))/F73,IF(D73="marché libre",(C74/(A73*24))/G73,"spécifier histo"))</f>
        <v>0.442937438905181</v>
      </c>
      <c r="F73" s="59" t="n">
        <v>220</v>
      </c>
      <c r="G73" s="59" t="n">
        <f aca="false">F73-H73</f>
        <v>220</v>
      </c>
      <c r="H73" s="59" t="n">
        <v>0</v>
      </c>
      <c r="I73" s="9"/>
      <c r="J73" s="30"/>
      <c r="K73" s="30"/>
    </row>
    <row r="74" customFormat="false" ht="23.4" hidden="false" customHeight="true" outlineLevel="0" collapsed="false">
      <c r="A74" s="0" t="n">
        <v>28</v>
      </c>
      <c r="B74" s="31" t="n">
        <v>34516</v>
      </c>
      <c r="C74" s="56" t="n">
        <v>72500</v>
      </c>
      <c r="D74" s="29" t="s">
        <v>42</v>
      </c>
      <c r="E74" s="33" t="n">
        <f aca="false">IF(D74="totale",(C75/(A74*24))/F74,IF(D74="marché libre",(C75/(A74*24))/G74,"spécifier histo"))</f>
        <v>0.490395021645022</v>
      </c>
      <c r="F74" s="59" t="n">
        <v>220</v>
      </c>
      <c r="G74" s="59" t="n">
        <f aca="false">F74-H74</f>
        <v>220</v>
      </c>
      <c r="H74" s="59" t="n">
        <v>0</v>
      </c>
      <c r="I74" s="9"/>
      <c r="J74" s="30"/>
      <c r="K74" s="30"/>
    </row>
    <row r="75" customFormat="false" ht="23.4" hidden="false" customHeight="true" outlineLevel="0" collapsed="false">
      <c r="A75" s="0" t="n">
        <v>31</v>
      </c>
      <c r="B75" s="34" t="n">
        <v>34547</v>
      </c>
      <c r="C75" s="56" t="n">
        <v>72500</v>
      </c>
      <c r="D75" s="29" t="s">
        <v>42</v>
      </c>
      <c r="E75" s="33" t="n">
        <f aca="false">IF(D75="totale",(C78/(A75*24))/F75,IF(D75="marché libre",(C78/(A75*24))/G75,"spécifier histo"))</f>
        <v>0.88880742913001</v>
      </c>
      <c r="F75" s="59" t="n">
        <v>220</v>
      </c>
      <c r="G75" s="59" t="n">
        <f aca="false">F75-H75</f>
        <v>220</v>
      </c>
      <c r="H75" s="59" t="n">
        <v>0</v>
      </c>
      <c r="I75" s="9"/>
      <c r="J75" s="30"/>
      <c r="K75" s="30"/>
    </row>
    <row r="76" customFormat="false" ht="23.4" hidden="false" customHeight="true" outlineLevel="0" collapsed="false">
      <c r="A76" s="0" t="n">
        <v>28</v>
      </c>
      <c r="B76" s="31" t="n">
        <v>34578</v>
      </c>
      <c r="C76" s="56" t="n">
        <v>72500</v>
      </c>
      <c r="D76" s="29" t="s">
        <v>42</v>
      </c>
      <c r="E76" s="33" t="n">
        <f aca="false">IF(D76="totale",(C79/(A76*24))/F76,IF(D76="marché libre",(C79/(A76*24))/G76,"spécifier histo"))</f>
        <v>0.980248917748918</v>
      </c>
      <c r="F76" s="59" t="n">
        <v>220</v>
      </c>
      <c r="G76" s="59" t="n">
        <f aca="false">F76-H76</f>
        <v>220</v>
      </c>
      <c r="H76" s="59" t="n">
        <v>0</v>
      </c>
      <c r="I76" s="9"/>
      <c r="J76" s="30"/>
      <c r="K76" s="30"/>
    </row>
    <row r="77" customFormat="false" ht="23.4" hidden="false" customHeight="true" outlineLevel="0" collapsed="false">
      <c r="A77" s="0" t="n">
        <v>31</v>
      </c>
      <c r="B77" s="34" t="n">
        <v>34608</v>
      </c>
      <c r="C77" s="56" t="n">
        <v>72500</v>
      </c>
      <c r="D77" s="29" t="s">
        <v>42</v>
      </c>
      <c r="E77" s="33" t="n">
        <f aca="false">IF(D77="totale",(C78/(A77*24))/F77,IF(D77="marché libre",(C78/(A77*24))/G77,"spécifier histo"))</f>
        <v>0.88880742913001</v>
      </c>
      <c r="F77" s="59" t="n">
        <v>220</v>
      </c>
      <c r="G77" s="59" t="n">
        <f aca="false">F77-H77</f>
        <v>220</v>
      </c>
      <c r="H77" s="59" t="n">
        <v>0</v>
      </c>
      <c r="I77" s="9"/>
      <c r="J77" s="30"/>
      <c r="K77" s="30"/>
    </row>
    <row r="78" customFormat="false" ht="23.4" hidden="false" customHeight="true" outlineLevel="0" collapsed="false">
      <c r="A78" s="0" t="n">
        <v>30</v>
      </c>
      <c r="B78" s="31" t="n">
        <v>34639</v>
      </c>
      <c r="C78" s="56" t="n">
        <v>145480</v>
      </c>
      <c r="D78" s="29" t="s">
        <v>42</v>
      </c>
      <c r="E78" s="33" t="n">
        <f aca="false">IF(D78="totale",(C79/(A78*24))/F78,IF(D78="marché libre",(C79/(A78*24))/G78,"spécifier histo"))</f>
        <v>0.91489898989899</v>
      </c>
      <c r="F78" s="59" t="n">
        <v>220</v>
      </c>
      <c r="G78" s="59" t="n">
        <f aca="false">F78-H78</f>
        <v>220</v>
      </c>
      <c r="H78" s="59" t="n">
        <v>0</v>
      </c>
      <c r="I78" s="9"/>
      <c r="J78" s="30"/>
      <c r="K78" s="30"/>
    </row>
    <row r="79" customFormat="false" ht="23.4" hidden="false" customHeight="true" outlineLevel="0" collapsed="false">
      <c r="A79" s="0" t="n">
        <v>31</v>
      </c>
      <c r="B79" s="34" t="n">
        <v>34669</v>
      </c>
      <c r="C79" s="56" t="n">
        <v>144920</v>
      </c>
      <c r="D79" s="29" t="s">
        <v>42</v>
      </c>
      <c r="E79" s="33" t="n">
        <f aca="false">IF(D79="totale",(C79/(A79*24))/F79,IF(D79="marché libre",(C79/(A79*24))/G79,"spécifier histo"))</f>
        <v>0.885386119257087</v>
      </c>
      <c r="F79" s="59" t="n">
        <v>220</v>
      </c>
      <c r="G79" s="59" t="n">
        <f aca="false">F79-H79</f>
        <v>220</v>
      </c>
      <c r="H79" s="59" t="n">
        <v>0</v>
      </c>
      <c r="I79" s="9"/>
      <c r="J79" s="30"/>
      <c r="K79" s="30"/>
    </row>
    <row r="80" customFormat="false" ht="23.4" hidden="false" customHeight="true" outlineLevel="0" collapsed="false">
      <c r="A80" s="0" t="n">
        <v>30</v>
      </c>
      <c r="B80" s="31" t="n">
        <v>34700</v>
      </c>
      <c r="C80" s="56" t="n">
        <v>143720</v>
      </c>
      <c r="D80" s="29" t="s">
        <v>42</v>
      </c>
      <c r="E80" s="33" t="n">
        <f aca="false">IF(D80="totale",(C80/(A80*24))/F80,IF(D80="marché libre",(C80/(A80*24))/G80,"spécifier histo"))</f>
        <v>0.907323232323232</v>
      </c>
      <c r="F80" s="59" t="n">
        <v>220</v>
      </c>
      <c r="G80" s="59" t="n">
        <f aca="false">F80-H80</f>
        <v>220</v>
      </c>
      <c r="H80" s="59" t="n">
        <v>0</v>
      </c>
      <c r="I80" s="9"/>
      <c r="J80" s="30"/>
      <c r="K80" s="30"/>
    </row>
    <row r="81" customFormat="false" ht="23.4" hidden="false" customHeight="true" outlineLevel="0" collapsed="false">
      <c r="A81" s="0" t="n">
        <v>31</v>
      </c>
      <c r="B81" s="34" t="n">
        <v>34731</v>
      </c>
      <c r="C81" s="56" t="n">
        <v>143520</v>
      </c>
      <c r="D81" s="29" t="s">
        <v>42</v>
      </c>
      <c r="E81" s="33" t="n">
        <f aca="false">IF(D81="totale",(C81/(A81*24))/F81,IF(D81="marché libre",(C81/(A81*24))/G81,"spécifier histo"))</f>
        <v>0.87683284457478</v>
      </c>
      <c r="F81" s="59" t="n">
        <v>220</v>
      </c>
      <c r="G81" s="59" t="n">
        <f aca="false">F81-H81</f>
        <v>220</v>
      </c>
      <c r="H81" s="59" t="n">
        <v>0</v>
      </c>
      <c r="I81" s="9"/>
      <c r="J81" s="30"/>
      <c r="K81" s="30"/>
    </row>
    <row r="82" customFormat="false" ht="23.4" hidden="false" customHeight="true" outlineLevel="0" collapsed="false">
      <c r="A82" s="0" t="n">
        <v>31</v>
      </c>
      <c r="B82" s="31" t="n">
        <v>34759</v>
      </c>
      <c r="C82" s="56" t="n">
        <v>135440</v>
      </c>
      <c r="D82" s="29" t="s">
        <v>42</v>
      </c>
      <c r="E82" s="33" t="n">
        <f aca="false">IF(D82="totale",(C82/(A82*24))/F82,IF(D82="marché libre",(C82/(A82*24))/G82,"spécifier histo"))</f>
        <v>0.827468230694037</v>
      </c>
      <c r="F82" s="59" t="n">
        <v>220</v>
      </c>
      <c r="G82" s="59" t="n">
        <f aca="false">F82-H82</f>
        <v>220</v>
      </c>
      <c r="H82" s="59" t="n">
        <v>0</v>
      </c>
      <c r="I82" s="9"/>
      <c r="J82" s="30"/>
      <c r="K82" s="30"/>
    </row>
    <row r="83" customFormat="false" ht="23.4" hidden="false" customHeight="true" outlineLevel="0" collapsed="false">
      <c r="A83" s="0" t="n">
        <v>30</v>
      </c>
      <c r="B83" s="34" t="n">
        <v>34790</v>
      </c>
      <c r="C83" s="56" t="n">
        <v>144000</v>
      </c>
      <c r="D83" s="29" t="s">
        <v>42</v>
      </c>
      <c r="E83" s="33" t="n">
        <f aca="false">IF(D83="totale",(C83/(A83*24))/F83,IF(D83="marché libre",(C83/(A83*24))/G83,"spécifier histo"))</f>
        <v>0.909090909090909</v>
      </c>
      <c r="F83" s="59" t="n">
        <v>220</v>
      </c>
      <c r="G83" s="59" t="n">
        <f aca="false">F83-H83</f>
        <v>220</v>
      </c>
      <c r="H83" s="59" t="n">
        <v>0</v>
      </c>
      <c r="I83" s="9"/>
      <c r="J83" s="30"/>
      <c r="K83" s="30"/>
    </row>
    <row r="84" customFormat="false" ht="23.4" hidden="false" customHeight="true" outlineLevel="0" collapsed="false">
      <c r="A84" s="0" t="n">
        <v>31</v>
      </c>
      <c r="B84" s="31" t="n">
        <v>34820</v>
      </c>
      <c r="C84" s="56" t="n">
        <v>140800</v>
      </c>
      <c r="D84" s="29" t="s">
        <v>42</v>
      </c>
      <c r="E84" s="33" t="n">
        <f aca="false">IF(D84="totale",(C84/(A84*24))/F84,IF(D84="marché libre",(C84/(A84*24))/G84,"spécifier histo"))</f>
        <v>0.860215053763441</v>
      </c>
      <c r="F84" s="59" t="n">
        <v>220</v>
      </c>
      <c r="G84" s="59" t="n">
        <f aca="false">F84-H84</f>
        <v>220</v>
      </c>
      <c r="H84" s="59" t="n">
        <v>0</v>
      </c>
      <c r="I84" s="9"/>
      <c r="J84" s="30"/>
      <c r="K84" s="30"/>
    </row>
    <row r="85" customFormat="false" ht="23.4" hidden="false" customHeight="true" outlineLevel="0" collapsed="false">
      <c r="A85" s="1" t="n">
        <v>31</v>
      </c>
      <c r="B85" s="34" t="n">
        <v>34851</v>
      </c>
      <c r="C85" s="56" t="n">
        <v>109220</v>
      </c>
      <c r="D85" s="29" t="s">
        <v>42</v>
      </c>
      <c r="E85" s="33" t="n">
        <f aca="false">IF(D85="totale",(C85/(A85*24))/F85,IF(D85="marché libre",(C85/(A85*24))/G85,"spécifier histo"))</f>
        <v>0.66727761485826</v>
      </c>
      <c r="F85" s="59" t="n">
        <v>220</v>
      </c>
      <c r="G85" s="59" t="n">
        <f aca="false">F85-H85</f>
        <v>220</v>
      </c>
      <c r="H85" s="59" t="n">
        <v>0</v>
      </c>
      <c r="I85" s="9"/>
      <c r="J85" s="30"/>
      <c r="K85" s="30"/>
    </row>
    <row r="86" customFormat="false" ht="23.4" hidden="false" customHeight="true" outlineLevel="0" collapsed="false">
      <c r="A86" s="1" t="n">
        <v>30</v>
      </c>
      <c r="B86" s="31" t="n">
        <v>34881</v>
      </c>
      <c r="C86" s="56" t="n">
        <v>109220</v>
      </c>
      <c r="D86" s="29" t="s">
        <v>42</v>
      </c>
      <c r="E86" s="33" t="n">
        <f aca="false">IF(D86="totale",(C86/(A86*24))/F86,IF(D86="marché libre",(C86/(A86*24))/G86,"spécifier histo"))</f>
        <v>0.689520202020202</v>
      </c>
      <c r="F86" s="59" t="n">
        <v>220</v>
      </c>
      <c r="G86" s="59" t="n">
        <f aca="false">F86-H86</f>
        <v>220</v>
      </c>
      <c r="H86" s="59" t="n">
        <v>0</v>
      </c>
      <c r="I86" s="9"/>
      <c r="J86" s="30"/>
      <c r="K86" s="30"/>
    </row>
    <row r="87" customFormat="false" ht="23.4" hidden="false" customHeight="true" outlineLevel="0" collapsed="false">
      <c r="A87" s="1" t="n">
        <v>31</v>
      </c>
      <c r="B87" s="34" t="n">
        <v>34912</v>
      </c>
      <c r="C87" s="56" t="n">
        <v>79600</v>
      </c>
      <c r="D87" s="29" t="s">
        <v>42</v>
      </c>
      <c r="E87" s="33" t="n">
        <f aca="false">IF(D87="totale",(C87/(A87*24))/F87,IF(D87="marché libre",(C87/(A87*24))/G87,"spécifier histo"))</f>
        <v>0.486314760508309</v>
      </c>
      <c r="F87" s="59" t="n">
        <v>220</v>
      </c>
      <c r="G87" s="59" t="n">
        <f aca="false">F87-H87</f>
        <v>220</v>
      </c>
      <c r="H87" s="59" t="n">
        <v>0</v>
      </c>
      <c r="I87" s="9"/>
      <c r="J87" s="30"/>
      <c r="K87" s="30"/>
    </row>
    <row r="88" customFormat="false" ht="23.4" hidden="false" customHeight="true" outlineLevel="0" collapsed="false">
      <c r="A88" s="1" t="n">
        <v>31</v>
      </c>
      <c r="B88" s="31" t="n">
        <v>34943</v>
      </c>
      <c r="C88" s="56" t="n">
        <v>90560</v>
      </c>
      <c r="D88" s="29" t="s">
        <v>42</v>
      </c>
      <c r="E88" s="33" t="n">
        <f aca="false">IF(D88="totale",(C88/(A88*24))/F88,IF(D88="marché libre",(C88/(A88*24))/G88,"spécifier histo"))</f>
        <v>0.55327468230694</v>
      </c>
      <c r="F88" s="59" t="n">
        <v>220</v>
      </c>
      <c r="G88" s="59" t="n">
        <f aca="false">F88-H88</f>
        <v>220</v>
      </c>
      <c r="H88" s="59" t="n">
        <v>0</v>
      </c>
      <c r="I88" s="9"/>
      <c r="J88" s="30"/>
      <c r="K88" s="30"/>
    </row>
    <row r="89" customFormat="false" ht="23.4" hidden="false" customHeight="true" outlineLevel="0" collapsed="false">
      <c r="A89" s="1" t="n">
        <v>28</v>
      </c>
      <c r="B89" s="34" t="n">
        <v>34973</v>
      </c>
      <c r="C89" s="56" t="n">
        <v>113840</v>
      </c>
      <c r="D89" s="29" t="s">
        <v>42</v>
      </c>
      <c r="E89" s="33" t="n">
        <f aca="false">IF(D89="totale",(C89/(A89*24))/F89,IF(D89="marché libre",(C89/(A89*24))/G89,"spécifier histo"))</f>
        <v>0.770021645021645</v>
      </c>
      <c r="F89" s="59" t="n">
        <v>220</v>
      </c>
      <c r="G89" s="59" t="n">
        <f aca="false">F89-H89</f>
        <v>220</v>
      </c>
      <c r="H89" s="59" t="n">
        <v>0</v>
      </c>
      <c r="I89" s="9"/>
      <c r="J89" s="30"/>
      <c r="K89" s="30"/>
    </row>
    <row r="90" customFormat="false" ht="23.4" hidden="false" customHeight="true" outlineLevel="0" collapsed="false">
      <c r="A90" s="1" t="n">
        <v>31</v>
      </c>
      <c r="B90" s="31" t="n">
        <v>35004</v>
      </c>
      <c r="C90" s="56" t="n">
        <v>120880</v>
      </c>
      <c r="D90" s="29" t="s">
        <v>42</v>
      </c>
      <c r="E90" s="33" t="n">
        <f aca="false">IF(D90="totale",(C90/(A90*24))/F90,IF(D90="marché libre",(C90/(A90*24))/G90,"spécifier histo"))</f>
        <v>0.738514173998045</v>
      </c>
      <c r="F90" s="59" t="n">
        <v>220</v>
      </c>
      <c r="G90" s="59" t="n">
        <f aca="false">F90-H90</f>
        <v>220</v>
      </c>
      <c r="H90" s="59" t="n">
        <v>0</v>
      </c>
      <c r="I90" s="9"/>
      <c r="J90" s="30"/>
      <c r="K90" s="30"/>
    </row>
    <row r="91" customFormat="false" ht="23.4" hidden="false" customHeight="true" outlineLevel="0" collapsed="false">
      <c r="A91" s="1" t="n">
        <v>30</v>
      </c>
      <c r="B91" s="34" t="n">
        <v>35034</v>
      </c>
      <c r="C91" s="56" t="n">
        <v>99400</v>
      </c>
      <c r="D91" s="29" t="s">
        <v>42</v>
      </c>
      <c r="E91" s="33" t="n">
        <f aca="false">IF(D91="totale",(C91/(A91*24))/F91,IF(D91="marché libre",(C91/(A91*24))/G91,"spécifier histo"))</f>
        <v>0.627525252525252</v>
      </c>
      <c r="F91" s="59" t="n">
        <v>220</v>
      </c>
      <c r="G91" s="59" t="n">
        <f aca="false">F91-H91</f>
        <v>220</v>
      </c>
      <c r="H91" s="59" t="n">
        <v>0</v>
      </c>
      <c r="I91" s="9"/>
      <c r="J91" s="30"/>
      <c r="K91" s="30"/>
    </row>
    <row r="92" customFormat="false" ht="23.4" hidden="false" customHeight="true" outlineLevel="0" collapsed="false">
      <c r="A92" s="1" t="n">
        <v>31</v>
      </c>
      <c r="B92" s="31" t="n">
        <v>35065</v>
      </c>
      <c r="C92" s="56" t="n">
        <v>177080</v>
      </c>
      <c r="D92" s="29" t="s">
        <v>42</v>
      </c>
      <c r="E92" s="33" t="n">
        <f aca="false">IF(D92="totale",(C92/(A92*24))/F92,IF(D92="marché libre",(C92/(A92*24))/G92,"spécifier histo"))</f>
        <v>1.08186705767351</v>
      </c>
      <c r="F92" s="59" t="n">
        <v>220</v>
      </c>
      <c r="G92" s="59" t="n">
        <f aca="false">F92-H92</f>
        <v>220</v>
      </c>
      <c r="H92" s="59" t="n">
        <v>0</v>
      </c>
      <c r="I92" s="9"/>
      <c r="J92" s="30"/>
      <c r="K92" s="30"/>
    </row>
    <row r="93" customFormat="false" ht="23.4" hidden="false" customHeight="true" outlineLevel="0" collapsed="false">
      <c r="A93" s="1" t="n">
        <v>30</v>
      </c>
      <c r="B93" s="34" t="n">
        <v>35096</v>
      </c>
      <c r="C93" s="56" t="n">
        <v>115360</v>
      </c>
      <c r="D93" s="29" t="s">
        <v>42</v>
      </c>
      <c r="E93" s="33" t="n">
        <f aca="false">IF(D93="totale",(C93/(A93*24))/F93,IF(D93="marché libre",(C93/(A93*24))/G93,"spécifier histo"))</f>
        <v>0.728282828282828</v>
      </c>
      <c r="F93" s="59" t="n">
        <v>220</v>
      </c>
      <c r="G93" s="59" t="n">
        <f aca="false">F93-H93</f>
        <v>220</v>
      </c>
      <c r="H93" s="59" t="n">
        <v>0</v>
      </c>
      <c r="I93" s="9"/>
      <c r="J93" s="30"/>
      <c r="K93" s="30"/>
    </row>
    <row r="94" customFormat="false" ht="23.4" hidden="false" customHeight="true" outlineLevel="0" collapsed="false">
      <c r="A94" s="1" t="n">
        <v>31</v>
      </c>
      <c r="B94" s="31" t="n">
        <v>35125</v>
      </c>
      <c r="C94" s="56" t="n">
        <v>117400</v>
      </c>
      <c r="D94" s="29" t="s">
        <v>42</v>
      </c>
      <c r="E94" s="33" t="n">
        <f aca="false">IF(D94="totale",(C94/(A94*24))/F94,IF(D94="marché libre",(C94/(A94*24))/G94,"spécifier histo"))</f>
        <v>0.717253176930596</v>
      </c>
      <c r="F94" s="59" t="n">
        <v>220</v>
      </c>
      <c r="G94" s="59" t="n">
        <f aca="false">F94-H94</f>
        <v>220</v>
      </c>
      <c r="H94" s="59" t="n">
        <v>0</v>
      </c>
      <c r="I94" s="9"/>
      <c r="J94" s="30"/>
      <c r="K94" s="30"/>
    </row>
    <row r="95" customFormat="false" ht="23.4" hidden="false" customHeight="true" outlineLevel="0" collapsed="false">
      <c r="A95" s="1" t="n">
        <v>31</v>
      </c>
      <c r="B95" s="34" t="n">
        <v>35156</v>
      </c>
      <c r="C95" s="56" t="n">
        <v>156680</v>
      </c>
      <c r="D95" s="29" t="s">
        <v>42</v>
      </c>
      <c r="E95" s="33" t="n">
        <f aca="false">IF(D95="totale",(C95/(A95*24))/F95,IF(D95="marché libre",(C95/(A95*24))/G95,"spécifier histo"))</f>
        <v>0.957233626588465</v>
      </c>
      <c r="F95" s="59" t="n">
        <v>220</v>
      </c>
      <c r="G95" s="59" t="n">
        <f aca="false">F95-H95</f>
        <v>220</v>
      </c>
      <c r="H95" s="59" t="n">
        <v>0</v>
      </c>
      <c r="I95" s="9"/>
      <c r="J95" s="30"/>
      <c r="K95" s="30"/>
    </row>
    <row r="96" customFormat="false" ht="23.4" hidden="false" customHeight="true" outlineLevel="0" collapsed="false">
      <c r="A96" s="1" t="n">
        <v>30</v>
      </c>
      <c r="B96" s="31" t="n">
        <v>35186</v>
      </c>
      <c r="C96" s="56" t="n">
        <v>129160</v>
      </c>
      <c r="D96" s="29" t="s">
        <v>42</v>
      </c>
      <c r="E96" s="33" t="n">
        <f aca="false">IF(D96="totale",(C96/(A96*24))/F96,IF(D96="marché libre",(C96/(A96*24))/G96,"spécifier histo"))</f>
        <v>0.81540404040404</v>
      </c>
      <c r="F96" s="59" t="n">
        <v>220</v>
      </c>
      <c r="G96" s="59" t="n">
        <f aca="false">F96-H96</f>
        <v>220</v>
      </c>
      <c r="H96" s="59" t="n">
        <v>0</v>
      </c>
      <c r="I96" s="9"/>
      <c r="J96" s="30"/>
      <c r="K96" s="30"/>
    </row>
    <row r="97" customFormat="false" ht="23.4" hidden="false" customHeight="true" outlineLevel="0" collapsed="false">
      <c r="A97" s="1" t="n">
        <v>31</v>
      </c>
      <c r="B97" s="34" t="n">
        <v>35217</v>
      </c>
      <c r="C97" s="56" t="n">
        <v>119000</v>
      </c>
      <c r="D97" s="29" t="s">
        <v>42</v>
      </c>
      <c r="E97" s="33" t="n">
        <f aca="false">IF(D97="totale",(C97/(A97*24))/F97,IF(D97="marché libre",(C97/(A97*24))/G97,"spécifier histo"))</f>
        <v>0.72702834799609</v>
      </c>
      <c r="F97" s="59" t="n">
        <v>220</v>
      </c>
      <c r="G97" s="59" t="n">
        <f aca="false">F97-H97</f>
        <v>220</v>
      </c>
      <c r="H97" s="59" t="n">
        <v>0</v>
      </c>
      <c r="I97" s="9"/>
      <c r="J97" s="30"/>
      <c r="K97" s="30"/>
    </row>
    <row r="98" customFormat="false" ht="23.4" hidden="false" customHeight="true" outlineLevel="0" collapsed="false">
      <c r="A98" s="1" t="n">
        <v>30</v>
      </c>
      <c r="B98" s="31" t="n">
        <v>35247</v>
      </c>
      <c r="C98" s="56" t="n">
        <v>119440</v>
      </c>
      <c r="D98" s="29" t="s">
        <v>42</v>
      </c>
      <c r="E98" s="33" t="n">
        <f aca="false">IF(D98="totale",(C98/(A98*24))/F98,IF(D98="marché libre",(C98/(A98*24))/G98,"spécifier histo"))</f>
        <v>0.754040404040404</v>
      </c>
      <c r="F98" s="59" t="n">
        <v>220</v>
      </c>
      <c r="G98" s="59" t="n">
        <f aca="false">F98-H98</f>
        <v>220</v>
      </c>
      <c r="H98" s="59" t="n">
        <v>0</v>
      </c>
      <c r="I98" s="9"/>
      <c r="J98" s="30"/>
      <c r="K98" s="30"/>
    </row>
    <row r="99" customFormat="false" ht="23.4" hidden="false" customHeight="true" outlineLevel="0" collapsed="false">
      <c r="A99" s="1" t="n">
        <v>31</v>
      </c>
      <c r="B99" s="34" t="n">
        <v>35278</v>
      </c>
      <c r="C99" s="56" t="n">
        <v>90400</v>
      </c>
      <c r="D99" s="29" t="s">
        <v>42</v>
      </c>
      <c r="E99" s="33" t="n">
        <f aca="false">IF(D99="totale",(C99/(A99*24))/F99,IF(D99="marché libre",(C99/(A99*24))/G99,"spécifier histo"))</f>
        <v>0.552297165200391</v>
      </c>
      <c r="F99" s="59" t="n">
        <v>220</v>
      </c>
      <c r="G99" s="59" t="n">
        <f aca="false">F99-H99</f>
        <v>220</v>
      </c>
      <c r="H99" s="59" t="n">
        <v>0</v>
      </c>
      <c r="I99" s="9"/>
      <c r="J99" s="30"/>
      <c r="K99" s="30"/>
    </row>
    <row r="100" customFormat="false" ht="23.4" hidden="false" customHeight="true" outlineLevel="0" collapsed="false">
      <c r="A100" s="1" t="n">
        <v>31</v>
      </c>
      <c r="B100" s="31" t="n">
        <v>35309</v>
      </c>
      <c r="C100" s="56" t="n">
        <v>62800</v>
      </c>
      <c r="D100" s="29" t="s">
        <v>42</v>
      </c>
      <c r="E100" s="33" t="n">
        <f aca="false">IF(D100="totale",(C100/(A100*24))/F100,IF(D100="marché libre",(C100/(A100*24))/G100,"spécifier histo"))</f>
        <v>0.383675464320626</v>
      </c>
      <c r="F100" s="59" t="n">
        <v>220</v>
      </c>
      <c r="G100" s="59" t="n">
        <f aca="false">F100-H100</f>
        <v>220</v>
      </c>
      <c r="H100" s="59" t="n">
        <v>0</v>
      </c>
      <c r="I100" s="9"/>
      <c r="J100" s="30"/>
      <c r="K100" s="30"/>
    </row>
    <row r="101" customFormat="false" ht="23.4" hidden="false" customHeight="true" outlineLevel="0" collapsed="false">
      <c r="A101" s="1" t="n">
        <v>28</v>
      </c>
      <c r="B101" s="34" t="n">
        <v>35339</v>
      </c>
      <c r="C101" s="56" t="n">
        <v>70040</v>
      </c>
      <c r="D101" s="29" t="s">
        <v>42</v>
      </c>
      <c r="E101" s="33" t="n">
        <f aca="false">IF(D101="totale",(C101/(A101*24))/F101,IF(D101="marché libre",(C101/(A101*24))/G101,"spécifier histo"))</f>
        <v>0.473755411255411</v>
      </c>
      <c r="F101" s="59" t="n">
        <v>220</v>
      </c>
      <c r="G101" s="59" t="n">
        <f aca="false">F101-H101</f>
        <v>220</v>
      </c>
      <c r="H101" s="59" t="n">
        <v>0</v>
      </c>
      <c r="I101" s="9"/>
      <c r="J101" s="30"/>
      <c r="K101" s="30"/>
    </row>
    <row r="102" customFormat="false" ht="23.4" hidden="false" customHeight="true" outlineLevel="0" collapsed="false">
      <c r="A102" s="1" t="n">
        <v>31</v>
      </c>
      <c r="B102" s="31" t="n">
        <v>35370</v>
      </c>
      <c r="C102" s="56" t="n">
        <v>128680</v>
      </c>
      <c r="D102" s="29" t="s">
        <v>42</v>
      </c>
      <c r="E102" s="33" t="n">
        <f aca="false">IF(D102="totale",(C102/(A102*24))/F102,IF(D102="marché libre",(C102/(A102*24))/G102,"spécifier histo"))</f>
        <v>0.786168132942327</v>
      </c>
      <c r="F102" s="59" t="n">
        <v>220</v>
      </c>
      <c r="G102" s="59" t="n">
        <f aca="false">F102-H102</f>
        <v>220</v>
      </c>
      <c r="H102" s="59" t="n">
        <v>0</v>
      </c>
      <c r="I102" s="9"/>
      <c r="J102" s="30"/>
      <c r="K102" s="30"/>
    </row>
    <row r="103" customFormat="false" ht="23.4" hidden="false" customHeight="true" outlineLevel="0" collapsed="false">
      <c r="A103" s="1" t="n">
        <v>30</v>
      </c>
      <c r="B103" s="34" t="n">
        <v>35400</v>
      </c>
      <c r="C103" s="56" t="n">
        <v>180800</v>
      </c>
      <c r="D103" s="29" t="s">
        <v>42</v>
      </c>
      <c r="E103" s="33" t="n">
        <f aca="false">IF(D103="totale",(C103/(A103*24))/F103,IF(D103="marché libre",(C103/(A103*24))/G103,"spécifier histo"))</f>
        <v>1.14141414141414</v>
      </c>
      <c r="F103" s="59" t="n">
        <v>220</v>
      </c>
      <c r="G103" s="59" t="n">
        <f aca="false">F103-H103</f>
        <v>220</v>
      </c>
      <c r="H103" s="59" t="n">
        <v>0</v>
      </c>
      <c r="I103" s="9"/>
      <c r="J103" s="30"/>
      <c r="K103" s="30"/>
    </row>
    <row r="104" customFormat="false" ht="23.4" hidden="false" customHeight="true" outlineLevel="0" collapsed="false">
      <c r="A104" s="1" t="n">
        <v>31</v>
      </c>
      <c r="B104" s="31" t="n">
        <v>35431</v>
      </c>
      <c r="C104" s="56" t="n">
        <v>116400</v>
      </c>
      <c r="D104" s="29" t="s">
        <v>42</v>
      </c>
      <c r="E104" s="33" t="n">
        <f aca="false">IF(D104="totale",(C104/(A104*24))/F104,IF(D104="marché libre",(C104/(A104*24))/G104,"spécifier histo"))</f>
        <v>0.711143695014663</v>
      </c>
      <c r="F104" s="59" t="n">
        <v>220</v>
      </c>
      <c r="G104" s="59" t="n">
        <f aca="false">F104-H104</f>
        <v>220</v>
      </c>
      <c r="H104" s="59" t="n">
        <v>0</v>
      </c>
      <c r="I104" s="9"/>
      <c r="J104" s="30"/>
      <c r="K104" s="30"/>
    </row>
    <row r="105" customFormat="false" ht="23.4" hidden="false" customHeight="true" outlineLevel="0" collapsed="false">
      <c r="A105" s="1" t="n">
        <v>30</v>
      </c>
      <c r="B105" s="34" t="n">
        <v>35462</v>
      </c>
      <c r="C105" s="56" t="n">
        <v>134600</v>
      </c>
      <c r="D105" s="29" t="s">
        <v>42</v>
      </c>
      <c r="E105" s="33" t="n">
        <f aca="false">IF(D105="totale",(C105/(A105*24))/F105,IF(D105="marché libre",(C105/(A105*24))/G105,"spécifier histo"))</f>
        <v>0.849747474747475</v>
      </c>
      <c r="F105" s="59" t="n">
        <v>220</v>
      </c>
      <c r="G105" s="59" t="n">
        <f aca="false">F105-H105</f>
        <v>220</v>
      </c>
      <c r="H105" s="59" t="n">
        <v>0</v>
      </c>
      <c r="I105" s="9"/>
      <c r="J105" s="30"/>
      <c r="K105" s="30"/>
    </row>
    <row r="106" customFormat="false" ht="23.4" hidden="false" customHeight="true" outlineLevel="0" collapsed="false">
      <c r="A106" s="1" t="n">
        <v>31</v>
      </c>
      <c r="B106" s="31" t="n">
        <v>35490</v>
      </c>
      <c r="C106" s="56" t="n">
        <v>114000</v>
      </c>
      <c r="D106" s="29" t="s">
        <v>42</v>
      </c>
      <c r="E106" s="33" t="n">
        <f aca="false">IF(D106="totale",(C106/(A106*24))/F106,IF(D106="marché libre",(C106/(A106*24))/G106,"spécifier histo"))</f>
        <v>0.696480938416422</v>
      </c>
      <c r="F106" s="59" t="n">
        <v>220</v>
      </c>
      <c r="G106" s="59" t="n">
        <f aca="false">F106-H106</f>
        <v>220</v>
      </c>
      <c r="H106" s="59" t="n">
        <v>0</v>
      </c>
      <c r="I106" s="9"/>
      <c r="J106" s="30"/>
      <c r="K106" s="30"/>
    </row>
    <row r="107" customFormat="false" ht="23.4" hidden="false" customHeight="true" outlineLevel="0" collapsed="false">
      <c r="A107" s="1" t="n">
        <v>31</v>
      </c>
      <c r="B107" s="34" t="n">
        <v>35521</v>
      </c>
      <c r="C107" s="56" t="n">
        <v>115840</v>
      </c>
      <c r="D107" s="29" t="s">
        <v>42</v>
      </c>
      <c r="E107" s="33" t="n">
        <f aca="false">IF(D107="totale",(C107/(A107*24))/F107,IF(D107="marché libre",(C107/(A107*24))/G107,"spécifier histo"))</f>
        <v>0.70772238514174</v>
      </c>
      <c r="F107" s="59" t="n">
        <v>220</v>
      </c>
      <c r="G107" s="59" t="n">
        <f aca="false">F107-H107</f>
        <v>220</v>
      </c>
      <c r="H107" s="59" t="n">
        <v>0</v>
      </c>
      <c r="I107" s="9"/>
      <c r="J107" s="30"/>
      <c r="K107" s="30"/>
    </row>
    <row r="108" customFormat="false" ht="23.4" hidden="false" customHeight="true" outlineLevel="0" collapsed="false">
      <c r="A108" s="1" t="n">
        <v>30</v>
      </c>
      <c r="B108" s="31" t="n">
        <v>35551</v>
      </c>
      <c r="C108" s="56" t="n">
        <v>119280</v>
      </c>
      <c r="D108" s="29" t="s">
        <v>42</v>
      </c>
      <c r="E108" s="33" t="n">
        <f aca="false">IF(D108="totale",(C108/(A108*24))/F108,IF(D108="marché libre",(C108/(A108*24))/G108,"spécifier histo"))</f>
        <v>0.753030303030303</v>
      </c>
      <c r="F108" s="59" t="n">
        <v>220</v>
      </c>
      <c r="G108" s="59" t="n">
        <f aca="false">F108-H108</f>
        <v>220</v>
      </c>
      <c r="H108" s="59" t="n">
        <v>0</v>
      </c>
      <c r="I108" s="9"/>
      <c r="J108" s="30"/>
      <c r="K108" s="30"/>
    </row>
    <row r="109" customFormat="false" ht="23.4" hidden="false" customHeight="true" outlineLevel="0" collapsed="false">
      <c r="A109" s="1" t="n">
        <v>31</v>
      </c>
      <c r="B109" s="34" t="n">
        <v>35582</v>
      </c>
      <c r="C109" s="56" t="n">
        <v>88400</v>
      </c>
      <c r="D109" s="29" t="s">
        <v>42</v>
      </c>
      <c r="E109" s="33" t="n">
        <f aca="false">IF(D109="totale",(C109/(A109*24))/F109,IF(D109="marché libre",(C109/(A109*24))/G109,"spécifier histo"))</f>
        <v>0.540078201368524</v>
      </c>
      <c r="F109" s="59" t="n">
        <v>220</v>
      </c>
      <c r="G109" s="59" t="n">
        <f aca="false">F109-H109</f>
        <v>220</v>
      </c>
      <c r="H109" s="59" t="n">
        <v>0</v>
      </c>
      <c r="I109" s="9"/>
      <c r="J109" s="30"/>
      <c r="K109" s="30"/>
    </row>
    <row r="110" customFormat="false" ht="23.4" hidden="false" customHeight="true" outlineLevel="0" collapsed="false">
      <c r="A110" s="1" t="n">
        <v>30</v>
      </c>
      <c r="B110" s="31" t="n">
        <v>35612</v>
      </c>
      <c r="C110" s="56" t="n">
        <v>138320</v>
      </c>
      <c r="D110" s="29" t="s">
        <v>42</v>
      </c>
      <c r="E110" s="33" t="n">
        <f aca="false">IF(D110="totale",(C110/(A110*24))/F110,IF(D110="marché libre",(C110/(A110*24))/G110,"spécifier histo"))</f>
        <v>0.873232323232323</v>
      </c>
      <c r="F110" s="59" t="n">
        <v>220</v>
      </c>
      <c r="G110" s="59" t="n">
        <f aca="false">F110-H110</f>
        <v>220</v>
      </c>
      <c r="H110" s="59" t="n">
        <v>0</v>
      </c>
      <c r="I110" s="9"/>
      <c r="J110" s="30"/>
      <c r="K110" s="30"/>
    </row>
    <row r="111" customFormat="false" ht="23.4" hidden="false" customHeight="true" outlineLevel="0" collapsed="false">
      <c r="A111" s="1" t="n">
        <v>31</v>
      </c>
      <c r="B111" s="34" t="n">
        <v>35643</v>
      </c>
      <c r="C111" s="56" t="n">
        <v>79800</v>
      </c>
      <c r="D111" s="29" t="s">
        <v>42</v>
      </c>
      <c r="E111" s="33" t="n">
        <f aca="false">IF(D111="totale",(C111/(A111*24))/F111,IF(D111="marché libre",(C111/(A111*24))/G111,"spécifier histo"))</f>
        <v>0.487536656891496</v>
      </c>
      <c r="F111" s="59" t="n">
        <v>220</v>
      </c>
      <c r="G111" s="59" t="n">
        <f aca="false">F111-H111</f>
        <v>220</v>
      </c>
      <c r="H111" s="59" t="n">
        <v>0</v>
      </c>
      <c r="I111" s="9"/>
      <c r="J111" s="30"/>
      <c r="K111" s="30"/>
    </row>
    <row r="112" customFormat="false" ht="23.4" hidden="false" customHeight="true" outlineLevel="0" collapsed="false">
      <c r="A112" s="1" t="n">
        <v>31</v>
      </c>
      <c r="B112" s="31" t="n">
        <v>35674</v>
      </c>
      <c r="C112" s="56" t="n">
        <v>76280</v>
      </c>
      <c r="D112" s="29" t="s">
        <v>42</v>
      </c>
      <c r="E112" s="33" t="n">
        <f aca="false">IF(D112="totale",(C112/(A112*24))/F112,IF(D112="marché libre",(C112/(A112*24))/G112,"spécifier histo"))</f>
        <v>0.46603128054741</v>
      </c>
      <c r="F112" s="59" t="n">
        <v>220</v>
      </c>
      <c r="G112" s="59" t="n">
        <f aca="false">F112-H112</f>
        <v>220</v>
      </c>
      <c r="H112" s="59" t="n">
        <v>0</v>
      </c>
      <c r="I112" s="9"/>
      <c r="J112" s="30"/>
      <c r="K112" s="30"/>
    </row>
    <row r="113" customFormat="false" ht="23.4" hidden="false" customHeight="true" outlineLevel="0" collapsed="false">
      <c r="A113" s="1" t="n">
        <v>28</v>
      </c>
      <c r="B113" s="34" t="n">
        <v>35704</v>
      </c>
      <c r="C113" s="56" t="n">
        <v>62240</v>
      </c>
      <c r="D113" s="29" t="s">
        <v>42</v>
      </c>
      <c r="E113" s="33" t="n">
        <f aca="false">IF(D113="totale",(C113/(A113*24))/F113,IF(D113="marché libre",(C113/(A113*24))/G113,"spécifier histo"))</f>
        <v>0.420995670995671</v>
      </c>
      <c r="F113" s="59" t="n">
        <v>220</v>
      </c>
      <c r="G113" s="59" t="n">
        <f aca="false">F113-H113</f>
        <v>220</v>
      </c>
      <c r="H113" s="59" t="n">
        <v>0</v>
      </c>
      <c r="I113" s="9"/>
      <c r="J113" s="30"/>
      <c r="K113" s="30"/>
    </row>
    <row r="114" customFormat="false" ht="23.4" hidden="false" customHeight="true" outlineLevel="0" collapsed="false">
      <c r="A114" s="1" t="n">
        <v>31</v>
      </c>
      <c r="B114" s="31" t="n">
        <v>35735</v>
      </c>
      <c r="C114" s="56" t="n">
        <v>87200</v>
      </c>
      <c r="D114" s="29" t="s">
        <v>42</v>
      </c>
      <c r="E114" s="33" t="n">
        <f aca="false">IF(D114="totale",(C114/(A114*24))/F114,IF(D114="marché libre",(C114/(A114*24))/G114,"spécifier histo"))</f>
        <v>0.532746823069404</v>
      </c>
      <c r="F114" s="59" t="n">
        <v>220</v>
      </c>
      <c r="G114" s="59" t="n">
        <f aca="false">F114-H114</f>
        <v>220</v>
      </c>
      <c r="H114" s="59" t="n">
        <v>0</v>
      </c>
      <c r="I114" s="9"/>
      <c r="J114" s="30"/>
      <c r="K114" s="30"/>
    </row>
    <row r="115" customFormat="false" ht="23.4" hidden="false" customHeight="true" outlineLevel="0" collapsed="false">
      <c r="A115" s="1" t="n">
        <v>30</v>
      </c>
      <c r="B115" s="34" t="n">
        <v>35765</v>
      </c>
      <c r="C115" s="56" t="n">
        <v>131120</v>
      </c>
      <c r="D115" s="29" t="s">
        <v>42</v>
      </c>
      <c r="E115" s="33" t="n">
        <f aca="false">IF(D115="totale",(C115/(A115*24))/F115,IF(D115="marché libre",(C115/(A115*24))/G115,"spécifier histo"))</f>
        <v>0.827777777777778</v>
      </c>
      <c r="F115" s="59" t="n">
        <v>220</v>
      </c>
      <c r="G115" s="59" t="n">
        <f aca="false">F115-H115</f>
        <v>220</v>
      </c>
      <c r="H115" s="59" t="n">
        <v>0</v>
      </c>
      <c r="I115" s="9"/>
      <c r="J115" s="30"/>
      <c r="K115" s="30"/>
    </row>
    <row r="116" customFormat="false" ht="23.4" hidden="false" customHeight="true" outlineLevel="0" collapsed="false">
      <c r="A116" s="1" t="n">
        <v>31</v>
      </c>
      <c r="B116" s="31" t="n">
        <v>35796</v>
      </c>
      <c r="C116" s="56" t="n">
        <v>151960</v>
      </c>
      <c r="D116" s="29" t="s">
        <v>42</v>
      </c>
      <c r="E116" s="33" t="n">
        <f aca="false">IF(D116="totale",(C116/(A116*24))/F116,IF(D116="marché libre",(C116/(A116*24))/G116,"spécifier histo"))</f>
        <v>0.928396871945259</v>
      </c>
      <c r="F116" s="59" t="n">
        <v>220</v>
      </c>
      <c r="G116" s="59" t="n">
        <f aca="false">F116-H116</f>
        <v>220</v>
      </c>
      <c r="H116" s="59" t="n">
        <v>0</v>
      </c>
      <c r="I116" s="9"/>
      <c r="J116" s="30"/>
      <c r="K116" s="30"/>
    </row>
    <row r="117" customFormat="false" ht="23.4" hidden="false" customHeight="true" outlineLevel="0" collapsed="false">
      <c r="A117" s="1" t="n">
        <v>30</v>
      </c>
      <c r="B117" s="34" t="n">
        <v>35827</v>
      </c>
      <c r="C117" s="56" t="n">
        <v>102120</v>
      </c>
      <c r="D117" s="29" t="s">
        <v>42</v>
      </c>
      <c r="E117" s="33" t="n">
        <f aca="false">IF(D117="totale",(C117/(A117*24))/F117,IF(D117="marché libre",(C117/(A117*24))/G117,"spécifier histo"))</f>
        <v>0.64469696969697</v>
      </c>
      <c r="F117" s="59" t="n">
        <v>220</v>
      </c>
      <c r="G117" s="59" t="n">
        <f aca="false">F117-H117</f>
        <v>220</v>
      </c>
      <c r="H117" s="59" t="n">
        <v>0</v>
      </c>
      <c r="I117" s="9"/>
      <c r="J117" s="30"/>
      <c r="K117" s="30"/>
    </row>
    <row r="118" customFormat="false" ht="23.4" hidden="false" customHeight="true" outlineLevel="0" collapsed="false">
      <c r="A118" s="1" t="n">
        <v>31</v>
      </c>
      <c r="B118" s="31" t="n">
        <v>35855</v>
      </c>
      <c r="C118" s="56" t="n">
        <v>121200</v>
      </c>
      <c r="D118" s="29" t="s">
        <v>42</v>
      </c>
      <c r="E118" s="33" t="n">
        <f aca="false">IF(D118="totale",(C118/(A118*24))/F118,IF(D118="marché libre",(C118/(A118*24))/G118,"spécifier histo"))</f>
        <v>0.740469208211144</v>
      </c>
      <c r="F118" s="59" t="n">
        <v>220</v>
      </c>
      <c r="G118" s="59" t="n">
        <f aca="false">F118-H118</f>
        <v>220</v>
      </c>
      <c r="H118" s="59" t="n">
        <v>0</v>
      </c>
      <c r="I118" s="9"/>
      <c r="J118" s="30"/>
      <c r="K118" s="30"/>
    </row>
    <row r="119" customFormat="false" ht="23.4" hidden="false" customHeight="true" outlineLevel="0" collapsed="false">
      <c r="A119" s="1" t="n">
        <v>31</v>
      </c>
      <c r="B119" s="34" t="n">
        <v>35886</v>
      </c>
      <c r="C119" s="56" t="n">
        <v>126520</v>
      </c>
      <c r="D119" s="29" t="s">
        <v>42</v>
      </c>
      <c r="E119" s="33" t="n">
        <f aca="false">IF(D119="totale",(C119/(A119*24))/F119,IF(D119="marché libre",(C119/(A119*24))/G119,"spécifier histo"))</f>
        <v>0.77297165200391</v>
      </c>
      <c r="F119" s="59" t="n">
        <v>220</v>
      </c>
      <c r="G119" s="59" t="n">
        <f aca="false">F119-H119</f>
        <v>220</v>
      </c>
      <c r="H119" s="59" t="n">
        <v>0</v>
      </c>
      <c r="I119" s="9"/>
      <c r="J119" s="30"/>
      <c r="K119" s="30"/>
    </row>
    <row r="120" customFormat="false" ht="23.4" hidden="false" customHeight="true" outlineLevel="0" collapsed="false">
      <c r="A120" s="1" t="n">
        <v>30</v>
      </c>
      <c r="B120" s="31" t="n">
        <v>35916</v>
      </c>
      <c r="C120" s="56" t="n">
        <v>108780</v>
      </c>
      <c r="D120" s="29" t="s">
        <v>42</v>
      </c>
      <c r="E120" s="33" t="n">
        <f aca="false">IF(D120="totale",(C120/(A120*24))/F120,IF(D120="marché libre",(C120/(A120*24))/G120,"spécifier histo"))</f>
        <v>0.686742424242424</v>
      </c>
      <c r="F120" s="59" t="n">
        <v>220</v>
      </c>
      <c r="G120" s="59" t="n">
        <f aca="false">F120-H120</f>
        <v>220</v>
      </c>
      <c r="H120" s="59" t="n">
        <v>0</v>
      </c>
      <c r="I120" s="9"/>
      <c r="J120" s="30"/>
      <c r="K120" s="30"/>
    </row>
    <row r="121" customFormat="false" ht="23.4" hidden="false" customHeight="true" outlineLevel="0" collapsed="false">
      <c r="A121" s="1" t="n">
        <v>31</v>
      </c>
      <c r="B121" s="34" t="n">
        <v>35947</v>
      </c>
      <c r="C121" s="56" t="n">
        <v>108780</v>
      </c>
      <c r="D121" s="29" t="s">
        <v>42</v>
      </c>
      <c r="E121" s="33" t="n">
        <f aca="false">IF(D121="totale",(C121/(A121*24))/F121,IF(D121="marché libre",(C121/(A121*24))/G121,"spécifier histo"))</f>
        <v>0.664589442815249</v>
      </c>
      <c r="F121" s="59" t="n">
        <v>220</v>
      </c>
      <c r="G121" s="59" t="n">
        <f aca="false">F121-H121</f>
        <v>220</v>
      </c>
      <c r="H121" s="59" t="n">
        <v>0</v>
      </c>
      <c r="I121" s="9"/>
      <c r="J121" s="30"/>
      <c r="K121" s="30"/>
    </row>
    <row r="122" customFormat="false" ht="23.4" hidden="false" customHeight="true" outlineLevel="0" collapsed="false">
      <c r="A122" s="1" t="n">
        <v>30</v>
      </c>
      <c r="B122" s="31" t="n">
        <v>35977</v>
      </c>
      <c r="C122" s="56" t="n">
        <v>77200</v>
      </c>
      <c r="D122" s="29" t="s">
        <v>42</v>
      </c>
      <c r="E122" s="33" t="n">
        <f aca="false">IF(D122="totale",(C122/(A122*24))/F122,IF(D122="marché libre",(C122/(A122*24))/G122,"spécifier histo"))</f>
        <v>0.487373737373737</v>
      </c>
      <c r="F122" s="59" t="n">
        <v>220</v>
      </c>
      <c r="G122" s="59" t="n">
        <f aca="false">F122-H122</f>
        <v>220</v>
      </c>
      <c r="H122" s="59" t="n">
        <v>0</v>
      </c>
      <c r="I122" s="9"/>
      <c r="J122" s="30"/>
      <c r="K122" s="30"/>
    </row>
    <row r="123" customFormat="false" ht="23.4" hidden="false" customHeight="true" outlineLevel="0" collapsed="false">
      <c r="A123" s="1" t="n">
        <v>31</v>
      </c>
      <c r="B123" s="34" t="n">
        <v>36008</v>
      </c>
      <c r="C123" s="56" t="n">
        <v>59520</v>
      </c>
      <c r="D123" s="29" t="s">
        <v>42</v>
      </c>
      <c r="E123" s="33" t="n">
        <f aca="false">IF(D123="totale",(C123/(A123*24))/F123,IF(D123="marché libre",(C123/(A123*24))/G123,"spécifier histo"))</f>
        <v>0.363636363636364</v>
      </c>
      <c r="F123" s="59" t="n">
        <v>220</v>
      </c>
      <c r="G123" s="59" t="n">
        <f aca="false">F123-H123</f>
        <v>220</v>
      </c>
      <c r="H123" s="59" t="n">
        <v>0</v>
      </c>
      <c r="I123" s="9"/>
      <c r="J123" s="30"/>
      <c r="K123" s="30"/>
    </row>
    <row r="124" customFormat="false" ht="23.4" hidden="false" customHeight="true" outlineLevel="0" collapsed="false">
      <c r="A124" s="1" t="n">
        <v>31</v>
      </c>
      <c r="B124" s="31" t="n">
        <v>36039</v>
      </c>
      <c r="C124" s="56" t="n">
        <v>113520</v>
      </c>
      <c r="D124" s="29" t="s">
        <v>42</v>
      </c>
      <c r="E124" s="33" t="n">
        <f aca="false">IF(D124="totale",(C124/(A124*24))/F124,IF(D124="marché libre",(C124/(A124*24))/G124,"spécifier histo"))</f>
        <v>0.693548387096774</v>
      </c>
      <c r="F124" s="59" t="n">
        <v>220</v>
      </c>
      <c r="G124" s="59" t="n">
        <f aca="false">F124-H124</f>
        <v>220</v>
      </c>
      <c r="H124" s="59" t="n">
        <v>0</v>
      </c>
      <c r="I124" s="9"/>
      <c r="J124" s="30"/>
      <c r="K124" s="30"/>
    </row>
    <row r="125" customFormat="false" ht="23.4" hidden="false" customHeight="true" outlineLevel="0" collapsed="false">
      <c r="A125" s="0" t="n">
        <v>28</v>
      </c>
      <c r="B125" s="34" t="n">
        <v>36069</v>
      </c>
      <c r="C125" s="56" t="n">
        <v>121400</v>
      </c>
      <c r="D125" s="29" t="s">
        <v>42</v>
      </c>
      <c r="E125" s="33" t="n">
        <f aca="false">IF(D125="totale",(C125/(A125*24))/F125,IF(D125="marché libre",(C125/(A125*24))/G125,"spécifier histo"))</f>
        <v>0.821158008658009</v>
      </c>
      <c r="F125" s="59" t="n">
        <v>220</v>
      </c>
      <c r="G125" s="59" t="n">
        <f aca="false">F125-H125</f>
        <v>220</v>
      </c>
      <c r="H125" s="59" t="n">
        <v>0</v>
      </c>
      <c r="I125" s="9"/>
      <c r="J125" s="30"/>
      <c r="K125" s="30"/>
    </row>
    <row r="126" customFormat="false" ht="23.4" hidden="false" customHeight="true" outlineLevel="0" collapsed="false">
      <c r="A126" s="0" t="n">
        <v>31</v>
      </c>
      <c r="B126" s="31" t="n">
        <v>36100</v>
      </c>
      <c r="C126" s="56" t="n">
        <v>121000</v>
      </c>
      <c r="D126" s="29" t="s">
        <v>42</v>
      </c>
      <c r="E126" s="33" t="n">
        <f aca="false">IF(D126="totale",(C126/(A126*24))/F126,IF(D126="marché libre",(C126/(A126*24))/G126,"spécifier histo"))</f>
        <v>0.739247311827957</v>
      </c>
      <c r="F126" s="59" t="n">
        <v>220</v>
      </c>
      <c r="G126" s="59" t="n">
        <f aca="false">F126-H126</f>
        <v>220</v>
      </c>
      <c r="H126" s="59" t="n">
        <v>0</v>
      </c>
      <c r="I126" s="9"/>
      <c r="J126" s="30"/>
      <c r="K126" s="30"/>
    </row>
    <row r="127" customFormat="false" ht="23.4" hidden="false" customHeight="true" outlineLevel="0" collapsed="false">
      <c r="A127" s="0" t="n">
        <v>30</v>
      </c>
      <c r="B127" s="34" t="n">
        <v>36130</v>
      </c>
      <c r="C127" s="56" t="n">
        <v>120000</v>
      </c>
      <c r="D127" s="29" t="s">
        <v>42</v>
      </c>
      <c r="E127" s="33" t="n">
        <f aca="false">IF(D127="totale",(C127/(A127*24))/F127,IF(D127="marché libre",(C127/(A127*24))/G127,"spécifier histo"))</f>
        <v>0.757575757575758</v>
      </c>
      <c r="F127" s="59" t="n">
        <v>220</v>
      </c>
      <c r="G127" s="59" t="n">
        <f aca="false">F127-H127</f>
        <v>220</v>
      </c>
      <c r="H127" s="59" t="n">
        <v>0</v>
      </c>
      <c r="I127" s="9"/>
      <c r="J127" s="30"/>
      <c r="K127" s="30"/>
    </row>
    <row r="128" customFormat="false" ht="23.4" hidden="false" customHeight="true" outlineLevel="0" collapsed="false">
      <c r="A128" s="0" t="n">
        <v>31</v>
      </c>
      <c r="B128" s="31" t="n">
        <v>36161</v>
      </c>
      <c r="C128" s="56" t="n">
        <v>123400</v>
      </c>
      <c r="D128" s="29" t="s">
        <v>42</v>
      </c>
      <c r="E128" s="33" t="n">
        <f aca="false">IF(D128="totale",(C128/(A128*24))/F128,IF(D128="marché libre",(C128/(A128*24))/G128,"spécifier histo"))</f>
        <v>0.753910068426198</v>
      </c>
      <c r="F128" s="59" t="n">
        <v>220</v>
      </c>
      <c r="G128" s="59" t="n">
        <f aca="false">F128-H128</f>
        <v>220</v>
      </c>
      <c r="H128" s="59" t="n">
        <v>0</v>
      </c>
      <c r="I128" s="9"/>
      <c r="J128" s="30"/>
      <c r="K128" s="30"/>
    </row>
    <row r="129" customFormat="false" ht="23.4" hidden="false" customHeight="true" outlineLevel="0" collapsed="false">
      <c r="A129" s="0" t="n">
        <v>30</v>
      </c>
      <c r="B129" s="34" t="n">
        <v>36192</v>
      </c>
      <c r="C129" s="56" t="n">
        <v>113280</v>
      </c>
      <c r="D129" s="29" t="s">
        <v>42</v>
      </c>
      <c r="E129" s="33" t="n">
        <f aca="false">IF(D129="totale",(C129/(A129*24))/F129,IF(D129="marché libre",(C129/(A129*24))/G129,"spécifier histo"))</f>
        <v>0.715151515151515</v>
      </c>
      <c r="F129" s="59" t="n">
        <v>220</v>
      </c>
      <c r="G129" s="59" t="n">
        <f aca="false">F129-H129</f>
        <v>220</v>
      </c>
      <c r="H129" s="59" t="n">
        <v>0</v>
      </c>
      <c r="I129" s="9"/>
      <c r="J129" s="30"/>
      <c r="K129" s="30"/>
    </row>
    <row r="130" customFormat="false" ht="23.4" hidden="false" customHeight="true" outlineLevel="0" collapsed="false">
      <c r="A130" s="0" t="n">
        <v>31</v>
      </c>
      <c r="B130" s="31" t="n">
        <v>36220</v>
      </c>
      <c r="C130" s="56" t="n">
        <v>140280</v>
      </c>
      <c r="D130" s="29" t="s">
        <v>42</v>
      </c>
      <c r="E130" s="33" t="n">
        <f aca="false">IF(D130="totale",(C130/(A130*24))/F130,IF(D130="marché libre",(C130/(A130*24))/G130,"spécifier histo"))</f>
        <v>0.857038123167155</v>
      </c>
      <c r="F130" s="59" t="n">
        <v>220</v>
      </c>
      <c r="G130" s="59" t="n">
        <f aca="false">F130-H130</f>
        <v>220</v>
      </c>
      <c r="H130" s="59" t="n">
        <v>0</v>
      </c>
      <c r="I130" s="9"/>
      <c r="J130" s="30"/>
      <c r="K130" s="30"/>
    </row>
    <row r="131" customFormat="false" ht="23.4" hidden="false" customHeight="true" outlineLevel="0" collapsed="false">
      <c r="A131" s="0" t="n">
        <v>31</v>
      </c>
      <c r="B131" s="34" t="n">
        <v>36251</v>
      </c>
      <c r="C131" s="56" t="n">
        <v>142160</v>
      </c>
      <c r="D131" s="29" t="s">
        <v>42</v>
      </c>
      <c r="E131" s="33" t="n">
        <f aca="false">IF(D131="totale",(C131/(A131*24))/F131,IF(D131="marché libre",(C131/(A131*24))/G131,"spécifier histo"))</f>
        <v>0.86852394916911</v>
      </c>
      <c r="F131" s="59" t="n">
        <v>220</v>
      </c>
      <c r="G131" s="59" t="n">
        <f aca="false">F131-H131</f>
        <v>220</v>
      </c>
      <c r="H131" s="59" t="n">
        <v>0</v>
      </c>
      <c r="I131" s="9"/>
      <c r="J131" s="30"/>
      <c r="K131" s="30"/>
    </row>
    <row r="132" customFormat="false" ht="23.4" hidden="false" customHeight="true" outlineLevel="0" collapsed="false">
      <c r="A132" s="0" t="n">
        <v>30</v>
      </c>
      <c r="B132" s="31" t="n">
        <v>36281</v>
      </c>
      <c r="C132" s="56" t="n">
        <v>135200</v>
      </c>
      <c r="D132" s="29" t="s">
        <v>42</v>
      </c>
      <c r="E132" s="33" t="n">
        <f aca="false">IF(D132="totale",(C132/(A132*24))/F132,IF(D132="marché libre",(C132/(A132*24))/G132,"spécifier histo"))</f>
        <v>0.853535353535353</v>
      </c>
      <c r="F132" s="59" t="n">
        <v>220</v>
      </c>
      <c r="G132" s="59" t="n">
        <f aca="false">F132-H132</f>
        <v>220</v>
      </c>
      <c r="H132" s="59" t="n">
        <v>0</v>
      </c>
      <c r="I132" s="9"/>
      <c r="J132" s="30"/>
      <c r="K132" s="30"/>
    </row>
    <row r="133" customFormat="false" ht="23.4" hidden="false" customHeight="true" outlineLevel="0" collapsed="false">
      <c r="A133" s="0" t="n">
        <v>31</v>
      </c>
      <c r="B133" s="34" t="n">
        <v>36312</v>
      </c>
      <c r="C133" s="56" t="n">
        <v>124720</v>
      </c>
      <c r="D133" s="29" t="s">
        <v>42</v>
      </c>
      <c r="E133" s="33" t="n">
        <f aca="false">IF(D133="totale",(C133/(A133*24))/F133,IF(D133="marché libre",(C133/(A133*24))/G133,"spécifier histo"))</f>
        <v>0.76197458455523</v>
      </c>
      <c r="F133" s="59" t="n">
        <v>220</v>
      </c>
      <c r="G133" s="59" t="n">
        <f aca="false">F133-H133</f>
        <v>220</v>
      </c>
      <c r="H133" s="59" t="n">
        <v>0</v>
      </c>
      <c r="I133" s="9"/>
      <c r="J133" s="30"/>
      <c r="K133" s="30"/>
    </row>
    <row r="134" customFormat="false" ht="23.4" hidden="false" customHeight="true" outlineLevel="0" collapsed="false">
      <c r="A134" s="0" t="n">
        <v>30</v>
      </c>
      <c r="B134" s="31" t="n">
        <v>36342</v>
      </c>
      <c r="C134" s="56" t="n">
        <v>98760</v>
      </c>
      <c r="D134" s="29" t="s">
        <v>42</v>
      </c>
      <c r="E134" s="33" t="n">
        <f aca="false">IF(D134="totale",(C134/(A134*24))/F134,IF(D134="marché libre",(C134/(A134*24))/G134,"spécifier histo"))</f>
        <v>0.623484848484848</v>
      </c>
      <c r="F134" s="59" t="n">
        <v>220</v>
      </c>
      <c r="G134" s="59" t="n">
        <f aca="false">F134-H134</f>
        <v>220</v>
      </c>
      <c r="H134" s="59" t="n">
        <v>0</v>
      </c>
      <c r="I134" s="9"/>
      <c r="J134" s="30"/>
      <c r="K134" s="30"/>
    </row>
    <row r="135" customFormat="false" ht="23.4" hidden="false" customHeight="true" outlineLevel="0" collapsed="false">
      <c r="A135" s="0" t="n">
        <v>31</v>
      </c>
      <c r="B135" s="34" t="n">
        <v>36373</v>
      </c>
      <c r="C135" s="56" t="n">
        <v>72160</v>
      </c>
      <c r="D135" s="29" t="s">
        <v>42</v>
      </c>
      <c r="E135" s="33" t="n">
        <f aca="false">IF(D135="totale",(C135/(A135*24))/F135,IF(D135="marché libre",(C135/(A135*24))/G135,"spécifier histo"))</f>
        <v>0.440860215053763</v>
      </c>
      <c r="F135" s="59" t="n">
        <v>220</v>
      </c>
      <c r="G135" s="59" t="n">
        <f aca="false">F135-H135</f>
        <v>220</v>
      </c>
      <c r="H135" s="59" t="n">
        <v>0</v>
      </c>
      <c r="I135" s="9"/>
      <c r="J135" s="30"/>
      <c r="K135" s="30"/>
    </row>
    <row r="136" customFormat="false" ht="23.4" hidden="false" customHeight="true" outlineLevel="0" collapsed="false">
      <c r="A136" s="0" t="n">
        <v>31</v>
      </c>
      <c r="B136" s="31" t="n">
        <v>36404</v>
      </c>
      <c r="C136" s="56" t="n">
        <v>81600</v>
      </c>
      <c r="D136" s="29" t="s">
        <v>42</v>
      </c>
      <c r="E136" s="33" t="n">
        <f aca="false">IF(D136="totale",(C136/(A136*24))/F136,IF(D136="marché libre",(C136/(A136*24))/G136,"spécifier histo"))</f>
        <v>0.498533724340176</v>
      </c>
      <c r="F136" s="59" t="n">
        <v>220</v>
      </c>
      <c r="G136" s="59" t="n">
        <f aca="false">F136-H136</f>
        <v>220</v>
      </c>
      <c r="H136" s="59" t="n">
        <v>0</v>
      </c>
      <c r="I136" s="9"/>
      <c r="J136" s="30"/>
      <c r="K136" s="30"/>
    </row>
    <row r="137" customFormat="false" ht="23.4" hidden="false" customHeight="true" outlineLevel="0" collapsed="false">
      <c r="A137" s="0" t="n">
        <v>28</v>
      </c>
      <c r="B137" s="34" t="n">
        <v>36434</v>
      </c>
      <c r="C137" s="56" t="n">
        <v>33440</v>
      </c>
      <c r="D137" s="29" t="s">
        <v>42</v>
      </c>
      <c r="E137" s="33" t="n">
        <f aca="false">IF(D137="totale",(C137/(A137*24))/F137,IF(D137="marché libre",(C137/(A137*24))/G137,"spécifier histo"))</f>
        <v>0.226190476190476</v>
      </c>
      <c r="F137" s="59" t="n">
        <v>220</v>
      </c>
      <c r="G137" s="59" t="n">
        <f aca="false">F137-H137</f>
        <v>220</v>
      </c>
      <c r="H137" s="59" t="n">
        <v>0</v>
      </c>
      <c r="I137" s="9"/>
      <c r="J137" s="30"/>
      <c r="K137" s="30"/>
    </row>
    <row r="138" customFormat="false" ht="23.4" hidden="false" customHeight="true" outlineLevel="0" collapsed="false">
      <c r="A138" s="0" t="n">
        <v>31</v>
      </c>
      <c r="B138" s="31" t="n">
        <v>36465</v>
      </c>
      <c r="C138" s="56" t="n">
        <v>127980</v>
      </c>
      <c r="D138" s="29" t="s">
        <v>42</v>
      </c>
      <c r="E138" s="33" t="n">
        <f aca="false">IF(D138="totale",(C138/(A138*24))/F138,IF(D138="marché libre",(C138/(A138*24))/G138,"spécifier histo"))</f>
        <v>0.781891495601173</v>
      </c>
      <c r="F138" s="59" t="n">
        <v>220</v>
      </c>
      <c r="G138" s="59" t="n">
        <f aca="false">F138-H138</f>
        <v>220</v>
      </c>
      <c r="H138" s="59" t="n">
        <v>0</v>
      </c>
      <c r="I138" s="9"/>
      <c r="J138" s="30"/>
      <c r="K138" s="30"/>
    </row>
    <row r="139" customFormat="false" ht="23.4" hidden="false" customHeight="true" outlineLevel="0" collapsed="false">
      <c r="A139" s="0" t="n">
        <v>30</v>
      </c>
      <c r="B139" s="34" t="n">
        <v>36495</v>
      </c>
      <c r="C139" s="56" t="n">
        <v>127980</v>
      </c>
      <c r="D139" s="29" t="s">
        <v>42</v>
      </c>
      <c r="E139" s="33" t="n">
        <f aca="false">IF(D139="totale",(C139/(A139*24))/F139,IF(D139="marché libre",(C139/(A139*24))/G139,"spécifier histo"))</f>
        <v>0.807954545454546</v>
      </c>
      <c r="F139" s="59" t="n">
        <v>220</v>
      </c>
      <c r="G139" s="59" t="n">
        <f aca="false">F139-H139</f>
        <v>220</v>
      </c>
      <c r="H139" s="59" t="n">
        <v>0</v>
      </c>
      <c r="I139" s="9"/>
      <c r="J139" s="30"/>
      <c r="K139" s="30"/>
    </row>
    <row r="140" customFormat="false" ht="23.4" hidden="false" customHeight="true" outlineLevel="0" collapsed="false">
      <c r="A140" s="0" t="n">
        <v>31</v>
      </c>
      <c r="B140" s="31" t="n">
        <v>36526</v>
      </c>
      <c r="C140" s="56" t="n">
        <v>108280</v>
      </c>
      <c r="D140" s="29" t="s">
        <v>42</v>
      </c>
      <c r="E140" s="33" t="n">
        <f aca="false">IF(D140="totale",(C140/(A140*24))/F140,IF(D140="marché libre",(C140/(A140*24))/G140,"spécifier histo"))</f>
        <v>0.661534701857282</v>
      </c>
      <c r="F140" s="59" t="n">
        <v>220</v>
      </c>
      <c r="G140" s="59" t="n">
        <f aca="false">F140-H140</f>
        <v>220</v>
      </c>
      <c r="H140" s="59" t="n">
        <v>0</v>
      </c>
      <c r="I140" s="9"/>
      <c r="J140" s="30"/>
      <c r="K140" s="30"/>
    </row>
    <row r="141" customFormat="false" ht="23.4" hidden="false" customHeight="true" outlineLevel="0" collapsed="false">
      <c r="A141" s="0" t="n">
        <v>30</v>
      </c>
      <c r="B141" s="34" t="n">
        <v>36557</v>
      </c>
      <c r="C141" s="221" t="n">
        <v>0</v>
      </c>
      <c r="D141" s="29" t="s">
        <v>42</v>
      </c>
      <c r="E141" s="33" t="e">
        <f aca="false">IF(D141="totale",(C141/(A141*24))/F141,IF(D141="marché libre",(C141/(A141*24))/G141,"spécifier histo"))</f>
        <v>#DIV/0!</v>
      </c>
      <c r="F141" s="59" t="n">
        <v>0</v>
      </c>
      <c r="G141" s="59" t="n">
        <v>0</v>
      </c>
      <c r="H141" s="59" t="n">
        <v>0</v>
      </c>
      <c r="I141" s="9" t="s">
        <v>208</v>
      </c>
      <c r="J141" s="30"/>
      <c r="K141" s="30"/>
    </row>
    <row r="142" customFormat="false" ht="23.4" hidden="false" customHeight="true" outlineLevel="0" collapsed="false">
      <c r="A142" s="0" t="n">
        <v>31</v>
      </c>
      <c r="B142" s="31" t="n">
        <v>36586</v>
      </c>
      <c r="C142" s="221" t="n">
        <v>0</v>
      </c>
      <c r="D142" s="29" t="s">
        <v>42</v>
      </c>
      <c r="E142" s="33" t="e">
        <f aca="false">IF(D142="totale",(C142/(A142*24))/F142,IF(D142="marché libre",(C142/(A142*24))/G142,"spécifier histo"))</f>
        <v>#DIV/0!</v>
      </c>
      <c r="F142" s="59" t="n">
        <v>0</v>
      </c>
      <c r="G142" s="59" t="n">
        <v>0</v>
      </c>
      <c r="H142" s="59" t="n">
        <v>0</v>
      </c>
      <c r="I142" s="9" t="s">
        <v>208</v>
      </c>
      <c r="J142" s="30"/>
      <c r="K142" s="30"/>
    </row>
    <row r="143" customFormat="false" ht="23.4" hidden="false" customHeight="true" outlineLevel="0" collapsed="false">
      <c r="A143" s="0" t="n">
        <v>31</v>
      </c>
      <c r="B143" s="34" t="n">
        <v>36617</v>
      </c>
      <c r="C143" s="221" t="n">
        <v>0</v>
      </c>
      <c r="D143" s="29" t="s">
        <v>42</v>
      </c>
      <c r="E143" s="33" t="e">
        <f aca="false">IF(D143="totale",(C143/(A143*24))/F143,IF(D143="marché libre",(C143/(A143*24))/G143,"spécifier histo"))</f>
        <v>#DIV/0!</v>
      </c>
      <c r="F143" s="59" t="n">
        <v>0</v>
      </c>
      <c r="G143" s="59" t="n">
        <v>0</v>
      </c>
      <c r="H143" s="59" t="n">
        <v>0</v>
      </c>
      <c r="I143" s="9" t="s">
        <v>208</v>
      </c>
      <c r="J143" s="30"/>
      <c r="K143" s="30"/>
    </row>
    <row r="144" customFormat="false" ht="23.4" hidden="false" customHeight="true" outlineLevel="0" collapsed="false">
      <c r="A144" s="0" t="n">
        <v>30</v>
      </c>
      <c r="B144" s="31" t="n">
        <v>36647</v>
      </c>
      <c r="C144" s="221" t="n">
        <v>0</v>
      </c>
      <c r="D144" s="29" t="s">
        <v>42</v>
      </c>
      <c r="E144" s="33" t="e">
        <f aca="false">IF(D144="totale",(C144/(A144*24))/F144,IF(D144="marché libre",(C144/(A144*24))/G144,"spécifier histo"))</f>
        <v>#DIV/0!</v>
      </c>
      <c r="F144" s="59" t="n">
        <v>0</v>
      </c>
      <c r="G144" s="59" t="n">
        <v>0</v>
      </c>
      <c r="H144" s="59" t="n">
        <v>0</v>
      </c>
      <c r="I144" s="9" t="s">
        <v>208</v>
      </c>
      <c r="J144" s="30"/>
      <c r="K144" s="30"/>
    </row>
    <row r="145" customFormat="false" ht="23.4" hidden="false" customHeight="true" outlineLevel="0" collapsed="false">
      <c r="A145" s="0" t="n">
        <v>31</v>
      </c>
      <c r="B145" s="34" t="n">
        <v>36678</v>
      </c>
      <c r="C145" s="221" t="n">
        <v>0</v>
      </c>
      <c r="D145" s="29" t="s">
        <v>42</v>
      </c>
      <c r="E145" s="33" t="e">
        <f aca="false">IF(D145="totale",(C145/(A145*24))/F145,IF(D145="marché libre",(C145/(A145*24))/G145,"spécifier histo"))</f>
        <v>#DIV/0!</v>
      </c>
      <c r="F145" s="59" t="n">
        <v>0</v>
      </c>
      <c r="G145" s="59" t="n">
        <v>0</v>
      </c>
      <c r="H145" s="59" t="n">
        <v>0</v>
      </c>
      <c r="I145" s="9" t="s">
        <v>208</v>
      </c>
      <c r="J145" s="30"/>
      <c r="K145" s="30"/>
    </row>
    <row r="146" customFormat="false" ht="23.4" hidden="false" customHeight="true" outlineLevel="0" collapsed="false">
      <c r="A146" s="0" t="n">
        <v>30</v>
      </c>
      <c r="B146" s="31" t="n">
        <v>36708</v>
      </c>
      <c r="C146" s="221" t="n">
        <v>0</v>
      </c>
      <c r="D146" s="29" t="s">
        <v>42</v>
      </c>
      <c r="E146" s="33" t="e">
        <f aca="false">IF(D146="totale",(C146/(A146*24))/F146,IF(D146="marché libre",(C146/(A146*24))/G146,"spécifier histo"))</f>
        <v>#DIV/0!</v>
      </c>
      <c r="F146" s="59" t="n">
        <v>0</v>
      </c>
      <c r="G146" s="59" t="n">
        <v>0</v>
      </c>
      <c r="H146" s="59" t="n">
        <v>0</v>
      </c>
      <c r="I146" s="9" t="s">
        <v>208</v>
      </c>
      <c r="J146" s="30"/>
      <c r="K146" s="30"/>
    </row>
    <row r="147" customFormat="false" ht="23.4" hidden="false" customHeight="true" outlineLevel="0" collapsed="false">
      <c r="A147" s="0" t="n">
        <v>31</v>
      </c>
      <c r="B147" s="34" t="n">
        <v>36739</v>
      </c>
      <c r="C147" s="221" t="n">
        <v>0</v>
      </c>
      <c r="D147" s="29" t="s">
        <v>42</v>
      </c>
      <c r="E147" s="33" t="e">
        <f aca="false">IF(D147="totale",(C147/(A147*24))/F147,IF(D147="marché libre",(C147/(A147*24))/G147,"spécifier histo"))</f>
        <v>#DIV/0!</v>
      </c>
      <c r="F147" s="59" t="n">
        <v>0</v>
      </c>
      <c r="G147" s="59" t="n">
        <v>0</v>
      </c>
      <c r="H147" s="59" t="n">
        <v>0</v>
      </c>
      <c r="I147" s="9" t="s">
        <v>208</v>
      </c>
      <c r="J147" s="30"/>
      <c r="K147" s="30"/>
    </row>
    <row r="148" customFormat="false" ht="23.4" hidden="false" customHeight="true" outlineLevel="0" collapsed="false">
      <c r="A148" s="0" t="n">
        <v>31</v>
      </c>
      <c r="B148" s="31" t="n">
        <v>36770</v>
      </c>
      <c r="C148" s="221" t="n">
        <v>0</v>
      </c>
      <c r="D148" s="29" t="s">
        <v>42</v>
      </c>
      <c r="E148" s="33" t="e">
        <f aca="false">IF(D148="totale",(C148/(A148*24))/F148,IF(D148="marché libre",(C148/(A148*24))/G148,"spécifier histo"))</f>
        <v>#DIV/0!</v>
      </c>
      <c r="F148" s="59" t="n">
        <v>0</v>
      </c>
      <c r="G148" s="59" t="n">
        <v>0</v>
      </c>
      <c r="H148" s="59" t="n">
        <v>0</v>
      </c>
      <c r="I148" s="9" t="s">
        <v>208</v>
      </c>
      <c r="J148" s="30"/>
      <c r="K148" s="30"/>
    </row>
    <row r="149" customFormat="false" ht="23.4" hidden="false" customHeight="true" outlineLevel="0" collapsed="false">
      <c r="A149" s="0" t="n">
        <v>28</v>
      </c>
      <c r="B149" s="34" t="n">
        <v>36800</v>
      </c>
      <c r="C149" s="221" t="n">
        <v>0</v>
      </c>
      <c r="D149" s="29" t="s">
        <v>42</v>
      </c>
      <c r="E149" s="33" t="e">
        <f aca="false">IF(D149="totale",(C149/(A149*24))/F149,IF(D149="marché libre",(C149/(A149*24))/G149,"spécifier histo"))</f>
        <v>#DIV/0!</v>
      </c>
      <c r="F149" s="59" t="n">
        <v>0</v>
      </c>
      <c r="G149" s="59" t="n">
        <v>0</v>
      </c>
      <c r="H149" s="59" t="n">
        <v>0</v>
      </c>
      <c r="I149" s="9" t="s">
        <v>208</v>
      </c>
      <c r="J149" s="30"/>
      <c r="K149" s="30"/>
    </row>
    <row r="150" customFormat="false" ht="23.4" hidden="false" customHeight="true" outlineLevel="0" collapsed="false">
      <c r="A150" s="0" t="n">
        <v>31</v>
      </c>
      <c r="B150" s="31" t="n">
        <v>36831</v>
      </c>
      <c r="C150" s="221" t="n">
        <v>0</v>
      </c>
      <c r="D150" s="29" t="s">
        <v>42</v>
      </c>
      <c r="E150" s="33" t="e">
        <f aca="false">IF(D150="totale",(C150/(A150*24))/F150,IF(D150="marché libre",(C150/(A150*24))/G150,"spécifier histo"))</f>
        <v>#DIV/0!</v>
      </c>
      <c r="F150" s="59" t="n">
        <v>0</v>
      </c>
      <c r="G150" s="59" t="n">
        <v>0</v>
      </c>
      <c r="H150" s="59" t="n">
        <v>0</v>
      </c>
      <c r="I150" s="9" t="s">
        <v>208</v>
      </c>
      <c r="J150" s="30"/>
      <c r="K150" s="30"/>
    </row>
    <row r="151" customFormat="false" ht="23.4" hidden="false" customHeight="true" outlineLevel="0" collapsed="false">
      <c r="A151" s="0" t="n">
        <v>28</v>
      </c>
      <c r="B151" s="34" t="n">
        <v>36861</v>
      </c>
      <c r="C151" s="221" t="n">
        <v>0</v>
      </c>
      <c r="D151" s="29" t="s">
        <v>42</v>
      </c>
      <c r="E151" s="33" t="e">
        <f aca="false">IF(D151="totale",(C151/(A151*24))/F151,IF(D151="marché libre",(C151/(A151*24))/G151,"spécifier histo"))</f>
        <v>#DIV/0!</v>
      </c>
      <c r="F151" s="59" t="n">
        <v>0</v>
      </c>
      <c r="G151" s="59" t="n">
        <v>0</v>
      </c>
      <c r="H151" s="59" t="n">
        <v>0</v>
      </c>
      <c r="I151" s="9" t="s">
        <v>208</v>
      </c>
      <c r="J151" s="30"/>
      <c r="K151" s="30"/>
    </row>
    <row r="152" customFormat="false" ht="23.4" hidden="false" customHeight="true" outlineLevel="0" collapsed="false">
      <c r="A152" s="0" t="n">
        <v>31</v>
      </c>
      <c r="B152" s="31" t="n">
        <v>36892</v>
      </c>
      <c r="C152" s="221" t="n">
        <v>0</v>
      </c>
      <c r="D152" s="29" t="s">
        <v>42</v>
      </c>
      <c r="E152" s="33" t="e">
        <f aca="false">IF(D152="totale",(C152/(A152*24))/F152,IF(D152="marché libre",(C152/(A152*24))/G152,"spécifier histo"))</f>
        <v>#DIV/0!</v>
      </c>
      <c r="F152" s="59" t="n">
        <v>0</v>
      </c>
      <c r="G152" s="59" t="n">
        <v>0</v>
      </c>
      <c r="H152" s="59" t="n">
        <v>0</v>
      </c>
      <c r="I152" s="9" t="s">
        <v>208</v>
      </c>
      <c r="J152" s="30"/>
      <c r="K152" s="30"/>
    </row>
    <row r="153" customFormat="false" ht="23.4" hidden="false" customHeight="true" outlineLevel="0" collapsed="false">
      <c r="A153" s="0" t="n">
        <v>30</v>
      </c>
      <c r="B153" s="34" t="n">
        <v>36923</v>
      </c>
      <c r="C153" s="221" t="n">
        <v>0</v>
      </c>
      <c r="D153" s="29" t="s">
        <v>42</v>
      </c>
      <c r="E153" s="33" t="e">
        <f aca="false">IF(D153="totale",(C153/(A153*24))/F153,IF(D153="marché libre",(C153/(A153*24))/G153,"spécifier histo"))</f>
        <v>#DIV/0!</v>
      </c>
      <c r="F153" s="59" t="n">
        <v>0</v>
      </c>
      <c r="G153" s="59" t="n">
        <v>0</v>
      </c>
      <c r="H153" s="59" t="n">
        <v>0</v>
      </c>
      <c r="I153" s="9" t="s">
        <v>208</v>
      </c>
      <c r="J153" s="30"/>
      <c r="K153" s="30"/>
    </row>
    <row r="154" customFormat="false" ht="23.4" hidden="false" customHeight="true" outlineLevel="0" collapsed="false">
      <c r="A154" s="0" t="n">
        <v>31</v>
      </c>
      <c r="B154" s="31" t="n">
        <v>36951</v>
      </c>
      <c r="C154" s="221" t="n">
        <v>0</v>
      </c>
      <c r="D154" s="29" t="s">
        <v>42</v>
      </c>
      <c r="E154" s="33" t="e">
        <f aca="false">IF(D154="totale",(C154/(A154*24))/F154,IF(D154="marché libre",(C154/(A154*24))/G154,"spécifier histo"))</f>
        <v>#DIV/0!</v>
      </c>
      <c r="F154" s="59" t="n">
        <v>0</v>
      </c>
      <c r="G154" s="59" t="n">
        <v>0</v>
      </c>
      <c r="H154" s="59" t="n">
        <v>0</v>
      </c>
      <c r="I154" s="9" t="s">
        <v>208</v>
      </c>
      <c r="J154" s="30"/>
      <c r="K154" s="30"/>
    </row>
    <row r="155" customFormat="false" ht="23.4" hidden="false" customHeight="true" outlineLevel="0" collapsed="false">
      <c r="A155" s="0" t="n">
        <v>30</v>
      </c>
      <c r="B155" s="34" t="n">
        <v>36982</v>
      </c>
      <c r="C155" s="221" t="n">
        <v>0</v>
      </c>
      <c r="D155" s="29" t="s">
        <v>42</v>
      </c>
      <c r="E155" s="33" t="e">
        <f aca="false">IF(D155="totale",(C155/(A155*24))/F155,IF(D155="marché libre",(C155/(A155*24))/G155,"spécifier histo"))</f>
        <v>#DIV/0!</v>
      </c>
      <c r="F155" s="59" t="n">
        <v>0</v>
      </c>
      <c r="G155" s="59" t="n">
        <v>0</v>
      </c>
      <c r="H155" s="59" t="n">
        <v>0</v>
      </c>
      <c r="I155" s="9" t="s">
        <v>208</v>
      </c>
      <c r="J155" s="30"/>
      <c r="K155" s="30"/>
    </row>
    <row r="156" customFormat="false" ht="23.4" hidden="false" customHeight="true" outlineLevel="0" collapsed="false">
      <c r="A156" s="0" t="n">
        <v>31</v>
      </c>
      <c r="B156" s="31" t="n">
        <v>37012</v>
      </c>
      <c r="C156" s="221" t="n">
        <v>0</v>
      </c>
      <c r="D156" s="29" t="s">
        <v>42</v>
      </c>
      <c r="E156" s="33" t="e">
        <f aca="false">IF(D156="totale",(C156/(A156*24))/F156,IF(D156="marché libre",(C156/(A156*24))/G156,"spécifier histo"))</f>
        <v>#DIV/0!</v>
      </c>
      <c r="F156" s="59" t="n">
        <v>0</v>
      </c>
      <c r="G156" s="59" t="n">
        <v>0</v>
      </c>
      <c r="H156" s="59" t="n">
        <v>0</v>
      </c>
      <c r="I156" s="9" t="s">
        <v>208</v>
      </c>
      <c r="J156" s="30"/>
      <c r="K156" s="30"/>
    </row>
    <row r="157" customFormat="false" ht="23.4" hidden="false" customHeight="true" outlineLevel="0" collapsed="false">
      <c r="A157" s="0" t="n">
        <v>31</v>
      </c>
      <c r="B157" s="34" t="n">
        <v>37043</v>
      </c>
      <c r="C157" s="221" t="n">
        <v>0</v>
      </c>
      <c r="D157" s="29" t="s">
        <v>42</v>
      </c>
      <c r="E157" s="33" t="e">
        <f aca="false">IF(D157="totale",(C157/(A157*24))/F157,IF(D157="marché libre",(C157/(A157*24))/G157,"spécifier histo"))</f>
        <v>#DIV/0!</v>
      </c>
      <c r="F157" s="59" t="n">
        <v>0</v>
      </c>
      <c r="G157" s="59" t="n">
        <v>0</v>
      </c>
      <c r="H157" s="59" t="n">
        <v>0</v>
      </c>
      <c r="I157" s="9" t="s">
        <v>208</v>
      </c>
      <c r="J157" s="30"/>
      <c r="K157" s="30"/>
    </row>
    <row r="158" customFormat="false" ht="23.4" hidden="false" customHeight="true" outlineLevel="0" collapsed="false">
      <c r="A158" s="0" t="n">
        <v>30</v>
      </c>
      <c r="B158" s="31" t="n">
        <v>37073</v>
      </c>
      <c r="C158" s="221" t="n">
        <v>0</v>
      </c>
      <c r="D158" s="29" t="s">
        <v>42</v>
      </c>
      <c r="E158" s="33" t="e">
        <f aca="false">IF(D158="totale",(C158/(A158*24))/F158,IF(D158="marché libre",(C158/(A158*24))/G158,"spécifier histo"))</f>
        <v>#DIV/0!</v>
      </c>
      <c r="F158" s="59" t="n">
        <v>0</v>
      </c>
      <c r="G158" s="59" t="n">
        <v>0</v>
      </c>
      <c r="H158" s="59" t="n">
        <v>0</v>
      </c>
      <c r="I158" s="9" t="s">
        <v>208</v>
      </c>
      <c r="J158" s="30"/>
      <c r="K158" s="30"/>
    </row>
    <row r="159" customFormat="false" ht="23.4" hidden="false" customHeight="true" outlineLevel="0" collapsed="false">
      <c r="A159" s="0" t="n">
        <v>31</v>
      </c>
      <c r="B159" s="34" t="n">
        <v>37104</v>
      </c>
      <c r="C159" s="221" t="n">
        <v>0</v>
      </c>
      <c r="D159" s="29" t="s">
        <v>42</v>
      </c>
      <c r="E159" s="33" t="e">
        <f aca="false">IF(D159="totale",(C159/(A159*24))/F159,IF(D159="marché libre",(C159/(A159*24))/G159,"spécifier histo"))</f>
        <v>#DIV/0!</v>
      </c>
      <c r="F159" s="59" t="n">
        <v>0</v>
      </c>
      <c r="G159" s="59" t="n">
        <v>0</v>
      </c>
      <c r="H159" s="59" t="n">
        <v>0</v>
      </c>
      <c r="I159" s="9" t="s">
        <v>208</v>
      </c>
      <c r="J159" s="30"/>
      <c r="K159" s="30"/>
    </row>
    <row r="160" customFormat="false" ht="23.4" hidden="false" customHeight="true" outlineLevel="0" collapsed="false">
      <c r="A160" s="1" t="n">
        <v>31</v>
      </c>
      <c r="B160" s="31" t="n">
        <v>37135</v>
      </c>
      <c r="C160" s="221" t="n">
        <v>0</v>
      </c>
      <c r="D160" s="29" t="s">
        <v>42</v>
      </c>
      <c r="E160" s="33" t="e">
        <f aca="false">IF(D160="totale",(C160/(A160*24))/F160,IF(D160="marché libre",(C160/(A160*24))/G160,"spécifier histo"))</f>
        <v>#DIV/0!</v>
      </c>
      <c r="F160" s="59" t="n">
        <v>0</v>
      </c>
      <c r="G160" s="59" t="n">
        <v>0</v>
      </c>
      <c r="H160" s="59" t="n">
        <v>0</v>
      </c>
      <c r="I160" s="9" t="s">
        <v>208</v>
      </c>
      <c r="J160" s="30"/>
      <c r="K160" s="30"/>
    </row>
    <row r="161" customFormat="false" ht="23.4" hidden="false" customHeight="true" outlineLevel="0" collapsed="false">
      <c r="A161" s="1" t="n">
        <v>30</v>
      </c>
      <c r="B161" s="34" t="n">
        <v>37165</v>
      </c>
      <c r="C161" s="221" t="n">
        <v>0</v>
      </c>
      <c r="D161" s="29" t="s">
        <v>42</v>
      </c>
      <c r="E161" s="33" t="e">
        <f aca="false">IF(D161="totale",(C161/(A161*24))/F161,IF(D161="marché libre",(C161/(A161*24))/G161,"spécifier histo"))</f>
        <v>#DIV/0!</v>
      </c>
      <c r="F161" s="59" t="n">
        <v>0</v>
      </c>
      <c r="G161" s="59" t="n">
        <v>0</v>
      </c>
      <c r="H161" s="59" t="n">
        <v>0</v>
      </c>
      <c r="I161" s="9" t="s">
        <v>208</v>
      </c>
      <c r="J161" s="30"/>
      <c r="K161" s="30"/>
    </row>
    <row r="162" customFormat="false" ht="23.4" hidden="false" customHeight="true" outlineLevel="0" collapsed="false">
      <c r="A162" s="1" t="n">
        <v>31</v>
      </c>
      <c r="B162" s="31" t="n">
        <v>37196</v>
      </c>
      <c r="C162" s="221" t="n">
        <v>0</v>
      </c>
      <c r="D162" s="29" t="s">
        <v>42</v>
      </c>
      <c r="E162" s="33" t="e">
        <f aca="false">IF(D162="totale",(C162/(A162*24))/F162,IF(D162="marché libre",(C162/(A162*24))/G162,"spécifier histo"))</f>
        <v>#DIV/0!</v>
      </c>
      <c r="F162" s="59" t="n">
        <v>0</v>
      </c>
      <c r="G162" s="59" t="n">
        <v>0</v>
      </c>
      <c r="H162" s="59" t="n">
        <v>0</v>
      </c>
      <c r="I162" s="9" t="s">
        <v>208</v>
      </c>
      <c r="J162" s="30"/>
      <c r="K162" s="30"/>
    </row>
    <row r="163" customFormat="false" ht="23.4" hidden="false" customHeight="true" outlineLevel="0" collapsed="false">
      <c r="A163" s="1" t="n">
        <v>31</v>
      </c>
      <c r="B163" s="34" t="n">
        <v>37226</v>
      </c>
      <c r="C163" s="221" t="n">
        <v>0</v>
      </c>
      <c r="D163" s="29" t="s">
        <v>42</v>
      </c>
      <c r="E163" s="33" t="e">
        <f aca="false">IF(D163="totale",(C163/(A163*24))/F163,IF(D163="marché libre",(C163/(A163*24))/G163,"spécifier histo"))</f>
        <v>#DIV/0!</v>
      </c>
      <c r="F163" s="59" t="n">
        <v>0</v>
      </c>
      <c r="G163" s="59" t="n">
        <v>0</v>
      </c>
      <c r="H163" s="59" t="n">
        <v>0</v>
      </c>
      <c r="I163" s="9" t="s">
        <v>208</v>
      </c>
      <c r="J163" s="30"/>
      <c r="K163" s="30"/>
    </row>
    <row r="164" customFormat="false" ht="23.4" hidden="false" customHeight="true" outlineLevel="0" collapsed="false">
      <c r="A164" s="1" t="n">
        <v>28</v>
      </c>
      <c r="B164" s="31" t="n">
        <v>37257</v>
      </c>
      <c r="C164" s="221" t="n">
        <v>0</v>
      </c>
      <c r="D164" s="29" t="s">
        <v>42</v>
      </c>
      <c r="E164" s="33" t="e">
        <f aca="false">IF(D164="totale",(C164/(A164*24))/F164,IF(D164="marché libre",(C164/(A164*24))/G164,"spécifier histo"))</f>
        <v>#DIV/0!</v>
      </c>
      <c r="F164" s="59" t="n">
        <v>0</v>
      </c>
      <c r="G164" s="59" t="n">
        <v>0</v>
      </c>
      <c r="H164" s="59" t="n">
        <v>0</v>
      </c>
      <c r="I164" s="9" t="s">
        <v>208</v>
      </c>
      <c r="J164" s="30"/>
      <c r="K164" s="30"/>
    </row>
    <row r="165" customFormat="false" ht="23.4" hidden="false" customHeight="true" outlineLevel="0" collapsed="false">
      <c r="A165" s="1" t="n">
        <v>31</v>
      </c>
      <c r="B165" s="34" t="n">
        <v>37288</v>
      </c>
      <c r="C165" s="221" t="n">
        <v>0</v>
      </c>
      <c r="D165" s="29" t="s">
        <v>42</v>
      </c>
      <c r="E165" s="33" t="e">
        <f aca="false">IF(D165="totale",(C165/(A165*24))/F165,IF(D165="marché libre",(C165/(A165*24))/G165,"spécifier histo"))</f>
        <v>#DIV/0!</v>
      </c>
      <c r="F165" s="59" t="n">
        <v>0</v>
      </c>
      <c r="G165" s="59" t="n">
        <v>0</v>
      </c>
      <c r="H165" s="59" t="n">
        <v>0</v>
      </c>
      <c r="I165" s="9" t="s">
        <v>208</v>
      </c>
      <c r="J165" s="30"/>
      <c r="K165" s="30"/>
    </row>
    <row r="166" customFormat="false" ht="23.4" hidden="false" customHeight="true" outlineLevel="0" collapsed="false">
      <c r="A166" s="1" t="n">
        <v>30</v>
      </c>
      <c r="B166" s="31" t="n">
        <v>37316</v>
      </c>
      <c r="C166" s="221" t="n">
        <v>0</v>
      </c>
      <c r="D166" s="29" t="s">
        <v>42</v>
      </c>
      <c r="E166" s="33" t="e">
        <f aca="false">IF(D166="totale",(C166/(A166*24))/F166,IF(D166="marché libre",(C166/(A166*24))/G166,"spécifier histo"))</f>
        <v>#DIV/0!</v>
      </c>
      <c r="F166" s="59" t="n">
        <v>0</v>
      </c>
      <c r="G166" s="59" t="n">
        <v>0</v>
      </c>
      <c r="H166" s="59" t="n">
        <v>0</v>
      </c>
      <c r="I166" s="9" t="s">
        <v>208</v>
      </c>
      <c r="J166" s="30"/>
      <c r="K166" s="30"/>
    </row>
    <row r="167" customFormat="false" ht="23.4" hidden="false" customHeight="true" outlineLevel="0" collapsed="false">
      <c r="A167" s="1" t="n">
        <v>31</v>
      </c>
      <c r="B167" s="34" t="n">
        <v>37347</v>
      </c>
      <c r="C167" s="221" t="n">
        <v>0</v>
      </c>
      <c r="D167" s="29" t="s">
        <v>42</v>
      </c>
      <c r="E167" s="33" t="e">
        <f aca="false">IF(D167="totale",(C167/(A167*24))/F167,IF(D167="marché libre",(C167/(A167*24))/G167,"spécifier histo"))</f>
        <v>#DIV/0!</v>
      </c>
      <c r="F167" s="59" t="n">
        <v>0</v>
      </c>
      <c r="G167" s="59" t="n">
        <v>0</v>
      </c>
      <c r="H167" s="59" t="n">
        <v>0</v>
      </c>
      <c r="I167" s="9" t="s">
        <v>208</v>
      </c>
      <c r="J167" s="30"/>
      <c r="K167" s="30"/>
    </row>
    <row r="168" customFormat="false" ht="23.4" hidden="false" customHeight="true" outlineLevel="0" collapsed="false">
      <c r="A168" s="1" t="n">
        <v>30</v>
      </c>
      <c r="B168" s="31" t="n">
        <v>37377</v>
      </c>
      <c r="C168" s="221" t="n">
        <v>0</v>
      </c>
      <c r="D168" s="29" t="s">
        <v>42</v>
      </c>
      <c r="E168" s="33" t="e">
        <f aca="false">IF(D168="totale",(C168/(A168*24))/F168,IF(D168="marché libre",(C168/(A168*24))/G168,"spécifier histo"))</f>
        <v>#DIV/0!</v>
      </c>
      <c r="F168" s="59" t="n">
        <v>0</v>
      </c>
      <c r="G168" s="59" t="n">
        <v>0</v>
      </c>
      <c r="H168" s="59" t="n">
        <v>0</v>
      </c>
      <c r="I168" s="9" t="s">
        <v>208</v>
      </c>
      <c r="J168" s="30"/>
      <c r="K168" s="30"/>
    </row>
    <row r="169" customFormat="false" ht="23.4" hidden="false" customHeight="true" outlineLevel="0" collapsed="false">
      <c r="A169" s="1" t="n">
        <v>31</v>
      </c>
      <c r="B169" s="34" t="n">
        <v>37408</v>
      </c>
      <c r="C169" s="221" t="n">
        <v>0</v>
      </c>
      <c r="D169" s="29" t="s">
        <v>42</v>
      </c>
      <c r="E169" s="33" t="e">
        <f aca="false">IF(D169="totale",(C169/(A169*24))/F169,IF(D169="marché libre",(C169/(A169*24))/G169,"spécifier histo"))</f>
        <v>#DIV/0!</v>
      </c>
      <c r="F169" s="59" t="n">
        <v>0</v>
      </c>
      <c r="G169" s="59" t="n">
        <v>0</v>
      </c>
      <c r="H169" s="59" t="n">
        <v>0</v>
      </c>
      <c r="I169" s="9" t="s">
        <v>208</v>
      </c>
      <c r="J169" s="30"/>
      <c r="K169" s="30"/>
    </row>
    <row r="170" customFormat="false" ht="23.4" hidden="false" customHeight="true" outlineLevel="0" collapsed="false">
      <c r="A170" s="1" t="n">
        <v>31</v>
      </c>
      <c r="B170" s="31" t="n">
        <v>37438</v>
      </c>
      <c r="C170" s="221" t="n">
        <v>0</v>
      </c>
      <c r="D170" s="29" t="s">
        <v>42</v>
      </c>
      <c r="E170" s="33" t="e">
        <f aca="false">IF(D170="totale",(C170/(A170*24))/F170,IF(D170="marché libre",(C170/(A170*24))/G170,"spécifier histo"))</f>
        <v>#DIV/0!</v>
      </c>
      <c r="F170" s="59" t="n">
        <v>0</v>
      </c>
      <c r="G170" s="59" t="n">
        <v>0</v>
      </c>
      <c r="H170" s="59" t="n">
        <v>0</v>
      </c>
      <c r="I170" s="9" t="s">
        <v>208</v>
      </c>
      <c r="J170" s="30"/>
      <c r="K170" s="30"/>
    </row>
    <row r="171" customFormat="false" ht="23.4" hidden="false" customHeight="true" outlineLevel="0" collapsed="false">
      <c r="A171" s="1" t="n">
        <v>30</v>
      </c>
      <c r="B171" s="34" t="n">
        <v>37469</v>
      </c>
      <c r="C171" s="221" t="n">
        <v>0</v>
      </c>
      <c r="D171" s="29" t="s">
        <v>42</v>
      </c>
      <c r="E171" s="33" t="e">
        <f aca="false">IF(D171="totale",(C171/(A171*24))/F171,IF(D171="marché libre",(C171/(A171*24))/G171,"spécifier histo"))</f>
        <v>#DIV/0!</v>
      </c>
      <c r="F171" s="59" t="n">
        <v>0</v>
      </c>
      <c r="G171" s="59" t="n">
        <v>0</v>
      </c>
      <c r="H171" s="59" t="n">
        <v>0</v>
      </c>
      <c r="I171" s="9" t="s">
        <v>208</v>
      </c>
      <c r="J171" s="30"/>
      <c r="K171" s="30"/>
    </row>
    <row r="172" customFormat="false" ht="23.4" hidden="false" customHeight="true" outlineLevel="0" collapsed="false">
      <c r="A172" s="1" t="n">
        <v>31</v>
      </c>
      <c r="B172" s="31" t="n">
        <v>37500</v>
      </c>
      <c r="C172" s="221" t="n">
        <v>0</v>
      </c>
      <c r="D172" s="29" t="s">
        <v>42</v>
      </c>
      <c r="E172" s="33" t="e">
        <f aca="false">IF(D172="totale",(C172/(A172*24))/F172,IF(D172="marché libre",(C172/(A172*24))/G172,"spécifier histo"))</f>
        <v>#DIV/0!</v>
      </c>
      <c r="F172" s="59" t="n">
        <v>0</v>
      </c>
      <c r="G172" s="59" t="n">
        <v>0</v>
      </c>
      <c r="H172" s="59" t="n">
        <v>0</v>
      </c>
      <c r="I172" s="9" t="s">
        <v>208</v>
      </c>
      <c r="J172" s="30"/>
      <c r="K172" s="30"/>
    </row>
    <row r="173" customFormat="false" ht="23.4" hidden="false" customHeight="true" outlineLevel="0" collapsed="false">
      <c r="A173" s="1" t="n">
        <v>30</v>
      </c>
      <c r="B173" s="34" t="n">
        <v>37530</v>
      </c>
      <c r="C173" s="221" t="n">
        <v>0</v>
      </c>
      <c r="D173" s="29" t="s">
        <v>42</v>
      </c>
      <c r="E173" s="33" t="e">
        <f aca="false">IF(D173="totale",(C173/(A173*24))/F173,IF(D173="marché libre",(C173/(A173*24))/G173,"spécifier histo"))</f>
        <v>#DIV/0!</v>
      </c>
      <c r="F173" s="59" t="n">
        <v>0</v>
      </c>
      <c r="G173" s="59" t="n">
        <v>0</v>
      </c>
      <c r="H173" s="59" t="n">
        <v>0</v>
      </c>
      <c r="I173" s="9" t="s">
        <v>208</v>
      </c>
      <c r="J173" s="30"/>
      <c r="K173" s="30"/>
    </row>
    <row r="174" customFormat="false" ht="23.4" hidden="false" customHeight="true" outlineLevel="0" collapsed="false">
      <c r="A174" s="1" t="n">
        <v>31</v>
      </c>
      <c r="B174" s="31" t="n">
        <v>37561</v>
      </c>
      <c r="C174" s="221" t="n">
        <v>0</v>
      </c>
      <c r="D174" s="29" t="s">
        <v>42</v>
      </c>
      <c r="E174" s="33" t="e">
        <f aca="false">IF(D174="totale",(C174/(A174*24))/F174,IF(D174="marché libre",(C174/(A174*24))/G174,"spécifier histo"))</f>
        <v>#DIV/0!</v>
      </c>
      <c r="F174" s="59" t="n">
        <v>0</v>
      </c>
      <c r="G174" s="59" t="n">
        <v>0</v>
      </c>
      <c r="H174" s="59" t="n">
        <v>0</v>
      </c>
      <c r="I174" s="9" t="s">
        <v>208</v>
      </c>
      <c r="J174" s="30"/>
      <c r="K174" s="30"/>
    </row>
    <row r="175" customFormat="false" ht="23.4" hidden="false" customHeight="true" outlineLevel="0" collapsed="false">
      <c r="A175" s="1" t="n">
        <v>31</v>
      </c>
      <c r="B175" s="34" t="n">
        <v>37591</v>
      </c>
      <c r="C175" s="221" t="n">
        <v>0</v>
      </c>
      <c r="D175" s="29" t="s">
        <v>42</v>
      </c>
      <c r="E175" s="33" t="e">
        <f aca="false">IF(D175="totale",(C175/(A175*24))/F175,IF(D175="marché libre",(C175/(A175*24))/G175,"spécifier histo"))</f>
        <v>#DIV/0!</v>
      </c>
      <c r="F175" s="59" t="n">
        <v>0</v>
      </c>
      <c r="G175" s="59" t="n">
        <v>0</v>
      </c>
      <c r="H175" s="59" t="n">
        <v>0</v>
      </c>
      <c r="I175" s="9" t="s">
        <v>208</v>
      </c>
      <c r="J175" s="30"/>
      <c r="K175" s="30"/>
    </row>
    <row r="176" customFormat="false" ht="23.4" hidden="false" customHeight="true" outlineLevel="0" collapsed="false">
      <c r="A176" s="1" t="n">
        <v>28</v>
      </c>
      <c r="B176" s="31" t="n">
        <v>37622</v>
      </c>
      <c r="C176" s="221" t="n">
        <v>0</v>
      </c>
      <c r="D176" s="29" t="s">
        <v>42</v>
      </c>
      <c r="E176" s="33" t="e">
        <f aca="false">IF(D176="totale",(C176/(A176*24))/F176,IF(D176="marché libre",(C176/(A176*24))/G176,"spécifier histo"))</f>
        <v>#DIV/0!</v>
      </c>
      <c r="F176" s="59" t="n">
        <v>0</v>
      </c>
      <c r="G176" s="59" t="n">
        <v>0</v>
      </c>
      <c r="H176" s="59" t="n">
        <v>0</v>
      </c>
      <c r="I176" s="9" t="s">
        <v>208</v>
      </c>
      <c r="J176" s="30"/>
      <c r="K176" s="30"/>
    </row>
    <row r="177" customFormat="false" ht="23.4" hidden="false" customHeight="true" outlineLevel="0" collapsed="false">
      <c r="A177" s="1" t="n">
        <v>31</v>
      </c>
      <c r="B177" s="34" t="n">
        <v>37653</v>
      </c>
      <c r="C177" s="221" t="n">
        <v>0</v>
      </c>
      <c r="D177" s="29" t="s">
        <v>42</v>
      </c>
      <c r="E177" s="33" t="e">
        <f aca="false">IF(D177="totale",(C177/(A177*24))/F177,IF(D177="marché libre",(C177/(A177*24))/G177,"spécifier histo"))</f>
        <v>#DIV/0!</v>
      </c>
      <c r="F177" s="59" t="n">
        <v>0</v>
      </c>
      <c r="G177" s="59" t="n">
        <v>0</v>
      </c>
      <c r="H177" s="59" t="n">
        <v>0</v>
      </c>
      <c r="I177" s="9" t="s">
        <v>208</v>
      </c>
      <c r="J177" s="30"/>
      <c r="K177" s="30"/>
    </row>
    <row r="178" customFormat="false" ht="23.4" hidden="false" customHeight="true" outlineLevel="0" collapsed="false">
      <c r="A178" s="1" t="n">
        <v>30</v>
      </c>
      <c r="B178" s="31" t="n">
        <v>37681</v>
      </c>
      <c r="C178" s="221" t="n">
        <v>0</v>
      </c>
      <c r="D178" s="29" t="s">
        <v>42</v>
      </c>
      <c r="E178" s="33" t="e">
        <f aca="false">IF(D178="totale",(C178/(A178*24))/F178,IF(D178="marché libre",(C178/(A178*24))/G178,"spécifier histo"))</f>
        <v>#DIV/0!</v>
      </c>
      <c r="F178" s="59" t="n">
        <v>0</v>
      </c>
      <c r="G178" s="59" t="n">
        <v>0</v>
      </c>
      <c r="H178" s="59" t="n">
        <v>0</v>
      </c>
      <c r="I178" s="9" t="s">
        <v>208</v>
      </c>
      <c r="J178" s="30"/>
      <c r="K178" s="30"/>
    </row>
    <row r="179" customFormat="false" ht="23.4" hidden="false" customHeight="true" outlineLevel="0" collapsed="false">
      <c r="A179" s="1" t="n">
        <v>31</v>
      </c>
      <c r="B179" s="34" t="n">
        <v>37712</v>
      </c>
      <c r="C179" s="221" t="n">
        <v>0</v>
      </c>
      <c r="D179" s="29" t="s">
        <v>42</v>
      </c>
      <c r="E179" s="33" t="e">
        <f aca="false">IF(D179="totale",(C179/(A179*24))/F179,IF(D179="marché libre",(C179/(A179*24))/G179,"spécifier histo"))</f>
        <v>#DIV/0!</v>
      </c>
      <c r="F179" s="59" t="n">
        <v>0</v>
      </c>
      <c r="G179" s="59" t="n">
        <v>0</v>
      </c>
      <c r="H179" s="59" t="n">
        <v>0</v>
      </c>
      <c r="I179" s="9" t="s">
        <v>208</v>
      </c>
      <c r="J179" s="30"/>
      <c r="K179" s="30"/>
    </row>
    <row r="180" customFormat="false" ht="23.4" hidden="false" customHeight="true" outlineLevel="0" collapsed="false">
      <c r="A180" s="1" t="n">
        <v>30</v>
      </c>
      <c r="B180" s="31" t="n">
        <v>37742</v>
      </c>
      <c r="C180" s="221" t="n">
        <v>0</v>
      </c>
      <c r="D180" s="29" t="s">
        <v>42</v>
      </c>
      <c r="E180" s="33" t="e">
        <f aca="false">IF(D180="totale",(C180/(A180*24))/F180,IF(D180="marché libre",(C180/(A180*24))/G180,"spécifier histo"))</f>
        <v>#DIV/0!</v>
      </c>
      <c r="F180" s="59" t="n">
        <v>0</v>
      </c>
      <c r="G180" s="59" t="n">
        <v>0</v>
      </c>
      <c r="H180" s="59" t="n">
        <v>0</v>
      </c>
      <c r="I180" s="9" t="s">
        <v>208</v>
      </c>
      <c r="J180" s="30"/>
      <c r="K180" s="30"/>
    </row>
    <row r="181" customFormat="false" ht="23.4" hidden="false" customHeight="true" outlineLevel="0" collapsed="false">
      <c r="A181" s="1" t="n">
        <v>31</v>
      </c>
      <c r="B181" s="34" t="n">
        <v>37773</v>
      </c>
      <c r="C181" s="221" t="n">
        <v>0</v>
      </c>
      <c r="D181" s="29" t="s">
        <v>42</v>
      </c>
      <c r="E181" s="33" t="e">
        <f aca="false">IF(D181="totale",(C181/(A181*24))/F181,IF(D181="marché libre",(C181/(A181*24))/G181,"spécifier histo"))</f>
        <v>#DIV/0!</v>
      </c>
      <c r="F181" s="59" t="n">
        <v>0</v>
      </c>
      <c r="G181" s="59" t="n">
        <v>0</v>
      </c>
      <c r="H181" s="59" t="n">
        <v>0</v>
      </c>
      <c r="I181" s="9" t="s">
        <v>208</v>
      </c>
      <c r="J181" s="30"/>
      <c r="K181" s="30"/>
    </row>
    <row r="182" customFormat="false" ht="23.4" hidden="false" customHeight="true" outlineLevel="0" collapsed="false">
      <c r="A182" s="1" t="n">
        <v>31</v>
      </c>
      <c r="B182" s="31" t="n">
        <v>37803</v>
      </c>
      <c r="C182" s="221" t="n">
        <v>0</v>
      </c>
      <c r="D182" s="29" t="s">
        <v>42</v>
      </c>
      <c r="E182" s="33" t="e">
        <f aca="false">IF(D182="totale",(C182/(A182*24))/F182,IF(D182="marché libre",(C182/(A182*24))/G182,"spécifier histo"))</f>
        <v>#DIV/0!</v>
      </c>
      <c r="F182" s="59" t="n">
        <v>0</v>
      </c>
      <c r="G182" s="59" t="n">
        <v>0</v>
      </c>
      <c r="H182" s="59" t="n">
        <v>0</v>
      </c>
      <c r="I182" s="9" t="s">
        <v>208</v>
      </c>
      <c r="J182" s="30"/>
      <c r="K182" s="30"/>
    </row>
    <row r="183" customFormat="false" ht="23.4" hidden="false" customHeight="true" outlineLevel="0" collapsed="false">
      <c r="A183" s="1" t="n">
        <v>30</v>
      </c>
      <c r="B183" s="34" t="n">
        <v>37834</v>
      </c>
      <c r="C183" s="221" t="n">
        <v>0</v>
      </c>
      <c r="D183" s="29" t="s">
        <v>42</v>
      </c>
      <c r="E183" s="33" t="e">
        <f aca="false">IF(D183="totale",(C183/(A183*24))/F183,IF(D183="marché libre",(C183/(A183*24))/G183,"spécifier histo"))</f>
        <v>#DIV/0!</v>
      </c>
      <c r="F183" s="59" t="n">
        <v>0</v>
      </c>
      <c r="G183" s="59" t="n">
        <v>0</v>
      </c>
      <c r="H183" s="59" t="n">
        <v>0</v>
      </c>
      <c r="I183" s="9" t="s">
        <v>208</v>
      </c>
      <c r="J183" s="30"/>
      <c r="K183" s="30"/>
    </row>
    <row r="184" customFormat="false" ht="23.4" hidden="false" customHeight="true" outlineLevel="0" collapsed="false">
      <c r="A184" s="1" t="n">
        <v>31</v>
      </c>
      <c r="B184" s="31" t="n">
        <v>37865</v>
      </c>
      <c r="C184" s="221" t="n">
        <v>0</v>
      </c>
      <c r="D184" s="29" t="s">
        <v>42</v>
      </c>
      <c r="E184" s="33" t="e">
        <f aca="false">IF(D184="totale",(C184/(A184*24))/F184,IF(D184="marché libre",(C184/(A184*24))/G184,"spécifier histo"))</f>
        <v>#DIV/0!</v>
      </c>
      <c r="F184" s="59" t="n">
        <v>0</v>
      </c>
      <c r="G184" s="59" t="n">
        <v>0</v>
      </c>
      <c r="H184" s="59" t="n">
        <v>0</v>
      </c>
      <c r="I184" s="9" t="s">
        <v>208</v>
      </c>
      <c r="J184" s="30"/>
      <c r="K184" s="30"/>
    </row>
    <row r="185" customFormat="false" ht="23.4" hidden="false" customHeight="true" outlineLevel="0" collapsed="false">
      <c r="A185" s="1" t="n">
        <v>30</v>
      </c>
      <c r="B185" s="34" t="n">
        <v>37895</v>
      </c>
      <c r="C185" s="221" t="n">
        <v>0</v>
      </c>
      <c r="D185" s="29" t="s">
        <v>42</v>
      </c>
      <c r="E185" s="33" t="e">
        <f aca="false">IF(D185="totale",(C185/(A185*24))/F185,IF(D185="marché libre",(C185/(A185*24))/G185,"spécifier histo"))</f>
        <v>#DIV/0!</v>
      </c>
      <c r="F185" s="59" t="n">
        <v>0</v>
      </c>
      <c r="G185" s="59" t="n">
        <v>0</v>
      </c>
      <c r="H185" s="59" t="n">
        <v>0</v>
      </c>
      <c r="I185" s="9" t="s">
        <v>208</v>
      </c>
      <c r="J185" s="30"/>
      <c r="K185" s="30"/>
    </row>
    <row r="186" customFormat="false" ht="23.4" hidden="false" customHeight="true" outlineLevel="0" collapsed="false">
      <c r="A186" s="1" t="n">
        <v>31</v>
      </c>
      <c r="B186" s="31" t="n">
        <v>37926</v>
      </c>
      <c r="C186" s="221" t="n">
        <v>0</v>
      </c>
      <c r="D186" s="29" t="s">
        <v>42</v>
      </c>
      <c r="E186" s="33" t="e">
        <f aca="false">IF(D186="totale",(C186/(A186*24))/F186,IF(D186="marché libre",(C186/(A186*24))/G186,"spécifier histo"))</f>
        <v>#DIV/0!</v>
      </c>
      <c r="F186" s="59" t="n">
        <v>0</v>
      </c>
      <c r="G186" s="59" t="n">
        <v>0</v>
      </c>
      <c r="H186" s="59" t="n">
        <v>0</v>
      </c>
      <c r="I186" s="9" t="s">
        <v>208</v>
      </c>
      <c r="J186" s="30"/>
      <c r="K186" s="30"/>
    </row>
    <row r="187" customFormat="false" ht="23.4" hidden="false" customHeight="true" outlineLevel="0" collapsed="false">
      <c r="A187" s="1" t="n">
        <v>31</v>
      </c>
      <c r="B187" s="34" t="n">
        <v>37956</v>
      </c>
      <c r="C187" s="221" t="n">
        <v>0</v>
      </c>
      <c r="D187" s="29" t="s">
        <v>42</v>
      </c>
      <c r="E187" s="33" t="e">
        <f aca="false">IF(D187="totale",(C187/(A187*24))/F187,IF(D187="marché libre",(C187/(A187*24))/G187,"spécifier histo"))</f>
        <v>#DIV/0!</v>
      </c>
      <c r="F187" s="59" t="n">
        <v>0</v>
      </c>
      <c r="G187" s="59" t="n">
        <v>0</v>
      </c>
      <c r="H187" s="59" t="n">
        <v>0</v>
      </c>
      <c r="I187" s="9" t="s">
        <v>208</v>
      </c>
      <c r="J187" s="30"/>
      <c r="K187" s="30"/>
    </row>
    <row r="188" customFormat="false" ht="23.4" hidden="false" customHeight="true" outlineLevel="0" collapsed="false">
      <c r="A188" s="1" t="n">
        <v>28</v>
      </c>
      <c r="B188" s="31" t="n">
        <v>37987</v>
      </c>
      <c r="C188" s="221" t="n">
        <v>0</v>
      </c>
      <c r="D188" s="29" t="s">
        <v>42</v>
      </c>
      <c r="E188" s="33" t="e">
        <f aca="false">IF(D188="totale",(C188/(A188*24))/F188,IF(D188="marché libre",(C188/(A188*24))/G188,"spécifier histo"))</f>
        <v>#DIV/0!</v>
      </c>
      <c r="F188" s="59" t="n">
        <v>0</v>
      </c>
      <c r="G188" s="59" t="n">
        <v>0</v>
      </c>
      <c r="H188" s="59" t="n">
        <v>0</v>
      </c>
      <c r="I188" s="9" t="s">
        <v>208</v>
      </c>
      <c r="J188" s="30"/>
      <c r="K188" s="30"/>
    </row>
    <row r="189" customFormat="false" ht="23.4" hidden="false" customHeight="true" outlineLevel="0" collapsed="false">
      <c r="A189" s="1" t="n">
        <v>31</v>
      </c>
      <c r="B189" s="34" t="n">
        <v>38018</v>
      </c>
      <c r="C189" s="221" t="n">
        <v>0</v>
      </c>
      <c r="D189" s="29" t="s">
        <v>42</v>
      </c>
      <c r="E189" s="33" t="e">
        <f aca="false">IF(D189="totale",(C189/(A189*24))/F189,IF(D189="marché libre",(C189/(A189*24))/G189,"spécifier histo"))</f>
        <v>#DIV/0!</v>
      </c>
      <c r="F189" s="59" t="n">
        <v>0</v>
      </c>
      <c r="G189" s="59" t="n">
        <v>0</v>
      </c>
      <c r="H189" s="59" t="n">
        <v>0</v>
      </c>
      <c r="I189" s="9" t="s">
        <v>208</v>
      </c>
      <c r="J189" s="30"/>
      <c r="K189" s="30"/>
    </row>
    <row r="190" customFormat="false" ht="23.4" hidden="false" customHeight="true" outlineLevel="0" collapsed="false">
      <c r="A190" s="1" t="n">
        <v>30</v>
      </c>
      <c r="B190" s="31" t="n">
        <v>38047</v>
      </c>
      <c r="C190" s="221" t="n">
        <v>0</v>
      </c>
      <c r="D190" s="29" t="s">
        <v>42</v>
      </c>
      <c r="E190" s="33" t="e">
        <f aca="false">IF(D190="totale",(C190/(A190*24))/F190,IF(D190="marché libre",(C190/(A190*24))/G190,"spécifier histo"))</f>
        <v>#DIV/0!</v>
      </c>
      <c r="F190" s="59" t="n">
        <v>0</v>
      </c>
      <c r="G190" s="59" t="n">
        <v>0</v>
      </c>
      <c r="H190" s="59" t="n">
        <v>0</v>
      </c>
      <c r="I190" s="9" t="s">
        <v>208</v>
      </c>
      <c r="J190" s="30"/>
      <c r="K190" s="30"/>
    </row>
    <row r="191" customFormat="false" ht="23.4" hidden="false" customHeight="true" outlineLevel="0" collapsed="false">
      <c r="A191" s="1" t="n">
        <v>31</v>
      </c>
      <c r="B191" s="34" t="n">
        <v>38078</v>
      </c>
      <c r="C191" s="221" t="n">
        <v>0</v>
      </c>
      <c r="D191" s="29" t="s">
        <v>42</v>
      </c>
      <c r="E191" s="33" t="e">
        <f aca="false">IF(D191="totale",(C191/(A191*24))/F191,IF(D191="marché libre",(C191/(A191*24))/G191,"spécifier histo"))</f>
        <v>#DIV/0!</v>
      </c>
      <c r="F191" s="59" t="n">
        <v>0</v>
      </c>
      <c r="G191" s="59" t="n">
        <v>0</v>
      </c>
      <c r="H191" s="59" t="n">
        <v>0</v>
      </c>
      <c r="I191" s="9" t="s">
        <v>208</v>
      </c>
      <c r="J191" s="30"/>
      <c r="K191" s="30"/>
    </row>
    <row r="192" customFormat="false" ht="23.4" hidden="false" customHeight="true" outlineLevel="0" collapsed="false">
      <c r="A192" s="1" t="n">
        <v>30</v>
      </c>
      <c r="B192" s="31" t="n">
        <v>38108</v>
      </c>
      <c r="C192" s="221" t="n">
        <v>0</v>
      </c>
      <c r="D192" s="29" t="s">
        <v>42</v>
      </c>
      <c r="E192" s="33" t="e">
        <f aca="false">IF(D192="totale",(C192/(A192*24))/F192,IF(D192="marché libre",(C192/(A192*24))/G192,"spécifier histo"))</f>
        <v>#DIV/0!</v>
      </c>
      <c r="F192" s="59" t="n">
        <v>0</v>
      </c>
      <c r="G192" s="59" t="n">
        <v>0</v>
      </c>
      <c r="H192" s="59" t="n">
        <v>0</v>
      </c>
      <c r="I192" s="9" t="s">
        <v>208</v>
      </c>
      <c r="J192" s="30"/>
      <c r="K192" s="30"/>
    </row>
    <row r="193" customFormat="false" ht="23.4" hidden="false" customHeight="true" outlineLevel="0" collapsed="false">
      <c r="A193" s="1" t="n">
        <v>31</v>
      </c>
      <c r="B193" s="34" t="n">
        <v>38139</v>
      </c>
      <c r="C193" s="221" t="n">
        <v>0</v>
      </c>
      <c r="D193" s="29" t="s">
        <v>42</v>
      </c>
      <c r="E193" s="33" t="e">
        <f aca="false">IF(D193="totale",(C193/(A193*24))/F193,IF(D193="marché libre",(C193/(A193*24))/G193,"spécifier histo"))</f>
        <v>#DIV/0!</v>
      </c>
      <c r="F193" s="59" t="n">
        <v>0</v>
      </c>
      <c r="G193" s="59" t="n">
        <v>0</v>
      </c>
      <c r="H193" s="59" t="n">
        <v>0</v>
      </c>
      <c r="I193" s="9" t="s">
        <v>208</v>
      </c>
      <c r="J193" s="30"/>
      <c r="K193" s="30"/>
    </row>
    <row r="194" customFormat="false" ht="23.4" hidden="false" customHeight="true" outlineLevel="0" collapsed="false">
      <c r="A194" s="1" t="n">
        <v>31</v>
      </c>
      <c r="B194" s="31" t="n">
        <v>38169</v>
      </c>
      <c r="C194" s="221" t="n">
        <v>0</v>
      </c>
      <c r="D194" s="29" t="s">
        <v>42</v>
      </c>
      <c r="E194" s="33" t="e">
        <f aca="false">IF(D194="totale",(C194/(A194*24))/F194,IF(D194="marché libre",(C194/(A194*24))/G194,"spécifier histo"))</f>
        <v>#DIV/0!</v>
      </c>
      <c r="F194" s="59" t="n">
        <v>0</v>
      </c>
      <c r="G194" s="59" t="n">
        <v>0</v>
      </c>
      <c r="H194" s="59" t="n">
        <v>0</v>
      </c>
      <c r="I194" s="9" t="s">
        <v>208</v>
      </c>
      <c r="J194" s="30"/>
      <c r="K194" s="30"/>
    </row>
    <row r="195" customFormat="false" ht="23.4" hidden="false" customHeight="true" outlineLevel="0" collapsed="false">
      <c r="A195" s="1" t="n">
        <v>30</v>
      </c>
      <c r="B195" s="34" t="n">
        <v>38200</v>
      </c>
      <c r="C195" s="221" t="n">
        <v>0</v>
      </c>
      <c r="D195" s="29" t="s">
        <v>42</v>
      </c>
      <c r="E195" s="33" t="e">
        <f aca="false">IF(D195="totale",(C195/(A195*24))/F195,IF(D195="marché libre",(C195/(A195*24))/G195,"spécifier histo"))</f>
        <v>#DIV/0!</v>
      </c>
      <c r="F195" s="59" t="n">
        <v>0</v>
      </c>
      <c r="G195" s="59" t="n">
        <v>0</v>
      </c>
      <c r="H195" s="59" t="n">
        <v>0</v>
      </c>
      <c r="I195" s="9" t="s">
        <v>208</v>
      </c>
      <c r="J195" s="30"/>
      <c r="K195" s="30"/>
    </row>
    <row r="196" customFormat="false" ht="23.4" hidden="false" customHeight="true" outlineLevel="0" collapsed="false">
      <c r="A196" s="1" t="n">
        <v>31</v>
      </c>
      <c r="B196" s="31" t="n">
        <v>38231</v>
      </c>
      <c r="C196" s="221" t="n">
        <v>0</v>
      </c>
      <c r="D196" s="29" t="s">
        <v>42</v>
      </c>
      <c r="E196" s="33" t="e">
        <f aca="false">IF(D196="totale",(C196/(A196*24))/F196,IF(D196="marché libre",(C196/(A196*24))/G196,"spécifier histo"))</f>
        <v>#DIV/0!</v>
      </c>
      <c r="F196" s="59" t="n">
        <v>0</v>
      </c>
      <c r="G196" s="59" t="n">
        <v>0</v>
      </c>
      <c r="H196" s="59" t="n">
        <v>0</v>
      </c>
      <c r="I196" s="9" t="s">
        <v>208</v>
      </c>
      <c r="J196" s="30"/>
      <c r="K196" s="30"/>
    </row>
    <row r="197" customFormat="false" ht="23.4" hidden="false" customHeight="true" outlineLevel="0" collapsed="false">
      <c r="A197" s="1" t="n">
        <v>30</v>
      </c>
      <c r="B197" s="34" t="n">
        <v>38261</v>
      </c>
      <c r="C197" s="221" t="n">
        <v>0</v>
      </c>
      <c r="D197" s="29" t="s">
        <v>42</v>
      </c>
      <c r="E197" s="33" t="e">
        <f aca="false">IF(D197="totale",(C197/(A197*24))/F197,IF(D197="marché libre",(C197/(A197*24))/G197,"spécifier histo"))</f>
        <v>#DIV/0!</v>
      </c>
      <c r="F197" s="59" t="n">
        <v>0</v>
      </c>
      <c r="G197" s="59" t="n">
        <v>0</v>
      </c>
      <c r="H197" s="59" t="n">
        <v>0</v>
      </c>
      <c r="I197" s="9" t="s">
        <v>208</v>
      </c>
      <c r="J197" s="30"/>
      <c r="K197" s="30"/>
    </row>
    <row r="198" customFormat="false" ht="23.4" hidden="false" customHeight="true" outlineLevel="0" collapsed="false">
      <c r="A198" s="1" t="n">
        <v>31</v>
      </c>
      <c r="B198" s="31" t="n">
        <v>38292</v>
      </c>
      <c r="C198" s="221" t="n">
        <v>0</v>
      </c>
      <c r="D198" s="29" t="s">
        <v>42</v>
      </c>
      <c r="E198" s="33" t="e">
        <f aca="false">IF(D198="totale",(C198/(A198*24))/F198,IF(D198="marché libre",(C198/(A198*24))/G198,"spécifier histo"))</f>
        <v>#DIV/0!</v>
      </c>
      <c r="F198" s="59" t="n">
        <v>0</v>
      </c>
      <c r="G198" s="59" t="n">
        <v>0</v>
      </c>
      <c r="H198" s="59" t="n">
        <v>0</v>
      </c>
      <c r="I198" s="9" t="s">
        <v>208</v>
      </c>
      <c r="J198" s="30"/>
      <c r="K198" s="30"/>
    </row>
    <row r="199" customFormat="false" ht="23.4" hidden="false" customHeight="true" outlineLevel="0" collapsed="false">
      <c r="A199" s="1" t="n">
        <v>31</v>
      </c>
      <c r="B199" s="34" t="n">
        <v>38322</v>
      </c>
      <c r="C199" s="221" t="n">
        <v>0</v>
      </c>
      <c r="D199" s="29" t="s">
        <v>42</v>
      </c>
      <c r="E199" s="33" t="e">
        <f aca="false">IF(D199="totale",(C199/(A199*24))/F199,IF(D199="marché libre",(C199/(A199*24))/G199,"spécifier histo"))</f>
        <v>#DIV/0!</v>
      </c>
      <c r="F199" s="59" t="n">
        <v>0</v>
      </c>
      <c r="G199" s="59" t="n">
        <v>0</v>
      </c>
      <c r="H199" s="59" t="n">
        <v>0</v>
      </c>
      <c r="I199" s="9" t="s">
        <v>208</v>
      </c>
      <c r="J199" s="30"/>
      <c r="K199" s="30"/>
    </row>
    <row r="200" customFormat="false" ht="23.4" hidden="false" customHeight="true" outlineLevel="0" collapsed="false">
      <c r="A200" s="0" t="n">
        <v>28</v>
      </c>
      <c r="B200" s="31" t="n">
        <v>38353</v>
      </c>
      <c r="C200" s="221" t="n">
        <v>0</v>
      </c>
      <c r="D200" s="29" t="s">
        <v>42</v>
      </c>
      <c r="E200" s="33" t="e">
        <f aca="false">IF(D200="totale",(C200/(A200*24))/F200,IF(D200="marché libre",(C200/(A200*24))/G200,"spécifier histo"))</f>
        <v>#DIV/0!</v>
      </c>
      <c r="F200" s="59" t="n">
        <v>0</v>
      </c>
      <c r="G200" s="59" t="n">
        <v>0</v>
      </c>
      <c r="H200" s="59" t="n">
        <v>0</v>
      </c>
      <c r="I200" s="9" t="s">
        <v>208</v>
      </c>
      <c r="J200" s="30"/>
      <c r="K200" s="30"/>
    </row>
    <row r="201" customFormat="false" ht="23.4" hidden="false" customHeight="true" outlineLevel="0" collapsed="false">
      <c r="A201" s="0" t="n">
        <v>31</v>
      </c>
      <c r="B201" s="34" t="n">
        <v>38384</v>
      </c>
      <c r="C201" s="221" t="n">
        <v>0</v>
      </c>
      <c r="D201" s="29" t="s">
        <v>42</v>
      </c>
      <c r="E201" s="33" t="e">
        <f aca="false">IF(D201="totale",(C201/(A201*24))/F201,IF(D201="marché libre",(C201/(A201*24))/G201,"spécifier histo"))</f>
        <v>#DIV/0!</v>
      </c>
      <c r="F201" s="59" t="n">
        <v>0</v>
      </c>
      <c r="G201" s="59" t="n">
        <v>0</v>
      </c>
      <c r="H201" s="59" t="n">
        <v>0</v>
      </c>
      <c r="I201" s="9" t="s">
        <v>208</v>
      </c>
      <c r="J201" s="30"/>
      <c r="K201" s="30"/>
    </row>
    <row r="202" customFormat="false" ht="23.4" hidden="false" customHeight="true" outlineLevel="0" collapsed="false">
      <c r="A202" s="0" t="n">
        <v>30</v>
      </c>
      <c r="B202" s="31" t="n">
        <v>38412</v>
      </c>
      <c r="C202" s="221" t="n">
        <v>0</v>
      </c>
      <c r="D202" s="29" t="s">
        <v>42</v>
      </c>
      <c r="E202" s="33" t="e">
        <f aca="false">IF(D202="totale",(C202/(A202*24))/F202,IF(D202="marché libre",(C202/(A202*24))/G202,"spécifier histo"))</f>
        <v>#DIV/0!</v>
      </c>
      <c r="F202" s="59" t="n">
        <v>0</v>
      </c>
      <c r="G202" s="59" t="n">
        <v>0</v>
      </c>
      <c r="H202" s="59" t="n">
        <v>0</v>
      </c>
      <c r="I202" s="9" t="s">
        <v>208</v>
      </c>
      <c r="J202" s="30"/>
      <c r="K202" s="30"/>
    </row>
    <row r="203" customFormat="false" ht="23.4" hidden="false" customHeight="true" outlineLevel="0" collapsed="false">
      <c r="A203" s="0" t="n">
        <v>31</v>
      </c>
      <c r="B203" s="34" t="n">
        <v>38443</v>
      </c>
      <c r="C203" s="221" t="n">
        <v>0</v>
      </c>
      <c r="D203" s="29" t="s">
        <v>42</v>
      </c>
      <c r="E203" s="33" t="e">
        <f aca="false">IF(D203="totale",(C203/(A203*24))/F203,IF(D203="marché libre",(C203/(A203*24))/G203,"spécifier histo"))</f>
        <v>#DIV/0!</v>
      </c>
      <c r="F203" s="59" t="n">
        <v>0</v>
      </c>
      <c r="G203" s="59" t="n">
        <v>0</v>
      </c>
      <c r="H203" s="59" t="n">
        <v>0</v>
      </c>
      <c r="I203" s="9" t="s">
        <v>208</v>
      </c>
      <c r="J203" s="30"/>
      <c r="K203" s="30"/>
    </row>
    <row r="204" customFormat="false" ht="23.4" hidden="false" customHeight="true" outlineLevel="0" collapsed="false">
      <c r="A204" s="0" t="n">
        <v>30</v>
      </c>
      <c r="B204" s="31" t="n">
        <v>38473</v>
      </c>
      <c r="C204" s="221" t="n">
        <v>0</v>
      </c>
      <c r="D204" s="29" t="s">
        <v>42</v>
      </c>
      <c r="E204" s="33" t="e">
        <f aca="false">IF(D204="totale",(C204/(A204*24))/F204,IF(D204="marché libre",(C204/(A204*24))/G204,"spécifier histo"))</f>
        <v>#DIV/0!</v>
      </c>
      <c r="F204" s="59" t="n">
        <v>0</v>
      </c>
      <c r="G204" s="59" t="n">
        <v>0</v>
      </c>
      <c r="H204" s="59" t="n">
        <v>0</v>
      </c>
      <c r="I204" s="9" t="s">
        <v>208</v>
      </c>
      <c r="J204" s="30"/>
      <c r="K204" s="30"/>
    </row>
    <row r="205" customFormat="false" ht="23.4" hidden="false" customHeight="true" outlineLevel="0" collapsed="false">
      <c r="A205" s="0" t="n">
        <v>31</v>
      </c>
      <c r="B205" s="34" t="n">
        <v>38504</v>
      </c>
      <c r="C205" s="221" t="n">
        <v>0</v>
      </c>
      <c r="D205" s="29" t="s">
        <v>42</v>
      </c>
      <c r="E205" s="33" t="e">
        <f aca="false">IF(D205="totale",(C205/(A205*24))/F205,IF(D205="marché libre",(C205/(A205*24))/G205,"spécifier histo"))</f>
        <v>#DIV/0!</v>
      </c>
      <c r="F205" s="59" t="n">
        <v>0</v>
      </c>
      <c r="G205" s="59" t="n">
        <v>0</v>
      </c>
      <c r="H205" s="59" t="n">
        <v>0</v>
      </c>
      <c r="I205" s="9" t="s">
        <v>208</v>
      </c>
      <c r="J205" s="30"/>
      <c r="K205" s="30"/>
    </row>
    <row r="206" customFormat="false" ht="23.4" hidden="false" customHeight="true" outlineLevel="0" collapsed="false">
      <c r="A206" s="0" t="n">
        <v>31</v>
      </c>
      <c r="B206" s="31" t="n">
        <v>38534</v>
      </c>
      <c r="C206" s="221" t="n">
        <v>0</v>
      </c>
      <c r="D206" s="29" t="s">
        <v>42</v>
      </c>
      <c r="E206" s="33" t="e">
        <f aca="false">IF(D206="totale",(C206/(A206*24))/F206,IF(D206="marché libre",(C206/(A206*24))/G206,"spécifier histo"))</f>
        <v>#DIV/0!</v>
      </c>
      <c r="F206" s="59" t="n">
        <v>0</v>
      </c>
      <c r="G206" s="59" t="n">
        <v>0</v>
      </c>
      <c r="H206" s="59" t="n">
        <v>0</v>
      </c>
      <c r="I206" s="9" t="s">
        <v>208</v>
      </c>
      <c r="J206" s="30"/>
      <c r="K206" s="30"/>
    </row>
    <row r="207" customFormat="false" ht="23.4" hidden="false" customHeight="true" outlineLevel="0" collapsed="false">
      <c r="A207" s="0" t="n">
        <v>30</v>
      </c>
      <c r="B207" s="34" t="n">
        <v>38565</v>
      </c>
      <c r="C207" s="221" t="n">
        <v>0</v>
      </c>
      <c r="D207" s="29" t="s">
        <v>42</v>
      </c>
      <c r="E207" s="33" t="e">
        <f aca="false">IF(D207="totale",(C207/(A207*24))/F207,IF(D207="marché libre",(C207/(A207*24))/G207,"spécifier histo"))</f>
        <v>#DIV/0!</v>
      </c>
      <c r="F207" s="59" t="n">
        <v>0</v>
      </c>
      <c r="G207" s="59" t="n">
        <v>0</v>
      </c>
      <c r="H207" s="59" t="n">
        <v>0</v>
      </c>
      <c r="I207" s="9" t="s">
        <v>208</v>
      </c>
      <c r="J207" s="30"/>
      <c r="K207" s="30"/>
    </row>
    <row r="208" customFormat="false" ht="23.4" hidden="false" customHeight="true" outlineLevel="0" collapsed="false">
      <c r="A208" s="0" t="n">
        <v>31</v>
      </c>
      <c r="B208" s="31" t="n">
        <v>38596</v>
      </c>
      <c r="C208" s="221" t="n">
        <v>0</v>
      </c>
      <c r="D208" s="29" t="s">
        <v>42</v>
      </c>
      <c r="E208" s="33" t="e">
        <f aca="false">IF(D208="totale",(C208/(A208*24))/F208,IF(D208="marché libre",(C208/(A208*24))/G208,"spécifier histo"))</f>
        <v>#DIV/0!</v>
      </c>
      <c r="F208" s="59" t="n">
        <v>0</v>
      </c>
      <c r="G208" s="59" t="n">
        <v>0</v>
      </c>
      <c r="H208" s="59" t="n">
        <v>0</v>
      </c>
      <c r="I208" s="9" t="s">
        <v>208</v>
      </c>
      <c r="J208" s="30"/>
      <c r="K208" s="30"/>
    </row>
    <row r="209" customFormat="false" ht="23.4" hidden="false" customHeight="true" outlineLevel="0" collapsed="false">
      <c r="A209" s="0" t="n">
        <v>30</v>
      </c>
      <c r="B209" s="34" t="n">
        <v>38626</v>
      </c>
      <c r="C209" s="221" t="n">
        <v>0</v>
      </c>
      <c r="D209" s="29" t="s">
        <v>42</v>
      </c>
      <c r="E209" s="33" t="e">
        <f aca="false">IF(D209="totale",(C209/(A209*24))/F209,IF(D209="marché libre",(C209/(A209*24))/G209,"spécifier histo"))</f>
        <v>#DIV/0!</v>
      </c>
      <c r="F209" s="59" t="n">
        <v>0</v>
      </c>
      <c r="G209" s="59" t="n">
        <v>0</v>
      </c>
      <c r="H209" s="59" t="n">
        <v>0</v>
      </c>
      <c r="I209" s="9" t="s">
        <v>208</v>
      </c>
      <c r="J209" s="30"/>
      <c r="K209" s="30"/>
    </row>
    <row r="210" customFormat="false" ht="23.4" hidden="false" customHeight="true" outlineLevel="0" collapsed="false">
      <c r="A210" s="0" t="n">
        <v>31</v>
      </c>
      <c r="B210" s="31" t="n">
        <v>38657</v>
      </c>
      <c r="C210" s="221" t="n">
        <v>0</v>
      </c>
      <c r="D210" s="29" t="s">
        <v>42</v>
      </c>
      <c r="E210" s="33" t="e">
        <f aca="false">IF(D210="totale",(C210/(A210*24))/F210,IF(D210="marché libre",(C210/(A210*24))/G210,"spécifier histo"))</f>
        <v>#DIV/0!</v>
      </c>
      <c r="F210" s="59" t="n">
        <v>0</v>
      </c>
      <c r="G210" s="59" t="n">
        <v>0</v>
      </c>
      <c r="H210" s="59" t="n">
        <v>0</v>
      </c>
      <c r="I210" s="9" t="s">
        <v>208</v>
      </c>
      <c r="J210" s="30"/>
      <c r="K210" s="30"/>
    </row>
    <row r="211" customFormat="false" ht="23.4" hidden="false" customHeight="true" outlineLevel="0" collapsed="false">
      <c r="A211" s="0" t="n">
        <v>31</v>
      </c>
      <c r="B211" s="34" t="n">
        <v>38687</v>
      </c>
      <c r="C211" s="221" t="n">
        <v>0</v>
      </c>
      <c r="D211" s="29" t="s">
        <v>42</v>
      </c>
      <c r="E211" s="33" t="e">
        <f aca="false">IF(D211="totale",(C211/(A211*24))/F211,IF(D211="marché libre",(C211/(A211*24))/G211,"spécifier histo"))</f>
        <v>#DIV/0!</v>
      </c>
      <c r="F211" s="59" t="n">
        <v>0</v>
      </c>
      <c r="G211" s="59" t="n">
        <v>0</v>
      </c>
      <c r="H211" s="59" t="n">
        <v>0</v>
      </c>
      <c r="I211" s="9" t="s">
        <v>208</v>
      </c>
      <c r="J211" s="30"/>
      <c r="K211" s="30"/>
    </row>
    <row r="212" customFormat="false" ht="23.4" hidden="false" customHeight="true" outlineLevel="0" collapsed="false">
      <c r="A212" s="0" t="n">
        <v>28</v>
      </c>
      <c r="B212" s="31" t="n">
        <v>38718</v>
      </c>
      <c r="C212" s="221" t="n">
        <v>0</v>
      </c>
      <c r="D212" s="29" t="s">
        <v>42</v>
      </c>
      <c r="E212" s="33" t="e">
        <f aca="false">IF(D212="totale",(C212/(A212*24))/F212,IF(D212="marché libre",(C212/(A212*24))/G212,"spécifier histo"))</f>
        <v>#DIV/0!</v>
      </c>
      <c r="F212" s="59" t="n">
        <v>0</v>
      </c>
      <c r="G212" s="59" t="n">
        <v>0</v>
      </c>
      <c r="H212" s="59" t="n">
        <v>0</v>
      </c>
      <c r="I212" s="9" t="s">
        <v>208</v>
      </c>
      <c r="J212" s="30"/>
      <c r="K212" s="30"/>
    </row>
    <row r="213" customFormat="false" ht="23.4" hidden="false" customHeight="true" outlineLevel="0" collapsed="false">
      <c r="A213" s="0" t="n">
        <v>31</v>
      </c>
      <c r="B213" s="34" t="n">
        <v>38749</v>
      </c>
      <c r="C213" s="221" t="n">
        <v>0</v>
      </c>
      <c r="D213" s="29" t="s">
        <v>42</v>
      </c>
      <c r="E213" s="33" t="e">
        <f aca="false">IF(D213="totale",(C213/(A213*24))/F213,IF(D213="marché libre",(C213/(A213*24))/G213,"spécifier histo"))</f>
        <v>#DIV/0!</v>
      </c>
      <c r="F213" s="59" t="n">
        <v>0</v>
      </c>
      <c r="G213" s="59" t="n">
        <v>0</v>
      </c>
      <c r="H213" s="59" t="n">
        <v>0</v>
      </c>
      <c r="I213" s="9" t="s">
        <v>208</v>
      </c>
      <c r="J213" s="30"/>
      <c r="K213" s="30"/>
    </row>
    <row r="214" customFormat="false" ht="23.4" hidden="false" customHeight="true" outlineLevel="0" collapsed="false">
      <c r="A214" s="0" t="n">
        <v>30</v>
      </c>
      <c r="B214" s="31" t="n">
        <v>38777</v>
      </c>
      <c r="C214" s="221" t="n">
        <v>0</v>
      </c>
      <c r="D214" s="29" t="s">
        <v>42</v>
      </c>
      <c r="E214" s="33" t="e">
        <f aca="false">IF(D214="totale",(C214/(A214*24))/F214,IF(D214="marché libre",(C214/(A214*24))/G214,"spécifier histo"))</f>
        <v>#DIV/0!</v>
      </c>
      <c r="F214" s="59" t="n">
        <v>0</v>
      </c>
      <c r="G214" s="59" t="n">
        <v>0</v>
      </c>
      <c r="H214" s="59" t="n">
        <v>0</v>
      </c>
      <c r="I214" s="9" t="s">
        <v>208</v>
      </c>
      <c r="J214" s="30"/>
      <c r="K214" s="30"/>
    </row>
    <row r="215" customFormat="false" ht="23.4" hidden="false" customHeight="true" outlineLevel="0" collapsed="false">
      <c r="A215" s="0" t="n">
        <v>31</v>
      </c>
      <c r="B215" s="34" t="n">
        <v>38808</v>
      </c>
      <c r="C215" s="221" t="n">
        <v>0</v>
      </c>
      <c r="D215" s="29" t="s">
        <v>42</v>
      </c>
      <c r="E215" s="33" t="e">
        <f aca="false">IF(D215="totale",(C215/(A215*24))/F215,IF(D215="marché libre",(C215/(A215*24))/G215,"spécifier histo"))</f>
        <v>#DIV/0!</v>
      </c>
      <c r="F215" s="59" t="n">
        <v>0</v>
      </c>
      <c r="G215" s="59" t="n">
        <v>0</v>
      </c>
      <c r="H215" s="59" t="n">
        <v>0</v>
      </c>
      <c r="I215" s="9" t="s">
        <v>208</v>
      </c>
      <c r="J215" s="30"/>
      <c r="K215" s="30"/>
    </row>
    <row r="216" customFormat="false" ht="23.4" hidden="false" customHeight="true" outlineLevel="0" collapsed="false">
      <c r="A216" s="0" t="n">
        <v>30</v>
      </c>
      <c r="B216" s="31" t="n">
        <v>38838</v>
      </c>
      <c r="C216" s="221" t="n">
        <v>0</v>
      </c>
      <c r="D216" s="29" t="s">
        <v>42</v>
      </c>
      <c r="E216" s="33" t="e">
        <f aca="false">IF(D216="totale",(C216/(A216*24))/F216,IF(D216="marché libre",(C216/(A216*24))/G216,"spécifier histo"))</f>
        <v>#DIV/0!</v>
      </c>
      <c r="F216" s="59" t="n">
        <v>0</v>
      </c>
      <c r="G216" s="59" t="n">
        <v>0</v>
      </c>
      <c r="H216" s="59" t="n">
        <v>0</v>
      </c>
      <c r="I216" s="9" t="s">
        <v>208</v>
      </c>
      <c r="J216" s="30"/>
      <c r="K216" s="30"/>
    </row>
    <row r="217" customFormat="false" ht="23.4" hidden="false" customHeight="true" outlineLevel="0" collapsed="false">
      <c r="A217" s="0" t="n">
        <v>31</v>
      </c>
      <c r="B217" s="34" t="n">
        <v>38869</v>
      </c>
      <c r="C217" s="221" t="n">
        <v>0</v>
      </c>
      <c r="D217" s="29" t="s">
        <v>42</v>
      </c>
      <c r="E217" s="33" t="e">
        <f aca="false">IF(D217="totale",(C217/(A217*24))/F217,IF(D217="marché libre",(C217/(A217*24))/G217,"spécifier histo"))</f>
        <v>#DIV/0!</v>
      </c>
      <c r="F217" s="59" t="n">
        <v>0</v>
      </c>
      <c r="G217" s="59" t="n">
        <v>0</v>
      </c>
      <c r="H217" s="59" t="n">
        <v>0</v>
      </c>
      <c r="I217" s="9" t="s">
        <v>208</v>
      </c>
      <c r="J217" s="30"/>
      <c r="K217" s="30"/>
    </row>
    <row r="218" customFormat="false" ht="23.4" hidden="false" customHeight="true" outlineLevel="0" collapsed="false">
      <c r="A218" s="0" t="n">
        <v>31</v>
      </c>
      <c r="B218" s="31" t="n">
        <v>38899</v>
      </c>
      <c r="C218" s="221" t="n">
        <v>0</v>
      </c>
      <c r="D218" s="29" t="s">
        <v>42</v>
      </c>
      <c r="E218" s="33" t="e">
        <f aca="false">IF(D218="totale",(C218/(A218*24))/F218,IF(D218="marché libre",(C218/(A218*24))/G218,"spécifier histo"))</f>
        <v>#DIV/0!</v>
      </c>
      <c r="F218" s="59" t="n">
        <v>0</v>
      </c>
      <c r="G218" s="59" t="n">
        <v>0</v>
      </c>
      <c r="H218" s="59" t="n">
        <v>0</v>
      </c>
      <c r="I218" s="9" t="s">
        <v>208</v>
      </c>
      <c r="J218" s="30"/>
      <c r="K218" s="30"/>
    </row>
    <row r="219" customFormat="false" ht="23.4" hidden="false" customHeight="true" outlineLevel="0" collapsed="false">
      <c r="A219" s="0" t="n">
        <v>30</v>
      </c>
      <c r="B219" s="34" t="n">
        <v>38930</v>
      </c>
      <c r="C219" s="221" t="n">
        <v>0</v>
      </c>
      <c r="D219" s="29" t="s">
        <v>42</v>
      </c>
      <c r="E219" s="33" t="e">
        <f aca="false">IF(D219="totale",(C219/(A219*24))/F219,IF(D219="marché libre",(C219/(A219*24))/G219,"spécifier histo"))</f>
        <v>#DIV/0!</v>
      </c>
      <c r="F219" s="59" t="n">
        <v>0</v>
      </c>
      <c r="G219" s="59" t="n">
        <v>0</v>
      </c>
      <c r="H219" s="59" t="n">
        <v>0</v>
      </c>
      <c r="I219" s="9" t="s">
        <v>208</v>
      </c>
      <c r="J219" s="30"/>
      <c r="K219" s="30"/>
    </row>
    <row r="220" customFormat="false" ht="23.4" hidden="false" customHeight="true" outlineLevel="0" collapsed="false">
      <c r="A220" s="0" t="n">
        <v>31</v>
      </c>
      <c r="B220" s="31" t="n">
        <v>38961</v>
      </c>
      <c r="C220" s="221" t="n">
        <v>0</v>
      </c>
      <c r="D220" s="29" t="s">
        <v>42</v>
      </c>
      <c r="E220" s="33" t="e">
        <f aca="false">IF(D220="totale",(C220/(A220*24))/F220,IF(D220="marché libre",(C220/(A220*24))/G220,"spécifier histo"))</f>
        <v>#DIV/0!</v>
      </c>
      <c r="F220" s="59" t="n">
        <v>0</v>
      </c>
      <c r="G220" s="59" t="n">
        <v>0</v>
      </c>
      <c r="H220" s="59" t="n">
        <v>0</v>
      </c>
      <c r="I220" s="9" t="s">
        <v>208</v>
      </c>
      <c r="J220" s="30"/>
      <c r="K220" s="30"/>
    </row>
    <row r="221" customFormat="false" ht="23.4" hidden="false" customHeight="true" outlineLevel="0" collapsed="false">
      <c r="A221" s="0" t="n">
        <v>30</v>
      </c>
      <c r="B221" s="34" t="n">
        <v>38991</v>
      </c>
      <c r="C221" s="221" t="n">
        <v>0</v>
      </c>
      <c r="D221" s="29" t="s">
        <v>42</v>
      </c>
      <c r="E221" s="33" t="e">
        <f aca="false">IF(D221="totale",(C221/(A221*24))/F221,IF(D221="marché libre",(C221/(A221*24))/G221,"spécifier histo"))</f>
        <v>#DIV/0!</v>
      </c>
      <c r="F221" s="59" t="n">
        <v>0</v>
      </c>
      <c r="G221" s="59" t="n">
        <v>0</v>
      </c>
      <c r="H221" s="59" t="n">
        <v>0</v>
      </c>
      <c r="I221" s="9" t="s">
        <v>208</v>
      </c>
      <c r="J221" s="30"/>
      <c r="K221" s="30"/>
    </row>
    <row r="222" customFormat="false" ht="23.4" hidden="false" customHeight="true" outlineLevel="0" collapsed="false">
      <c r="A222" s="0" t="n">
        <v>31</v>
      </c>
      <c r="B222" s="31" t="n">
        <v>39022</v>
      </c>
      <c r="C222" s="221" t="n">
        <v>0</v>
      </c>
      <c r="D222" s="29" t="s">
        <v>42</v>
      </c>
      <c r="E222" s="33" t="e">
        <f aca="false">IF(D222="totale",(C222/(A222*24))/F222,IF(D222="marché libre",(C222/(A222*24))/G222,"spécifier histo"))</f>
        <v>#DIV/0!</v>
      </c>
      <c r="F222" s="59" t="n">
        <v>0</v>
      </c>
      <c r="G222" s="59" t="n">
        <v>0</v>
      </c>
      <c r="H222" s="59" t="n">
        <v>0</v>
      </c>
      <c r="I222" s="9" t="s">
        <v>208</v>
      </c>
      <c r="J222" s="30"/>
      <c r="K222" s="30"/>
    </row>
    <row r="223" customFormat="false" ht="23.4" hidden="false" customHeight="true" outlineLevel="0" collapsed="false">
      <c r="A223" s="0" t="n">
        <v>31</v>
      </c>
      <c r="B223" s="34" t="n">
        <v>39052</v>
      </c>
      <c r="C223" s="221" t="n">
        <v>0</v>
      </c>
      <c r="D223" s="29" t="s">
        <v>42</v>
      </c>
      <c r="E223" s="33" t="e">
        <f aca="false">IF(D223="totale",(C223/(A223*24))/F223,IF(D223="marché libre",(C223/(A223*24))/G223,"spécifier histo"))</f>
        <v>#DIV/0!</v>
      </c>
      <c r="F223" s="59" t="n">
        <v>0</v>
      </c>
      <c r="G223" s="59" t="n">
        <v>0</v>
      </c>
      <c r="H223" s="59" t="n">
        <v>0</v>
      </c>
      <c r="I223" s="9" t="s">
        <v>208</v>
      </c>
      <c r="J223" s="30"/>
      <c r="K223" s="30"/>
    </row>
    <row r="224" customFormat="false" ht="23.4" hidden="false" customHeight="true" outlineLevel="0" collapsed="false">
      <c r="A224" s="0" t="n">
        <v>28</v>
      </c>
      <c r="B224" s="31" t="n">
        <v>39083</v>
      </c>
      <c r="C224" s="221" t="n">
        <v>0</v>
      </c>
      <c r="D224" s="29" t="s">
        <v>42</v>
      </c>
      <c r="E224" s="33" t="e">
        <f aca="false">IF(D224="totale",(C224/(A224*24))/F224,IF(D224="marché libre",(C224/(A224*24))/G224,"spécifier histo"))</f>
        <v>#DIV/0!</v>
      </c>
      <c r="F224" s="59" t="n">
        <v>0</v>
      </c>
      <c r="G224" s="59" t="n">
        <v>0</v>
      </c>
      <c r="H224" s="59" t="n">
        <v>0</v>
      </c>
      <c r="I224" s="9" t="s">
        <v>208</v>
      </c>
      <c r="J224" s="30"/>
      <c r="K224" s="30"/>
    </row>
    <row r="225" customFormat="false" ht="23.4" hidden="false" customHeight="true" outlineLevel="0" collapsed="false">
      <c r="A225" s="0" t="n">
        <v>31</v>
      </c>
      <c r="B225" s="34" t="n">
        <v>39114</v>
      </c>
      <c r="C225" s="221" t="n">
        <v>0</v>
      </c>
      <c r="D225" s="29" t="s">
        <v>42</v>
      </c>
      <c r="E225" s="33" t="e">
        <f aca="false">IF(D225="totale",(C225/(A225*24))/F225,IF(D225="marché libre",(C225/(A225*24))/G225,"spécifier histo"))</f>
        <v>#DIV/0!</v>
      </c>
      <c r="F225" s="59" t="n">
        <v>0</v>
      </c>
      <c r="G225" s="59" t="n">
        <v>0</v>
      </c>
      <c r="H225" s="59" t="n">
        <v>0</v>
      </c>
      <c r="I225" s="9" t="s">
        <v>208</v>
      </c>
      <c r="J225" s="30"/>
      <c r="K225" s="30"/>
    </row>
    <row r="226" customFormat="false" ht="23.4" hidden="false" customHeight="true" outlineLevel="0" collapsed="false">
      <c r="A226" s="0" t="n">
        <v>28</v>
      </c>
      <c r="B226" s="31" t="n">
        <v>39142</v>
      </c>
      <c r="C226" s="221" t="n">
        <v>0</v>
      </c>
      <c r="D226" s="29" t="s">
        <v>42</v>
      </c>
      <c r="E226" s="33" t="e">
        <f aca="false">IF(D226="totale",(C226/(A226*24))/F226,IF(D226="marché libre",(C226/(A226*24))/G226,"spécifier histo"))</f>
        <v>#DIV/0!</v>
      </c>
      <c r="F226" s="59" t="n">
        <v>0</v>
      </c>
      <c r="G226" s="59" t="n">
        <v>0</v>
      </c>
      <c r="H226" s="59" t="n">
        <v>0</v>
      </c>
      <c r="I226" s="9" t="s">
        <v>208</v>
      </c>
      <c r="J226" s="30"/>
      <c r="K226" s="30"/>
    </row>
    <row r="227" customFormat="false" ht="23.4" hidden="false" customHeight="true" outlineLevel="0" collapsed="false">
      <c r="A227" s="0" t="n">
        <v>31</v>
      </c>
      <c r="B227" s="34" t="n">
        <v>39173</v>
      </c>
      <c r="C227" s="221" t="n">
        <v>0</v>
      </c>
      <c r="D227" s="29" t="s">
        <v>42</v>
      </c>
      <c r="E227" s="33" t="e">
        <f aca="false">IF(D227="totale",(C227/(A227*24))/F227,IF(D227="marché libre",(C227/(A227*24))/G227,"spécifier histo"))</f>
        <v>#DIV/0!</v>
      </c>
      <c r="F227" s="59" t="n">
        <v>0</v>
      </c>
      <c r="G227" s="59" t="n">
        <v>0</v>
      </c>
      <c r="H227" s="59" t="n">
        <v>0</v>
      </c>
      <c r="I227" s="9" t="s">
        <v>208</v>
      </c>
      <c r="J227" s="30"/>
      <c r="K227" s="30"/>
    </row>
    <row r="228" customFormat="false" ht="23.4" hidden="false" customHeight="true" outlineLevel="0" collapsed="false">
      <c r="A228" s="0" t="n">
        <v>30</v>
      </c>
      <c r="B228" s="31" t="n">
        <v>39203</v>
      </c>
      <c r="C228" s="221" t="n">
        <v>0</v>
      </c>
      <c r="D228" s="29" t="s">
        <v>42</v>
      </c>
      <c r="E228" s="33" t="e">
        <f aca="false">IF(D228="totale",(C228/(A228*24))/F228,IF(D228="marché libre",(C228/(A228*24))/G228,"spécifier histo"))</f>
        <v>#DIV/0!</v>
      </c>
      <c r="F228" s="59" t="n">
        <v>0</v>
      </c>
      <c r="G228" s="59" t="n">
        <v>0</v>
      </c>
      <c r="H228" s="59" t="n">
        <v>0</v>
      </c>
      <c r="I228" s="9" t="s">
        <v>208</v>
      </c>
      <c r="J228" s="30"/>
      <c r="K228" s="30"/>
    </row>
    <row r="229" customFormat="false" ht="23.4" hidden="false" customHeight="true" outlineLevel="0" collapsed="false">
      <c r="A229" s="0" t="n">
        <v>31</v>
      </c>
      <c r="B229" s="34" t="n">
        <v>39234</v>
      </c>
      <c r="C229" s="221" t="n">
        <v>0</v>
      </c>
      <c r="D229" s="29" t="s">
        <v>42</v>
      </c>
      <c r="E229" s="33" t="e">
        <f aca="false">IF(D229="totale",(C229/(A229*24))/F229,IF(D229="marché libre",(C229/(A229*24))/G229,"spécifier histo"))</f>
        <v>#DIV/0!</v>
      </c>
      <c r="F229" s="59" t="n">
        <v>0</v>
      </c>
      <c r="G229" s="59" t="n">
        <v>0</v>
      </c>
      <c r="H229" s="59" t="n">
        <v>0</v>
      </c>
      <c r="I229" s="9" t="s">
        <v>208</v>
      </c>
      <c r="J229" s="30"/>
      <c r="K229" s="30"/>
    </row>
    <row r="230" customFormat="false" ht="23.4" hidden="false" customHeight="true" outlineLevel="0" collapsed="false">
      <c r="A230" s="0" t="n">
        <v>30</v>
      </c>
      <c r="B230" s="31" t="n">
        <v>39264</v>
      </c>
      <c r="C230" s="221" t="n">
        <v>0</v>
      </c>
      <c r="D230" s="29" t="s">
        <v>42</v>
      </c>
      <c r="E230" s="33" t="e">
        <f aca="false">IF(D230="totale",(C230/(A230*24))/F230,IF(D230="marché libre",(C230/(A230*24))/G230,"spécifier histo"))</f>
        <v>#DIV/0!</v>
      </c>
      <c r="F230" s="59" t="n">
        <v>0</v>
      </c>
      <c r="G230" s="59" t="n">
        <v>0</v>
      </c>
      <c r="H230" s="59" t="n">
        <v>0</v>
      </c>
      <c r="I230" s="9" t="s">
        <v>208</v>
      </c>
      <c r="J230" s="30"/>
      <c r="K230" s="30"/>
    </row>
    <row r="231" customFormat="false" ht="23.4" hidden="false" customHeight="true" outlineLevel="0" collapsed="false">
      <c r="A231" s="0" t="n">
        <v>31</v>
      </c>
      <c r="B231" s="34" t="n">
        <v>39295</v>
      </c>
      <c r="C231" s="221" t="n">
        <v>0</v>
      </c>
      <c r="D231" s="29" t="s">
        <v>42</v>
      </c>
      <c r="E231" s="33" t="e">
        <f aca="false">IF(D231="totale",(C231/(A231*24))/F231,IF(D231="marché libre",(C231/(A231*24))/G231,"spécifier histo"))</f>
        <v>#DIV/0!</v>
      </c>
      <c r="F231" s="59" t="n">
        <v>0</v>
      </c>
      <c r="G231" s="59" t="n">
        <v>0</v>
      </c>
      <c r="H231" s="59" t="n">
        <v>0</v>
      </c>
      <c r="I231" s="9" t="s">
        <v>208</v>
      </c>
      <c r="J231" s="30"/>
      <c r="K231" s="30"/>
    </row>
    <row r="232" customFormat="false" ht="23.4" hidden="false" customHeight="true" outlineLevel="0" collapsed="false">
      <c r="A232" s="0" t="n">
        <v>31</v>
      </c>
      <c r="B232" s="31" t="n">
        <v>39326</v>
      </c>
      <c r="C232" s="221" t="n">
        <v>0</v>
      </c>
      <c r="D232" s="29" t="s">
        <v>42</v>
      </c>
      <c r="E232" s="33" t="e">
        <f aca="false">IF(D232="totale",(C232/(A232*24))/F232,IF(D232="marché libre",(C232/(A232*24))/G232,"spécifier histo"))</f>
        <v>#DIV/0!</v>
      </c>
      <c r="F232" s="59" t="n">
        <v>0</v>
      </c>
      <c r="G232" s="59" t="n">
        <v>0</v>
      </c>
      <c r="H232" s="59" t="n">
        <v>0</v>
      </c>
      <c r="I232" s="9" t="s">
        <v>208</v>
      </c>
      <c r="J232" s="30"/>
      <c r="K232" s="30"/>
    </row>
    <row r="233" customFormat="false" ht="23.4" hidden="false" customHeight="true" outlineLevel="0" collapsed="false">
      <c r="A233" s="0" t="n">
        <v>30</v>
      </c>
      <c r="B233" s="34" t="n">
        <v>39356</v>
      </c>
      <c r="C233" s="221" t="n">
        <v>0</v>
      </c>
      <c r="D233" s="29" t="s">
        <v>42</v>
      </c>
      <c r="E233" s="33" t="e">
        <f aca="false">IF(D233="totale",(C233/(A233*24))/F233,IF(D233="marché libre",(C233/(A233*24))/G233,"spécifier histo"))</f>
        <v>#DIV/0!</v>
      </c>
      <c r="F233" s="59" t="n">
        <v>0</v>
      </c>
      <c r="G233" s="59" t="n">
        <v>0</v>
      </c>
      <c r="H233" s="59" t="n">
        <v>0</v>
      </c>
      <c r="I233" s="9" t="s">
        <v>208</v>
      </c>
      <c r="J233" s="30"/>
      <c r="K233" s="30"/>
    </row>
    <row r="234" customFormat="false" ht="23.4" hidden="false" customHeight="true" outlineLevel="0" collapsed="false">
      <c r="A234" s="0" t="n">
        <v>31</v>
      </c>
      <c r="B234" s="31" t="n">
        <v>39387</v>
      </c>
      <c r="C234" s="221" t="n">
        <v>0</v>
      </c>
      <c r="D234" s="29" t="s">
        <v>42</v>
      </c>
      <c r="E234" s="33" t="e">
        <f aca="false">IF(D234="totale",(C234/(A234*24))/F234,IF(D234="marché libre",(C234/(A234*24))/G234,"spécifier histo"))</f>
        <v>#DIV/0!</v>
      </c>
      <c r="F234" s="59" t="n">
        <v>0</v>
      </c>
      <c r="G234" s="59" t="n">
        <v>0</v>
      </c>
      <c r="H234" s="59" t="n">
        <v>0</v>
      </c>
      <c r="I234" s="9" t="s">
        <v>208</v>
      </c>
      <c r="J234" s="30"/>
      <c r="K234" s="30"/>
    </row>
    <row r="235" customFormat="false" ht="23.4" hidden="false" customHeight="true" outlineLevel="0" collapsed="false">
      <c r="A235" s="133" t="n">
        <v>31</v>
      </c>
      <c r="B235" s="34" t="n">
        <v>39417</v>
      </c>
      <c r="C235" s="221" t="n">
        <v>0</v>
      </c>
      <c r="D235" s="29" t="s">
        <v>42</v>
      </c>
      <c r="E235" s="33" t="e">
        <f aca="false">IF(D235="totale",(C235/(A235*24))/F235,IF(D235="marché libre",(C235/(A235*24))/G235,"spécifier histo"))</f>
        <v>#DIV/0!</v>
      </c>
      <c r="F235" s="59" t="n">
        <v>0</v>
      </c>
      <c r="G235" s="59" t="n">
        <v>0</v>
      </c>
      <c r="H235" s="59" t="n">
        <v>0</v>
      </c>
      <c r="I235" s="9" t="s">
        <v>208</v>
      </c>
      <c r="J235" s="30"/>
      <c r="K235" s="30"/>
    </row>
    <row r="236" customFormat="false" ht="23.4" hidden="false" customHeight="true" outlineLevel="0" collapsed="false">
      <c r="A236" s="133" t="n">
        <v>30</v>
      </c>
      <c r="B236" s="31" t="n">
        <v>39448</v>
      </c>
      <c r="C236" s="221" t="n">
        <v>0</v>
      </c>
      <c r="D236" s="29" t="s">
        <v>42</v>
      </c>
      <c r="E236" s="33" t="e">
        <f aca="false">IF(D236="totale",(C236/(A236*24))/F236,IF(D236="marché libre",(C236/(A236*24))/G236,"spécifier histo"))</f>
        <v>#DIV/0!</v>
      </c>
      <c r="F236" s="59" t="n">
        <v>0</v>
      </c>
      <c r="G236" s="59" t="n">
        <v>0</v>
      </c>
      <c r="H236" s="59" t="n">
        <v>0</v>
      </c>
      <c r="I236" s="9" t="s">
        <v>208</v>
      </c>
      <c r="J236" s="30"/>
      <c r="K236" s="30"/>
    </row>
    <row r="237" customFormat="false" ht="23.4" hidden="false" customHeight="true" outlineLevel="0" collapsed="false">
      <c r="A237" s="133" t="n">
        <v>31</v>
      </c>
      <c r="B237" s="34" t="n">
        <v>39479</v>
      </c>
      <c r="C237" s="221" t="n">
        <v>0</v>
      </c>
      <c r="D237" s="29" t="s">
        <v>42</v>
      </c>
      <c r="E237" s="33" t="e">
        <f aca="false">IF(D237="totale",(C237/(A237*24))/F237,IF(D237="marché libre",(C237/(A237*24))/G237,"spécifier histo"))</f>
        <v>#DIV/0!</v>
      </c>
      <c r="F237" s="59" t="n">
        <v>0</v>
      </c>
      <c r="G237" s="59" t="n">
        <v>0</v>
      </c>
      <c r="H237" s="59" t="n">
        <v>0</v>
      </c>
      <c r="I237" s="9" t="s">
        <v>208</v>
      </c>
      <c r="J237" s="30"/>
      <c r="K237" s="30"/>
    </row>
    <row r="238" customFormat="false" ht="23.4" hidden="false" customHeight="true" outlineLevel="0" collapsed="false">
      <c r="A238" s="133" t="n">
        <v>31</v>
      </c>
      <c r="B238" s="31" t="n">
        <v>39508</v>
      </c>
      <c r="C238" s="221" t="n">
        <v>0</v>
      </c>
      <c r="D238" s="29" t="s">
        <v>42</v>
      </c>
      <c r="E238" s="33" t="e">
        <f aca="false">IF(D238="totale",(C238/(A238*24))/F238,IF(D238="marché libre",(C238/(A238*24))/G238,"spécifier histo"))</f>
        <v>#DIV/0!</v>
      </c>
      <c r="F238" s="59" t="n">
        <v>0</v>
      </c>
      <c r="G238" s="59" t="n">
        <v>0</v>
      </c>
      <c r="H238" s="59" t="n">
        <v>0</v>
      </c>
      <c r="I238" s="9" t="s">
        <v>208</v>
      </c>
      <c r="J238" s="30"/>
      <c r="K238" s="30"/>
    </row>
    <row r="239" customFormat="false" ht="23.4" hidden="false" customHeight="true" outlineLevel="0" collapsed="false">
      <c r="A239" s="133" t="n">
        <v>28</v>
      </c>
      <c r="B239" s="34" t="n">
        <v>39539</v>
      </c>
      <c r="C239" s="221" t="n">
        <v>0</v>
      </c>
      <c r="D239" s="29" t="s">
        <v>42</v>
      </c>
      <c r="E239" s="33" t="e">
        <f aca="false">IF(D239="totale",(C239/(A239*24))/F239,IF(D239="marché libre",(C239/(A239*24))/G239,"spécifier histo"))</f>
        <v>#DIV/0!</v>
      </c>
      <c r="F239" s="59" t="n">
        <v>0</v>
      </c>
      <c r="G239" s="59" t="n">
        <v>0</v>
      </c>
      <c r="H239" s="59" t="n">
        <v>0</v>
      </c>
      <c r="I239" s="9" t="s">
        <v>208</v>
      </c>
      <c r="J239" s="30"/>
      <c r="K239" s="30"/>
    </row>
    <row r="240" customFormat="false" ht="23.4" hidden="false" customHeight="true" outlineLevel="0" collapsed="false">
      <c r="A240" s="133" t="n">
        <v>31</v>
      </c>
      <c r="B240" s="31" t="n">
        <v>39569</v>
      </c>
      <c r="C240" s="221" t="n">
        <v>0</v>
      </c>
      <c r="D240" s="29" t="s">
        <v>42</v>
      </c>
      <c r="E240" s="33" t="e">
        <f aca="false">IF(D240="totale",(C240/(A240*24))/F240,IF(D240="marché libre",(C240/(A240*24))/G240,"spécifier histo"))</f>
        <v>#DIV/0!</v>
      </c>
      <c r="F240" s="59" t="n">
        <v>0</v>
      </c>
      <c r="G240" s="59" t="n">
        <v>0</v>
      </c>
      <c r="H240" s="59" t="n">
        <v>0</v>
      </c>
      <c r="I240" s="9" t="s">
        <v>208</v>
      </c>
      <c r="J240" s="30"/>
      <c r="K240" s="30"/>
    </row>
    <row r="241" customFormat="false" ht="23.4" hidden="false" customHeight="true" outlineLevel="0" collapsed="false">
      <c r="A241" s="133" t="n">
        <v>30</v>
      </c>
      <c r="B241" s="34" t="n">
        <v>39600</v>
      </c>
      <c r="C241" s="221" t="n">
        <v>0</v>
      </c>
      <c r="D241" s="29" t="s">
        <v>42</v>
      </c>
      <c r="E241" s="33" t="e">
        <f aca="false">IF(D241="totale",(C241/(A241*24))/F241,IF(D241="marché libre",(C241/(A241*24))/G241,"spécifier histo"))</f>
        <v>#DIV/0!</v>
      </c>
      <c r="F241" s="59" t="n">
        <v>0</v>
      </c>
      <c r="G241" s="59" t="n">
        <v>0</v>
      </c>
      <c r="H241" s="59" t="n">
        <v>0</v>
      </c>
      <c r="I241" s="9" t="s">
        <v>208</v>
      </c>
      <c r="J241" s="30"/>
      <c r="K241" s="30"/>
    </row>
    <row r="242" customFormat="false" ht="23.4" hidden="false" customHeight="true" outlineLevel="0" collapsed="false">
      <c r="A242" s="133" t="n">
        <v>31</v>
      </c>
      <c r="B242" s="31" t="n">
        <v>39630</v>
      </c>
      <c r="C242" s="221" t="n">
        <v>0</v>
      </c>
      <c r="D242" s="29" t="s">
        <v>42</v>
      </c>
      <c r="E242" s="33" t="e">
        <f aca="false">IF(D242="totale",(C242/(A242*24))/F242,IF(D242="marché libre",(C242/(A242*24))/G242,"spécifier histo"))</f>
        <v>#DIV/0!</v>
      </c>
      <c r="F242" s="59" t="n">
        <v>0</v>
      </c>
      <c r="G242" s="59" t="n">
        <v>0</v>
      </c>
      <c r="H242" s="59" t="n">
        <v>0</v>
      </c>
      <c r="I242" s="9" t="s">
        <v>208</v>
      </c>
      <c r="J242" s="30"/>
      <c r="K242" s="30"/>
    </row>
    <row r="243" customFormat="false" ht="23.4" hidden="false" customHeight="true" outlineLevel="0" collapsed="false">
      <c r="A243" s="133" t="n">
        <v>30</v>
      </c>
      <c r="B243" s="34" t="n">
        <v>39661</v>
      </c>
      <c r="C243" s="221" t="n">
        <v>0</v>
      </c>
      <c r="D243" s="29" t="s">
        <v>42</v>
      </c>
      <c r="E243" s="33" t="e">
        <f aca="false">IF(D243="totale",(C243/(A243*24))/F243,IF(D243="marché libre",(C243/(A243*24))/G243,"spécifier histo"))</f>
        <v>#DIV/0!</v>
      </c>
      <c r="F243" s="59" t="n">
        <v>0</v>
      </c>
      <c r="G243" s="59" t="n">
        <v>0</v>
      </c>
      <c r="H243" s="59" t="n">
        <v>0</v>
      </c>
      <c r="I243" s="9" t="s">
        <v>208</v>
      </c>
      <c r="J243" s="30"/>
      <c r="K243" s="30"/>
    </row>
    <row r="244" customFormat="false" ht="23.4" hidden="false" customHeight="true" outlineLevel="0" collapsed="false">
      <c r="A244" s="133" t="n">
        <v>31</v>
      </c>
      <c r="B244" s="31" t="n">
        <v>39692</v>
      </c>
      <c r="C244" s="221" t="n">
        <v>0</v>
      </c>
      <c r="D244" s="29" t="s">
        <v>42</v>
      </c>
      <c r="E244" s="33" t="e">
        <f aca="false">IF(D244="totale",(C244/(A244*24))/F244,IF(D244="marché libre",(C244/(A244*24))/G244,"spécifier histo"))</f>
        <v>#DIV/0!</v>
      </c>
      <c r="F244" s="59" t="n">
        <v>0</v>
      </c>
      <c r="G244" s="59" t="n">
        <v>0</v>
      </c>
      <c r="H244" s="59" t="n">
        <v>0</v>
      </c>
      <c r="I244" s="9" t="s">
        <v>208</v>
      </c>
      <c r="J244" s="30"/>
      <c r="K244" s="30"/>
    </row>
    <row r="245" customFormat="false" ht="23.4" hidden="false" customHeight="true" outlineLevel="0" collapsed="false">
      <c r="A245" s="133" t="n">
        <v>31</v>
      </c>
      <c r="B245" s="34" t="n">
        <v>39722</v>
      </c>
      <c r="C245" s="221" t="n">
        <v>0</v>
      </c>
      <c r="D245" s="29" t="s">
        <v>42</v>
      </c>
      <c r="E245" s="33" t="e">
        <f aca="false">IF(D245="totale",(C245/(A245*24))/F245,IF(D245="marché libre",(C245/(A245*24))/G245,"spécifier histo"))</f>
        <v>#DIV/0!</v>
      </c>
      <c r="F245" s="59" t="n">
        <v>0</v>
      </c>
      <c r="G245" s="59" t="n">
        <v>0</v>
      </c>
      <c r="H245" s="59" t="n">
        <v>0</v>
      </c>
      <c r="I245" s="9" t="s">
        <v>208</v>
      </c>
      <c r="J245" s="30"/>
      <c r="K245" s="30"/>
    </row>
    <row r="246" customFormat="false" ht="23.4" hidden="false" customHeight="true" outlineLevel="0" collapsed="false">
      <c r="A246" s="133" t="n">
        <v>30</v>
      </c>
      <c r="B246" s="31" t="n">
        <v>39753</v>
      </c>
      <c r="C246" s="221" t="n">
        <v>0</v>
      </c>
      <c r="D246" s="29" t="s">
        <v>42</v>
      </c>
      <c r="E246" s="33" t="e">
        <f aca="false">IF(D246="totale",(C246/(A246*24))/F246,IF(D246="marché libre",(C246/(A246*24))/G246,"spécifier histo"))</f>
        <v>#DIV/0!</v>
      </c>
      <c r="F246" s="59" t="n">
        <v>0</v>
      </c>
      <c r="G246" s="59" t="n">
        <v>0</v>
      </c>
      <c r="H246" s="59" t="n">
        <v>0</v>
      </c>
      <c r="I246" s="9" t="s">
        <v>208</v>
      </c>
      <c r="J246" s="30"/>
      <c r="K246" s="30"/>
    </row>
    <row r="247" customFormat="false" ht="23.4" hidden="false" customHeight="true" outlineLevel="0" collapsed="false">
      <c r="A247" s="133" t="n">
        <v>31</v>
      </c>
      <c r="B247" s="34" t="n">
        <v>39783</v>
      </c>
      <c r="C247" s="221" t="n">
        <v>0</v>
      </c>
      <c r="D247" s="29" t="s">
        <v>42</v>
      </c>
      <c r="E247" s="33" t="e">
        <f aca="false">IF(D247="totale",(C247/(A247*24))/F247,IF(D247="marché libre",(C247/(A247*24))/G247,"spécifier histo"))</f>
        <v>#DIV/0!</v>
      </c>
      <c r="F247" s="59" t="n">
        <v>0</v>
      </c>
      <c r="G247" s="59" t="n">
        <v>0</v>
      </c>
      <c r="H247" s="59" t="n">
        <v>0</v>
      </c>
      <c r="I247" s="9" t="s">
        <v>208</v>
      </c>
      <c r="J247" s="30"/>
      <c r="K247" s="30"/>
    </row>
    <row r="248" customFormat="false" ht="23.4" hidden="false" customHeight="true" outlineLevel="0" collapsed="false">
      <c r="A248" s="133" t="n">
        <v>30</v>
      </c>
      <c r="B248" s="31" t="n">
        <v>39814</v>
      </c>
      <c r="C248" s="221" t="n">
        <v>0</v>
      </c>
      <c r="D248" s="29" t="s">
        <v>42</v>
      </c>
      <c r="E248" s="33" t="e">
        <f aca="false">IF(D248="totale",(C248/(A248*24))/F248,IF(D248="marché libre",(C248/(A248*24))/G248,"spécifier histo"))</f>
        <v>#DIV/0!</v>
      </c>
      <c r="F248" s="59" t="n">
        <v>0</v>
      </c>
      <c r="G248" s="59" t="n">
        <v>0</v>
      </c>
      <c r="H248" s="59" t="n">
        <v>0</v>
      </c>
      <c r="I248" s="9" t="s">
        <v>208</v>
      </c>
      <c r="J248" s="30"/>
      <c r="K248" s="30"/>
    </row>
    <row r="249" customFormat="false" ht="23.4" hidden="false" customHeight="true" outlineLevel="0" collapsed="false">
      <c r="A249" s="133" t="n">
        <v>31</v>
      </c>
      <c r="B249" s="34" t="n">
        <v>39845</v>
      </c>
      <c r="C249" s="221" t="n">
        <v>0</v>
      </c>
      <c r="D249" s="29" t="s">
        <v>42</v>
      </c>
      <c r="E249" s="33" t="e">
        <f aca="false">IF(D249="totale",(C249/(A249*24))/F249,IF(D249="marché libre",(C249/(A249*24))/G249,"spécifier histo"))</f>
        <v>#DIV/0!</v>
      </c>
      <c r="F249" s="59" t="n">
        <v>0</v>
      </c>
      <c r="G249" s="59" t="n">
        <v>0</v>
      </c>
      <c r="H249" s="59" t="n">
        <v>0</v>
      </c>
      <c r="I249" s="9" t="s">
        <v>208</v>
      </c>
      <c r="J249" s="30"/>
      <c r="K249" s="30"/>
    </row>
    <row r="250" customFormat="false" ht="23.4" hidden="false" customHeight="true" outlineLevel="0" collapsed="false">
      <c r="A250" s="133" t="n">
        <v>31</v>
      </c>
      <c r="B250" s="31" t="n">
        <v>39873</v>
      </c>
      <c r="C250" s="221" t="n">
        <v>0</v>
      </c>
      <c r="D250" s="29" t="s">
        <v>42</v>
      </c>
      <c r="E250" s="33" t="e">
        <f aca="false">IF(D250="totale",(C250/(A250*24))/F250,IF(D250="marché libre",(C250/(A250*24))/G250,"spécifier histo"))</f>
        <v>#DIV/0!</v>
      </c>
      <c r="F250" s="59" t="n">
        <v>0</v>
      </c>
      <c r="G250" s="59" t="n">
        <v>0</v>
      </c>
      <c r="H250" s="59" t="n">
        <v>0</v>
      </c>
      <c r="I250" s="9" t="s">
        <v>208</v>
      </c>
      <c r="J250" s="30"/>
      <c r="K250" s="30"/>
    </row>
    <row r="251" customFormat="false" ht="23.4" hidden="false" customHeight="true" outlineLevel="0" collapsed="false">
      <c r="A251" s="133" t="n">
        <v>28</v>
      </c>
      <c r="B251" s="34" t="n">
        <v>39904</v>
      </c>
      <c r="C251" s="221" t="n">
        <v>0</v>
      </c>
      <c r="D251" s="29" t="s">
        <v>42</v>
      </c>
      <c r="E251" s="33" t="e">
        <f aca="false">IF(D251="totale",(C251/(A251*24))/F251,IF(D251="marché libre",(C251/(A251*24))/G251,"spécifier histo"))</f>
        <v>#DIV/0!</v>
      </c>
      <c r="F251" s="59" t="n">
        <v>0</v>
      </c>
      <c r="G251" s="59" t="n">
        <v>0</v>
      </c>
      <c r="H251" s="59" t="n">
        <v>0</v>
      </c>
      <c r="I251" s="9" t="s">
        <v>208</v>
      </c>
      <c r="J251" s="30"/>
      <c r="K251" s="30"/>
    </row>
    <row r="252" customFormat="false" ht="23.4" hidden="false" customHeight="true" outlineLevel="0" collapsed="false">
      <c r="A252" s="133" t="n">
        <v>31</v>
      </c>
      <c r="B252" s="31" t="n">
        <v>39934</v>
      </c>
      <c r="C252" s="221" t="n">
        <v>0</v>
      </c>
      <c r="D252" s="29" t="s">
        <v>42</v>
      </c>
      <c r="E252" s="33" t="e">
        <f aca="false">IF(D252="totale",(C252/(A252*24))/F252,IF(D252="marché libre",(C252/(A252*24))/G252,"spécifier histo"))</f>
        <v>#DIV/0!</v>
      </c>
      <c r="F252" s="59" t="n">
        <v>0</v>
      </c>
      <c r="G252" s="59" t="n">
        <v>0</v>
      </c>
      <c r="H252" s="59" t="n">
        <v>0</v>
      </c>
      <c r="I252" s="9" t="s">
        <v>208</v>
      </c>
      <c r="J252" s="30"/>
      <c r="K252" s="30"/>
    </row>
    <row r="253" customFormat="false" ht="23.4" hidden="false" customHeight="true" outlineLevel="0" collapsed="false">
      <c r="A253" s="133" t="n">
        <v>30</v>
      </c>
      <c r="B253" s="34" t="n">
        <v>39965</v>
      </c>
      <c r="C253" s="221" t="n">
        <v>0</v>
      </c>
      <c r="D253" s="29" t="s">
        <v>42</v>
      </c>
      <c r="E253" s="33" t="e">
        <f aca="false">IF(D253="totale",(C253/(A253*24))/F253,IF(D253="marché libre",(C253/(A253*24))/G253,"spécifier histo"))</f>
        <v>#DIV/0!</v>
      </c>
      <c r="F253" s="59" t="n">
        <v>0</v>
      </c>
      <c r="G253" s="59" t="n">
        <v>0</v>
      </c>
      <c r="H253" s="59" t="n">
        <v>0</v>
      </c>
      <c r="I253" s="9" t="s">
        <v>208</v>
      </c>
      <c r="J253" s="30"/>
      <c r="K253" s="30"/>
    </row>
    <row r="254" customFormat="false" ht="23.4" hidden="false" customHeight="true" outlineLevel="0" collapsed="false">
      <c r="A254" s="133" t="n">
        <v>31</v>
      </c>
      <c r="B254" s="31" t="n">
        <v>39995</v>
      </c>
      <c r="C254" s="221" t="n">
        <v>0</v>
      </c>
      <c r="D254" s="29" t="s">
        <v>42</v>
      </c>
      <c r="E254" s="33" t="e">
        <f aca="false">IF(D254="totale",(C254/(A254*24))/F254,IF(D254="marché libre",(C254/(A254*24))/G254,"spécifier histo"))</f>
        <v>#DIV/0!</v>
      </c>
      <c r="F254" s="59" t="n">
        <v>0</v>
      </c>
      <c r="G254" s="59" t="n">
        <v>0</v>
      </c>
      <c r="H254" s="59" t="n">
        <v>0</v>
      </c>
      <c r="I254" s="9" t="s">
        <v>208</v>
      </c>
      <c r="J254" s="30"/>
      <c r="K254" s="30"/>
    </row>
    <row r="255" customFormat="false" ht="23.4" hidden="false" customHeight="true" outlineLevel="0" collapsed="false">
      <c r="A255" s="133" t="n">
        <v>30</v>
      </c>
      <c r="B255" s="34" t="n">
        <v>40026</v>
      </c>
      <c r="C255" s="221" t="n">
        <v>0</v>
      </c>
      <c r="D255" s="29" t="s">
        <v>42</v>
      </c>
      <c r="E255" s="33" t="e">
        <f aca="false">IF(D255="totale",(C255/(A255*24))/F255,IF(D255="marché libre",(C255/(A255*24))/G255,"spécifier histo"))</f>
        <v>#DIV/0!</v>
      </c>
      <c r="F255" s="59" t="n">
        <v>0</v>
      </c>
      <c r="G255" s="59" t="n">
        <v>0</v>
      </c>
      <c r="H255" s="59" t="n">
        <v>0</v>
      </c>
      <c r="I255" s="9" t="s">
        <v>208</v>
      </c>
      <c r="J255" s="30"/>
      <c r="K255" s="30"/>
    </row>
    <row r="256" customFormat="false" ht="23.4" hidden="false" customHeight="true" outlineLevel="0" collapsed="false">
      <c r="A256" s="133" t="n">
        <v>31</v>
      </c>
      <c r="B256" s="31" t="n">
        <v>40057</v>
      </c>
      <c r="C256" s="221" t="n">
        <v>0</v>
      </c>
      <c r="D256" s="29" t="s">
        <v>42</v>
      </c>
      <c r="E256" s="33" t="e">
        <f aca="false">IF(D256="totale",(C256/(A256*24))/F256,IF(D256="marché libre",(C256/(A256*24))/G256,"spécifier histo"))</f>
        <v>#DIV/0!</v>
      </c>
      <c r="F256" s="59" t="n">
        <v>0</v>
      </c>
      <c r="G256" s="59" t="n">
        <v>0</v>
      </c>
      <c r="H256" s="59" t="n">
        <v>0</v>
      </c>
      <c r="I256" s="9" t="s">
        <v>208</v>
      </c>
      <c r="J256" s="30"/>
      <c r="K256" s="30"/>
    </row>
    <row r="257" customFormat="false" ht="23.4" hidden="false" customHeight="true" outlineLevel="0" collapsed="false">
      <c r="A257" s="133" t="n">
        <v>31</v>
      </c>
      <c r="B257" s="34" t="n">
        <v>40087</v>
      </c>
      <c r="C257" s="221" t="n">
        <v>0</v>
      </c>
      <c r="D257" s="29" t="s">
        <v>42</v>
      </c>
      <c r="E257" s="33" t="e">
        <f aca="false">IF(D257="totale",(C257/(A257*24))/F257,IF(D257="marché libre",(C257/(A257*24))/G257,"spécifier histo"))</f>
        <v>#DIV/0!</v>
      </c>
      <c r="F257" s="59" t="n">
        <v>0</v>
      </c>
      <c r="G257" s="59" t="n">
        <v>0</v>
      </c>
      <c r="H257" s="59" t="n">
        <v>0</v>
      </c>
      <c r="I257" s="9" t="s">
        <v>208</v>
      </c>
      <c r="J257" s="30"/>
      <c r="K257" s="30"/>
    </row>
    <row r="258" customFormat="false" ht="23.4" hidden="false" customHeight="true" outlineLevel="0" collapsed="false">
      <c r="A258" s="133" t="n">
        <v>30</v>
      </c>
      <c r="B258" s="31" t="n">
        <v>40118</v>
      </c>
      <c r="C258" s="221" t="n">
        <v>0</v>
      </c>
      <c r="D258" s="29" t="s">
        <v>42</v>
      </c>
      <c r="E258" s="33" t="e">
        <f aca="false">IF(D258="totale",(C258/(A258*24))/F258,IF(D258="marché libre",(C258/(A258*24))/G258,"spécifier histo"))</f>
        <v>#DIV/0!</v>
      </c>
      <c r="F258" s="59" t="n">
        <v>0</v>
      </c>
      <c r="G258" s="59" t="n">
        <v>0</v>
      </c>
      <c r="H258" s="59" t="n">
        <v>0</v>
      </c>
      <c r="I258" s="9" t="s">
        <v>208</v>
      </c>
      <c r="J258" s="30"/>
      <c r="K258" s="30"/>
    </row>
    <row r="259" customFormat="false" ht="23.4" hidden="false" customHeight="true" outlineLevel="0" collapsed="false">
      <c r="A259" s="133" t="n">
        <v>31</v>
      </c>
      <c r="B259" s="34" t="n">
        <v>40148</v>
      </c>
      <c r="C259" s="221" t="n">
        <v>0</v>
      </c>
      <c r="D259" s="29" t="s">
        <v>42</v>
      </c>
      <c r="E259" s="33" t="e">
        <f aca="false">IF(D259="totale",(C259/(A259*24))/F259,IF(D259="marché libre",(C259/(A259*24))/G259,"spécifier histo"))</f>
        <v>#DIV/0!</v>
      </c>
      <c r="F259" s="59" t="n">
        <v>0</v>
      </c>
      <c r="G259" s="59" t="n">
        <v>0</v>
      </c>
      <c r="H259" s="59" t="n">
        <v>0</v>
      </c>
      <c r="I259" s="9" t="s">
        <v>208</v>
      </c>
      <c r="J259" s="30"/>
      <c r="K259" s="30"/>
    </row>
    <row r="260" customFormat="false" ht="23.4" hidden="false" customHeight="true" outlineLevel="0" collapsed="false">
      <c r="A260" s="133" t="n">
        <v>30</v>
      </c>
      <c r="B260" s="31" t="n">
        <v>40179</v>
      </c>
      <c r="C260" s="221" t="n">
        <v>0</v>
      </c>
      <c r="D260" s="29" t="s">
        <v>42</v>
      </c>
      <c r="E260" s="33" t="e">
        <f aca="false">IF(D260="totale",(C260/(A260*24))/F260,IF(D260="marché libre",(C260/(A260*24))/G260,"spécifier histo"))</f>
        <v>#DIV/0!</v>
      </c>
      <c r="F260" s="59" t="n">
        <v>0</v>
      </c>
      <c r="G260" s="59" t="n">
        <v>0</v>
      </c>
      <c r="H260" s="59" t="n">
        <v>0</v>
      </c>
      <c r="I260" s="9" t="s">
        <v>208</v>
      </c>
      <c r="J260" s="30"/>
      <c r="K260" s="30"/>
    </row>
    <row r="261" customFormat="false" ht="23.4" hidden="false" customHeight="true" outlineLevel="0" collapsed="false">
      <c r="A261" s="133" t="n">
        <v>31</v>
      </c>
      <c r="B261" s="34" t="n">
        <v>40210</v>
      </c>
      <c r="C261" s="221" t="n">
        <v>0</v>
      </c>
      <c r="D261" s="29" t="s">
        <v>42</v>
      </c>
      <c r="E261" s="33" t="e">
        <f aca="false">IF(D261="totale",(C261/(A261*24))/F261,IF(D261="marché libre",(C261/(A261*24))/G261,"spécifier histo"))</f>
        <v>#DIV/0!</v>
      </c>
      <c r="F261" s="59" t="n">
        <v>0</v>
      </c>
      <c r="G261" s="59" t="n">
        <v>0</v>
      </c>
      <c r="H261" s="59" t="n">
        <v>0</v>
      </c>
      <c r="I261" s="9" t="s">
        <v>208</v>
      </c>
      <c r="J261" s="30"/>
      <c r="K261" s="30"/>
    </row>
    <row r="262" customFormat="false" ht="23.4" hidden="false" customHeight="true" outlineLevel="0" collapsed="false">
      <c r="A262" s="133" t="n">
        <v>31</v>
      </c>
      <c r="B262" s="31" t="n">
        <v>40238</v>
      </c>
      <c r="C262" s="221" t="n">
        <v>0</v>
      </c>
      <c r="D262" s="29" t="s">
        <v>42</v>
      </c>
      <c r="E262" s="33" t="e">
        <f aca="false">IF(D262="totale",(C262/(A262*24))/F262,IF(D262="marché libre",(C262/(A262*24))/G262,"spécifier histo"))</f>
        <v>#DIV/0!</v>
      </c>
      <c r="F262" s="59" t="n">
        <v>0</v>
      </c>
      <c r="G262" s="59" t="n">
        <v>0</v>
      </c>
      <c r="H262" s="59" t="n">
        <v>0</v>
      </c>
      <c r="I262" s="9" t="s">
        <v>208</v>
      </c>
      <c r="J262" s="30"/>
      <c r="K262" s="30"/>
    </row>
    <row r="263" customFormat="false" ht="23.4" hidden="false" customHeight="true" outlineLevel="0" collapsed="false">
      <c r="A263" s="133" t="n">
        <v>28</v>
      </c>
      <c r="B263" s="34" t="n">
        <v>40269</v>
      </c>
      <c r="C263" s="221" t="n">
        <v>0</v>
      </c>
      <c r="D263" s="29" t="s">
        <v>42</v>
      </c>
      <c r="E263" s="33" t="e">
        <f aca="false">IF(D263="totale",(C263/(A263*24))/F263,IF(D263="marché libre",(C263/(A263*24))/G263,"spécifier histo"))</f>
        <v>#DIV/0!</v>
      </c>
      <c r="F263" s="59" t="n">
        <v>0</v>
      </c>
      <c r="G263" s="59" t="n">
        <v>0</v>
      </c>
      <c r="H263" s="59" t="n">
        <v>0</v>
      </c>
      <c r="I263" s="9" t="s">
        <v>208</v>
      </c>
      <c r="J263" s="30"/>
      <c r="K263" s="30"/>
    </row>
    <row r="264" customFormat="false" ht="23.4" hidden="false" customHeight="true" outlineLevel="0" collapsed="false">
      <c r="A264" s="133" t="n">
        <v>31</v>
      </c>
      <c r="B264" s="31" t="n">
        <v>40299</v>
      </c>
      <c r="C264" s="221" t="n">
        <v>0</v>
      </c>
      <c r="D264" s="29" t="s">
        <v>42</v>
      </c>
      <c r="E264" s="33" t="e">
        <f aca="false">IF(D264="totale",(C264/(A264*24))/F264,IF(D264="marché libre",(C264/(A264*24))/G264,"spécifier histo"))</f>
        <v>#DIV/0!</v>
      </c>
      <c r="F264" s="59" t="n">
        <v>0</v>
      </c>
      <c r="G264" s="59" t="n">
        <v>0</v>
      </c>
      <c r="H264" s="59" t="n">
        <v>0</v>
      </c>
      <c r="I264" s="9" t="s">
        <v>208</v>
      </c>
      <c r="J264" s="30"/>
      <c r="K264" s="30"/>
    </row>
    <row r="265" customFormat="false" ht="23.4" hidden="false" customHeight="true" outlineLevel="0" collapsed="false">
      <c r="A265" s="133" t="n">
        <v>30</v>
      </c>
      <c r="B265" s="34" t="n">
        <v>40330</v>
      </c>
      <c r="C265" s="221" t="n">
        <v>0</v>
      </c>
      <c r="D265" s="29" t="s">
        <v>42</v>
      </c>
      <c r="E265" s="33" t="e">
        <f aca="false">IF(D265="totale",(C265/(A265*24))/F265,IF(D265="marché libre",(C265/(A265*24))/G265,"spécifier histo"))</f>
        <v>#DIV/0!</v>
      </c>
      <c r="F265" s="59" t="n">
        <v>0</v>
      </c>
      <c r="G265" s="59" t="n">
        <v>0</v>
      </c>
      <c r="H265" s="59" t="n">
        <v>0</v>
      </c>
      <c r="I265" s="9" t="s">
        <v>208</v>
      </c>
      <c r="J265" s="30"/>
      <c r="K265" s="30"/>
    </row>
    <row r="266" customFormat="false" ht="23.4" hidden="false" customHeight="true" outlineLevel="0" collapsed="false">
      <c r="A266" s="133" t="n">
        <v>31</v>
      </c>
      <c r="B266" s="31" t="n">
        <v>40360</v>
      </c>
      <c r="C266" s="221" t="n">
        <v>0</v>
      </c>
      <c r="D266" s="29" t="s">
        <v>42</v>
      </c>
      <c r="E266" s="33" t="e">
        <f aca="false">IF(D266="totale",(C266/(A266*24))/F266,IF(D266="marché libre",(C266/(A266*24))/G266,"spécifier histo"))</f>
        <v>#DIV/0!</v>
      </c>
      <c r="F266" s="59" t="n">
        <v>0</v>
      </c>
      <c r="G266" s="59" t="n">
        <v>0</v>
      </c>
      <c r="H266" s="59" t="n">
        <v>0</v>
      </c>
      <c r="I266" s="9" t="s">
        <v>208</v>
      </c>
      <c r="J266" s="30"/>
      <c r="K266" s="30"/>
    </row>
    <row r="267" customFormat="false" ht="23.4" hidden="false" customHeight="true" outlineLevel="0" collapsed="false">
      <c r="A267" s="133" t="n">
        <v>30</v>
      </c>
      <c r="B267" s="34" t="n">
        <v>40391</v>
      </c>
      <c r="C267" s="221" t="n">
        <v>0</v>
      </c>
      <c r="D267" s="29" t="s">
        <v>42</v>
      </c>
      <c r="E267" s="33" t="e">
        <f aca="false">IF(D267="totale",(C267/(A267*24))/F267,IF(D267="marché libre",(C267/(A267*24))/G267,"spécifier histo"))</f>
        <v>#DIV/0!</v>
      </c>
      <c r="F267" s="59" t="n">
        <v>0</v>
      </c>
      <c r="G267" s="59" t="n">
        <v>0</v>
      </c>
      <c r="H267" s="59" t="n">
        <v>0</v>
      </c>
      <c r="I267" s="9" t="s">
        <v>208</v>
      </c>
      <c r="J267" s="30"/>
      <c r="K267" s="30"/>
    </row>
    <row r="268" customFormat="false" ht="23.4" hidden="false" customHeight="true" outlineLevel="0" collapsed="false">
      <c r="A268" s="133" t="n">
        <v>31</v>
      </c>
      <c r="B268" s="31" t="n">
        <v>40422</v>
      </c>
      <c r="C268" s="221" t="n">
        <v>0</v>
      </c>
      <c r="D268" s="29" t="s">
        <v>42</v>
      </c>
      <c r="E268" s="33" t="e">
        <f aca="false">IF(D268="totale",(C268/(A268*24))/F268,IF(D268="marché libre",(C268/(A268*24))/G268,"spécifier histo"))</f>
        <v>#DIV/0!</v>
      </c>
      <c r="F268" s="59" t="n">
        <v>0</v>
      </c>
      <c r="G268" s="59" t="n">
        <v>0</v>
      </c>
      <c r="H268" s="59" t="n">
        <v>0</v>
      </c>
      <c r="I268" s="9" t="s">
        <v>208</v>
      </c>
      <c r="J268" s="30"/>
      <c r="K268" s="30"/>
    </row>
    <row r="269" customFormat="false" ht="23.4" hidden="false" customHeight="true" outlineLevel="0" collapsed="false">
      <c r="A269" s="133" t="n">
        <v>31</v>
      </c>
      <c r="B269" s="34" t="n">
        <v>40452</v>
      </c>
      <c r="C269" s="221" t="n">
        <v>0</v>
      </c>
      <c r="D269" s="29" t="s">
        <v>42</v>
      </c>
      <c r="E269" s="33" t="e">
        <f aca="false">IF(D269="totale",(C269/(A269*24))/F269,IF(D269="marché libre",(C269/(A269*24))/G269,"spécifier histo"))</f>
        <v>#DIV/0!</v>
      </c>
      <c r="F269" s="59" t="n">
        <v>0</v>
      </c>
      <c r="G269" s="59" t="n">
        <v>0</v>
      </c>
      <c r="H269" s="59" t="n">
        <v>0</v>
      </c>
      <c r="I269" s="9" t="s">
        <v>208</v>
      </c>
      <c r="J269" s="30"/>
      <c r="K269" s="30"/>
    </row>
    <row r="270" customFormat="false" ht="23.4" hidden="false" customHeight="true" outlineLevel="0" collapsed="false">
      <c r="A270" s="133" t="n">
        <v>30</v>
      </c>
      <c r="B270" s="31" t="n">
        <v>40483</v>
      </c>
      <c r="C270" s="221" t="n">
        <v>0</v>
      </c>
      <c r="D270" s="29" t="s">
        <v>42</v>
      </c>
      <c r="E270" s="33" t="e">
        <f aca="false">IF(D270="totale",(C270/(A270*24))/F270,IF(D270="marché libre",(C270/(A270*24))/G270,"spécifier histo"))</f>
        <v>#DIV/0!</v>
      </c>
      <c r="F270" s="59" t="n">
        <v>0</v>
      </c>
      <c r="G270" s="59" t="n">
        <v>0</v>
      </c>
      <c r="H270" s="59" t="n">
        <v>0</v>
      </c>
      <c r="I270" s="9" t="s">
        <v>208</v>
      </c>
      <c r="J270" s="30"/>
      <c r="K270" s="30"/>
    </row>
    <row r="271" customFormat="false" ht="23.4" hidden="false" customHeight="true" outlineLevel="0" collapsed="false">
      <c r="A271" s="133" t="n">
        <v>31</v>
      </c>
      <c r="B271" s="34" t="n">
        <v>40513</v>
      </c>
      <c r="C271" s="221" t="n">
        <v>0</v>
      </c>
      <c r="D271" s="29" t="s">
        <v>42</v>
      </c>
      <c r="E271" s="33" t="e">
        <f aca="false">IF(D271="totale",(C271/(A271*24))/F271,IF(D271="marché libre",(C271/(A271*24))/G271,"spécifier histo"))</f>
        <v>#DIV/0!</v>
      </c>
      <c r="F271" s="59" t="n">
        <v>0</v>
      </c>
      <c r="G271" s="59" t="n">
        <v>0</v>
      </c>
      <c r="H271" s="59" t="n">
        <v>0</v>
      </c>
      <c r="I271" s="9" t="s">
        <v>208</v>
      </c>
      <c r="J271" s="30"/>
      <c r="K271" s="30"/>
    </row>
    <row r="272" customFormat="false" ht="23.4" hidden="false" customHeight="true" outlineLevel="0" collapsed="false">
      <c r="A272" s="133" t="n">
        <v>30</v>
      </c>
      <c r="B272" s="31" t="n">
        <v>40544</v>
      </c>
      <c r="C272" s="221" t="n">
        <v>0</v>
      </c>
      <c r="D272" s="29" t="s">
        <v>42</v>
      </c>
      <c r="E272" s="33" t="e">
        <f aca="false">IF(D272="totale",(C272/(A272*24))/F272,IF(D272="marché libre",(C272/(A272*24))/G272,"spécifier histo"))</f>
        <v>#DIV/0!</v>
      </c>
      <c r="F272" s="59" t="n">
        <v>0</v>
      </c>
      <c r="G272" s="59" t="n">
        <v>0</v>
      </c>
      <c r="H272" s="59" t="n">
        <v>0</v>
      </c>
      <c r="I272" s="9" t="s">
        <v>208</v>
      </c>
      <c r="J272" s="30"/>
      <c r="K272" s="30"/>
    </row>
    <row r="273" customFormat="false" ht="23.4" hidden="false" customHeight="true" outlineLevel="0" collapsed="false">
      <c r="A273" s="133" t="n">
        <v>31</v>
      </c>
      <c r="B273" s="34" t="n">
        <v>40575</v>
      </c>
      <c r="C273" s="221" t="n">
        <v>0</v>
      </c>
      <c r="D273" s="29" t="s">
        <v>42</v>
      </c>
      <c r="E273" s="33" t="e">
        <f aca="false">IF(D273="totale",(C273/(A273*24))/F273,IF(D273="marché libre",(C273/(A273*24))/G273,"spécifier histo"))</f>
        <v>#DIV/0!</v>
      </c>
      <c r="F273" s="59" t="n">
        <v>0</v>
      </c>
      <c r="G273" s="59" t="n">
        <v>0</v>
      </c>
      <c r="H273" s="59" t="n">
        <v>0</v>
      </c>
      <c r="I273" s="9" t="s">
        <v>208</v>
      </c>
      <c r="J273" s="30"/>
      <c r="K273" s="30"/>
    </row>
    <row r="274" customFormat="false" ht="23.4" hidden="false" customHeight="true" outlineLevel="0" collapsed="false">
      <c r="A274" s="133" t="n">
        <v>31</v>
      </c>
      <c r="B274" s="31" t="n">
        <v>40603</v>
      </c>
      <c r="C274" s="221" t="n">
        <v>0</v>
      </c>
      <c r="D274" s="29" t="s">
        <v>42</v>
      </c>
      <c r="E274" s="33" t="e">
        <f aca="false">IF(D274="totale",(C274/(A274*24))/F274,IF(D274="marché libre",(C274/(A274*24))/G274,"spécifier histo"))</f>
        <v>#DIV/0!</v>
      </c>
      <c r="F274" s="59" t="n">
        <v>0</v>
      </c>
      <c r="G274" s="59" t="n">
        <v>0</v>
      </c>
      <c r="H274" s="59" t="n">
        <v>0</v>
      </c>
      <c r="I274" s="9" t="s">
        <v>208</v>
      </c>
      <c r="J274" s="30"/>
      <c r="K274" s="30"/>
    </row>
    <row r="275" customFormat="false" ht="23.4" hidden="false" customHeight="true" outlineLevel="0" collapsed="false">
      <c r="A275" s="222" t="n">
        <v>28</v>
      </c>
      <c r="B275" s="34" t="n">
        <v>40634</v>
      </c>
      <c r="C275" s="221" t="n">
        <v>0</v>
      </c>
      <c r="D275" s="29" t="s">
        <v>42</v>
      </c>
      <c r="E275" s="33" t="e">
        <f aca="false">IF(D275="totale",(C275/(A275*24))/F275,IF(D275="marché libre",(C275/(A275*24))/G275,"spécifier histo"))</f>
        <v>#DIV/0!</v>
      </c>
      <c r="F275" s="59" t="n">
        <v>0</v>
      </c>
      <c r="G275" s="59" t="n">
        <v>0</v>
      </c>
      <c r="H275" s="59" t="n">
        <v>0</v>
      </c>
      <c r="I275" s="9" t="s">
        <v>208</v>
      </c>
      <c r="J275" s="30"/>
      <c r="K275" s="30"/>
    </row>
    <row r="276" customFormat="false" ht="23.4" hidden="false" customHeight="true" outlineLevel="0" collapsed="false">
      <c r="A276" s="222" t="n">
        <v>31</v>
      </c>
      <c r="B276" s="31" t="n">
        <v>40664</v>
      </c>
      <c r="C276" s="221" t="n">
        <v>0</v>
      </c>
      <c r="D276" s="29" t="s">
        <v>42</v>
      </c>
      <c r="E276" s="33" t="e">
        <f aca="false">IF(D276="totale",(C276/(A276*24))/F276,IF(D276="marché libre",(C276/(A276*24))/G276,"spécifier histo"))</f>
        <v>#DIV/0!</v>
      </c>
      <c r="F276" s="59" t="n">
        <v>0</v>
      </c>
      <c r="G276" s="59" t="n">
        <v>0</v>
      </c>
      <c r="H276" s="59" t="n">
        <v>0</v>
      </c>
      <c r="I276" s="9" t="s">
        <v>208</v>
      </c>
      <c r="J276" s="30"/>
      <c r="K276" s="30"/>
    </row>
    <row r="277" customFormat="false" ht="23.4" hidden="false" customHeight="true" outlineLevel="0" collapsed="false">
      <c r="A277" s="222" t="n">
        <v>30</v>
      </c>
      <c r="B277" s="34" t="n">
        <v>40695</v>
      </c>
      <c r="C277" s="221" t="n">
        <v>0</v>
      </c>
      <c r="D277" s="29" t="s">
        <v>42</v>
      </c>
      <c r="E277" s="33" t="e">
        <f aca="false">IF(D277="totale",(C277/(A277*24))/F277,IF(D277="marché libre",(C277/(A277*24))/G277,"spécifier histo"))</f>
        <v>#DIV/0!</v>
      </c>
      <c r="F277" s="59" t="n">
        <v>0</v>
      </c>
      <c r="G277" s="59" t="n">
        <v>0</v>
      </c>
      <c r="H277" s="59" t="n">
        <v>0</v>
      </c>
      <c r="I277" s="9" t="s">
        <v>208</v>
      </c>
      <c r="J277" s="30"/>
      <c r="K277" s="30"/>
    </row>
    <row r="278" customFormat="false" ht="23.4" hidden="false" customHeight="true" outlineLevel="0" collapsed="false">
      <c r="A278" s="222" t="n">
        <v>31</v>
      </c>
      <c r="B278" s="31" t="n">
        <v>40725</v>
      </c>
      <c r="C278" s="221" t="n">
        <v>0</v>
      </c>
      <c r="D278" s="29" t="s">
        <v>42</v>
      </c>
      <c r="E278" s="33" t="e">
        <f aca="false">IF(D278="totale",(C278/(A278*24))/F278,IF(D278="marché libre",(C278/(A278*24))/G278,"spécifier histo"))</f>
        <v>#DIV/0!</v>
      </c>
      <c r="F278" s="59" t="n">
        <v>0</v>
      </c>
      <c r="G278" s="59" t="n">
        <v>0</v>
      </c>
      <c r="H278" s="59" t="n">
        <v>0</v>
      </c>
      <c r="I278" s="9" t="s">
        <v>208</v>
      </c>
      <c r="J278" s="30"/>
      <c r="K278" s="30"/>
    </row>
    <row r="279" customFormat="false" ht="23.4" hidden="false" customHeight="true" outlineLevel="0" collapsed="false">
      <c r="A279" s="222" t="n">
        <v>30</v>
      </c>
      <c r="B279" s="34" t="n">
        <v>40756</v>
      </c>
      <c r="C279" s="221" t="n">
        <v>0</v>
      </c>
      <c r="D279" s="29" t="s">
        <v>42</v>
      </c>
      <c r="E279" s="33" t="e">
        <f aca="false">IF(D279="totale",(C279/(A279*24))/F279,IF(D279="marché libre",(C279/(A279*24))/G279,"spécifier histo"))</f>
        <v>#DIV/0!</v>
      </c>
      <c r="F279" s="59" t="n">
        <v>0</v>
      </c>
      <c r="G279" s="59" t="n">
        <v>0</v>
      </c>
      <c r="H279" s="59" t="n">
        <v>0</v>
      </c>
      <c r="I279" s="9" t="s">
        <v>208</v>
      </c>
      <c r="J279" s="30"/>
      <c r="K279" s="30"/>
    </row>
    <row r="280" customFormat="false" ht="23.4" hidden="false" customHeight="true" outlineLevel="0" collapsed="false">
      <c r="A280" s="222" t="n">
        <v>31</v>
      </c>
      <c r="B280" s="31" t="n">
        <v>40787</v>
      </c>
      <c r="C280" s="221" t="n">
        <v>0</v>
      </c>
      <c r="D280" s="29" t="s">
        <v>42</v>
      </c>
      <c r="E280" s="33" t="e">
        <f aca="false">IF(D280="totale",(C280/(A280*24))/F280,IF(D280="marché libre",(C280/(A280*24))/G280,"spécifier histo"))</f>
        <v>#DIV/0!</v>
      </c>
      <c r="F280" s="59" t="n">
        <v>0</v>
      </c>
      <c r="G280" s="59" t="n">
        <v>0</v>
      </c>
      <c r="H280" s="59" t="n">
        <v>0</v>
      </c>
      <c r="I280" s="9" t="s">
        <v>208</v>
      </c>
      <c r="J280" s="30"/>
      <c r="K280" s="30"/>
    </row>
    <row r="281" customFormat="false" ht="23.4" hidden="false" customHeight="true" outlineLevel="0" collapsed="false">
      <c r="A281" s="222" t="n">
        <v>31</v>
      </c>
      <c r="B281" s="34" t="n">
        <v>40817</v>
      </c>
      <c r="C281" s="221" t="n">
        <v>0</v>
      </c>
      <c r="D281" s="29" t="s">
        <v>42</v>
      </c>
      <c r="E281" s="33" t="e">
        <f aca="false">IF(D281="totale",(C281/(A281*24))/F281,IF(D281="marché libre",(C281/(A281*24))/G281,"spécifier histo"))</f>
        <v>#DIV/0!</v>
      </c>
      <c r="F281" s="59" t="n">
        <v>0</v>
      </c>
      <c r="G281" s="59" t="n">
        <v>0</v>
      </c>
      <c r="H281" s="59" t="n">
        <v>0</v>
      </c>
      <c r="I281" s="9" t="s">
        <v>208</v>
      </c>
      <c r="J281" s="30"/>
      <c r="K281" s="30"/>
    </row>
    <row r="282" customFormat="false" ht="23.4" hidden="false" customHeight="true" outlineLevel="0" collapsed="false">
      <c r="A282" s="222" t="n">
        <v>30</v>
      </c>
      <c r="B282" s="31" t="n">
        <v>40848</v>
      </c>
      <c r="C282" s="221" t="n">
        <v>0</v>
      </c>
      <c r="D282" s="29" t="s">
        <v>42</v>
      </c>
      <c r="E282" s="33" t="e">
        <f aca="false">IF(D282="totale",(C282/(A282*24))/F282,IF(D282="marché libre",(C282/(A282*24))/G282,"spécifier histo"))</f>
        <v>#DIV/0!</v>
      </c>
      <c r="F282" s="59" t="n">
        <v>0</v>
      </c>
      <c r="G282" s="59" t="n">
        <v>0</v>
      </c>
      <c r="H282" s="59" t="n">
        <v>0</v>
      </c>
      <c r="I282" s="9" t="s">
        <v>208</v>
      </c>
      <c r="J282" s="30"/>
      <c r="K282" s="30"/>
    </row>
    <row r="283" customFormat="false" ht="23.4" hidden="false" customHeight="true" outlineLevel="0" collapsed="false">
      <c r="A283" s="222" t="n">
        <v>31</v>
      </c>
      <c r="B283" s="34" t="n">
        <v>40878</v>
      </c>
      <c r="C283" s="221" t="n">
        <v>0</v>
      </c>
      <c r="D283" s="29" t="s">
        <v>42</v>
      </c>
      <c r="E283" s="33" t="e">
        <f aca="false">IF(D283="totale",(C283/(A283*24))/F283,IF(D283="marché libre",(C283/(A283*24))/G283,"spécifier histo"))</f>
        <v>#DIV/0!</v>
      </c>
      <c r="F283" s="59" t="n">
        <v>0</v>
      </c>
      <c r="G283" s="59" t="n">
        <v>0</v>
      </c>
      <c r="H283" s="59" t="n">
        <v>0</v>
      </c>
      <c r="I283" s="9" t="s">
        <v>208</v>
      </c>
      <c r="J283" s="30"/>
      <c r="K283" s="30"/>
    </row>
    <row r="284" customFormat="false" ht="23.4" hidden="false" customHeight="true" outlineLevel="0" collapsed="false">
      <c r="A284" s="222" t="n">
        <v>30</v>
      </c>
      <c r="B284" s="31" t="n">
        <v>40909</v>
      </c>
      <c r="C284" s="221" t="n">
        <v>0</v>
      </c>
      <c r="D284" s="29" t="s">
        <v>42</v>
      </c>
      <c r="E284" s="33" t="e">
        <f aca="false">IF(D284="totale",(C284/(A284*24))/F284,IF(D284="marché libre",(C284/(A284*24))/G284,"spécifier histo"))</f>
        <v>#DIV/0!</v>
      </c>
      <c r="F284" s="59" t="n">
        <v>0</v>
      </c>
      <c r="G284" s="59" t="n">
        <v>0</v>
      </c>
      <c r="H284" s="59" t="n">
        <v>0</v>
      </c>
      <c r="I284" s="9" t="s">
        <v>208</v>
      </c>
      <c r="J284" s="30"/>
      <c r="K284" s="30"/>
    </row>
    <row r="285" customFormat="false" ht="23.4" hidden="false" customHeight="true" outlineLevel="0" collapsed="false">
      <c r="A285" s="222" t="n">
        <v>31</v>
      </c>
      <c r="B285" s="34" t="n">
        <v>40940</v>
      </c>
      <c r="C285" s="221" t="n">
        <v>0</v>
      </c>
      <c r="D285" s="29" t="s">
        <v>42</v>
      </c>
      <c r="E285" s="33" t="e">
        <f aca="false">IF(D285="totale",(C285/(A285*24))/F285,IF(D285="marché libre",(C285/(A285*24))/G285,"spécifier histo"))</f>
        <v>#DIV/0!</v>
      </c>
      <c r="F285" s="59" t="n">
        <v>0</v>
      </c>
      <c r="G285" s="59" t="n">
        <v>0</v>
      </c>
      <c r="H285" s="59" t="n">
        <v>0</v>
      </c>
      <c r="I285" s="9" t="s">
        <v>208</v>
      </c>
      <c r="J285" s="30"/>
      <c r="K285" s="30"/>
    </row>
    <row r="286" customFormat="false" ht="23.4" hidden="false" customHeight="true" outlineLevel="0" collapsed="false">
      <c r="A286" s="222" t="n">
        <v>31</v>
      </c>
      <c r="B286" s="31" t="n">
        <v>40969</v>
      </c>
      <c r="C286" s="221" t="n">
        <v>0</v>
      </c>
      <c r="D286" s="29" t="s">
        <v>42</v>
      </c>
      <c r="E286" s="33" t="e">
        <f aca="false">IF(D286="totale",(C286/(A286*24))/F286,IF(D286="marché libre",(C286/(A286*24))/G286,"spécifier histo"))</f>
        <v>#DIV/0!</v>
      </c>
      <c r="F286" s="59" t="n">
        <v>0</v>
      </c>
      <c r="G286" s="59" t="n">
        <v>0</v>
      </c>
      <c r="H286" s="59" t="n">
        <v>0</v>
      </c>
      <c r="I286" s="9" t="s">
        <v>208</v>
      </c>
      <c r="J286" s="30"/>
      <c r="K286" s="30"/>
    </row>
    <row r="287" customFormat="false" ht="23.4" hidden="false" customHeight="true" outlineLevel="0" collapsed="false">
      <c r="A287" s="222" t="n">
        <v>28</v>
      </c>
      <c r="B287" s="34" t="n">
        <v>41000</v>
      </c>
      <c r="C287" s="221" t="n">
        <v>0</v>
      </c>
      <c r="D287" s="29" t="s">
        <v>42</v>
      </c>
      <c r="E287" s="33" t="e">
        <f aca="false">IF(D287="totale",(C287/(A287*24))/F287,IF(D287="marché libre",(C287/(A287*24))/G287,"spécifier histo"))</f>
        <v>#DIV/0!</v>
      </c>
      <c r="F287" s="59" t="n">
        <v>0</v>
      </c>
      <c r="G287" s="59" t="n">
        <v>0</v>
      </c>
      <c r="H287" s="59" t="n">
        <v>0</v>
      </c>
      <c r="I287" s="9" t="s">
        <v>208</v>
      </c>
      <c r="J287" s="30"/>
      <c r="K287" s="30"/>
    </row>
    <row r="288" customFormat="false" ht="23.4" hidden="false" customHeight="true" outlineLevel="0" collapsed="false">
      <c r="A288" s="222" t="n">
        <v>31</v>
      </c>
      <c r="B288" s="31" t="n">
        <v>41030</v>
      </c>
      <c r="C288" s="221" t="n">
        <v>0</v>
      </c>
      <c r="D288" s="29" t="s">
        <v>42</v>
      </c>
      <c r="E288" s="33" t="e">
        <f aca="false">IF(D288="totale",(C288/(A288*24))/F288,IF(D288="marché libre",(C288/(A288*24))/G288,"spécifier histo"))</f>
        <v>#DIV/0!</v>
      </c>
      <c r="F288" s="59" t="n">
        <v>0</v>
      </c>
      <c r="G288" s="59" t="n">
        <v>0</v>
      </c>
      <c r="H288" s="59" t="n">
        <v>0</v>
      </c>
      <c r="I288" s="9" t="s">
        <v>208</v>
      </c>
      <c r="J288" s="30"/>
      <c r="K288" s="30"/>
    </row>
    <row r="289" customFormat="false" ht="23.4" hidden="false" customHeight="true" outlineLevel="0" collapsed="false">
      <c r="A289" s="222" t="n">
        <v>30</v>
      </c>
      <c r="B289" s="34" t="n">
        <v>41061</v>
      </c>
      <c r="C289" s="221" t="n">
        <v>0</v>
      </c>
      <c r="D289" s="29" t="s">
        <v>42</v>
      </c>
      <c r="E289" s="33" t="e">
        <f aca="false">IF(D289="totale",(C289/(A289*24))/F289,IF(D289="marché libre",(C289/(A289*24))/G289,"spécifier histo"))</f>
        <v>#DIV/0!</v>
      </c>
      <c r="F289" s="59" t="n">
        <v>0</v>
      </c>
      <c r="G289" s="59" t="n">
        <v>0</v>
      </c>
      <c r="H289" s="59" t="n">
        <v>0</v>
      </c>
      <c r="I289" s="9" t="s">
        <v>208</v>
      </c>
      <c r="J289" s="30"/>
      <c r="K289" s="30"/>
    </row>
    <row r="290" customFormat="false" ht="23.4" hidden="false" customHeight="true" outlineLevel="0" collapsed="false">
      <c r="A290" s="222" t="n">
        <v>31</v>
      </c>
      <c r="B290" s="31" t="n">
        <v>41091</v>
      </c>
      <c r="C290" s="221" t="n">
        <v>0</v>
      </c>
      <c r="D290" s="29" t="s">
        <v>42</v>
      </c>
      <c r="E290" s="33" t="e">
        <f aca="false">IF(D290="totale",(C290/(A290*24))/F290,IF(D290="marché libre",(C290/(A290*24))/G290,"spécifier histo"))</f>
        <v>#DIV/0!</v>
      </c>
      <c r="F290" s="59" t="n">
        <v>0</v>
      </c>
      <c r="G290" s="59" t="n">
        <v>0</v>
      </c>
      <c r="H290" s="59" t="n">
        <v>0</v>
      </c>
      <c r="I290" s="9" t="s">
        <v>208</v>
      </c>
      <c r="J290" s="30"/>
      <c r="K290" s="30"/>
    </row>
    <row r="291" customFormat="false" ht="23.4" hidden="false" customHeight="true" outlineLevel="0" collapsed="false">
      <c r="A291" s="222" t="n">
        <v>30</v>
      </c>
      <c r="B291" s="34" t="n">
        <v>41122</v>
      </c>
      <c r="C291" s="221" t="n">
        <v>0</v>
      </c>
      <c r="D291" s="29" t="s">
        <v>42</v>
      </c>
      <c r="E291" s="33" t="e">
        <f aca="false">IF(D291="totale",(C291/(A291*24))/F291,IF(D291="marché libre",(C291/(A291*24))/G291,"spécifier histo"))</f>
        <v>#DIV/0!</v>
      </c>
      <c r="F291" s="59" t="n">
        <v>0</v>
      </c>
      <c r="G291" s="59" t="n">
        <v>0</v>
      </c>
      <c r="H291" s="59" t="n">
        <v>0</v>
      </c>
      <c r="I291" s="9" t="s">
        <v>208</v>
      </c>
      <c r="J291" s="30"/>
      <c r="K291" s="30"/>
    </row>
    <row r="292" customFormat="false" ht="23.4" hidden="false" customHeight="true" outlineLevel="0" collapsed="false">
      <c r="A292" s="222" t="n">
        <v>31</v>
      </c>
      <c r="B292" s="31" t="n">
        <v>41153</v>
      </c>
      <c r="C292" s="221" t="n">
        <v>0</v>
      </c>
      <c r="D292" s="29" t="s">
        <v>42</v>
      </c>
      <c r="E292" s="33" t="e">
        <f aca="false">IF(D292="totale",(C292/(A292*24))/F292,IF(D292="marché libre",(C292/(A292*24))/G292,"spécifier histo"))</f>
        <v>#DIV/0!</v>
      </c>
      <c r="F292" s="59" t="n">
        <v>0</v>
      </c>
      <c r="G292" s="59" t="n">
        <v>0</v>
      </c>
      <c r="H292" s="59" t="n">
        <v>0</v>
      </c>
      <c r="I292" s="9" t="s">
        <v>208</v>
      </c>
      <c r="J292" s="30"/>
      <c r="K292" s="30"/>
    </row>
    <row r="293" customFormat="false" ht="19.85" hidden="false" customHeight="true" outlineLevel="0" collapsed="false">
      <c r="A293" s="222" t="n">
        <v>31</v>
      </c>
      <c r="B293" s="34" t="n">
        <v>41183</v>
      </c>
      <c r="C293" s="223" t="n">
        <v>58682</v>
      </c>
      <c r="D293" s="224" t="s">
        <v>42</v>
      </c>
      <c r="E293" s="225" t="n">
        <f aca="false">IF(D293="totale",(C293/(A293*24))/F293,IF(D293="marché libre",(C293/(A293*24))/G293,"spécifier histo"))</f>
        <v>0.358516617790811</v>
      </c>
      <c r="F293" s="226" t="n">
        <v>220</v>
      </c>
      <c r="G293" s="226" t="n">
        <f aca="false">F293-H293</f>
        <v>220</v>
      </c>
      <c r="H293" s="226" t="n">
        <v>0</v>
      </c>
      <c r="J293" s="73"/>
    </row>
    <row r="294" customFormat="false" ht="19.85" hidden="false" customHeight="true" outlineLevel="0" collapsed="false">
      <c r="A294" s="222" t="n">
        <v>30</v>
      </c>
      <c r="B294" s="31" t="n">
        <v>41214</v>
      </c>
      <c r="C294" s="56" t="n">
        <v>122034</v>
      </c>
      <c r="D294" s="29" t="s">
        <v>42</v>
      </c>
      <c r="E294" s="33" t="n">
        <f aca="false">IF(D294="totale",(C294/(A294*24))/F294,IF(D294="marché libre",(C294/(A294*24))/G294,"spécifier histo"))</f>
        <v>0.770416666666667</v>
      </c>
      <c r="F294" s="59" t="n">
        <v>220</v>
      </c>
      <c r="G294" s="59" t="n">
        <f aca="false">F294-H294</f>
        <v>220</v>
      </c>
      <c r="H294" s="59" t="n">
        <v>0</v>
      </c>
      <c r="J294" s="55"/>
      <c r="K294" s="55"/>
    </row>
    <row r="295" customFormat="false" ht="19.85" hidden="false" customHeight="true" outlineLevel="0" collapsed="false">
      <c r="A295" s="222" t="n">
        <v>31</v>
      </c>
      <c r="B295" s="34" t="n">
        <v>41244</v>
      </c>
      <c r="C295" s="56" t="n">
        <v>152364</v>
      </c>
      <c r="D295" s="29" t="s">
        <v>42</v>
      </c>
      <c r="E295" s="33" t="n">
        <f aca="false">IF(D295="totale",(C295/(A295*24))/F295,IF(D295="marché libre",(C295/(A295*24))/G295,"spécifier histo"))</f>
        <v>0.930865102639296</v>
      </c>
      <c r="F295" s="59" t="n">
        <v>220</v>
      </c>
      <c r="G295" s="59" t="n">
        <f aca="false">F295-H295</f>
        <v>220</v>
      </c>
      <c r="H295" s="59" t="n">
        <v>0</v>
      </c>
      <c r="J295" s="55"/>
      <c r="K295" s="55"/>
    </row>
    <row r="296" customFormat="false" ht="19.85" hidden="false" customHeight="true" outlineLevel="0" collapsed="false">
      <c r="A296" s="222" t="n">
        <v>30</v>
      </c>
      <c r="B296" s="31" t="n">
        <v>41275</v>
      </c>
      <c r="C296" s="56" t="n">
        <v>148280</v>
      </c>
      <c r="D296" s="29" t="s">
        <v>42</v>
      </c>
      <c r="E296" s="33" t="n">
        <f aca="false">IF(D296="totale",(C296/(A296*24))/F296,IF(D296="marché libre",(C296/(A296*24))/G296,"spécifier histo"))</f>
        <v>0.936111111111111</v>
      </c>
      <c r="F296" s="59" t="n">
        <v>220</v>
      </c>
      <c r="G296" s="59" t="n">
        <f aca="false">F296-H296</f>
        <v>220</v>
      </c>
      <c r="H296" s="59" t="n">
        <v>0</v>
      </c>
      <c r="J296" s="55"/>
      <c r="K296" s="55"/>
    </row>
    <row r="297" customFormat="false" ht="19.85" hidden="false" customHeight="true" outlineLevel="0" collapsed="false">
      <c r="A297" s="222" t="n">
        <v>31</v>
      </c>
      <c r="B297" s="34" t="n">
        <v>41306</v>
      </c>
      <c r="C297" s="56" t="n">
        <v>129466</v>
      </c>
      <c r="D297" s="29" t="s">
        <v>42</v>
      </c>
      <c r="E297" s="33" t="n">
        <f aca="false">IF(D297="totale",(C297/(A297*24))/F297,IF(D297="marché libre",(C297/(A297*24))/G297,"spécifier histo"))</f>
        <v>0.79097018572825</v>
      </c>
      <c r="F297" s="59" t="n">
        <v>220</v>
      </c>
      <c r="G297" s="59" t="n">
        <f aca="false">F297-H297</f>
        <v>220</v>
      </c>
      <c r="H297" s="59" t="n">
        <v>0</v>
      </c>
      <c r="J297" s="55"/>
      <c r="K297" s="55"/>
    </row>
    <row r="298" customFormat="false" ht="19.85" hidden="false" customHeight="true" outlineLevel="0" collapsed="false">
      <c r="A298" s="222" t="n">
        <v>31</v>
      </c>
      <c r="B298" s="31" t="n">
        <v>41334</v>
      </c>
      <c r="C298" s="56" t="n">
        <v>147028</v>
      </c>
      <c r="D298" s="29" t="s">
        <v>42</v>
      </c>
      <c r="E298" s="33" t="n">
        <f aca="false">IF(D298="totale",(C298/(A298*24))/F298,IF(D298="marché libre",(C298/(A298*24))/G298,"spécifier histo"))</f>
        <v>0.898264907135875</v>
      </c>
      <c r="F298" s="59" t="n">
        <v>220</v>
      </c>
      <c r="G298" s="59" t="n">
        <f aca="false">F298-H298</f>
        <v>220</v>
      </c>
      <c r="H298" s="59" t="n">
        <v>0</v>
      </c>
      <c r="J298" s="55"/>
      <c r="K298" s="55"/>
    </row>
    <row r="299" customFormat="false" ht="19.85" hidden="false" customHeight="true" outlineLevel="0" collapsed="false">
      <c r="A299" s="222" t="n">
        <v>28</v>
      </c>
      <c r="B299" s="34" t="n">
        <v>41365</v>
      </c>
      <c r="C299" s="56" t="n">
        <v>146116</v>
      </c>
      <c r="D299" s="29" t="s">
        <v>42</v>
      </c>
      <c r="E299" s="33" t="n">
        <f aca="false">IF(D299="totale",(C299/(A299*24))/F299,IF(D299="marché libre",(C299/(A299*24))/G299,"spécifier histo"))</f>
        <v>0.988338744588745</v>
      </c>
      <c r="F299" s="59" t="n">
        <v>220</v>
      </c>
      <c r="G299" s="59" t="n">
        <f aca="false">F299-H299</f>
        <v>220</v>
      </c>
      <c r="H299" s="59" t="n">
        <v>0</v>
      </c>
    </row>
    <row r="300" customFormat="false" ht="19.85" hidden="false" customHeight="true" outlineLevel="0" collapsed="false">
      <c r="A300" s="222" t="n">
        <v>31</v>
      </c>
      <c r="B300" s="31" t="n">
        <v>41395</v>
      </c>
      <c r="C300" s="56" t="n">
        <v>150825</v>
      </c>
      <c r="D300" s="29" t="s">
        <v>42</v>
      </c>
      <c r="E300" s="33" t="n">
        <f aca="false">IF(D300="totale",(C300/(A300*24))/F300,IF(D300="marché libre",(C300/(A300*24))/G300,"spécifier histo"))</f>
        <v>0.921462609970675</v>
      </c>
      <c r="F300" s="59" t="n">
        <v>220</v>
      </c>
      <c r="G300" s="59" t="n">
        <f aca="false">F300-H300</f>
        <v>220</v>
      </c>
      <c r="H300" s="59" t="n">
        <v>0</v>
      </c>
    </row>
    <row r="301" customFormat="false" ht="19.85" hidden="false" customHeight="true" outlineLevel="0" collapsed="false">
      <c r="A301" s="222" t="n">
        <v>28</v>
      </c>
      <c r="B301" s="34" t="n">
        <v>41426</v>
      </c>
      <c r="C301" s="56" t="n">
        <v>124489</v>
      </c>
      <c r="D301" s="29" t="s">
        <v>42</v>
      </c>
      <c r="E301" s="33" t="n">
        <f aca="false">IF(D301="totale",(C301/(A301*24))/F301,IF(D301="marché libre",(C301/(A301*24))/G301,"spécifier histo"))</f>
        <v>0.842052218614719</v>
      </c>
      <c r="F301" s="59" t="n">
        <v>220</v>
      </c>
      <c r="G301" s="59" t="n">
        <f aca="false">F301-H301</f>
        <v>220</v>
      </c>
      <c r="H301" s="59" t="n">
        <v>0</v>
      </c>
    </row>
    <row r="302" customFormat="false" ht="19.85" hidden="false" customHeight="true" outlineLevel="0" collapsed="false">
      <c r="A302" s="222" t="n">
        <v>31</v>
      </c>
      <c r="B302" s="31" t="n">
        <v>41456</v>
      </c>
      <c r="C302" s="56" t="n">
        <v>89950</v>
      </c>
      <c r="D302" s="29" t="s">
        <v>42</v>
      </c>
      <c r="E302" s="33" t="n">
        <f aca="false">IF(D302="totale",(C302/(A302*24))/F302,IF(D302="marché libre",(C302/(A302*24))/G302,"spécifier histo"))</f>
        <v>0.549547898338221</v>
      </c>
      <c r="F302" s="59" t="n">
        <v>220</v>
      </c>
      <c r="G302" s="59" t="n">
        <f aca="false">F302-H302</f>
        <v>220</v>
      </c>
      <c r="H302" s="59" t="n">
        <v>0</v>
      </c>
    </row>
    <row r="303" customFormat="false" ht="19.85" hidden="false" customHeight="true" outlineLevel="0" collapsed="false">
      <c r="A303" s="222" t="n">
        <v>30</v>
      </c>
      <c r="B303" s="34" t="n">
        <v>41487</v>
      </c>
      <c r="C303" s="56" t="n">
        <v>101019</v>
      </c>
      <c r="D303" s="29" t="s">
        <v>42</v>
      </c>
      <c r="E303" s="33" t="n">
        <f aca="false">IF(D303="totale",(C303/(A303*24))/F303,IF(D303="marché libre",(C303/(A303*24))/G303,"spécifier histo"))</f>
        <v>0.637746212121212</v>
      </c>
      <c r="F303" s="59" t="n">
        <v>220</v>
      </c>
      <c r="G303" s="59" t="n">
        <f aca="false">F303-H303</f>
        <v>220</v>
      </c>
      <c r="H303" s="59" t="n">
        <v>0</v>
      </c>
    </row>
    <row r="304" customFormat="false" ht="19.85" hidden="false" customHeight="true" outlineLevel="0" collapsed="false">
      <c r="A304" s="222" t="n">
        <v>31</v>
      </c>
      <c r="B304" s="31" t="n">
        <v>41518</v>
      </c>
      <c r="C304" s="56" t="n">
        <v>3061</v>
      </c>
      <c r="D304" s="29" t="s">
        <v>42</v>
      </c>
      <c r="E304" s="33" t="n">
        <f aca="false">IF(D304="totale",(C304/(A304*24))/F304,IF(D304="marché libre",(C304/(A304*24))/G304,"spécifier histo"))</f>
        <v>0.0187011241446725</v>
      </c>
      <c r="F304" s="59" t="n">
        <v>220</v>
      </c>
      <c r="G304" s="59" t="n">
        <f aca="false">F304-H304</f>
        <v>220</v>
      </c>
      <c r="H304" s="59" t="n">
        <v>0</v>
      </c>
      <c r="J304" s="55"/>
      <c r="K304" s="55"/>
    </row>
    <row r="305" customFormat="false" ht="19.85" hidden="false" customHeight="true" outlineLevel="0" collapsed="false">
      <c r="A305" s="222" t="n">
        <v>30</v>
      </c>
      <c r="B305" s="34" t="n">
        <v>41548</v>
      </c>
      <c r="C305" s="56" t="n">
        <v>97578</v>
      </c>
      <c r="D305" s="29" t="s">
        <v>42</v>
      </c>
      <c r="E305" s="33" t="n">
        <f aca="false">IF(D305="totale",(C305/(A305*24))/F305,IF(D305="marché libre",(C305/(A305*24))/G305,"spécifier histo"))</f>
        <v>0.616022727272727</v>
      </c>
      <c r="F305" s="59" t="n">
        <v>220</v>
      </c>
      <c r="G305" s="59" t="n">
        <f aca="false">F305-H305</f>
        <v>220</v>
      </c>
      <c r="H305" s="59" t="n">
        <v>0</v>
      </c>
      <c r="J305" s="55"/>
      <c r="K305" s="55"/>
    </row>
    <row r="306" customFormat="false" ht="19.85" hidden="false" customHeight="true" outlineLevel="0" collapsed="false">
      <c r="A306" s="222" t="n">
        <v>31</v>
      </c>
      <c r="B306" s="31" t="n">
        <v>41579</v>
      </c>
      <c r="C306" s="75" t="n">
        <v>139786</v>
      </c>
      <c r="D306" s="29" t="s">
        <v>42</v>
      </c>
      <c r="E306" s="33" t="n">
        <f aca="false">IF(D306="totale",(C306/(A306*24))/F306,IF(D306="marché libre",(C306/(A306*24))/G306,"spécifier histo"))</f>
        <v>0.854020039100684</v>
      </c>
      <c r="F306" s="59" t="n">
        <v>220</v>
      </c>
      <c r="G306" s="59" t="n">
        <f aca="false">F306-H306</f>
        <v>220</v>
      </c>
      <c r="H306" s="59" t="n">
        <v>0</v>
      </c>
      <c r="J306" s="55"/>
      <c r="K306" s="55"/>
    </row>
    <row r="307" customFormat="false" ht="19.85" hidden="false" customHeight="true" outlineLevel="0" collapsed="false">
      <c r="A307" s="222" t="n">
        <v>31</v>
      </c>
      <c r="B307" s="34" t="n">
        <v>41609</v>
      </c>
      <c r="C307" s="75" t="n">
        <v>130260</v>
      </c>
      <c r="D307" s="29" t="s">
        <v>42</v>
      </c>
      <c r="E307" s="33" t="n">
        <f aca="false">IF(D307="totale",(C307/(A307*24))/F307,IF(D307="marché libre",(C307/(A307*24))/G307,"spécifier histo"))</f>
        <v>0.795821114369502</v>
      </c>
      <c r="F307" s="59" t="n">
        <v>220</v>
      </c>
      <c r="G307" s="59" t="n">
        <f aca="false">F307-H307</f>
        <v>220</v>
      </c>
      <c r="H307" s="59" t="n">
        <v>0</v>
      </c>
      <c r="J307" s="55"/>
      <c r="K307" s="55"/>
    </row>
    <row r="308" customFormat="false" ht="19.85" hidden="false" customHeight="true" outlineLevel="0" collapsed="false">
      <c r="A308" s="222" t="n">
        <v>30</v>
      </c>
      <c r="B308" s="31" t="n">
        <v>41640</v>
      </c>
      <c r="C308" s="56" t="n">
        <v>149456</v>
      </c>
      <c r="D308" s="29" t="s">
        <v>42</v>
      </c>
      <c r="E308" s="33" t="n">
        <f aca="false">IF(D308="totale",(C308/(A308*24))/F308,IF(D308="marché libre",(C308/(A308*24))/G308,"spécifier histo"))</f>
        <v>0.943535353535354</v>
      </c>
      <c r="F308" s="59" t="n">
        <v>220</v>
      </c>
      <c r="G308" s="59" t="n">
        <f aca="false">F308-H308</f>
        <v>220</v>
      </c>
      <c r="H308" s="59" t="n">
        <v>0</v>
      </c>
      <c r="J308" s="55"/>
      <c r="K308" s="55"/>
    </row>
    <row r="309" customFormat="false" ht="19.85" hidden="false" customHeight="true" outlineLevel="0" collapsed="false">
      <c r="A309" s="222" t="n">
        <v>31</v>
      </c>
      <c r="B309" s="34" t="n">
        <v>41671</v>
      </c>
      <c r="C309" s="56" t="n">
        <v>132583</v>
      </c>
      <c r="D309" s="29" t="s">
        <v>42</v>
      </c>
      <c r="E309" s="33" t="n">
        <f aca="false">IF(D309="totale",(C309/(A309*24))/F309,IF(D309="marché libre",(C309/(A309*24))/G309,"spécifier histo"))</f>
        <v>0.810013440860215</v>
      </c>
      <c r="F309" s="59" t="n">
        <v>220</v>
      </c>
      <c r="G309" s="59" t="n">
        <f aca="false">F309-H309</f>
        <v>220</v>
      </c>
      <c r="H309" s="59" t="n">
        <v>0</v>
      </c>
      <c r="J309" s="55"/>
      <c r="K309" s="55"/>
    </row>
    <row r="310" customFormat="false" ht="19.85" hidden="false" customHeight="true" outlineLevel="0" collapsed="false">
      <c r="A310" s="1" t="n">
        <v>31</v>
      </c>
      <c r="B310" s="31" t="n">
        <v>41699</v>
      </c>
      <c r="C310" s="56" t="n">
        <v>142347</v>
      </c>
      <c r="D310" s="29" t="s">
        <v>42</v>
      </c>
      <c r="E310" s="33" t="n">
        <f aca="false">IF(D310="totale",(C310/(A310*24))/F310,IF(D310="marché libre",(C310/(A310*24))/G310,"spécifier histo"))</f>
        <v>0.86966642228739</v>
      </c>
      <c r="F310" s="59" t="n">
        <v>220</v>
      </c>
      <c r="G310" s="59" t="n">
        <f aca="false">F310-H310</f>
        <v>220</v>
      </c>
      <c r="H310" s="59" t="n">
        <v>0</v>
      </c>
      <c r="J310" s="55"/>
      <c r="K310" s="55"/>
    </row>
    <row r="311" customFormat="false" ht="19.85" hidden="false" customHeight="true" outlineLevel="0" collapsed="false">
      <c r="A311" s="1" t="n">
        <v>30</v>
      </c>
      <c r="B311" s="34" t="n">
        <v>41730</v>
      </c>
      <c r="C311" s="56" t="n">
        <v>129119</v>
      </c>
      <c r="D311" s="29" t="s">
        <v>42</v>
      </c>
      <c r="E311" s="33" t="n">
        <f aca="false">IF(D311="totale",(C311/(A311*24))/F311,IF(D311="marché libre",(C311/(A311*24))/G311,"spécifier histo"))</f>
        <v>0.815145202020202</v>
      </c>
      <c r="F311" s="59" t="n">
        <v>220</v>
      </c>
      <c r="G311" s="59" t="n">
        <f aca="false">F311-H311</f>
        <v>220</v>
      </c>
      <c r="H311" s="59" t="n">
        <v>0</v>
      </c>
      <c r="J311" s="55"/>
      <c r="K311" s="55"/>
    </row>
    <row r="312" customFormat="false" ht="19.85" hidden="false" customHeight="true" outlineLevel="0" collapsed="false">
      <c r="A312" s="1" t="n">
        <v>31</v>
      </c>
      <c r="B312" s="31" t="n">
        <v>41760</v>
      </c>
      <c r="C312" s="56" t="n">
        <v>135509</v>
      </c>
      <c r="D312" s="29" t="s">
        <v>42</v>
      </c>
      <c r="E312" s="33" t="n">
        <f aca="false">IF(D312="totale",(C312/(A312*24))/F312,IF(D312="marché libre",(C312/(A312*24))/G312,"spécifier histo"))</f>
        <v>0.827889784946236</v>
      </c>
      <c r="F312" s="59" t="n">
        <v>220</v>
      </c>
      <c r="G312" s="59" t="n">
        <f aca="false">F312-H312</f>
        <v>220</v>
      </c>
      <c r="H312" s="59" t="n">
        <v>0</v>
      </c>
      <c r="J312" s="55"/>
      <c r="K312" s="55"/>
    </row>
    <row r="313" customFormat="false" ht="19.85" hidden="false" customHeight="true" outlineLevel="0" collapsed="false">
      <c r="A313" s="1" t="n">
        <v>30</v>
      </c>
      <c r="B313" s="34" t="n">
        <v>41791</v>
      </c>
      <c r="C313" s="56" t="n">
        <v>92391</v>
      </c>
      <c r="D313" s="29" t="s">
        <v>42</v>
      </c>
      <c r="E313" s="33" t="n">
        <f aca="false">IF(D313="totale",(C313/(A313*24))/F313,IF(D313="marché libre",(C313/(A313*24))/G313,"spécifier histo"))</f>
        <v>0.583276515151515</v>
      </c>
      <c r="F313" s="59" t="n">
        <v>220</v>
      </c>
      <c r="G313" s="59" t="n">
        <f aca="false">F313-H313</f>
        <v>220</v>
      </c>
      <c r="H313" s="59" t="n">
        <v>0</v>
      </c>
      <c r="J313" s="55"/>
      <c r="K313" s="55"/>
    </row>
    <row r="314" customFormat="false" ht="19.85" hidden="false" customHeight="true" outlineLevel="0" collapsed="false">
      <c r="A314" s="1" t="n">
        <v>31</v>
      </c>
      <c r="B314" s="31" t="n">
        <v>41821</v>
      </c>
      <c r="C314" s="56" t="n">
        <v>117611</v>
      </c>
      <c r="D314" s="29" t="s">
        <v>42</v>
      </c>
      <c r="E314" s="33" t="n">
        <f aca="false">IF(D314="totale",(C314/(A314*24))/F314,IF(D314="marché libre",(C314/(A314*24))/G314,"spécifier histo"))</f>
        <v>0.718542277614858</v>
      </c>
      <c r="F314" s="59" t="n">
        <v>220</v>
      </c>
      <c r="G314" s="59" t="n">
        <f aca="false">F314-H314</f>
        <v>220</v>
      </c>
      <c r="H314" s="59" t="n">
        <v>0</v>
      </c>
      <c r="J314" s="55"/>
      <c r="K314" s="55"/>
    </row>
    <row r="315" customFormat="false" ht="19.85" hidden="false" customHeight="true" outlineLevel="0" collapsed="false">
      <c r="A315" s="1" t="n">
        <v>31</v>
      </c>
      <c r="B315" s="34" t="n">
        <v>41852</v>
      </c>
      <c r="C315" s="56" t="n">
        <v>113561</v>
      </c>
      <c r="D315" s="29" t="s">
        <v>42</v>
      </c>
      <c r="E315" s="33" t="n">
        <f aca="false">IF(D315="totale",(C315/(A315*24))/F315,IF(D315="marché libre",(C315/(A315*24))/G315,"spécifier histo"))</f>
        <v>0.693798875855327</v>
      </c>
      <c r="F315" s="59" t="n">
        <v>220</v>
      </c>
      <c r="G315" s="59" t="n">
        <f aca="false">F315-H315</f>
        <v>220</v>
      </c>
      <c r="H315" s="59" t="n">
        <v>0</v>
      </c>
      <c r="J315" s="55"/>
      <c r="K315" s="55"/>
    </row>
    <row r="316" customFormat="false" ht="19.85" hidden="false" customHeight="true" outlineLevel="0" collapsed="false">
      <c r="A316" s="1" t="n">
        <v>30</v>
      </c>
      <c r="B316" s="31" t="n">
        <v>41883</v>
      </c>
      <c r="C316" s="56" t="n">
        <v>73021</v>
      </c>
      <c r="D316" s="29" t="s">
        <v>42</v>
      </c>
      <c r="E316" s="33" t="n">
        <f aca="false">IF(D316="totale",(C316/(A316*24))/F316,IF(D316="marché libre",(C316/(A316*24))/G316,"spécifier histo"))</f>
        <v>0.460991161616162</v>
      </c>
      <c r="F316" s="59" t="n">
        <v>220</v>
      </c>
      <c r="G316" s="59" t="n">
        <f aca="false">F316-H316</f>
        <v>220</v>
      </c>
      <c r="H316" s="59" t="n">
        <v>0</v>
      </c>
      <c r="J316" s="55"/>
      <c r="K316" s="55"/>
    </row>
    <row r="317" customFormat="false" ht="19.85" hidden="false" customHeight="true" outlineLevel="0" collapsed="false">
      <c r="A317" s="1" t="n">
        <v>31</v>
      </c>
      <c r="B317" s="34" t="n">
        <v>41913</v>
      </c>
      <c r="C317" s="56" t="n">
        <v>63001</v>
      </c>
      <c r="D317" s="29" t="s">
        <v>42</v>
      </c>
      <c r="E317" s="33" t="n">
        <f aca="false">IF(D317="totale",(C317/(A317*24))/F317,IF(D317="marché libre",(C317/(A317*24))/G317,"spécifier histo"))</f>
        <v>0.384903470185728</v>
      </c>
      <c r="F317" s="59" t="n">
        <v>220</v>
      </c>
      <c r="G317" s="59" t="n">
        <f aca="false">F317-H317</f>
        <v>220</v>
      </c>
      <c r="H317" s="59" t="n">
        <v>0</v>
      </c>
      <c r="J317" s="55"/>
      <c r="K317" s="55"/>
    </row>
    <row r="318" customFormat="false" ht="19.85" hidden="false" customHeight="true" outlineLevel="0" collapsed="false">
      <c r="A318" s="1" t="n">
        <v>30</v>
      </c>
      <c r="B318" s="31" t="n">
        <v>41944</v>
      </c>
      <c r="C318" s="56" t="n">
        <v>115174</v>
      </c>
      <c r="D318" s="29" t="s">
        <v>42</v>
      </c>
      <c r="E318" s="33" t="n">
        <f aca="false">IF(D318="totale",(C318/(A318*24))/F318,IF(D318="marché libre",(C318/(A318*24))/G318,"spécifier histo"))</f>
        <v>0.727108585858586</v>
      </c>
      <c r="F318" s="59" t="n">
        <v>220</v>
      </c>
      <c r="G318" s="59" t="n">
        <f aca="false">F318-H318</f>
        <v>220</v>
      </c>
      <c r="H318" s="59" t="n">
        <v>0</v>
      </c>
      <c r="J318" s="55"/>
    </row>
    <row r="319" customFormat="false" ht="19.85" hidden="false" customHeight="true" outlineLevel="0" collapsed="false">
      <c r="A319" s="1" t="n">
        <v>31</v>
      </c>
      <c r="B319" s="34" t="n">
        <v>41974</v>
      </c>
      <c r="C319" s="56" t="n">
        <v>109616</v>
      </c>
      <c r="D319" s="29" t="s">
        <v>42</v>
      </c>
      <c r="E319" s="33" t="n">
        <f aca="false">IF(D319="totale",(C319/(A319*24))/F319,IF(D319="marché libre",(C319/(A319*24))/G319,"spécifier histo"))</f>
        <v>0.66969696969697</v>
      </c>
      <c r="F319" s="59" t="n">
        <v>220</v>
      </c>
      <c r="G319" s="59" t="n">
        <f aca="false">F319-H319</f>
        <v>220</v>
      </c>
      <c r="H319" s="59" t="n">
        <v>0</v>
      </c>
      <c r="J319" s="55"/>
      <c r="W319" s="227"/>
    </row>
    <row r="320" customFormat="false" ht="19.85" hidden="false" customHeight="true" outlineLevel="0" collapsed="false">
      <c r="A320" s="1" t="n">
        <v>31</v>
      </c>
      <c r="B320" s="31" t="n">
        <v>42005</v>
      </c>
      <c r="C320" s="56" t="n">
        <v>135339</v>
      </c>
      <c r="D320" s="29" t="s">
        <v>42</v>
      </c>
      <c r="E320" s="33" t="n">
        <f aca="false">IF(D320="totale",(C320/(A320*24))/F320,IF(D320="marché libre",(C320/(A320*24))/G320,"spécifier histo"))</f>
        <v>0.826851173020528</v>
      </c>
      <c r="F320" s="59" t="n">
        <v>220</v>
      </c>
      <c r="G320" s="59" t="n">
        <f aca="false">F320-H320</f>
        <v>220</v>
      </c>
      <c r="H320" s="59" t="n">
        <v>0</v>
      </c>
      <c r="J320" s="55"/>
      <c r="W320" s="227"/>
    </row>
    <row r="321" customFormat="false" ht="19.85" hidden="false" customHeight="true" outlineLevel="0" collapsed="false">
      <c r="A321" s="1" t="n">
        <v>28</v>
      </c>
      <c r="B321" s="34" t="n">
        <v>42036</v>
      </c>
      <c r="C321" s="56" t="n">
        <v>117697</v>
      </c>
      <c r="D321" s="29" t="s">
        <v>42</v>
      </c>
      <c r="E321" s="33" t="n">
        <f aca="false">IF(D321="totale",(C321/(A321*24))/F321,IF(D321="marché libre",(C321/(A321*24))/G321,"spécifier histo"))</f>
        <v>0.79611066017316</v>
      </c>
      <c r="F321" s="59" t="n">
        <v>220</v>
      </c>
      <c r="G321" s="59" t="n">
        <f aca="false">F321-H321</f>
        <v>220</v>
      </c>
      <c r="H321" s="59" t="n">
        <v>0</v>
      </c>
      <c r="J321" s="55"/>
      <c r="W321" s="227"/>
    </row>
    <row r="322" customFormat="false" ht="19.85" hidden="false" customHeight="true" outlineLevel="0" collapsed="false">
      <c r="A322" s="1" t="n">
        <v>31</v>
      </c>
      <c r="B322" s="31" t="n">
        <v>42064</v>
      </c>
      <c r="C322" s="56" t="n">
        <v>148971</v>
      </c>
      <c r="D322" s="29" t="s">
        <v>42</v>
      </c>
      <c r="E322" s="33" t="n">
        <f aca="false">IF(D322="totale",(C322/(A322*24))/F322,IF(D322="marché libre",(C322/(A322*24))/G322,"spécifier histo"))</f>
        <v>0.910135630498534</v>
      </c>
      <c r="F322" s="59" t="n">
        <v>220</v>
      </c>
      <c r="G322" s="59" t="n">
        <f aca="false">F322-H322</f>
        <v>220</v>
      </c>
      <c r="H322" s="59" t="n">
        <v>0</v>
      </c>
      <c r="J322" s="55"/>
    </row>
    <row r="323" customFormat="false" ht="19.85" hidden="false" customHeight="true" outlineLevel="0" collapsed="false">
      <c r="A323" s="1" t="n">
        <v>30</v>
      </c>
      <c r="B323" s="34" t="n">
        <v>42095</v>
      </c>
      <c r="C323" s="56" t="n">
        <v>137674</v>
      </c>
      <c r="D323" s="29" t="s">
        <v>42</v>
      </c>
      <c r="E323" s="33" t="n">
        <f aca="false">IF(D323="totale",(C323/(A323*24))/F323,IF(D323="marché libre",(C323/(A323*24))/G323,"spécifier histo"))</f>
        <v>0.86915404040404</v>
      </c>
      <c r="F323" s="59" t="n">
        <v>220</v>
      </c>
      <c r="G323" s="59" t="n">
        <f aca="false">F323-H323</f>
        <v>220</v>
      </c>
      <c r="H323" s="59" t="n">
        <v>0</v>
      </c>
      <c r="J323" s="55"/>
    </row>
    <row r="324" customFormat="false" ht="19.85" hidden="false" customHeight="true" outlineLevel="0" collapsed="false">
      <c r="A324" s="1" t="n">
        <v>31</v>
      </c>
      <c r="B324" s="31" t="n">
        <v>42125</v>
      </c>
      <c r="C324" s="56" t="n">
        <v>143258</v>
      </c>
      <c r="D324" s="29" t="s">
        <v>42</v>
      </c>
      <c r="E324" s="33" t="n">
        <f aca="false">IF(D324="totale",(C324/(A324*24))/F324,IF(D324="marché libre",(C324/(A324*24))/G324,"spécifier histo"))</f>
        <v>0.875232160312805</v>
      </c>
      <c r="F324" s="59" t="n">
        <v>220</v>
      </c>
      <c r="G324" s="59" t="n">
        <f aca="false">F324-H324</f>
        <v>220</v>
      </c>
      <c r="H324" s="59" t="n">
        <v>0</v>
      </c>
      <c r="J324" s="55"/>
    </row>
    <row r="325" customFormat="false" ht="19.85" hidden="false" customHeight="true" outlineLevel="0" collapsed="false">
      <c r="A325" s="1" t="n">
        <v>30</v>
      </c>
      <c r="B325" s="34" t="n">
        <v>42156</v>
      </c>
      <c r="C325" s="56" t="n">
        <v>72076</v>
      </c>
      <c r="D325" s="29" t="s">
        <v>42</v>
      </c>
      <c r="E325" s="33" t="n">
        <f aca="false">IF(D325="totale",(C325/(A325*24))/F325,IF(D325="marché libre",(C325/(A325*24))/G325,"spécifier histo"))</f>
        <v>0.455025252525252</v>
      </c>
      <c r="F325" s="59" t="n">
        <v>220</v>
      </c>
      <c r="G325" s="59" t="n">
        <f aca="false">F325-H325</f>
        <v>220</v>
      </c>
      <c r="H325" s="59" t="n">
        <v>0</v>
      </c>
      <c r="J325" s="55"/>
    </row>
    <row r="326" customFormat="false" ht="19.85" hidden="false" customHeight="true" outlineLevel="0" collapsed="false">
      <c r="A326" s="1" t="n">
        <v>31</v>
      </c>
      <c r="B326" s="31" t="n">
        <v>42186</v>
      </c>
      <c r="C326" s="56" t="n">
        <v>69077</v>
      </c>
      <c r="D326" s="29" t="s">
        <v>42</v>
      </c>
      <c r="E326" s="33" t="n">
        <f aca="false">IF(D326="totale",(C326/(A326*24))/F326,IF(D326="marché libre",(C326/(A326*24))/G326,"spécifier histo"))</f>
        <v>0.42202468230694</v>
      </c>
      <c r="F326" s="59" t="n">
        <v>220</v>
      </c>
      <c r="G326" s="59" t="n">
        <f aca="false">F326-H326</f>
        <v>220</v>
      </c>
      <c r="H326" s="59" t="n">
        <v>0</v>
      </c>
      <c r="J326" s="55"/>
    </row>
    <row r="327" customFormat="false" ht="19.85" hidden="false" customHeight="true" outlineLevel="0" collapsed="false">
      <c r="A327" s="1" t="n">
        <v>31</v>
      </c>
      <c r="B327" s="34" t="n">
        <v>42217</v>
      </c>
      <c r="C327" s="56" t="n">
        <v>63550</v>
      </c>
      <c r="D327" s="29" t="s">
        <v>42</v>
      </c>
      <c r="E327" s="33" t="n">
        <f aca="false">IF(D327="totale",(C327/(A327*24))/F327,IF(D327="marché libre",(C327/(A327*24))/G327,"spécifier histo"))</f>
        <v>0.388257575757576</v>
      </c>
      <c r="F327" s="59" t="n">
        <v>220</v>
      </c>
      <c r="G327" s="59" t="n">
        <f aca="false">F327-H327</f>
        <v>220</v>
      </c>
      <c r="H327" s="59" t="n">
        <v>0</v>
      </c>
      <c r="J327" s="55"/>
    </row>
    <row r="328" customFormat="false" ht="19.85" hidden="false" customHeight="true" outlineLevel="0" collapsed="false">
      <c r="A328" s="1" t="n">
        <v>30</v>
      </c>
      <c r="B328" s="31" t="n">
        <v>42248</v>
      </c>
      <c r="C328" s="56" t="n">
        <v>63665</v>
      </c>
      <c r="D328" s="29" t="s">
        <v>42</v>
      </c>
      <c r="E328" s="33" t="n">
        <f aca="false">IF(D328="totale",(C328/(A328*24))/F328,IF(D328="marché libre",(C328/(A328*24))/G328,"spécifier histo"))</f>
        <v>0.401925505050505</v>
      </c>
      <c r="F328" s="59" t="n">
        <v>220</v>
      </c>
      <c r="G328" s="59" t="n">
        <f aca="false">F328-H328</f>
        <v>220</v>
      </c>
      <c r="H328" s="59" t="n">
        <v>0</v>
      </c>
      <c r="J328" s="55"/>
    </row>
    <row r="329" customFormat="false" ht="19.85" hidden="false" customHeight="true" outlineLevel="0" collapsed="false">
      <c r="A329" s="1" t="n">
        <v>31</v>
      </c>
      <c r="B329" s="34" t="n">
        <v>42278</v>
      </c>
      <c r="C329" s="56" t="n">
        <v>97269</v>
      </c>
      <c r="D329" s="29" t="s">
        <v>42</v>
      </c>
      <c r="E329" s="33" t="n">
        <f aca="false">IF(D329="totale",(C329/(A329*24))/F329,IF(D329="marché libre",(C329/(A329*24))/G329,"spécifier histo"))</f>
        <v>0.594263196480939</v>
      </c>
      <c r="F329" s="59" t="n">
        <v>220</v>
      </c>
      <c r="G329" s="59" t="n">
        <f aca="false">F329-H329</f>
        <v>220</v>
      </c>
      <c r="H329" s="59" t="n">
        <v>0</v>
      </c>
      <c r="J329" s="55"/>
    </row>
    <row r="330" customFormat="false" ht="19.85" hidden="false" customHeight="true" outlineLevel="0" collapsed="false">
      <c r="A330" s="1" t="n">
        <v>30</v>
      </c>
      <c r="B330" s="31" t="n">
        <v>42309</v>
      </c>
      <c r="C330" s="56" t="n">
        <v>83442</v>
      </c>
      <c r="D330" s="29" t="s">
        <v>42</v>
      </c>
      <c r="E330" s="33" t="n">
        <f aca="false">IF(D330="totale",(C330/(A330*24))/F330,IF(D330="marché libre",(C330/(A330*24))/G330,"spécifier histo"))</f>
        <v>0.526780303030303</v>
      </c>
      <c r="F330" s="59" t="n">
        <v>220</v>
      </c>
      <c r="G330" s="59" t="n">
        <f aca="false">F330-H330</f>
        <v>220</v>
      </c>
      <c r="H330" s="59" t="n">
        <v>0</v>
      </c>
      <c r="J330" s="55"/>
    </row>
    <row r="331" customFormat="false" ht="19.85" hidden="false" customHeight="true" outlineLevel="0" collapsed="false">
      <c r="A331" s="1" t="n">
        <v>31</v>
      </c>
      <c r="B331" s="34" t="n">
        <v>42339</v>
      </c>
      <c r="C331" s="56" t="n">
        <v>115649</v>
      </c>
      <c r="D331" s="29" t="s">
        <v>42</v>
      </c>
      <c r="E331" s="33" t="n">
        <f aca="false">IF(D331="totale",(C331/(A331*24))/F331,IF(D331="marché libre",(C331/(A331*24))/G331,"spécifier histo"))</f>
        <v>0.706555474095797</v>
      </c>
      <c r="F331" s="59" t="n">
        <v>220</v>
      </c>
      <c r="G331" s="59" t="n">
        <f aca="false">F331-H331</f>
        <v>220</v>
      </c>
      <c r="H331" s="59" t="n">
        <v>0</v>
      </c>
      <c r="J331" s="55"/>
    </row>
    <row r="332" customFormat="false" ht="19.85" hidden="false" customHeight="true" outlineLevel="0" collapsed="false">
      <c r="A332" s="1" t="n">
        <v>31</v>
      </c>
      <c r="B332" s="31" t="n">
        <v>42370</v>
      </c>
      <c r="C332" s="56" t="n">
        <v>108168</v>
      </c>
      <c r="D332" s="29" t="s">
        <v>42</v>
      </c>
      <c r="E332" s="33" t="n">
        <f aca="false">IF(D332="totale",(C332/(A332*24))/F332,IF(D332="marché libre",(C332/(A332*24))/G332,"spécifier histo"))</f>
        <v>0.660850439882698</v>
      </c>
      <c r="F332" s="59" t="n">
        <v>220</v>
      </c>
      <c r="G332" s="59" t="n">
        <f aca="false">F332-H332</f>
        <v>220</v>
      </c>
      <c r="H332" s="59" t="n">
        <v>0</v>
      </c>
      <c r="J332" s="55"/>
      <c r="K332" s="55"/>
    </row>
    <row r="333" customFormat="false" ht="19.85" hidden="false" customHeight="true" outlineLevel="0" collapsed="false">
      <c r="A333" s="0" t="n">
        <v>28</v>
      </c>
      <c r="B333" s="34" t="n">
        <v>42401</v>
      </c>
      <c r="C333" s="56" t="n">
        <v>145622</v>
      </c>
      <c r="D333" s="29" t="s">
        <v>42</v>
      </c>
      <c r="E333" s="33" t="n">
        <f aca="false">IF(D333="totale",(C333/(A333*24))/F333,IF(D333="marché libre",(C333/(A333*24))/G333,"spécifier histo"))</f>
        <v>0.984997294372294</v>
      </c>
      <c r="F333" s="59" t="n">
        <v>220</v>
      </c>
      <c r="G333" s="59" t="n">
        <f aca="false">F333-H333</f>
        <v>220</v>
      </c>
      <c r="H333" s="59" t="n">
        <v>0</v>
      </c>
      <c r="J333" s="55"/>
      <c r="K333" s="55"/>
    </row>
    <row r="334" customFormat="false" ht="19.85" hidden="false" customHeight="true" outlineLevel="0" collapsed="false">
      <c r="A334" s="0" t="n">
        <v>31</v>
      </c>
      <c r="B334" s="31" t="n">
        <v>42430</v>
      </c>
      <c r="C334" s="56" t="n">
        <v>152543</v>
      </c>
      <c r="D334" s="29" t="s">
        <v>42</v>
      </c>
      <c r="E334" s="33" t="n">
        <f aca="false">IF(D334="totale",(C334/(A334*24))/F334,IF(D334="marché libre",(C334/(A334*24))/G334,"spécifier histo"))</f>
        <v>0.931958699902248</v>
      </c>
      <c r="F334" s="59" t="n">
        <v>220</v>
      </c>
      <c r="G334" s="59" t="n">
        <f aca="false">F334-H334</f>
        <v>220</v>
      </c>
      <c r="H334" s="59" t="n">
        <v>0</v>
      </c>
      <c r="J334" s="55"/>
      <c r="K334" s="55"/>
    </row>
    <row r="335" customFormat="false" ht="19.85" hidden="false" customHeight="true" outlineLevel="0" collapsed="false">
      <c r="A335" s="0" t="n">
        <v>30</v>
      </c>
      <c r="B335" s="34" t="n">
        <v>42461</v>
      </c>
      <c r="C335" s="56" t="n">
        <v>143211</v>
      </c>
      <c r="D335" s="29" t="s">
        <v>42</v>
      </c>
      <c r="E335" s="33" t="n">
        <f aca="false">IF(D335="totale",(C335/(A335*24))/F335,IF(D335="marché libre",(C335/(A335*24))/G335,"spécifier histo"))</f>
        <v>0.904109848484849</v>
      </c>
      <c r="F335" s="59" t="n">
        <v>220</v>
      </c>
      <c r="G335" s="59" t="n">
        <f aca="false">F335-H335</f>
        <v>220</v>
      </c>
      <c r="H335" s="59" t="n">
        <v>0</v>
      </c>
      <c r="J335" s="55"/>
      <c r="K335" s="55"/>
    </row>
    <row r="336" customFormat="false" ht="19.85" hidden="false" customHeight="true" outlineLevel="0" collapsed="false">
      <c r="A336" s="0" t="n">
        <v>31</v>
      </c>
      <c r="B336" s="31" t="n">
        <v>42491</v>
      </c>
      <c r="C336" s="56" t="n">
        <v>144759</v>
      </c>
      <c r="D336" s="29" t="s">
        <v>42</v>
      </c>
      <c r="E336" s="33" t="n">
        <f aca="false">IF(D336="totale",(C336/(A336*24))/F336,IF(D336="marché libre",(C336/(A336*24))/G336,"spécifier histo"))</f>
        <v>0.884402492668622</v>
      </c>
      <c r="F336" s="59" t="n">
        <v>220</v>
      </c>
      <c r="G336" s="59" t="n">
        <f aca="false">F336-H336</f>
        <v>220</v>
      </c>
      <c r="H336" s="59" t="n">
        <v>0</v>
      </c>
      <c r="J336" s="55"/>
      <c r="K336" s="55"/>
    </row>
    <row r="337" customFormat="false" ht="19.85" hidden="false" customHeight="true" outlineLevel="0" collapsed="false">
      <c r="A337" s="0" t="n">
        <v>30</v>
      </c>
      <c r="B337" s="34" t="n">
        <v>42522</v>
      </c>
      <c r="C337" s="56" t="n">
        <v>142421</v>
      </c>
      <c r="D337" s="29" t="s">
        <v>42</v>
      </c>
      <c r="E337" s="33" t="n">
        <f aca="false">IF(D337="totale",(C337/(A337*24))/F337,IF(D337="marché libre",(C337/(A337*24))/G337,"spécifier histo"))</f>
        <v>0.899122474747475</v>
      </c>
      <c r="F337" s="59" t="n">
        <v>220</v>
      </c>
      <c r="G337" s="59" t="n">
        <f aca="false">F337-H337</f>
        <v>220</v>
      </c>
      <c r="H337" s="59" t="n">
        <v>0</v>
      </c>
      <c r="J337" s="55"/>
      <c r="K337" s="55"/>
    </row>
    <row r="338" customFormat="false" ht="19.85" hidden="false" customHeight="true" outlineLevel="0" collapsed="false">
      <c r="A338" s="0" t="n">
        <v>31</v>
      </c>
      <c r="B338" s="31" t="n">
        <v>42552</v>
      </c>
      <c r="C338" s="56" t="n">
        <v>94278</v>
      </c>
      <c r="D338" s="29" t="s">
        <v>42</v>
      </c>
      <c r="E338" s="33" t="n">
        <f aca="false">IF(D338="totale",(C338/(A338*24))/F338,IF(D338="marché libre",(C338/(A338*24))/G338,"spécifier histo"))</f>
        <v>0.575989736070381</v>
      </c>
      <c r="F338" s="59" t="n">
        <v>220</v>
      </c>
      <c r="G338" s="59" t="n">
        <f aca="false">F338-H338</f>
        <v>220</v>
      </c>
      <c r="H338" s="59" t="n">
        <v>0</v>
      </c>
      <c r="J338" s="55"/>
      <c r="K338" s="55"/>
    </row>
    <row r="339" customFormat="false" ht="19.85" hidden="false" customHeight="true" outlineLevel="0" collapsed="false">
      <c r="A339" s="0" t="n">
        <v>31</v>
      </c>
      <c r="B339" s="34" t="n">
        <v>42583</v>
      </c>
      <c r="C339" s="56" t="n">
        <v>64320</v>
      </c>
      <c r="D339" s="29" t="s">
        <v>42</v>
      </c>
      <c r="E339" s="33" t="n">
        <f aca="false">IF(D339="totale",(C339/(A339*24))/F339,IF(D339="marché libre",(C339/(A339*24))/G339,"spécifier histo"))</f>
        <v>0.392961876832845</v>
      </c>
      <c r="F339" s="59" t="n">
        <v>220</v>
      </c>
      <c r="G339" s="59" t="n">
        <f aca="false">F339-H339</f>
        <v>220</v>
      </c>
      <c r="H339" s="59" t="n">
        <v>0</v>
      </c>
      <c r="J339" s="55"/>
      <c r="K339" s="55"/>
    </row>
    <row r="340" customFormat="false" ht="19.85" hidden="false" customHeight="true" outlineLevel="0" collapsed="false">
      <c r="A340" s="0" t="n">
        <v>30</v>
      </c>
      <c r="B340" s="31" t="n">
        <v>42614</v>
      </c>
      <c r="C340" s="56" t="n">
        <v>54065</v>
      </c>
      <c r="D340" s="29" t="s">
        <v>42</v>
      </c>
      <c r="E340" s="33" t="n">
        <f aca="false">IF(D340="totale",(C340/(A340*24))/F340,IF(D340="marché libre",(C340/(A340*24))/G340,"spécifier histo"))</f>
        <v>0.341319444444444</v>
      </c>
      <c r="F340" s="59" t="n">
        <v>220</v>
      </c>
      <c r="G340" s="59" t="n">
        <f aca="false">F340-H340</f>
        <v>220</v>
      </c>
      <c r="H340" s="59" t="n">
        <v>0</v>
      </c>
      <c r="J340" s="55"/>
      <c r="K340" s="55"/>
    </row>
    <row r="341" customFormat="false" ht="19.85" hidden="false" customHeight="true" outlineLevel="0" collapsed="false">
      <c r="A341" s="0" t="n">
        <v>31</v>
      </c>
      <c r="B341" s="34" t="n">
        <v>42644</v>
      </c>
      <c r="C341" s="56" t="n">
        <v>59065</v>
      </c>
      <c r="D341" s="29" t="s">
        <v>42</v>
      </c>
      <c r="E341" s="33" t="n">
        <f aca="false">IF(D341="totale",(C341/(A341*24))/F341,IF(D341="marché libre",(C341/(A341*24))/G341,"spécifier histo"))</f>
        <v>0.360856549364614</v>
      </c>
      <c r="F341" s="59" t="n">
        <v>220</v>
      </c>
      <c r="G341" s="59" t="n">
        <f aca="false">F341-H341</f>
        <v>220</v>
      </c>
      <c r="H341" s="59" t="n">
        <v>0</v>
      </c>
      <c r="J341" s="55"/>
      <c r="K341" s="55"/>
    </row>
    <row r="342" customFormat="false" ht="19.85" hidden="false" customHeight="true" outlineLevel="0" collapsed="false">
      <c r="A342" s="0" t="n">
        <v>30</v>
      </c>
      <c r="B342" s="31" t="n">
        <v>42675</v>
      </c>
      <c r="C342" s="56" t="n">
        <v>118160</v>
      </c>
      <c r="D342" s="29" t="s">
        <v>42</v>
      </c>
      <c r="E342" s="33" t="n">
        <f aca="false">IF(D342="totale",(C342/(A342*24))/F342,IF(D342="marché libre",(C342/(A342*24))/G342,"spécifier histo"))</f>
        <v>0.745959595959596</v>
      </c>
      <c r="F342" s="59" t="n">
        <v>220</v>
      </c>
      <c r="G342" s="59" t="n">
        <f aca="false">F342-H342</f>
        <v>220</v>
      </c>
      <c r="H342" s="59" t="n">
        <v>0</v>
      </c>
      <c r="J342" s="55"/>
      <c r="K342" s="55"/>
    </row>
    <row r="343" customFormat="false" ht="19.85" hidden="false" customHeight="true" outlineLevel="0" collapsed="false">
      <c r="A343" s="0" t="n">
        <v>31</v>
      </c>
      <c r="B343" s="34" t="n">
        <v>42705</v>
      </c>
      <c r="C343" s="56" t="n">
        <v>90555</v>
      </c>
      <c r="D343" s="29" t="s">
        <v>42</v>
      </c>
      <c r="E343" s="33" t="n">
        <f aca="false">IF(D343="totale",(C343/(A343*24))/F343,IF(D343="marché libre",(C343/(A343*24))/G343,"spécifier histo"))</f>
        <v>0.553244134897361</v>
      </c>
      <c r="F343" s="59" t="n">
        <v>220</v>
      </c>
      <c r="G343" s="59" t="n">
        <f aca="false">F343-H343</f>
        <v>220</v>
      </c>
      <c r="H343" s="59" t="n">
        <v>0</v>
      </c>
      <c r="J343" s="55"/>
      <c r="K343" s="55"/>
    </row>
    <row r="344" customFormat="false" ht="19.85" hidden="false" customHeight="true" outlineLevel="0" collapsed="false">
      <c r="A344" s="0" t="n">
        <v>31</v>
      </c>
      <c r="B344" s="31" t="n">
        <v>42736</v>
      </c>
      <c r="C344" s="56" t="n">
        <v>60937</v>
      </c>
      <c r="D344" s="29" t="s">
        <v>42</v>
      </c>
      <c r="E344" s="33" t="n">
        <f aca="false">IF(D344="totale",(C344/(A344*24))/F344,IF(D344="marché libre",(C344/(A344*24))/G344,"spécifier histo"))</f>
        <v>0.372293499511241</v>
      </c>
      <c r="F344" s="59" t="n">
        <v>220</v>
      </c>
      <c r="G344" s="59" t="n">
        <f aca="false">F344-H344</f>
        <v>220</v>
      </c>
      <c r="H344" s="59" t="n">
        <v>0</v>
      </c>
      <c r="J344" s="73"/>
      <c r="K344" s="55"/>
    </row>
    <row r="345" customFormat="false" ht="19.85" hidden="false" customHeight="true" outlineLevel="0" collapsed="false">
      <c r="A345" s="0" t="n">
        <v>28</v>
      </c>
      <c r="B345" s="34" t="n">
        <v>42767</v>
      </c>
      <c r="C345" s="56" t="n">
        <v>117809</v>
      </c>
      <c r="D345" s="29" t="s">
        <v>42</v>
      </c>
      <c r="E345" s="33" t="n">
        <f aca="false">IF(D345="totale",(C345/(A345*24))/F345,IF(D345="marché libre",(C345/(A345*24))/G345,"spécifier histo"))</f>
        <v>0.796868235930736</v>
      </c>
      <c r="F345" s="59" t="n">
        <v>220</v>
      </c>
      <c r="G345" s="59" t="n">
        <f aca="false">F345-H345</f>
        <v>220</v>
      </c>
      <c r="H345" s="59" t="n">
        <v>0</v>
      </c>
      <c r="J345" s="55"/>
      <c r="K345" s="55"/>
    </row>
    <row r="346" customFormat="false" ht="19.85" hidden="false" customHeight="true" outlineLevel="0" collapsed="false">
      <c r="A346" s="0" t="n">
        <v>31</v>
      </c>
      <c r="B346" s="31" t="n">
        <v>42795</v>
      </c>
      <c r="C346" s="56" t="n">
        <v>145257</v>
      </c>
      <c r="D346" s="29" t="s">
        <v>42</v>
      </c>
      <c r="E346" s="33" t="n">
        <f aca="false">IF(D346="totale",(C346/(A346*24))/F346,IF(D346="marché libre",(C346/(A346*24))/G346,"spécifier histo"))</f>
        <v>0.887445014662757</v>
      </c>
      <c r="F346" s="59" t="n">
        <v>220</v>
      </c>
      <c r="G346" s="59" t="n">
        <f aca="false">F346-H346</f>
        <v>220</v>
      </c>
      <c r="H346" s="59" t="n">
        <v>0</v>
      </c>
      <c r="J346" s="55"/>
      <c r="K346" s="55"/>
    </row>
    <row r="347" customFormat="false" ht="19.85" hidden="false" customHeight="true" outlineLevel="0" collapsed="false">
      <c r="A347" s="0" t="n">
        <v>30</v>
      </c>
      <c r="B347" s="34" t="n">
        <v>42826</v>
      </c>
      <c r="C347" s="56" t="n">
        <v>108205</v>
      </c>
      <c r="D347" s="29" t="s">
        <v>42</v>
      </c>
      <c r="E347" s="33" t="n">
        <f aca="false">IF(D347="totale",(C347/(A347*24))/F347,IF(D347="marché libre",(C347/(A347*24))/G347,"spécifier histo"))</f>
        <v>0.683112373737374</v>
      </c>
      <c r="F347" s="59" t="n">
        <v>220</v>
      </c>
      <c r="G347" s="59" t="n">
        <f aca="false">F347-H347</f>
        <v>220</v>
      </c>
      <c r="H347" s="59" t="n">
        <v>0</v>
      </c>
      <c r="J347" s="55"/>
      <c r="K347" s="55"/>
    </row>
    <row r="348" customFormat="false" ht="19.85" hidden="false" customHeight="true" outlineLevel="0" collapsed="false">
      <c r="A348" s="0" t="n">
        <v>31</v>
      </c>
      <c r="B348" s="31" t="n">
        <v>42856</v>
      </c>
      <c r="C348" s="56" t="n">
        <v>141267</v>
      </c>
      <c r="D348" s="29" t="s">
        <v>42</v>
      </c>
      <c r="E348" s="33" t="n">
        <f aca="false">IF(D348="totale",(C348/(A348*24))/F348,IF(D348="marché libre",(C348/(A348*24))/G348,"spécifier histo"))</f>
        <v>0.863068181818182</v>
      </c>
      <c r="F348" s="59" t="n">
        <v>220</v>
      </c>
      <c r="G348" s="59" t="n">
        <f aca="false">F348-H348</f>
        <v>220</v>
      </c>
      <c r="H348" s="59" t="n">
        <v>0</v>
      </c>
      <c r="J348" s="55"/>
      <c r="K348" s="55"/>
    </row>
    <row r="349" customFormat="false" ht="19.85" hidden="false" customHeight="true" outlineLevel="0" collapsed="false">
      <c r="A349" s="0" t="n">
        <v>30</v>
      </c>
      <c r="B349" s="34" t="n">
        <v>42887</v>
      </c>
      <c r="C349" s="56" t="n">
        <v>74283</v>
      </c>
      <c r="D349" s="29" t="s">
        <v>42</v>
      </c>
      <c r="E349" s="33" t="n">
        <f aca="false">IF(D349="totale",(C349/(A349*24))/F349,IF(D349="marché libre",(C349/(A349*24))/G349,"spécifier histo"))</f>
        <v>0.468958333333333</v>
      </c>
      <c r="F349" s="59" t="n">
        <v>220</v>
      </c>
      <c r="G349" s="59" t="n">
        <f aca="false">F349-H349</f>
        <v>220</v>
      </c>
      <c r="H349" s="59" t="n">
        <v>0</v>
      </c>
      <c r="J349" s="55"/>
      <c r="K349" s="55"/>
    </row>
    <row r="350" customFormat="false" ht="19.85" hidden="false" customHeight="true" outlineLevel="0" collapsed="false">
      <c r="A350" s="0" t="n">
        <v>31</v>
      </c>
      <c r="B350" s="31" t="n">
        <v>42917</v>
      </c>
      <c r="C350" s="56" t="n">
        <v>63103</v>
      </c>
      <c r="D350" s="29" t="s">
        <v>42</v>
      </c>
      <c r="E350" s="33" t="n">
        <f aca="false">IF(D350="totale",(C350/(A350*24))/F350,IF(D350="marché libre",(C350/(A350*24))/G350,"spécifier histo"))</f>
        <v>0.385526637341153</v>
      </c>
      <c r="F350" s="59" t="n">
        <v>220</v>
      </c>
      <c r="G350" s="59" t="n">
        <f aca="false">F350-H350</f>
        <v>220</v>
      </c>
      <c r="H350" s="59" t="n">
        <v>0</v>
      </c>
      <c r="J350" s="55"/>
      <c r="K350" s="55"/>
    </row>
    <row r="351" customFormat="false" ht="19.85" hidden="false" customHeight="true" outlineLevel="0" collapsed="false">
      <c r="A351" s="0" t="n">
        <v>31</v>
      </c>
      <c r="B351" s="34" t="n">
        <v>42948</v>
      </c>
      <c r="C351" s="56" t="n">
        <v>31491</v>
      </c>
      <c r="D351" s="29" t="s">
        <v>42</v>
      </c>
      <c r="E351" s="33" t="n">
        <f aca="false">IF(D351="totale",(C351/(A351*24))/F351,IF(D351="marché libre",(C351/(A351*24))/G351,"spécifier histo"))</f>
        <v>0.192393695014663</v>
      </c>
      <c r="F351" s="59" t="n">
        <v>220</v>
      </c>
      <c r="G351" s="59" t="n">
        <f aca="false">F351-H351</f>
        <v>220</v>
      </c>
      <c r="H351" s="59" t="n">
        <v>0</v>
      </c>
      <c r="J351" s="55"/>
      <c r="K351" s="55"/>
    </row>
    <row r="352" customFormat="false" ht="19.85" hidden="false" customHeight="true" outlineLevel="0" collapsed="false">
      <c r="A352" s="0" t="n">
        <v>30</v>
      </c>
      <c r="B352" s="31" t="n">
        <v>42979</v>
      </c>
      <c r="C352" s="56" t="n">
        <v>45673</v>
      </c>
      <c r="D352" s="29" t="s">
        <v>42</v>
      </c>
      <c r="E352" s="33" t="n">
        <f aca="false">IF(D352="totale",(C352/(A352*24))/F352,IF(D352="marché libre",(C352/(A352*24))/G352,"spécifier histo"))</f>
        <v>0.288339646464646</v>
      </c>
      <c r="F352" s="59" t="n">
        <v>220</v>
      </c>
      <c r="G352" s="59" t="n">
        <f aca="false">F352-H352</f>
        <v>220</v>
      </c>
      <c r="H352" s="59" t="n">
        <v>0</v>
      </c>
      <c r="J352" s="55"/>
      <c r="K352" s="55"/>
    </row>
    <row r="353" customFormat="false" ht="19.85" hidden="false" customHeight="true" outlineLevel="0" collapsed="false">
      <c r="A353" s="0" t="n">
        <v>31</v>
      </c>
      <c r="B353" s="34" t="n">
        <v>43009</v>
      </c>
      <c r="C353" s="56" t="n">
        <v>27157</v>
      </c>
      <c r="D353" s="29" t="s">
        <v>42</v>
      </c>
      <c r="E353" s="33" t="n">
        <f aca="false">IF(D353="totale",(C353/(A353*24))/F353,IF(D353="marché libre",(C353/(A353*24))/G353,"spécifier histo"))</f>
        <v>0.165915200391007</v>
      </c>
      <c r="F353" s="59" t="n">
        <v>220</v>
      </c>
      <c r="G353" s="59" t="n">
        <f aca="false">F353-H353</f>
        <v>220</v>
      </c>
      <c r="H353" s="59" t="n">
        <v>0</v>
      </c>
      <c r="J353" s="55"/>
      <c r="K353" s="55"/>
    </row>
    <row r="354" customFormat="false" ht="19.85" hidden="false" customHeight="true" outlineLevel="0" collapsed="false">
      <c r="A354" s="0" t="n">
        <v>30</v>
      </c>
      <c r="B354" s="31" t="n">
        <v>43040</v>
      </c>
      <c r="C354" s="56" t="n">
        <v>60453.1666667</v>
      </c>
      <c r="D354" s="29" t="s">
        <v>42</v>
      </c>
      <c r="E354" s="33" t="n">
        <f aca="false">IF(D354="totale",(C354/(A354*24))/F354,IF(D354="marché libre",(C354/(A354*24))/G354,"spécifier histo"))</f>
        <v>0.38164877946149</v>
      </c>
      <c r="F354" s="59" t="n">
        <v>220</v>
      </c>
      <c r="G354" s="59" t="n">
        <f aca="false">F354-H354</f>
        <v>220</v>
      </c>
      <c r="H354" s="59" t="n">
        <v>0</v>
      </c>
      <c r="J354" s="55"/>
      <c r="K354" s="55"/>
    </row>
    <row r="355" customFormat="false" ht="19.85" hidden="false" customHeight="true" outlineLevel="0" collapsed="false">
      <c r="A355" s="0" t="n">
        <v>31</v>
      </c>
      <c r="B355" s="34" t="n">
        <v>43070</v>
      </c>
      <c r="C355" s="56" t="n">
        <v>104088</v>
      </c>
      <c r="D355" s="29" t="s">
        <v>42</v>
      </c>
      <c r="E355" s="33" t="n">
        <f aca="false">IF(D355="totale",(C355/(A355*24))/F355,IF(D355="marché libre",(C355/(A355*24))/G355,"spécifier histo"))</f>
        <v>0.635923753665689</v>
      </c>
      <c r="F355" s="59" t="n">
        <v>220</v>
      </c>
      <c r="G355" s="59" t="n">
        <f aca="false">F355-H355</f>
        <v>220</v>
      </c>
      <c r="H355" s="59" t="n">
        <v>0</v>
      </c>
      <c r="J355" s="55"/>
      <c r="K355" s="55"/>
    </row>
    <row r="356" customFormat="false" ht="19.85" hidden="false" customHeight="true" outlineLevel="0" collapsed="false">
      <c r="A356" s="0" t="n">
        <v>31</v>
      </c>
      <c r="B356" s="31" t="n">
        <v>43101</v>
      </c>
      <c r="C356" s="56" t="n">
        <v>125097</v>
      </c>
      <c r="D356" s="29" t="s">
        <v>42</v>
      </c>
      <c r="E356" s="33" t="n">
        <f aca="false">IF(D356="totale",(C356/(A356*24))/F356,IF(D356="marché libre",(C356/(A356*24))/G356,"spécifier histo"))</f>
        <v>0.764277859237537</v>
      </c>
      <c r="F356" s="59" t="n">
        <v>220</v>
      </c>
      <c r="G356" s="59" t="n">
        <f aca="false">F356-H356</f>
        <v>220</v>
      </c>
      <c r="H356" s="59" t="n">
        <v>0</v>
      </c>
      <c r="J356" s="30"/>
      <c r="K356" s="55"/>
    </row>
    <row r="357" customFormat="false" ht="19.85" hidden="false" customHeight="true" outlineLevel="0" collapsed="false">
      <c r="A357" s="0" t="n">
        <v>28</v>
      </c>
      <c r="B357" s="34" t="n">
        <v>43132</v>
      </c>
      <c r="C357" s="56" t="n">
        <v>110242</v>
      </c>
      <c r="D357" s="29" t="s">
        <v>42</v>
      </c>
      <c r="E357" s="33" t="n">
        <f aca="false">IF(D357="totale",(C357/(A357*24))/F357,IF(D357="marché libre",(C357/(A357*24))/G357,"spécifier histo"))</f>
        <v>0.745684523809524</v>
      </c>
      <c r="F357" s="59" t="n">
        <v>220</v>
      </c>
      <c r="G357" s="59" t="n">
        <f aca="false">F357-H357</f>
        <v>220</v>
      </c>
      <c r="H357" s="59" t="n">
        <v>0</v>
      </c>
      <c r="K357" s="55"/>
    </row>
    <row r="358" customFormat="false" ht="19.85" hidden="false" customHeight="true" outlineLevel="0" collapsed="false">
      <c r="A358" s="0" t="n">
        <v>31</v>
      </c>
      <c r="B358" s="31" t="n">
        <v>43160</v>
      </c>
      <c r="C358" s="56" t="n">
        <v>106762</v>
      </c>
      <c r="D358" s="29" t="s">
        <v>42</v>
      </c>
      <c r="E358" s="33" t="n">
        <f aca="false">IF(D358="totale",(C358/(A358*24))/F358,IF(D358="marché libre",(C358/(A358*24))/G358,"spécifier histo"))</f>
        <v>0.652260508308895</v>
      </c>
      <c r="F358" s="59" t="n">
        <v>220</v>
      </c>
      <c r="G358" s="59" t="n">
        <f aca="false">F358-H358</f>
        <v>220</v>
      </c>
      <c r="H358" s="59" t="n">
        <v>0</v>
      </c>
      <c r="K358" s="55"/>
    </row>
    <row r="359" customFormat="false" ht="19.85" hidden="false" customHeight="true" outlineLevel="0" collapsed="false">
      <c r="A359" s="0" t="n">
        <v>28</v>
      </c>
      <c r="B359" s="34" t="n">
        <v>43191</v>
      </c>
      <c r="C359" s="56" t="n">
        <v>118984</v>
      </c>
      <c r="D359" s="29" t="s">
        <v>42</v>
      </c>
      <c r="E359" s="33" t="n">
        <f aca="false">IF(D359="totale",(C359/(A359*24))/F359,IF(D359="marché libre",(C359/(A359*24))/G359,"spécifier histo"))</f>
        <v>0.804816017316017</v>
      </c>
      <c r="F359" s="59" t="n">
        <v>220</v>
      </c>
      <c r="G359" s="59" t="n">
        <f aca="false">F359-H359</f>
        <v>220</v>
      </c>
      <c r="H359" s="59" t="n">
        <v>0</v>
      </c>
      <c r="K359" s="55"/>
    </row>
    <row r="360" customFormat="false" ht="19.85" hidden="false" customHeight="true" outlineLevel="0" collapsed="false">
      <c r="A360" s="0" t="n">
        <v>31</v>
      </c>
      <c r="B360" s="31" t="n">
        <v>43221</v>
      </c>
      <c r="C360" s="56" t="n">
        <v>116642</v>
      </c>
      <c r="D360" s="29" t="s">
        <v>42</v>
      </c>
      <c r="E360" s="33" t="n">
        <f aca="false">IF(D360="totale",(C360/(A360*24))/F360,IF(D360="marché libre",(C360/(A360*24))/G360,"spécifier histo"))</f>
        <v>0.712622189638319</v>
      </c>
      <c r="F360" s="59" t="n">
        <v>220</v>
      </c>
      <c r="G360" s="59" t="n">
        <f aca="false">F360-H360</f>
        <v>220</v>
      </c>
      <c r="H360" s="59" t="n">
        <v>0</v>
      </c>
      <c r="K360" s="55"/>
    </row>
    <row r="361" customFormat="false" ht="19.85" hidden="false" customHeight="true" outlineLevel="0" collapsed="false">
      <c r="A361" s="0" t="n">
        <v>30</v>
      </c>
      <c r="B361" s="34" t="n">
        <v>43252</v>
      </c>
      <c r="C361" s="56" t="n">
        <v>101938</v>
      </c>
      <c r="D361" s="29" t="s">
        <v>42</v>
      </c>
      <c r="E361" s="33" t="n">
        <f aca="false">IF(D361="totale",(C361/(A361*24))/F361,IF(D361="marché libre",(C361/(A361*24))/G361,"spécifier histo"))</f>
        <v>0.64354797979798</v>
      </c>
      <c r="F361" s="59" t="n">
        <v>220</v>
      </c>
      <c r="G361" s="59" t="n">
        <f aca="false">F361-H361</f>
        <v>220</v>
      </c>
      <c r="H361" s="59" t="n">
        <v>0</v>
      </c>
      <c r="K361" s="55"/>
    </row>
    <row r="362" customFormat="false" ht="19.85" hidden="false" customHeight="true" outlineLevel="0" collapsed="false">
      <c r="A362" s="0" t="n">
        <v>31</v>
      </c>
      <c r="B362" s="31" t="n">
        <v>43282</v>
      </c>
      <c r="C362" s="56" t="n">
        <v>53974</v>
      </c>
      <c r="D362" s="29" t="s">
        <v>42</v>
      </c>
      <c r="E362" s="33" t="n">
        <f aca="false">IF(D362="totale",(C362/(A362*24))/F362,IF(D362="marché libre",(C362/(A362*24))/G362,"spécifier histo"))</f>
        <v>0.329753176930596</v>
      </c>
      <c r="F362" s="59" t="n">
        <v>220</v>
      </c>
      <c r="G362" s="59" t="n">
        <f aca="false">F362-H362</f>
        <v>220</v>
      </c>
      <c r="H362" s="59" t="n">
        <v>0</v>
      </c>
      <c r="K362" s="55"/>
    </row>
    <row r="363" customFormat="false" ht="19.85" hidden="false" customHeight="true" outlineLevel="0" collapsed="false">
      <c r="A363" s="0" t="n">
        <v>30</v>
      </c>
      <c r="B363" s="34" t="n">
        <v>43313</v>
      </c>
      <c r="C363" s="56" t="n">
        <v>0</v>
      </c>
      <c r="D363" s="29" t="s">
        <v>42</v>
      </c>
      <c r="E363" s="33" t="n">
        <f aca="false">IF(D363="totale",(C363/(A363*24))/F363,IF(D363="marché libre",(C363/(A363*24))/G363,"spécifier histo"))</f>
        <v>0</v>
      </c>
      <c r="F363" s="59" t="n">
        <v>220</v>
      </c>
      <c r="G363" s="59" t="n">
        <f aca="false">F363-H363</f>
        <v>220</v>
      </c>
      <c r="H363" s="59" t="n">
        <v>0</v>
      </c>
      <c r="K363" s="55"/>
    </row>
    <row r="364" customFormat="false" ht="19.85" hidden="false" customHeight="true" outlineLevel="0" collapsed="false">
      <c r="C364" s="56"/>
      <c r="K364" s="55"/>
    </row>
    <row r="365" customFormat="false" ht="19.85" hidden="false" customHeight="true" outlineLevel="0" collapsed="false">
      <c r="C365" s="56"/>
      <c r="K365" s="55"/>
    </row>
    <row r="366" customFormat="false" ht="19.85" hidden="false" customHeight="true" outlineLevel="0" collapsed="false">
      <c r="C366" s="56"/>
      <c r="K366" s="55"/>
    </row>
    <row r="367" customFormat="false" ht="19.85" hidden="false" customHeight="true" outlineLevel="0" collapsed="false">
      <c r="C367" s="56"/>
      <c r="K367" s="55"/>
    </row>
    <row r="368" customFormat="false" ht="19.85" hidden="false" customHeight="true" outlineLevel="0" collapsed="false">
      <c r="C368" s="56"/>
      <c r="K368" s="55"/>
    </row>
    <row r="369" customFormat="false" ht="19.85" hidden="false" customHeight="true" outlineLevel="0" collapsed="false">
      <c r="C369" s="56"/>
      <c r="K369" s="55"/>
    </row>
    <row r="370" customFormat="false" ht="19.85" hidden="false" customHeight="true" outlineLevel="0" collapsed="false">
      <c r="C370" s="56"/>
      <c r="K370" s="55"/>
    </row>
    <row r="371" customFormat="false" ht="19.85" hidden="false" customHeight="true" outlineLevel="0" collapsed="false">
      <c r="C371" s="56"/>
      <c r="K371" s="55"/>
    </row>
    <row r="372" customFormat="false" ht="19.85" hidden="false" customHeight="true" outlineLevel="0" collapsed="false">
      <c r="K372" s="55"/>
    </row>
    <row r="373" customFormat="false" ht="19.85" hidden="false" customHeight="true" outlineLevel="0" collapsed="false">
      <c r="K373" s="55"/>
    </row>
    <row r="374" customFormat="false" ht="19.85" hidden="false" customHeight="true" outlineLevel="0" collapsed="false">
      <c r="K374" s="55"/>
    </row>
    <row r="375" customFormat="false" ht="19.85" hidden="false" customHeight="true" outlineLevel="0" collapsed="false">
      <c r="K375" s="55"/>
    </row>
    <row r="376" customFormat="false" ht="19.85" hidden="false" customHeight="true" outlineLevel="0" collapsed="false">
      <c r="K376" s="55"/>
    </row>
    <row r="377" customFormat="false" ht="19.85" hidden="false" customHeight="true" outlineLevel="0" collapsed="false">
      <c r="K377" s="55"/>
    </row>
    <row r="378" customFormat="false" ht="19.85" hidden="false" customHeight="true" outlineLevel="0" collapsed="false">
      <c r="K378" s="55"/>
    </row>
    <row r="379" customFormat="false" ht="19.85" hidden="false" customHeight="true" outlineLevel="0" collapsed="false">
      <c r="K379" s="55"/>
    </row>
    <row r="380" customFormat="false" ht="19.85" hidden="false" customHeight="true" outlineLevel="0" collapsed="false">
      <c r="K380" s="55"/>
    </row>
    <row r="381" customFormat="false" ht="19.85" hidden="false" customHeight="true" outlineLevel="0" collapsed="false">
      <c r="K381" s="55"/>
    </row>
    <row r="382" customFormat="false" ht="19.85" hidden="false" customHeight="true" outlineLevel="0" collapsed="false">
      <c r="K382" s="55"/>
    </row>
    <row r="383" customFormat="false" ht="19.85" hidden="false" customHeight="true" outlineLevel="0" collapsed="false">
      <c r="K383" s="55"/>
    </row>
    <row r="384" customFormat="false" ht="19.85" hidden="false" customHeight="true" outlineLevel="0" collapsed="false">
      <c r="K384" s="55"/>
    </row>
    <row r="385" customFormat="false" ht="19.85" hidden="false" customHeight="true" outlineLevel="0" collapsed="false">
      <c r="K385" s="55"/>
    </row>
    <row r="386" customFormat="false" ht="19.85" hidden="false" customHeight="true" outlineLevel="0" collapsed="false">
      <c r="K386" s="55"/>
    </row>
    <row r="387" customFormat="false" ht="19.85" hidden="false" customHeight="true" outlineLevel="0" collapsed="false">
      <c r="K387" s="55"/>
    </row>
    <row r="388" customFormat="false" ht="19.85" hidden="false" customHeight="true" outlineLevel="0" collapsed="false">
      <c r="K388" s="55"/>
    </row>
    <row r="389" customFormat="false" ht="19.85" hidden="false" customHeight="true" outlineLevel="0" collapsed="false">
      <c r="K389" s="55"/>
    </row>
    <row r="390" customFormat="false" ht="19.85" hidden="false" customHeight="true" outlineLevel="0" collapsed="false">
      <c r="K390" s="55"/>
    </row>
    <row r="391" customFormat="false" ht="19.85" hidden="false" customHeight="true" outlineLevel="0" collapsed="false">
      <c r="K391" s="55"/>
    </row>
    <row r="392" customFormat="false" ht="19.85" hidden="false" customHeight="true" outlineLevel="0" collapsed="false">
      <c r="K392" s="55"/>
    </row>
    <row r="393" customFormat="false" ht="19.85" hidden="false" customHeight="true" outlineLevel="0" collapsed="false">
      <c r="K393" s="55"/>
    </row>
    <row r="394" customFormat="false" ht="19.85" hidden="false" customHeight="true" outlineLevel="0" collapsed="false">
      <c r="K394" s="55"/>
    </row>
    <row r="395" customFormat="false" ht="19.85" hidden="false" customHeight="true" outlineLevel="0" collapsed="false">
      <c r="K395" s="55"/>
    </row>
    <row r="396" customFormat="false" ht="19.85" hidden="false" customHeight="true" outlineLevel="0" collapsed="false">
      <c r="K396" s="55"/>
    </row>
    <row r="397" customFormat="false" ht="19.85" hidden="false" customHeight="true" outlineLevel="0" collapsed="false">
      <c r="K397" s="55"/>
    </row>
    <row r="398" customFormat="false" ht="19.85" hidden="false" customHeight="true" outlineLevel="0" collapsed="false">
      <c r="K398" s="55"/>
    </row>
    <row r="399" customFormat="false" ht="19.85" hidden="false" customHeight="true" outlineLevel="0" collapsed="false">
      <c r="K399" s="55"/>
    </row>
    <row r="400" customFormat="false" ht="19.85" hidden="false" customHeight="true" outlineLevel="0" collapsed="false">
      <c r="K400" s="55"/>
    </row>
    <row r="401" customFormat="false" ht="19.85" hidden="false" customHeight="true" outlineLevel="0" collapsed="false">
      <c r="K401" s="55"/>
    </row>
    <row r="402" customFormat="false" ht="19.85" hidden="false" customHeight="true" outlineLevel="0" collapsed="false">
      <c r="K402" s="55"/>
    </row>
    <row r="403" customFormat="false" ht="19.85" hidden="false" customHeight="true" outlineLevel="0" collapsed="false">
      <c r="K403" s="55"/>
    </row>
    <row r="404" customFormat="false" ht="19.85" hidden="false" customHeight="true" outlineLevel="0" collapsed="false">
      <c r="K404" s="55"/>
    </row>
    <row r="405" customFormat="false" ht="19.85" hidden="false" customHeight="true" outlineLevel="0" collapsed="false">
      <c r="K405" s="55"/>
    </row>
    <row r="406" customFormat="false" ht="19.85" hidden="false" customHeight="true" outlineLevel="0" collapsed="false">
      <c r="K406" s="55"/>
    </row>
    <row r="407" customFormat="false" ht="19.85" hidden="false" customHeight="true" outlineLevel="0" collapsed="false">
      <c r="K407" s="55"/>
    </row>
    <row r="408" customFormat="false" ht="19.85" hidden="false" customHeight="true" outlineLevel="0" collapsed="false">
      <c r="K408" s="55"/>
    </row>
    <row r="409" customFormat="false" ht="19.85" hidden="false" customHeight="true" outlineLevel="0" collapsed="false">
      <c r="K409" s="55"/>
    </row>
    <row r="410" customFormat="false" ht="19.85" hidden="false" customHeight="true" outlineLevel="0" collapsed="false">
      <c r="K410" s="55"/>
    </row>
    <row r="411" customFormat="false" ht="19.85" hidden="false" customHeight="true" outlineLevel="0" collapsed="false">
      <c r="K411" s="55"/>
    </row>
    <row r="412" customFormat="false" ht="19.85" hidden="false" customHeight="true" outlineLevel="0" collapsed="false">
      <c r="K412" s="55"/>
    </row>
    <row r="413" customFormat="false" ht="19.85" hidden="false" customHeight="true" outlineLevel="0" collapsed="false">
      <c r="K413" s="55"/>
    </row>
    <row r="414" customFormat="false" ht="19.85" hidden="false" customHeight="true" outlineLevel="0" collapsed="false">
      <c r="K414" s="55"/>
    </row>
    <row r="415" customFormat="false" ht="19.85" hidden="false" customHeight="true" outlineLevel="0" collapsed="false">
      <c r="K415" s="55"/>
    </row>
    <row r="416" customFormat="false" ht="19.85" hidden="false" customHeight="true" outlineLevel="0" collapsed="false">
      <c r="K416" s="55"/>
      <c r="L416" s="63"/>
    </row>
    <row r="417" customFormat="false" ht="19.85" hidden="false" customHeight="true" outlineLevel="0" collapsed="false">
      <c r="K417" s="55"/>
      <c r="L417" s="63"/>
    </row>
    <row r="418" customFormat="false" ht="19.85" hidden="false" customHeight="true" outlineLevel="0" collapsed="false">
      <c r="K418" s="55"/>
      <c r="L418" s="63"/>
    </row>
    <row r="419" customFormat="false" ht="19.85" hidden="false" customHeight="true" outlineLevel="0" collapsed="false">
      <c r="K419" s="55"/>
    </row>
    <row r="420" customFormat="false" ht="19.85" hidden="false" customHeight="true" outlineLevel="0" collapsed="false">
      <c r="K420" s="55"/>
    </row>
    <row r="421" customFormat="false" ht="19.85" hidden="false" customHeight="true" outlineLevel="0" collapsed="false">
      <c r="K421" s="55"/>
    </row>
    <row r="422" customFormat="false" ht="19.85" hidden="false" customHeight="true" outlineLevel="0" collapsed="false">
      <c r="K422" s="55"/>
    </row>
    <row r="423" customFormat="false" ht="19.85" hidden="false" customHeight="true" outlineLevel="0" collapsed="false">
      <c r="K423" s="55"/>
    </row>
    <row r="424" customFormat="false" ht="19.85" hidden="false" customHeight="true" outlineLevel="0" collapsed="false">
      <c r="K424" s="55"/>
    </row>
    <row r="425" customFormat="false" ht="19.85" hidden="false" customHeight="true" outlineLevel="0" collapsed="false">
      <c r="K425" s="55"/>
    </row>
    <row r="426" customFormat="false" ht="19.85" hidden="false" customHeight="true" outlineLevel="0" collapsed="false">
      <c r="K426" s="55"/>
    </row>
    <row r="427" customFormat="false" ht="19.85" hidden="false" customHeight="true" outlineLevel="0" collapsed="false">
      <c r="K427" s="55"/>
    </row>
    <row r="428" customFormat="false" ht="19.85" hidden="false" customHeight="true" outlineLevel="0" collapsed="false">
      <c r="K428" s="55"/>
    </row>
    <row r="429" customFormat="false" ht="22.45" hidden="false" customHeight="true" outlineLevel="0" collapsed="false">
      <c r="K429" s="55"/>
    </row>
    <row r="430" customFormat="false" ht="21.65" hidden="false" customHeight="true" outlineLevel="0" collapsed="false">
      <c r="K430" s="55"/>
    </row>
    <row r="431" customFormat="false" ht="21.65" hidden="false" customHeight="true" outlineLevel="0" collapsed="false">
      <c r="K431" s="55"/>
    </row>
    <row r="432" customFormat="false" ht="21.65" hidden="false" customHeight="true" outlineLevel="0" collapsed="false">
      <c r="K432" s="55"/>
    </row>
    <row r="433" customFormat="false" ht="21.65" hidden="false" customHeight="true" outlineLevel="0" collapsed="false">
      <c r="K433" s="55"/>
    </row>
    <row r="434" customFormat="false" ht="21.65" hidden="false" customHeight="true" outlineLevel="0" collapsed="false">
      <c r="K434" s="55"/>
    </row>
    <row r="435" customFormat="false" ht="21.65" hidden="false" customHeight="true" outlineLevel="0" collapsed="false">
      <c r="K435" s="55"/>
    </row>
    <row r="436" customFormat="false" ht="28.35" hidden="false" customHeight="true" outlineLevel="0" collapsed="false">
      <c r="K436" s="30"/>
    </row>
    <row r="437" customFormat="false" ht="28.35" hidden="false" customHeight="true" outlineLevel="0" collapsed="false"/>
    <row r="438" customFormat="false" ht="28.35" hidden="false" customHeight="true" outlineLevel="0" collapsed="false"/>
    <row r="439" customFormat="false" ht="28.35" hidden="false" customHeight="true" outlineLevel="0" collapsed="false"/>
    <row r="440" customFormat="false" ht="28.35" hidden="false" customHeight="true" outlineLevel="0" collapsed="false"/>
    <row r="441" customFormat="false" ht="28.35" hidden="false" customHeight="true" outlineLevel="0" collapsed="false"/>
    <row r="442" customFormat="false" ht="28.35" hidden="false" customHeight="true" outlineLevel="0" collapsed="false"/>
    <row r="443" customFormat="false" ht="28.35" hidden="false" customHeight="true" outlineLevel="0" collapsed="false"/>
    <row r="444" customFormat="false" ht="28.35" hidden="false" customHeight="true" outlineLevel="0" collapsed="false"/>
    <row r="445" customFormat="false" ht="28.35" hidden="false" customHeight="true" outlineLevel="0" collapsed="false"/>
    <row r="446" customFormat="false" ht="28.35" hidden="false" customHeight="true" outlineLevel="0" collapsed="false"/>
    <row r="447" customFormat="false" ht="28.35" hidden="false" customHeight="true" outlineLevel="0" collapsed="false"/>
    <row r="448" customFormat="false" ht="28.35" hidden="false" customHeight="true" outlineLevel="0" collapsed="false"/>
    <row r="449" customFormat="false" ht="28.35" hidden="false" customHeight="true" outlineLevel="0" collapsed="false"/>
    <row r="450" customFormat="false" ht="28.35" hidden="false" customHeight="true" outlineLevel="0" collapsed="false"/>
    <row r="451" customFormat="false" ht="28.35" hidden="false" customHeight="true" outlineLevel="0" collapsed="false"/>
    <row r="452" customFormat="false" ht="28.35" hidden="false" customHeight="true" outlineLevel="0" collapsed="false"/>
    <row r="453" customFormat="false" ht="28.35" hidden="false" customHeight="true" outlineLevel="0" collapsed="false"/>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36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5.xml><?xml version="1.0" encoding="utf-8"?>
<worksheet xmlns="http://schemas.openxmlformats.org/spreadsheetml/2006/main" xmlns:r="http://schemas.openxmlformats.org/officeDocument/2006/relationships">
  <sheetPr filterMode="false">
    <tabColor rgb="FF00CC33"/>
    <pageSetUpPr fitToPage="false"/>
  </sheetPr>
  <dimension ref="A1:V19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8" topLeftCell="B9" activePane="bottomRight" state="frozen"/>
      <selection pane="topLeft" activeCell="A1" activeCellId="0" sqref="A1"/>
      <selection pane="topRight" activeCell="B1" activeCellId="0" sqref="B1"/>
      <selection pane="bottomLeft" activeCell="A9" activeCellId="0" sqref="A9"/>
      <selection pane="bottomRight" activeCell="J194" activeCellId="0" sqref="J194"/>
    </sheetView>
  </sheetViews>
  <sheetFormatPr defaultRowHeight="12.8" zeroHeight="false" outlineLevelRow="0" outlineLevelCol="0"/>
  <cols>
    <col collapsed="false" customWidth="true" hidden="false" outlineLevel="0" max="1" min="1" style="1" width="3.57"/>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8.15"/>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18.2"/>
    <col collapsed="false" customWidth="true" hidden="false" outlineLevel="0" max="10" min="10" style="1" width="24.68"/>
    <col collapsed="false" customWidth="true" hidden="false" outlineLevel="0" max="11" min="11" style="1" width="16.98"/>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5.86"/>
    <col collapsed="false" customWidth="false" hidden="false" outlineLevel="0" max="16" min="16" style="1" width="11.52"/>
    <col collapsed="false" customWidth="true" hidden="false" outlineLevel="0" max="17" min="17" style="1" width="13.89"/>
    <col collapsed="false" customWidth="true" hidden="false" outlineLevel="0" max="18" min="18" style="1" width="4.32"/>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5.8" hidden="false" customHeight="true" outlineLevel="0" collapsed="false">
      <c r="A4" s="0"/>
      <c r="B4" s="16" t="s">
        <v>209</v>
      </c>
      <c r="C4" s="16" t="n">
        <v>40310</v>
      </c>
      <c r="D4" s="5" t="s">
        <v>210</v>
      </c>
      <c r="E4" s="14" t="s">
        <v>211</v>
      </c>
      <c r="F4" s="15" t="n">
        <v>2650</v>
      </c>
      <c r="G4" s="15" t="n">
        <v>2200</v>
      </c>
      <c r="H4" s="15" t="n">
        <v>2200</v>
      </c>
      <c r="I4" s="16" t="s">
        <v>212</v>
      </c>
      <c r="J4" s="15" t="n">
        <v>2200</v>
      </c>
      <c r="K4" s="16" t="s">
        <v>213</v>
      </c>
      <c r="L4" s="5" t="s">
        <v>145</v>
      </c>
      <c r="M4" s="5" t="n">
        <v>2400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44.15" hidden="false" customHeight="true" outlineLevel="0" collapsed="false">
      <c r="A6" s="0"/>
      <c r="B6" s="0"/>
      <c r="C6" s="10" t="s">
        <v>25</v>
      </c>
      <c r="D6" s="10"/>
      <c r="F6" s="20" t="s">
        <v>26</v>
      </c>
      <c r="G6" s="19" t="s">
        <v>214</v>
      </c>
      <c r="H6" s="19"/>
      <c r="I6" s="19"/>
      <c r="J6" s="19"/>
      <c r="K6" s="19"/>
      <c r="L6" s="19"/>
      <c r="M6" s="19"/>
      <c r="N6" s="19"/>
      <c r="P6" s="21" t="n">
        <v>42005</v>
      </c>
      <c r="Q6" s="19" t="s">
        <v>27</v>
      </c>
      <c r="R6" s="9"/>
      <c r="S6" s="22"/>
      <c r="T6" s="5" t="s">
        <v>28</v>
      </c>
    </row>
    <row r="7" customFormat="false" ht="45.8" hidden="false" customHeight="true" outlineLevel="0" collapsed="false">
      <c r="A7" s="0"/>
      <c r="B7" s="0"/>
      <c r="C7" s="126" t="s">
        <v>215</v>
      </c>
      <c r="D7" s="126"/>
      <c r="F7" s="20"/>
      <c r="G7" s="20"/>
      <c r="H7" s="19"/>
      <c r="I7" s="19"/>
      <c r="J7" s="19"/>
      <c r="K7" s="19"/>
      <c r="L7" s="19"/>
      <c r="M7" s="19"/>
      <c r="N7" s="19"/>
      <c r="P7" s="24"/>
      <c r="Q7" s="5" t="s">
        <v>29</v>
      </c>
      <c r="R7" s="9"/>
      <c r="S7" s="25"/>
      <c r="T7" s="5" t="s">
        <v>30</v>
      </c>
    </row>
    <row r="8" customFormat="false" ht="44.15" hidden="false" customHeight="true" outlineLevel="0" collapsed="false">
      <c r="A8" s="26"/>
      <c r="F8" s="9"/>
      <c r="G8" s="9"/>
      <c r="H8" s="9"/>
      <c r="J8" s="9"/>
      <c r="R8" s="9"/>
      <c r="S8" s="27"/>
      <c r="T8" s="16" t="s">
        <v>31</v>
      </c>
    </row>
    <row r="9" customFormat="false" ht="39.95" hidden="false" customHeight="true" outlineLevel="0" collapsed="false">
      <c r="B9" s="9" t="s">
        <v>32</v>
      </c>
      <c r="C9" s="9" t="s">
        <v>51</v>
      </c>
      <c r="D9" s="29" t="s">
        <v>52</v>
      </c>
      <c r="E9" s="1" t="s">
        <v>35</v>
      </c>
      <c r="F9" s="9" t="s">
        <v>36</v>
      </c>
      <c r="G9" s="9" t="s">
        <v>37</v>
      </c>
      <c r="H9" s="9" t="s">
        <v>38</v>
      </c>
      <c r="I9" s="9" t="s">
        <v>39</v>
      </c>
      <c r="J9" s="30" t="s">
        <v>40</v>
      </c>
    </row>
    <row r="10" customFormat="false" ht="19.85" hidden="false" customHeight="true" outlineLevel="0" collapsed="false">
      <c r="A10" s="0" t="n">
        <v>31</v>
      </c>
      <c r="B10" s="31" t="n">
        <v>37987</v>
      </c>
      <c r="C10" s="1" t="n">
        <v>613232</v>
      </c>
      <c r="D10" s="121" t="s">
        <v>41</v>
      </c>
      <c r="E10" s="33" t="n">
        <f aca="false">IF(D10="totale",(C10/(A10*24))/F10,IF(D10="marché libre",(C10/(A10*24))/G10,"spécifier histo"))</f>
        <v>0.374652981427175</v>
      </c>
      <c r="F10" s="59" t="n">
        <v>2200</v>
      </c>
      <c r="G10" s="59" t="n">
        <f aca="false">F10-H10</f>
        <v>2200</v>
      </c>
      <c r="H10" s="59" t="n">
        <v>0</v>
      </c>
      <c r="J10" s="178" t="s">
        <v>216</v>
      </c>
    </row>
    <row r="11" customFormat="false" ht="19.85" hidden="false" customHeight="true" outlineLevel="0" collapsed="false">
      <c r="A11" s="0" t="n">
        <v>28</v>
      </c>
      <c r="B11" s="34" t="n">
        <v>38018</v>
      </c>
      <c r="C11" s="1" t="n">
        <v>494503</v>
      </c>
      <c r="D11" s="121" t="s">
        <v>41</v>
      </c>
      <c r="E11" s="33" t="n">
        <f aca="false">IF(D11="totale",(C11/(A11*24))/F11,IF(D11="marché libre",(C11/(A11*24))/G11,"spécifier histo"))</f>
        <v>0.334485254329004</v>
      </c>
      <c r="F11" s="59" t="n">
        <v>2200</v>
      </c>
      <c r="G11" s="59" t="n">
        <f aca="false">F11-H11</f>
        <v>2200</v>
      </c>
      <c r="H11" s="59" t="n">
        <v>0</v>
      </c>
      <c r="J11" s="178" t="s">
        <v>217</v>
      </c>
    </row>
    <row r="12" customFormat="false" ht="19.85" hidden="false" customHeight="true" outlineLevel="0" collapsed="false">
      <c r="A12" s="0" t="n">
        <v>31</v>
      </c>
      <c r="B12" s="31" t="n">
        <v>38047</v>
      </c>
      <c r="C12" s="1" t="n">
        <v>705976</v>
      </c>
      <c r="D12" s="121" t="s">
        <v>41</v>
      </c>
      <c r="E12" s="33" t="n">
        <f aca="false">IF(D12="totale",(C12/(A12*24))/F12,IF(D12="marché libre",(C12/(A12*24))/G12,"spécifier histo"))</f>
        <v>0.431314760508309</v>
      </c>
      <c r="F12" s="59" t="n">
        <v>2200</v>
      </c>
      <c r="G12" s="59" t="n">
        <f aca="false">F12-H12</f>
        <v>2200</v>
      </c>
      <c r="H12" s="59" t="n">
        <v>0</v>
      </c>
      <c r="J12" s="178"/>
    </row>
    <row r="13" customFormat="false" ht="19.85" hidden="false" customHeight="true" outlineLevel="0" collapsed="false">
      <c r="A13" s="0" t="n">
        <v>30</v>
      </c>
      <c r="B13" s="34" t="n">
        <v>38078</v>
      </c>
      <c r="C13" s="1" t="n">
        <v>722800</v>
      </c>
      <c r="D13" s="121" t="s">
        <v>41</v>
      </c>
      <c r="E13" s="33" t="n">
        <f aca="false">IF(D13="totale",(C13/(A13*24))/F13,IF(D13="marché libre",(C13/(A13*24))/G13,"spécifier histo"))</f>
        <v>0.456313131313131</v>
      </c>
      <c r="F13" s="59" t="n">
        <v>2200</v>
      </c>
      <c r="G13" s="59" t="n">
        <f aca="false">F13-H13</f>
        <v>2200</v>
      </c>
      <c r="H13" s="59" t="n">
        <v>0</v>
      </c>
      <c r="J13" s="178"/>
    </row>
    <row r="14" customFormat="false" ht="19.85" hidden="false" customHeight="true" outlineLevel="0" collapsed="false">
      <c r="A14" s="0" t="n">
        <v>31</v>
      </c>
      <c r="B14" s="31" t="n">
        <v>38108</v>
      </c>
      <c r="C14" s="1" t="n">
        <v>434400</v>
      </c>
      <c r="D14" s="121" t="s">
        <v>41</v>
      </c>
      <c r="E14" s="33" t="n">
        <f aca="false">IF(D14="totale",(C14/(A14*24))/F14,IF(D14="marché libre",(C14/(A14*24))/G14,"spécifier histo"))</f>
        <v>0.265395894428152</v>
      </c>
      <c r="F14" s="59" t="n">
        <v>2200</v>
      </c>
      <c r="G14" s="59" t="n">
        <f aca="false">F14-H14</f>
        <v>2200</v>
      </c>
      <c r="H14" s="59" t="n">
        <v>0</v>
      </c>
      <c r="J14" s="178"/>
    </row>
    <row r="15" customFormat="false" ht="19.85" hidden="false" customHeight="true" outlineLevel="0" collapsed="false">
      <c r="A15" s="0" t="n">
        <v>30</v>
      </c>
      <c r="B15" s="34" t="n">
        <v>38139</v>
      </c>
      <c r="C15" s="1" t="n">
        <v>8800</v>
      </c>
      <c r="D15" s="121" t="s">
        <v>41</v>
      </c>
      <c r="E15" s="33" t="n">
        <f aca="false">IF(D15="totale",(C15/(A15*24))/F15,IF(D15="marché libre",(C15/(A15*24))/G15,"spécifier histo"))</f>
        <v>0.00555555555555555</v>
      </c>
      <c r="F15" s="59" t="n">
        <v>2200</v>
      </c>
      <c r="G15" s="59" t="n">
        <f aca="false">F15-H15</f>
        <v>2200</v>
      </c>
      <c r="H15" s="59" t="n">
        <v>0</v>
      </c>
      <c r="J15" s="178"/>
    </row>
    <row r="16" customFormat="false" ht="19.85" hidden="false" customHeight="true" outlineLevel="0" collapsed="false">
      <c r="A16" s="0" t="n">
        <v>31</v>
      </c>
      <c r="B16" s="31" t="n">
        <v>38169</v>
      </c>
      <c r="C16" s="1" t="n">
        <v>0</v>
      </c>
      <c r="D16" s="121" t="s">
        <v>41</v>
      </c>
      <c r="E16" s="33" t="n">
        <f aca="false">IF(D16="totale",(C16/(A16*24))/F16,IF(D16="marché libre",(C16/(A16*24))/G16,"spécifier histo"))</f>
        <v>0</v>
      </c>
      <c r="F16" s="59" t="n">
        <v>2200</v>
      </c>
      <c r="G16" s="59" t="n">
        <f aca="false">F16-H16</f>
        <v>2200</v>
      </c>
      <c r="H16" s="59" t="n">
        <v>0</v>
      </c>
      <c r="J16" s="178" t="s">
        <v>217</v>
      </c>
      <c r="K16" s="0"/>
      <c r="L16" s="0"/>
      <c r="M16" s="0"/>
      <c r="N16" s="0"/>
      <c r="O16" s="0"/>
      <c r="P16" s="0"/>
      <c r="Q16" s="0"/>
      <c r="R16" s="0"/>
      <c r="S16" s="0"/>
      <c r="T16" s="0"/>
      <c r="U16" s="0"/>
    </row>
    <row r="17" customFormat="false" ht="19.85" hidden="false" customHeight="true" outlineLevel="0" collapsed="false">
      <c r="A17" s="0" t="n">
        <v>31</v>
      </c>
      <c r="B17" s="34" t="n">
        <v>38200</v>
      </c>
      <c r="C17" s="1" t="n">
        <v>0</v>
      </c>
      <c r="D17" s="121" t="s">
        <v>41</v>
      </c>
      <c r="E17" s="33" t="n">
        <f aca="false">IF(D17="totale",(C17/(A17*24))/F17,IF(D17="marché libre",(C17/(A17*24))/G17,"spécifier histo"))</f>
        <v>0</v>
      </c>
      <c r="F17" s="59" t="n">
        <v>2200</v>
      </c>
      <c r="G17" s="59" t="n">
        <f aca="false">F17-H17</f>
        <v>2200</v>
      </c>
      <c r="H17" s="59" t="n">
        <v>0</v>
      </c>
      <c r="J17" s="178" t="s">
        <v>217</v>
      </c>
      <c r="K17" s="0"/>
      <c r="L17" s="0"/>
      <c r="M17" s="0"/>
      <c r="N17" s="0"/>
      <c r="O17" s="0"/>
      <c r="P17" s="0"/>
      <c r="Q17" s="0"/>
      <c r="R17" s="0"/>
      <c r="S17" s="0"/>
      <c r="T17" s="0"/>
      <c r="U17" s="0"/>
    </row>
    <row r="18" customFormat="false" ht="19.85" hidden="false" customHeight="true" outlineLevel="0" collapsed="false">
      <c r="A18" s="0" t="n">
        <v>30</v>
      </c>
      <c r="B18" s="31" t="n">
        <v>38231</v>
      </c>
      <c r="C18" s="1" t="n">
        <v>0</v>
      </c>
      <c r="D18" s="121" t="s">
        <v>41</v>
      </c>
      <c r="E18" s="33" t="n">
        <f aca="false">IF(D18="totale",(C18/(A18*24))/F18,IF(D18="marché libre",(C18/(A18*24))/G18,"spécifier histo"))</f>
        <v>0</v>
      </c>
      <c r="F18" s="59" t="n">
        <v>2200</v>
      </c>
      <c r="G18" s="59" t="n">
        <f aca="false">F18-H18</f>
        <v>2200</v>
      </c>
      <c r="H18" s="59" t="n">
        <v>0</v>
      </c>
      <c r="J18" s="178"/>
      <c r="K18" s="0"/>
      <c r="L18" s="0"/>
      <c r="M18" s="0"/>
      <c r="N18" s="0"/>
      <c r="O18" s="0"/>
      <c r="P18" s="0"/>
      <c r="Q18" s="0"/>
      <c r="R18" s="0"/>
      <c r="S18" s="0"/>
      <c r="T18" s="0"/>
      <c r="U18" s="0"/>
    </row>
    <row r="19" customFormat="false" ht="19.85" hidden="false" customHeight="true" outlineLevel="0" collapsed="false">
      <c r="A19" s="0" t="n">
        <v>31</v>
      </c>
      <c r="B19" s="34" t="n">
        <v>38261</v>
      </c>
      <c r="C19" s="1" t="n">
        <v>343200</v>
      </c>
      <c r="D19" s="121" t="s">
        <v>41</v>
      </c>
      <c r="E19" s="33" t="n">
        <f aca="false">IF(D19="totale",(C19/(A19*24))/F19,IF(D19="marché libre",(C19/(A19*24))/G19,"spécifier histo"))</f>
        <v>0.209677419354839</v>
      </c>
      <c r="F19" s="59" t="n">
        <v>2200</v>
      </c>
      <c r="G19" s="59" t="n">
        <f aca="false">F19-H19</f>
        <v>2200</v>
      </c>
      <c r="H19" s="59" t="n">
        <v>0</v>
      </c>
      <c r="J19" s="178"/>
      <c r="K19" s="0"/>
      <c r="L19" s="0"/>
      <c r="M19" s="0"/>
      <c r="N19" s="0"/>
      <c r="O19" s="0"/>
      <c r="P19" s="0"/>
      <c r="Q19" s="0"/>
      <c r="R19" s="0"/>
      <c r="S19" s="0"/>
      <c r="T19" s="0"/>
      <c r="U19" s="0"/>
    </row>
    <row r="20" customFormat="false" ht="19.85" hidden="false" customHeight="true" outlineLevel="0" collapsed="false">
      <c r="A20" s="0" t="n">
        <v>30</v>
      </c>
      <c r="B20" s="31" t="n">
        <v>38292</v>
      </c>
      <c r="C20" s="1" t="n">
        <v>278633</v>
      </c>
      <c r="D20" s="121" t="s">
        <v>41</v>
      </c>
      <c r="E20" s="33" t="n">
        <f aca="false">IF(D20="totale",(C20/(A20*24))/F20,IF(D20="marché libre",(C20/(A20*24))/G20,"spécifier histo"))</f>
        <v>0.175904671717172</v>
      </c>
      <c r="F20" s="59" t="n">
        <v>2200</v>
      </c>
      <c r="G20" s="59" t="n">
        <f aca="false">F20-H20</f>
        <v>2200</v>
      </c>
      <c r="H20" s="59" t="n">
        <v>0</v>
      </c>
      <c r="J20" s="178"/>
      <c r="K20" s="0"/>
      <c r="L20" s="0"/>
      <c r="M20" s="0"/>
      <c r="N20" s="0"/>
      <c r="O20" s="0"/>
      <c r="P20" s="0"/>
      <c r="Q20" s="0"/>
      <c r="R20" s="0"/>
      <c r="S20" s="0"/>
      <c r="T20" s="0"/>
      <c r="U20" s="0"/>
    </row>
    <row r="21" customFormat="false" ht="19.85" hidden="false" customHeight="true" outlineLevel="0" collapsed="false">
      <c r="A21" s="0" t="n">
        <v>31</v>
      </c>
      <c r="B21" s="34" t="n">
        <v>38322</v>
      </c>
      <c r="C21" s="1" t="n">
        <v>256283</v>
      </c>
      <c r="D21" s="121" t="s">
        <v>41</v>
      </c>
      <c r="E21" s="33" t="n">
        <f aca="false">IF(D21="totale",(C21/(A21*24))/F21,IF(D21="marché libre",(C21/(A21*24))/G21,"spécifier histo"))</f>
        <v>0.156575635386119</v>
      </c>
      <c r="F21" s="59" t="n">
        <v>2200</v>
      </c>
      <c r="G21" s="59" t="n">
        <f aca="false">F21-H21</f>
        <v>2200</v>
      </c>
      <c r="H21" s="59" t="n">
        <v>0</v>
      </c>
      <c r="J21" s="178"/>
      <c r="K21" s="0"/>
      <c r="L21" s="0"/>
      <c r="M21" s="0"/>
      <c r="N21" s="0"/>
      <c r="O21" s="0"/>
      <c r="P21" s="0"/>
      <c r="Q21" s="0"/>
      <c r="R21" s="0"/>
      <c r="S21" s="0"/>
      <c r="T21" s="0"/>
      <c r="U21" s="0"/>
    </row>
    <row r="22" customFormat="false" ht="19.85" hidden="false" customHeight="true" outlineLevel="0" collapsed="false">
      <c r="A22" s="0" t="n">
        <v>31</v>
      </c>
      <c r="B22" s="31" t="n">
        <v>38353</v>
      </c>
      <c r="C22" s="1" t="n">
        <v>297293</v>
      </c>
      <c r="D22" s="121" t="s">
        <v>41</v>
      </c>
      <c r="E22" s="33" t="n">
        <f aca="false">IF(D22="totale",(C22/(A22*24))/F22,IF(D22="marché libre",(C22/(A22*24))/G22,"spécifier histo"))</f>
        <v>0.181630620723363</v>
      </c>
      <c r="F22" s="59" t="n">
        <v>2200</v>
      </c>
      <c r="G22" s="59" t="n">
        <f aca="false">F22-H22</f>
        <v>2200</v>
      </c>
      <c r="H22" s="59" t="n">
        <v>0</v>
      </c>
      <c r="J22" s="183"/>
      <c r="K22" s="0"/>
      <c r="L22" s="0"/>
      <c r="M22" s="0"/>
      <c r="N22" s="0"/>
      <c r="O22" s="0"/>
      <c r="P22" s="0"/>
      <c r="Q22" s="0"/>
      <c r="R22" s="0"/>
      <c r="S22" s="0"/>
      <c r="T22" s="0"/>
    </row>
    <row r="23" customFormat="false" ht="19.85" hidden="false" customHeight="true" outlineLevel="0" collapsed="false">
      <c r="A23" s="0" t="n">
        <v>28</v>
      </c>
      <c r="B23" s="34" t="n">
        <v>38384</v>
      </c>
      <c r="C23" s="1" t="n">
        <v>280837</v>
      </c>
      <c r="D23" s="121" t="s">
        <v>41</v>
      </c>
      <c r="E23" s="33" t="n">
        <f aca="false">IF(D23="totale",(C23/(A23*24))/F23,IF(D23="marché libre",(C23/(A23*24))/G23,"spécifier histo"))</f>
        <v>0.189960091991342</v>
      </c>
      <c r="F23" s="59" t="n">
        <v>2200</v>
      </c>
      <c r="G23" s="59" t="n">
        <f aca="false">F23-H23</f>
        <v>2200</v>
      </c>
      <c r="H23" s="59" t="n">
        <v>0</v>
      </c>
      <c r="J23" s="183"/>
      <c r="K23" s="0"/>
      <c r="L23" s="0"/>
      <c r="M23" s="0"/>
      <c r="N23" s="0"/>
      <c r="O23" s="0"/>
      <c r="P23" s="0"/>
      <c r="Q23" s="0"/>
      <c r="R23" s="0"/>
      <c r="S23" s="0"/>
      <c r="T23" s="0"/>
    </row>
    <row r="24" customFormat="false" ht="19.85" hidden="false" customHeight="true" outlineLevel="0" collapsed="false">
      <c r="A24" s="0" t="n">
        <v>31</v>
      </c>
      <c r="B24" s="31" t="n">
        <v>38412</v>
      </c>
      <c r="C24" s="1" t="n">
        <v>430330</v>
      </c>
      <c r="D24" s="121" t="s">
        <v>41</v>
      </c>
      <c r="E24" s="33" t="n">
        <f aca="false">IF(D24="totale",(C24/(A24*24))/F24,IF(D24="marché libre",(C24/(A24*24))/G24,"spécifier histo"))</f>
        <v>0.262909335288367</v>
      </c>
      <c r="F24" s="59" t="n">
        <v>2200</v>
      </c>
      <c r="G24" s="59" t="n">
        <f aca="false">F24-H24</f>
        <v>2200</v>
      </c>
      <c r="H24" s="59" t="n">
        <v>0</v>
      </c>
      <c r="J24" s="183"/>
      <c r="K24" s="0"/>
      <c r="L24" s="0"/>
      <c r="M24" s="0"/>
      <c r="N24" s="0"/>
      <c r="O24" s="0"/>
      <c r="P24" s="0"/>
      <c r="Q24" s="0"/>
      <c r="R24" s="0"/>
      <c r="S24" s="0"/>
      <c r="T24" s="0"/>
    </row>
    <row r="25" customFormat="false" ht="19.85" hidden="false" customHeight="true" outlineLevel="0" collapsed="false">
      <c r="A25" s="0" t="n">
        <v>30</v>
      </c>
      <c r="B25" s="34" t="n">
        <v>38443</v>
      </c>
      <c r="C25" s="1" t="n">
        <v>1104310</v>
      </c>
      <c r="D25" s="121" t="s">
        <v>41</v>
      </c>
      <c r="E25" s="33" t="n">
        <f aca="false">IF(D25="totale",(C25/(A25*24))/F25,IF(D25="marché libre",(C25/(A25*24))/G25,"spécifier histo"))</f>
        <v>0.697165404040404</v>
      </c>
      <c r="F25" s="59" t="n">
        <v>2200</v>
      </c>
      <c r="G25" s="59" t="n">
        <f aca="false">F25-H25</f>
        <v>2200</v>
      </c>
      <c r="H25" s="59" t="n">
        <v>0</v>
      </c>
      <c r="J25" s="183"/>
      <c r="K25" s="0"/>
      <c r="L25" s="0"/>
      <c r="M25" s="0"/>
      <c r="N25" s="0"/>
      <c r="O25" s="0"/>
      <c r="P25" s="0"/>
      <c r="Q25" s="0"/>
      <c r="R25" s="0"/>
      <c r="S25" s="0"/>
      <c r="T25" s="0"/>
    </row>
    <row r="26" customFormat="false" ht="19.85" hidden="false" customHeight="true" outlineLevel="0" collapsed="false">
      <c r="A26" s="0" t="n">
        <v>31</v>
      </c>
      <c r="B26" s="31" t="n">
        <v>38473</v>
      </c>
      <c r="C26" s="1" t="n">
        <v>0</v>
      </c>
      <c r="D26" s="121" t="s">
        <v>41</v>
      </c>
      <c r="E26" s="33" t="n">
        <f aca="false">IF(D26="totale",(C26/(A26*24))/F26,IF(D26="marché libre",(C26/(A26*24))/G26,"spécifier histo"))</f>
        <v>0</v>
      </c>
      <c r="F26" s="59" t="n">
        <v>2200</v>
      </c>
      <c r="G26" s="59" t="n">
        <f aca="false">F26-H26</f>
        <v>2200</v>
      </c>
      <c r="H26" s="59" t="n">
        <v>0</v>
      </c>
      <c r="J26" s="183"/>
      <c r="K26" s="0"/>
      <c r="L26" s="0"/>
      <c r="M26" s="0"/>
      <c r="N26" s="0"/>
      <c r="O26" s="0"/>
      <c r="P26" s="0"/>
      <c r="Q26" s="0"/>
      <c r="R26" s="0"/>
      <c r="S26" s="0"/>
      <c r="T26" s="0"/>
    </row>
    <row r="27" customFormat="false" ht="19.85" hidden="false" customHeight="true" outlineLevel="0" collapsed="false">
      <c r="A27" s="0" t="n">
        <v>30</v>
      </c>
      <c r="B27" s="34" t="n">
        <v>38504</v>
      </c>
      <c r="C27" s="1" t="n">
        <v>0</v>
      </c>
      <c r="D27" s="121" t="s">
        <v>41</v>
      </c>
      <c r="E27" s="33" t="n">
        <f aca="false">IF(D27="totale",(C27/(A27*24))/F27,IF(D27="marché libre",(C27/(A27*24))/G27,"spécifier histo"))</f>
        <v>0</v>
      </c>
      <c r="F27" s="59" t="n">
        <v>2200</v>
      </c>
      <c r="G27" s="59" t="n">
        <f aca="false">F27-H27</f>
        <v>2200</v>
      </c>
      <c r="H27" s="59" t="n">
        <v>0</v>
      </c>
      <c r="J27" s="183"/>
      <c r="K27" s="0"/>
      <c r="L27" s="0"/>
      <c r="M27" s="0"/>
      <c r="N27" s="0"/>
      <c r="O27" s="0"/>
      <c r="P27" s="0"/>
      <c r="Q27" s="0"/>
      <c r="R27" s="0"/>
      <c r="S27" s="0"/>
      <c r="T27" s="0"/>
    </row>
    <row r="28" customFormat="false" ht="19.85" hidden="false" customHeight="true" outlineLevel="0" collapsed="false">
      <c r="A28" s="0" t="n">
        <v>31</v>
      </c>
      <c r="B28" s="31" t="n">
        <v>38534</v>
      </c>
      <c r="C28" s="1" t="n">
        <v>0</v>
      </c>
      <c r="D28" s="121" t="s">
        <v>41</v>
      </c>
      <c r="E28" s="33" t="n">
        <f aca="false">IF(D28="totale",(C28/(A28*24))/F28,IF(D28="marché libre",(C28/(A28*24))/G28,"spécifier histo"))</f>
        <v>0</v>
      </c>
      <c r="F28" s="59" t="n">
        <v>2200</v>
      </c>
      <c r="G28" s="59" t="n">
        <f aca="false">F28-H28</f>
        <v>2200</v>
      </c>
      <c r="H28" s="59" t="n">
        <v>0</v>
      </c>
      <c r="J28" s="178" t="s">
        <v>217</v>
      </c>
      <c r="K28" s="0"/>
      <c r="M28" s="0"/>
      <c r="O28" s="0"/>
      <c r="S28" s="0"/>
    </row>
    <row r="29" customFormat="false" ht="19.85" hidden="false" customHeight="true" outlineLevel="0" collapsed="false">
      <c r="A29" s="0" t="n">
        <v>31</v>
      </c>
      <c r="B29" s="34" t="n">
        <v>38565</v>
      </c>
      <c r="C29" s="1" t="n">
        <v>0</v>
      </c>
      <c r="D29" s="121" t="s">
        <v>41</v>
      </c>
      <c r="E29" s="33" t="n">
        <f aca="false">IF(D29="totale",(C29/(A29*24))/F29,IF(D29="marché libre",(C29/(A29*24))/G29,"spécifier histo"))</f>
        <v>0</v>
      </c>
      <c r="F29" s="59" t="n">
        <v>2200</v>
      </c>
      <c r="G29" s="59" t="n">
        <f aca="false">F29-H29</f>
        <v>2200</v>
      </c>
      <c r="H29" s="59" t="n">
        <v>0</v>
      </c>
      <c r="J29" s="178" t="s">
        <v>217</v>
      </c>
      <c r="K29" s="0"/>
      <c r="M29" s="0"/>
      <c r="O29" s="0"/>
      <c r="S29" s="0"/>
    </row>
    <row r="30" customFormat="false" ht="19.85" hidden="false" customHeight="true" outlineLevel="0" collapsed="false">
      <c r="A30" s="0" t="n">
        <v>30</v>
      </c>
      <c r="B30" s="31" t="n">
        <v>38596</v>
      </c>
      <c r="C30" s="1" t="n">
        <v>0</v>
      </c>
      <c r="D30" s="121" t="s">
        <v>41</v>
      </c>
      <c r="E30" s="33" t="n">
        <f aca="false">IF(D30="totale",(C30/(A30*24))/F30,IF(D30="marché libre",(C30/(A30*24))/G30,"spécifier histo"))</f>
        <v>0</v>
      </c>
      <c r="F30" s="59" t="n">
        <v>2200</v>
      </c>
      <c r="G30" s="59" t="n">
        <f aca="false">F30-H30</f>
        <v>2200</v>
      </c>
      <c r="H30" s="59" t="n">
        <v>0</v>
      </c>
      <c r="J30" s="183"/>
      <c r="K30" s="0"/>
      <c r="M30" s="0"/>
      <c r="O30" s="0"/>
      <c r="S30" s="0"/>
    </row>
    <row r="31" customFormat="false" ht="19.85" hidden="false" customHeight="true" outlineLevel="0" collapsed="false">
      <c r="A31" s="0" t="n">
        <v>31</v>
      </c>
      <c r="B31" s="34" t="n">
        <v>38626</v>
      </c>
      <c r="C31" s="1" t="n">
        <v>0</v>
      </c>
      <c r="D31" s="121" t="s">
        <v>41</v>
      </c>
      <c r="E31" s="33" t="n">
        <f aca="false">IF(D31="totale",(C31/(A31*24))/F31,IF(D31="marché libre",(C31/(A31*24))/G31,"spécifier histo"))</f>
        <v>0</v>
      </c>
      <c r="F31" s="59" t="n">
        <v>2200</v>
      </c>
      <c r="G31" s="59" t="n">
        <f aca="false">F31-H31</f>
        <v>2200</v>
      </c>
      <c r="H31" s="59" t="n">
        <v>0</v>
      </c>
      <c r="J31" s="183"/>
      <c r="K31" s="0"/>
      <c r="M31" s="0"/>
      <c r="O31" s="0"/>
      <c r="S31" s="0"/>
    </row>
    <row r="32" customFormat="false" ht="19.85" hidden="false" customHeight="true" outlineLevel="0" collapsed="false">
      <c r="A32" s="0" t="n">
        <v>30</v>
      </c>
      <c r="B32" s="31" t="n">
        <v>38657</v>
      </c>
      <c r="C32" s="1" t="n">
        <v>49349</v>
      </c>
      <c r="D32" s="121" t="s">
        <v>41</v>
      </c>
      <c r="E32" s="33" t="n">
        <f aca="false">IF(D32="totale",(C32/(A32*24))/F32,IF(D32="marché libre",(C32/(A32*24))/G32,"spécifier histo"))</f>
        <v>0.0311546717171717</v>
      </c>
      <c r="F32" s="59" t="n">
        <v>2200</v>
      </c>
      <c r="G32" s="59" t="n">
        <f aca="false">F32-H32</f>
        <v>2200</v>
      </c>
      <c r="H32" s="59" t="n">
        <v>0</v>
      </c>
      <c r="J32" s="183"/>
      <c r="K32" s="0"/>
      <c r="M32" s="0"/>
      <c r="O32" s="0"/>
      <c r="S32" s="0"/>
    </row>
    <row r="33" customFormat="false" ht="19.85" hidden="false" customHeight="true" outlineLevel="0" collapsed="false">
      <c r="A33" s="0" t="n">
        <v>31</v>
      </c>
      <c r="B33" s="34" t="n">
        <v>38687</v>
      </c>
      <c r="C33" s="1" t="n">
        <v>23462</v>
      </c>
      <c r="D33" s="121" t="s">
        <v>41</v>
      </c>
      <c r="E33" s="33" t="n">
        <f aca="false">IF(D33="totale",(C33/(A33*24))/F33,IF(D33="marché libre",(C33/(A33*24))/G33,"spécifier histo"))</f>
        <v>0.0143340664711632</v>
      </c>
      <c r="F33" s="59" t="n">
        <v>2200</v>
      </c>
      <c r="G33" s="59" t="n">
        <f aca="false">F33-H33</f>
        <v>2200</v>
      </c>
      <c r="H33" s="59" t="n">
        <v>0</v>
      </c>
      <c r="J33" s="183"/>
      <c r="K33" s="0"/>
      <c r="M33" s="0"/>
      <c r="O33" s="0"/>
      <c r="S33" s="0"/>
    </row>
    <row r="34" customFormat="false" ht="19.85" hidden="false" customHeight="true" outlineLevel="0" collapsed="false">
      <c r="A34" s="0" t="n">
        <v>31</v>
      </c>
      <c r="B34" s="31" t="n">
        <v>38718</v>
      </c>
      <c r="C34" s="1" t="n">
        <v>49209</v>
      </c>
      <c r="D34" s="121" t="s">
        <v>41</v>
      </c>
      <c r="E34" s="33" t="n">
        <f aca="false">IF(D34="totale",(C34/(A34*24))/F34,IF(D34="marché libre",(C34/(A34*24))/G34,"spécifier histo"))</f>
        <v>0.0300641495601173</v>
      </c>
      <c r="F34" s="59" t="n">
        <v>2200</v>
      </c>
      <c r="G34" s="59" t="n">
        <f aca="false">F34-H34</f>
        <v>2200</v>
      </c>
      <c r="H34" s="59" t="n">
        <v>0</v>
      </c>
      <c r="J34" s="183"/>
      <c r="K34" s="0"/>
      <c r="M34" s="0"/>
      <c r="O34" s="0"/>
      <c r="S34" s="0"/>
    </row>
    <row r="35" customFormat="false" ht="19.85" hidden="false" customHeight="true" outlineLevel="0" collapsed="false">
      <c r="A35" s="0" t="n">
        <v>28</v>
      </c>
      <c r="B35" s="34" t="n">
        <v>38749</v>
      </c>
      <c r="C35" s="1" t="n">
        <v>151273</v>
      </c>
      <c r="D35" s="121" t="s">
        <v>41</v>
      </c>
      <c r="E35" s="33" t="n">
        <f aca="false">IF(D35="totale",(C35/(A35*24))/F35,IF(D35="marché libre",(C35/(A35*24))/G35,"spécifier histo"))</f>
        <v>0.102322104978355</v>
      </c>
      <c r="F35" s="59" t="n">
        <v>2200</v>
      </c>
      <c r="G35" s="59" t="n">
        <f aca="false">F35-H35</f>
        <v>2200</v>
      </c>
      <c r="H35" s="59" t="n">
        <v>0</v>
      </c>
      <c r="J35" s="183"/>
      <c r="K35" s="0"/>
      <c r="M35" s="0"/>
      <c r="O35" s="0"/>
      <c r="S35" s="0"/>
    </row>
    <row r="36" customFormat="false" ht="19.85" hidden="false" customHeight="true" outlineLevel="0" collapsed="false">
      <c r="A36" s="0" t="n">
        <v>31</v>
      </c>
      <c r="B36" s="31" t="n">
        <v>38777</v>
      </c>
      <c r="C36" s="1" t="n">
        <v>860588</v>
      </c>
      <c r="D36" s="121" t="s">
        <v>41</v>
      </c>
      <c r="E36" s="33" t="n">
        <f aca="false">IF(D36="totale",(C36/(A36*24))/F36,IF(D36="marché libre",(C36/(A36*24))/G36,"spécifier histo"))</f>
        <v>0.52577468230694</v>
      </c>
      <c r="F36" s="59" t="n">
        <v>2200</v>
      </c>
      <c r="G36" s="59" t="n">
        <f aca="false">F36-H36</f>
        <v>2200</v>
      </c>
      <c r="H36" s="59" t="n">
        <v>0</v>
      </c>
      <c r="J36" s="183"/>
      <c r="K36" s="0"/>
      <c r="M36" s="0"/>
      <c r="O36" s="0"/>
      <c r="S36" s="0"/>
    </row>
    <row r="37" customFormat="false" ht="19.85" hidden="false" customHeight="true" outlineLevel="0" collapsed="false">
      <c r="A37" s="0" t="n">
        <v>30</v>
      </c>
      <c r="B37" s="34" t="n">
        <v>38808</v>
      </c>
      <c r="C37" s="1" t="n">
        <v>0</v>
      </c>
      <c r="D37" s="121" t="s">
        <v>41</v>
      </c>
      <c r="E37" s="33" t="n">
        <f aca="false">IF(D37="totale",(C37/(A37*24))/F37,IF(D37="marché libre",(C37/(A37*24))/G37,"spécifier histo"))</f>
        <v>0</v>
      </c>
      <c r="F37" s="59" t="n">
        <v>2200</v>
      </c>
      <c r="G37" s="59" t="n">
        <f aca="false">F37-H37</f>
        <v>2200</v>
      </c>
      <c r="H37" s="59" t="n">
        <v>0</v>
      </c>
      <c r="J37" s="183"/>
      <c r="K37" s="0"/>
      <c r="M37" s="0"/>
      <c r="O37" s="0"/>
      <c r="S37" s="0"/>
    </row>
    <row r="38" customFormat="false" ht="19.85" hidden="false" customHeight="true" outlineLevel="0" collapsed="false">
      <c r="A38" s="0" t="n">
        <v>31</v>
      </c>
      <c r="B38" s="31" t="n">
        <v>38838</v>
      </c>
      <c r="C38" s="1" t="n">
        <v>0</v>
      </c>
      <c r="D38" s="121" t="s">
        <v>41</v>
      </c>
      <c r="E38" s="33" t="n">
        <f aca="false">IF(D38="totale",(C38/(A38*24))/F38,IF(D38="marché libre",(C38/(A38*24))/G38,"spécifier histo"))</f>
        <v>0</v>
      </c>
      <c r="F38" s="59" t="n">
        <v>2200</v>
      </c>
      <c r="G38" s="59" t="n">
        <f aca="false">F38-H38</f>
        <v>2200</v>
      </c>
      <c r="H38" s="59" t="n">
        <v>0</v>
      </c>
      <c r="J38" s="183"/>
      <c r="K38" s="0"/>
      <c r="M38" s="0"/>
      <c r="O38" s="0"/>
      <c r="S38" s="0"/>
    </row>
    <row r="39" customFormat="false" ht="19.85" hidden="false" customHeight="true" outlineLevel="0" collapsed="false">
      <c r="A39" s="0" t="n">
        <v>30</v>
      </c>
      <c r="B39" s="34" t="n">
        <v>38869</v>
      </c>
      <c r="C39" s="1" t="n">
        <v>0</v>
      </c>
      <c r="D39" s="121" t="s">
        <v>41</v>
      </c>
      <c r="E39" s="33" t="n">
        <f aca="false">IF(D39="totale",(C39/(A39*24))/F39,IF(D39="marché libre",(C39/(A39*24))/G39,"spécifier histo"))</f>
        <v>0</v>
      </c>
      <c r="F39" s="59" t="n">
        <v>2200</v>
      </c>
      <c r="G39" s="59" t="n">
        <f aca="false">F39-H39</f>
        <v>2200</v>
      </c>
      <c r="H39" s="59" t="n">
        <v>0</v>
      </c>
      <c r="J39" s="183"/>
      <c r="K39" s="0"/>
      <c r="M39" s="0"/>
      <c r="O39" s="0"/>
      <c r="S39" s="0"/>
    </row>
    <row r="40" customFormat="false" ht="19.85" hidden="false" customHeight="true" outlineLevel="0" collapsed="false">
      <c r="A40" s="0" t="n">
        <v>31</v>
      </c>
      <c r="B40" s="31" t="n">
        <v>38899</v>
      </c>
      <c r="C40" s="1" t="n">
        <v>0</v>
      </c>
      <c r="D40" s="121" t="s">
        <v>41</v>
      </c>
      <c r="E40" s="33" t="n">
        <f aca="false">IF(D40="totale",(C40/(A40*24))/F40,IF(D40="marché libre",(C40/(A40*24))/G40,"spécifier histo"))</f>
        <v>0</v>
      </c>
      <c r="F40" s="59" t="n">
        <v>2200</v>
      </c>
      <c r="G40" s="59" t="n">
        <f aca="false">F40-H40</f>
        <v>2200</v>
      </c>
      <c r="H40" s="59" t="n">
        <v>0</v>
      </c>
      <c r="J40" s="178" t="s">
        <v>217</v>
      </c>
      <c r="K40" s="0"/>
      <c r="M40" s="0"/>
      <c r="O40" s="0"/>
      <c r="S40" s="0"/>
    </row>
    <row r="41" customFormat="false" ht="19.85" hidden="false" customHeight="true" outlineLevel="0" collapsed="false">
      <c r="A41" s="0" t="n">
        <v>31</v>
      </c>
      <c r="B41" s="34" t="n">
        <v>38930</v>
      </c>
      <c r="C41" s="1" t="n">
        <v>0</v>
      </c>
      <c r="D41" s="121" t="s">
        <v>41</v>
      </c>
      <c r="E41" s="33" t="n">
        <f aca="false">IF(D41="totale",(C41/(A41*24))/F41,IF(D41="marché libre",(C41/(A41*24))/G41,"spécifier histo"))</f>
        <v>0</v>
      </c>
      <c r="F41" s="59" t="n">
        <v>2200</v>
      </c>
      <c r="G41" s="59" t="n">
        <f aca="false">F41-H41</f>
        <v>2200</v>
      </c>
      <c r="H41" s="59" t="n">
        <v>0</v>
      </c>
      <c r="J41" s="178" t="s">
        <v>217</v>
      </c>
      <c r="K41" s="0"/>
      <c r="M41" s="0"/>
      <c r="O41" s="0"/>
      <c r="S41" s="0"/>
    </row>
    <row r="42" customFormat="false" ht="19.85" hidden="false" customHeight="true" outlineLevel="0" collapsed="false">
      <c r="A42" s="0" t="n">
        <v>30</v>
      </c>
      <c r="B42" s="31" t="n">
        <v>38961</v>
      </c>
      <c r="C42" s="1" t="n">
        <v>75676</v>
      </c>
      <c r="D42" s="121" t="s">
        <v>41</v>
      </c>
      <c r="E42" s="33" t="n">
        <f aca="false">IF(D42="totale",(C42/(A42*24))/F42,IF(D42="marché libre",(C42/(A42*24))/G42,"spécifier histo"))</f>
        <v>0.0477752525252525</v>
      </c>
      <c r="F42" s="59" t="n">
        <v>2200</v>
      </c>
      <c r="G42" s="59" t="n">
        <f aca="false">F42-H42</f>
        <v>2200</v>
      </c>
      <c r="H42" s="59" t="n">
        <v>0</v>
      </c>
      <c r="J42" s="183"/>
      <c r="K42" s="0"/>
      <c r="M42" s="0"/>
      <c r="O42" s="0"/>
      <c r="S42" s="0"/>
    </row>
    <row r="43" customFormat="false" ht="19.85" hidden="false" customHeight="true" outlineLevel="0" collapsed="false">
      <c r="A43" s="0" t="n">
        <v>31</v>
      </c>
      <c r="B43" s="34" t="n">
        <v>38991</v>
      </c>
      <c r="C43" s="1" t="n">
        <v>243315</v>
      </c>
      <c r="D43" s="121" t="s">
        <v>41</v>
      </c>
      <c r="E43" s="33" t="n">
        <f aca="false">IF(D43="totale",(C43/(A43*24))/F43,IF(D43="marché libre",(C43/(A43*24))/G43,"spécifier histo"))</f>
        <v>0.148652859237537</v>
      </c>
      <c r="F43" s="59" t="n">
        <v>2200</v>
      </c>
      <c r="G43" s="59" t="n">
        <f aca="false">F43-H43</f>
        <v>2200</v>
      </c>
      <c r="H43" s="59" t="n">
        <v>0</v>
      </c>
      <c r="J43" s="183"/>
      <c r="K43" s="0"/>
      <c r="M43" s="0"/>
      <c r="O43" s="0"/>
      <c r="S43" s="0"/>
    </row>
    <row r="44" customFormat="false" ht="19.85" hidden="false" customHeight="true" outlineLevel="0" collapsed="false">
      <c r="A44" s="0" t="n">
        <v>30</v>
      </c>
      <c r="B44" s="31" t="n">
        <v>39022</v>
      </c>
      <c r="C44" s="1" t="n">
        <v>334088</v>
      </c>
      <c r="D44" s="121" t="s">
        <v>41</v>
      </c>
      <c r="E44" s="33" t="n">
        <f aca="false">IF(D44="totale",(C44/(A44*24))/F44,IF(D44="marché libre",(C44/(A44*24))/G44,"spécifier histo"))</f>
        <v>0.210914141414141</v>
      </c>
      <c r="F44" s="59" t="n">
        <v>2200</v>
      </c>
      <c r="G44" s="59" t="n">
        <f aca="false">F44-H44</f>
        <v>2200</v>
      </c>
      <c r="H44" s="59" t="n">
        <v>0</v>
      </c>
      <c r="J44" s="183"/>
      <c r="K44" s="0"/>
      <c r="M44" s="0"/>
      <c r="O44" s="0"/>
      <c r="S44" s="0"/>
    </row>
    <row r="45" customFormat="false" ht="19.85" hidden="false" customHeight="true" outlineLevel="0" collapsed="false">
      <c r="A45" s="0" t="n">
        <v>31</v>
      </c>
      <c r="B45" s="34" t="n">
        <v>39052</v>
      </c>
      <c r="C45" s="1" t="n">
        <v>308262</v>
      </c>
      <c r="D45" s="121" t="s">
        <v>41</v>
      </c>
      <c r="E45" s="33" t="n">
        <f aca="false">IF(D45="totale",(C45/(A45*24))/F45,IF(D45="marché libre",(C45/(A45*24))/G45,"spécifier histo"))</f>
        <v>0.18833211143695</v>
      </c>
      <c r="F45" s="59" t="n">
        <v>2200</v>
      </c>
      <c r="G45" s="59" t="n">
        <f aca="false">F45-H45</f>
        <v>2200</v>
      </c>
      <c r="H45" s="59" t="n">
        <v>0</v>
      </c>
      <c r="J45" s="183"/>
      <c r="K45" s="0"/>
      <c r="M45" s="0"/>
      <c r="O45" s="0"/>
      <c r="S45" s="0"/>
    </row>
    <row r="46" customFormat="false" ht="19.85" hidden="false" customHeight="true" outlineLevel="0" collapsed="false">
      <c r="A46" s="0" t="n">
        <v>31</v>
      </c>
      <c r="B46" s="31" t="n">
        <v>39083</v>
      </c>
      <c r="C46" s="1" t="n">
        <v>609665</v>
      </c>
      <c r="D46" s="121" t="s">
        <v>41</v>
      </c>
      <c r="E46" s="33" t="n">
        <f aca="false">IF(D46="totale",(C46/(A46*24))/F46,IF(D46="marché libre",(C46/(A46*24))/G46,"spécifier histo"))</f>
        <v>0.372473729227761</v>
      </c>
      <c r="F46" s="59" t="n">
        <v>2200</v>
      </c>
      <c r="G46" s="59" t="n">
        <f aca="false">F46-H46</f>
        <v>2200</v>
      </c>
      <c r="H46" s="59" t="n">
        <v>0</v>
      </c>
      <c r="J46" s="183"/>
      <c r="K46" s="0"/>
      <c r="M46" s="0"/>
      <c r="O46" s="0"/>
    </row>
    <row r="47" customFormat="false" ht="19.85" hidden="false" customHeight="true" outlineLevel="0" collapsed="false">
      <c r="A47" s="0" t="n">
        <v>28</v>
      </c>
      <c r="B47" s="34" t="n">
        <v>39114</v>
      </c>
      <c r="C47" s="1" t="n">
        <v>522123</v>
      </c>
      <c r="D47" s="121" t="s">
        <v>41</v>
      </c>
      <c r="E47" s="33" t="n">
        <f aca="false">IF(D47="totale",(C47/(A47*24))/F47,IF(D47="marché libre",(C47/(A47*24))/G47,"spécifier histo"))</f>
        <v>0.353167613636364</v>
      </c>
      <c r="F47" s="59" t="n">
        <v>2200</v>
      </c>
      <c r="G47" s="59" t="n">
        <f aca="false">F47-H47</f>
        <v>2200</v>
      </c>
      <c r="H47" s="59" t="n">
        <v>0</v>
      </c>
      <c r="J47" s="183"/>
      <c r="K47" s="0"/>
      <c r="M47" s="0"/>
      <c r="O47" s="0"/>
    </row>
    <row r="48" customFormat="false" ht="19.85" hidden="false" customHeight="true" outlineLevel="0" collapsed="false">
      <c r="A48" s="0" t="n">
        <v>31</v>
      </c>
      <c r="B48" s="31" t="n">
        <v>39142</v>
      </c>
      <c r="C48" s="1" t="n">
        <v>837598</v>
      </c>
      <c r="D48" s="121" t="s">
        <v>41</v>
      </c>
      <c r="E48" s="33" t="n">
        <f aca="false">IF(D48="totale",(C48/(A48*24))/F48,IF(D48="marché libre",(C48/(A48*24))/G48,"spécifier histo"))</f>
        <v>0.511728983382209</v>
      </c>
      <c r="F48" s="59" t="n">
        <v>2200</v>
      </c>
      <c r="G48" s="59" t="n">
        <f aca="false">F48-H48</f>
        <v>2200</v>
      </c>
      <c r="H48" s="59" t="n">
        <v>0</v>
      </c>
      <c r="J48" s="183"/>
      <c r="K48" s="0"/>
      <c r="M48" s="0"/>
      <c r="O48" s="0"/>
    </row>
    <row r="49" customFormat="false" ht="19.85" hidden="false" customHeight="true" outlineLevel="0" collapsed="false">
      <c r="A49" s="0" t="n">
        <v>30</v>
      </c>
      <c r="B49" s="34" t="n">
        <v>39173</v>
      </c>
      <c r="C49" s="1" t="n">
        <v>858081</v>
      </c>
      <c r="D49" s="121" t="s">
        <v>41</v>
      </c>
      <c r="E49" s="33" t="n">
        <f aca="false">IF(D49="totale",(C49/(A49*24))/F49,IF(D49="marché libre",(C49/(A49*24))/G49,"spécifier histo"))</f>
        <v>0.541717803030303</v>
      </c>
      <c r="F49" s="59" t="n">
        <v>2200</v>
      </c>
      <c r="G49" s="59" t="n">
        <f aca="false">F49-H49</f>
        <v>2200</v>
      </c>
      <c r="H49" s="59" t="n">
        <v>0</v>
      </c>
      <c r="J49" s="183"/>
      <c r="K49" s="0"/>
      <c r="M49" s="0"/>
      <c r="O49" s="0"/>
    </row>
    <row r="50" customFormat="false" ht="19.85" hidden="false" customHeight="true" outlineLevel="0" collapsed="false">
      <c r="A50" s="0" t="n">
        <v>31</v>
      </c>
      <c r="B50" s="31" t="n">
        <v>39203</v>
      </c>
      <c r="C50" s="1" t="n">
        <v>520802</v>
      </c>
      <c r="D50" s="121" t="s">
        <v>41</v>
      </c>
      <c r="E50" s="33" t="n">
        <f aca="false">IF(D50="totale",(C50/(A50*24))/F50,IF(D50="marché libre",(C50/(A50*24))/G50,"spécifier histo"))</f>
        <v>0.318183040078201</v>
      </c>
      <c r="F50" s="59" t="n">
        <v>2200</v>
      </c>
      <c r="G50" s="59" t="n">
        <f aca="false">F50-H50</f>
        <v>2200</v>
      </c>
      <c r="H50" s="59" t="n">
        <v>0</v>
      </c>
      <c r="J50" s="183"/>
      <c r="K50" s="0"/>
      <c r="M50" s="0"/>
      <c r="O50" s="0"/>
    </row>
    <row r="51" customFormat="false" ht="19.85" hidden="false" customHeight="true" outlineLevel="0" collapsed="false">
      <c r="A51" s="0" t="n">
        <v>30</v>
      </c>
      <c r="B51" s="34" t="n">
        <v>39234</v>
      </c>
      <c r="C51" s="1" t="n">
        <v>647488</v>
      </c>
      <c r="D51" s="121" t="s">
        <v>41</v>
      </c>
      <c r="E51" s="33" t="n">
        <f aca="false">IF(D51="totale",(C51/(A51*24))/F51,IF(D51="marché libre",(C51/(A51*24))/G51,"spécifier histo"))</f>
        <v>0.408767676767677</v>
      </c>
      <c r="F51" s="59" t="n">
        <v>2200</v>
      </c>
      <c r="G51" s="59" t="n">
        <f aca="false">F51-H51</f>
        <v>2200</v>
      </c>
      <c r="H51" s="59" t="n">
        <v>0</v>
      </c>
      <c r="J51" s="183"/>
      <c r="K51" s="0"/>
      <c r="M51" s="0"/>
      <c r="O51" s="0"/>
    </row>
    <row r="52" customFormat="false" ht="19.85" hidden="false" customHeight="true" outlineLevel="0" collapsed="false">
      <c r="A52" s="0" t="n">
        <v>31</v>
      </c>
      <c r="B52" s="31" t="n">
        <v>39264</v>
      </c>
      <c r="C52" s="1" t="n">
        <v>0</v>
      </c>
      <c r="D52" s="121" t="s">
        <v>41</v>
      </c>
      <c r="E52" s="33" t="n">
        <f aca="false">IF(D52="totale",(C52/(A52*24))/F52,IF(D52="marché libre",(C52/(A52*24))/G52,"spécifier histo"))</f>
        <v>0</v>
      </c>
      <c r="F52" s="59" t="n">
        <v>2200</v>
      </c>
      <c r="G52" s="59" t="n">
        <f aca="false">F52-H52</f>
        <v>2200</v>
      </c>
      <c r="H52" s="59" t="n">
        <v>0</v>
      </c>
      <c r="J52" s="178" t="s">
        <v>217</v>
      </c>
      <c r="K52" s="0"/>
      <c r="M52" s="0"/>
      <c r="O52" s="0"/>
    </row>
    <row r="53" customFormat="false" ht="19.85" hidden="false" customHeight="true" outlineLevel="0" collapsed="false">
      <c r="A53" s="0" t="n">
        <v>31</v>
      </c>
      <c r="B53" s="34" t="n">
        <v>39295</v>
      </c>
      <c r="C53" s="1" t="n">
        <v>0</v>
      </c>
      <c r="D53" s="121" t="s">
        <v>41</v>
      </c>
      <c r="E53" s="33" t="n">
        <f aca="false">IF(D53="totale",(C53/(A53*24))/F53,IF(D53="marché libre",(C53/(A53*24))/G53,"spécifier histo"))</f>
        <v>0</v>
      </c>
      <c r="F53" s="59" t="n">
        <v>2200</v>
      </c>
      <c r="G53" s="59" t="n">
        <f aca="false">F53-H53</f>
        <v>2200</v>
      </c>
      <c r="H53" s="59" t="n">
        <v>0</v>
      </c>
      <c r="J53" s="178" t="s">
        <v>217</v>
      </c>
      <c r="K53" s="0"/>
      <c r="M53" s="0"/>
      <c r="O53" s="0"/>
    </row>
    <row r="54" customFormat="false" ht="19.85" hidden="false" customHeight="true" outlineLevel="0" collapsed="false">
      <c r="A54" s="0" t="n">
        <v>30</v>
      </c>
      <c r="B54" s="31" t="n">
        <v>39326</v>
      </c>
      <c r="C54" s="1" t="n">
        <v>41685</v>
      </c>
      <c r="D54" s="121" t="s">
        <v>41</v>
      </c>
      <c r="E54" s="33" t="n">
        <f aca="false">IF(D54="totale",(C54/(A54*24))/F54,IF(D54="marché libre",(C54/(A54*24))/G54,"spécifier histo"))</f>
        <v>0.0263162878787879</v>
      </c>
      <c r="F54" s="59" t="n">
        <v>2200</v>
      </c>
      <c r="G54" s="59" t="n">
        <f aca="false">F54-H54</f>
        <v>2200</v>
      </c>
      <c r="H54" s="59" t="n">
        <v>0</v>
      </c>
      <c r="J54" s="183"/>
      <c r="K54" s="0"/>
      <c r="M54" s="0"/>
      <c r="O54" s="0"/>
    </row>
    <row r="55" customFormat="false" ht="19.85" hidden="false" customHeight="true" outlineLevel="0" collapsed="false">
      <c r="A55" s="0" t="n">
        <v>31</v>
      </c>
      <c r="B55" s="34" t="n">
        <v>39356</v>
      </c>
      <c r="C55" s="1" t="n">
        <v>11106</v>
      </c>
      <c r="D55" s="121" t="s">
        <v>41</v>
      </c>
      <c r="E55" s="33" t="n">
        <f aca="false">IF(D55="totale",(C55/(A55*24))/F55,IF(D55="marché libre",(C55/(A55*24))/G55,"spécifier histo"))</f>
        <v>0.00678519061583578</v>
      </c>
      <c r="F55" s="59" t="n">
        <v>2200</v>
      </c>
      <c r="G55" s="59" t="n">
        <f aca="false">F55-H55</f>
        <v>2200</v>
      </c>
      <c r="H55" s="59" t="n">
        <v>0</v>
      </c>
      <c r="J55" s="183"/>
      <c r="K55" s="0"/>
      <c r="M55" s="0"/>
      <c r="O55" s="0"/>
    </row>
    <row r="56" customFormat="false" ht="19.85" hidden="false" customHeight="true" outlineLevel="0" collapsed="false">
      <c r="A56" s="0" t="n">
        <v>30</v>
      </c>
      <c r="B56" s="31" t="n">
        <v>39387</v>
      </c>
      <c r="C56" s="1" t="n">
        <v>233108</v>
      </c>
      <c r="D56" s="121" t="s">
        <v>41</v>
      </c>
      <c r="E56" s="33" t="n">
        <f aca="false">IF(D56="totale",(C56/(A56*24))/F56,IF(D56="marché libre",(C56/(A56*24))/G56,"spécifier histo"))</f>
        <v>0.147164141414141</v>
      </c>
      <c r="F56" s="59" t="n">
        <v>2200</v>
      </c>
      <c r="G56" s="59" t="n">
        <f aca="false">F56-H56</f>
        <v>2200</v>
      </c>
      <c r="H56" s="59" t="n">
        <v>0</v>
      </c>
      <c r="J56" s="183"/>
      <c r="K56" s="0"/>
      <c r="M56" s="0"/>
      <c r="O56" s="0"/>
    </row>
    <row r="57" customFormat="false" ht="19.85" hidden="false" customHeight="true" outlineLevel="0" collapsed="false">
      <c r="A57" s="0" t="n">
        <v>31</v>
      </c>
      <c r="B57" s="34" t="n">
        <v>39417</v>
      </c>
      <c r="C57" s="1" t="n">
        <v>582048</v>
      </c>
      <c r="D57" s="121" t="s">
        <v>41</v>
      </c>
      <c r="E57" s="33" t="n">
        <f aca="false">IF(D57="totale",(C57/(A57*24))/F57,IF(D57="marché libre",(C57/(A57*24))/G57,"spécifier histo"))</f>
        <v>0.355601173020528</v>
      </c>
      <c r="F57" s="59" t="n">
        <v>2200</v>
      </c>
      <c r="G57" s="59" t="n">
        <f aca="false">F57-H57</f>
        <v>2200</v>
      </c>
      <c r="H57" s="59" t="n">
        <v>0</v>
      </c>
      <c r="J57" s="183"/>
      <c r="K57" s="0"/>
      <c r="M57" s="0"/>
      <c r="O57" s="0"/>
    </row>
    <row r="58" customFormat="false" ht="19.85" hidden="false" customHeight="true" outlineLevel="0" collapsed="false">
      <c r="A58" s="0" t="n">
        <v>31</v>
      </c>
      <c r="B58" s="31" t="n">
        <v>39448</v>
      </c>
      <c r="C58" s="1" t="n">
        <v>936967</v>
      </c>
      <c r="D58" s="121" t="s">
        <v>41</v>
      </c>
      <c r="E58" s="33" t="n">
        <f aca="false">IF(D58="totale",(C58/(A58*24))/F58,IF(D58="marché libre",(C58/(A58*24))/G58,"spécifier histo"))</f>
        <v>0.572438294232649</v>
      </c>
      <c r="F58" s="59" t="n">
        <v>2200</v>
      </c>
      <c r="G58" s="59" t="n">
        <f aca="false">F58-H58</f>
        <v>2200</v>
      </c>
      <c r="H58" s="59" t="n">
        <v>0</v>
      </c>
      <c r="J58" s="183"/>
      <c r="K58" s="0"/>
      <c r="M58" s="0"/>
      <c r="O58" s="0"/>
    </row>
    <row r="59" customFormat="false" ht="19.85" hidden="false" customHeight="true" outlineLevel="0" collapsed="false">
      <c r="A59" s="0" t="n">
        <v>28</v>
      </c>
      <c r="B59" s="34" t="n">
        <v>39479</v>
      </c>
      <c r="C59" s="1" t="n">
        <v>156340</v>
      </c>
      <c r="D59" s="121" t="s">
        <v>41</v>
      </c>
      <c r="E59" s="33" t="n">
        <f aca="false">IF(D59="totale",(C59/(A59*24))/F59,IF(D59="marché libre",(C59/(A59*24))/G59,"spécifier histo"))</f>
        <v>0.105749458874459</v>
      </c>
      <c r="F59" s="59" t="n">
        <v>2200</v>
      </c>
      <c r="G59" s="59" t="n">
        <f aca="false">F59-H59</f>
        <v>2200</v>
      </c>
      <c r="H59" s="59" t="n">
        <v>0</v>
      </c>
      <c r="J59" s="183"/>
      <c r="K59" s="0"/>
      <c r="M59" s="0"/>
      <c r="O59" s="0"/>
    </row>
    <row r="60" customFormat="false" ht="19.85" hidden="false" customHeight="true" outlineLevel="0" collapsed="false">
      <c r="A60" s="0" t="n">
        <v>31</v>
      </c>
      <c r="B60" s="31" t="n">
        <v>39508</v>
      </c>
      <c r="C60" s="1" t="n">
        <v>799365</v>
      </c>
      <c r="D60" s="121" t="s">
        <v>41</v>
      </c>
      <c r="E60" s="33" t="n">
        <f aca="false">IF(D60="totale",(C60/(A60*24))/F60,IF(D60="marché libre",(C60/(A60*24))/G60,"spécifier histo"))</f>
        <v>0.48837060117302</v>
      </c>
      <c r="F60" s="59" t="n">
        <v>2200</v>
      </c>
      <c r="G60" s="59" t="n">
        <f aca="false">F60-H60</f>
        <v>2200</v>
      </c>
      <c r="H60" s="59" t="n">
        <v>0</v>
      </c>
      <c r="J60" s="183"/>
      <c r="K60" s="0"/>
      <c r="M60" s="0"/>
      <c r="O60" s="0"/>
    </row>
    <row r="61" customFormat="false" ht="19.85" hidden="false" customHeight="true" outlineLevel="0" collapsed="false">
      <c r="A61" s="0" t="n">
        <v>30</v>
      </c>
      <c r="B61" s="34" t="n">
        <v>39539</v>
      </c>
      <c r="C61" s="1" t="n">
        <v>1388554</v>
      </c>
      <c r="D61" s="121" t="s">
        <v>41</v>
      </c>
      <c r="E61" s="33" t="n">
        <f aca="false">IF(D61="totale",(C61/(A61*24))/F61,IF(D61="marché libre",(C61/(A61*24))/G61,"spécifier histo"))</f>
        <v>0.876612373737374</v>
      </c>
      <c r="F61" s="59" t="n">
        <v>2200</v>
      </c>
      <c r="G61" s="59" t="n">
        <f aca="false">F61-H61</f>
        <v>2200</v>
      </c>
      <c r="H61" s="59" t="n">
        <v>0</v>
      </c>
      <c r="J61" s="183"/>
      <c r="K61" s="0"/>
      <c r="M61" s="0"/>
      <c r="O61" s="0"/>
    </row>
    <row r="62" customFormat="false" ht="19.85" hidden="false" customHeight="true" outlineLevel="0" collapsed="false">
      <c r="A62" s="0" t="n">
        <v>31</v>
      </c>
      <c r="B62" s="31" t="n">
        <v>39569</v>
      </c>
      <c r="C62" s="1" t="n">
        <v>1051825</v>
      </c>
      <c r="D62" s="121" t="s">
        <v>41</v>
      </c>
      <c r="E62" s="33" t="n">
        <f aca="false">IF(D62="totale",(C62/(A62*24))/F62,IF(D62="marché libre",(C62/(A62*24))/G62,"spécifier histo"))</f>
        <v>0.642610581622678</v>
      </c>
      <c r="F62" s="59" t="n">
        <v>2200</v>
      </c>
      <c r="G62" s="59" t="n">
        <f aca="false">F62-H62</f>
        <v>2200</v>
      </c>
      <c r="H62" s="59" t="n">
        <v>0</v>
      </c>
      <c r="J62" s="183"/>
      <c r="K62" s="0"/>
      <c r="M62" s="0"/>
      <c r="O62" s="0"/>
    </row>
    <row r="63" customFormat="false" ht="19.85" hidden="false" customHeight="true" outlineLevel="0" collapsed="false">
      <c r="A63" s="0" t="n">
        <v>30</v>
      </c>
      <c r="B63" s="34" t="n">
        <v>39600</v>
      </c>
      <c r="C63" s="1" t="n">
        <v>753979</v>
      </c>
      <c r="D63" s="121" t="s">
        <v>41</v>
      </c>
      <c r="E63" s="33" t="n">
        <f aca="false">IF(D63="totale",(C63/(A63*24))/F63,IF(D63="marché libre",(C63/(A63*24))/G63,"spécifier histo"))</f>
        <v>0.475996843434343</v>
      </c>
      <c r="F63" s="59" t="n">
        <v>2200</v>
      </c>
      <c r="G63" s="59" t="n">
        <f aca="false">F63-H63</f>
        <v>2200</v>
      </c>
      <c r="H63" s="59" t="n">
        <v>0</v>
      </c>
      <c r="J63" s="183"/>
      <c r="K63" s="0"/>
      <c r="M63" s="0"/>
      <c r="O63" s="0"/>
    </row>
    <row r="64" customFormat="false" ht="19.85" hidden="false" customHeight="true" outlineLevel="0" collapsed="false">
      <c r="A64" s="0" t="n">
        <v>31</v>
      </c>
      <c r="B64" s="31" t="n">
        <v>39630</v>
      </c>
      <c r="C64" s="1" t="n">
        <v>0</v>
      </c>
      <c r="D64" s="121" t="s">
        <v>41</v>
      </c>
      <c r="E64" s="33" t="n">
        <f aca="false">IF(D64="totale",(C64/(A64*24))/F64,IF(D64="marché libre",(C64/(A64*24))/G64,"spécifier histo"))</f>
        <v>0</v>
      </c>
      <c r="F64" s="59" t="n">
        <v>2200</v>
      </c>
      <c r="G64" s="59" t="n">
        <f aca="false">F64-H64</f>
        <v>2200</v>
      </c>
      <c r="H64" s="59" t="n">
        <v>0</v>
      </c>
      <c r="J64" s="178" t="s">
        <v>217</v>
      </c>
      <c r="K64" s="0"/>
      <c r="M64" s="0"/>
    </row>
    <row r="65" customFormat="false" ht="19.85" hidden="false" customHeight="true" outlineLevel="0" collapsed="false">
      <c r="A65" s="0" t="n">
        <v>31</v>
      </c>
      <c r="B65" s="34" t="n">
        <v>39661</v>
      </c>
      <c r="C65" s="1" t="n">
        <v>0</v>
      </c>
      <c r="D65" s="121" t="s">
        <v>41</v>
      </c>
      <c r="E65" s="33" t="n">
        <f aca="false">IF(D65="totale",(C65/(A65*24))/F65,IF(D65="marché libre",(C65/(A65*24))/G65,"spécifier histo"))</f>
        <v>0</v>
      </c>
      <c r="F65" s="59" t="n">
        <v>2200</v>
      </c>
      <c r="G65" s="59" t="n">
        <f aca="false">F65-H65</f>
        <v>2200</v>
      </c>
      <c r="H65" s="59" t="n">
        <v>0</v>
      </c>
      <c r="J65" s="178" t="s">
        <v>217</v>
      </c>
      <c r="K65" s="0"/>
      <c r="M65" s="0"/>
    </row>
    <row r="66" customFormat="false" ht="19.85" hidden="false" customHeight="true" outlineLevel="0" collapsed="false">
      <c r="A66" s="0" t="n">
        <v>30</v>
      </c>
      <c r="B66" s="31" t="n">
        <v>39692</v>
      </c>
      <c r="C66" s="1" t="n">
        <v>330166</v>
      </c>
      <c r="D66" s="121" t="s">
        <v>41</v>
      </c>
      <c r="E66" s="33" t="n">
        <f aca="false">IF(D66="totale",(C66/(A66*24))/F66,IF(D66="marché libre",(C66/(A66*24))/G66,"spécifier histo"))</f>
        <v>0.208438131313131</v>
      </c>
      <c r="F66" s="59" t="n">
        <v>2200</v>
      </c>
      <c r="G66" s="59" t="n">
        <f aca="false">F66-H66</f>
        <v>2200</v>
      </c>
      <c r="H66" s="59" t="n">
        <v>0</v>
      </c>
      <c r="J66" s="183"/>
      <c r="K66" s="0"/>
      <c r="M66" s="0"/>
    </row>
    <row r="67" customFormat="false" ht="19.85" hidden="false" customHeight="true" outlineLevel="0" collapsed="false">
      <c r="A67" s="0" t="n">
        <v>31</v>
      </c>
      <c r="B67" s="34" t="n">
        <v>39722</v>
      </c>
      <c r="C67" s="1" t="n">
        <v>50209</v>
      </c>
      <c r="D67" s="121" t="s">
        <v>41</v>
      </c>
      <c r="E67" s="33" t="n">
        <f aca="false">IF(D67="totale",(C67/(A67*24))/F67,IF(D67="marché libre",(C67/(A67*24))/G67,"spécifier histo"))</f>
        <v>0.0306750977517107</v>
      </c>
      <c r="F67" s="59" t="n">
        <v>2200</v>
      </c>
      <c r="G67" s="59" t="n">
        <f aca="false">F67-H67</f>
        <v>2200</v>
      </c>
      <c r="H67" s="59" t="n">
        <v>0</v>
      </c>
      <c r="J67" s="183"/>
      <c r="K67" s="0"/>
      <c r="M67" s="0"/>
    </row>
    <row r="68" customFormat="false" ht="19.85" hidden="false" customHeight="true" outlineLevel="0" collapsed="false">
      <c r="A68" s="0" t="n">
        <v>30</v>
      </c>
      <c r="B68" s="31" t="n">
        <v>39753</v>
      </c>
      <c r="C68" s="1" t="n">
        <v>824968</v>
      </c>
      <c r="D68" s="121" t="s">
        <v>41</v>
      </c>
      <c r="E68" s="33" t="n">
        <f aca="false">IF(D68="totale",(C68/(A68*24))/F68,IF(D68="marché libre",(C68/(A68*24))/G68,"spécifier histo"))</f>
        <v>0.520813131313131</v>
      </c>
      <c r="F68" s="59" t="n">
        <v>2200</v>
      </c>
      <c r="G68" s="59" t="n">
        <f aca="false">F68-H68</f>
        <v>2200</v>
      </c>
      <c r="H68" s="59" t="n">
        <v>0</v>
      </c>
      <c r="J68" s="183"/>
      <c r="K68" s="0"/>
      <c r="M68" s="0"/>
    </row>
    <row r="69" customFormat="false" ht="19.85" hidden="false" customHeight="true" outlineLevel="0" collapsed="false">
      <c r="A69" s="0" t="n">
        <v>31</v>
      </c>
      <c r="B69" s="34" t="n">
        <v>39783</v>
      </c>
      <c r="C69" s="1" t="n">
        <v>331139</v>
      </c>
      <c r="D69" s="121" t="s">
        <v>41</v>
      </c>
      <c r="E69" s="33" t="n">
        <f aca="false">IF(D69="totale",(C69/(A69*24))/F69,IF(D69="marché libre",(C69/(A69*24))/G69,"spécifier histo"))</f>
        <v>0.202308773216031</v>
      </c>
      <c r="F69" s="59" t="n">
        <v>2200</v>
      </c>
      <c r="G69" s="59" t="n">
        <f aca="false">F69-H69</f>
        <v>2200</v>
      </c>
      <c r="H69" s="59" t="n">
        <v>0</v>
      </c>
      <c r="J69" s="183"/>
      <c r="K69" s="0"/>
      <c r="M69" s="0"/>
    </row>
    <row r="70" customFormat="false" ht="19.85" hidden="false" customHeight="true" outlineLevel="0" collapsed="false">
      <c r="A70" s="0" t="n">
        <v>31</v>
      </c>
      <c r="B70" s="31" t="n">
        <v>39814</v>
      </c>
      <c r="C70" s="1" t="n">
        <v>389984</v>
      </c>
      <c r="D70" s="121" t="s">
        <v>41</v>
      </c>
      <c r="E70" s="33" t="n">
        <f aca="false">IF(D70="totale",(C70/(A70*24))/F70,IF(D70="marché libre",(C70/(A70*24))/G70,"spécifier histo"))</f>
        <v>0.238260019550342</v>
      </c>
      <c r="F70" s="59" t="n">
        <v>2200</v>
      </c>
      <c r="G70" s="59" t="n">
        <f aca="false">F70-H70</f>
        <v>2200</v>
      </c>
      <c r="H70" s="59" t="n">
        <v>0</v>
      </c>
      <c r="J70" s="183"/>
      <c r="K70" s="0"/>
      <c r="M70" s="0"/>
    </row>
    <row r="71" customFormat="false" ht="19.85" hidden="false" customHeight="true" outlineLevel="0" collapsed="false">
      <c r="A71" s="0" t="n">
        <v>28</v>
      </c>
      <c r="B71" s="34" t="n">
        <v>39845</v>
      </c>
      <c r="C71" s="1" t="n">
        <v>480887</v>
      </c>
      <c r="D71" s="121" t="s">
        <v>41</v>
      </c>
      <c r="E71" s="33" t="n">
        <f aca="false">IF(D71="totale",(C71/(A71*24))/F71,IF(D71="marché libre",(C71/(A71*24))/G71,"spécifier histo"))</f>
        <v>0.325275297619048</v>
      </c>
      <c r="F71" s="59" t="n">
        <v>2200</v>
      </c>
      <c r="G71" s="59" t="n">
        <f aca="false">F71-H71</f>
        <v>2200</v>
      </c>
      <c r="H71" s="59" t="n">
        <v>0</v>
      </c>
      <c r="J71" s="183"/>
      <c r="K71" s="0"/>
      <c r="M71" s="0"/>
    </row>
    <row r="72" customFormat="false" ht="19.85" hidden="false" customHeight="true" outlineLevel="0" collapsed="false">
      <c r="A72" s="0" t="n">
        <v>31</v>
      </c>
      <c r="B72" s="31" t="n">
        <v>39873</v>
      </c>
      <c r="C72" s="1" t="n">
        <v>767809</v>
      </c>
      <c r="D72" s="121" t="s">
        <v>41</v>
      </c>
      <c r="E72" s="33" t="n">
        <f aca="false">IF(D72="totale",(C72/(A72*24))/F72,IF(D72="marché libre",(C72/(A72*24))/G72,"spécifier histo"))</f>
        <v>0.469091520039101</v>
      </c>
      <c r="F72" s="59" t="n">
        <v>2200</v>
      </c>
      <c r="G72" s="59" t="n">
        <f aca="false">F72-H72</f>
        <v>2200</v>
      </c>
      <c r="H72" s="59" t="n">
        <v>0</v>
      </c>
      <c r="J72" s="183"/>
      <c r="K72" s="0"/>
      <c r="M72" s="0"/>
    </row>
    <row r="73" customFormat="false" ht="19.85" hidden="false" customHeight="true" outlineLevel="0" collapsed="false">
      <c r="A73" s="0" t="n">
        <v>30</v>
      </c>
      <c r="B73" s="34" t="n">
        <v>39904</v>
      </c>
      <c r="C73" s="1" t="n">
        <v>1307607</v>
      </c>
      <c r="D73" s="121" t="s">
        <v>41</v>
      </c>
      <c r="E73" s="33" t="n">
        <f aca="false">IF(D73="totale",(C73/(A73*24))/F73,IF(D73="marché libre",(C73/(A73*24))/G73,"spécifier histo"))</f>
        <v>0.82550946969697</v>
      </c>
      <c r="F73" s="59" t="n">
        <v>2200</v>
      </c>
      <c r="G73" s="59" t="n">
        <f aca="false">F73-H73</f>
        <v>2200</v>
      </c>
      <c r="H73" s="59" t="n">
        <v>0</v>
      </c>
      <c r="J73" s="183"/>
      <c r="K73" s="0"/>
      <c r="M73" s="0"/>
    </row>
    <row r="74" customFormat="false" ht="19.85" hidden="false" customHeight="true" outlineLevel="0" collapsed="false">
      <c r="A74" s="0" t="n">
        <v>31</v>
      </c>
      <c r="B74" s="31" t="n">
        <v>39934</v>
      </c>
      <c r="C74" s="1" t="n">
        <v>375561</v>
      </c>
      <c r="D74" s="121" t="s">
        <v>41</v>
      </c>
      <c r="E74" s="33" t="n">
        <f aca="false">IF(D74="totale",(C74/(A74*24))/F74,IF(D74="marché libre",(C74/(A74*24))/G74,"spécifier histo"))</f>
        <v>0.229448313782991</v>
      </c>
      <c r="F74" s="59" t="n">
        <v>2200</v>
      </c>
      <c r="G74" s="59" t="n">
        <f aca="false">F74-H74</f>
        <v>2200</v>
      </c>
      <c r="H74" s="59" t="n">
        <v>0</v>
      </c>
      <c r="J74" s="183"/>
      <c r="K74" s="0"/>
      <c r="M74" s="0"/>
    </row>
    <row r="75" customFormat="false" ht="19.85" hidden="false" customHeight="true" outlineLevel="0" collapsed="false">
      <c r="A75" s="0" t="n">
        <v>30</v>
      </c>
      <c r="B75" s="34" t="n">
        <v>39965</v>
      </c>
      <c r="C75" s="1" t="n">
        <v>69515</v>
      </c>
      <c r="D75" s="121" t="s">
        <v>41</v>
      </c>
      <c r="E75" s="33" t="n">
        <f aca="false">IF(D75="totale",(C75/(A75*24))/F75,IF(D75="marché libre",(C75/(A75*24))/G75,"spécifier histo"))</f>
        <v>0.0438857323232323</v>
      </c>
      <c r="F75" s="59" t="n">
        <v>2200</v>
      </c>
      <c r="G75" s="59" t="n">
        <f aca="false">F75-H75</f>
        <v>2200</v>
      </c>
      <c r="H75" s="59" t="n">
        <v>0</v>
      </c>
      <c r="J75" s="183"/>
      <c r="K75" s="0"/>
      <c r="M75" s="0"/>
    </row>
    <row r="76" customFormat="false" ht="19.85" hidden="false" customHeight="true" outlineLevel="0" collapsed="false">
      <c r="A76" s="0" t="n">
        <v>31</v>
      </c>
      <c r="B76" s="31" t="n">
        <v>39995</v>
      </c>
      <c r="C76" s="1" t="n">
        <v>0</v>
      </c>
      <c r="D76" s="121" t="s">
        <v>41</v>
      </c>
      <c r="E76" s="33" t="n">
        <f aca="false">IF(D76="totale",(C76/(A76*24))/F76,IF(D76="marché libre",(C76/(A76*24))/G76,"spécifier histo"))</f>
        <v>0</v>
      </c>
      <c r="F76" s="59" t="n">
        <v>2200</v>
      </c>
      <c r="G76" s="59" t="n">
        <f aca="false">F76-H76</f>
        <v>2200</v>
      </c>
      <c r="H76" s="59" t="n">
        <v>0</v>
      </c>
      <c r="J76" s="178" t="s">
        <v>217</v>
      </c>
      <c r="K76" s="0"/>
      <c r="M76" s="0"/>
    </row>
    <row r="77" customFormat="false" ht="19.85" hidden="false" customHeight="true" outlineLevel="0" collapsed="false">
      <c r="A77" s="0" t="n">
        <v>31</v>
      </c>
      <c r="B77" s="34" t="n">
        <v>40026</v>
      </c>
      <c r="C77" s="1" t="n">
        <v>0</v>
      </c>
      <c r="D77" s="121" t="s">
        <v>41</v>
      </c>
      <c r="E77" s="33" t="n">
        <f aca="false">IF(D77="totale",(C77/(A77*24))/F77,IF(D77="marché libre",(C77/(A77*24))/G77,"spécifier histo"))</f>
        <v>0</v>
      </c>
      <c r="F77" s="59" t="n">
        <v>2200</v>
      </c>
      <c r="G77" s="59" t="n">
        <f aca="false">F77-H77</f>
        <v>2200</v>
      </c>
      <c r="H77" s="59" t="n">
        <v>0</v>
      </c>
      <c r="J77" s="178" t="s">
        <v>217</v>
      </c>
      <c r="K77" s="0"/>
      <c r="M77" s="0"/>
    </row>
    <row r="78" customFormat="false" ht="19.85" hidden="false" customHeight="true" outlineLevel="0" collapsed="false">
      <c r="A78" s="0" t="n">
        <v>30</v>
      </c>
      <c r="B78" s="31" t="n">
        <v>40057</v>
      </c>
      <c r="C78" s="1" t="n">
        <v>0</v>
      </c>
      <c r="D78" s="121" t="s">
        <v>41</v>
      </c>
      <c r="E78" s="33" t="n">
        <f aca="false">IF(D78="totale",(C78/(A78*24))/F78,IF(D78="marché libre",(C78/(A78*24))/G78,"spécifier histo"))</f>
        <v>0</v>
      </c>
      <c r="F78" s="59" t="n">
        <v>2200</v>
      </c>
      <c r="G78" s="59" t="n">
        <f aca="false">F78-H78</f>
        <v>2200</v>
      </c>
      <c r="H78" s="59" t="n">
        <v>0</v>
      </c>
      <c r="J78" s="183"/>
      <c r="K78" s="0"/>
      <c r="M78" s="0"/>
    </row>
    <row r="79" customFormat="false" ht="19.85" hidden="false" customHeight="true" outlineLevel="0" collapsed="false">
      <c r="A79" s="0" t="n">
        <v>31</v>
      </c>
      <c r="B79" s="34" t="n">
        <v>40087</v>
      </c>
      <c r="C79" s="1" t="n">
        <v>41235</v>
      </c>
      <c r="D79" s="121" t="s">
        <v>41</v>
      </c>
      <c r="E79" s="33" t="n">
        <f aca="false">IF(D79="totale",(C79/(A79*24))/F79,IF(D79="marché libre",(C79/(A79*24))/G79,"spécifier histo"))</f>
        <v>0.0251924486803519</v>
      </c>
      <c r="F79" s="59" t="n">
        <v>2200</v>
      </c>
      <c r="G79" s="59" t="n">
        <f aca="false">F79-H79</f>
        <v>2200</v>
      </c>
      <c r="H79" s="59" t="n">
        <v>0</v>
      </c>
      <c r="J79" s="183"/>
      <c r="K79" s="0"/>
      <c r="M79" s="0"/>
    </row>
    <row r="80" customFormat="false" ht="19.85" hidden="false" customHeight="true" outlineLevel="0" collapsed="false">
      <c r="A80" s="0" t="n">
        <v>30</v>
      </c>
      <c r="B80" s="31" t="n">
        <v>40118</v>
      </c>
      <c r="C80" s="1" t="n">
        <v>252174</v>
      </c>
      <c r="D80" s="121" t="s">
        <v>41</v>
      </c>
      <c r="E80" s="33" t="n">
        <f aca="false">IF(D80="totale",(C80/(A80*24))/F80,IF(D80="marché libre",(C80/(A80*24))/G80,"spécifier histo"))</f>
        <v>0.159200757575758</v>
      </c>
      <c r="F80" s="59" t="n">
        <v>2200</v>
      </c>
      <c r="G80" s="59" t="n">
        <f aca="false">F80-H80</f>
        <v>2200</v>
      </c>
      <c r="H80" s="59" t="n">
        <v>0</v>
      </c>
      <c r="J80" s="183"/>
      <c r="K80" s="0"/>
      <c r="M80" s="0"/>
    </row>
    <row r="81" customFormat="false" ht="19.85" hidden="false" customHeight="true" outlineLevel="0" collapsed="false">
      <c r="A81" s="0" t="n">
        <v>31</v>
      </c>
      <c r="B81" s="34" t="n">
        <v>40148</v>
      </c>
      <c r="C81" s="1" t="n">
        <v>702350</v>
      </c>
      <c r="D81" s="121" t="s">
        <v>41</v>
      </c>
      <c r="E81" s="33" t="n">
        <f aca="false">IF(D81="totale",(C81/(A81*24))/F81,IF(D81="marché libre",(C81/(A81*24))/G81,"spécifier histo"))</f>
        <v>0.429099462365591</v>
      </c>
      <c r="F81" s="59" t="n">
        <v>2200</v>
      </c>
      <c r="G81" s="59" t="n">
        <f aca="false">F81-H81</f>
        <v>2200</v>
      </c>
      <c r="H81" s="59" t="n">
        <v>0</v>
      </c>
      <c r="J81" s="183"/>
      <c r="K81" s="0"/>
      <c r="M81" s="0"/>
    </row>
    <row r="82" customFormat="false" ht="19.85" hidden="false" customHeight="true" outlineLevel="0" collapsed="false">
      <c r="A82" s="0" t="n">
        <v>31</v>
      </c>
      <c r="B82" s="31" t="n">
        <v>40179</v>
      </c>
      <c r="C82" s="1" t="n">
        <v>249372</v>
      </c>
      <c r="D82" s="121" t="s">
        <v>41</v>
      </c>
      <c r="E82" s="33" t="n">
        <f aca="false">IF(D82="totale",(C82/(A82*24))/F82,IF(D82="marché libre",(C82/(A82*24))/G82,"spécifier histo"))</f>
        <v>0.152353372434018</v>
      </c>
      <c r="F82" s="59" t="n">
        <v>2200</v>
      </c>
      <c r="G82" s="59" t="n">
        <f aca="false">F82-H82</f>
        <v>2200</v>
      </c>
      <c r="H82" s="59" t="n">
        <v>0</v>
      </c>
      <c r="J82" s="183"/>
      <c r="K82" s="0"/>
      <c r="M82" s="0"/>
    </row>
    <row r="83" customFormat="false" ht="19.85" hidden="false" customHeight="true" outlineLevel="0" collapsed="false">
      <c r="A83" s="0" t="n">
        <v>28</v>
      </c>
      <c r="B83" s="34" t="n">
        <v>40210</v>
      </c>
      <c r="C83" s="1" t="n">
        <v>461370</v>
      </c>
      <c r="D83" s="121" t="s">
        <v>41</v>
      </c>
      <c r="E83" s="33" t="n">
        <f aca="false">IF(D83="totale",(C83/(A83*24))/F83,IF(D83="marché libre",(C83/(A83*24))/G83,"spécifier histo"))</f>
        <v>0.312073863636364</v>
      </c>
      <c r="F83" s="59" t="n">
        <v>2200</v>
      </c>
      <c r="G83" s="59" t="n">
        <f aca="false">F83-H83</f>
        <v>2200</v>
      </c>
      <c r="H83" s="59" t="n">
        <v>0</v>
      </c>
      <c r="J83" s="183"/>
      <c r="K83" s="0"/>
      <c r="M83" s="0"/>
    </row>
    <row r="84" customFormat="false" ht="19.85" hidden="false" customHeight="true" outlineLevel="0" collapsed="false">
      <c r="A84" s="0" t="n">
        <v>31</v>
      </c>
      <c r="B84" s="31" t="n">
        <v>40238</v>
      </c>
      <c r="C84" s="1" t="n">
        <v>893605</v>
      </c>
      <c r="D84" s="121" t="s">
        <v>41</v>
      </c>
      <c r="E84" s="33" t="n">
        <f aca="false">IF(D84="totale",(C84/(A84*24))/F84,IF(D84="marché libre",(C84/(A84*24))/G84,"spécifier histo"))</f>
        <v>0.545946358748778</v>
      </c>
      <c r="F84" s="59" t="n">
        <v>2200</v>
      </c>
      <c r="G84" s="59" t="n">
        <f aca="false">F84-H84</f>
        <v>2200</v>
      </c>
      <c r="H84" s="59" t="n">
        <v>0</v>
      </c>
      <c r="J84" s="183"/>
      <c r="K84" s="0"/>
      <c r="M84" s="0"/>
    </row>
    <row r="85" customFormat="false" ht="19.85" hidden="false" customHeight="true" outlineLevel="0" collapsed="false">
      <c r="A85" s="0" t="n">
        <v>30</v>
      </c>
      <c r="B85" s="34" t="n">
        <v>40269</v>
      </c>
      <c r="C85" s="1" t="n">
        <v>1299476</v>
      </c>
      <c r="D85" s="121" t="s">
        <v>41</v>
      </c>
      <c r="E85" s="33" t="n">
        <f aca="false">IF(D85="totale",(C85/(A85*24))/F85,IF(D85="marché libre",(C85/(A85*24))/G85,"spécifier histo"))</f>
        <v>0.820376262626263</v>
      </c>
      <c r="F85" s="59" t="n">
        <v>2200</v>
      </c>
      <c r="G85" s="59" t="n">
        <f aca="false">F85-H85</f>
        <v>2200</v>
      </c>
      <c r="H85" s="59" t="n">
        <v>0</v>
      </c>
      <c r="J85" s="183"/>
      <c r="K85" s="0"/>
      <c r="M85" s="0"/>
    </row>
    <row r="86" customFormat="false" ht="19.85" hidden="false" customHeight="true" outlineLevel="0" collapsed="false">
      <c r="A86" s="0" t="n">
        <v>31</v>
      </c>
      <c r="B86" s="31" t="n">
        <v>40299</v>
      </c>
      <c r="C86" s="1" t="n">
        <v>918588</v>
      </c>
      <c r="D86" s="121" t="s">
        <v>41</v>
      </c>
      <c r="E86" s="33" t="n">
        <f aca="false">IF(D86="totale",(C86/(A86*24))/F86,IF(D86="marché libre",(C86/(A86*24))/G86,"spécifier histo"))</f>
        <v>0.561209677419355</v>
      </c>
      <c r="F86" s="59" t="n">
        <v>2200</v>
      </c>
      <c r="G86" s="59" t="n">
        <f aca="false">F86-H86</f>
        <v>2200</v>
      </c>
      <c r="H86" s="59" t="n">
        <v>0</v>
      </c>
      <c r="J86" s="183"/>
      <c r="K86" s="0"/>
      <c r="M86" s="0"/>
    </row>
    <row r="87" customFormat="false" ht="19.85" hidden="false" customHeight="true" outlineLevel="0" collapsed="false">
      <c r="A87" s="0" t="n">
        <v>30</v>
      </c>
      <c r="B87" s="34" t="n">
        <v>40330</v>
      </c>
      <c r="C87" s="1" t="n">
        <v>561964</v>
      </c>
      <c r="D87" s="121" t="s">
        <v>41</v>
      </c>
      <c r="E87" s="33" t="n">
        <f aca="false">IF(D87="totale",(C87/(A87*24))/F87,IF(D87="marché libre",(C87/(A87*24))/G87,"spécifier histo"))</f>
        <v>0.354775252525253</v>
      </c>
      <c r="F87" s="59" t="n">
        <v>2200</v>
      </c>
      <c r="G87" s="59" t="n">
        <f aca="false">F87-H87</f>
        <v>2200</v>
      </c>
      <c r="H87" s="59" t="n">
        <v>0</v>
      </c>
      <c r="J87" s="183"/>
      <c r="K87" s="0"/>
      <c r="M87" s="0"/>
    </row>
    <row r="88" customFormat="false" ht="19.85" hidden="false" customHeight="true" outlineLevel="0" collapsed="false">
      <c r="A88" s="0" t="n">
        <v>31</v>
      </c>
      <c r="B88" s="31" t="n">
        <v>40360</v>
      </c>
      <c r="C88" s="1" t="n">
        <v>0</v>
      </c>
      <c r="D88" s="121" t="s">
        <v>41</v>
      </c>
      <c r="E88" s="33" t="n">
        <f aca="false">IF(D88="totale",(C88/(A88*24))/F88,IF(D88="marché libre",(C88/(A88*24))/G88,"spécifier histo"))</f>
        <v>0</v>
      </c>
      <c r="F88" s="59" t="n">
        <v>2200</v>
      </c>
      <c r="G88" s="59" t="n">
        <f aca="false">F88-H88</f>
        <v>2200</v>
      </c>
      <c r="H88" s="59" t="n">
        <v>0</v>
      </c>
      <c r="J88" s="178" t="s">
        <v>217</v>
      </c>
      <c r="K88" s="0"/>
    </row>
    <row r="89" customFormat="false" ht="19.85" hidden="false" customHeight="true" outlineLevel="0" collapsed="false">
      <c r="A89" s="0" t="n">
        <v>31</v>
      </c>
      <c r="B89" s="34" t="n">
        <v>40391</v>
      </c>
      <c r="C89" s="1" t="n">
        <v>0</v>
      </c>
      <c r="D89" s="121" t="s">
        <v>41</v>
      </c>
      <c r="E89" s="33" t="n">
        <f aca="false">IF(D89="totale",(C89/(A89*24))/F89,IF(D89="marché libre",(C89/(A89*24))/G89,"spécifier histo"))</f>
        <v>0</v>
      </c>
      <c r="F89" s="59" t="n">
        <v>2200</v>
      </c>
      <c r="G89" s="59" t="n">
        <f aca="false">F89-H89</f>
        <v>2200</v>
      </c>
      <c r="H89" s="59" t="n">
        <v>0</v>
      </c>
      <c r="J89" s="178" t="s">
        <v>217</v>
      </c>
      <c r="K89" s="0"/>
    </row>
    <row r="90" customFormat="false" ht="19.85" hidden="false" customHeight="true" outlineLevel="0" collapsed="false">
      <c r="A90" s="0" t="n">
        <v>30</v>
      </c>
      <c r="B90" s="31" t="n">
        <v>40422</v>
      </c>
      <c r="C90" s="1" t="n">
        <v>7002</v>
      </c>
      <c r="D90" s="121" t="s">
        <v>41</v>
      </c>
      <c r="E90" s="33" t="n">
        <f aca="false">IF(D90="totale",(C90/(A90*24))/F90,IF(D90="marché libre",(C90/(A90*24))/G90,"spécifier histo"))</f>
        <v>0.00442045454545455</v>
      </c>
      <c r="F90" s="59" t="n">
        <v>2200</v>
      </c>
      <c r="G90" s="59" t="n">
        <f aca="false">F90-H90</f>
        <v>2200</v>
      </c>
      <c r="H90" s="59" t="n">
        <v>0</v>
      </c>
      <c r="J90" s="183"/>
      <c r="K90" s="0"/>
    </row>
    <row r="91" customFormat="false" ht="19.85" hidden="false" customHeight="true" outlineLevel="0" collapsed="false">
      <c r="A91" s="0" t="n">
        <v>31</v>
      </c>
      <c r="B91" s="34" t="n">
        <v>40452</v>
      </c>
      <c r="C91" s="1" t="n">
        <v>39989</v>
      </c>
      <c r="D91" s="121" t="s">
        <v>41</v>
      </c>
      <c r="E91" s="33" t="n">
        <f aca="false">IF(D91="totale",(C91/(A91*24))/F91,IF(D91="marché libre",(C91/(A91*24))/G91,"spécifier histo"))</f>
        <v>0.0244312072336266</v>
      </c>
      <c r="F91" s="59" t="n">
        <v>2200</v>
      </c>
      <c r="G91" s="59" t="n">
        <f aca="false">F91-H91</f>
        <v>2200</v>
      </c>
      <c r="H91" s="59" t="n">
        <v>0</v>
      </c>
      <c r="J91" s="183"/>
      <c r="K91" s="0"/>
    </row>
    <row r="92" customFormat="false" ht="19.85" hidden="false" customHeight="true" outlineLevel="0" collapsed="false">
      <c r="A92" s="0" t="n">
        <v>30</v>
      </c>
      <c r="B92" s="31" t="n">
        <v>40483</v>
      </c>
      <c r="C92" s="1" t="n">
        <v>589773</v>
      </c>
      <c r="D92" s="121" t="s">
        <v>41</v>
      </c>
      <c r="E92" s="33" t="n">
        <f aca="false">IF(D92="totale",(C92/(A92*24))/F92,IF(D92="marché libre",(C92/(A92*24))/G92,"spécifier histo"))</f>
        <v>0.372331439393939</v>
      </c>
      <c r="F92" s="59" t="n">
        <v>2200</v>
      </c>
      <c r="G92" s="59" t="n">
        <f aca="false">F92-H92</f>
        <v>2200</v>
      </c>
      <c r="H92" s="59" t="n">
        <v>0</v>
      </c>
      <c r="J92" s="183"/>
      <c r="K92" s="0"/>
    </row>
    <row r="93" customFormat="false" ht="19.85" hidden="false" customHeight="true" outlineLevel="0" collapsed="false">
      <c r="A93" s="0" t="n">
        <v>31</v>
      </c>
      <c r="B93" s="34" t="n">
        <v>40513</v>
      </c>
      <c r="C93" s="1" t="n">
        <v>622308</v>
      </c>
      <c r="D93" s="121" t="s">
        <v>41</v>
      </c>
      <c r="E93" s="33" t="n">
        <f aca="false">IF(D93="totale",(C93/(A93*24))/F93,IF(D93="marché libre",(C93/(A93*24))/G93,"spécifier histo"))</f>
        <v>0.380197947214076</v>
      </c>
      <c r="F93" s="59" t="n">
        <v>2200</v>
      </c>
      <c r="G93" s="59" t="n">
        <f aca="false">F93-H93</f>
        <v>2200</v>
      </c>
      <c r="H93" s="59" t="n">
        <v>0</v>
      </c>
      <c r="J93" s="183"/>
      <c r="K93" s="0"/>
    </row>
    <row r="94" customFormat="false" ht="19.85" hidden="false" customHeight="true" outlineLevel="0" collapsed="false">
      <c r="A94" s="0" t="n">
        <v>31</v>
      </c>
      <c r="B94" s="31" t="n">
        <v>40544</v>
      </c>
      <c r="C94" s="1" t="n">
        <v>591487</v>
      </c>
      <c r="D94" s="121" t="s">
        <v>41</v>
      </c>
      <c r="E94" s="33" t="n">
        <f aca="false">IF(D94="totale",(C94/(A94*24))/F94,IF(D94="marché libre",(C94/(A94*24))/G94,"spécifier histo"))</f>
        <v>0.361367913000978</v>
      </c>
      <c r="F94" s="59" t="n">
        <v>2200</v>
      </c>
      <c r="G94" s="59" t="n">
        <f aca="false">F94-H94</f>
        <v>2200</v>
      </c>
      <c r="H94" s="59" t="n">
        <v>0</v>
      </c>
      <c r="J94" s="183"/>
      <c r="K94" s="0"/>
    </row>
    <row r="95" customFormat="false" ht="19.85" hidden="false" customHeight="true" outlineLevel="0" collapsed="false">
      <c r="A95" s="0" t="n">
        <v>28</v>
      </c>
      <c r="B95" s="34" t="n">
        <v>40575</v>
      </c>
      <c r="C95" s="1" t="n">
        <v>13893</v>
      </c>
      <c r="D95" s="121" t="s">
        <v>41</v>
      </c>
      <c r="E95" s="33" t="n">
        <f aca="false">IF(D95="totale",(C95/(A95*24))/F95,IF(D95="marché libre",(C95/(A95*24))/G95,"spécifier histo"))</f>
        <v>0.00939732142857143</v>
      </c>
      <c r="F95" s="59" t="n">
        <v>2200</v>
      </c>
      <c r="G95" s="59" t="n">
        <f aca="false">F95-H95</f>
        <v>2200</v>
      </c>
      <c r="H95" s="59" t="n">
        <v>0</v>
      </c>
      <c r="J95" s="183"/>
      <c r="K95" s="0"/>
    </row>
    <row r="96" customFormat="false" ht="19.85" hidden="false" customHeight="true" outlineLevel="0" collapsed="false">
      <c r="A96" s="0" t="n">
        <v>31</v>
      </c>
      <c r="B96" s="31" t="n">
        <v>40603</v>
      </c>
      <c r="C96" s="1" t="n">
        <v>554507</v>
      </c>
      <c r="D96" s="121" t="s">
        <v>41</v>
      </c>
      <c r="E96" s="33" t="n">
        <f aca="false">IF(D96="totale",(C96/(A96*24))/F96,IF(D96="marché libre",(C96/(A96*24))/G96,"spécifier histo"))</f>
        <v>0.338775048875855</v>
      </c>
      <c r="F96" s="59" t="n">
        <v>2200</v>
      </c>
      <c r="G96" s="59" t="n">
        <f aca="false">F96-H96</f>
        <v>2200</v>
      </c>
      <c r="H96" s="59" t="n">
        <v>0</v>
      </c>
      <c r="J96" s="183"/>
      <c r="K96" s="0"/>
    </row>
    <row r="97" customFormat="false" ht="19.85" hidden="false" customHeight="true" outlineLevel="0" collapsed="false">
      <c r="A97" s="0" t="n">
        <v>30</v>
      </c>
      <c r="B97" s="34" t="n">
        <v>40634</v>
      </c>
      <c r="C97" s="1" t="n">
        <v>355748</v>
      </c>
      <c r="D97" s="121" t="s">
        <v>41</v>
      </c>
      <c r="E97" s="33" t="n">
        <f aca="false">IF(D97="totale",(C97/(A97*24))/F97,IF(D97="marché libre",(C97/(A97*24))/G97,"spécifier histo"))</f>
        <v>0.224588383838384</v>
      </c>
      <c r="F97" s="59" t="n">
        <v>2200</v>
      </c>
      <c r="G97" s="59" t="n">
        <f aca="false">F97-H97</f>
        <v>2200</v>
      </c>
      <c r="H97" s="59" t="n">
        <v>0</v>
      </c>
      <c r="J97" s="183"/>
      <c r="K97" s="0"/>
    </row>
    <row r="98" customFormat="false" ht="19.85" hidden="false" customHeight="true" outlineLevel="0" collapsed="false">
      <c r="A98" s="0" t="n">
        <v>31</v>
      </c>
      <c r="B98" s="31" t="n">
        <v>40664</v>
      </c>
      <c r="C98" s="1" t="n">
        <v>0</v>
      </c>
      <c r="D98" s="121" t="s">
        <v>41</v>
      </c>
      <c r="E98" s="33" t="n">
        <f aca="false">IF(D98="totale",(C98/(A98*24))/F98,IF(D98="marché libre",(C98/(A98*24))/G98,"spécifier histo"))</f>
        <v>0</v>
      </c>
      <c r="F98" s="59" t="n">
        <v>2200</v>
      </c>
      <c r="G98" s="59" t="n">
        <f aca="false">F98-H98</f>
        <v>2200</v>
      </c>
      <c r="H98" s="59" t="n">
        <v>0</v>
      </c>
      <c r="J98" s="183"/>
      <c r="K98" s="0"/>
    </row>
    <row r="99" customFormat="false" ht="19.85" hidden="false" customHeight="true" outlineLevel="0" collapsed="false">
      <c r="A99" s="0" t="n">
        <v>30</v>
      </c>
      <c r="B99" s="34" t="n">
        <v>40695</v>
      </c>
      <c r="C99" s="1" t="n">
        <v>0</v>
      </c>
      <c r="D99" s="121" t="s">
        <v>41</v>
      </c>
      <c r="E99" s="33" t="n">
        <f aca="false">IF(D99="totale",(C99/(A99*24))/F99,IF(D99="marché libre",(C99/(A99*24))/G99,"spécifier histo"))</f>
        <v>0</v>
      </c>
      <c r="F99" s="59" t="n">
        <v>2200</v>
      </c>
      <c r="G99" s="59" t="n">
        <f aca="false">F99-H99</f>
        <v>2200</v>
      </c>
      <c r="H99" s="59" t="n">
        <v>0</v>
      </c>
      <c r="J99" s="183"/>
      <c r="K99" s="0"/>
    </row>
    <row r="100" customFormat="false" ht="19.85" hidden="false" customHeight="true" outlineLevel="0" collapsed="false">
      <c r="A100" s="0" t="n">
        <v>31</v>
      </c>
      <c r="B100" s="31" t="n">
        <v>40725</v>
      </c>
      <c r="C100" s="1" t="n">
        <v>0</v>
      </c>
      <c r="D100" s="121" t="s">
        <v>41</v>
      </c>
      <c r="E100" s="33" t="n">
        <f aca="false">IF(D100="totale",(C100/(A100*24))/F100,IF(D100="marché libre",(C100/(A100*24))/G100,"spécifier histo"))</f>
        <v>0</v>
      </c>
      <c r="F100" s="59" t="n">
        <v>2200</v>
      </c>
      <c r="G100" s="59" t="n">
        <f aca="false">F100-H100</f>
        <v>2200</v>
      </c>
      <c r="H100" s="59" t="n">
        <v>0</v>
      </c>
      <c r="J100" s="178" t="s">
        <v>217</v>
      </c>
      <c r="K100" s="0"/>
    </row>
    <row r="101" customFormat="false" ht="19.85" hidden="false" customHeight="true" outlineLevel="0" collapsed="false">
      <c r="A101" s="0" t="n">
        <v>31</v>
      </c>
      <c r="B101" s="34" t="n">
        <v>40756</v>
      </c>
      <c r="C101" s="1" t="n">
        <v>0</v>
      </c>
      <c r="D101" s="121" t="s">
        <v>41</v>
      </c>
      <c r="E101" s="33" t="n">
        <f aca="false">IF(D101="totale",(C101/(A101*24))/F101,IF(D101="marché libre",(C101/(A101*24))/G101,"spécifier histo"))</f>
        <v>0</v>
      </c>
      <c r="F101" s="59" t="n">
        <v>2200</v>
      </c>
      <c r="G101" s="59" t="n">
        <f aca="false">F101-H101</f>
        <v>2200</v>
      </c>
      <c r="H101" s="59" t="n">
        <v>0</v>
      </c>
      <c r="J101" s="178" t="s">
        <v>217</v>
      </c>
      <c r="K101" s="0"/>
    </row>
    <row r="102" customFormat="false" ht="19.85" hidden="false" customHeight="true" outlineLevel="0" collapsed="false">
      <c r="A102" s="0" t="n">
        <v>30</v>
      </c>
      <c r="B102" s="31" t="n">
        <v>40787</v>
      </c>
      <c r="C102" s="1" t="n">
        <v>71457</v>
      </c>
      <c r="D102" s="121" t="s">
        <v>41</v>
      </c>
      <c r="E102" s="33" t="n">
        <f aca="false">IF(D102="totale",(C102/(A102*24))/F102,IF(D102="marché libre",(C102/(A102*24))/G102,"spécifier histo"))</f>
        <v>0.0451117424242424</v>
      </c>
      <c r="F102" s="59" t="n">
        <v>2200</v>
      </c>
      <c r="G102" s="59" t="n">
        <f aca="false">F102-H102</f>
        <v>2200</v>
      </c>
      <c r="H102" s="59" t="n">
        <v>0</v>
      </c>
      <c r="J102" s="183"/>
      <c r="K102" s="0"/>
    </row>
    <row r="103" customFormat="false" ht="19.85" hidden="false" customHeight="true" outlineLevel="0" collapsed="false">
      <c r="A103" s="0" t="n">
        <v>31</v>
      </c>
      <c r="B103" s="34" t="n">
        <v>40817</v>
      </c>
      <c r="C103" s="1" t="n">
        <v>121446</v>
      </c>
      <c r="D103" s="121" t="s">
        <v>41</v>
      </c>
      <c r="E103" s="33" t="n">
        <f aca="false">IF(D103="totale",(C103/(A103*24))/F103,IF(D103="marché libre",(C103/(A103*24))/G103,"spécifier histo"))</f>
        <v>0.0741972140762463</v>
      </c>
      <c r="F103" s="59" t="n">
        <v>2200</v>
      </c>
      <c r="G103" s="59" t="n">
        <f aca="false">F103-H103</f>
        <v>2200</v>
      </c>
      <c r="H103" s="59" t="n">
        <v>0</v>
      </c>
      <c r="J103" s="183"/>
      <c r="K103" s="0"/>
    </row>
    <row r="104" customFormat="false" ht="19.85" hidden="false" customHeight="true" outlineLevel="0" collapsed="false">
      <c r="A104" s="0" t="n">
        <v>30</v>
      </c>
      <c r="B104" s="31" t="n">
        <v>40848</v>
      </c>
      <c r="C104" s="1" t="n">
        <v>308189</v>
      </c>
      <c r="D104" s="121" t="s">
        <v>41</v>
      </c>
      <c r="E104" s="33" t="n">
        <f aca="false">IF(D104="totale",(C104/(A104*24))/F104,IF(D104="marché libre",(C104/(A104*24))/G104,"spécifier histo"))</f>
        <v>0.194563762626263</v>
      </c>
      <c r="F104" s="59" t="n">
        <v>2200</v>
      </c>
      <c r="G104" s="59" t="n">
        <f aca="false">F104-H104</f>
        <v>2200</v>
      </c>
      <c r="H104" s="59" t="n">
        <v>0</v>
      </c>
      <c r="J104" s="183"/>
      <c r="K104" s="0"/>
    </row>
    <row r="105" customFormat="false" ht="19.85" hidden="false" customHeight="true" outlineLevel="0" collapsed="false">
      <c r="A105" s="0" t="n">
        <v>31</v>
      </c>
      <c r="B105" s="34" t="n">
        <v>40878</v>
      </c>
      <c r="C105" s="1" t="n">
        <v>913644</v>
      </c>
      <c r="D105" s="121" t="s">
        <v>41</v>
      </c>
      <c r="E105" s="33" t="n">
        <f aca="false">IF(D105="totale",(C105/(A105*24))/F105,IF(D105="marché libre",(C105/(A105*24))/G105,"spécifier histo"))</f>
        <v>0.558189149560117</v>
      </c>
      <c r="F105" s="59" t="n">
        <v>2200</v>
      </c>
      <c r="G105" s="59" t="n">
        <f aca="false">F105-H105</f>
        <v>2200</v>
      </c>
      <c r="H105" s="59" t="n">
        <v>0</v>
      </c>
      <c r="J105" s="183"/>
      <c r="K105" s="0"/>
    </row>
    <row r="106" customFormat="false" ht="19.85" hidden="false" customHeight="true" outlineLevel="0" collapsed="false">
      <c r="A106" s="0" t="n">
        <v>31</v>
      </c>
      <c r="B106" s="31" t="n">
        <v>40909</v>
      </c>
      <c r="C106" s="1" t="n">
        <v>836011</v>
      </c>
      <c r="D106" s="121" t="s">
        <v>41</v>
      </c>
      <c r="E106" s="33" t="n">
        <f aca="false">IF(D106="totale",(C106/(A106*24))/F106,IF(D106="marché libre",(C106/(A106*24))/G106,"spécifier histo"))</f>
        <v>0.510759408602151</v>
      </c>
      <c r="F106" s="59" t="n">
        <v>2200</v>
      </c>
      <c r="G106" s="59" t="n">
        <f aca="false">F106-H106</f>
        <v>2200</v>
      </c>
      <c r="H106" s="59" t="n">
        <v>0</v>
      </c>
      <c r="J106" s="183"/>
      <c r="K106" s="0"/>
    </row>
    <row r="107" customFormat="false" ht="19.85" hidden="false" customHeight="true" outlineLevel="0" collapsed="false">
      <c r="A107" s="0" t="n">
        <v>28</v>
      </c>
      <c r="B107" s="34" t="n">
        <v>40940</v>
      </c>
      <c r="C107" s="1" t="n">
        <v>67444</v>
      </c>
      <c r="D107" s="121" t="s">
        <v>41</v>
      </c>
      <c r="E107" s="33" t="n">
        <f aca="false">IF(D107="totale",(C107/(A107*24))/F107,IF(D107="marché libre",(C107/(A107*24))/G107,"spécifier histo"))</f>
        <v>0.0456195887445888</v>
      </c>
      <c r="F107" s="59" t="n">
        <v>2200</v>
      </c>
      <c r="G107" s="59" t="n">
        <f aca="false">F107-H107</f>
        <v>2200</v>
      </c>
      <c r="H107" s="59" t="n">
        <v>0</v>
      </c>
      <c r="J107" s="183"/>
      <c r="K107" s="0"/>
    </row>
    <row r="108" customFormat="false" ht="19.85" hidden="false" customHeight="true" outlineLevel="0" collapsed="false">
      <c r="A108" s="0" t="n">
        <v>31</v>
      </c>
      <c r="B108" s="31" t="n">
        <v>40969</v>
      </c>
      <c r="C108" s="1" t="n">
        <v>1296432</v>
      </c>
      <c r="D108" s="121" t="s">
        <v>41</v>
      </c>
      <c r="E108" s="33" t="n">
        <f aca="false">IF(D108="totale",(C108/(A108*24))/F108,IF(D108="marché libre",(C108/(A108*24))/G108,"spécifier histo"))</f>
        <v>0.792052785923754</v>
      </c>
      <c r="F108" s="59" t="n">
        <v>2200</v>
      </c>
      <c r="G108" s="59" t="n">
        <f aca="false">F108-H108</f>
        <v>2200</v>
      </c>
      <c r="H108" s="59" t="n">
        <v>0</v>
      </c>
      <c r="J108" s="183"/>
      <c r="K108" s="0"/>
    </row>
    <row r="109" customFormat="false" ht="19.85" hidden="false" customHeight="true" outlineLevel="0" collapsed="false">
      <c r="A109" s="0" t="n">
        <v>30</v>
      </c>
      <c r="B109" s="34" t="n">
        <v>41000</v>
      </c>
      <c r="C109" s="1" t="n">
        <v>1118282</v>
      </c>
      <c r="D109" s="121" t="s">
        <v>41</v>
      </c>
      <c r="E109" s="33" t="n">
        <f aca="false">IF(D109="totale",(C109/(A109*24))/F109,IF(D109="marché libre",(C109/(A109*24))/G109,"spécifier histo"))</f>
        <v>0.705986111111111</v>
      </c>
      <c r="F109" s="59" t="n">
        <v>2200</v>
      </c>
      <c r="G109" s="59" t="n">
        <f aca="false">F109-H109</f>
        <v>2200</v>
      </c>
      <c r="H109" s="59" t="n">
        <v>0</v>
      </c>
      <c r="J109" s="183"/>
      <c r="K109" s="0"/>
    </row>
    <row r="110" customFormat="false" ht="19.85" hidden="false" customHeight="true" outlineLevel="0" collapsed="false">
      <c r="A110" s="0" t="n">
        <v>31</v>
      </c>
      <c r="B110" s="31" t="n">
        <v>41030</v>
      </c>
      <c r="C110" s="1" t="n">
        <v>970876</v>
      </c>
      <c r="D110" s="121" t="s">
        <v>41</v>
      </c>
      <c r="E110" s="33" t="n">
        <f aca="false">IF(D110="totale",(C110/(A110*24))/F110,IF(D110="marché libre",(C110/(A110*24))/G110,"spécifier histo"))</f>
        <v>0.593154936461388</v>
      </c>
      <c r="F110" s="59" t="n">
        <v>2200</v>
      </c>
      <c r="G110" s="59" t="n">
        <f aca="false">F110-H110</f>
        <v>2200</v>
      </c>
      <c r="H110" s="59" t="n">
        <v>0</v>
      </c>
      <c r="J110" s="183"/>
      <c r="K110" s="0"/>
    </row>
    <row r="111" customFormat="false" ht="19.85" hidden="false" customHeight="true" outlineLevel="0" collapsed="false">
      <c r="A111" s="0" t="n">
        <v>30</v>
      </c>
      <c r="B111" s="34" t="n">
        <v>41061</v>
      </c>
      <c r="C111" s="1" t="n">
        <v>130482</v>
      </c>
      <c r="D111" s="121" t="s">
        <v>41</v>
      </c>
      <c r="E111" s="33" t="n">
        <f aca="false">IF(D111="totale",(C111/(A111*24))/F111,IF(D111="marché libre",(C111/(A111*24))/G111,"spécifier histo"))</f>
        <v>0.082375</v>
      </c>
      <c r="F111" s="59" t="n">
        <v>2200</v>
      </c>
      <c r="G111" s="59" t="n">
        <f aca="false">F111-H111</f>
        <v>2200</v>
      </c>
      <c r="H111" s="59" t="n">
        <v>0</v>
      </c>
      <c r="J111" s="183"/>
      <c r="K111" s="0"/>
    </row>
    <row r="112" customFormat="false" ht="19.85" hidden="false" customHeight="true" outlineLevel="0" collapsed="false">
      <c r="A112" s="0" t="n">
        <v>31</v>
      </c>
      <c r="B112" s="31" t="n">
        <v>41091</v>
      </c>
      <c r="C112" s="1" t="n">
        <v>0</v>
      </c>
      <c r="D112" s="121" t="s">
        <v>41</v>
      </c>
      <c r="E112" s="33" t="n">
        <f aca="false">IF(D112="totale",(C112/(A112*24))/F112,IF(D112="marché libre",(C112/(A112*24))/G112,"spécifier histo"))</f>
        <v>0</v>
      </c>
      <c r="F112" s="59" t="n">
        <v>2200</v>
      </c>
      <c r="G112" s="59" t="n">
        <f aca="false">F112-H112</f>
        <v>2200</v>
      </c>
      <c r="H112" s="59" t="n">
        <v>0</v>
      </c>
      <c r="J112" s="178" t="s">
        <v>217</v>
      </c>
    </row>
    <row r="113" customFormat="false" ht="19.85" hidden="false" customHeight="true" outlineLevel="0" collapsed="false">
      <c r="A113" s="0" t="n">
        <v>31</v>
      </c>
      <c r="B113" s="34" t="n">
        <v>41122</v>
      </c>
      <c r="C113" s="1" t="n">
        <v>0</v>
      </c>
      <c r="D113" s="121" t="s">
        <v>41</v>
      </c>
      <c r="E113" s="33" t="n">
        <f aca="false">IF(D113="totale",(C113/(A113*24))/F113,IF(D113="marché libre",(C113/(A113*24))/G113,"spécifier histo"))</f>
        <v>0</v>
      </c>
      <c r="F113" s="59" t="n">
        <v>2200</v>
      </c>
      <c r="G113" s="59" t="n">
        <f aca="false">F113-H113</f>
        <v>2200</v>
      </c>
      <c r="H113" s="59" t="n">
        <v>0</v>
      </c>
      <c r="J113" s="178" t="s">
        <v>217</v>
      </c>
    </row>
    <row r="114" customFormat="false" ht="19.85" hidden="false" customHeight="true" outlineLevel="0" collapsed="false">
      <c r="A114" s="0" t="n">
        <v>30</v>
      </c>
      <c r="B114" s="31" t="n">
        <v>41153</v>
      </c>
      <c r="C114" s="1" t="n">
        <v>0</v>
      </c>
      <c r="D114" s="121" t="s">
        <v>41</v>
      </c>
      <c r="E114" s="33" t="n">
        <f aca="false">IF(D114="totale",(C114/(A114*24))/F114,IF(D114="marché libre",(C114/(A114*24))/G114,"spécifier histo"))</f>
        <v>0</v>
      </c>
      <c r="F114" s="59" t="n">
        <v>2200</v>
      </c>
      <c r="G114" s="59" t="n">
        <f aca="false">F114-H114</f>
        <v>2200</v>
      </c>
      <c r="H114" s="59" t="n">
        <v>0</v>
      </c>
      <c r="J114" s="183"/>
    </row>
    <row r="115" customFormat="false" ht="19.85" hidden="false" customHeight="true" outlineLevel="0" collapsed="false">
      <c r="A115" s="0" t="n">
        <v>31</v>
      </c>
      <c r="B115" s="34" t="n">
        <v>41183</v>
      </c>
      <c r="C115" s="1" t="n">
        <v>60591</v>
      </c>
      <c r="D115" s="121" t="s">
        <v>41</v>
      </c>
      <c r="E115" s="33" t="n">
        <f aca="false">IF(D115="totale",(C115/(A115*24))/F115,IF(D115="marché libre",(C115/(A115*24))/G115,"spécifier histo"))</f>
        <v>0.0370179618768328</v>
      </c>
      <c r="F115" s="59" t="n">
        <v>2200</v>
      </c>
      <c r="G115" s="59" t="n">
        <f aca="false">F115-H115</f>
        <v>2200</v>
      </c>
      <c r="H115" s="59" t="n">
        <v>0</v>
      </c>
      <c r="J115" s="183"/>
    </row>
    <row r="116" customFormat="false" ht="19.85" hidden="false" customHeight="true" outlineLevel="0" collapsed="false">
      <c r="A116" s="0" t="n">
        <v>30</v>
      </c>
      <c r="B116" s="31" t="n">
        <v>41214</v>
      </c>
      <c r="C116" s="1" t="n">
        <v>765539</v>
      </c>
      <c r="D116" s="121" t="s">
        <v>41</v>
      </c>
      <c r="E116" s="33" t="n">
        <f aca="false">IF(D116="totale",(C116/(A116*24))/F116,IF(D116="marché libre",(C116/(A116*24))/G116,"spécifier histo"))</f>
        <v>0.483294823232323</v>
      </c>
      <c r="F116" s="59" t="n">
        <v>2200</v>
      </c>
      <c r="G116" s="59" t="n">
        <f aca="false">F116-H116</f>
        <v>2200</v>
      </c>
      <c r="H116" s="59" t="n">
        <v>0</v>
      </c>
      <c r="J116" s="183"/>
    </row>
    <row r="117" customFormat="false" ht="19.85" hidden="false" customHeight="true" outlineLevel="0" collapsed="false">
      <c r="A117" s="0" t="n">
        <v>31</v>
      </c>
      <c r="B117" s="34" t="n">
        <v>41244</v>
      </c>
      <c r="C117" s="1" t="n">
        <v>1191999</v>
      </c>
      <c r="D117" s="121" t="s">
        <v>41</v>
      </c>
      <c r="E117" s="33" t="n">
        <f aca="false">IF(D117="totale",(C117/(A117*24))/F117,IF(D117="marché libre",(C117/(A117*24))/G117,"spécifier histo"))</f>
        <v>0.728249633431085</v>
      </c>
      <c r="F117" s="59" t="n">
        <v>2200</v>
      </c>
      <c r="G117" s="59" t="n">
        <f aca="false">F117-H117</f>
        <v>2200</v>
      </c>
      <c r="H117" s="59" t="n">
        <v>0</v>
      </c>
      <c r="J117" s="183"/>
    </row>
    <row r="118" customFormat="false" ht="19.85" hidden="false" customHeight="true" outlineLevel="0" collapsed="false">
      <c r="A118" s="0" t="n">
        <v>31</v>
      </c>
      <c r="B118" s="31" t="n">
        <v>41275</v>
      </c>
      <c r="C118" s="1" t="n">
        <v>569872</v>
      </c>
      <c r="D118" s="121" t="s">
        <v>41</v>
      </c>
      <c r="E118" s="33" t="n">
        <f aca="false">IF(D118="totale",(C118/(A118*24))/F118,IF(D118="marché libre",(C118/(A118*24))/G118,"spécifier histo"))</f>
        <v>0.348162267839687</v>
      </c>
      <c r="F118" s="59" t="n">
        <v>2200</v>
      </c>
      <c r="G118" s="59" t="n">
        <f aca="false">F118-H118</f>
        <v>2200</v>
      </c>
      <c r="H118" s="59" t="n">
        <v>0</v>
      </c>
      <c r="J118" s="183"/>
    </row>
    <row r="119" customFormat="false" ht="19.85" hidden="false" customHeight="true" outlineLevel="0" collapsed="false">
      <c r="A119" s="0" t="n">
        <v>28</v>
      </c>
      <c r="B119" s="34" t="n">
        <v>41306</v>
      </c>
      <c r="C119" s="1" t="n">
        <v>356493</v>
      </c>
      <c r="D119" s="121" t="s">
        <v>41</v>
      </c>
      <c r="E119" s="33" t="n">
        <f aca="false">IF(D119="totale",(C119/(A119*24))/F119,IF(D119="marché libre",(C119/(A119*24))/G119,"spécifier histo"))</f>
        <v>0.241134334415584</v>
      </c>
      <c r="F119" s="59" t="n">
        <v>2200</v>
      </c>
      <c r="G119" s="59" t="n">
        <f aca="false">F119-H119</f>
        <v>2200</v>
      </c>
      <c r="H119" s="59" t="n">
        <v>0</v>
      </c>
      <c r="J119" s="183"/>
    </row>
    <row r="120" customFormat="false" ht="19.85" hidden="false" customHeight="true" outlineLevel="0" collapsed="false">
      <c r="A120" s="0" t="n">
        <v>31</v>
      </c>
      <c r="B120" s="31" t="n">
        <v>41334</v>
      </c>
      <c r="C120" s="1" t="n">
        <v>956581</v>
      </c>
      <c r="D120" s="121" t="s">
        <v>41</v>
      </c>
      <c r="E120" s="33" t="n">
        <f aca="false">IF(D120="totale",(C120/(A120*24))/F120,IF(D120="marché libre",(C120/(A120*24))/G120,"spécifier histo"))</f>
        <v>0.584421432062561</v>
      </c>
      <c r="F120" s="59" t="n">
        <v>2200</v>
      </c>
      <c r="G120" s="59" t="n">
        <f aca="false">F120-H120</f>
        <v>2200</v>
      </c>
      <c r="H120" s="59" t="n">
        <v>0</v>
      </c>
      <c r="J120" s="183"/>
    </row>
    <row r="121" customFormat="false" ht="19.85" hidden="false" customHeight="true" outlineLevel="0" collapsed="false">
      <c r="A121" s="0" t="n">
        <v>30</v>
      </c>
      <c r="B121" s="34" t="n">
        <v>41365</v>
      </c>
      <c r="C121" s="1" t="n">
        <v>1375728</v>
      </c>
      <c r="D121" s="121" t="s">
        <v>41</v>
      </c>
      <c r="E121" s="33" t="n">
        <f aca="false">IF(D121="totale",(C121/(A121*24))/F121,IF(D121="marché libre",(C121/(A121*24))/G121,"spécifier histo"))</f>
        <v>0.868515151515152</v>
      </c>
      <c r="F121" s="59" t="n">
        <v>2200</v>
      </c>
      <c r="G121" s="59" t="n">
        <f aca="false">F121-H121</f>
        <v>2200</v>
      </c>
      <c r="H121" s="59" t="n">
        <v>0</v>
      </c>
      <c r="J121" s="183"/>
    </row>
    <row r="122" customFormat="false" ht="19.85" hidden="false" customHeight="true" outlineLevel="0" collapsed="false">
      <c r="A122" s="0" t="n">
        <v>31</v>
      </c>
      <c r="B122" s="31" t="n">
        <v>41395</v>
      </c>
      <c r="C122" s="1" t="n">
        <v>1428289</v>
      </c>
      <c r="D122" s="121" t="s">
        <v>41</v>
      </c>
      <c r="E122" s="33" t="n">
        <f aca="false">IF(D122="totale",(C122/(A122*24))/F122,IF(D122="marché libre",(C122/(A122*24))/G122,"spécifier histo"))</f>
        <v>0.872610581622678</v>
      </c>
      <c r="F122" s="59" t="n">
        <v>2200</v>
      </c>
      <c r="G122" s="59" t="n">
        <f aca="false">F122-H122</f>
        <v>2200</v>
      </c>
      <c r="H122" s="59" t="n">
        <v>0</v>
      </c>
      <c r="J122" s="183"/>
    </row>
    <row r="123" customFormat="false" ht="19.85" hidden="false" customHeight="true" outlineLevel="0" collapsed="false">
      <c r="A123" s="0" t="n">
        <v>30</v>
      </c>
      <c r="B123" s="34" t="n">
        <v>41426</v>
      </c>
      <c r="C123" s="1" t="n">
        <v>542372</v>
      </c>
      <c r="D123" s="121" t="s">
        <v>41</v>
      </c>
      <c r="E123" s="33" t="n">
        <f aca="false">IF(D123="totale",(C123/(A123*24))/F123,IF(D123="marché libre",(C123/(A123*24))/G123,"spécifier histo"))</f>
        <v>0.342406565656566</v>
      </c>
      <c r="F123" s="59" t="n">
        <v>2200</v>
      </c>
      <c r="G123" s="59" t="n">
        <f aca="false">F123-H123</f>
        <v>2200</v>
      </c>
      <c r="H123" s="59" t="n">
        <v>0</v>
      </c>
      <c r="J123" s="183"/>
    </row>
    <row r="124" customFormat="false" ht="19.85" hidden="false" customHeight="true" outlineLevel="0" collapsed="false">
      <c r="A124" s="0" t="n">
        <v>31</v>
      </c>
      <c r="B124" s="31" t="n">
        <v>41456</v>
      </c>
      <c r="C124" s="1" t="n">
        <v>0</v>
      </c>
      <c r="D124" s="121" t="s">
        <v>41</v>
      </c>
      <c r="E124" s="33" t="n">
        <f aca="false">IF(D124="totale",(C124/(A124*24))/F124,IF(D124="marché libre",(C124/(A124*24))/G124,"spécifier histo"))</f>
        <v>0</v>
      </c>
      <c r="F124" s="59" t="n">
        <v>2200</v>
      </c>
      <c r="G124" s="59" t="n">
        <f aca="false">F124-H124</f>
        <v>2200</v>
      </c>
      <c r="H124" s="59" t="n">
        <v>0</v>
      </c>
      <c r="J124" s="178" t="s">
        <v>217</v>
      </c>
    </row>
    <row r="125" customFormat="false" ht="19.85" hidden="false" customHeight="true" outlineLevel="0" collapsed="false">
      <c r="A125" s="0" t="n">
        <v>31</v>
      </c>
      <c r="B125" s="34" t="n">
        <v>41487</v>
      </c>
      <c r="C125" s="1" t="n">
        <v>0</v>
      </c>
      <c r="D125" s="121" t="s">
        <v>41</v>
      </c>
      <c r="E125" s="33" t="n">
        <f aca="false">IF(D125="totale",(C125/(A125*24))/F125,IF(D125="marché libre",(C125/(A125*24))/G125,"spécifier histo"))</f>
        <v>0</v>
      </c>
      <c r="F125" s="59" t="n">
        <v>2200</v>
      </c>
      <c r="G125" s="59" t="n">
        <f aca="false">F125-H125</f>
        <v>2200</v>
      </c>
      <c r="H125" s="59" t="n">
        <v>0</v>
      </c>
      <c r="J125" s="178" t="s">
        <v>217</v>
      </c>
    </row>
    <row r="126" customFormat="false" ht="19.85" hidden="false" customHeight="true" outlineLevel="0" collapsed="false">
      <c r="A126" s="0" t="n">
        <v>30</v>
      </c>
      <c r="B126" s="31" t="n">
        <v>41518</v>
      </c>
      <c r="C126" s="1" t="n">
        <v>0</v>
      </c>
      <c r="D126" s="121" t="s">
        <v>41</v>
      </c>
      <c r="E126" s="33" t="n">
        <f aca="false">IF(D126="totale",(C126/(A126*24))/F126,IF(D126="marché libre",(C126/(A126*24))/G126,"spécifier histo"))</f>
        <v>0</v>
      </c>
      <c r="F126" s="59" t="n">
        <v>2200</v>
      </c>
      <c r="G126" s="59" t="n">
        <f aca="false">F126-H126</f>
        <v>2200</v>
      </c>
      <c r="H126" s="59" t="n">
        <v>0</v>
      </c>
      <c r="J126" s="183"/>
      <c r="L126" s="181" t="s">
        <v>218</v>
      </c>
      <c r="M126" s="181"/>
      <c r="N126" s="181"/>
      <c r="O126" s="181"/>
      <c r="P126" s="181"/>
      <c r="Q126" s="181"/>
      <c r="R126" s="181"/>
      <c r="S126" s="181"/>
    </row>
    <row r="127" customFormat="false" ht="19.85" hidden="false" customHeight="true" outlineLevel="0" collapsed="false">
      <c r="A127" s="0" t="n">
        <v>31</v>
      </c>
      <c r="B127" s="34" t="n">
        <v>41548</v>
      </c>
      <c r="C127" s="1" t="n">
        <v>386400</v>
      </c>
      <c r="D127" s="121" t="s">
        <v>41</v>
      </c>
      <c r="E127" s="33" t="n">
        <f aca="false">IF(D127="totale",(C127/(A127*24))/F127,IF(D127="marché libre",(C127/(A127*24))/G127,"spécifier histo"))</f>
        <v>0.236070381231672</v>
      </c>
      <c r="F127" s="59" t="n">
        <v>2200</v>
      </c>
      <c r="G127" s="59" t="n">
        <f aca="false">F127-H127</f>
        <v>2200</v>
      </c>
      <c r="H127" s="59" t="n">
        <v>0</v>
      </c>
      <c r="J127" s="183"/>
      <c r="L127" s="181"/>
      <c r="M127" s="181"/>
      <c r="N127" s="181"/>
      <c r="O127" s="181"/>
      <c r="P127" s="181"/>
      <c r="Q127" s="181"/>
      <c r="R127" s="181"/>
      <c r="S127" s="181"/>
    </row>
    <row r="128" customFormat="false" ht="19.85" hidden="false" customHeight="true" outlineLevel="0" collapsed="false">
      <c r="A128" s="0" t="n">
        <v>30</v>
      </c>
      <c r="B128" s="31" t="n">
        <v>41579</v>
      </c>
      <c r="C128" s="1" t="n">
        <v>752609</v>
      </c>
      <c r="D128" s="121" t="s">
        <v>41</v>
      </c>
      <c r="E128" s="33" t="n">
        <f aca="false">IF(D128="totale",(C128/(A128*24))/F128,IF(D128="marché libre",(C128/(A128*24))/G128,"spécifier histo"))</f>
        <v>0.475131944444444</v>
      </c>
      <c r="F128" s="59" t="n">
        <v>2200</v>
      </c>
      <c r="G128" s="59" t="n">
        <f aca="false">F128-H128</f>
        <v>2200</v>
      </c>
      <c r="H128" s="59" t="n">
        <v>0</v>
      </c>
      <c r="J128" s="183"/>
      <c r="L128" s="181"/>
      <c r="M128" s="181"/>
      <c r="N128" s="181"/>
      <c r="O128" s="181"/>
      <c r="P128" s="181"/>
      <c r="Q128" s="181"/>
      <c r="R128" s="181"/>
      <c r="S128" s="181"/>
    </row>
    <row r="129" customFormat="false" ht="19.85" hidden="false" customHeight="true" outlineLevel="0" collapsed="false">
      <c r="A129" s="0" t="n">
        <v>31</v>
      </c>
      <c r="B129" s="34" t="n">
        <v>41609</v>
      </c>
      <c r="C129" s="1" t="n">
        <v>567776</v>
      </c>
      <c r="D129" s="121" t="s">
        <v>41</v>
      </c>
      <c r="E129" s="33" t="n">
        <f aca="false">IF(D129="totale",(C129/(A129*24))/F129,IF(D129="marché libre",(C129/(A129*24))/G129,"spécifier histo"))</f>
        <v>0.346881720430107</v>
      </c>
      <c r="F129" s="59" t="n">
        <v>2200</v>
      </c>
      <c r="G129" s="59" t="n">
        <f aca="false">F129-H129</f>
        <v>2200</v>
      </c>
      <c r="H129" s="59" t="n">
        <v>0</v>
      </c>
      <c r="J129" s="183"/>
      <c r="L129" s="181"/>
      <c r="M129" s="181"/>
      <c r="N129" s="181"/>
      <c r="O129" s="181"/>
      <c r="P129" s="181"/>
      <c r="Q129" s="181"/>
      <c r="R129" s="181"/>
      <c r="S129" s="181"/>
    </row>
    <row r="130" customFormat="false" ht="19.85" hidden="false" customHeight="true" outlineLevel="0" collapsed="false">
      <c r="A130" s="0" t="n">
        <v>31</v>
      </c>
      <c r="B130" s="31" t="n">
        <v>41640</v>
      </c>
      <c r="C130" s="1" t="n">
        <v>1137117</v>
      </c>
      <c r="D130" s="121" t="s">
        <v>41</v>
      </c>
      <c r="E130" s="33" t="n">
        <f aca="false">IF(D130="totale",(C130/(A130*24))/F130,IF(D130="marché libre",(C130/(A130*24))/G130,"spécifier histo"))</f>
        <v>0.694719574780059</v>
      </c>
      <c r="F130" s="228" t="n">
        <v>2200</v>
      </c>
      <c r="G130" s="228" t="n">
        <f aca="false">F130-H130</f>
        <v>2200</v>
      </c>
      <c r="H130" s="228" t="n">
        <v>0</v>
      </c>
      <c r="J130" s="183"/>
      <c r="L130" s="181"/>
      <c r="M130" s="181"/>
      <c r="N130" s="181"/>
      <c r="O130" s="181"/>
      <c r="P130" s="181"/>
      <c r="Q130" s="181"/>
      <c r="R130" s="181"/>
      <c r="S130" s="181"/>
    </row>
    <row r="131" customFormat="false" ht="19.85" hidden="false" customHeight="true" outlineLevel="0" collapsed="false">
      <c r="A131" s="0" t="n">
        <v>28</v>
      </c>
      <c r="B131" s="34" t="n">
        <v>41671</v>
      </c>
      <c r="C131" s="1" t="n">
        <v>957916</v>
      </c>
      <c r="D131" s="121" t="s">
        <v>41</v>
      </c>
      <c r="E131" s="33" t="n">
        <f aca="false">IF(D131="totale",(C131/(A131*24))/F131,IF(D131="marché libre",(C131/(A131*24))/G131,"spécifier histo"))</f>
        <v>0.647941017316017</v>
      </c>
      <c r="F131" s="59" t="n">
        <v>2200</v>
      </c>
      <c r="G131" s="59" t="n">
        <f aca="false">F131-H131</f>
        <v>2200</v>
      </c>
      <c r="H131" s="59" t="n">
        <v>0</v>
      </c>
      <c r="J131" s="183"/>
      <c r="L131" s="181"/>
      <c r="M131" s="181"/>
      <c r="N131" s="181"/>
      <c r="O131" s="181"/>
      <c r="P131" s="181"/>
      <c r="Q131" s="181"/>
      <c r="R131" s="181"/>
      <c r="S131" s="181"/>
    </row>
    <row r="132" customFormat="false" ht="19.85" hidden="false" customHeight="true" outlineLevel="0" collapsed="false">
      <c r="A132" s="0" t="n">
        <v>31</v>
      </c>
      <c r="B132" s="31" t="n">
        <v>41699</v>
      </c>
      <c r="C132" s="1" t="n">
        <v>1196587</v>
      </c>
      <c r="D132" s="121" t="s">
        <v>41</v>
      </c>
      <c r="E132" s="33" t="n">
        <f aca="false">IF(D132="totale",(C132/(A132*24))/F132,IF(D132="marché libre",(C132/(A132*24))/G132,"spécifier histo"))</f>
        <v>0.731052663734115</v>
      </c>
      <c r="F132" s="59" t="n">
        <v>2200</v>
      </c>
      <c r="G132" s="59" t="n">
        <f aca="false">F132-H132</f>
        <v>2200</v>
      </c>
      <c r="H132" s="59" t="n">
        <v>0</v>
      </c>
      <c r="J132" s="183"/>
      <c r="L132" s="181"/>
      <c r="M132" s="181"/>
      <c r="N132" s="181"/>
      <c r="O132" s="181"/>
      <c r="P132" s="181"/>
      <c r="Q132" s="181"/>
      <c r="R132" s="181"/>
      <c r="S132" s="181"/>
    </row>
    <row r="133" customFormat="false" ht="19.85" hidden="false" customHeight="true" outlineLevel="0" collapsed="false">
      <c r="A133" s="0" t="n">
        <v>30</v>
      </c>
      <c r="B133" s="34" t="n">
        <v>41730</v>
      </c>
      <c r="C133" s="1" t="n">
        <v>864880</v>
      </c>
      <c r="D133" s="121" t="s">
        <v>41</v>
      </c>
      <c r="E133" s="33" t="n">
        <f aca="false">IF(D133="totale",(C133/(A133*24))/F133,IF(D133="marché libre",(C133/(A133*24))/G133,"spécifier histo"))</f>
        <v>0.546010101010101</v>
      </c>
      <c r="F133" s="59" t="n">
        <v>2200</v>
      </c>
      <c r="G133" s="59" t="n">
        <f aca="false">F133-H133</f>
        <v>2200</v>
      </c>
      <c r="H133" s="59" t="n">
        <v>0</v>
      </c>
      <c r="J133" s="183"/>
    </row>
    <row r="134" customFormat="false" ht="19.85" hidden="false" customHeight="true" outlineLevel="0" collapsed="false">
      <c r="A134" s="0" t="n">
        <v>31</v>
      </c>
      <c r="B134" s="31" t="n">
        <v>41760</v>
      </c>
      <c r="C134" s="1" t="n">
        <v>607693</v>
      </c>
      <c r="D134" s="121" t="s">
        <v>41</v>
      </c>
      <c r="E134" s="33" t="n">
        <f aca="false">IF(D134="totale",(C134/(A134*24))/F134,IF(D134="marché libre",(C134/(A134*24))/G134,"spécifier histo"))</f>
        <v>0.371268939393939</v>
      </c>
      <c r="F134" s="59" t="n">
        <v>2200</v>
      </c>
      <c r="G134" s="59" t="n">
        <f aca="false">F134-H134</f>
        <v>2200</v>
      </c>
      <c r="H134" s="59" t="n">
        <v>0</v>
      </c>
      <c r="J134" s="183"/>
    </row>
    <row r="135" customFormat="false" ht="19.85" hidden="false" customHeight="true" outlineLevel="0" collapsed="false">
      <c r="A135" s="0" t="n">
        <v>30</v>
      </c>
      <c r="B135" s="34" t="n">
        <v>41791</v>
      </c>
      <c r="C135" s="1" t="n">
        <v>8184</v>
      </c>
      <c r="D135" s="121" t="s">
        <v>41</v>
      </c>
      <c r="E135" s="33" t="n">
        <f aca="false">IF(D135="totale",(C135/(A135*24))/F135,IF(D135="marché libre",(C135/(A135*24))/G135,"spécifier histo"))</f>
        <v>0.00516666666666667</v>
      </c>
      <c r="F135" s="59" t="n">
        <v>2200</v>
      </c>
      <c r="G135" s="59" t="n">
        <f aca="false">F135-H135</f>
        <v>2200</v>
      </c>
      <c r="H135" s="59" t="n">
        <v>0</v>
      </c>
      <c r="J135" s="183"/>
    </row>
    <row r="136" customFormat="false" ht="19.85" hidden="false" customHeight="true" outlineLevel="0" collapsed="false">
      <c r="A136" s="0" t="n">
        <v>31</v>
      </c>
      <c r="B136" s="31" t="n">
        <v>41821</v>
      </c>
      <c r="C136" s="56" t="n">
        <v>0</v>
      </c>
      <c r="D136" s="121" t="s">
        <v>41</v>
      </c>
      <c r="E136" s="33" t="n">
        <f aca="false">IF(D136="totale",(C136/(A136*24))/F136,IF(D136="marché libre",(C136/(A136*24))/G136,"spécifier histo"))</f>
        <v>0</v>
      </c>
      <c r="F136" s="59" t="n">
        <v>2200</v>
      </c>
      <c r="G136" s="59" t="n">
        <f aca="false">F136-H136</f>
        <v>2200</v>
      </c>
      <c r="H136" s="59" t="n">
        <v>0</v>
      </c>
      <c r="J136" s="178" t="s">
        <v>217</v>
      </c>
    </row>
    <row r="137" customFormat="false" ht="19.85" hidden="false" customHeight="true" outlineLevel="0" collapsed="false">
      <c r="A137" s="0" t="n">
        <v>31</v>
      </c>
      <c r="B137" s="34" t="n">
        <v>41852</v>
      </c>
      <c r="C137" s="56" t="n">
        <v>0</v>
      </c>
      <c r="D137" s="121" t="s">
        <v>41</v>
      </c>
      <c r="E137" s="33" t="n">
        <f aca="false">IF(D137="totale",(C137/(A137*24))/F137,IF(D137="marché libre",(C137/(A137*24))/G137,"spécifier histo"))</f>
        <v>0</v>
      </c>
      <c r="F137" s="59" t="n">
        <v>2200</v>
      </c>
      <c r="G137" s="59" t="n">
        <f aca="false">F137-H137</f>
        <v>2200</v>
      </c>
      <c r="H137" s="59" t="n">
        <v>0</v>
      </c>
      <c r="J137" s="178" t="s">
        <v>217</v>
      </c>
    </row>
    <row r="138" customFormat="false" ht="19.85" hidden="false" customHeight="true" outlineLevel="0" collapsed="false">
      <c r="A138" s="0" t="n">
        <v>30</v>
      </c>
      <c r="B138" s="31" t="n">
        <v>41883</v>
      </c>
      <c r="C138" s="56" t="n">
        <v>0</v>
      </c>
      <c r="D138" s="121" t="s">
        <v>41</v>
      </c>
      <c r="E138" s="33" t="n">
        <f aca="false">IF(D138="totale",(C138/(A138*24))/F138,IF(D138="marché libre",(C138/(A138*24))/G138,"spécifier histo"))</f>
        <v>0</v>
      </c>
      <c r="F138" s="59" t="n">
        <v>2200</v>
      </c>
      <c r="G138" s="59" t="n">
        <f aca="false">F138-H138</f>
        <v>2200</v>
      </c>
      <c r="H138" s="59" t="n">
        <v>0</v>
      </c>
      <c r="J138" s="183"/>
    </row>
    <row r="139" customFormat="false" ht="19.85" hidden="false" customHeight="true" outlineLevel="0" collapsed="false">
      <c r="A139" s="0" t="n">
        <v>31</v>
      </c>
      <c r="B139" s="34" t="n">
        <v>41913</v>
      </c>
      <c r="C139" s="56" t="n">
        <v>265075</v>
      </c>
      <c r="D139" s="121" t="s">
        <v>41</v>
      </c>
      <c r="E139" s="33" t="n">
        <f aca="false">IF(D139="totale",(C139/(A139*24))/F139,IF(D139="marché libre",(C139/(A139*24))/G139,"spécifier histo"))</f>
        <v>0.161947091886608</v>
      </c>
      <c r="F139" s="59" t="n">
        <v>2200</v>
      </c>
      <c r="G139" s="59" t="n">
        <f aca="false">F139-H139</f>
        <v>2200</v>
      </c>
      <c r="H139" s="59" t="n">
        <v>0</v>
      </c>
      <c r="J139" s="183"/>
    </row>
    <row r="140" customFormat="false" ht="19.85" hidden="false" customHeight="true" outlineLevel="0" collapsed="false">
      <c r="A140" s="0" t="n">
        <v>30</v>
      </c>
      <c r="B140" s="31" t="n">
        <v>41944</v>
      </c>
      <c r="C140" s="56" t="n">
        <v>191885.5</v>
      </c>
      <c r="D140" s="121" t="s">
        <v>41</v>
      </c>
      <c r="E140" s="33" t="n">
        <f aca="false">IF(D140="totale",(C140/(A140*24))/F140,IF(D140="marché libre",(C140/(A140*24))/G140,"spécifier histo"))</f>
        <v>0.121139835858586</v>
      </c>
      <c r="F140" s="59" t="n">
        <v>2200</v>
      </c>
      <c r="G140" s="59" t="n">
        <f aca="false">F140-H140</f>
        <v>2200</v>
      </c>
      <c r="H140" s="59" t="n">
        <v>0</v>
      </c>
      <c r="J140" s="183"/>
    </row>
    <row r="141" customFormat="false" ht="19.85" hidden="false" customHeight="true" outlineLevel="0" collapsed="false">
      <c r="A141" s="0" t="n">
        <v>31</v>
      </c>
      <c r="B141" s="34" t="n">
        <v>41974</v>
      </c>
      <c r="C141" s="56" t="n">
        <v>483667</v>
      </c>
      <c r="D141" s="121" t="s">
        <v>41</v>
      </c>
      <c r="E141" s="33" t="n">
        <f aca="false">IF(D141="totale",(C141/(A141*24))/F141,IF(D141="marché libre",(C141/(A141*24))/G141,"spécifier histo"))</f>
        <v>0.295495478983382</v>
      </c>
      <c r="F141" s="59" t="n">
        <v>2200</v>
      </c>
      <c r="G141" s="59" t="n">
        <f aca="false">F141-H141</f>
        <v>2200</v>
      </c>
      <c r="H141" s="59" t="n">
        <v>0</v>
      </c>
      <c r="J141" s="183"/>
    </row>
    <row r="142" customFormat="false" ht="19.85" hidden="false" customHeight="true" outlineLevel="0" collapsed="false">
      <c r="A142" s="0" t="n">
        <v>31</v>
      </c>
      <c r="B142" s="229" t="n">
        <v>42005</v>
      </c>
      <c r="C142" s="230" t="n">
        <v>582608</v>
      </c>
      <c r="D142" s="231" t="s">
        <v>42</v>
      </c>
      <c r="E142" s="118" t="n">
        <f aca="false">IF(D142="totale",(C142/(A142*24))/F142,IF(D142="marché libre",(C142/(A142*24))/G142,"spécifier histo"))</f>
        <v>0.35594330400782</v>
      </c>
      <c r="F142" s="232" t="n">
        <v>2200</v>
      </c>
      <c r="G142" s="232" t="n">
        <f aca="false">F142-H142</f>
        <v>2200</v>
      </c>
      <c r="H142" s="232" t="n">
        <v>0</v>
      </c>
      <c r="J142" s="183"/>
      <c r="M142" s="0"/>
      <c r="N142" s="0"/>
      <c r="O142" s="0"/>
      <c r="P142" s="0"/>
    </row>
    <row r="143" customFormat="false" ht="19.85" hidden="false" customHeight="true" outlineLevel="0" collapsed="false">
      <c r="A143" s="0" t="n">
        <v>28</v>
      </c>
      <c r="B143" s="34" t="n">
        <v>42036</v>
      </c>
      <c r="C143" s="1" t="n">
        <v>143092</v>
      </c>
      <c r="D143" s="233" t="s">
        <v>42</v>
      </c>
      <c r="E143" s="33" t="n">
        <f aca="false">IF(D143="totale",(C143/(A143*24))/F143,IF(D143="marché libre",(C143/(A143*24))/G143,"spécifier histo"))</f>
        <v>0.0967884199134199</v>
      </c>
      <c r="F143" s="59" t="n">
        <v>2200</v>
      </c>
      <c r="G143" s="59" t="n">
        <f aca="false">F143-H143</f>
        <v>2200</v>
      </c>
      <c r="H143" s="59" t="n">
        <v>0</v>
      </c>
      <c r="J143" s="183"/>
      <c r="M143" s="0"/>
      <c r="N143" s="0"/>
      <c r="O143" s="0"/>
      <c r="P143" s="0"/>
    </row>
    <row r="144" customFormat="false" ht="19.85" hidden="false" customHeight="true" outlineLevel="0" collapsed="false">
      <c r="A144" s="0" t="n">
        <v>31</v>
      </c>
      <c r="B144" s="31" t="n">
        <v>42064</v>
      </c>
      <c r="C144" s="56" t="n">
        <v>1212736</v>
      </c>
      <c r="D144" s="233" t="s">
        <v>42</v>
      </c>
      <c r="E144" s="33" t="n">
        <f aca="false">IF(D144="totale",(C144/(A144*24))/F144,IF(D144="marché libre",(C144/(A144*24))/G144,"spécifier histo"))</f>
        <v>0.740918866080156</v>
      </c>
      <c r="F144" s="59" t="n">
        <v>2200</v>
      </c>
      <c r="G144" s="59" t="n">
        <f aca="false">F144-H144</f>
        <v>2200</v>
      </c>
      <c r="H144" s="59" t="n">
        <v>0</v>
      </c>
      <c r="J144" s="183"/>
      <c r="M144" s="0"/>
      <c r="N144" s="0"/>
      <c r="O144" s="0"/>
      <c r="P144" s="0"/>
    </row>
    <row r="145" customFormat="false" ht="19.85" hidden="false" customHeight="true" outlineLevel="0" collapsed="false">
      <c r="A145" s="0" t="n">
        <v>30</v>
      </c>
      <c r="B145" s="34" t="n">
        <v>42095</v>
      </c>
      <c r="C145" s="56" t="n">
        <v>1031334</v>
      </c>
      <c r="D145" s="233" t="s">
        <v>42</v>
      </c>
      <c r="E145" s="33" t="n">
        <f aca="false">IF(D145="totale",(C145/(A145*24))/F145,IF(D145="marché libre",(C145/(A145*24))/G145,"spécifier histo"))</f>
        <v>0.651094696969697</v>
      </c>
      <c r="F145" s="59" t="n">
        <v>2200</v>
      </c>
      <c r="G145" s="59" t="n">
        <f aca="false">F145-H145</f>
        <v>2200</v>
      </c>
      <c r="H145" s="59" t="n">
        <v>0</v>
      </c>
      <c r="J145" s="183"/>
      <c r="M145" s="0"/>
      <c r="N145" s="0"/>
      <c r="O145" s="0"/>
      <c r="P145" s="0"/>
    </row>
    <row r="146" customFormat="false" ht="19.85" hidden="false" customHeight="true" outlineLevel="0" collapsed="false">
      <c r="A146" s="0" t="n">
        <v>31</v>
      </c>
      <c r="B146" s="31" t="n">
        <v>42125</v>
      </c>
      <c r="C146" s="1" t="n">
        <v>321152</v>
      </c>
      <c r="D146" s="233" t="s">
        <v>42</v>
      </c>
      <c r="E146" s="33" t="n">
        <f aca="false">IF(D146="totale",(C146/(A146*24))/F146,IF(D146="marché libre",(C146/(A146*24))/G146,"spécifier histo"))</f>
        <v>0.196207233626588</v>
      </c>
      <c r="F146" s="59" t="n">
        <v>2200</v>
      </c>
      <c r="G146" s="59" t="n">
        <f aca="false">F146-H146</f>
        <v>2200</v>
      </c>
      <c r="H146" s="59" t="n">
        <v>0</v>
      </c>
      <c r="J146" s="183"/>
      <c r="K146" s="63"/>
      <c r="M146" s="0"/>
      <c r="N146" s="0"/>
      <c r="O146" s="0"/>
      <c r="P146" s="0"/>
    </row>
    <row r="147" customFormat="false" ht="19.85" hidden="false" customHeight="true" outlineLevel="0" collapsed="false">
      <c r="A147" s="0" t="n">
        <v>30</v>
      </c>
      <c r="B147" s="34" t="n">
        <v>42156</v>
      </c>
      <c r="C147" s="1" t="n">
        <v>251524</v>
      </c>
      <c r="D147" s="233" t="s">
        <v>42</v>
      </c>
      <c r="E147" s="33" t="n">
        <f aca="false">IF(D147="totale",(C147/(A147*24))/F147,IF(D147="marché libre",(C147/(A147*24))/G147,"spécifier histo"))</f>
        <v>0.158790404040404</v>
      </c>
      <c r="F147" s="59" t="n">
        <v>2200</v>
      </c>
      <c r="G147" s="59" t="n">
        <f aca="false">F147-H147</f>
        <v>2200</v>
      </c>
      <c r="H147" s="59" t="n">
        <v>0</v>
      </c>
      <c r="J147" s="183"/>
      <c r="K147" s="63"/>
      <c r="M147" s="0"/>
      <c r="N147" s="0"/>
      <c r="O147" s="0"/>
      <c r="P147" s="0"/>
    </row>
    <row r="148" customFormat="false" ht="19.85" hidden="false" customHeight="true" outlineLevel="0" collapsed="false">
      <c r="A148" s="0" t="n">
        <v>31</v>
      </c>
      <c r="B148" s="31" t="n">
        <v>42186</v>
      </c>
      <c r="C148" s="56" t="n">
        <v>0</v>
      </c>
      <c r="D148" s="233" t="s">
        <v>42</v>
      </c>
      <c r="E148" s="33" t="n">
        <f aca="false">IF(D148="totale",(C148/(A148*24))/F148,IF(D148="marché libre",(C148/(A148*24))/G148,"spécifier histo"))</f>
        <v>0</v>
      </c>
      <c r="F148" s="59" t="n">
        <v>2200</v>
      </c>
      <c r="G148" s="59" t="n">
        <f aca="false">F148-H148</f>
        <v>2200</v>
      </c>
      <c r="H148" s="59" t="n">
        <v>0</v>
      </c>
      <c r="J148" s="178" t="s">
        <v>217</v>
      </c>
      <c r="K148" s="63"/>
      <c r="M148" s="0"/>
      <c r="N148" s="0"/>
      <c r="O148" s="0"/>
      <c r="P148" s="0"/>
    </row>
    <row r="149" customFormat="false" ht="19.85" hidden="false" customHeight="true" outlineLevel="0" collapsed="false">
      <c r="A149" s="0" t="n">
        <v>31</v>
      </c>
      <c r="B149" s="34" t="n">
        <v>42217</v>
      </c>
      <c r="C149" s="56" t="n">
        <v>0</v>
      </c>
      <c r="D149" s="233" t="s">
        <v>42</v>
      </c>
      <c r="E149" s="33" t="n">
        <f aca="false">IF(D149="totale",(C149/(A149*24))/F149,IF(D149="marché libre",(C149/(A149*24))/G149,"spécifier histo"))</f>
        <v>0</v>
      </c>
      <c r="F149" s="59" t="n">
        <v>2200</v>
      </c>
      <c r="G149" s="59" t="n">
        <f aca="false">F149-H149</f>
        <v>2200</v>
      </c>
      <c r="H149" s="59" t="n">
        <v>0</v>
      </c>
      <c r="J149" s="178" t="s">
        <v>217</v>
      </c>
      <c r="M149" s="0"/>
      <c r="N149" s="0"/>
      <c r="O149" s="0"/>
      <c r="P149" s="0"/>
    </row>
    <row r="150" customFormat="false" ht="19.85" hidden="false" customHeight="true" outlineLevel="0" collapsed="false">
      <c r="A150" s="0" t="n">
        <v>30</v>
      </c>
      <c r="B150" s="31" t="n">
        <v>42248</v>
      </c>
      <c r="C150" s="1" t="n">
        <v>0</v>
      </c>
      <c r="D150" s="233" t="s">
        <v>42</v>
      </c>
      <c r="E150" s="33" t="n">
        <f aca="false">IF(D150="totale",(C150/(A150*24))/F150,IF(D150="marché libre",(C150/(A150*24))/G150,"spécifier histo"))</f>
        <v>0</v>
      </c>
      <c r="F150" s="59" t="n">
        <v>2200</v>
      </c>
      <c r="G150" s="59" t="n">
        <f aca="false">F150-H150</f>
        <v>2200</v>
      </c>
      <c r="H150" s="59" t="n">
        <v>0</v>
      </c>
      <c r="J150" s="183"/>
      <c r="M150" s="0"/>
      <c r="N150" s="0"/>
      <c r="O150" s="0"/>
      <c r="P150" s="0"/>
    </row>
    <row r="151" customFormat="false" ht="19.85" hidden="false" customHeight="true" outlineLevel="0" collapsed="false">
      <c r="A151" s="0" t="n">
        <v>31</v>
      </c>
      <c r="B151" s="34" t="n">
        <v>42278</v>
      </c>
      <c r="C151" s="1" t="n">
        <v>265845</v>
      </c>
      <c r="D151" s="233" t="s">
        <v>42</v>
      </c>
      <c r="E151" s="33" t="n">
        <f aca="false">IF(D151="totale",(C151/(A151*24))/F151,IF(D151="marché libre",(C151/(A151*24))/G151,"spécifier histo"))</f>
        <v>0.162417521994135</v>
      </c>
      <c r="F151" s="59" t="n">
        <v>2200</v>
      </c>
      <c r="G151" s="59" t="n">
        <f aca="false">F151-H151</f>
        <v>2200</v>
      </c>
      <c r="H151" s="59" t="n">
        <v>0</v>
      </c>
      <c r="J151" s="183"/>
      <c r="M151" s="0"/>
      <c r="N151" s="0"/>
      <c r="O151" s="0"/>
      <c r="P151" s="0"/>
    </row>
    <row r="152" customFormat="false" ht="19.85" hidden="false" customHeight="true" outlineLevel="0" collapsed="false">
      <c r="A152" s="0" t="n">
        <v>30</v>
      </c>
      <c r="B152" s="31" t="n">
        <v>42309</v>
      </c>
      <c r="C152" s="56" t="n">
        <v>192646</v>
      </c>
      <c r="D152" s="233" t="s">
        <v>42</v>
      </c>
      <c r="E152" s="33" t="n">
        <f aca="false">IF(D152="totale",(C152/(A152*24))/F152,IF(D152="marché libre",(C152/(A152*24))/G152,"spécifier histo"))</f>
        <v>0.121619949494949</v>
      </c>
      <c r="F152" s="59" t="n">
        <v>2200</v>
      </c>
      <c r="G152" s="59" t="n">
        <f aca="false">F152-H152</f>
        <v>2200</v>
      </c>
      <c r="H152" s="59" t="n">
        <v>0</v>
      </c>
      <c r="J152" s="183"/>
      <c r="M152" s="0"/>
      <c r="N152" s="0"/>
      <c r="O152" s="0"/>
      <c r="P152" s="0"/>
    </row>
    <row r="153" customFormat="false" ht="19.85" hidden="false" customHeight="true" outlineLevel="0" collapsed="false">
      <c r="A153" s="0" t="n">
        <v>31</v>
      </c>
      <c r="B153" s="34" t="n">
        <v>42339</v>
      </c>
      <c r="C153" s="56" t="n">
        <v>482138</v>
      </c>
      <c r="D153" s="233" t="s">
        <v>42</v>
      </c>
      <c r="E153" s="33" t="n">
        <f aca="false">IF(D153="totale",(C153/(A153*24))/F153,IF(D153="marché libre",(C153/(A153*24))/G153,"spécifier histo"))</f>
        <v>0.294561339198436</v>
      </c>
      <c r="F153" s="59" t="n">
        <v>2200</v>
      </c>
      <c r="G153" s="59" t="n">
        <f aca="false">F153-H153</f>
        <v>2200</v>
      </c>
      <c r="H153" s="59" t="n">
        <v>0</v>
      </c>
      <c r="J153" s="183"/>
      <c r="M153" s="0"/>
      <c r="N153" s="0"/>
      <c r="O153" s="0"/>
      <c r="P153" s="0"/>
    </row>
    <row r="154" customFormat="false" ht="19.85" hidden="false" customHeight="true" outlineLevel="0" collapsed="false">
      <c r="A154" s="0" t="n">
        <v>31</v>
      </c>
      <c r="B154" s="31" t="n">
        <v>42370</v>
      </c>
      <c r="C154" s="1" t="n">
        <v>649982</v>
      </c>
      <c r="D154" s="233" t="s">
        <v>42</v>
      </c>
      <c r="E154" s="33" t="n">
        <f aca="false">IF(D154="totale",(C154/(A154*24))/F154,IF(D154="marché libre",(C154/(A154*24))/G154,"spécifier histo"))</f>
        <v>0.397105327468231</v>
      </c>
      <c r="F154" s="59" t="n">
        <v>2200</v>
      </c>
      <c r="G154" s="59" t="n">
        <f aca="false">F154-H154</f>
        <v>2200</v>
      </c>
      <c r="H154" s="59" t="n">
        <v>0</v>
      </c>
      <c r="J154" s="183"/>
      <c r="M154" s="0"/>
      <c r="N154" s="0"/>
      <c r="O154" s="0"/>
      <c r="P154" s="0"/>
    </row>
    <row r="155" customFormat="false" ht="19.85" hidden="false" customHeight="true" outlineLevel="0" collapsed="false">
      <c r="A155" s="0" t="n">
        <v>28</v>
      </c>
      <c r="B155" s="34" t="n">
        <v>42401</v>
      </c>
      <c r="C155" s="1" t="n">
        <v>863741</v>
      </c>
      <c r="D155" s="233" t="s">
        <v>42</v>
      </c>
      <c r="E155" s="33" t="n">
        <f aca="false">IF(D155="totale",(C155/(A155*24))/F155,IF(D155="marché libre",(C155/(A155*24))/G155,"spécifier histo"))</f>
        <v>0.584240395021645</v>
      </c>
      <c r="F155" s="59" t="n">
        <v>2200</v>
      </c>
      <c r="G155" s="59" t="n">
        <f aca="false">F155-H155</f>
        <v>2200</v>
      </c>
      <c r="H155" s="59" t="n">
        <v>0</v>
      </c>
      <c r="J155" s="183"/>
      <c r="M155" s="0"/>
      <c r="N155" s="0"/>
      <c r="O155" s="0"/>
      <c r="P155" s="0"/>
    </row>
    <row r="156" customFormat="false" ht="19.85" hidden="false" customHeight="true" outlineLevel="0" collapsed="false">
      <c r="A156" s="0" t="n">
        <v>31</v>
      </c>
      <c r="B156" s="31" t="n">
        <v>42430</v>
      </c>
      <c r="C156" s="56" t="n">
        <v>573437</v>
      </c>
      <c r="D156" s="233" t="s">
        <v>42</v>
      </c>
      <c r="E156" s="33" t="n">
        <f aca="false">IF(D156="totale",(C156/(A156*24))/F156,IF(D156="marché libre",(C156/(A156*24))/G156,"spécifier histo"))</f>
        <v>0.350340298142717</v>
      </c>
      <c r="F156" s="59" t="n">
        <v>2200</v>
      </c>
      <c r="G156" s="59" t="n">
        <f aca="false">F156-H156</f>
        <v>2200</v>
      </c>
      <c r="H156" s="59" t="n">
        <v>0</v>
      </c>
      <c r="J156" s="183"/>
      <c r="M156" s="0"/>
      <c r="N156" s="0"/>
      <c r="O156" s="0"/>
      <c r="P156" s="0"/>
    </row>
    <row r="157" customFormat="false" ht="19.85" hidden="false" customHeight="true" outlineLevel="0" collapsed="false">
      <c r="A157" s="0" t="n">
        <v>30</v>
      </c>
      <c r="B157" s="34" t="n">
        <v>42461</v>
      </c>
      <c r="C157" s="56" t="n">
        <v>853007</v>
      </c>
      <c r="D157" s="233" t="s">
        <v>42</v>
      </c>
      <c r="E157" s="33" t="n">
        <f aca="false">IF(D157="totale",(C157/(A157*24))/F157,IF(D157="marché libre",(C157/(A157*24))/G157,"spécifier histo"))</f>
        <v>0.53851452020202</v>
      </c>
      <c r="F157" s="59" t="n">
        <v>2200</v>
      </c>
      <c r="G157" s="59" t="n">
        <f aca="false">F157-H157</f>
        <v>2200</v>
      </c>
      <c r="H157" s="59" t="n">
        <v>0</v>
      </c>
      <c r="J157" s="183"/>
      <c r="M157" s="0"/>
      <c r="N157" s="0"/>
      <c r="O157" s="0"/>
      <c r="P157" s="0"/>
    </row>
    <row r="158" customFormat="false" ht="19.85" hidden="false" customHeight="true" outlineLevel="0" collapsed="false">
      <c r="A158" s="0" t="n">
        <v>31</v>
      </c>
      <c r="B158" s="31" t="n">
        <v>42491</v>
      </c>
      <c r="C158" s="56" t="n">
        <v>817372.166666667</v>
      </c>
      <c r="D158" s="233" t="s">
        <v>42</v>
      </c>
      <c r="E158" s="33" t="n">
        <f aca="false">IF(D158="totale",(C158/(A158*24))/F158,IF(D158="marché libre",(C158/(A158*24))/G158,"spécifier histo"))</f>
        <v>0.499372047083741</v>
      </c>
      <c r="F158" s="59" t="n">
        <v>2200</v>
      </c>
      <c r="G158" s="59" t="n">
        <f aca="false">F158-H158</f>
        <v>2200</v>
      </c>
      <c r="H158" s="59" t="n">
        <v>0</v>
      </c>
      <c r="J158" s="183"/>
      <c r="M158" s="0"/>
      <c r="N158" s="0"/>
      <c r="O158" s="0"/>
      <c r="P158" s="0"/>
    </row>
    <row r="159" customFormat="false" ht="22.45" hidden="false" customHeight="true" outlineLevel="0" collapsed="false">
      <c r="A159" s="0" t="n">
        <v>30</v>
      </c>
      <c r="B159" s="34" t="n">
        <v>42522</v>
      </c>
      <c r="C159" s="1" t="n">
        <v>590645</v>
      </c>
      <c r="D159" s="233" t="s">
        <v>42</v>
      </c>
      <c r="E159" s="33" t="n">
        <f aca="false">IF(D159="totale",(C159/(A159*24))/F159,IF(D159="marché libre",(C159/(A159*24))/G159,"spécifier histo"))</f>
        <v>0.372881944444444</v>
      </c>
      <c r="F159" s="59" t="n">
        <v>2200</v>
      </c>
      <c r="G159" s="59" t="n">
        <f aca="false">F159-H159</f>
        <v>2200</v>
      </c>
      <c r="H159" s="59" t="n">
        <v>0</v>
      </c>
      <c r="J159" s="183"/>
      <c r="M159" s="0"/>
      <c r="N159" s="0"/>
      <c r="O159" s="0"/>
      <c r="P159" s="0"/>
    </row>
    <row r="160" customFormat="false" ht="21.65" hidden="false" customHeight="true" outlineLevel="0" collapsed="false">
      <c r="A160" s="0" t="n">
        <v>31</v>
      </c>
      <c r="B160" s="31" t="n">
        <v>42552</v>
      </c>
      <c r="C160" s="56" t="n">
        <v>0</v>
      </c>
      <c r="D160" s="233" t="s">
        <v>42</v>
      </c>
      <c r="E160" s="33" t="n">
        <f aca="false">IF(D160="totale",(C160/(A160*24))/F160,IF(D160="marché libre",(C160/(A160*24))/G160,"spécifier histo"))</f>
        <v>0</v>
      </c>
      <c r="F160" s="59" t="n">
        <v>2200</v>
      </c>
      <c r="G160" s="59" t="n">
        <f aca="false">F160-H160</f>
        <v>2200</v>
      </c>
      <c r="H160" s="59" t="n">
        <v>0</v>
      </c>
      <c r="J160" s="178" t="s">
        <v>217</v>
      </c>
      <c r="M160" s="0"/>
      <c r="N160" s="0"/>
      <c r="O160" s="0"/>
      <c r="P160" s="0"/>
    </row>
    <row r="161" customFormat="false" ht="21.65" hidden="false" customHeight="true" outlineLevel="0" collapsed="false">
      <c r="A161" s="0" t="n">
        <v>31</v>
      </c>
      <c r="B161" s="34" t="n">
        <v>42583</v>
      </c>
      <c r="C161" s="56" t="n">
        <v>0</v>
      </c>
      <c r="D161" s="233" t="s">
        <v>42</v>
      </c>
      <c r="E161" s="33" t="n">
        <f aca="false">IF(D161="totale",(C161/(A161*24))/F161,IF(D161="marché libre",(C161/(A161*24))/G161,"spécifier histo"))</f>
        <v>0</v>
      </c>
      <c r="F161" s="59" t="n">
        <v>2200</v>
      </c>
      <c r="G161" s="59" t="n">
        <f aca="false">F161-H161</f>
        <v>2200</v>
      </c>
      <c r="H161" s="59" t="n">
        <v>0</v>
      </c>
      <c r="J161" s="178" t="s">
        <v>217</v>
      </c>
      <c r="M161" s="0"/>
      <c r="N161" s="0"/>
      <c r="O161" s="0"/>
      <c r="P161" s="0"/>
    </row>
    <row r="162" customFormat="false" ht="21.65" hidden="false" customHeight="true" outlineLevel="0" collapsed="false">
      <c r="A162" s="0" t="n">
        <v>30</v>
      </c>
      <c r="B162" s="31" t="n">
        <v>42614</v>
      </c>
      <c r="C162" s="1" t="n">
        <v>0</v>
      </c>
      <c r="D162" s="233" t="s">
        <v>42</v>
      </c>
      <c r="E162" s="33" t="n">
        <f aca="false">IF(D162="totale",(C162/(A162*24))/F162,IF(D162="marché libre",(C162/(A162*24))/G162,"spécifier histo"))</f>
        <v>0</v>
      </c>
      <c r="F162" s="59" t="n">
        <v>2200</v>
      </c>
      <c r="G162" s="59" t="n">
        <f aca="false">F162-H162</f>
        <v>2200</v>
      </c>
      <c r="H162" s="59" t="n">
        <v>0</v>
      </c>
      <c r="J162" s="183"/>
      <c r="M162" s="0"/>
      <c r="N162" s="0"/>
      <c r="O162" s="0"/>
      <c r="P162" s="0"/>
    </row>
    <row r="163" customFormat="false" ht="21.65" hidden="false" customHeight="true" outlineLevel="0" collapsed="false">
      <c r="A163" s="0" t="n">
        <v>31</v>
      </c>
      <c r="B163" s="34" t="n">
        <v>42644</v>
      </c>
      <c r="C163" s="1" t="n">
        <v>29796</v>
      </c>
      <c r="D163" s="233" t="s">
        <v>42</v>
      </c>
      <c r="E163" s="33" t="n">
        <f aca="false">IF(D163="totale",(C163/(A163*24))/F163,IF(D163="marché libre",(C163/(A163*24))/G163,"spécifier histo"))</f>
        <v>0.0182038123167155</v>
      </c>
      <c r="F163" s="59" t="n">
        <v>2200</v>
      </c>
      <c r="G163" s="59" t="n">
        <f aca="false">F163-H163</f>
        <v>2200</v>
      </c>
      <c r="H163" s="59" t="n">
        <v>0</v>
      </c>
      <c r="J163" s="183"/>
      <c r="M163" s="0"/>
      <c r="N163" s="0"/>
      <c r="O163" s="0"/>
      <c r="P163" s="0"/>
    </row>
    <row r="164" customFormat="false" ht="21.65" hidden="false" customHeight="true" outlineLevel="0" collapsed="false">
      <c r="A164" s="0" t="n">
        <v>30</v>
      </c>
      <c r="B164" s="31" t="n">
        <v>42675</v>
      </c>
      <c r="C164" s="56" t="n">
        <v>623652</v>
      </c>
      <c r="D164" s="233" t="s">
        <v>42</v>
      </c>
      <c r="E164" s="33" t="n">
        <f aca="false">IF(D164="totale",(C164/(A164*24))/F164,IF(D164="marché libre",(C164/(A164*24))/G164,"spécifier histo"))</f>
        <v>0.393719696969697</v>
      </c>
      <c r="F164" s="59" t="n">
        <v>2200</v>
      </c>
      <c r="G164" s="59" t="n">
        <f aca="false">F164-H164</f>
        <v>2200</v>
      </c>
      <c r="H164" s="59" t="n">
        <v>0</v>
      </c>
      <c r="J164" s="183"/>
      <c r="M164" s="0"/>
      <c r="N164" s="0"/>
      <c r="O164" s="0"/>
      <c r="P164" s="0"/>
    </row>
    <row r="165" customFormat="false" ht="21.65" hidden="false" customHeight="true" outlineLevel="0" collapsed="false">
      <c r="A165" s="0" t="n">
        <v>31</v>
      </c>
      <c r="B165" s="34" t="n">
        <v>42705</v>
      </c>
      <c r="C165" s="56" t="n">
        <v>108074</v>
      </c>
      <c r="D165" s="233" t="s">
        <v>42</v>
      </c>
      <c r="E165" s="33" t="n">
        <f aca="false">IF(D165="totale",(C165/(A165*24))/F165,IF(D165="marché libre",(C165/(A165*24))/G165,"spécifier histo"))</f>
        <v>0.06602761485826</v>
      </c>
      <c r="F165" s="59" t="n">
        <v>2200</v>
      </c>
      <c r="G165" s="59" t="n">
        <f aca="false">F165-H165</f>
        <v>2200</v>
      </c>
      <c r="H165" s="59" t="n">
        <v>0</v>
      </c>
      <c r="J165" s="183"/>
      <c r="M165" s="0"/>
      <c r="N165" s="0"/>
      <c r="O165" s="0"/>
      <c r="P165" s="0"/>
    </row>
    <row r="166" customFormat="false" ht="16.95" hidden="false" customHeight="true" outlineLevel="0" collapsed="false">
      <c r="A166" s="0" t="n">
        <v>31</v>
      </c>
      <c r="B166" s="31" t="n">
        <v>42736</v>
      </c>
      <c r="C166" s="1" t="n">
        <v>0</v>
      </c>
      <c r="D166" s="233" t="s">
        <v>42</v>
      </c>
      <c r="E166" s="33" t="n">
        <f aca="false">IF(D166="totale",(C166/(A166*24))/F166,IF(D166="marché libre",(C166/(A166*24))/G166,"spécifier histo"))</f>
        <v>0</v>
      </c>
      <c r="F166" s="59" t="n">
        <v>2200</v>
      </c>
      <c r="G166" s="59" t="n">
        <f aca="false">F166-H166</f>
        <v>2200</v>
      </c>
      <c r="H166" s="59" t="n">
        <v>0</v>
      </c>
      <c r="J166" s="183"/>
      <c r="M166" s="0"/>
      <c r="N166" s="0"/>
      <c r="O166" s="0"/>
      <c r="P166" s="0"/>
    </row>
    <row r="167" customFormat="false" ht="16.95" hidden="false" customHeight="true" outlineLevel="0" collapsed="false">
      <c r="A167" s="0" t="n">
        <v>28</v>
      </c>
      <c r="B167" s="34" t="n">
        <v>42767</v>
      </c>
      <c r="C167" s="1" t="n">
        <v>544344</v>
      </c>
      <c r="D167" s="233" t="s">
        <v>42</v>
      </c>
      <c r="E167" s="33" t="n">
        <f aca="false">IF(D167="totale",(C167/(A167*24))/F167,IF(D167="marché libre",(C167/(A167*24))/G167,"spécifier histo"))</f>
        <v>0.368198051948052</v>
      </c>
      <c r="F167" s="59" t="n">
        <v>2200</v>
      </c>
      <c r="G167" s="59" t="n">
        <f aca="false">F167-H167</f>
        <v>2200</v>
      </c>
      <c r="H167" s="59" t="n">
        <v>0</v>
      </c>
      <c r="J167" s="117"/>
      <c r="M167" s="0"/>
      <c r="N167" s="0"/>
      <c r="O167" s="0"/>
      <c r="P167" s="0"/>
    </row>
    <row r="168" customFormat="false" ht="16.95" hidden="false" customHeight="true" outlineLevel="0" collapsed="false">
      <c r="A168" s="0" t="n">
        <v>31</v>
      </c>
      <c r="B168" s="31" t="n">
        <v>42795</v>
      </c>
      <c r="C168" s="56" t="n">
        <v>1252959</v>
      </c>
      <c r="D168" s="233" t="s">
        <v>42</v>
      </c>
      <c r="E168" s="33" t="n">
        <f aca="false">IF(D168="totale",(C168/(A168*24))/F168,IF(D168="marché libre",(C168/(A168*24))/G168,"spécifier histo"))</f>
        <v>0.765493035190616</v>
      </c>
      <c r="F168" s="59" t="n">
        <v>2200</v>
      </c>
      <c r="G168" s="59" t="n">
        <f aca="false">F168-H168</f>
        <v>2200</v>
      </c>
      <c r="H168" s="59" t="n">
        <v>0</v>
      </c>
      <c r="M168" s="0"/>
      <c r="N168" s="0"/>
      <c r="O168" s="0"/>
      <c r="P168" s="0"/>
    </row>
    <row r="169" customFormat="false" ht="16.95" hidden="false" customHeight="true" outlineLevel="0" collapsed="false">
      <c r="A169" s="0" t="n">
        <v>30</v>
      </c>
      <c r="B169" s="34" t="n">
        <v>42826</v>
      </c>
      <c r="C169" s="56" t="n">
        <v>333175</v>
      </c>
      <c r="D169" s="233" t="s">
        <v>42</v>
      </c>
      <c r="E169" s="33" t="n">
        <f aca="false">IF(D169="totale",(C169/(A169*24))/F169,IF(D169="marché libre",(C169/(A169*24))/G169,"spécifier histo"))</f>
        <v>0.210337752525252</v>
      </c>
      <c r="F169" s="59" t="n">
        <v>2200</v>
      </c>
      <c r="G169" s="59" t="n">
        <f aca="false">F169-H169</f>
        <v>2200</v>
      </c>
      <c r="H169" s="59" t="n">
        <v>0</v>
      </c>
      <c r="M169" s="0"/>
      <c r="N169" s="0"/>
      <c r="O169" s="0"/>
      <c r="P169" s="0"/>
    </row>
    <row r="170" customFormat="false" ht="16.95" hidden="false" customHeight="true" outlineLevel="0" collapsed="false">
      <c r="A170" s="0" t="n">
        <v>31</v>
      </c>
      <c r="B170" s="31" t="n">
        <v>42856</v>
      </c>
      <c r="C170" s="1" t="n">
        <v>748040</v>
      </c>
      <c r="D170" s="233" t="s">
        <v>42</v>
      </c>
      <c r="E170" s="33" t="n">
        <f aca="false">IF(D170="totale",(C170/(A170*24))/F170,IF(D170="marché libre",(C170/(A170*24))/G170,"spécifier histo"))</f>
        <v>0.457013685239492</v>
      </c>
      <c r="F170" s="59" t="n">
        <v>2200</v>
      </c>
      <c r="G170" s="59" t="n">
        <f aca="false">F170-H170</f>
        <v>2200</v>
      </c>
      <c r="H170" s="59" t="n">
        <v>0</v>
      </c>
      <c r="M170" s="0"/>
      <c r="N170" s="0"/>
      <c r="O170" s="0"/>
      <c r="P170" s="0"/>
    </row>
    <row r="171" customFormat="false" ht="16.95" hidden="false" customHeight="true" outlineLevel="0" collapsed="false">
      <c r="A171" s="0" t="n">
        <v>30</v>
      </c>
      <c r="B171" s="34" t="n">
        <v>42887</v>
      </c>
      <c r="C171" s="1" t="n">
        <v>0</v>
      </c>
      <c r="D171" s="233" t="s">
        <v>42</v>
      </c>
      <c r="E171" s="33" t="n">
        <f aca="false">IF(D171="totale",(C171/(A171*24))/F171,IF(D171="marché libre",(C171/(A171*24))/G171,"spécifier histo"))</f>
        <v>0</v>
      </c>
      <c r="F171" s="59" t="n">
        <v>2200</v>
      </c>
      <c r="G171" s="59" t="n">
        <f aca="false">F171-H171</f>
        <v>2200</v>
      </c>
      <c r="H171" s="59" t="n">
        <v>0</v>
      </c>
      <c r="M171" s="0"/>
      <c r="N171" s="0"/>
      <c r="O171" s="0"/>
      <c r="P171" s="0"/>
    </row>
    <row r="172" customFormat="false" ht="16.95" hidden="false" customHeight="true" outlineLevel="0" collapsed="false">
      <c r="A172" s="0" t="n">
        <v>31</v>
      </c>
      <c r="B172" s="31" t="n">
        <v>42917</v>
      </c>
      <c r="C172" s="56" t="n">
        <v>0</v>
      </c>
      <c r="D172" s="233" t="s">
        <v>42</v>
      </c>
      <c r="E172" s="33" t="n">
        <f aca="false">IF(D172="totale",(C172/(A172*24))/F172,IF(D172="marché libre",(C172/(A172*24))/G172,"spécifier histo"))</f>
        <v>0</v>
      </c>
      <c r="F172" s="59" t="n">
        <v>2200</v>
      </c>
      <c r="G172" s="59" t="n">
        <f aca="false">F172-H172</f>
        <v>2200</v>
      </c>
      <c r="H172" s="59" t="n">
        <v>0</v>
      </c>
      <c r="J172" s="178" t="s">
        <v>217</v>
      </c>
      <c r="M172" s="0"/>
      <c r="N172" s="0"/>
      <c r="O172" s="0"/>
      <c r="P172" s="0"/>
    </row>
    <row r="173" customFormat="false" ht="16.95" hidden="false" customHeight="true" outlineLevel="0" collapsed="false">
      <c r="A173" s="0" t="n">
        <v>31</v>
      </c>
      <c r="B173" s="34" t="n">
        <v>42948</v>
      </c>
      <c r="C173" s="56" t="n">
        <v>0</v>
      </c>
      <c r="D173" s="233" t="s">
        <v>42</v>
      </c>
      <c r="E173" s="33" t="n">
        <f aca="false">IF(D173="totale",(C173/(A173*24))/F173,IF(D173="marché libre",(C173/(A173*24))/G173,"spécifier histo"))</f>
        <v>0</v>
      </c>
      <c r="F173" s="59" t="n">
        <v>2200</v>
      </c>
      <c r="G173" s="59" t="n">
        <f aca="false">F173-H173</f>
        <v>2200</v>
      </c>
      <c r="H173" s="59" t="n">
        <v>0</v>
      </c>
      <c r="J173" s="178" t="s">
        <v>217</v>
      </c>
      <c r="M173" s="0"/>
      <c r="N173" s="0"/>
      <c r="O173" s="0"/>
      <c r="P173" s="0"/>
    </row>
    <row r="174" customFormat="false" ht="16.95" hidden="false" customHeight="true" outlineLevel="0" collapsed="false">
      <c r="A174" s="0" t="n">
        <v>30</v>
      </c>
      <c r="B174" s="31" t="n">
        <v>42979</v>
      </c>
      <c r="C174" s="1" t="n">
        <v>0</v>
      </c>
      <c r="D174" s="233" t="s">
        <v>42</v>
      </c>
      <c r="E174" s="33" t="n">
        <f aca="false">IF(D174="totale",(C174/(A174*24))/F174,IF(D174="marché libre",(C174/(A174*24))/G174,"spécifier histo"))</f>
        <v>0</v>
      </c>
      <c r="F174" s="59" t="n">
        <v>2200</v>
      </c>
      <c r="G174" s="59" t="n">
        <f aca="false">F174-H174</f>
        <v>2200</v>
      </c>
      <c r="H174" s="59" t="n">
        <v>0</v>
      </c>
      <c r="M174" s="0"/>
      <c r="N174" s="0"/>
      <c r="O174" s="0"/>
      <c r="P174" s="0"/>
    </row>
    <row r="175" customFormat="false" ht="16.95" hidden="false" customHeight="true" outlineLevel="0" collapsed="false">
      <c r="A175" s="0" t="n">
        <v>31</v>
      </c>
      <c r="B175" s="34" t="n">
        <v>43009</v>
      </c>
      <c r="C175" s="1" t="n">
        <v>0</v>
      </c>
      <c r="D175" s="233" t="s">
        <v>42</v>
      </c>
      <c r="E175" s="33" t="n">
        <f aca="false">IF(D175="totale",(C175/(A175*24))/F175,IF(D175="marché libre",(C175/(A175*24))/G175,"spécifier histo"))</f>
        <v>0</v>
      </c>
      <c r="F175" s="59" t="n">
        <v>2200</v>
      </c>
      <c r="G175" s="59" t="n">
        <f aca="false">F175-H175</f>
        <v>2200</v>
      </c>
      <c r="H175" s="59" t="n">
        <v>0</v>
      </c>
      <c r="M175" s="0"/>
      <c r="N175" s="0"/>
      <c r="O175" s="0"/>
      <c r="P175" s="0"/>
    </row>
    <row r="176" customFormat="false" ht="16.95" hidden="false" customHeight="true" outlineLevel="0" collapsed="false">
      <c r="A176" s="0" t="n">
        <v>30</v>
      </c>
      <c r="B176" s="31" t="n">
        <v>43040</v>
      </c>
      <c r="C176" s="56" t="n">
        <v>0</v>
      </c>
      <c r="D176" s="233" t="s">
        <v>42</v>
      </c>
      <c r="E176" s="33" t="n">
        <f aca="false">IF(D176="totale",(C176/(A176*24))/F176,IF(D176="marché libre",(C176/(A176*24))/G176,"spécifier histo"))</f>
        <v>0</v>
      </c>
      <c r="F176" s="59" t="n">
        <v>2200</v>
      </c>
      <c r="G176" s="59" t="n">
        <f aca="false">F176-H176</f>
        <v>2200</v>
      </c>
      <c r="H176" s="59" t="n">
        <v>0</v>
      </c>
      <c r="M176" s="0"/>
      <c r="N176" s="0"/>
      <c r="O176" s="0"/>
      <c r="P176" s="0"/>
    </row>
    <row r="177" customFormat="false" ht="16.95" hidden="false" customHeight="true" outlineLevel="0" collapsed="false">
      <c r="A177" s="0" t="n">
        <v>31</v>
      </c>
      <c r="B177" s="34" t="n">
        <v>43070</v>
      </c>
      <c r="C177" s="56" t="n">
        <v>176644</v>
      </c>
      <c r="D177" s="233" t="s">
        <v>42</v>
      </c>
      <c r="E177" s="33" t="n">
        <f aca="false">IF(D177="totale",(C177/(A177*24))/F177,IF(D177="marché libre",(C177/(A177*24))/G177,"spécifier histo"))</f>
        <v>0.107920332355816</v>
      </c>
      <c r="F177" s="59" t="n">
        <v>2200</v>
      </c>
      <c r="G177" s="59" t="n">
        <f aca="false">F177-H177</f>
        <v>2200</v>
      </c>
      <c r="H177" s="59" t="n">
        <v>0</v>
      </c>
      <c r="M177" s="0"/>
      <c r="N177" s="0"/>
      <c r="O177" s="0"/>
      <c r="P177" s="0"/>
    </row>
    <row r="178" customFormat="false" ht="16.95" hidden="false" customHeight="true" outlineLevel="0" collapsed="false">
      <c r="A178" s="0" t="n">
        <v>31</v>
      </c>
      <c r="B178" s="31" t="n">
        <v>43101</v>
      </c>
      <c r="C178" s="1" t="n">
        <v>1190811</v>
      </c>
      <c r="D178" s="233" t="s">
        <v>42</v>
      </c>
      <c r="E178" s="33" t="n">
        <f aca="false">IF(D178="totale",(C178/(A178*24))/F178,IF(D178="marché libre",(C178/(A178*24))/G178,"spécifier histo"))</f>
        <v>0.727523826979472</v>
      </c>
      <c r="F178" s="59" t="n">
        <v>2200</v>
      </c>
      <c r="G178" s="59" t="n">
        <f aca="false">F178-H178</f>
        <v>2200</v>
      </c>
      <c r="H178" s="59" t="n">
        <v>0</v>
      </c>
      <c r="M178" s="0"/>
      <c r="N178" s="0"/>
      <c r="O178" s="0"/>
      <c r="P178" s="0"/>
    </row>
    <row r="179" customFormat="false" ht="16.95" hidden="false" customHeight="true" outlineLevel="0" collapsed="false">
      <c r="A179" s="0" t="n">
        <v>31</v>
      </c>
      <c r="B179" s="34" t="n">
        <v>43132</v>
      </c>
      <c r="C179" s="1" t="n">
        <v>63429</v>
      </c>
      <c r="D179" s="233" t="s">
        <v>42</v>
      </c>
      <c r="E179" s="33" t="n">
        <f aca="false">IF(D179="totale",(C179/(A179*24))/F179,IF(D179="marché libre",(C179/(A179*24))/G179,"spécifier histo"))</f>
        <v>0.0387518328445748</v>
      </c>
      <c r="F179" s="59" t="n">
        <v>2200</v>
      </c>
      <c r="G179" s="59" t="n">
        <f aca="false">F179-H179</f>
        <v>2200</v>
      </c>
      <c r="H179" s="59" t="n">
        <v>0</v>
      </c>
      <c r="M179" s="0"/>
      <c r="N179" s="0"/>
      <c r="O179" s="0"/>
      <c r="P179" s="0"/>
    </row>
    <row r="180" customFormat="false" ht="16.95" hidden="false" customHeight="true" outlineLevel="0" collapsed="false">
      <c r="A180" s="0" t="n">
        <v>28</v>
      </c>
      <c r="B180" s="31" t="n">
        <v>43160</v>
      </c>
      <c r="C180" s="56" t="n">
        <v>1094047</v>
      </c>
      <c r="D180" s="233" t="s">
        <v>42</v>
      </c>
      <c r="E180" s="33" t="n">
        <f aca="false">IF(D180="totale",(C180/(A180*24))/F180,IF(D180="marché libre",(C180/(A180*24))/G180,"spécifier histo"))</f>
        <v>0.740020968614719</v>
      </c>
      <c r="F180" s="59" t="n">
        <v>2200</v>
      </c>
      <c r="G180" s="59" t="n">
        <f aca="false">F180-H180</f>
        <v>2200</v>
      </c>
      <c r="H180" s="59" t="n">
        <v>0</v>
      </c>
      <c r="M180" s="0"/>
      <c r="N180" s="0"/>
      <c r="O180" s="0"/>
      <c r="P180" s="0"/>
    </row>
    <row r="181" customFormat="false" ht="16.95" hidden="false" customHeight="true" outlineLevel="0" collapsed="false">
      <c r="A181" s="0" t="n">
        <v>31</v>
      </c>
      <c r="B181" s="34" t="n">
        <v>43191</v>
      </c>
      <c r="C181" s="56" t="n">
        <v>1279001</v>
      </c>
      <c r="D181" s="233" t="s">
        <v>42</v>
      </c>
      <c r="E181" s="33" t="n">
        <f aca="false">IF(D181="totale",(C181/(A181*24))/F181,IF(D181="marché libre",(C181/(A181*24))/G181,"spécifier histo"))</f>
        <v>0.78140334799609</v>
      </c>
      <c r="F181" s="59" t="n">
        <v>2200</v>
      </c>
      <c r="G181" s="59" t="n">
        <f aca="false">F181-H181</f>
        <v>2200</v>
      </c>
      <c r="H181" s="59" t="n">
        <v>0</v>
      </c>
      <c r="M181" s="0"/>
      <c r="N181" s="0"/>
      <c r="O181" s="0"/>
      <c r="P181" s="0"/>
    </row>
    <row r="182" customFormat="false" ht="16.95" hidden="false" customHeight="true" outlineLevel="0" collapsed="false">
      <c r="A182" s="0" t="n">
        <v>30</v>
      </c>
      <c r="B182" s="31" t="n">
        <v>43221</v>
      </c>
      <c r="C182" s="1" t="n">
        <v>1022055</v>
      </c>
      <c r="D182" s="233" t="s">
        <v>42</v>
      </c>
      <c r="E182" s="33" t="n">
        <f aca="false">IF(D182="totale",(C182/(A182*24))/F182,IF(D182="marché libre",(C182/(A182*24))/G182,"spécifier histo"))</f>
        <v>0.645236742424242</v>
      </c>
      <c r="F182" s="59" t="n">
        <v>2200</v>
      </c>
      <c r="G182" s="59" t="n">
        <f aca="false">F182-H182</f>
        <v>2200</v>
      </c>
      <c r="H182" s="59" t="n">
        <v>0</v>
      </c>
      <c r="M182" s="0"/>
      <c r="N182" s="0"/>
      <c r="O182" s="0"/>
      <c r="P182" s="0"/>
    </row>
    <row r="183" customFormat="false" ht="16.95" hidden="false" customHeight="true" outlineLevel="0" collapsed="false">
      <c r="A183" s="0" t="n">
        <v>31</v>
      </c>
      <c r="B183" s="34" t="n">
        <v>43252</v>
      </c>
      <c r="C183" s="1" t="n">
        <v>464160</v>
      </c>
      <c r="D183" s="233" t="s">
        <v>42</v>
      </c>
      <c r="E183" s="33" t="n">
        <f aca="false">IF(D183="totale",(C183/(A183*24))/F183,IF(D183="marché libre",(C183/(A183*24))/G183,"spécifier histo"))</f>
        <v>0.283577712609971</v>
      </c>
      <c r="F183" s="59" t="n">
        <v>2200</v>
      </c>
      <c r="G183" s="59" t="n">
        <f aca="false">F183-H183</f>
        <v>2200</v>
      </c>
      <c r="H183" s="59" t="n">
        <v>0</v>
      </c>
      <c r="M183" s="0"/>
      <c r="N183" s="0"/>
      <c r="O183" s="0"/>
      <c r="P183" s="0"/>
    </row>
    <row r="184" customFormat="false" ht="12.8" hidden="false" customHeight="false" outlineLevel="0" collapsed="false">
      <c r="A184" s="0" t="n">
        <v>30</v>
      </c>
      <c r="B184" s="31" t="n">
        <v>43282</v>
      </c>
      <c r="C184" s="56" t="n">
        <v>0</v>
      </c>
      <c r="D184" s="233" t="s">
        <v>42</v>
      </c>
      <c r="E184" s="33" t="n">
        <f aca="false">IF(D184="totale",(C184/(A184*24))/F184,IF(D184="marché libre",(C184/(A184*24))/G184,"spécifier histo"))</f>
        <v>0</v>
      </c>
      <c r="F184" s="59" t="n">
        <v>2200</v>
      </c>
      <c r="G184" s="59" t="n">
        <f aca="false">F184-H184</f>
        <v>2200</v>
      </c>
      <c r="H184" s="59" t="n">
        <v>0</v>
      </c>
      <c r="J184" s="178" t="s">
        <v>217</v>
      </c>
      <c r="M184" s="0"/>
      <c r="N184" s="0"/>
      <c r="O184" s="0"/>
      <c r="P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row r="188" customFormat="false" ht="12.8" hidden="false" customHeight="false" outlineLevel="0" collapsed="false">
      <c r="A188" s="0"/>
    </row>
    <row r="189" customFormat="false" ht="12.8" hidden="false" customHeight="false" outlineLevel="0" collapsed="false">
      <c r="A189" s="0"/>
    </row>
    <row r="190" customFormat="false" ht="12.8" hidden="false" customHeight="false" outlineLevel="0" collapsed="false">
      <c r="A190" s="0"/>
    </row>
    <row r="191" customFormat="false" ht="12.8" hidden="false" customHeight="false" outlineLevel="0" collapsed="false">
      <c r="A191" s="0"/>
    </row>
    <row r="192" customFormat="false" ht="12.8" hidden="false" customHeight="false" outlineLevel="0" collapsed="false">
      <c r="A192" s="0"/>
    </row>
    <row r="193" customFormat="false" ht="12.8" hidden="false" customHeight="false" outlineLevel="0" collapsed="false">
      <c r="A193" s="0"/>
    </row>
    <row r="194" customFormat="false" ht="12.8" hidden="false" customHeight="false" outlineLevel="0" collapsed="false">
      <c r="A194" s="0"/>
    </row>
    <row r="195" customFormat="false" ht="12.8" hidden="false" customHeight="false" outlineLevel="0" collapsed="false">
      <c r="A195" s="0"/>
    </row>
    <row r="196" customFormat="false" ht="12.8" hidden="false" customHeight="false" outlineLevel="0" collapsed="false">
      <c r="A196" s="0"/>
    </row>
    <row r="197" customFormat="false" ht="12.8" hidden="false" customHeight="false" outlineLevel="0" collapsed="false">
      <c r="A197" s="0"/>
    </row>
  </sheetData>
  <mergeCells count="14">
    <mergeCell ref="B1:E2"/>
    <mergeCell ref="F1:N1"/>
    <mergeCell ref="F2:I2"/>
    <mergeCell ref="J2:K2"/>
    <mergeCell ref="L2:M2"/>
    <mergeCell ref="N2:N3"/>
    <mergeCell ref="U2:U3"/>
    <mergeCell ref="L4:M4"/>
    <mergeCell ref="T4:V4"/>
    <mergeCell ref="C6:D6"/>
    <mergeCell ref="F6:F7"/>
    <mergeCell ref="G6:N7"/>
    <mergeCell ref="C7:D7"/>
    <mergeCell ref="L126:S132"/>
  </mergeCells>
  <conditionalFormatting sqref="E179:E184 E10:E177">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78">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6.xml><?xml version="1.0" encoding="utf-8"?>
<worksheet xmlns="http://schemas.openxmlformats.org/spreadsheetml/2006/main" xmlns:r="http://schemas.openxmlformats.org/officeDocument/2006/relationships">
  <sheetPr filterMode="false">
    <tabColor rgb="FF00CC33"/>
    <pageSetUpPr fitToPage="false"/>
  </sheetPr>
  <dimension ref="A1:AD31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77" activePane="bottomRight" state="frozen"/>
      <selection pane="topLeft" activeCell="A1" activeCellId="0" sqref="A1"/>
      <selection pane="topRight" activeCell="B1" activeCellId="0" sqref="B1"/>
      <selection pane="bottomLeft" activeCell="A277" activeCellId="0" sqref="A277"/>
      <selection pane="bottomRight" activeCell="B281" activeCellId="0" sqref="B281"/>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219</v>
      </c>
      <c r="C4" s="16" t="n">
        <v>40319</v>
      </c>
      <c r="D4" s="5" t="s">
        <v>220</v>
      </c>
      <c r="E4" s="14" t="s">
        <v>221</v>
      </c>
      <c r="F4" s="15" t="n">
        <v>2600</v>
      </c>
      <c r="G4" s="15" t="n">
        <v>2600</v>
      </c>
      <c r="H4" s="15" t="n">
        <v>2200</v>
      </c>
      <c r="I4" s="16" t="s">
        <v>222</v>
      </c>
      <c r="J4" s="15" t="n">
        <v>2200</v>
      </c>
      <c r="K4" s="16" t="s">
        <v>223</v>
      </c>
      <c r="L4" s="16" t="s">
        <v>48</v>
      </c>
      <c r="M4" s="16" t="n">
        <v>2200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c r="H6" s="19"/>
      <c r="I6" s="19"/>
      <c r="J6" s="19"/>
      <c r="K6" s="19"/>
      <c r="L6" s="19"/>
      <c r="M6" s="19"/>
      <c r="N6" s="19"/>
      <c r="P6" s="21" t="n">
        <v>42736</v>
      </c>
      <c r="Q6" s="19" t="s">
        <v>27</v>
      </c>
      <c r="R6" s="9"/>
      <c r="S6" s="22"/>
      <c r="T6" s="5" t="s">
        <v>28</v>
      </c>
    </row>
    <row r="7" customFormat="false" ht="41.65" hidden="false" customHeight="true" outlineLevel="0" collapsed="false">
      <c r="A7" s="0"/>
      <c r="B7" s="0"/>
      <c r="C7" s="126" t="s">
        <v>224</v>
      </c>
      <c r="D7" s="126"/>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0.5" hidden="false" customHeight="true" outlineLevel="0" collapsed="false">
      <c r="A10" s="0" t="n">
        <v>31</v>
      </c>
      <c r="B10" s="31" t="n">
        <v>35065</v>
      </c>
      <c r="C10" s="56" t="n">
        <v>1086800</v>
      </c>
      <c r="D10" s="29" t="s">
        <v>41</v>
      </c>
      <c r="E10" s="33" t="n">
        <f aca="false">IF(D10="totale",(C10/(A10*24))/F10,IF(D10="marché libre",(C10/(A10*24))/G10,"spécifier histo"))</f>
        <v>0.663978494623656</v>
      </c>
      <c r="F10" s="59" t="n">
        <v>2200</v>
      </c>
      <c r="G10" s="59" t="n">
        <f aca="false">F10-H10</f>
        <v>2200</v>
      </c>
      <c r="H10" s="58" t="n">
        <v>0</v>
      </c>
      <c r="I10" s="9"/>
      <c r="J10" s="30"/>
    </row>
    <row r="11" customFormat="false" ht="20.5" hidden="false" customHeight="true" outlineLevel="0" collapsed="false">
      <c r="A11" s="0" t="n">
        <v>28</v>
      </c>
      <c r="B11" s="34" t="n">
        <v>35096</v>
      </c>
      <c r="C11" s="56" t="n">
        <v>478400</v>
      </c>
      <c r="D11" s="29" t="s">
        <v>41</v>
      </c>
      <c r="E11" s="33" t="n">
        <f aca="false">IF(D11="totale",(C11/(A11*24))/F11,IF(D11="marché libre",(C11/(A11*24))/G11,"spécifier histo"))</f>
        <v>0.323593073593074</v>
      </c>
      <c r="F11" s="59" t="n">
        <v>2200</v>
      </c>
      <c r="G11" s="59" t="n">
        <f aca="false">F11-H11</f>
        <v>2200</v>
      </c>
      <c r="H11" s="58" t="n">
        <v>0</v>
      </c>
      <c r="I11" s="9"/>
      <c r="J11" s="30"/>
    </row>
    <row r="12" customFormat="false" ht="20.5" hidden="false" customHeight="true" outlineLevel="0" collapsed="false">
      <c r="A12" s="0" t="n">
        <v>31</v>
      </c>
      <c r="B12" s="31" t="n">
        <v>35125</v>
      </c>
      <c r="C12" s="56" t="n">
        <v>984800</v>
      </c>
      <c r="D12" s="29" t="s">
        <v>41</v>
      </c>
      <c r="E12" s="33" t="n">
        <f aca="false">IF(D12="totale",(C12/(A12*24))/F12,IF(D12="marché libre",(C12/(A12*24))/G12,"spécifier histo"))</f>
        <v>0.601661779081134</v>
      </c>
      <c r="F12" s="59" t="n">
        <v>2200</v>
      </c>
      <c r="G12" s="59" t="n">
        <f aca="false">F12-H12</f>
        <v>2200</v>
      </c>
      <c r="H12" s="58" t="n">
        <v>0</v>
      </c>
      <c r="I12" s="9"/>
      <c r="J12" s="30"/>
    </row>
    <row r="13" customFormat="false" ht="20.5" hidden="false" customHeight="true" outlineLevel="0" collapsed="false">
      <c r="A13" s="0" t="n">
        <v>30</v>
      </c>
      <c r="B13" s="34" t="n">
        <v>35156</v>
      </c>
      <c r="C13" s="56" t="n">
        <v>701200</v>
      </c>
      <c r="D13" s="29" t="s">
        <v>41</v>
      </c>
      <c r="E13" s="33" t="n">
        <f aca="false">IF(D13="totale",(C13/(A13*24))/F13,IF(D13="marché libre",(C13/(A13*24))/G13,"spécifier histo"))</f>
        <v>0.442676767676768</v>
      </c>
      <c r="F13" s="59" t="n">
        <v>2200</v>
      </c>
      <c r="G13" s="59" t="n">
        <f aca="false">F13-H13</f>
        <v>2200</v>
      </c>
      <c r="H13" s="58" t="n">
        <v>0</v>
      </c>
      <c r="I13" s="9"/>
      <c r="J13" s="30"/>
    </row>
    <row r="14" customFormat="false" ht="20.5" hidden="false" customHeight="true" outlineLevel="0" collapsed="false">
      <c r="A14" s="0" t="n">
        <v>31</v>
      </c>
      <c r="B14" s="31" t="n">
        <v>35186</v>
      </c>
      <c r="C14" s="56" t="n">
        <v>1054400</v>
      </c>
      <c r="D14" s="29" t="s">
        <v>41</v>
      </c>
      <c r="E14" s="33" t="n">
        <f aca="false">IF(D14="totale",(C14/(A14*24))/F14,IF(D14="marché libre",(C14/(A14*24))/G14,"spécifier histo"))</f>
        <v>0.644183773216031</v>
      </c>
      <c r="F14" s="59" t="n">
        <v>2200</v>
      </c>
      <c r="G14" s="59" t="n">
        <f aca="false">F14-H14</f>
        <v>2200</v>
      </c>
      <c r="H14" s="58" t="n">
        <v>0</v>
      </c>
      <c r="I14" s="9"/>
      <c r="J14" s="30"/>
    </row>
    <row r="15" customFormat="false" ht="20.5" hidden="false" customHeight="true" outlineLevel="0" collapsed="false">
      <c r="A15" s="0" t="n">
        <v>30</v>
      </c>
      <c r="B15" s="34" t="n">
        <v>35217</v>
      </c>
      <c r="C15" s="56" t="n">
        <v>661600</v>
      </c>
      <c r="D15" s="29" t="s">
        <v>41</v>
      </c>
      <c r="E15" s="33" t="n">
        <f aca="false">IF(D15="totale",(C15/(A15*24))/F15,IF(D15="marché libre",(C15/(A15*24))/G15,"spécifier histo"))</f>
        <v>0.417676767676768</v>
      </c>
      <c r="F15" s="59" t="n">
        <v>2200</v>
      </c>
      <c r="G15" s="59" t="n">
        <f aca="false">F15-H15</f>
        <v>2200</v>
      </c>
      <c r="H15" s="58" t="n">
        <v>0</v>
      </c>
      <c r="I15" s="9"/>
      <c r="J15" s="70"/>
      <c r="L15" s="0"/>
      <c r="M15" s="0"/>
      <c r="N15" s="234" t="s">
        <v>225</v>
      </c>
      <c r="O15" s="235"/>
      <c r="P15" s="235"/>
    </row>
    <row r="16" customFormat="false" ht="20.5" hidden="false" customHeight="true" outlineLevel="0" collapsed="false">
      <c r="A16" s="0" t="n">
        <v>31</v>
      </c>
      <c r="B16" s="31" t="n">
        <v>35247</v>
      </c>
      <c r="C16" s="56" t="n">
        <v>898800</v>
      </c>
      <c r="D16" s="29" t="s">
        <v>41</v>
      </c>
      <c r="E16" s="33" t="n">
        <f aca="false">IF(D16="totale",(C16/(A16*24))/F16,IF(D16="marché libre",(C16/(A16*24))/G16,"spécifier histo"))</f>
        <v>0.549120234604106</v>
      </c>
      <c r="F16" s="59" t="n">
        <v>2200</v>
      </c>
      <c r="G16" s="59" t="n">
        <f aca="false">F16-H16</f>
        <v>2200</v>
      </c>
      <c r="H16" s="58" t="n">
        <v>0</v>
      </c>
      <c r="I16" s="9"/>
      <c r="J16" s="236" t="s">
        <v>226</v>
      </c>
      <c r="K16" s="38"/>
      <c r="L16" s="0"/>
      <c r="M16" s="0"/>
      <c r="N16" s="234" t="s">
        <v>227</v>
      </c>
      <c r="O16" s="235"/>
      <c r="P16" s="235"/>
    </row>
    <row r="17" customFormat="false" ht="20.5" hidden="false" customHeight="true" outlineLevel="0" collapsed="false">
      <c r="A17" s="0" t="n">
        <v>31</v>
      </c>
      <c r="B17" s="34" t="n">
        <v>35278</v>
      </c>
      <c r="C17" s="56" t="n">
        <v>210000</v>
      </c>
      <c r="D17" s="29" t="s">
        <v>41</v>
      </c>
      <c r="E17" s="33" t="n">
        <f aca="false">IF(D17="totale",(C17/(A17*24))/F17,IF(D17="marché libre",(C17/(A17*24))/G17,"spécifier histo"))</f>
        <v>0.128299120234604</v>
      </c>
      <c r="F17" s="59" t="n">
        <v>2200</v>
      </c>
      <c r="G17" s="59" t="n">
        <f aca="false">F17-H17</f>
        <v>2200</v>
      </c>
      <c r="H17" s="58" t="n">
        <v>0</v>
      </c>
      <c r="I17" s="9"/>
      <c r="J17" s="236" t="s">
        <v>228</v>
      </c>
      <c r="K17" s="38"/>
      <c r="L17" s="0"/>
      <c r="M17" s="0"/>
      <c r="N17" s="234" t="s">
        <v>229</v>
      </c>
      <c r="O17" s="235"/>
      <c r="P17" s="235"/>
    </row>
    <row r="18" customFormat="false" ht="20.5" hidden="false" customHeight="true" outlineLevel="0" collapsed="false">
      <c r="A18" s="0" t="n">
        <v>30</v>
      </c>
      <c r="B18" s="31" t="n">
        <v>35309</v>
      </c>
      <c r="C18" s="56" t="n">
        <v>182400</v>
      </c>
      <c r="D18" s="29" t="s">
        <v>41</v>
      </c>
      <c r="E18" s="33" t="n">
        <f aca="false">IF(D18="totale",(C18/(A18*24))/F18,IF(D18="marché libre",(C18/(A18*24))/G18,"spécifier histo"))</f>
        <v>0.115151515151515</v>
      </c>
      <c r="F18" s="59" t="n">
        <v>2200</v>
      </c>
      <c r="G18" s="59" t="n">
        <f aca="false">F18-H18</f>
        <v>2200</v>
      </c>
      <c r="H18" s="58" t="n">
        <v>0</v>
      </c>
      <c r="I18" s="9"/>
      <c r="J18" s="236" t="s">
        <v>230</v>
      </c>
      <c r="K18" s="38"/>
      <c r="L18" s="0"/>
      <c r="M18" s="0"/>
      <c r="N18" s="234" t="s">
        <v>231</v>
      </c>
      <c r="O18" s="235"/>
      <c r="P18" s="235"/>
    </row>
    <row r="19" customFormat="false" ht="20.5" hidden="false" customHeight="true" outlineLevel="0" collapsed="false">
      <c r="A19" s="0" t="n">
        <v>31</v>
      </c>
      <c r="B19" s="34" t="n">
        <v>35339</v>
      </c>
      <c r="C19" s="56" t="n">
        <v>46000</v>
      </c>
      <c r="D19" s="29" t="s">
        <v>41</v>
      </c>
      <c r="E19" s="33" t="n">
        <f aca="false">IF(D19="totale",(C19/(A19*24))/F19,IF(D19="marché libre",(C19/(A19*24))/G19,"spécifier histo"))</f>
        <v>0.0281036168132942</v>
      </c>
      <c r="F19" s="59" t="n">
        <v>2200</v>
      </c>
      <c r="G19" s="59" t="n">
        <f aca="false">F19-H19</f>
        <v>2200</v>
      </c>
      <c r="H19" s="58" t="n">
        <v>0</v>
      </c>
      <c r="I19" s="9"/>
      <c r="J19" s="70"/>
      <c r="L19" s="0"/>
      <c r="M19" s="0"/>
      <c r="N19" s="234" t="s">
        <v>232</v>
      </c>
      <c r="O19" s="235"/>
      <c r="P19" s="235"/>
    </row>
    <row r="20" customFormat="false" ht="20.5" hidden="false" customHeight="true" outlineLevel="0" collapsed="false">
      <c r="A20" s="0" t="n">
        <v>30</v>
      </c>
      <c r="B20" s="31" t="n">
        <v>35370</v>
      </c>
      <c r="C20" s="56" t="n">
        <v>826000</v>
      </c>
      <c r="D20" s="29" t="s">
        <v>41</v>
      </c>
      <c r="E20" s="33" t="n">
        <f aca="false">IF(D20="totale",(C20/(A20*24))/F20,IF(D20="marché libre",(C20/(A20*24))/G20,"spécifier histo"))</f>
        <v>0.521464646464646</v>
      </c>
      <c r="F20" s="59" t="n">
        <v>2200</v>
      </c>
      <c r="G20" s="59" t="n">
        <f aca="false">F20-H20</f>
        <v>2200</v>
      </c>
      <c r="H20" s="58" t="n">
        <v>0</v>
      </c>
      <c r="I20" s="9"/>
      <c r="J20" s="30"/>
    </row>
    <row r="21" customFormat="false" ht="20.5" hidden="false" customHeight="true" outlineLevel="0" collapsed="false">
      <c r="A21" s="0" t="n">
        <v>31</v>
      </c>
      <c r="B21" s="34" t="n">
        <v>35400</v>
      </c>
      <c r="C21" s="56" t="n">
        <v>1370800</v>
      </c>
      <c r="D21" s="29" t="s">
        <v>41</v>
      </c>
      <c r="E21" s="33" t="n">
        <f aca="false">IF(D21="totale",(C21/(A21*24))/F21,IF(D21="marché libre",(C21/(A21*24))/G21,"spécifier histo"))</f>
        <v>0.837487781036168</v>
      </c>
      <c r="F21" s="59" t="n">
        <v>2200</v>
      </c>
      <c r="G21" s="59" t="n">
        <f aca="false">F21-H21</f>
        <v>2200</v>
      </c>
      <c r="H21" s="58" t="n">
        <v>0</v>
      </c>
      <c r="I21" s="9"/>
      <c r="J21" s="30"/>
    </row>
    <row r="22" customFormat="false" ht="20.5" hidden="false" customHeight="true" outlineLevel="0" collapsed="false">
      <c r="A22" s="0" t="n">
        <v>31</v>
      </c>
      <c r="B22" s="31" t="n">
        <v>35431</v>
      </c>
      <c r="C22" s="56" t="n">
        <v>1448000</v>
      </c>
      <c r="D22" s="29" t="s">
        <v>41</v>
      </c>
      <c r="E22" s="33" t="n">
        <f aca="false">IF(D22="totale",(C22/(A22*24))/F22,IF(D22="marché libre",(C22/(A22*24))/G22,"spécifier histo"))</f>
        <v>0.884652981427175</v>
      </c>
      <c r="F22" s="59" t="n">
        <v>2200</v>
      </c>
      <c r="G22" s="59" t="n">
        <f aca="false">F22-H22</f>
        <v>2200</v>
      </c>
      <c r="H22" s="58" t="n">
        <v>0</v>
      </c>
      <c r="I22" s="9"/>
      <c r="J22" s="0"/>
      <c r="K22" s="0"/>
      <c r="L22" s="0"/>
      <c r="M22" s="0"/>
      <c r="N22" s="0"/>
      <c r="O22" s="0"/>
      <c r="P22" s="0"/>
      <c r="Q22" s="0"/>
      <c r="R22" s="0"/>
    </row>
    <row r="23" customFormat="false" ht="20.5" hidden="false" customHeight="true" outlineLevel="0" collapsed="false">
      <c r="A23" s="0" t="n">
        <v>28</v>
      </c>
      <c r="B23" s="34" t="n">
        <v>35462</v>
      </c>
      <c r="C23" s="56" t="n">
        <v>1178000</v>
      </c>
      <c r="D23" s="29" t="s">
        <v>41</v>
      </c>
      <c r="E23" s="33" t="n">
        <f aca="false">IF(D23="totale",(C23/(A23*24))/F23,IF(D23="marché libre",(C23/(A23*24))/G23,"spécifier histo"))</f>
        <v>0.796807359307359</v>
      </c>
      <c r="F23" s="59" t="n">
        <v>2200</v>
      </c>
      <c r="G23" s="59" t="n">
        <f aca="false">F23-H23</f>
        <v>2200</v>
      </c>
      <c r="H23" s="58" t="n">
        <v>0</v>
      </c>
      <c r="I23" s="9"/>
      <c r="J23" s="0"/>
      <c r="K23" s="0"/>
      <c r="L23" s="0"/>
      <c r="M23" s="0"/>
      <c r="N23" s="0"/>
      <c r="O23" s="0"/>
      <c r="P23" s="0"/>
      <c r="Q23" s="0"/>
      <c r="R23" s="0"/>
    </row>
    <row r="24" customFormat="false" ht="20.5" hidden="false" customHeight="true" outlineLevel="0" collapsed="false">
      <c r="A24" s="0" t="n">
        <v>31</v>
      </c>
      <c r="B24" s="31" t="n">
        <v>35490</v>
      </c>
      <c r="C24" s="56" t="n">
        <v>732400</v>
      </c>
      <c r="D24" s="29" t="s">
        <v>41</v>
      </c>
      <c r="E24" s="33" t="n">
        <f aca="false">IF(D24="totale",(C24/(A24*24))/F24,IF(D24="marché libre",(C24/(A24*24))/G24,"spécifier histo"))</f>
        <v>0.447458455522972</v>
      </c>
      <c r="F24" s="59" t="n">
        <v>2200</v>
      </c>
      <c r="G24" s="59" t="n">
        <f aca="false">F24-H24</f>
        <v>2200</v>
      </c>
      <c r="H24" s="58" t="n">
        <v>0</v>
      </c>
      <c r="I24" s="9"/>
      <c r="J24" s="0"/>
      <c r="K24" s="0"/>
      <c r="L24" s="0"/>
      <c r="M24" s="0"/>
      <c r="N24" s="0"/>
      <c r="O24" s="0"/>
      <c r="P24" s="0"/>
      <c r="Q24" s="0"/>
      <c r="R24" s="0"/>
    </row>
    <row r="25" customFormat="false" ht="20.5" hidden="false" customHeight="true" outlineLevel="0" collapsed="false">
      <c r="A25" s="0" t="n">
        <v>30</v>
      </c>
      <c r="B25" s="34" t="n">
        <v>35521</v>
      </c>
      <c r="C25" s="56" t="n">
        <v>519200</v>
      </c>
      <c r="D25" s="29" t="s">
        <v>41</v>
      </c>
      <c r="E25" s="33" t="n">
        <f aca="false">IF(D25="totale",(C25/(A25*24))/F25,IF(D25="marché libre",(C25/(A25*24))/G25,"spécifier histo"))</f>
        <v>0.327777777777778</v>
      </c>
      <c r="F25" s="59" t="n">
        <v>2200</v>
      </c>
      <c r="G25" s="59" t="n">
        <f aca="false">F25-H25</f>
        <v>2200</v>
      </c>
      <c r="H25" s="58" t="n">
        <v>0</v>
      </c>
      <c r="I25" s="9"/>
      <c r="J25" s="0"/>
      <c r="K25" s="0"/>
      <c r="L25" s="0"/>
      <c r="M25" s="0"/>
      <c r="N25" s="0"/>
      <c r="O25" s="0"/>
      <c r="P25" s="0"/>
      <c r="Q25" s="0"/>
      <c r="R25" s="0"/>
    </row>
    <row r="26" customFormat="false" ht="20.5" hidden="false" customHeight="true" outlineLevel="0" collapsed="false">
      <c r="A26" s="0" t="n">
        <v>31</v>
      </c>
      <c r="B26" s="31" t="n">
        <v>35551</v>
      </c>
      <c r="C26" s="56" t="n">
        <v>914400</v>
      </c>
      <c r="D26" s="29" t="s">
        <v>41</v>
      </c>
      <c r="E26" s="33" t="n">
        <f aca="false">IF(D26="totale",(C26/(A26*24))/F26,IF(D26="marché libre",(C26/(A26*24))/G26,"spécifier histo"))</f>
        <v>0.558651026392962</v>
      </c>
      <c r="F26" s="59" t="n">
        <v>2200</v>
      </c>
      <c r="G26" s="59" t="n">
        <f aca="false">F26-H26</f>
        <v>2200</v>
      </c>
      <c r="H26" s="58" t="n">
        <v>0</v>
      </c>
      <c r="I26" s="9"/>
      <c r="J26" s="0"/>
      <c r="K26" s="0"/>
      <c r="L26" s="0"/>
      <c r="M26" s="0"/>
      <c r="N26" s="0"/>
      <c r="O26" s="0"/>
      <c r="P26" s="0"/>
      <c r="Q26" s="0"/>
      <c r="R26" s="0"/>
    </row>
    <row r="27" customFormat="false" ht="20.5" hidden="false" customHeight="true" outlineLevel="0" collapsed="false">
      <c r="A27" s="0" t="n">
        <v>30</v>
      </c>
      <c r="B27" s="34" t="n">
        <v>35582</v>
      </c>
      <c r="C27" s="56" t="n">
        <v>483600</v>
      </c>
      <c r="D27" s="29" t="s">
        <v>41</v>
      </c>
      <c r="E27" s="33" t="n">
        <f aca="false">IF(D27="totale",(C27/(A27*24))/F27,IF(D27="marché libre",(C27/(A27*24))/G27,"spécifier histo"))</f>
        <v>0.30530303030303</v>
      </c>
      <c r="F27" s="59" t="n">
        <v>2200</v>
      </c>
      <c r="G27" s="59" t="n">
        <f aca="false">F27-H27</f>
        <v>2200</v>
      </c>
      <c r="H27" s="58" t="n">
        <v>0</v>
      </c>
      <c r="I27" s="9"/>
      <c r="J27" s="30"/>
    </row>
    <row r="28" customFormat="false" ht="20.5" hidden="false" customHeight="true" outlineLevel="0" collapsed="false">
      <c r="A28" s="0" t="n">
        <v>31</v>
      </c>
      <c r="B28" s="31" t="n">
        <v>35612</v>
      </c>
      <c r="C28" s="56" t="n">
        <v>752000</v>
      </c>
      <c r="D28" s="29" t="s">
        <v>41</v>
      </c>
      <c r="E28" s="33" t="n">
        <f aca="false">IF(D28="totale",(C28/(A28*24))/F28,IF(D28="marché libre",(C28/(A28*24))/G28,"spécifier histo"))</f>
        <v>0.459433040078201</v>
      </c>
      <c r="F28" s="59" t="n">
        <v>2200</v>
      </c>
      <c r="G28" s="59" t="n">
        <f aca="false">F28-H28</f>
        <v>2200</v>
      </c>
      <c r="H28" s="58" t="n">
        <v>0</v>
      </c>
      <c r="I28" s="9"/>
      <c r="J28" s="30"/>
    </row>
    <row r="29" customFormat="false" ht="20.5" hidden="false" customHeight="true" outlineLevel="0" collapsed="false">
      <c r="A29" s="0" t="n">
        <v>31</v>
      </c>
      <c r="B29" s="34" t="n">
        <v>35643</v>
      </c>
      <c r="C29" s="56" t="n">
        <v>199200</v>
      </c>
      <c r="D29" s="29" t="s">
        <v>41</v>
      </c>
      <c r="E29" s="33" t="n">
        <f aca="false">IF(D29="totale",(C29/(A29*24))/F29,IF(D29="marché libre",(C29/(A29*24))/G29,"spécifier histo"))</f>
        <v>0.121700879765396</v>
      </c>
      <c r="F29" s="59" t="n">
        <v>2200</v>
      </c>
      <c r="G29" s="59" t="n">
        <f aca="false">F29-H29</f>
        <v>2200</v>
      </c>
      <c r="H29" s="58" t="n">
        <v>0</v>
      </c>
      <c r="I29" s="9"/>
      <c r="J29" s="30"/>
    </row>
    <row r="30" customFormat="false" ht="20.5" hidden="false" customHeight="true" outlineLevel="0" collapsed="false">
      <c r="A30" s="0" t="n">
        <v>30</v>
      </c>
      <c r="B30" s="31" t="n">
        <v>35674</v>
      </c>
      <c r="C30" s="56" t="n">
        <v>198800</v>
      </c>
      <c r="D30" s="29" t="s">
        <v>41</v>
      </c>
      <c r="E30" s="33" t="n">
        <f aca="false">IF(D30="totale",(C30/(A30*24))/F30,IF(D30="marché libre",(C30/(A30*24))/G30,"spécifier histo"))</f>
        <v>0.12550505050505</v>
      </c>
      <c r="F30" s="59" t="n">
        <v>2200</v>
      </c>
      <c r="G30" s="59" t="n">
        <f aca="false">F30-H30</f>
        <v>2200</v>
      </c>
      <c r="H30" s="58" t="n">
        <v>0</v>
      </c>
      <c r="I30" s="9"/>
      <c r="J30" s="30"/>
    </row>
    <row r="31" customFormat="false" ht="20.5" hidden="false" customHeight="true" outlineLevel="0" collapsed="false">
      <c r="A31" s="0" t="n">
        <v>31</v>
      </c>
      <c r="B31" s="34" t="n">
        <v>35704</v>
      </c>
      <c r="C31" s="56" t="n">
        <v>143200</v>
      </c>
      <c r="D31" s="29" t="s">
        <v>41</v>
      </c>
      <c r="E31" s="33" t="n">
        <f aca="false">IF(D31="totale",(C31/(A31*24))/F31,IF(D31="marché libre",(C31/(A31*24))/G31,"spécifier histo"))</f>
        <v>0.0874877810361681</v>
      </c>
      <c r="F31" s="59" t="n">
        <v>2200</v>
      </c>
      <c r="G31" s="59" t="n">
        <f aca="false">F31-H31</f>
        <v>2200</v>
      </c>
      <c r="H31" s="58" t="n">
        <v>0</v>
      </c>
      <c r="I31" s="9"/>
      <c r="J31" s="30"/>
    </row>
    <row r="32" customFormat="false" ht="20.5" hidden="false" customHeight="true" outlineLevel="0" collapsed="false">
      <c r="A32" s="0" t="n">
        <v>30</v>
      </c>
      <c r="B32" s="31" t="n">
        <v>35735</v>
      </c>
      <c r="C32" s="56" t="n">
        <v>218000</v>
      </c>
      <c r="D32" s="29" t="s">
        <v>41</v>
      </c>
      <c r="E32" s="33" t="n">
        <f aca="false">IF(D32="totale",(C32/(A32*24))/F32,IF(D32="marché libre",(C32/(A32*24))/G32,"spécifier histo"))</f>
        <v>0.137626262626263</v>
      </c>
      <c r="F32" s="59" t="n">
        <v>2200</v>
      </c>
      <c r="G32" s="59" t="n">
        <f aca="false">F32-H32</f>
        <v>2200</v>
      </c>
      <c r="H32" s="58" t="n">
        <v>0</v>
      </c>
      <c r="I32" s="9"/>
      <c r="J32" s="30"/>
    </row>
    <row r="33" customFormat="false" ht="20.5" hidden="false" customHeight="true" outlineLevel="0" collapsed="false">
      <c r="A33" s="0" t="n">
        <v>31</v>
      </c>
      <c r="B33" s="34" t="n">
        <v>35765</v>
      </c>
      <c r="C33" s="56" t="n">
        <v>727200</v>
      </c>
      <c r="D33" s="29" t="s">
        <v>41</v>
      </c>
      <c r="E33" s="33" t="n">
        <f aca="false">IF(D33="totale",(C33/(A33*24))/F33,IF(D33="marché libre",(C33/(A33*24))/G33,"spécifier histo"))</f>
        <v>0.444281524926686</v>
      </c>
      <c r="F33" s="59" t="n">
        <v>2200</v>
      </c>
      <c r="G33" s="59" t="n">
        <f aca="false">F33-H33</f>
        <v>2200</v>
      </c>
      <c r="H33" s="58" t="n">
        <v>0</v>
      </c>
      <c r="I33" s="9"/>
      <c r="J33" s="30"/>
    </row>
    <row r="34" customFormat="false" ht="20.5" hidden="false" customHeight="true" outlineLevel="0" collapsed="false">
      <c r="A34" s="0" t="n">
        <v>31</v>
      </c>
      <c r="B34" s="31" t="n">
        <v>35796</v>
      </c>
      <c r="C34" s="56" t="n">
        <v>1074400</v>
      </c>
      <c r="D34" s="29" t="s">
        <v>41</v>
      </c>
      <c r="E34" s="33" t="n">
        <f aca="false">IF(D34="totale",(C34/(A34*24))/F34,IF(D34="marché libre",(C34/(A34*24))/G34,"spécifier histo"))</f>
        <v>0.656402737047898</v>
      </c>
      <c r="F34" s="59" t="n">
        <v>2200</v>
      </c>
      <c r="G34" s="59" t="n">
        <f aca="false">F34-H34</f>
        <v>2200</v>
      </c>
      <c r="H34" s="58" t="n">
        <v>0</v>
      </c>
      <c r="I34" s="9"/>
      <c r="J34" s="30"/>
    </row>
    <row r="35" customFormat="false" ht="20.5" hidden="false" customHeight="true" outlineLevel="0" collapsed="false">
      <c r="A35" s="0" t="n">
        <v>28</v>
      </c>
      <c r="B35" s="34" t="n">
        <v>35827</v>
      </c>
      <c r="C35" s="56" t="n">
        <v>1007200</v>
      </c>
      <c r="D35" s="29" t="s">
        <v>41</v>
      </c>
      <c r="E35" s="33" t="n">
        <f aca="false">IF(D35="totale",(C35/(A35*24))/F35,IF(D35="marché libre",(C35/(A35*24))/G35,"spécifier histo"))</f>
        <v>0.681277056277056</v>
      </c>
      <c r="F35" s="59" t="n">
        <v>2200</v>
      </c>
      <c r="G35" s="59" t="n">
        <f aca="false">F35-H35</f>
        <v>2200</v>
      </c>
      <c r="H35" s="58" t="n">
        <v>0</v>
      </c>
      <c r="I35" s="9"/>
      <c r="J35" s="30"/>
    </row>
    <row r="36" customFormat="false" ht="20.5" hidden="false" customHeight="true" outlineLevel="0" collapsed="false">
      <c r="A36" s="0" t="n">
        <v>31</v>
      </c>
      <c r="B36" s="31" t="n">
        <v>35855</v>
      </c>
      <c r="C36" s="56" t="n">
        <v>924000</v>
      </c>
      <c r="D36" s="29" t="s">
        <v>41</v>
      </c>
      <c r="E36" s="33" t="n">
        <f aca="false">IF(D36="totale",(C36/(A36*24))/F36,IF(D36="marché libre",(C36/(A36*24))/G36,"spécifier histo"))</f>
        <v>0.564516129032258</v>
      </c>
      <c r="F36" s="59" t="n">
        <v>2200</v>
      </c>
      <c r="G36" s="59" t="n">
        <f aca="false">F36-H36</f>
        <v>2200</v>
      </c>
      <c r="H36" s="58" t="n">
        <v>0</v>
      </c>
      <c r="I36" s="9"/>
      <c r="J36" s="30"/>
    </row>
    <row r="37" customFormat="false" ht="20.5" hidden="false" customHeight="true" outlineLevel="0" collapsed="false">
      <c r="A37" s="0" t="n">
        <v>30</v>
      </c>
      <c r="B37" s="34" t="n">
        <v>35886</v>
      </c>
      <c r="C37" s="56" t="n">
        <v>1152000</v>
      </c>
      <c r="D37" s="29" t="s">
        <v>41</v>
      </c>
      <c r="E37" s="33" t="n">
        <f aca="false">IF(D37="totale",(C37/(A37*24))/F37,IF(D37="marché libre",(C37/(A37*24))/G37,"spécifier histo"))</f>
        <v>0.727272727272727</v>
      </c>
      <c r="F37" s="59" t="n">
        <v>2200</v>
      </c>
      <c r="G37" s="59" t="n">
        <f aca="false">F37-H37</f>
        <v>2200</v>
      </c>
      <c r="H37" s="58" t="n">
        <v>0</v>
      </c>
      <c r="I37" s="9"/>
      <c r="J37" s="30"/>
    </row>
    <row r="38" customFormat="false" ht="20.5" hidden="false" customHeight="true" outlineLevel="0" collapsed="false">
      <c r="A38" s="0" t="n">
        <v>31</v>
      </c>
      <c r="B38" s="31" t="n">
        <v>35916</v>
      </c>
      <c r="C38" s="56" t="n">
        <v>959200</v>
      </c>
      <c r="D38" s="29" t="s">
        <v>41</v>
      </c>
      <c r="E38" s="33" t="n">
        <f aca="false">IF(D38="totale",(C38/(A38*24))/F38,IF(D38="marché libre",(C38/(A38*24))/G38,"spécifier histo"))</f>
        <v>0.586021505376344</v>
      </c>
      <c r="F38" s="59" t="n">
        <v>2200</v>
      </c>
      <c r="G38" s="59" t="n">
        <f aca="false">F38-H38</f>
        <v>2200</v>
      </c>
      <c r="H38" s="58" t="n">
        <v>0</v>
      </c>
      <c r="I38" s="9"/>
      <c r="J38" s="30"/>
    </row>
    <row r="39" customFormat="false" ht="20.5" hidden="false" customHeight="true" outlineLevel="0" collapsed="false">
      <c r="A39" s="0" t="n">
        <v>30</v>
      </c>
      <c r="B39" s="34" t="n">
        <v>35947</v>
      </c>
      <c r="C39" s="56" t="n">
        <v>590400</v>
      </c>
      <c r="D39" s="29" t="s">
        <v>41</v>
      </c>
      <c r="E39" s="33" t="n">
        <f aca="false">IF(D39="totale",(C39/(A39*24))/F39,IF(D39="marché libre",(C39/(A39*24))/G39,"spécifier histo"))</f>
        <v>0.372727272727273</v>
      </c>
      <c r="F39" s="59" t="n">
        <v>2200</v>
      </c>
      <c r="G39" s="59" t="n">
        <f aca="false">F39-H39</f>
        <v>2200</v>
      </c>
      <c r="H39" s="58" t="n">
        <v>0</v>
      </c>
      <c r="I39" s="9"/>
      <c r="J39" s="30"/>
    </row>
    <row r="40" customFormat="false" ht="20.5" hidden="false" customHeight="true" outlineLevel="0" collapsed="false">
      <c r="A40" s="0" t="n">
        <v>31</v>
      </c>
      <c r="B40" s="31" t="n">
        <v>35977</v>
      </c>
      <c r="C40" s="56" t="n">
        <v>0</v>
      </c>
      <c r="D40" s="29" t="s">
        <v>41</v>
      </c>
      <c r="E40" s="33" t="n">
        <f aca="false">IF(D40="totale",(C40/(A40*24))/F40,IF(D40="marché libre",(C40/(A40*24))/G40,"spécifier histo"))</f>
        <v>0</v>
      </c>
      <c r="F40" s="59" t="n">
        <v>2200</v>
      </c>
      <c r="G40" s="59" t="n">
        <f aca="false">F40-H40</f>
        <v>2200</v>
      </c>
      <c r="H40" s="58" t="n">
        <v>0</v>
      </c>
      <c r="I40" s="9"/>
      <c r="J40" s="0"/>
      <c r="K40" s="0"/>
      <c r="L40" s="0"/>
      <c r="M40" s="0"/>
      <c r="N40" s="0"/>
      <c r="O40" s="0"/>
      <c r="P40" s="0"/>
      <c r="Q40" s="0"/>
      <c r="R40" s="0"/>
    </row>
    <row r="41" customFormat="false" ht="20.5" hidden="false" customHeight="true" outlineLevel="0" collapsed="false">
      <c r="A41" s="0" t="n">
        <v>31</v>
      </c>
      <c r="B41" s="34" t="n">
        <v>36008</v>
      </c>
      <c r="C41" s="56" t="n">
        <v>0</v>
      </c>
      <c r="D41" s="29" t="s">
        <v>41</v>
      </c>
      <c r="E41" s="33" t="n">
        <f aca="false">IF(D41="totale",(C41/(A41*24))/F41,IF(D41="marché libre",(C41/(A41*24))/G41,"spécifier histo"))</f>
        <v>0</v>
      </c>
      <c r="F41" s="59" t="n">
        <v>2200</v>
      </c>
      <c r="G41" s="59" t="n">
        <f aca="false">F41-H41</f>
        <v>2200</v>
      </c>
      <c r="H41" s="58" t="n">
        <v>0</v>
      </c>
      <c r="I41" s="9"/>
      <c r="J41" s="0"/>
      <c r="K41" s="0"/>
      <c r="L41" s="0"/>
      <c r="M41" s="0"/>
      <c r="N41" s="0"/>
      <c r="O41" s="0"/>
      <c r="P41" s="0"/>
      <c r="Q41" s="0"/>
      <c r="R41" s="0"/>
    </row>
    <row r="42" customFormat="false" ht="20.5" hidden="false" customHeight="true" outlineLevel="0" collapsed="false">
      <c r="A42" s="0" t="n">
        <v>30</v>
      </c>
      <c r="B42" s="31" t="n">
        <v>36039</v>
      </c>
      <c r="C42" s="56" t="n">
        <v>215200</v>
      </c>
      <c r="D42" s="29" t="s">
        <v>41</v>
      </c>
      <c r="E42" s="33" t="n">
        <f aca="false">IF(D42="totale",(C42/(A42*24))/F42,IF(D42="marché libre",(C42/(A42*24))/G42,"spécifier histo"))</f>
        <v>0.135858585858586</v>
      </c>
      <c r="F42" s="59" t="n">
        <v>2200</v>
      </c>
      <c r="G42" s="59" t="n">
        <f aca="false">F42-H42</f>
        <v>2200</v>
      </c>
      <c r="H42" s="58" t="n">
        <v>0</v>
      </c>
      <c r="I42" s="9"/>
      <c r="J42" s="0"/>
      <c r="K42" s="0"/>
      <c r="L42" s="0"/>
      <c r="M42" s="0"/>
      <c r="N42" s="0"/>
      <c r="O42" s="0"/>
      <c r="P42" s="0"/>
      <c r="Q42" s="0"/>
      <c r="R42" s="0"/>
    </row>
    <row r="43" customFormat="false" ht="20.5" hidden="false" customHeight="true" outlineLevel="0" collapsed="false">
      <c r="A43" s="0" t="n">
        <v>31</v>
      </c>
      <c r="B43" s="34" t="n">
        <v>36069</v>
      </c>
      <c r="C43" s="56" t="n">
        <v>471200</v>
      </c>
      <c r="D43" s="29" t="s">
        <v>41</v>
      </c>
      <c r="E43" s="33" t="n">
        <f aca="false">IF(D43="totale",(C43/(A43*24))/F43,IF(D43="marché libre",(C43/(A43*24))/G43,"spécifier histo"))</f>
        <v>0.287878787878788</v>
      </c>
      <c r="F43" s="59" t="n">
        <v>2200</v>
      </c>
      <c r="G43" s="59" t="n">
        <f aca="false">F43-H43</f>
        <v>2200</v>
      </c>
      <c r="H43" s="58" t="n">
        <v>0</v>
      </c>
      <c r="I43" s="9"/>
      <c r="J43" s="0"/>
      <c r="K43" s="0"/>
      <c r="L43" s="0"/>
      <c r="M43" s="0"/>
      <c r="N43" s="0"/>
      <c r="O43" s="0"/>
      <c r="P43" s="0"/>
      <c r="Q43" s="0"/>
      <c r="R43" s="0"/>
    </row>
    <row r="44" customFormat="false" ht="20.5" hidden="false" customHeight="true" outlineLevel="0" collapsed="false">
      <c r="A44" s="0" t="n">
        <v>30</v>
      </c>
      <c r="B44" s="31" t="n">
        <v>36100</v>
      </c>
      <c r="C44" s="56" t="n">
        <v>649600</v>
      </c>
      <c r="D44" s="29" t="s">
        <v>41</v>
      </c>
      <c r="E44" s="33" t="n">
        <f aca="false">IF(D44="totale",(C44/(A44*24))/F44,IF(D44="marché libre",(C44/(A44*24))/G44,"spécifier histo"))</f>
        <v>0.41010101010101</v>
      </c>
      <c r="F44" s="59" t="n">
        <v>2200</v>
      </c>
      <c r="G44" s="59" t="n">
        <f aca="false">F44-H44</f>
        <v>2200</v>
      </c>
      <c r="H44" s="58" t="n">
        <v>0</v>
      </c>
      <c r="I44" s="9"/>
      <c r="J44" s="0"/>
      <c r="K44" s="0"/>
      <c r="L44" s="0"/>
      <c r="M44" s="0"/>
      <c r="N44" s="0"/>
      <c r="O44" s="0"/>
      <c r="P44" s="0"/>
      <c r="Q44" s="0"/>
      <c r="R44" s="0"/>
    </row>
    <row r="45" customFormat="false" ht="20.5" hidden="false" customHeight="true" outlineLevel="0" collapsed="false">
      <c r="A45" s="0" t="n">
        <v>31</v>
      </c>
      <c r="B45" s="34" t="n">
        <v>36130</v>
      </c>
      <c r="C45" s="56" t="n">
        <v>513600</v>
      </c>
      <c r="D45" s="29" t="s">
        <v>41</v>
      </c>
      <c r="E45" s="33" t="n">
        <f aca="false">IF(D45="totale",(C45/(A45*24))/F45,IF(D45="marché libre",(C45/(A45*24))/G45,"spécifier histo"))</f>
        <v>0.313782991202346</v>
      </c>
      <c r="F45" s="59" t="n">
        <v>2200</v>
      </c>
      <c r="G45" s="59" t="n">
        <f aca="false">F45-H45</f>
        <v>2200</v>
      </c>
      <c r="H45" s="58" t="n">
        <v>0</v>
      </c>
      <c r="I45" s="9"/>
      <c r="J45" s="30"/>
    </row>
    <row r="46" customFormat="false" ht="20.5" hidden="false" customHeight="true" outlineLevel="0" collapsed="false">
      <c r="A46" s="0" t="n">
        <v>31</v>
      </c>
      <c r="B46" s="31" t="n">
        <v>36161</v>
      </c>
      <c r="C46" s="56" t="n">
        <v>693200</v>
      </c>
      <c r="D46" s="29" t="s">
        <v>41</v>
      </c>
      <c r="E46" s="33" t="n">
        <f aca="false">IF(D46="totale",(C46/(A46*24))/F46,IF(D46="marché libre",(C46/(A46*24))/G46,"spécifier histo"))</f>
        <v>0.423509286412512</v>
      </c>
      <c r="F46" s="59" t="n">
        <v>2200</v>
      </c>
      <c r="G46" s="59" t="n">
        <f aca="false">F46-H46</f>
        <v>2200</v>
      </c>
      <c r="H46" s="58" t="n">
        <v>0</v>
      </c>
      <c r="I46" s="9"/>
      <c r="J46" s="30"/>
    </row>
    <row r="47" customFormat="false" ht="20.5" hidden="false" customHeight="true" outlineLevel="0" collapsed="false">
      <c r="A47" s="0" t="n">
        <v>28</v>
      </c>
      <c r="B47" s="34" t="n">
        <v>36192</v>
      </c>
      <c r="C47" s="56" t="n">
        <v>1088800</v>
      </c>
      <c r="D47" s="29" t="s">
        <v>41</v>
      </c>
      <c r="E47" s="33" t="n">
        <f aca="false">IF(D47="totale",(C47/(A47*24))/F47,IF(D47="marché libre",(C47/(A47*24))/G47,"spécifier histo"))</f>
        <v>0.736471861471861</v>
      </c>
      <c r="F47" s="59" t="n">
        <v>2200</v>
      </c>
      <c r="G47" s="59" t="n">
        <f aca="false">F47-H47</f>
        <v>2200</v>
      </c>
      <c r="H47" s="58" t="n">
        <v>0</v>
      </c>
      <c r="I47" s="9"/>
      <c r="J47" s="30"/>
    </row>
    <row r="48" customFormat="false" ht="20.5" hidden="false" customHeight="true" outlineLevel="0" collapsed="false">
      <c r="A48" s="0" t="n">
        <v>31</v>
      </c>
      <c r="B48" s="31" t="n">
        <v>36220</v>
      </c>
      <c r="C48" s="56" t="n">
        <v>1564800</v>
      </c>
      <c r="D48" s="29" t="s">
        <v>41</v>
      </c>
      <c r="E48" s="33" t="n">
        <f aca="false">IF(D48="totale",(C48/(A48*24))/F48,IF(D48="marché libre",(C48/(A48*24))/G48,"spécifier histo"))</f>
        <v>0.956011730205278</v>
      </c>
      <c r="F48" s="59" t="n">
        <v>2200</v>
      </c>
      <c r="G48" s="59" t="n">
        <f aca="false">F48-H48</f>
        <v>2200</v>
      </c>
      <c r="H48" s="58" t="n">
        <v>0</v>
      </c>
      <c r="I48" s="9"/>
      <c r="J48" s="30"/>
    </row>
    <row r="49" customFormat="false" ht="20.5" hidden="false" customHeight="true" outlineLevel="0" collapsed="false">
      <c r="A49" s="0" t="n">
        <v>30</v>
      </c>
      <c r="B49" s="34" t="n">
        <v>36251</v>
      </c>
      <c r="C49" s="56" t="n">
        <v>1486800</v>
      </c>
      <c r="D49" s="29" t="s">
        <v>41</v>
      </c>
      <c r="E49" s="33" t="n">
        <f aca="false">IF(D49="totale",(C49/(A49*24))/F49,IF(D49="marché libre",(C49/(A49*24))/G49,"spécifier histo"))</f>
        <v>0.938636363636364</v>
      </c>
      <c r="F49" s="59" t="n">
        <v>2200</v>
      </c>
      <c r="G49" s="59" t="n">
        <f aca="false">F49-H49</f>
        <v>2200</v>
      </c>
      <c r="H49" s="58" t="n">
        <v>0</v>
      </c>
      <c r="I49" s="9"/>
      <c r="J49" s="30"/>
    </row>
    <row r="50" customFormat="false" ht="20.5" hidden="false" customHeight="true" outlineLevel="0" collapsed="false">
      <c r="A50" s="0" t="n">
        <v>31</v>
      </c>
      <c r="B50" s="31" t="n">
        <v>36281</v>
      </c>
      <c r="C50" s="56" t="n">
        <v>1430000</v>
      </c>
      <c r="D50" s="29" t="s">
        <v>41</v>
      </c>
      <c r="E50" s="33" t="n">
        <f aca="false">IF(D50="totale",(C50/(A50*24))/F50,IF(D50="marché libre",(C50/(A50*24))/G50,"spécifier histo"))</f>
        <v>0.873655913978495</v>
      </c>
      <c r="F50" s="59" t="n">
        <v>2200</v>
      </c>
      <c r="G50" s="59" t="n">
        <f aca="false">F50-H50</f>
        <v>2200</v>
      </c>
      <c r="H50" s="58" t="n">
        <v>0</v>
      </c>
      <c r="I50" s="9"/>
      <c r="J50" s="30"/>
    </row>
    <row r="51" customFormat="false" ht="20.5" hidden="false" customHeight="true" outlineLevel="0" collapsed="false">
      <c r="A51" s="0" t="n">
        <v>30</v>
      </c>
      <c r="B51" s="34" t="n">
        <v>36312</v>
      </c>
      <c r="C51" s="56" t="n">
        <v>604000</v>
      </c>
      <c r="D51" s="29" t="s">
        <v>41</v>
      </c>
      <c r="E51" s="33" t="n">
        <f aca="false">IF(D51="totale",(C51/(A51*24))/F51,IF(D51="marché libre",(C51/(A51*24))/G51,"spécifier histo"))</f>
        <v>0.381313131313131</v>
      </c>
      <c r="F51" s="59" t="n">
        <v>2200</v>
      </c>
      <c r="G51" s="59" t="n">
        <f aca="false">F51-H51</f>
        <v>2200</v>
      </c>
      <c r="H51" s="58" t="n">
        <v>0</v>
      </c>
      <c r="I51" s="9"/>
      <c r="J51" s="30"/>
    </row>
    <row r="52" customFormat="false" ht="20.5" hidden="false" customHeight="true" outlineLevel="0" collapsed="false">
      <c r="A52" s="0" t="n">
        <v>31</v>
      </c>
      <c r="B52" s="31" t="n">
        <v>36342</v>
      </c>
      <c r="C52" s="56" t="n">
        <v>0</v>
      </c>
      <c r="D52" s="29" t="s">
        <v>41</v>
      </c>
      <c r="E52" s="33" t="n">
        <f aca="false">IF(D52="totale",(C52/(A52*24))/F52,IF(D52="marché libre",(C52/(A52*24))/G52,"spécifier histo"))</f>
        <v>0</v>
      </c>
      <c r="F52" s="59" t="n">
        <v>2200</v>
      </c>
      <c r="G52" s="59" t="n">
        <f aca="false">F52-H52</f>
        <v>2200</v>
      </c>
      <c r="H52" s="58" t="n">
        <v>0</v>
      </c>
      <c r="I52" s="9"/>
      <c r="J52" s="30"/>
    </row>
    <row r="53" customFormat="false" ht="20.5" hidden="false" customHeight="true" outlineLevel="0" collapsed="false">
      <c r="A53" s="0" t="n">
        <v>31</v>
      </c>
      <c r="B53" s="34" t="n">
        <v>36373</v>
      </c>
      <c r="C53" s="56" t="n">
        <v>0</v>
      </c>
      <c r="D53" s="29" t="s">
        <v>41</v>
      </c>
      <c r="E53" s="33" t="n">
        <f aca="false">IF(D53="totale",(C53/(A53*24))/F53,IF(D53="marché libre",(C53/(A53*24))/G53,"spécifier histo"))</f>
        <v>0</v>
      </c>
      <c r="F53" s="59" t="n">
        <v>2200</v>
      </c>
      <c r="G53" s="59" t="n">
        <f aca="false">F53-H53</f>
        <v>2200</v>
      </c>
      <c r="H53" s="58" t="n">
        <v>0</v>
      </c>
      <c r="I53" s="9"/>
      <c r="J53" s="30"/>
    </row>
    <row r="54" customFormat="false" ht="20.5" hidden="false" customHeight="true" outlineLevel="0" collapsed="false">
      <c r="A54" s="0" t="n">
        <v>30</v>
      </c>
      <c r="B54" s="31" t="n">
        <v>36404</v>
      </c>
      <c r="C54" s="56" t="n">
        <v>157600</v>
      </c>
      <c r="D54" s="29" t="s">
        <v>41</v>
      </c>
      <c r="E54" s="33" t="n">
        <f aca="false">IF(D54="totale",(C54/(A54*24))/F54,IF(D54="marché libre",(C54/(A54*24))/G54,"spécifier histo"))</f>
        <v>0.0994949494949495</v>
      </c>
      <c r="F54" s="59" t="n">
        <v>2200</v>
      </c>
      <c r="G54" s="59" t="n">
        <f aca="false">F54-H54</f>
        <v>2200</v>
      </c>
      <c r="H54" s="58" t="n">
        <v>0</v>
      </c>
      <c r="I54" s="9"/>
      <c r="J54" s="0"/>
      <c r="K54" s="0"/>
      <c r="L54" s="0"/>
      <c r="M54" s="0"/>
      <c r="N54" s="0"/>
      <c r="O54" s="0"/>
      <c r="P54" s="0"/>
      <c r="Q54" s="0"/>
      <c r="R54" s="0"/>
    </row>
    <row r="55" customFormat="false" ht="20.5" hidden="false" customHeight="true" outlineLevel="0" collapsed="false">
      <c r="A55" s="0" t="n">
        <v>31</v>
      </c>
      <c r="B55" s="34" t="n">
        <v>36434</v>
      </c>
      <c r="C55" s="56" t="n">
        <v>578400</v>
      </c>
      <c r="D55" s="29" t="s">
        <v>41</v>
      </c>
      <c r="E55" s="33" t="n">
        <f aca="false">IF(D55="totale",(C55/(A55*24))/F55,IF(D55="marché libre",(C55/(A55*24))/G55,"spécifier histo"))</f>
        <v>0.353372434017595</v>
      </c>
      <c r="F55" s="59" t="n">
        <v>2200</v>
      </c>
      <c r="G55" s="59" t="n">
        <f aca="false">F55-H55</f>
        <v>2200</v>
      </c>
      <c r="H55" s="58" t="n">
        <v>0</v>
      </c>
      <c r="I55" s="9"/>
      <c r="J55" s="0"/>
      <c r="K55" s="0"/>
      <c r="L55" s="0"/>
      <c r="M55" s="0"/>
      <c r="N55" s="0"/>
      <c r="O55" s="0"/>
      <c r="P55" s="0"/>
      <c r="Q55" s="0"/>
      <c r="R55" s="0"/>
    </row>
    <row r="56" customFormat="false" ht="20.5" hidden="false" customHeight="true" outlineLevel="0" collapsed="false">
      <c r="A56" s="0" t="n">
        <v>30</v>
      </c>
      <c r="B56" s="31" t="n">
        <v>36465</v>
      </c>
      <c r="C56" s="56" t="n">
        <v>564400</v>
      </c>
      <c r="D56" s="29" t="s">
        <v>41</v>
      </c>
      <c r="E56" s="33" t="n">
        <f aca="false">IF(D56="totale",(C56/(A56*24))/F56,IF(D56="marché libre",(C56/(A56*24))/G56,"spécifier histo"))</f>
        <v>0.356313131313131</v>
      </c>
      <c r="F56" s="59" t="n">
        <v>2200</v>
      </c>
      <c r="G56" s="59" t="n">
        <f aca="false">F56-H56</f>
        <v>2200</v>
      </c>
      <c r="H56" s="58" t="n">
        <v>0</v>
      </c>
      <c r="I56" s="9"/>
      <c r="J56" s="0"/>
      <c r="K56" s="0"/>
      <c r="L56" s="0"/>
      <c r="M56" s="0"/>
      <c r="N56" s="0"/>
      <c r="O56" s="0"/>
      <c r="P56" s="0"/>
      <c r="Q56" s="0"/>
      <c r="R56" s="0"/>
    </row>
    <row r="57" customFormat="false" ht="20.5" hidden="false" customHeight="true" outlineLevel="0" collapsed="false">
      <c r="A57" s="0" t="n">
        <v>31</v>
      </c>
      <c r="B57" s="34" t="n">
        <v>36495</v>
      </c>
      <c r="C57" s="56" t="n">
        <v>1035200</v>
      </c>
      <c r="D57" s="29" t="s">
        <v>41</v>
      </c>
      <c r="E57" s="33" t="n">
        <f aca="false">IF(D57="totale",(C57/(A57*24))/F57,IF(D57="marché libre",(C57/(A57*24))/G57,"spécifier histo"))</f>
        <v>0.632453567937439</v>
      </c>
      <c r="F57" s="59" t="n">
        <v>2200</v>
      </c>
      <c r="G57" s="59" t="n">
        <f aca="false">F57-H57</f>
        <v>2200</v>
      </c>
      <c r="H57" s="58" t="n">
        <v>0</v>
      </c>
      <c r="I57" s="9"/>
      <c r="J57" s="0"/>
      <c r="K57" s="0"/>
      <c r="L57" s="0"/>
      <c r="M57" s="0"/>
      <c r="N57" s="0"/>
      <c r="O57" s="0"/>
      <c r="P57" s="0"/>
      <c r="Q57" s="0"/>
      <c r="R57" s="0"/>
    </row>
    <row r="58" customFormat="false" ht="20.5" hidden="false" customHeight="true" outlineLevel="0" collapsed="false">
      <c r="A58" s="0" t="n">
        <v>31</v>
      </c>
      <c r="B58" s="31" t="n">
        <v>36526</v>
      </c>
      <c r="C58" s="56" t="n">
        <v>783200</v>
      </c>
      <c r="D58" s="29" t="s">
        <v>41</v>
      </c>
      <c r="E58" s="33" t="n">
        <f aca="false">IF(D58="totale",(C58/(A58*24))/F58,IF(D58="marché libre",(C58/(A58*24))/G58,"spécifier histo"))</f>
        <v>0.478494623655914</v>
      </c>
      <c r="F58" s="59" t="n">
        <v>2200</v>
      </c>
      <c r="G58" s="59" t="n">
        <f aca="false">F58-H58</f>
        <v>2200</v>
      </c>
      <c r="H58" s="58" t="n">
        <v>0</v>
      </c>
      <c r="I58" s="9"/>
      <c r="J58" s="0"/>
      <c r="K58" s="0"/>
      <c r="L58" s="0"/>
      <c r="M58" s="0"/>
      <c r="N58" s="0"/>
      <c r="O58" s="0"/>
      <c r="P58" s="0"/>
      <c r="Q58" s="0"/>
      <c r="R58" s="0"/>
    </row>
    <row r="59" customFormat="false" ht="20.5" hidden="false" customHeight="true" outlineLevel="0" collapsed="false">
      <c r="A59" s="0" t="n">
        <v>28</v>
      </c>
      <c r="B59" s="34" t="n">
        <v>36557</v>
      </c>
      <c r="C59" s="56" t="n">
        <v>1342000</v>
      </c>
      <c r="D59" s="29" t="s">
        <v>41</v>
      </c>
      <c r="E59" s="33" t="n">
        <f aca="false">IF(D59="totale",(C59/(A59*24))/F59,IF(D59="marché libre",(C59/(A59*24))/G59,"spécifier histo"))</f>
        <v>0.907738095238095</v>
      </c>
      <c r="F59" s="59" t="n">
        <v>2200</v>
      </c>
      <c r="G59" s="59" t="n">
        <f aca="false">F59-H59</f>
        <v>2200</v>
      </c>
      <c r="H59" s="58" t="n">
        <v>0</v>
      </c>
      <c r="I59" s="9"/>
      <c r="J59" s="30"/>
    </row>
    <row r="60" customFormat="false" ht="20.5" hidden="false" customHeight="true" outlineLevel="0" collapsed="false">
      <c r="A60" s="0" t="n">
        <v>31</v>
      </c>
      <c r="B60" s="31" t="n">
        <v>36586</v>
      </c>
      <c r="C60" s="56" t="n">
        <v>1448800</v>
      </c>
      <c r="D60" s="29" t="s">
        <v>41</v>
      </c>
      <c r="E60" s="33" t="n">
        <f aca="false">IF(D60="totale",(C60/(A60*24))/F60,IF(D60="marché libre",(C60/(A60*24))/G60,"spécifier histo"))</f>
        <v>0.88514173998045</v>
      </c>
      <c r="F60" s="59" t="n">
        <v>2200</v>
      </c>
      <c r="G60" s="59" t="n">
        <f aca="false">F60-H60</f>
        <v>2200</v>
      </c>
      <c r="H60" s="58" t="n">
        <v>0</v>
      </c>
      <c r="I60" s="9"/>
      <c r="J60" s="30"/>
    </row>
    <row r="61" customFormat="false" ht="20.5" hidden="false" customHeight="true" outlineLevel="0" collapsed="false">
      <c r="A61" s="0" t="n">
        <v>30</v>
      </c>
      <c r="B61" s="34" t="n">
        <v>36617</v>
      </c>
      <c r="C61" s="56" t="n">
        <v>1387600</v>
      </c>
      <c r="D61" s="29" t="s">
        <v>41</v>
      </c>
      <c r="E61" s="33" t="n">
        <f aca="false">IF(D61="totale",(C61/(A61*24))/F61,IF(D61="marché libre",(C61/(A61*24))/G61,"spécifier histo"))</f>
        <v>0.876010101010101</v>
      </c>
      <c r="F61" s="59" t="n">
        <v>2200</v>
      </c>
      <c r="G61" s="59" t="n">
        <f aca="false">F61-H61</f>
        <v>2200</v>
      </c>
      <c r="H61" s="58" t="n">
        <v>0</v>
      </c>
      <c r="I61" s="9"/>
      <c r="J61" s="0"/>
      <c r="K61" s="0"/>
      <c r="L61" s="0"/>
      <c r="M61" s="0"/>
      <c r="N61" s="0"/>
      <c r="O61" s="0"/>
      <c r="P61" s="0"/>
      <c r="Q61" s="0"/>
      <c r="R61" s="0"/>
    </row>
    <row r="62" customFormat="false" ht="20.5" hidden="false" customHeight="true" outlineLevel="0" collapsed="false">
      <c r="A62" s="0" t="n">
        <v>31</v>
      </c>
      <c r="B62" s="31" t="n">
        <v>36647</v>
      </c>
      <c r="C62" s="56" t="n">
        <v>1252000</v>
      </c>
      <c r="D62" s="29" t="s">
        <v>41</v>
      </c>
      <c r="E62" s="33" t="n">
        <f aca="false">IF(D62="totale",(C62/(A62*24))/F62,IF(D62="marché libre",(C62/(A62*24))/G62,"spécifier histo"))</f>
        <v>0.764907135874878</v>
      </c>
      <c r="F62" s="59" t="n">
        <v>2200</v>
      </c>
      <c r="G62" s="59" t="n">
        <f aca="false">F62-H62</f>
        <v>2200</v>
      </c>
      <c r="H62" s="58" t="n">
        <v>0</v>
      </c>
      <c r="I62" s="9"/>
      <c r="J62" s="0"/>
      <c r="K62" s="0"/>
      <c r="L62" s="0"/>
      <c r="M62" s="0"/>
      <c r="N62" s="0"/>
      <c r="O62" s="0"/>
      <c r="P62" s="0"/>
      <c r="Q62" s="0"/>
      <c r="R62" s="0"/>
    </row>
    <row r="63" customFormat="false" ht="20.5" hidden="false" customHeight="true" outlineLevel="0" collapsed="false">
      <c r="A63" s="0" t="n">
        <v>30</v>
      </c>
      <c r="B63" s="34" t="n">
        <v>36678</v>
      </c>
      <c r="C63" s="56" t="n">
        <v>250000</v>
      </c>
      <c r="D63" s="29" t="s">
        <v>41</v>
      </c>
      <c r="E63" s="33" t="n">
        <f aca="false">IF(D63="totale",(C63/(A63*24))/F63,IF(D63="marché libre",(C63/(A63*24))/G63,"spécifier histo"))</f>
        <v>0.157828282828283</v>
      </c>
      <c r="F63" s="59" t="n">
        <v>2200</v>
      </c>
      <c r="G63" s="59" t="n">
        <f aca="false">F63-H63</f>
        <v>2200</v>
      </c>
      <c r="H63" s="58" t="n">
        <v>0</v>
      </c>
      <c r="I63" s="9"/>
      <c r="J63" s="0"/>
      <c r="K63" s="0"/>
      <c r="L63" s="0"/>
      <c r="M63" s="0"/>
      <c r="N63" s="0"/>
      <c r="O63" s="0"/>
      <c r="P63" s="0"/>
      <c r="Q63" s="0"/>
      <c r="R63" s="0"/>
    </row>
    <row r="64" customFormat="false" ht="20.5" hidden="false" customHeight="true" outlineLevel="0" collapsed="false">
      <c r="A64" s="0" t="n">
        <v>31</v>
      </c>
      <c r="B64" s="31" t="n">
        <v>36708</v>
      </c>
      <c r="C64" s="56" t="n">
        <v>125600</v>
      </c>
      <c r="D64" s="29" t="s">
        <v>41</v>
      </c>
      <c r="E64" s="33" t="n">
        <f aca="false">IF(D64="totale",(C64/(A64*24))/F64,IF(D64="marché libre",(C64/(A64*24))/G64,"spécifier histo"))</f>
        <v>0.0767350928641251</v>
      </c>
      <c r="F64" s="59" t="n">
        <v>2200</v>
      </c>
      <c r="G64" s="59" t="n">
        <f aca="false">F64-H64</f>
        <v>2200</v>
      </c>
      <c r="H64" s="58" t="n">
        <v>0</v>
      </c>
      <c r="I64" s="9"/>
      <c r="J64" s="0"/>
      <c r="K64" s="0"/>
      <c r="L64" s="0"/>
      <c r="M64" s="0"/>
      <c r="N64" s="0"/>
      <c r="O64" s="0"/>
      <c r="P64" s="0"/>
      <c r="Q64" s="0"/>
      <c r="R64" s="0"/>
    </row>
    <row r="65" customFormat="false" ht="20.5" hidden="false" customHeight="true" outlineLevel="0" collapsed="false">
      <c r="A65" s="0" t="n">
        <v>31</v>
      </c>
      <c r="B65" s="34" t="n">
        <v>36739</v>
      </c>
      <c r="C65" s="56" t="n">
        <v>0</v>
      </c>
      <c r="D65" s="29" t="s">
        <v>41</v>
      </c>
      <c r="E65" s="33" t="n">
        <f aca="false">IF(D65="totale",(C65/(A65*24))/F65,IF(D65="marché libre",(C65/(A65*24))/G65,"spécifier histo"))</f>
        <v>0</v>
      </c>
      <c r="F65" s="59" t="n">
        <v>2200</v>
      </c>
      <c r="G65" s="59" t="n">
        <f aca="false">F65-H65</f>
        <v>2200</v>
      </c>
      <c r="H65" s="58" t="n">
        <v>0</v>
      </c>
      <c r="I65" s="9"/>
      <c r="J65" s="0"/>
      <c r="K65" s="0"/>
      <c r="L65" s="0"/>
      <c r="M65" s="0"/>
      <c r="N65" s="0"/>
      <c r="O65" s="0"/>
      <c r="P65" s="0"/>
      <c r="Q65" s="0"/>
      <c r="R65" s="0"/>
    </row>
    <row r="66" customFormat="false" ht="20.5" hidden="false" customHeight="true" outlineLevel="0" collapsed="false">
      <c r="A66" s="0" t="n">
        <v>30</v>
      </c>
      <c r="B66" s="31" t="n">
        <v>36770</v>
      </c>
      <c r="C66" s="56" t="n">
        <v>374000</v>
      </c>
      <c r="D66" s="29" t="s">
        <v>41</v>
      </c>
      <c r="E66" s="33" t="n">
        <f aca="false">IF(D66="totale",(C66/(A66*24))/F66,IF(D66="marché libre",(C66/(A66*24))/G66,"spécifier histo"))</f>
        <v>0.236111111111111</v>
      </c>
      <c r="F66" s="59" t="n">
        <v>2200</v>
      </c>
      <c r="G66" s="59" t="n">
        <f aca="false">F66-H66</f>
        <v>2200</v>
      </c>
      <c r="H66" s="58" t="n">
        <v>0</v>
      </c>
      <c r="I66" s="9"/>
      <c r="J66" s="30"/>
    </row>
    <row r="67" customFormat="false" ht="20.5" hidden="false" customHeight="true" outlineLevel="0" collapsed="false">
      <c r="A67" s="0" t="n">
        <v>31</v>
      </c>
      <c r="B67" s="34" t="n">
        <v>36800</v>
      </c>
      <c r="C67" s="56" t="n">
        <v>670800</v>
      </c>
      <c r="D67" s="29" t="s">
        <v>41</v>
      </c>
      <c r="E67" s="33" t="n">
        <f aca="false">IF(D67="totale",(C67/(A67*24))/F67,IF(D67="marché libre",(C67/(A67*24))/G67,"spécifier histo"))</f>
        <v>0.409824046920821</v>
      </c>
      <c r="F67" s="59" t="n">
        <v>2200</v>
      </c>
      <c r="G67" s="59" t="n">
        <f aca="false">F67-H67</f>
        <v>2200</v>
      </c>
      <c r="H67" s="58" t="n">
        <v>0</v>
      </c>
      <c r="I67" s="9"/>
      <c r="J67" s="30"/>
    </row>
    <row r="68" customFormat="false" ht="20.5" hidden="false" customHeight="true" outlineLevel="0" collapsed="false">
      <c r="A68" s="0" t="n">
        <v>30</v>
      </c>
      <c r="B68" s="31" t="n">
        <v>36831</v>
      </c>
      <c r="C68" s="56" t="n">
        <v>1383600</v>
      </c>
      <c r="D68" s="29" t="s">
        <v>41</v>
      </c>
      <c r="E68" s="33" t="n">
        <f aca="false">IF(D68="totale",(C68/(A68*24))/F68,IF(D68="marché libre",(C68/(A68*24))/G68,"spécifier histo"))</f>
        <v>0.873484848484848</v>
      </c>
      <c r="F68" s="59" t="n">
        <v>2200</v>
      </c>
      <c r="G68" s="59" t="n">
        <f aca="false">F68-H68</f>
        <v>2200</v>
      </c>
      <c r="H68" s="58" t="n">
        <v>0</v>
      </c>
      <c r="I68" s="9"/>
      <c r="J68" s="30"/>
    </row>
    <row r="69" customFormat="false" ht="20.5" hidden="false" customHeight="true" outlineLevel="0" collapsed="false">
      <c r="A69" s="0" t="n">
        <v>31</v>
      </c>
      <c r="B69" s="34" t="n">
        <v>36861</v>
      </c>
      <c r="C69" s="56" t="n">
        <v>376000</v>
      </c>
      <c r="D69" s="29" t="s">
        <v>41</v>
      </c>
      <c r="E69" s="33" t="n">
        <f aca="false">IF(D69="totale",(C69/(A69*24))/F69,IF(D69="marché libre",(C69/(A69*24))/G69,"spécifier histo"))</f>
        <v>0.229716520039101</v>
      </c>
      <c r="F69" s="59" t="n">
        <v>2200</v>
      </c>
      <c r="G69" s="59" t="n">
        <f aca="false">F69-H69</f>
        <v>2200</v>
      </c>
      <c r="H69" s="58" t="n">
        <v>0</v>
      </c>
      <c r="I69" s="9"/>
      <c r="J69" s="30"/>
    </row>
    <row r="70" customFormat="false" ht="20.5" hidden="false" customHeight="true" outlineLevel="0" collapsed="false">
      <c r="A70" s="0" t="n">
        <v>31</v>
      </c>
      <c r="B70" s="31" t="n">
        <v>36892</v>
      </c>
      <c r="C70" s="56" t="n">
        <v>307600</v>
      </c>
      <c r="D70" s="29" t="s">
        <v>41</v>
      </c>
      <c r="E70" s="33" t="n">
        <f aca="false">IF(D70="totale",(C70/(A70*24))/F70,IF(D70="marché libre",(C70/(A70*24))/G70,"spécifier histo"))</f>
        <v>0.187927663734115</v>
      </c>
      <c r="F70" s="59" t="n">
        <v>2200</v>
      </c>
      <c r="G70" s="59" t="n">
        <f aca="false">F70-H70</f>
        <v>2200</v>
      </c>
      <c r="H70" s="58" t="n">
        <v>0</v>
      </c>
      <c r="I70" s="9"/>
      <c r="J70" s="30"/>
    </row>
    <row r="71" customFormat="false" ht="20.5" hidden="false" customHeight="true" outlineLevel="0" collapsed="false">
      <c r="A71" s="0" t="n">
        <v>28</v>
      </c>
      <c r="B71" s="34" t="n">
        <v>36923</v>
      </c>
      <c r="C71" s="56" t="n">
        <v>641200</v>
      </c>
      <c r="D71" s="29" t="s">
        <v>41</v>
      </c>
      <c r="E71" s="33" t="n">
        <f aca="false">IF(D71="totale",(C71/(A71*24))/F71,IF(D71="marché libre",(C71/(A71*24))/G71,"spécifier histo"))</f>
        <v>0.433712121212121</v>
      </c>
      <c r="F71" s="59" t="n">
        <v>2200</v>
      </c>
      <c r="G71" s="59" t="n">
        <f aca="false">F71-H71</f>
        <v>2200</v>
      </c>
      <c r="H71" s="58" t="n">
        <v>0</v>
      </c>
      <c r="I71" s="9"/>
      <c r="J71" s="30"/>
    </row>
    <row r="72" customFormat="false" ht="20.5" hidden="false" customHeight="true" outlineLevel="0" collapsed="false">
      <c r="A72" s="0" t="n">
        <v>31</v>
      </c>
      <c r="B72" s="31" t="n">
        <v>36951</v>
      </c>
      <c r="C72" s="56" t="n">
        <v>1441200</v>
      </c>
      <c r="D72" s="29" t="s">
        <v>41</v>
      </c>
      <c r="E72" s="33" t="n">
        <f aca="false">IF(D72="totale",(C72/(A72*24))/F72,IF(D72="marché libre",(C72/(A72*24))/G72,"spécifier histo"))</f>
        <v>0.88049853372434</v>
      </c>
      <c r="F72" s="59" t="n">
        <v>2200</v>
      </c>
      <c r="G72" s="59" t="n">
        <f aca="false">F72-H72</f>
        <v>2200</v>
      </c>
      <c r="H72" s="58" t="n">
        <v>0</v>
      </c>
      <c r="I72" s="9"/>
      <c r="J72" s="30"/>
    </row>
    <row r="73" customFormat="false" ht="20.5" hidden="false" customHeight="true" outlineLevel="0" collapsed="false">
      <c r="A73" s="0" t="n">
        <v>30</v>
      </c>
      <c r="B73" s="34" t="n">
        <v>36982</v>
      </c>
      <c r="C73" s="56" t="n">
        <v>1550400</v>
      </c>
      <c r="D73" s="29" t="s">
        <v>41</v>
      </c>
      <c r="E73" s="33" t="n">
        <f aca="false">IF(D73="totale",(C73/(A73*24))/F73,IF(D73="marché libre",(C73/(A73*24))/G73,"spécifier histo"))</f>
        <v>0.978787878787879</v>
      </c>
      <c r="F73" s="59" t="n">
        <v>2200</v>
      </c>
      <c r="G73" s="59" t="n">
        <f aca="false">F73-H73</f>
        <v>2200</v>
      </c>
      <c r="H73" s="58" t="n">
        <v>0</v>
      </c>
      <c r="I73" s="9"/>
      <c r="J73" s="0"/>
      <c r="K73" s="0"/>
      <c r="L73" s="0"/>
      <c r="M73" s="0"/>
      <c r="N73" s="0"/>
      <c r="O73" s="0"/>
      <c r="P73" s="0"/>
      <c r="Q73" s="0"/>
      <c r="R73" s="0"/>
    </row>
    <row r="74" customFormat="false" ht="20.5" hidden="false" customHeight="true" outlineLevel="0" collapsed="false">
      <c r="A74" s="0" t="n">
        <v>31</v>
      </c>
      <c r="B74" s="31" t="n">
        <v>37012</v>
      </c>
      <c r="C74" s="56" t="n">
        <v>1461600</v>
      </c>
      <c r="D74" s="29" t="s">
        <v>41</v>
      </c>
      <c r="E74" s="33" t="n">
        <f aca="false">IF(D74="totale",(C74/(A74*24))/F74,IF(D74="marché libre",(C74/(A74*24))/G74,"spécifier histo"))</f>
        <v>0.892961876832845</v>
      </c>
      <c r="F74" s="59" t="n">
        <v>2200</v>
      </c>
      <c r="G74" s="59" t="n">
        <f aca="false">F74-H74</f>
        <v>2200</v>
      </c>
      <c r="H74" s="58" t="n">
        <v>0</v>
      </c>
      <c r="I74" s="9"/>
      <c r="J74" s="0"/>
      <c r="K74" s="0"/>
      <c r="L74" s="0"/>
      <c r="M74" s="0"/>
      <c r="N74" s="0"/>
      <c r="O74" s="0"/>
      <c r="P74" s="0"/>
      <c r="Q74" s="0"/>
      <c r="R74" s="0"/>
    </row>
    <row r="75" customFormat="false" ht="20.5" hidden="false" customHeight="true" outlineLevel="0" collapsed="false">
      <c r="A75" s="0" t="n">
        <v>30</v>
      </c>
      <c r="B75" s="34" t="n">
        <v>37043</v>
      </c>
      <c r="C75" s="56" t="n">
        <v>888800</v>
      </c>
      <c r="D75" s="29" t="s">
        <v>41</v>
      </c>
      <c r="E75" s="33" t="n">
        <f aca="false">IF(D75="totale",(C75/(A75*24))/F75,IF(D75="marché libre",(C75/(A75*24))/G75,"spécifier histo"))</f>
        <v>0.561111111111111</v>
      </c>
      <c r="F75" s="59" t="n">
        <v>2200</v>
      </c>
      <c r="G75" s="59" t="n">
        <f aca="false">F75-H75</f>
        <v>2200</v>
      </c>
      <c r="H75" s="58" t="n">
        <v>0</v>
      </c>
      <c r="I75" s="9"/>
      <c r="J75" s="0"/>
      <c r="K75" s="0"/>
      <c r="L75" s="0"/>
      <c r="M75" s="0"/>
      <c r="N75" s="0"/>
      <c r="O75" s="0"/>
      <c r="P75" s="0"/>
      <c r="Q75" s="0"/>
      <c r="R75" s="0"/>
    </row>
    <row r="76" customFormat="false" ht="20.5" hidden="false" customHeight="true" outlineLevel="0" collapsed="false">
      <c r="A76" s="0" t="n">
        <v>31</v>
      </c>
      <c r="B76" s="31" t="n">
        <v>37073</v>
      </c>
      <c r="C76" s="56" t="n">
        <v>305600</v>
      </c>
      <c r="D76" s="29" t="s">
        <v>41</v>
      </c>
      <c r="E76" s="33" t="n">
        <f aca="false">IF(D76="totale",(C76/(A76*24))/F76,IF(D76="marché libre",(C76/(A76*24))/G76,"spécifier histo"))</f>
        <v>0.186705767350929</v>
      </c>
      <c r="F76" s="59" t="n">
        <v>2200</v>
      </c>
      <c r="G76" s="59" t="n">
        <f aca="false">F76-H76</f>
        <v>2200</v>
      </c>
      <c r="H76" s="58" t="n">
        <v>0</v>
      </c>
      <c r="I76" s="9"/>
      <c r="J76" s="0"/>
      <c r="K76" s="0"/>
      <c r="L76" s="0"/>
      <c r="M76" s="0"/>
      <c r="N76" s="0"/>
      <c r="O76" s="0"/>
      <c r="P76" s="0"/>
      <c r="Q76" s="0"/>
      <c r="R76" s="0"/>
    </row>
    <row r="77" customFormat="false" ht="20.5" hidden="false" customHeight="true" outlineLevel="0" collapsed="false">
      <c r="A77" s="0" t="n">
        <v>31</v>
      </c>
      <c r="B77" s="34" t="n">
        <v>37104</v>
      </c>
      <c r="C77" s="56" t="n">
        <v>0</v>
      </c>
      <c r="D77" s="29" t="s">
        <v>41</v>
      </c>
      <c r="E77" s="33" t="n">
        <f aca="false">IF(D77="totale",(C77/(A77*24))/F77,IF(D77="marché libre",(C77/(A77*24))/G77,"spécifier histo"))</f>
        <v>0</v>
      </c>
      <c r="F77" s="59" t="n">
        <v>2200</v>
      </c>
      <c r="G77" s="59" t="n">
        <f aca="false">F77-H77</f>
        <v>2200</v>
      </c>
      <c r="H77" s="58" t="n">
        <v>0</v>
      </c>
      <c r="I77" s="9"/>
      <c r="J77" s="0"/>
      <c r="K77" s="0"/>
      <c r="L77" s="0"/>
      <c r="M77" s="0"/>
      <c r="N77" s="0"/>
      <c r="O77" s="0"/>
      <c r="P77" s="0"/>
      <c r="Q77" s="0"/>
      <c r="R77" s="0"/>
    </row>
    <row r="78" customFormat="false" ht="20.5" hidden="false" customHeight="true" outlineLevel="0" collapsed="false">
      <c r="A78" s="0" t="n">
        <v>30</v>
      </c>
      <c r="B78" s="31" t="n">
        <v>37135</v>
      </c>
      <c r="C78" s="56" t="n">
        <v>360000</v>
      </c>
      <c r="D78" s="29" t="s">
        <v>41</v>
      </c>
      <c r="E78" s="33" t="n">
        <f aca="false">IF(D78="totale",(C78/(A78*24))/F78,IF(D78="marché libre",(C78/(A78*24))/G78,"spécifier histo"))</f>
        <v>0.227272727272727</v>
      </c>
      <c r="F78" s="59" t="n">
        <v>2200</v>
      </c>
      <c r="G78" s="59" t="n">
        <f aca="false">F78-H78</f>
        <v>2200</v>
      </c>
      <c r="H78" s="58" t="n">
        <v>0</v>
      </c>
      <c r="I78" s="9"/>
      <c r="J78" s="30"/>
    </row>
    <row r="79" customFormat="false" ht="20.5" hidden="false" customHeight="true" outlineLevel="0" collapsed="false">
      <c r="A79" s="0" t="n">
        <v>31</v>
      </c>
      <c r="B79" s="34" t="n">
        <v>37165</v>
      </c>
      <c r="C79" s="56" t="n">
        <v>708000</v>
      </c>
      <c r="D79" s="29" t="s">
        <v>41</v>
      </c>
      <c r="E79" s="33" t="n">
        <f aca="false">IF(D79="totale",(C79/(A79*24))/F79,IF(D79="marché libre",(C79/(A79*24))/G79,"spécifier histo"))</f>
        <v>0.432551319648094</v>
      </c>
      <c r="F79" s="59" t="n">
        <v>2200</v>
      </c>
      <c r="G79" s="59" t="n">
        <f aca="false">F79-H79</f>
        <v>2200</v>
      </c>
      <c r="H79" s="58" t="n">
        <v>0</v>
      </c>
      <c r="I79" s="9"/>
      <c r="J79" s="30"/>
    </row>
    <row r="80" customFormat="false" ht="20.5" hidden="false" customHeight="true" outlineLevel="0" collapsed="false">
      <c r="A80" s="0" t="n">
        <v>30</v>
      </c>
      <c r="B80" s="31" t="n">
        <v>37196</v>
      </c>
      <c r="C80" s="56" t="n">
        <v>277600</v>
      </c>
      <c r="D80" s="29" t="s">
        <v>41</v>
      </c>
      <c r="E80" s="33" t="n">
        <f aca="false">IF(D80="totale",(C80/(A80*24))/F80,IF(D80="marché libre",(C80/(A80*24))/G80,"spécifier histo"))</f>
        <v>0.175252525252525</v>
      </c>
      <c r="F80" s="59" t="n">
        <v>2200</v>
      </c>
      <c r="G80" s="59" t="n">
        <f aca="false">F80-H80</f>
        <v>2200</v>
      </c>
      <c r="H80" s="58" t="n">
        <v>0</v>
      </c>
      <c r="I80" s="9"/>
      <c r="J80" s="30"/>
    </row>
    <row r="81" customFormat="false" ht="20.5" hidden="false" customHeight="true" outlineLevel="0" collapsed="false">
      <c r="A81" s="0" t="n">
        <v>31</v>
      </c>
      <c r="B81" s="34" t="n">
        <v>37226</v>
      </c>
      <c r="C81" s="56" t="n">
        <v>328400</v>
      </c>
      <c r="D81" s="29" t="s">
        <v>41</v>
      </c>
      <c r="E81" s="33" t="n">
        <f aca="false">IF(D81="totale",(C81/(A81*24))/F81,IF(D81="marché libre",(C81/(A81*24))/G81,"spécifier histo"))</f>
        <v>0.200635386119257</v>
      </c>
      <c r="F81" s="59" t="n">
        <v>2200</v>
      </c>
      <c r="G81" s="59" t="n">
        <f aca="false">F81-H81</f>
        <v>2200</v>
      </c>
      <c r="H81" s="58" t="n">
        <v>0</v>
      </c>
      <c r="I81" s="9"/>
      <c r="J81" s="30"/>
    </row>
    <row r="82" customFormat="false" ht="20.5" hidden="false" customHeight="true" outlineLevel="0" collapsed="false">
      <c r="A82" s="0" t="n">
        <v>31</v>
      </c>
      <c r="B82" s="31" t="n">
        <v>37257</v>
      </c>
      <c r="C82" s="56" t="n">
        <v>247600</v>
      </c>
      <c r="D82" s="29" t="s">
        <v>41</v>
      </c>
      <c r="E82" s="33" t="n">
        <f aca="false">IF(D82="totale",(C82/(A82*24))/F82,IF(D82="marché libre",(C82/(A82*24))/G82,"spécifier histo"))</f>
        <v>0.151270772238514</v>
      </c>
      <c r="F82" s="59" t="n">
        <v>2200</v>
      </c>
      <c r="G82" s="59" t="n">
        <f aca="false">F82-H82</f>
        <v>2200</v>
      </c>
      <c r="H82" s="58" t="n">
        <v>0</v>
      </c>
      <c r="I82" s="9"/>
      <c r="J82" s="30"/>
    </row>
    <row r="83" customFormat="false" ht="20.5" hidden="false" customHeight="true" outlineLevel="0" collapsed="false">
      <c r="A83" s="0" t="n">
        <v>28</v>
      </c>
      <c r="B83" s="34" t="n">
        <v>37288</v>
      </c>
      <c r="C83" s="56" t="n">
        <v>801200</v>
      </c>
      <c r="D83" s="29" t="s">
        <v>41</v>
      </c>
      <c r="E83" s="33" t="n">
        <f aca="false">IF(D83="totale",(C83/(A83*24))/F83,IF(D83="marché libre",(C83/(A83*24))/G83,"spécifier histo"))</f>
        <v>0.541937229437229</v>
      </c>
      <c r="F83" s="59" t="n">
        <v>2200</v>
      </c>
      <c r="G83" s="59" t="n">
        <f aca="false">F83-H83</f>
        <v>2200</v>
      </c>
      <c r="H83" s="58" t="n">
        <v>0</v>
      </c>
      <c r="I83" s="9"/>
      <c r="J83" s="30"/>
    </row>
    <row r="84" customFormat="false" ht="20.5" hidden="false" customHeight="true" outlineLevel="0" collapsed="false">
      <c r="A84" s="0" t="n">
        <v>31</v>
      </c>
      <c r="B84" s="31" t="n">
        <v>37316</v>
      </c>
      <c r="C84" s="56" t="n">
        <v>1408000</v>
      </c>
      <c r="D84" s="29" t="s">
        <v>41</v>
      </c>
      <c r="E84" s="33" t="n">
        <f aca="false">IF(D84="totale",(C84/(A84*24))/F84,IF(D84="marché libre",(C84/(A84*24))/G84,"spécifier histo"))</f>
        <v>0.860215053763441</v>
      </c>
      <c r="F84" s="59" t="n">
        <v>2200</v>
      </c>
      <c r="G84" s="59" t="n">
        <f aca="false">F84-H84</f>
        <v>2200</v>
      </c>
      <c r="H84" s="58" t="n">
        <v>0</v>
      </c>
      <c r="I84" s="9"/>
      <c r="J84" s="30"/>
    </row>
    <row r="85" customFormat="false" ht="20.5" hidden="false" customHeight="true" outlineLevel="0" collapsed="false">
      <c r="A85" s="0" t="n">
        <v>30</v>
      </c>
      <c r="B85" s="34" t="n">
        <v>37347</v>
      </c>
      <c r="C85" s="56" t="n">
        <v>592800</v>
      </c>
      <c r="D85" s="29" t="s">
        <v>41</v>
      </c>
      <c r="E85" s="33" t="n">
        <f aca="false">IF(D85="totale",(C85/(A85*24))/F85,IF(D85="marché libre",(C85/(A85*24))/G85,"spécifier histo"))</f>
        <v>0.374242424242424</v>
      </c>
      <c r="F85" s="59" t="n">
        <v>2200</v>
      </c>
      <c r="G85" s="59" t="n">
        <f aca="false">F85-H85</f>
        <v>2200</v>
      </c>
      <c r="H85" s="58" t="n">
        <v>0</v>
      </c>
      <c r="I85" s="9"/>
      <c r="J85" s="30"/>
    </row>
    <row r="86" customFormat="false" ht="20.5" hidden="false" customHeight="true" outlineLevel="0" collapsed="false">
      <c r="A86" s="0" t="n">
        <v>31</v>
      </c>
      <c r="B86" s="31" t="n">
        <v>37377</v>
      </c>
      <c r="C86" s="56" t="n">
        <v>1214400</v>
      </c>
      <c r="D86" s="29" t="s">
        <v>41</v>
      </c>
      <c r="E86" s="33" t="n">
        <f aca="false">IF(D86="totale",(C86/(A86*24))/F86,IF(D86="marché libre",(C86/(A86*24))/G86,"spécifier histo"))</f>
        <v>0.741935483870968</v>
      </c>
      <c r="F86" s="59" t="n">
        <v>2200</v>
      </c>
      <c r="G86" s="59" t="n">
        <f aca="false">F86-H86</f>
        <v>2200</v>
      </c>
      <c r="H86" s="58" t="n">
        <v>0</v>
      </c>
      <c r="I86" s="9"/>
      <c r="J86" s="30"/>
    </row>
    <row r="87" customFormat="false" ht="20.5" hidden="false" customHeight="true" outlineLevel="0" collapsed="false">
      <c r="A87" s="0" t="n">
        <v>30</v>
      </c>
      <c r="B87" s="34" t="n">
        <v>37408</v>
      </c>
      <c r="C87" s="56" t="n">
        <v>619600</v>
      </c>
      <c r="D87" s="29" t="s">
        <v>41</v>
      </c>
      <c r="E87" s="33" t="n">
        <f aca="false">IF(D87="totale",(C87/(A87*24))/F87,IF(D87="marché libre",(C87/(A87*24))/G87,"spécifier histo"))</f>
        <v>0.391161616161616</v>
      </c>
      <c r="F87" s="59" t="n">
        <v>2200</v>
      </c>
      <c r="G87" s="59" t="n">
        <f aca="false">F87-H87</f>
        <v>2200</v>
      </c>
      <c r="H87" s="58" t="n">
        <v>0</v>
      </c>
      <c r="I87" s="9"/>
      <c r="J87" s="30"/>
    </row>
    <row r="88" customFormat="false" ht="20.5" hidden="false" customHeight="true" outlineLevel="0" collapsed="false">
      <c r="A88" s="0" t="n">
        <v>31</v>
      </c>
      <c r="B88" s="31" t="n">
        <v>37438</v>
      </c>
      <c r="C88" s="56" t="n">
        <v>109200</v>
      </c>
      <c r="D88" s="29" t="s">
        <v>41</v>
      </c>
      <c r="E88" s="33" t="n">
        <f aca="false">IF(D88="totale",(C88/(A88*24))/F88,IF(D88="marché libre",(C88/(A88*24))/G88,"spécifier histo"))</f>
        <v>0.0667155425219941</v>
      </c>
      <c r="F88" s="59" t="n">
        <v>2200</v>
      </c>
      <c r="G88" s="59" t="n">
        <f aca="false">F88-H88</f>
        <v>2200</v>
      </c>
      <c r="H88" s="58" t="n">
        <v>0</v>
      </c>
      <c r="I88" s="9"/>
      <c r="J88" s="30"/>
    </row>
    <row r="89" customFormat="false" ht="20.5" hidden="false" customHeight="true" outlineLevel="0" collapsed="false">
      <c r="A89" s="0" t="n">
        <v>31</v>
      </c>
      <c r="B89" s="34" t="n">
        <v>37469</v>
      </c>
      <c r="C89" s="56" t="n">
        <v>0</v>
      </c>
      <c r="D89" s="29" t="s">
        <v>41</v>
      </c>
      <c r="E89" s="33" t="n">
        <f aca="false">IF(D89="totale",(C89/(A89*24))/F89,IF(D89="marché libre",(C89/(A89*24))/G89,"spécifier histo"))</f>
        <v>0</v>
      </c>
      <c r="F89" s="59" t="n">
        <v>2200</v>
      </c>
      <c r="G89" s="59" t="n">
        <f aca="false">F89-H89</f>
        <v>2200</v>
      </c>
      <c r="H89" s="58" t="n">
        <v>0</v>
      </c>
      <c r="I89" s="9"/>
      <c r="J89" s="30"/>
    </row>
    <row r="90" customFormat="false" ht="20.5" hidden="false" customHeight="true" outlineLevel="0" collapsed="false">
      <c r="A90" s="0" t="n">
        <v>30</v>
      </c>
      <c r="B90" s="31" t="n">
        <v>37500</v>
      </c>
      <c r="C90" s="56" t="n">
        <v>710800</v>
      </c>
      <c r="D90" s="29" t="s">
        <v>41</v>
      </c>
      <c r="E90" s="33" t="n">
        <f aca="false">IF(D90="totale",(C90/(A90*24))/F90,IF(D90="marché libre",(C90/(A90*24))/G90,"spécifier histo"))</f>
        <v>0.448737373737374</v>
      </c>
      <c r="F90" s="59" t="n">
        <v>2200</v>
      </c>
      <c r="G90" s="59" t="n">
        <f aca="false">F90-H90</f>
        <v>2200</v>
      </c>
      <c r="H90" s="58" t="n">
        <v>0</v>
      </c>
      <c r="I90" s="9"/>
      <c r="J90" s="0"/>
      <c r="K90" s="0"/>
      <c r="L90" s="0"/>
      <c r="M90" s="0"/>
      <c r="N90" s="0"/>
      <c r="O90" s="0"/>
      <c r="P90" s="0"/>
      <c r="Q90" s="0"/>
      <c r="R90" s="0"/>
    </row>
    <row r="91" customFormat="false" ht="20.5" hidden="false" customHeight="true" outlineLevel="0" collapsed="false">
      <c r="A91" s="0" t="n">
        <v>31</v>
      </c>
      <c r="B91" s="34" t="n">
        <v>37530</v>
      </c>
      <c r="C91" s="56" t="n">
        <v>143600</v>
      </c>
      <c r="D91" s="29" t="s">
        <v>41</v>
      </c>
      <c r="E91" s="33" t="n">
        <f aca="false">IF(D91="totale",(C91/(A91*24))/F91,IF(D91="marché libre",(C91/(A91*24))/G91,"spécifier histo"))</f>
        <v>0.0877321603128055</v>
      </c>
      <c r="F91" s="59" t="n">
        <v>2200</v>
      </c>
      <c r="G91" s="59" t="n">
        <f aca="false">F91-H91</f>
        <v>2200</v>
      </c>
      <c r="H91" s="58" t="n">
        <v>0</v>
      </c>
      <c r="I91" s="9"/>
      <c r="J91" s="0"/>
      <c r="K91" s="0"/>
      <c r="L91" s="0"/>
      <c r="M91" s="0"/>
      <c r="N91" s="0"/>
      <c r="O91" s="0"/>
      <c r="P91" s="0"/>
      <c r="Q91" s="0"/>
      <c r="R91" s="0"/>
    </row>
    <row r="92" customFormat="false" ht="20.5" hidden="false" customHeight="true" outlineLevel="0" collapsed="false">
      <c r="A92" s="0" t="n">
        <v>30</v>
      </c>
      <c r="B92" s="31" t="n">
        <v>37561</v>
      </c>
      <c r="C92" s="56" t="n">
        <v>1177200</v>
      </c>
      <c r="D92" s="29" t="s">
        <v>41</v>
      </c>
      <c r="E92" s="33" t="n">
        <f aca="false">IF(D92="totale",(C92/(A92*24))/F92,IF(D92="marché libre",(C92/(A92*24))/G92,"spécifier histo"))</f>
        <v>0.743181818181818</v>
      </c>
      <c r="F92" s="59" t="n">
        <v>2200</v>
      </c>
      <c r="G92" s="59" t="n">
        <f aca="false">F92-H92</f>
        <v>2200</v>
      </c>
      <c r="H92" s="58" t="n">
        <v>0</v>
      </c>
      <c r="I92" s="9"/>
      <c r="J92" s="0"/>
      <c r="K92" s="0"/>
      <c r="L92" s="0"/>
      <c r="M92" s="0"/>
      <c r="N92" s="0"/>
      <c r="O92" s="0"/>
      <c r="P92" s="0"/>
      <c r="Q92" s="0"/>
      <c r="R92" s="0"/>
    </row>
    <row r="93" customFormat="false" ht="20.5" hidden="false" customHeight="true" outlineLevel="0" collapsed="false">
      <c r="A93" s="0" t="n">
        <v>31</v>
      </c>
      <c r="B93" s="34" t="n">
        <v>37591</v>
      </c>
      <c r="C93" s="56" t="n">
        <v>1442000</v>
      </c>
      <c r="D93" s="29" t="s">
        <v>41</v>
      </c>
      <c r="E93" s="33" t="n">
        <f aca="false">IF(D93="totale",(C93/(A93*24))/F93,IF(D93="marché libre",(C93/(A93*24))/G93,"spécifier histo"))</f>
        <v>0.880987292277615</v>
      </c>
      <c r="F93" s="59" t="n">
        <v>2200</v>
      </c>
      <c r="G93" s="59" t="n">
        <f aca="false">F93-H93</f>
        <v>2200</v>
      </c>
      <c r="H93" s="58" t="n">
        <v>0</v>
      </c>
      <c r="I93" s="9"/>
      <c r="J93" s="0"/>
      <c r="K93" s="0"/>
      <c r="L93" s="0"/>
      <c r="M93" s="0"/>
      <c r="N93" s="0"/>
      <c r="O93" s="0"/>
      <c r="P93" s="0"/>
      <c r="Q93" s="0"/>
      <c r="R93" s="0"/>
    </row>
    <row r="94" customFormat="false" ht="20.5" hidden="false" customHeight="true" outlineLevel="0" collapsed="false">
      <c r="A94" s="0" t="n">
        <v>31</v>
      </c>
      <c r="B94" s="31" t="n">
        <v>37622</v>
      </c>
      <c r="C94" s="56" t="n">
        <v>1442200</v>
      </c>
      <c r="D94" s="29" t="s">
        <v>41</v>
      </c>
      <c r="E94" s="33" t="n">
        <f aca="false">IF(D94="totale",(C94/(A94*24))/F94,IF(D94="marché libre",(C94/(A94*24))/G94,"spécifier histo"))</f>
        <v>0.881109481915934</v>
      </c>
      <c r="F94" s="59" t="n">
        <v>2200</v>
      </c>
      <c r="G94" s="59" t="n">
        <f aca="false">F94-H94</f>
        <v>2200</v>
      </c>
      <c r="H94" s="58" t="n">
        <v>0</v>
      </c>
      <c r="I94" s="9"/>
      <c r="J94" s="0"/>
      <c r="K94" s="0"/>
      <c r="L94" s="0"/>
      <c r="M94" s="0"/>
      <c r="N94" s="0"/>
      <c r="O94" s="0"/>
      <c r="P94" s="0"/>
      <c r="Q94" s="0"/>
      <c r="R94" s="0"/>
    </row>
    <row r="95" customFormat="false" ht="20.5" hidden="false" customHeight="true" outlineLevel="0" collapsed="false">
      <c r="A95" s="0" t="n">
        <v>28</v>
      </c>
      <c r="B95" s="34" t="n">
        <v>37653</v>
      </c>
      <c r="C95" s="56" t="n">
        <v>996400</v>
      </c>
      <c r="D95" s="29" t="s">
        <v>41</v>
      </c>
      <c r="E95" s="33" t="n">
        <f aca="false">IF(D95="totale",(C95/(A95*24))/F95,IF(D95="marché libre",(C95/(A95*24))/G95,"spécifier histo"))</f>
        <v>0.673971861471861</v>
      </c>
      <c r="F95" s="59" t="n">
        <v>2200</v>
      </c>
      <c r="G95" s="59" t="n">
        <f aca="false">F95-H95</f>
        <v>2200</v>
      </c>
      <c r="H95" s="58" t="n">
        <v>0</v>
      </c>
      <c r="I95" s="9"/>
      <c r="J95" s="30"/>
    </row>
    <row r="96" customFormat="false" ht="20.5" hidden="false" customHeight="true" outlineLevel="0" collapsed="false">
      <c r="A96" s="0" t="n">
        <v>31</v>
      </c>
      <c r="B96" s="31" t="n">
        <v>37681</v>
      </c>
      <c r="C96" s="56" t="n">
        <v>1228400</v>
      </c>
      <c r="D96" s="29" t="s">
        <v>41</v>
      </c>
      <c r="E96" s="33" t="n">
        <f aca="false">IF(D96="totale",(C96/(A96*24))/F96,IF(D96="marché libre",(C96/(A96*24))/G96,"spécifier histo"))</f>
        <v>0.750488758553275</v>
      </c>
      <c r="F96" s="59" t="n">
        <v>2200</v>
      </c>
      <c r="G96" s="59" t="n">
        <f aca="false">F96-H96</f>
        <v>2200</v>
      </c>
      <c r="H96" s="58" t="n">
        <v>0</v>
      </c>
      <c r="I96" s="9"/>
      <c r="J96" s="30"/>
    </row>
    <row r="97" customFormat="false" ht="20.5" hidden="false" customHeight="true" outlineLevel="0" collapsed="false">
      <c r="A97" s="0" t="n">
        <v>30</v>
      </c>
      <c r="B97" s="34" t="n">
        <v>37712</v>
      </c>
      <c r="C97" s="56" t="n">
        <v>900400</v>
      </c>
      <c r="D97" s="29" t="s">
        <v>41</v>
      </c>
      <c r="E97" s="33" t="n">
        <f aca="false">IF(D97="totale",(C97/(A97*24))/F97,IF(D97="marché libre",(C97/(A97*24))/G97,"spécifier histo"))</f>
        <v>0.568434343434344</v>
      </c>
      <c r="F97" s="59" t="n">
        <v>2200</v>
      </c>
      <c r="G97" s="59" t="n">
        <f aca="false">F97-H97</f>
        <v>2200</v>
      </c>
      <c r="H97" s="58" t="n">
        <v>0</v>
      </c>
      <c r="I97" s="9"/>
      <c r="J97" s="30"/>
    </row>
    <row r="98" customFormat="false" ht="20.5" hidden="false" customHeight="true" outlineLevel="0" collapsed="false">
      <c r="A98" s="0" t="n">
        <v>31</v>
      </c>
      <c r="B98" s="31" t="n">
        <v>37742</v>
      </c>
      <c r="C98" s="56" t="n">
        <v>272400</v>
      </c>
      <c r="D98" s="29" t="s">
        <v>41</v>
      </c>
      <c r="E98" s="33" t="n">
        <f aca="false">IF(D98="totale",(C98/(A98*24))/F98,IF(D98="marché libre",(C98/(A98*24))/G98,"spécifier histo"))</f>
        <v>0.166422287390029</v>
      </c>
      <c r="F98" s="59" t="n">
        <v>2200</v>
      </c>
      <c r="G98" s="59" t="n">
        <f aca="false">F98-H98</f>
        <v>2200</v>
      </c>
      <c r="H98" s="58" t="n">
        <v>0</v>
      </c>
      <c r="I98" s="9"/>
      <c r="J98" s="30"/>
    </row>
    <row r="99" customFormat="false" ht="20.5" hidden="false" customHeight="true" outlineLevel="0" collapsed="false">
      <c r="A99" s="0" t="n">
        <v>30</v>
      </c>
      <c r="B99" s="34" t="n">
        <v>37773</v>
      </c>
      <c r="C99" s="56" t="n">
        <v>62800</v>
      </c>
      <c r="D99" s="29" t="s">
        <v>41</v>
      </c>
      <c r="E99" s="33" t="n">
        <f aca="false">IF(D99="totale",(C99/(A99*24))/F99,IF(D99="marché libre",(C99/(A99*24))/G99,"spécifier histo"))</f>
        <v>0.0396464646464646</v>
      </c>
      <c r="F99" s="59" t="n">
        <v>2200</v>
      </c>
      <c r="G99" s="59" t="n">
        <f aca="false">F99-H99</f>
        <v>2200</v>
      </c>
      <c r="H99" s="58" t="n">
        <v>0</v>
      </c>
      <c r="I99" s="9"/>
      <c r="J99" s="30"/>
    </row>
    <row r="100" customFormat="false" ht="20.5" hidden="false" customHeight="true" outlineLevel="0" collapsed="false">
      <c r="A100" s="0" t="n">
        <v>31</v>
      </c>
      <c r="B100" s="31" t="n">
        <v>37803</v>
      </c>
      <c r="C100" s="56" t="n">
        <v>0</v>
      </c>
      <c r="D100" s="29" t="s">
        <v>41</v>
      </c>
      <c r="E100" s="33" t="n">
        <f aca="false">IF(D100="totale",(C100/(A100*24))/F100,IF(D100="marché libre",(C100/(A100*24))/G100,"spécifier histo"))</f>
        <v>0</v>
      </c>
      <c r="F100" s="59" t="n">
        <v>2200</v>
      </c>
      <c r="G100" s="59" t="n">
        <f aca="false">F100-H100</f>
        <v>2200</v>
      </c>
      <c r="H100" s="58" t="n">
        <v>0</v>
      </c>
      <c r="I100" s="9"/>
      <c r="J100" s="30"/>
    </row>
    <row r="101" customFormat="false" ht="20.5" hidden="false" customHeight="true" outlineLevel="0" collapsed="false">
      <c r="A101" s="0" t="n">
        <v>31</v>
      </c>
      <c r="B101" s="34" t="n">
        <v>37834</v>
      </c>
      <c r="C101" s="56" t="n">
        <v>0</v>
      </c>
      <c r="D101" s="29" t="s">
        <v>41</v>
      </c>
      <c r="E101" s="33" t="n">
        <f aca="false">IF(D101="totale",(C101/(A101*24))/F101,IF(D101="marché libre",(C101/(A101*24))/G101,"spécifier histo"))</f>
        <v>0</v>
      </c>
      <c r="F101" s="59" t="n">
        <v>2200</v>
      </c>
      <c r="G101" s="59" t="n">
        <f aca="false">F101-H101</f>
        <v>2200</v>
      </c>
      <c r="H101" s="58" t="n">
        <v>0</v>
      </c>
      <c r="I101" s="9"/>
      <c r="J101" s="30"/>
    </row>
    <row r="102" customFormat="false" ht="20.5" hidden="false" customHeight="true" outlineLevel="0" collapsed="false">
      <c r="A102" s="0" t="n">
        <v>30</v>
      </c>
      <c r="B102" s="31" t="n">
        <v>37865</v>
      </c>
      <c r="C102" s="56" t="n">
        <v>0</v>
      </c>
      <c r="D102" s="29" t="s">
        <v>41</v>
      </c>
      <c r="E102" s="33" t="n">
        <f aca="false">IF(D102="totale",(C102/(A102*24))/F102,IF(D102="marché libre",(C102/(A102*24))/G102,"spécifier histo"))</f>
        <v>0</v>
      </c>
      <c r="F102" s="59" t="n">
        <v>2200</v>
      </c>
      <c r="G102" s="59" t="n">
        <f aca="false">F102-H102</f>
        <v>2200</v>
      </c>
      <c r="H102" s="58" t="n">
        <v>0</v>
      </c>
      <c r="I102" s="9"/>
      <c r="J102" s="30"/>
    </row>
    <row r="103" customFormat="false" ht="20.5" hidden="false" customHeight="true" outlineLevel="0" collapsed="false">
      <c r="A103" s="0" t="n">
        <v>31</v>
      </c>
      <c r="B103" s="34" t="n">
        <v>37895</v>
      </c>
      <c r="C103" s="56" t="n">
        <v>62000</v>
      </c>
      <c r="D103" s="29" t="s">
        <v>41</v>
      </c>
      <c r="E103" s="33" t="n">
        <f aca="false">IF(D103="totale",(C103/(A103*24))/F103,IF(D103="marché libre",(C103/(A103*24))/G103,"spécifier histo"))</f>
        <v>0.0378787878787879</v>
      </c>
      <c r="F103" s="59" t="n">
        <v>2200</v>
      </c>
      <c r="G103" s="59" t="n">
        <f aca="false">F103-H103</f>
        <v>2200</v>
      </c>
      <c r="H103" s="58" t="n">
        <v>0</v>
      </c>
      <c r="I103" s="9"/>
      <c r="J103" s="30"/>
    </row>
    <row r="104" customFormat="false" ht="20.5" hidden="false" customHeight="true" outlineLevel="0" collapsed="false">
      <c r="A104" s="0" t="n">
        <v>30</v>
      </c>
      <c r="B104" s="31" t="n">
        <v>37926</v>
      </c>
      <c r="C104" s="56" t="n">
        <v>433200</v>
      </c>
      <c r="D104" s="29" t="s">
        <v>41</v>
      </c>
      <c r="E104" s="33" t="n">
        <f aca="false">IF(D104="totale",(C104/(A104*24))/F104,IF(D104="marché libre",(C104/(A104*24))/G104,"spécifier histo"))</f>
        <v>0.273484848484848</v>
      </c>
      <c r="F104" s="59" t="n">
        <v>2200</v>
      </c>
      <c r="G104" s="59" t="n">
        <f aca="false">F104-H104</f>
        <v>2200</v>
      </c>
      <c r="H104" s="58" t="n">
        <v>0</v>
      </c>
      <c r="I104" s="9"/>
      <c r="J104" s="30"/>
    </row>
    <row r="105" customFormat="false" ht="20.5" hidden="false" customHeight="true" outlineLevel="0" collapsed="false">
      <c r="A105" s="0" t="n">
        <v>31</v>
      </c>
      <c r="B105" s="34" t="n">
        <v>37956</v>
      </c>
      <c r="C105" s="56" t="n">
        <v>792000</v>
      </c>
      <c r="D105" s="29" t="s">
        <v>41</v>
      </c>
      <c r="E105" s="33" t="n">
        <f aca="false">IF(D105="totale",(C105/(A105*24))/F105,IF(D105="marché libre",(C105/(A105*24))/G105,"spécifier histo"))</f>
        <v>0.483870967741936</v>
      </c>
      <c r="F105" s="59" t="n">
        <v>2200</v>
      </c>
      <c r="G105" s="59" t="n">
        <f aca="false">F105-H105</f>
        <v>2200</v>
      </c>
      <c r="H105" s="58" t="n">
        <v>0</v>
      </c>
      <c r="I105" s="9"/>
      <c r="J105" s="30"/>
    </row>
    <row r="106" customFormat="false" ht="20.5" hidden="false" customHeight="true" outlineLevel="0" collapsed="false">
      <c r="A106" s="0" t="n">
        <v>31</v>
      </c>
      <c r="B106" s="31" t="n">
        <v>37987</v>
      </c>
      <c r="C106" s="56" t="n">
        <v>1233600</v>
      </c>
      <c r="D106" s="29" t="s">
        <v>41</v>
      </c>
      <c r="E106" s="33" t="n">
        <f aca="false">IF(D106="totale",(C106/(A106*24))/F106,IF(D106="marché libre",(C106/(A106*24))/G106,"spécifier histo"))</f>
        <v>0.75366568914956</v>
      </c>
      <c r="F106" s="59" t="n">
        <v>2200</v>
      </c>
      <c r="G106" s="59" t="n">
        <f aca="false">F106-H106</f>
        <v>2200</v>
      </c>
      <c r="H106" s="58" t="n">
        <v>0</v>
      </c>
      <c r="I106" s="9"/>
      <c r="J106" s="0"/>
      <c r="K106" s="0"/>
      <c r="L106" s="0"/>
      <c r="M106" s="0"/>
      <c r="N106" s="0"/>
      <c r="O106" s="0"/>
      <c r="P106" s="0"/>
      <c r="Q106" s="0"/>
      <c r="R106" s="0"/>
    </row>
    <row r="107" customFormat="false" ht="20.5" hidden="false" customHeight="true" outlineLevel="0" collapsed="false">
      <c r="A107" s="0" t="n">
        <v>28</v>
      </c>
      <c r="B107" s="34" t="n">
        <v>38018</v>
      </c>
      <c r="C107" s="56" t="n">
        <v>908800</v>
      </c>
      <c r="D107" s="29" t="s">
        <v>41</v>
      </c>
      <c r="E107" s="33" t="n">
        <f aca="false">IF(D107="totale",(C107/(A107*24))/F107,IF(D107="marché libre",(C107/(A107*24))/G107,"spécifier histo"))</f>
        <v>0.614718614718615</v>
      </c>
      <c r="F107" s="59" t="n">
        <v>2200</v>
      </c>
      <c r="G107" s="59" t="n">
        <f aca="false">F107-H107</f>
        <v>2200</v>
      </c>
      <c r="H107" s="58" t="n">
        <v>0</v>
      </c>
      <c r="I107" s="9"/>
      <c r="J107" s="0"/>
      <c r="K107" s="0"/>
      <c r="L107" s="0"/>
      <c r="M107" s="0"/>
      <c r="N107" s="0"/>
      <c r="O107" s="0"/>
      <c r="P107" s="0"/>
      <c r="Q107" s="0"/>
      <c r="R107" s="0"/>
    </row>
    <row r="108" customFormat="false" ht="20.5" hidden="false" customHeight="true" outlineLevel="0" collapsed="false">
      <c r="A108" s="0" t="n">
        <v>31</v>
      </c>
      <c r="B108" s="31" t="n">
        <v>38047</v>
      </c>
      <c r="C108" s="56" t="n">
        <v>1222400</v>
      </c>
      <c r="D108" s="29" t="s">
        <v>41</v>
      </c>
      <c r="E108" s="33" t="n">
        <f aca="false">IF(D108="totale",(C108/(A108*24))/F108,IF(D108="marché libre",(C108/(A108*24))/G108,"spécifier histo"))</f>
        <v>0.746823069403715</v>
      </c>
      <c r="F108" s="59" t="n">
        <v>2200</v>
      </c>
      <c r="G108" s="59" t="n">
        <f aca="false">F108-H108</f>
        <v>2200</v>
      </c>
      <c r="H108" s="58" t="n">
        <v>0</v>
      </c>
      <c r="I108" s="9"/>
      <c r="J108" s="0"/>
      <c r="K108" s="0"/>
      <c r="L108" s="0"/>
      <c r="M108" s="0"/>
      <c r="N108" s="0"/>
      <c r="O108" s="0"/>
      <c r="P108" s="0"/>
      <c r="Q108" s="0"/>
      <c r="R108" s="0"/>
    </row>
    <row r="109" customFormat="false" ht="20.5" hidden="false" customHeight="true" outlineLevel="0" collapsed="false">
      <c r="A109" s="0" t="n">
        <v>30</v>
      </c>
      <c r="B109" s="34" t="n">
        <v>38078</v>
      </c>
      <c r="C109" s="56" t="n">
        <v>727000</v>
      </c>
      <c r="D109" s="29" t="s">
        <v>41</v>
      </c>
      <c r="E109" s="33" t="n">
        <f aca="false">IF(D109="totale",(C109/(A109*24))/F109,IF(D109="marché libre",(C109/(A109*24))/G109,"spécifier histo"))</f>
        <v>0.458964646464646</v>
      </c>
      <c r="F109" s="59" t="n">
        <v>2200</v>
      </c>
      <c r="G109" s="59" t="n">
        <f aca="false">F109-H109</f>
        <v>2200</v>
      </c>
      <c r="H109" s="58" t="n">
        <v>0</v>
      </c>
      <c r="I109" s="9"/>
      <c r="J109" s="0"/>
      <c r="K109" s="0"/>
      <c r="L109" s="0"/>
      <c r="M109" s="0"/>
      <c r="N109" s="0"/>
      <c r="O109" s="0"/>
      <c r="P109" s="0"/>
      <c r="Q109" s="0"/>
      <c r="R109" s="0"/>
    </row>
    <row r="110" customFormat="false" ht="20.5" hidden="false" customHeight="true" outlineLevel="0" collapsed="false">
      <c r="A110" s="0" t="n">
        <v>31</v>
      </c>
      <c r="B110" s="31" t="n">
        <v>38108</v>
      </c>
      <c r="C110" s="56" t="n">
        <v>659200</v>
      </c>
      <c r="D110" s="29" t="s">
        <v>41</v>
      </c>
      <c r="E110" s="33" t="n">
        <f aca="false">IF(D110="totale",(C110/(A110*24))/F110,IF(D110="marché libre",(C110/(A110*24))/G110,"spécifier histo"))</f>
        <v>0.402737047898338</v>
      </c>
      <c r="F110" s="59" t="n">
        <v>2200</v>
      </c>
      <c r="G110" s="59" t="n">
        <f aca="false">F110-H110</f>
        <v>2200</v>
      </c>
      <c r="H110" s="58" t="n">
        <v>0</v>
      </c>
      <c r="I110" s="9"/>
      <c r="J110" s="0"/>
      <c r="K110" s="0"/>
      <c r="L110" s="0"/>
      <c r="M110" s="0"/>
      <c r="N110" s="0"/>
      <c r="O110" s="0"/>
      <c r="P110" s="0"/>
      <c r="Q110" s="0"/>
      <c r="R110" s="0"/>
    </row>
    <row r="111" customFormat="false" ht="20.5" hidden="false" customHeight="true" outlineLevel="0" collapsed="false">
      <c r="A111" s="0" t="n">
        <v>30</v>
      </c>
      <c r="B111" s="34" t="n">
        <v>38139</v>
      </c>
      <c r="C111" s="56" t="n">
        <v>0</v>
      </c>
      <c r="D111" s="29" t="s">
        <v>41</v>
      </c>
      <c r="E111" s="33" t="n">
        <f aca="false">IF(D111="totale",(C111/(A111*24))/F111,IF(D111="marché libre",(C111/(A111*24))/G111,"spécifier histo"))</f>
        <v>0</v>
      </c>
      <c r="F111" s="59" t="n">
        <v>2200</v>
      </c>
      <c r="G111" s="59" t="n">
        <f aca="false">F111-H111</f>
        <v>2200</v>
      </c>
      <c r="H111" s="58" t="n">
        <v>0</v>
      </c>
      <c r="I111" s="9"/>
      <c r="J111" s="30"/>
    </row>
    <row r="112" customFormat="false" ht="20.5" hidden="false" customHeight="true" outlineLevel="0" collapsed="false">
      <c r="A112" s="0" t="n">
        <v>31</v>
      </c>
      <c r="B112" s="31" t="n">
        <v>38169</v>
      </c>
      <c r="C112" s="56" t="n">
        <v>0</v>
      </c>
      <c r="D112" s="29" t="s">
        <v>41</v>
      </c>
      <c r="E112" s="33" t="n">
        <f aca="false">IF(D112="totale",(C112/(A112*24))/F112,IF(D112="marché libre",(C112/(A112*24))/G112,"spécifier histo"))</f>
        <v>0</v>
      </c>
      <c r="F112" s="59" t="n">
        <v>2200</v>
      </c>
      <c r="G112" s="59" t="n">
        <f aca="false">F112-H112</f>
        <v>2200</v>
      </c>
      <c r="H112" s="58" t="n">
        <v>0</v>
      </c>
      <c r="I112" s="9"/>
      <c r="J112" s="30"/>
    </row>
    <row r="113" customFormat="false" ht="20.5" hidden="false" customHeight="true" outlineLevel="0" collapsed="false">
      <c r="A113" s="0" t="n">
        <v>31</v>
      </c>
      <c r="B113" s="34" t="n">
        <v>38200</v>
      </c>
      <c r="C113" s="56" t="n">
        <v>0</v>
      </c>
      <c r="D113" s="29" t="s">
        <v>41</v>
      </c>
      <c r="E113" s="33" t="n">
        <f aca="false">IF(D113="totale",(C113/(A113*24))/F113,IF(D113="marché libre",(C113/(A113*24))/G113,"spécifier histo"))</f>
        <v>0</v>
      </c>
      <c r="F113" s="59" t="n">
        <v>2200</v>
      </c>
      <c r="G113" s="59" t="n">
        <f aca="false">F113-H113</f>
        <v>2200</v>
      </c>
      <c r="H113" s="58" t="n">
        <v>0</v>
      </c>
      <c r="I113" s="9"/>
      <c r="J113" s="30"/>
    </row>
    <row r="114" customFormat="false" ht="20.5" hidden="false" customHeight="true" outlineLevel="0" collapsed="false">
      <c r="A114" s="0" t="n">
        <v>30</v>
      </c>
      <c r="B114" s="31" t="n">
        <v>38231</v>
      </c>
      <c r="C114" s="56" t="n">
        <v>99200</v>
      </c>
      <c r="D114" s="29" t="s">
        <v>41</v>
      </c>
      <c r="E114" s="33" t="n">
        <f aca="false">IF(D114="totale",(C114/(A114*24))/F114,IF(D114="marché libre",(C114/(A114*24))/G114,"spécifier histo"))</f>
        <v>0.0626262626262626</v>
      </c>
      <c r="F114" s="59" t="n">
        <v>2200</v>
      </c>
      <c r="G114" s="59" t="n">
        <f aca="false">F114-H114</f>
        <v>2200</v>
      </c>
      <c r="H114" s="58" t="n">
        <v>0</v>
      </c>
      <c r="I114" s="9"/>
      <c r="J114" s="30"/>
    </row>
    <row r="115" customFormat="false" ht="20.5" hidden="false" customHeight="true" outlineLevel="0" collapsed="false">
      <c r="A115" s="0" t="n">
        <v>31</v>
      </c>
      <c r="B115" s="34" t="n">
        <v>38261</v>
      </c>
      <c r="C115" s="56" t="n">
        <v>96400</v>
      </c>
      <c r="D115" s="29" t="s">
        <v>41</v>
      </c>
      <c r="E115" s="33" t="n">
        <f aca="false">IF(D115="totale",(C115/(A115*24))/F115,IF(D115="marché libre",(C115/(A115*24))/G115,"spécifier histo"))</f>
        <v>0.0588954056695992</v>
      </c>
      <c r="F115" s="59" t="n">
        <v>2200</v>
      </c>
      <c r="G115" s="59" t="n">
        <f aca="false">F115-H115</f>
        <v>2200</v>
      </c>
      <c r="H115" s="58" t="n">
        <v>0</v>
      </c>
      <c r="I115" s="9"/>
      <c r="J115" s="30"/>
    </row>
    <row r="116" customFormat="false" ht="20.5" hidden="false" customHeight="true" outlineLevel="0" collapsed="false">
      <c r="A116" s="0" t="n">
        <v>30</v>
      </c>
      <c r="B116" s="31" t="n">
        <v>38292</v>
      </c>
      <c r="C116" s="56" t="n">
        <v>154938</v>
      </c>
      <c r="D116" s="29" t="s">
        <v>41</v>
      </c>
      <c r="E116" s="33" t="n">
        <f aca="false">IF(D116="totale",(C116/(A116*24))/F116,IF(D116="marché libre",(C116/(A116*24))/G116,"spécifier histo"))</f>
        <v>0.0978143939393939</v>
      </c>
      <c r="F116" s="59" t="n">
        <v>2200</v>
      </c>
      <c r="G116" s="59" t="n">
        <f aca="false">F116-H116</f>
        <v>2200</v>
      </c>
      <c r="H116" s="58" t="n">
        <v>0</v>
      </c>
      <c r="I116" s="9"/>
      <c r="J116" s="30"/>
    </row>
    <row r="117" customFormat="false" ht="20.5" hidden="false" customHeight="true" outlineLevel="0" collapsed="false">
      <c r="A117" s="0" t="n">
        <v>31</v>
      </c>
      <c r="B117" s="34" t="n">
        <v>38322</v>
      </c>
      <c r="C117" s="56" t="n">
        <v>162872</v>
      </c>
      <c r="D117" s="29" t="s">
        <v>41</v>
      </c>
      <c r="E117" s="33" t="n">
        <f aca="false">IF(D117="totale",(C117/(A117*24))/F117,IF(D117="marché libre",(C117/(A117*24))/G117,"spécifier histo"))</f>
        <v>0.0995063538611926</v>
      </c>
      <c r="F117" s="59" t="n">
        <v>2200</v>
      </c>
      <c r="G117" s="59" t="n">
        <f aca="false">F117-H117</f>
        <v>2200</v>
      </c>
      <c r="H117" s="58" t="n">
        <v>0</v>
      </c>
      <c r="I117" s="9"/>
      <c r="J117" s="30"/>
    </row>
    <row r="118" customFormat="false" ht="19.85" hidden="false" customHeight="true" outlineLevel="0" collapsed="false">
      <c r="A118" s="0" t="n">
        <v>31</v>
      </c>
      <c r="B118" s="31" t="n">
        <v>38353</v>
      </c>
      <c r="C118" s="56" t="n">
        <v>570568</v>
      </c>
      <c r="D118" s="29" t="s">
        <v>41</v>
      </c>
      <c r="E118" s="33" t="n">
        <f aca="false">IF(D118="totale",(C118/(A118*24))/F118,IF(D118="marché libre",(C118/(A118*24))/G118,"spécifier histo"))</f>
        <v>0.348587487781036</v>
      </c>
      <c r="F118" s="59" t="n">
        <v>2200</v>
      </c>
      <c r="G118" s="59" t="n">
        <f aca="false">F118-H118</f>
        <v>2200</v>
      </c>
      <c r="H118" s="58" t="n">
        <v>0</v>
      </c>
      <c r="J118" s="70"/>
    </row>
    <row r="119" customFormat="false" ht="19.85" hidden="false" customHeight="true" outlineLevel="0" collapsed="false">
      <c r="A119" s="0" t="n">
        <v>28</v>
      </c>
      <c r="B119" s="34" t="n">
        <v>38384</v>
      </c>
      <c r="C119" s="56" t="n">
        <v>617307</v>
      </c>
      <c r="D119" s="29" t="s">
        <v>41</v>
      </c>
      <c r="E119" s="33" t="n">
        <f aca="false">IF(D119="totale",(C119/(A119*24))/F119,IF(D119="marché libre",(C119/(A119*24))/G119,"spécifier histo"))</f>
        <v>0.417550730519481</v>
      </c>
      <c r="F119" s="59" t="n">
        <v>2200</v>
      </c>
      <c r="G119" s="59" t="n">
        <f aca="false">F119-H119</f>
        <v>2200</v>
      </c>
      <c r="H119" s="58" t="n">
        <v>0</v>
      </c>
      <c r="J119" s="237"/>
      <c r="L119" s="0"/>
      <c r="M119" s="0"/>
    </row>
    <row r="120" customFormat="false" ht="19.85" hidden="false" customHeight="true" outlineLevel="0" collapsed="false">
      <c r="A120" s="0" t="n">
        <v>31</v>
      </c>
      <c r="B120" s="31" t="n">
        <v>38412</v>
      </c>
      <c r="C120" s="56" t="n">
        <v>1084270</v>
      </c>
      <c r="D120" s="29" t="s">
        <v>41</v>
      </c>
      <c r="E120" s="33" t="n">
        <f aca="false">IF(D120="totale",(C120/(A120*24))/F120,IF(D120="marché libre",(C120/(A120*24))/G120,"spécifier histo"))</f>
        <v>0.662432795698925</v>
      </c>
      <c r="F120" s="59" t="n">
        <v>2200</v>
      </c>
      <c r="G120" s="59" t="n">
        <f aca="false">F120-H120</f>
        <v>2200</v>
      </c>
      <c r="H120" s="58" t="n">
        <v>0</v>
      </c>
      <c r="J120" s="0"/>
      <c r="K120" s="0"/>
      <c r="L120" s="0"/>
      <c r="M120" s="0"/>
      <c r="N120" s="0"/>
      <c r="O120" s="0"/>
      <c r="P120" s="0"/>
      <c r="Q120" s="0"/>
      <c r="R120" s="0"/>
    </row>
    <row r="121" customFormat="false" ht="19.85" hidden="false" customHeight="true" outlineLevel="0" collapsed="false">
      <c r="A121" s="0" t="n">
        <v>30</v>
      </c>
      <c r="B121" s="34" t="n">
        <v>38443</v>
      </c>
      <c r="C121" s="56" t="n">
        <v>1404934</v>
      </c>
      <c r="D121" s="29" t="s">
        <v>41</v>
      </c>
      <c r="E121" s="33" t="n">
        <f aca="false">IF(D121="totale",(C121/(A121*24))/F121,IF(D121="marché libre",(C121/(A121*24))/G121,"spécifier histo"))</f>
        <v>0.886953282828283</v>
      </c>
      <c r="F121" s="59" t="n">
        <v>2200</v>
      </c>
      <c r="G121" s="59" t="n">
        <f aca="false">F121-H121</f>
        <v>2200</v>
      </c>
      <c r="H121" s="58" t="n">
        <v>0</v>
      </c>
      <c r="J121" s="0"/>
      <c r="K121" s="0"/>
      <c r="L121" s="0"/>
      <c r="M121" s="0"/>
      <c r="N121" s="0"/>
      <c r="O121" s="0"/>
      <c r="P121" s="0"/>
      <c r="Q121" s="0"/>
      <c r="R121" s="0"/>
    </row>
    <row r="122" customFormat="false" ht="19.85" hidden="false" customHeight="true" outlineLevel="0" collapsed="false">
      <c r="A122" s="0" t="n">
        <v>31</v>
      </c>
      <c r="B122" s="31" t="n">
        <v>38473</v>
      </c>
      <c r="C122" s="56" t="n">
        <v>1214742</v>
      </c>
      <c r="D122" s="29" t="s">
        <v>41</v>
      </c>
      <c r="E122" s="33" t="n">
        <f aca="false">IF(D122="totale",(C122/(A122*24))/F122,IF(D122="marché libre",(C122/(A122*24))/G122,"spécifier histo"))</f>
        <v>0.742144428152493</v>
      </c>
      <c r="F122" s="59" t="n">
        <v>2200</v>
      </c>
      <c r="G122" s="59" t="n">
        <f aca="false">F122-H122</f>
        <v>2200</v>
      </c>
      <c r="H122" s="58" t="n">
        <v>0</v>
      </c>
      <c r="J122" s="0"/>
      <c r="K122" s="0"/>
      <c r="L122" s="0"/>
      <c r="M122" s="0"/>
      <c r="N122" s="0"/>
      <c r="O122" s="0"/>
      <c r="P122" s="0"/>
      <c r="Q122" s="0"/>
      <c r="R122" s="0"/>
    </row>
    <row r="123" customFormat="false" ht="19.85" hidden="false" customHeight="true" outlineLevel="0" collapsed="false">
      <c r="A123" s="0" t="n">
        <v>30</v>
      </c>
      <c r="B123" s="34" t="n">
        <v>38504</v>
      </c>
      <c r="C123" s="56" t="n">
        <v>172182</v>
      </c>
      <c r="D123" s="29" t="s">
        <v>41</v>
      </c>
      <c r="E123" s="33" t="n">
        <f aca="false">IF(D123="totale",(C123/(A123*24))/F123,IF(D123="marché libre",(C123/(A123*24))/G123,"spécifier histo"))</f>
        <v>0.108700757575758</v>
      </c>
      <c r="F123" s="59" t="n">
        <v>2200</v>
      </c>
      <c r="G123" s="59" t="n">
        <f aca="false">F123-H123</f>
        <v>2200</v>
      </c>
      <c r="H123" s="58" t="n">
        <v>0</v>
      </c>
      <c r="J123" s="0"/>
      <c r="K123" s="0"/>
      <c r="L123" s="0"/>
      <c r="M123" s="0"/>
      <c r="N123" s="0"/>
      <c r="O123" s="0"/>
      <c r="P123" s="0"/>
      <c r="Q123" s="0"/>
      <c r="R123" s="0"/>
    </row>
    <row r="124" customFormat="false" ht="19.85" hidden="false" customHeight="true" outlineLevel="0" collapsed="false">
      <c r="A124" s="0" t="n">
        <v>31</v>
      </c>
      <c r="B124" s="31" t="n">
        <v>38534</v>
      </c>
      <c r="C124" s="56" t="n">
        <v>0</v>
      </c>
      <c r="D124" s="29" t="s">
        <v>41</v>
      </c>
      <c r="E124" s="33" t="n">
        <f aca="false">IF(D124="totale",(C124/(A124*24))/F124,IF(D124="marché libre",(C124/(A124*24))/G124,"spécifier histo"))</f>
        <v>0</v>
      </c>
      <c r="F124" s="59" t="n">
        <v>2200</v>
      </c>
      <c r="G124" s="59" t="n">
        <f aca="false">F124-H124</f>
        <v>2200</v>
      </c>
      <c r="H124" s="58" t="n">
        <v>0</v>
      </c>
      <c r="J124" s="0"/>
      <c r="K124" s="0"/>
      <c r="L124" s="0"/>
      <c r="M124" s="0"/>
      <c r="N124" s="0"/>
      <c r="O124" s="0"/>
      <c r="P124" s="0"/>
      <c r="Q124" s="0"/>
      <c r="R124" s="0"/>
    </row>
    <row r="125" customFormat="false" ht="19.85" hidden="false" customHeight="true" outlineLevel="0" collapsed="false">
      <c r="A125" s="0" t="n">
        <v>31</v>
      </c>
      <c r="B125" s="34" t="n">
        <v>38565</v>
      </c>
      <c r="C125" s="56" t="n">
        <v>0</v>
      </c>
      <c r="D125" s="29" t="s">
        <v>41</v>
      </c>
      <c r="E125" s="33" t="n">
        <f aca="false">IF(D125="totale",(C125/(A125*24))/F125,IF(D125="marché libre",(C125/(A125*24))/G125,"spécifier histo"))</f>
        <v>0</v>
      </c>
      <c r="F125" s="59" t="n">
        <v>2200</v>
      </c>
      <c r="G125" s="59" t="n">
        <f aca="false">F125-H125</f>
        <v>2200</v>
      </c>
      <c r="H125" s="58" t="n">
        <v>0</v>
      </c>
      <c r="J125" s="70"/>
    </row>
    <row r="126" customFormat="false" ht="19.85" hidden="false" customHeight="true" outlineLevel="0" collapsed="false">
      <c r="A126" s="0" t="n">
        <v>30</v>
      </c>
      <c r="B126" s="31" t="n">
        <v>38596</v>
      </c>
      <c r="C126" s="56" t="n">
        <v>9933</v>
      </c>
      <c r="D126" s="29" t="s">
        <v>41</v>
      </c>
      <c r="E126" s="33" t="n">
        <f aca="false">IF(D126="totale",(C126/(A126*24))/F126,IF(D126="marché libre",(C126/(A126*24))/G126,"spécifier histo"))</f>
        <v>0.00627083333333333</v>
      </c>
      <c r="F126" s="59" t="n">
        <v>2200</v>
      </c>
      <c r="G126" s="59" t="n">
        <f aca="false">F126-H126</f>
        <v>2200</v>
      </c>
      <c r="H126" s="58" t="n">
        <v>0</v>
      </c>
      <c r="J126" s="70"/>
    </row>
    <row r="127" customFormat="false" ht="19.85" hidden="false" customHeight="true" outlineLevel="0" collapsed="false">
      <c r="A127" s="0" t="n">
        <v>31</v>
      </c>
      <c r="B127" s="34" t="n">
        <v>38626</v>
      </c>
      <c r="C127" s="56" t="n">
        <v>13140</v>
      </c>
      <c r="D127" s="29" t="s">
        <v>41</v>
      </c>
      <c r="E127" s="33" t="n">
        <f aca="false">IF(D127="totale",(C127/(A127*24))/F127,IF(D127="marché libre",(C127/(A127*24))/G127,"spécifier histo"))</f>
        <v>0.00802785923753666</v>
      </c>
      <c r="F127" s="59" t="n">
        <v>2200</v>
      </c>
      <c r="G127" s="59" t="n">
        <f aca="false">F127-H127</f>
        <v>2200</v>
      </c>
      <c r="H127" s="58" t="n">
        <v>0</v>
      </c>
      <c r="J127" s="70"/>
      <c r="L127" s="38"/>
      <c r="M127" s="38"/>
      <c r="N127" s="38"/>
      <c r="O127" s="38"/>
      <c r="P127" s="38"/>
      <c r="Q127" s="38"/>
      <c r="R127" s="38"/>
      <c r="S127" s="38"/>
      <c r="T127" s="38"/>
      <c r="U127" s="38"/>
      <c r="V127" s="38"/>
      <c r="W127" s="38"/>
      <c r="X127" s="38"/>
      <c r="Y127" s="38"/>
      <c r="Z127" s="38"/>
      <c r="AA127" s="38"/>
      <c r="AB127" s="38"/>
      <c r="AC127" s="38"/>
      <c r="AD127" s="38"/>
    </row>
    <row r="128" customFormat="false" ht="19.85" hidden="false" customHeight="true" outlineLevel="0" collapsed="false">
      <c r="A128" s="0" t="n">
        <v>30</v>
      </c>
      <c r="B128" s="31" t="n">
        <v>38657</v>
      </c>
      <c r="C128" s="56" t="n">
        <v>60193</v>
      </c>
      <c r="D128" s="29" t="s">
        <v>41</v>
      </c>
      <c r="E128" s="33" t="n">
        <f aca="false">IF(D128="totale",(C128/(A128*24))/F128,IF(D128="marché libre",(C128/(A128*24))/G128,"spécifier histo"))</f>
        <v>0.0380006313131313</v>
      </c>
      <c r="F128" s="59" t="n">
        <v>2200</v>
      </c>
      <c r="G128" s="59" t="n">
        <f aca="false">F128-H128</f>
        <v>2200</v>
      </c>
      <c r="H128" s="58" t="n">
        <v>0</v>
      </c>
      <c r="J128" s="70"/>
      <c r="L128" s="0"/>
      <c r="M128" s="0"/>
      <c r="N128" s="0"/>
      <c r="O128" s="0"/>
      <c r="P128" s="0"/>
      <c r="Q128" s="0"/>
      <c r="R128" s="0"/>
      <c r="S128" s="0"/>
      <c r="T128" s="0"/>
      <c r="U128" s="0"/>
    </row>
    <row r="129" customFormat="false" ht="19.85" hidden="false" customHeight="true" outlineLevel="0" collapsed="false">
      <c r="A129" s="0" t="n">
        <v>31</v>
      </c>
      <c r="B129" s="34" t="n">
        <v>38687</v>
      </c>
      <c r="C129" s="56" t="n">
        <v>205507</v>
      </c>
      <c r="D129" s="29" t="s">
        <v>41</v>
      </c>
      <c r="E129" s="33" t="n">
        <f aca="false">IF(D129="totale",(C129/(A129*24))/F129,IF(D129="marché libre",(C129/(A129*24))/G129,"spécifier histo"))</f>
        <v>0.125554130009775</v>
      </c>
      <c r="F129" s="59" t="n">
        <v>2200</v>
      </c>
      <c r="G129" s="59" t="n">
        <f aca="false">F129-H129</f>
        <v>2200</v>
      </c>
      <c r="H129" s="58" t="n">
        <v>0</v>
      </c>
      <c r="J129" s="70"/>
      <c r="L129" s="0"/>
      <c r="M129" s="0"/>
      <c r="N129" s="0"/>
      <c r="O129" s="0"/>
      <c r="P129" s="0"/>
      <c r="Q129" s="0"/>
      <c r="R129" s="0"/>
      <c r="S129" s="0"/>
      <c r="T129" s="0"/>
      <c r="U129" s="0"/>
    </row>
    <row r="130" customFormat="false" ht="19.85" hidden="false" customHeight="true" outlineLevel="0" collapsed="false">
      <c r="A130" s="0" t="n">
        <v>31</v>
      </c>
      <c r="B130" s="31" t="n">
        <v>38718</v>
      </c>
      <c r="C130" s="56" t="n">
        <v>181369</v>
      </c>
      <c r="D130" s="29" t="s">
        <v>41</v>
      </c>
      <c r="E130" s="33" t="n">
        <f aca="false">IF(D130="totale",(C130/(A130*24))/F130,IF(D130="marché libre",(C130/(A130*24))/G130,"spécifier histo"))</f>
        <v>0.110807062561095</v>
      </c>
      <c r="F130" s="59" t="n">
        <v>2200</v>
      </c>
      <c r="G130" s="59" t="n">
        <f aca="false">F130-H130</f>
        <v>2200</v>
      </c>
      <c r="H130" s="58" t="n">
        <v>0</v>
      </c>
      <c r="J130" s="55"/>
      <c r="L130" s="0"/>
      <c r="M130" s="0"/>
      <c r="N130" s="0"/>
      <c r="O130" s="0"/>
      <c r="P130" s="0"/>
      <c r="Q130" s="0"/>
      <c r="R130" s="0"/>
      <c r="S130" s="0"/>
      <c r="T130" s="0"/>
      <c r="U130" s="0"/>
    </row>
    <row r="131" customFormat="false" ht="19.85" hidden="false" customHeight="true" outlineLevel="0" collapsed="false">
      <c r="A131" s="0" t="n">
        <v>28</v>
      </c>
      <c r="B131" s="34" t="n">
        <v>38749</v>
      </c>
      <c r="C131" s="56" t="n">
        <v>412917</v>
      </c>
      <c r="D131" s="29" t="s">
        <v>41</v>
      </c>
      <c r="E131" s="33" t="n">
        <f aca="false">IF(D131="totale",(C131/(A131*24))/F131,IF(D131="marché libre",(C131/(A131*24))/G131,"spécifier histo"))</f>
        <v>0.279299918831169</v>
      </c>
      <c r="F131" s="59" t="n">
        <v>2200</v>
      </c>
      <c r="G131" s="59" t="n">
        <f aca="false">F131-H131</f>
        <v>2200</v>
      </c>
      <c r="H131" s="58" t="n">
        <v>0</v>
      </c>
      <c r="J131" s="55"/>
      <c r="L131" s="0"/>
      <c r="M131" s="0"/>
      <c r="N131" s="0"/>
      <c r="O131" s="0"/>
      <c r="P131" s="0"/>
      <c r="Q131" s="0"/>
      <c r="R131" s="0"/>
      <c r="S131" s="0"/>
      <c r="T131" s="0"/>
      <c r="U131" s="0"/>
    </row>
    <row r="132" customFormat="false" ht="19.85" hidden="false" customHeight="true" outlineLevel="0" collapsed="false">
      <c r="A132" s="0" t="n">
        <v>31</v>
      </c>
      <c r="B132" s="31" t="n">
        <v>38777</v>
      </c>
      <c r="C132" s="56" t="n">
        <v>1132894</v>
      </c>
      <c r="D132" s="29" t="s">
        <v>41</v>
      </c>
      <c r="E132" s="33" t="n">
        <f aca="false">IF(D132="totale",(C132/(A132*24))/F132,IF(D132="marché libre",(C132/(A132*24))/G132,"spécifier histo"))</f>
        <v>0.69213954056696</v>
      </c>
      <c r="F132" s="59" t="n">
        <v>2200</v>
      </c>
      <c r="G132" s="59" t="n">
        <f aca="false">F132-H132</f>
        <v>2200</v>
      </c>
      <c r="H132" s="58" t="n">
        <v>0</v>
      </c>
      <c r="J132" s="55"/>
      <c r="L132" s="0"/>
      <c r="M132" s="0"/>
      <c r="N132" s="0"/>
      <c r="O132" s="0"/>
      <c r="P132" s="0"/>
      <c r="Q132" s="0"/>
      <c r="R132" s="0"/>
      <c r="S132" s="0"/>
      <c r="T132" s="0"/>
      <c r="U132" s="0"/>
    </row>
    <row r="133" customFormat="false" ht="19.85" hidden="false" customHeight="true" outlineLevel="0" collapsed="false">
      <c r="A133" s="0" t="n">
        <v>30</v>
      </c>
      <c r="B133" s="34" t="n">
        <v>38808</v>
      </c>
      <c r="C133" s="56" t="n">
        <v>1311410</v>
      </c>
      <c r="D133" s="29" t="s">
        <v>41</v>
      </c>
      <c r="E133" s="33" t="n">
        <f aca="false">IF(D133="totale",(C133/(A133*24))/F133,IF(D133="marché libre",(C133/(A133*24))/G133,"spécifier histo"))</f>
        <v>0.827910353535354</v>
      </c>
      <c r="F133" s="59" t="n">
        <v>2200</v>
      </c>
      <c r="G133" s="59" t="n">
        <f aca="false">F133-H133</f>
        <v>2200</v>
      </c>
      <c r="H133" s="58" t="n">
        <v>0</v>
      </c>
      <c r="J133" s="55"/>
      <c r="L133" s="0"/>
      <c r="M133" s="0"/>
      <c r="N133" s="0"/>
      <c r="O133" s="0"/>
      <c r="P133" s="0"/>
      <c r="Q133" s="0"/>
      <c r="R133" s="0"/>
      <c r="S133" s="0"/>
      <c r="T133" s="0"/>
      <c r="U133" s="0"/>
    </row>
    <row r="134" customFormat="false" ht="19.85" hidden="false" customHeight="true" outlineLevel="0" collapsed="false">
      <c r="A134" s="0" t="n">
        <v>31</v>
      </c>
      <c r="B134" s="31" t="n">
        <v>38838</v>
      </c>
      <c r="C134" s="56" t="n">
        <v>974730</v>
      </c>
      <c r="D134" s="29" t="s">
        <v>41</v>
      </c>
      <c r="E134" s="33" t="n">
        <f aca="false">IF(D134="totale",(C134/(A134*24))/F134,IF(D134="marché libre",(C134/(A134*24))/G134,"spécifier histo"))</f>
        <v>0.595509530791789</v>
      </c>
      <c r="F134" s="59" t="n">
        <v>2200</v>
      </c>
      <c r="G134" s="59" t="n">
        <f aca="false">F134-H134</f>
        <v>2200</v>
      </c>
      <c r="H134" s="58" t="n">
        <v>0</v>
      </c>
      <c r="J134" s="55"/>
      <c r="L134" s="0"/>
      <c r="M134" s="0"/>
      <c r="N134" s="0"/>
      <c r="O134" s="0"/>
      <c r="P134" s="0"/>
      <c r="Q134" s="0"/>
      <c r="R134" s="0"/>
      <c r="S134" s="0"/>
      <c r="T134" s="0"/>
      <c r="U134" s="0"/>
    </row>
    <row r="135" customFormat="false" ht="19.85" hidden="false" customHeight="true" outlineLevel="0" collapsed="false">
      <c r="A135" s="0" t="n">
        <v>30</v>
      </c>
      <c r="B135" s="34" t="n">
        <v>38869</v>
      </c>
      <c r="C135" s="56" t="n">
        <v>73418</v>
      </c>
      <c r="D135" s="29" t="s">
        <v>41</v>
      </c>
      <c r="E135" s="33" t="n">
        <f aca="false">IF(D135="totale",(C135/(A135*24))/F135,IF(D135="marché libre",(C135/(A135*24))/G135,"spécifier histo"))</f>
        <v>0.0463497474747475</v>
      </c>
      <c r="F135" s="59" t="n">
        <v>2200</v>
      </c>
      <c r="G135" s="59" t="n">
        <f aca="false">F135-H135</f>
        <v>2200</v>
      </c>
      <c r="H135" s="58" t="n">
        <v>0</v>
      </c>
      <c r="J135" s="55"/>
      <c r="L135" s="0"/>
      <c r="M135" s="0"/>
      <c r="N135" s="0"/>
      <c r="O135" s="0"/>
      <c r="P135" s="0"/>
      <c r="Q135" s="0"/>
      <c r="R135" s="0"/>
      <c r="S135" s="0"/>
      <c r="T135" s="0"/>
      <c r="U135" s="0"/>
    </row>
    <row r="136" customFormat="false" ht="19.85" hidden="false" customHeight="true" outlineLevel="0" collapsed="false">
      <c r="A136" s="0" t="n">
        <v>31</v>
      </c>
      <c r="B136" s="31" t="n">
        <v>38899</v>
      </c>
      <c r="C136" s="56" t="n">
        <v>3285</v>
      </c>
      <c r="D136" s="29" t="s">
        <v>41</v>
      </c>
      <c r="E136" s="33" t="n">
        <f aca="false">IF(D136="totale",(C136/(A136*24))/F136,IF(D136="marché libre",(C136/(A136*24))/G136,"spécifier histo"))</f>
        <v>0.00200696480938416</v>
      </c>
      <c r="F136" s="59" t="n">
        <v>2200</v>
      </c>
      <c r="G136" s="59" t="n">
        <f aca="false">F136-H136</f>
        <v>2200</v>
      </c>
      <c r="H136" s="58" t="n">
        <v>0</v>
      </c>
      <c r="J136" s="55"/>
      <c r="L136" s="0"/>
      <c r="M136" s="0"/>
      <c r="N136" s="0"/>
      <c r="O136" s="0"/>
      <c r="P136" s="0"/>
      <c r="Q136" s="0"/>
      <c r="R136" s="0"/>
      <c r="S136" s="0"/>
      <c r="T136" s="0"/>
      <c r="U136" s="0"/>
    </row>
    <row r="137" customFormat="false" ht="19.85" hidden="false" customHeight="true" outlineLevel="0" collapsed="false">
      <c r="A137" s="0" t="n">
        <v>31</v>
      </c>
      <c r="B137" s="34" t="n">
        <v>38930</v>
      </c>
      <c r="C137" s="56" t="n">
        <v>0</v>
      </c>
      <c r="D137" s="29" t="s">
        <v>41</v>
      </c>
      <c r="E137" s="33" t="n">
        <f aca="false">IF(D137="totale",(C137/(A137*24))/F137,IF(D137="marché libre",(C137/(A137*24))/G137,"spécifier histo"))</f>
        <v>0</v>
      </c>
      <c r="F137" s="59" t="n">
        <v>2200</v>
      </c>
      <c r="G137" s="59" t="n">
        <f aca="false">F137-H137</f>
        <v>2200</v>
      </c>
      <c r="H137" s="58" t="n">
        <v>0</v>
      </c>
      <c r="J137" s="55"/>
      <c r="L137" s="0"/>
      <c r="M137" s="0"/>
      <c r="N137" s="0"/>
      <c r="O137" s="0"/>
      <c r="P137" s="0"/>
      <c r="Q137" s="0"/>
      <c r="R137" s="0"/>
      <c r="S137" s="0"/>
      <c r="T137" s="0"/>
      <c r="U137" s="0"/>
    </row>
    <row r="138" customFormat="false" ht="19.85" hidden="false" customHeight="true" outlineLevel="0" collapsed="false">
      <c r="A138" s="0" t="n">
        <v>30</v>
      </c>
      <c r="B138" s="31" t="n">
        <v>38961</v>
      </c>
      <c r="C138" s="56" t="n">
        <v>0</v>
      </c>
      <c r="D138" s="29" t="s">
        <v>41</v>
      </c>
      <c r="E138" s="33" t="n">
        <f aca="false">IF(D138="totale",(C138/(A138*24))/F138,IF(D138="marché libre",(C138/(A138*24))/G138,"spécifier histo"))</f>
        <v>0</v>
      </c>
      <c r="F138" s="59" t="n">
        <v>2200</v>
      </c>
      <c r="G138" s="59" t="n">
        <f aca="false">F138-H138</f>
        <v>2200</v>
      </c>
      <c r="H138" s="58" t="n">
        <v>0</v>
      </c>
      <c r="J138" s="55"/>
      <c r="L138" s="0"/>
      <c r="M138" s="0"/>
      <c r="N138" s="0"/>
      <c r="O138" s="0"/>
      <c r="P138" s="0"/>
      <c r="Q138" s="0"/>
      <c r="R138" s="0"/>
      <c r="S138" s="0"/>
      <c r="T138" s="0"/>
      <c r="U138" s="0"/>
    </row>
    <row r="139" customFormat="false" ht="19.85" hidden="false" customHeight="true" outlineLevel="0" collapsed="false">
      <c r="A139" s="0" t="n">
        <v>31</v>
      </c>
      <c r="B139" s="34" t="n">
        <v>38991</v>
      </c>
      <c r="C139" s="56" t="n">
        <v>53199</v>
      </c>
      <c r="D139" s="29" t="s">
        <v>41</v>
      </c>
      <c r="E139" s="33" t="n">
        <f aca="false">IF(D139="totale",(C139/(A139*24))/F139,IF(D139="marché libre",(C139/(A139*24))/G139,"spécifier histo"))</f>
        <v>0.0325018328445748</v>
      </c>
      <c r="F139" s="59" t="n">
        <v>2200</v>
      </c>
      <c r="G139" s="59" t="n">
        <f aca="false">F139-H139</f>
        <v>2200</v>
      </c>
      <c r="H139" s="58" t="n">
        <v>0</v>
      </c>
      <c r="J139" s="55"/>
      <c r="L139" s="0"/>
      <c r="M139" s="0"/>
      <c r="N139" s="0"/>
      <c r="O139" s="0"/>
      <c r="P139" s="0"/>
      <c r="Q139" s="0"/>
      <c r="R139" s="0"/>
      <c r="S139" s="0"/>
      <c r="T139" s="0"/>
      <c r="U139" s="0"/>
    </row>
    <row r="140" customFormat="false" ht="19.85" hidden="false" customHeight="true" outlineLevel="0" collapsed="false">
      <c r="A140" s="0" t="n">
        <v>30</v>
      </c>
      <c r="B140" s="31" t="n">
        <v>39022</v>
      </c>
      <c r="C140" s="56" t="n">
        <v>43385</v>
      </c>
      <c r="D140" s="29" t="s">
        <v>41</v>
      </c>
      <c r="E140" s="33" t="n">
        <f aca="false">IF(D140="totale",(C140/(A140*24))/F140,IF(D140="marché libre",(C140/(A140*24))/G140,"spécifier histo"))</f>
        <v>0.0273895202020202</v>
      </c>
      <c r="F140" s="59" t="n">
        <v>2200</v>
      </c>
      <c r="G140" s="59" t="n">
        <f aca="false">F140-H140</f>
        <v>2200</v>
      </c>
      <c r="H140" s="58" t="n">
        <v>0</v>
      </c>
      <c r="J140" s="55"/>
      <c r="L140" s="0"/>
      <c r="P140" s="0"/>
      <c r="T140" s="0"/>
    </row>
    <row r="141" customFormat="false" ht="19.85" hidden="false" customHeight="true" outlineLevel="0" collapsed="false">
      <c r="A141" s="0" t="n">
        <v>31</v>
      </c>
      <c r="B141" s="34" t="n">
        <v>39052</v>
      </c>
      <c r="C141" s="56" t="n">
        <v>211597</v>
      </c>
      <c r="D141" s="29" t="s">
        <v>41</v>
      </c>
      <c r="E141" s="33" t="n">
        <f aca="false">IF(D141="totale",(C141/(A141*24))/F141,IF(D141="marché libre",(C141/(A141*24))/G141,"spécifier histo"))</f>
        <v>0.129274804496579</v>
      </c>
      <c r="F141" s="59" t="n">
        <v>2200</v>
      </c>
      <c r="G141" s="59" t="n">
        <f aca="false">F141-H141</f>
        <v>2200</v>
      </c>
      <c r="H141" s="58" t="n">
        <v>0</v>
      </c>
      <c r="J141" s="55"/>
      <c r="L141" s="0"/>
      <c r="P141" s="0"/>
      <c r="T141" s="0"/>
    </row>
    <row r="142" customFormat="false" ht="19.85" hidden="false" customHeight="true" outlineLevel="0" collapsed="false">
      <c r="A142" s="0" t="n">
        <v>31</v>
      </c>
      <c r="B142" s="31" t="n">
        <v>39083</v>
      </c>
      <c r="C142" s="56" t="n">
        <v>207151</v>
      </c>
      <c r="D142" s="29" t="s">
        <v>41</v>
      </c>
      <c r="E142" s="33" t="n">
        <f aca="false">IF(D142="totale",(C142/(A142*24))/F142,IF(D142="marché libre",(C142/(A142*24))/G142,"spécifier histo"))</f>
        <v>0.126558528836755</v>
      </c>
      <c r="F142" s="59" t="n">
        <v>2200</v>
      </c>
      <c r="G142" s="59" t="n">
        <f aca="false">F142-H142</f>
        <v>2200</v>
      </c>
      <c r="H142" s="58" t="n">
        <v>0</v>
      </c>
      <c r="J142" s="55"/>
      <c r="L142" s="0"/>
      <c r="P142" s="0"/>
      <c r="T142" s="0"/>
    </row>
    <row r="143" customFormat="false" ht="19.85" hidden="false" customHeight="true" outlineLevel="0" collapsed="false">
      <c r="A143" s="0" t="n">
        <v>28</v>
      </c>
      <c r="B143" s="34" t="n">
        <v>39114</v>
      </c>
      <c r="C143" s="56" t="n">
        <v>649118</v>
      </c>
      <c r="D143" s="29" t="s">
        <v>41</v>
      </c>
      <c r="E143" s="33" t="n">
        <f aca="false">IF(D143="totale",(C143/(A143*24))/F143,IF(D143="marché libre",(C143/(A143*24))/G143,"spécifier histo"))</f>
        <v>0.439067911255411</v>
      </c>
      <c r="F143" s="59" t="n">
        <v>2200</v>
      </c>
      <c r="G143" s="59" t="n">
        <f aca="false">F143-H143</f>
        <v>2200</v>
      </c>
      <c r="H143" s="58" t="n">
        <v>0</v>
      </c>
      <c r="J143" s="55"/>
      <c r="L143" s="0"/>
      <c r="P143" s="0"/>
      <c r="T143" s="0"/>
    </row>
    <row r="144" customFormat="false" ht="19.85" hidden="false" customHeight="true" outlineLevel="0" collapsed="false">
      <c r="A144" s="0" t="n">
        <v>31</v>
      </c>
      <c r="B144" s="31" t="n">
        <v>39142</v>
      </c>
      <c r="C144" s="56" t="n">
        <v>1093633</v>
      </c>
      <c r="D144" s="29" t="s">
        <v>41</v>
      </c>
      <c r="E144" s="33" t="n">
        <f aca="false">IF(D144="totale",(C144/(A144*24))/F144,IF(D144="marché libre",(C144/(A144*24))/G144,"spécifier histo"))</f>
        <v>0.668153103616813</v>
      </c>
      <c r="F144" s="59" t="n">
        <v>2200</v>
      </c>
      <c r="G144" s="59" t="n">
        <f aca="false">F144-H144</f>
        <v>2200</v>
      </c>
      <c r="H144" s="58" t="n">
        <v>0</v>
      </c>
      <c r="J144" s="55"/>
      <c r="L144" s="0"/>
      <c r="P144" s="0"/>
      <c r="T144" s="0"/>
    </row>
    <row r="145" customFormat="false" ht="19.85" hidden="false" customHeight="true" outlineLevel="0" collapsed="false">
      <c r="A145" s="0" t="n">
        <v>30</v>
      </c>
      <c r="B145" s="34" t="n">
        <v>39173</v>
      </c>
      <c r="C145" s="56" t="n">
        <v>643963</v>
      </c>
      <c r="D145" s="29" t="s">
        <v>41</v>
      </c>
      <c r="E145" s="33" t="n">
        <f aca="false">IF(D145="totale",(C145/(A145*24))/F145,IF(D145="marché libre",(C145/(A145*24))/G145,"spécifier histo"))</f>
        <v>0.406542297979798</v>
      </c>
      <c r="F145" s="59" t="n">
        <v>2200</v>
      </c>
      <c r="G145" s="59" t="n">
        <f aca="false">F145-H145</f>
        <v>2200</v>
      </c>
      <c r="H145" s="58" t="n">
        <v>0</v>
      </c>
      <c r="J145" s="55"/>
      <c r="L145" s="0"/>
      <c r="P145" s="0"/>
      <c r="T145" s="0"/>
    </row>
    <row r="146" customFormat="false" ht="19.85" hidden="false" customHeight="true" outlineLevel="0" collapsed="false">
      <c r="A146" s="0" t="n">
        <v>31</v>
      </c>
      <c r="B146" s="31" t="n">
        <v>39203</v>
      </c>
      <c r="C146" s="56" t="n">
        <v>689523</v>
      </c>
      <c r="D146" s="29" t="s">
        <v>41</v>
      </c>
      <c r="E146" s="33" t="n">
        <f aca="false">IF(D146="totale",(C146/(A146*24))/F146,IF(D146="marché libre",(C146/(A146*24))/G146,"spécifier histo"))</f>
        <v>0.421262829912023</v>
      </c>
      <c r="F146" s="59" t="n">
        <v>2200</v>
      </c>
      <c r="G146" s="59" t="n">
        <f aca="false">F146-H146</f>
        <v>2200</v>
      </c>
      <c r="H146" s="58" t="n">
        <v>0</v>
      </c>
      <c r="J146" s="55"/>
      <c r="L146" s="0"/>
      <c r="P146" s="0"/>
      <c r="T146" s="0"/>
    </row>
    <row r="147" customFormat="false" ht="19.85" hidden="false" customHeight="true" outlineLevel="0" collapsed="false">
      <c r="A147" s="0" t="n">
        <v>30</v>
      </c>
      <c r="B147" s="34" t="n">
        <v>39234</v>
      </c>
      <c r="C147" s="56" t="n">
        <v>848671</v>
      </c>
      <c r="D147" s="29" t="s">
        <v>41</v>
      </c>
      <c r="E147" s="33" t="n">
        <f aca="false">IF(D147="totale",(C147/(A147*24))/F147,IF(D147="marché libre",(C147/(A147*24))/G147,"spécifier histo"))</f>
        <v>0.535777146464646</v>
      </c>
      <c r="F147" s="59" t="n">
        <v>2200</v>
      </c>
      <c r="G147" s="59" t="n">
        <f aca="false">F147-H147</f>
        <v>2200</v>
      </c>
      <c r="H147" s="58" t="n">
        <v>0</v>
      </c>
      <c r="J147" s="55"/>
      <c r="L147" s="0"/>
      <c r="P147" s="0"/>
      <c r="T147" s="0"/>
    </row>
    <row r="148" customFormat="false" ht="19.85" hidden="false" customHeight="true" outlineLevel="0" collapsed="false">
      <c r="A148" s="0" t="n">
        <v>31</v>
      </c>
      <c r="B148" s="31" t="n">
        <v>39264</v>
      </c>
      <c r="C148" s="56" t="n">
        <v>152814</v>
      </c>
      <c r="D148" s="29" t="s">
        <v>41</v>
      </c>
      <c r="E148" s="33" t="n">
        <f aca="false">IF(D148="totale",(C148/(A148*24))/F148,IF(D148="marché libre",(C148/(A148*24))/G148,"spécifier histo"))</f>
        <v>0.0933614369501466</v>
      </c>
      <c r="F148" s="59" t="n">
        <v>2200</v>
      </c>
      <c r="G148" s="59" t="n">
        <f aca="false">F148-H148</f>
        <v>2200</v>
      </c>
      <c r="H148" s="58" t="n">
        <v>0</v>
      </c>
      <c r="J148" s="55"/>
      <c r="L148" s="0"/>
      <c r="P148" s="0"/>
      <c r="T148" s="0"/>
    </row>
    <row r="149" customFormat="false" ht="19.85" hidden="false" customHeight="true" outlineLevel="0" collapsed="false">
      <c r="A149" s="0" t="n">
        <v>31</v>
      </c>
      <c r="B149" s="34" t="n">
        <v>39295</v>
      </c>
      <c r="C149" s="56" t="n">
        <v>87299</v>
      </c>
      <c r="D149" s="29" t="s">
        <v>41</v>
      </c>
      <c r="E149" s="33" t="n">
        <f aca="false">IF(D149="totale",(C149/(A149*24))/F149,IF(D149="marché libre",(C149/(A149*24))/G149,"spécifier histo"))</f>
        <v>0.0533351661779081</v>
      </c>
      <c r="F149" s="59" t="n">
        <v>2200</v>
      </c>
      <c r="G149" s="59" t="n">
        <f aca="false">F149-H149</f>
        <v>2200</v>
      </c>
      <c r="H149" s="58" t="n">
        <v>0</v>
      </c>
      <c r="J149" s="55"/>
      <c r="L149" s="0"/>
      <c r="P149" s="0"/>
      <c r="T149" s="0"/>
    </row>
    <row r="150" customFormat="false" ht="19.85" hidden="false" customHeight="true" outlineLevel="0" collapsed="false">
      <c r="A150" s="0" t="n">
        <v>30</v>
      </c>
      <c r="B150" s="31" t="n">
        <v>39326</v>
      </c>
      <c r="C150" s="56" t="n">
        <v>11690</v>
      </c>
      <c r="D150" s="29" t="s">
        <v>41</v>
      </c>
      <c r="E150" s="33" t="n">
        <f aca="false">IF(D150="totale",(C150/(A150*24))/F150,IF(D150="marché libre",(C150/(A150*24))/G150,"spécifier histo"))</f>
        <v>0.0073800505050505</v>
      </c>
      <c r="F150" s="59" t="n">
        <v>2200</v>
      </c>
      <c r="G150" s="59" t="n">
        <f aca="false">F150-H150</f>
        <v>2200</v>
      </c>
      <c r="H150" s="58" t="n">
        <v>0</v>
      </c>
      <c r="J150" s="55"/>
      <c r="L150" s="0"/>
      <c r="P150" s="0"/>
      <c r="T150" s="0"/>
    </row>
    <row r="151" customFormat="false" ht="19.85" hidden="false" customHeight="true" outlineLevel="0" collapsed="false">
      <c r="A151" s="0" t="n">
        <v>31</v>
      </c>
      <c r="B151" s="34" t="n">
        <v>39356</v>
      </c>
      <c r="C151" s="56" t="n">
        <v>1236</v>
      </c>
      <c r="D151" s="29" t="s">
        <v>41</v>
      </c>
      <c r="E151" s="33" t="n">
        <f aca="false">IF(D151="totale",(C151/(A151*24))/F151,IF(D151="marché libre",(C151/(A151*24))/G151,"spécifier histo"))</f>
        <v>0.000755131964809384</v>
      </c>
      <c r="F151" s="59" t="n">
        <v>2200</v>
      </c>
      <c r="G151" s="59" t="n">
        <f aca="false">F151-H151</f>
        <v>2200</v>
      </c>
      <c r="H151" s="58" t="n">
        <v>0</v>
      </c>
      <c r="J151" s="55"/>
      <c r="L151" s="0"/>
      <c r="P151" s="0"/>
      <c r="T151" s="0"/>
    </row>
    <row r="152" customFormat="false" ht="19.85" hidden="false" customHeight="true" outlineLevel="0" collapsed="false">
      <c r="A152" s="0" t="n">
        <v>30</v>
      </c>
      <c r="B152" s="31" t="n">
        <v>39387</v>
      </c>
      <c r="C152" s="56" t="n">
        <v>192381</v>
      </c>
      <c r="D152" s="29" t="s">
        <v>41</v>
      </c>
      <c r="E152" s="33" t="n">
        <f aca="false">IF(D152="totale",(C152/(A152*24))/F152,IF(D152="marché libre",(C152/(A152*24))/G152,"spécifier histo"))</f>
        <v>0.121452651515152</v>
      </c>
      <c r="F152" s="59" t="n">
        <v>2200</v>
      </c>
      <c r="G152" s="59" t="n">
        <f aca="false">F152-H152</f>
        <v>2200</v>
      </c>
      <c r="H152" s="58" t="n">
        <v>0</v>
      </c>
      <c r="J152" s="55"/>
      <c r="L152" s="0"/>
      <c r="P152" s="0"/>
    </row>
    <row r="153" customFormat="false" ht="19.85" hidden="false" customHeight="true" outlineLevel="0" collapsed="false">
      <c r="A153" s="0" t="n">
        <v>31</v>
      </c>
      <c r="B153" s="34" t="n">
        <v>39417</v>
      </c>
      <c r="C153" s="56" t="n">
        <v>789056</v>
      </c>
      <c r="D153" s="29" t="s">
        <v>41</v>
      </c>
      <c r="E153" s="33" t="n">
        <f aca="false">IF(D153="totale",(C153/(A153*24))/F153,IF(D153="marché libre",(C153/(A153*24))/G153,"spécifier histo"))</f>
        <v>0.482072336265885</v>
      </c>
      <c r="F153" s="59" t="n">
        <v>2200</v>
      </c>
      <c r="G153" s="59" t="n">
        <f aca="false">F153-H153</f>
        <v>2200</v>
      </c>
      <c r="H153" s="58" t="n">
        <v>0</v>
      </c>
      <c r="J153" s="55"/>
      <c r="L153" s="0"/>
      <c r="P153" s="0"/>
    </row>
    <row r="154" customFormat="false" ht="19.85" hidden="false" customHeight="true" outlineLevel="0" collapsed="false">
      <c r="A154" s="0" t="n">
        <v>31</v>
      </c>
      <c r="B154" s="31" t="n">
        <v>39448</v>
      </c>
      <c r="C154" s="56" t="n">
        <v>1202300</v>
      </c>
      <c r="D154" s="29" t="s">
        <v>41</v>
      </c>
      <c r="E154" s="33" t="n">
        <f aca="false">IF(D154="totale",(C154/(A154*24))/F154,IF(D154="marché libre",(C154/(A154*24))/G154,"spécifier histo"))</f>
        <v>0.734543010752688</v>
      </c>
      <c r="F154" s="59" t="n">
        <v>2200</v>
      </c>
      <c r="G154" s="59" t="n">
        <f aca="false">F154-H154</f>
        <v>2200</v>
      </c>
      <c r="H154" s="58" t="n">
        <v>0</v>
      </c>
      <c r="J154" s="55"/>
      <c r="L154" s="0"/>
      <c r="P154" s="0"/>
    </row>
    <row r="155" customFormat="false" ht="19.85" hidden="false" customHeight="true" outlineLevel="0" collapsed="false">
      <c r="A155" s="0" t="n">
        <v>28</v>
      </c>
      <c r="B155" s="34" t="n">
        <v>39479</v>
      </c>
      <c r="C155" s="56" t="n">
        <v>738256</v>
      </c>
      <c r="D155" s="29" t="s">
        <v>41</v>
      </c>
      <c r="E155" s="33" t="n">
        <f aca="false">IF(D155="totale",(C155/(A155*24))/F155,IF(D155="marché libre",(C155/(A155*24))/G155,"spécifier histo"))</f>
        <v>0.499361471861472</v>
      </c>
      <c r="F155" s="59" t="n">
        <v>2200</v>
      </c>
      <c r="G155" s="59" t="n">
        <f aca="false">F155-H155</f>
        <v>2200</v>
      </c>
      <c r="H155" s="58" t="n">
        <v>0</v>
      </c>
      <c r="J155" s="55"/>
      <c r="L155" s="0"/>
      <c r="P155" s="0"/>
    </row>
    <row r="156" customFormat="false" ht="19.85" hidden="false" customHeight="true" outlineLevel="0" collapsed="false">
      <c r="A156" s="0" t="n">
        <v>31</v>
      </c>
      <c r="B156" s="31" t="n">
        <v>39508</v>
      </c>
      <c r="C156" s="56" t="n">
        <v>662262</v>
      </c>
      <c r="D156" s="29" t="s">
        <v>41</v>
      </c>
      <c r="E156" s="33" t="n">
        <f aca="false">IF(D156="totale",(C156/(A156*24))/F156,IF(D156="marché libre",(C156/(A156*24))/G156,"spécifier histo"))</f>
        <v>0.404607771260997</v>
      </c>
      <c r="F156" s="59" t="n">
        <v>2200</v>
      </c>
      <c r="G156" s="59" t="n">
        <f aca="false">F156-H156</f>
        <v>2200</v>
      </c>
      <c r="H156" s="58" t="n">
        <v>0</v>
      </c>
      <c r="J156" s="55"/>
      <c r="L156" s="0"/>
      <c r="P156" s="0"/>
    </row>
    <row r="157" customFormat="false" ht="19.85" hidden="false" customHeight="true" outlineLevel="0" collapsed="false">
      <c r="A157" s="0" t="n">
        <v>30</v>
      </c>
      <c r="B157" s="34" t="n">
        <v>39539</v>
      </c>
      <c r="C157" s="56" t="n">
        <v>1193346</v>
      </c>
      <c r="D157" s="29" t="s">
        <v>41</v>
      </c>
      <c r="E157" s="33" t="n">
        <f aca="false">IF(D157="totale",(C157/(A157*24))/F157,IF(D157="marché libre",(C157/(A157*24))/G157,"spécifier histo"))</f>
        <v>0.753375</v>
      </c>
      <c r="F157" s="59" t="n">
        <v>2200</v>
      </c>
      <c r="G157" s="59" t="n">
        <f aca="false">F157-H157</f>
        <v>2200</v>
      </c>
      <c r="H157" s="58" t="n">
        <v>0</v>
      </c>
      <c r="J157" s="55"/>
      <c r="L157" s="0"/>
      <c r="P157" s="0"/>
    </row>
    <row r="158" customFormat="false" ht="19.85" hidden="false" customHeight="true" outlineLevel="0" collapsed="false">
      <c r="A158" s="0" t="n">
        <v>31</v>
      </c>
      <c r="B158" s="31" t="n">
        <v>39569</v>
      </c>
      <c r="C158" s="56" t="n">
        <v>1039429</v>
      </c>
      <c r="D158" s="29" t="s">
        <v>41</v>
      </c>
      <c r="E158" s="33" t="n">
        <f aca="false">IF(D158="totale",(C158/(A158*24))/F158,IF(D158="marché libre",(C158/(A158*24))/G158,"spécifier histo"))</f>
        <v>0.635037267839687</v>
      </c>
      <c r="F158" s="59" t="n">
        <v>2200</v>
      </c>
      <c r="G158" s="59" t="n">
        <f aca="false">F158-H158</f>
        <v>2200</v>
      </c>
      <c r="H158" s="58" t="n">
        <v>0</v>
      </c>
      <c r="J158" s="55"/>
      <c r="L158" s="0"/>
      <c r="P158" s="0"/>
    </row>
    <row r="159" customFormat="false" ht="19.85" hidden="false" customHeight="true" outlineLevel="0" collapsed="false">
      <c r="A159" s="0" t="n">
        <v>30</v>
      </c>
      <c r="B159" s="34" t="n">
        <v>39600</v>
      </c>
      <c r="C159" s="56" t="n">
        <v>960648</v>
      </c>
      <c r="D159" s="29" t="s">
        <v>41</v>
      </c>
      <c r="E159" s="33" t="n">
        <f aca="false">IF(D159="totale",(C159/(A159*24))/F159,IF(D159="marché libre",(C159/(A159*24))/G159,"spécifier histo"))</f>
        <v>0.606469696969697</v>
      </c>
      <c r="F159" s="59" t="n">
        <v>2200</v>
      </c>
      <c r="G159" s="59" t="n">
        <f aca="false">F159-H159</f>
        <v>2200</v>
      </c>
      <c r="H159" s="58" t="n">
        <v>0</v>
      </c>
      <c r="J159" s="55"/>
      <c r="L159" s="0"/>
      <c r="P159" s="0"/>
    </row>
    <row r="160" customFormat="false" ht="19.85" hidden="false" customHeight="true" outlineLevel="0" collapsed="false">
      <c r="A160" s="0" t="n">
        <v>31</v>
      </c>
      <c r="B160" s="31" t="n">
        <v>39630</v>
      </c>
      <c r="C160" s="56" t="n">
        <v>306238</v>
      </c>
      <c r="D160" s="29" t="s">
        <v>41</v>
      </c>
      <c r="E160" s="33" t="n">
        <f aca="false">IF(D160="totale",(C160/(A160*24))/F160,IF(D160="marché libre",(C160/(A160*24))/G160,"spécifier histo"))</f>
        <v>0.187095552297165</v>
      </c>
      <c r="F160" s="59" t="n">
        <v>2200</v>
      </c>
      <c r="G160" s="59" t="n">
        <f aca="false">F160-H160</f>
        <v>2200</v>
      </c>
      <c r="H160" s="58" t="n">
        <v>0</v>
      </c>
      <c r="J160" s="55"/>
      <c r="L160" s="0"/>
      <c r="P160" s="0"/>
    </row>
    <row r="161" customFormat="false" ht="19.85" hidden="false" customHeight="true" outlineLevel="0" collapsed="false">
      <c r="A161" s="0" t="n">
        <v>31</v>
      </c>
      <c r="B161" s="34" t="n">
        <v>39661</v>
      </c>
      <c r="C161" s="56" t="n">
        <v>155824</v>
      </c>
      <c r="D161" s="29" t="s">
        <v>41</v>
      </c>
      <c r="E161" s="33" t="n">
        <f aca="false">IF(D161="totale",(C161/(A161*24))/F161,IF(D161="marché libre",(C161/(A161*24))/G161,"spécifier histo"))</f>
        <v>0.0952003910068426</v>
      </c>
      <c r="F161" s="59" t="n">
        <v>2200</v>
      </c>
      <c r="G161" s="59" t="n">
        <f aca="false">F161-H161</f>
        <v>2200</v>
      </c>
      <c r="H161" s="58" t="n">
        <v>0</v>
      </c>
      <c r="J161" s="55"/>
      <c r="L161" s="0"/>
      <c r="P161" s="0"/>
    </row>
    <row r="162" customFormat="false" ht="19.85" hidden="false" customHeight="true" outlineLevel="0" collapsed="false">
      <c r="A162" s="0" t="n">
        <v>30</v>
      </c>
      <c r="B162" s="31" t="n">
        <v>39692</v>
      </c>
      <c r="C162" s="56" t="n">
        <v>545527</v>
      </c>
      <c r="D162" s="29" t="s">
        <v>41</v>
      </c>
      <c r="E162" s="33" t="n">
        <f aca="false">IF(D162="totale",(C162/(A162*24))/F162,IF(D162="marché libre",(C162/(A162*24))/G162,"spécifier histo"))</f>
        <v>0.344398358585859</v>
      </c>
      <c r="F162" s="59" t="n">
        <v>2200</v>
      </c>
      <c r="G162" s="59" t="n">
        <f aca="false">F162-H162</f>
        <v>2200</v>
      </c>
      <c r="H162" s="58" t="n">
        <v>0</v>
      </c>
      <c r="J162" s="55"/>
      <c r="L162" s="0"/>
      <c r="P162" s="0"/>
    </row>
    <row r="163" customFormat="false" ht="19.85" hidden="false" customHeight="true" outlineLevel="0" collapsed="false">
      <c r="A163" s="0" t="n">
        <v>31</v>
      </c>
      <c r="B163" s="34" t="n">
        <v>39722</v>
      </c>
      <c r="C163" s="56" t="n">
        <v>274614</v>
      </c>
      <c r="D163" s="29" t="s">
        <v>41</v>
      </c>
      <c r="E163" s="33" t="n">
        <f aca="false">IF(D163="totale",(C163/(A163*24))/F163,IF(D163="marché libre",(C163/(A163*24))/G163,"spécifier histo"))</f>
        <v>0.167774926686217</v>
      </c>
      <c r="F163" s="59" t="n">
        <v>2200</v>
      </c>
      <c r="G163" s="59" t="n">
        <f aca="false">F163-H163</f>
        <v>2200</v>
      </c>
      <c r="H163" s="58" t="n">
        <v>0</v>
      </c>
      <c r="J163" s="55"/>
      <c r="L163" s="0"/>
      <c r="P163" s="0"/>
    </row>
    <row r="164" customFormat="false" ht="19.85" hidden="false" customHeight="true" outlineLevel="0" collapsed="false">
      <c r="A164" s="0" t="n">
        <v>30</v>
      </c>
      <c r="B164" s="31" t="n">
        <v>39753</v>
      </c>
      <c r="C164" s="56" t="n">
        <v>906362</v>
      </c>
      <c r="D164" s="29" t="s">
        <v>41</v>
      </c>
      <c r="E164" s="33" t="n">
        <f aca="false">IF(D164="totale",(C164/(A164*24))/F164,IF(D164="marché libre",(C164/(A164*24))/G164,"spécifier histo"))</f>
        <v>0.572198232323232</v>
      </c>
      <c r="F164" s="59" t="n">
        <v>2200</v>
      </c>
      <c r="G164" s="59" t="n">
        <f aca="false">F164-H164</f>
        <v>2200</v>
      </c>
      <c r="H164" s="58" t="n">
        <v>0</v>
      </c>
      <c r="J164" s="55"/>
      <c r="L164" s="0"/>
      <c r="P164" s="0"/>
    </row>
    <row r="165" customFormat="false" ht="19.85" hidden="false" customHeight="true" outlineLevel="0" collapsed="false">
      <c r="A165" s="0" t="n">
        <v>31</v>
      </c>
      <c r="B165" s="34" t="n">
        <v>39783</v>
      </c>
      <c r="C165" s="56" t="n">
        <v>854436</v>
      </c>
      <c r="D165" s="29" t="s">
        <v>41</v>
      </c>
      <c r="E165" s="33" t="n">
        <f aca="false">IF(D165="totale",(C165/(A165*24))/F165,IF(D165="marché libre",(C165/(A165*24))/G165,"spécifier histo"))</f>
        <v>0.522016129032258</v>
      </c>
      <c r="F165" s="59" t="n">
        <v>2200</v>
      </c>
      <c r="G165" s="59" t="n">
        <f aca="false">F165-H165</f>
        <v>2200</v>
      </c>
      <c r="H165" s="58" t="n">
        <v>0</v>
      </c>
      <c r="J165" s="55"/>
      <c r="L165" s="0"/>
      <c r="P165" s="0"/>
    </row>
    <row r="166" customFormat="false" ht="19.85" hidden="false" customHeight="true" outlineLevel="0" collapsed="false">
      <c r="A166" s="0" t="n">
        <v>31</v>
      </c>
      <c r="B166" s="31" t="n">
        <v>39814</v>
      </c>
      <c r="C166" s="56" t="n">
        <v>787053</v>
      </c>
      <c r="D166" s="29" t="s">
        <v>41</v>
      </c>
      <c r="E166" s="33" t="n">
        <f aca="false">IF(D166="totale",(C166/(A166*24))/F166,IF(D166="marché libre",(C166/(A166*24))/G166,"spécifier histo"))</f>
        <v>0.480848607038123</v>
      </c>
      <c r="F166" s="59" t="n">
        <v>2200</v>
      </c>
      <c r="G166" s="59" t="n">
        <f aca="false">F166-H166</f>
        <v>2200</v>
      </c>
      <c r="H166" s="58" t="n">
        <v>0</v>
      </c>
      <c r="J166" s="55"/>
      <c r="L166" s="0"/>
      <c r="P166" s="0"/>
    </row>
    <row r="167" customFormat="false" ht="19.85" hidden="false" customHeight="true" outlineLevel="0" collapsed="false">
      <c r="A167" s="0" t="n">
        <v>28</v>
      </c>
      <c r="B167" s="34" t="n">
        <v>39845</v>
      </c>
      <c r="C167" s="56" t="n">
        <v>1004412</v>
      </c>
      <c r="D167" s="29" t="s">
        <v>41</v>
      </c>
      <c r="E167" s="33" t="n">
        <f aca="false">IF(D167="totale",(C167/(A167*24))/F167,IF(D167="marché libre",(C167/(A167*24))/G167,"spécifier histo"))</f>
        <v>0.679391233766234</v>
      </c>
      <c r="F167" s="59" t="n">
        <v>2200</v>
      </c>
      <c r="G167" s="59" t="n">
        <f aca="false">F167-H167</f>
        <v>2200</v>
      </c>
      <c r="H167" s="58" t="n">
        <v>0</v>
      </c>
      <c r="J167" s="55"/>
      <c r="L167" s="0"/>
      <c r="P167" s="0"/>
    </row>
    <row r="168" customFormat="false" ht="19.85" hidden="false" customHeight="true" outlineLevel="0" collapsed="false">
      <c r="A168" s="0" t="n">
        <v>31</v>
      </c>
      <c r="B168" s="31" t="n">
        <v>39873</v>
      </c>
      <c r="C168" s="56" t="n">
        <v>1405700</v>
      </c>
      <c r="D168" s="29" t="s">
        <v>41</v>
      </c>
      <c r="E168" s="33" t="n">
        <f aca="false">IF(D168="totale",(C168/(A168*24))/F168,IF(D168="marché libre",(C168/(A168*24))/G168,"spécifier histo"))</f>
        <v>0.858809872922776</v>
      </c>
      <c r="F168" s="59" t="n">
        <v>2200</v>
      </c>
      <c r="G168" s="59" t="n">
        <f aca="false">F168-H168</f>
        <v>2200</v>
      </c>
      <c r="H168" s="58" t="n">
        <v>0</v>
      </c>
      <c r="J168" s="55"/>
      <c r="L168" s="0"/>
      <c r="P168" s="0"/>
    </row>
    <row r="169" customFormat="false" ht="19.85" hidden="false" customHeight="true" outlineLevel="0" collapsed="false">
      <c r="A169" s="0" t="n">
        <v>30</v>
      </c>
      <c r="B169" s="34" t="n">
        <v>39904</v>
      </c>
      <c r="C169" s="56" t="n">
        <v>1311690</v>
      </c>
      <c r="D169" s="29" t="s">
        <v>41</v>
      </c>
      <c r="E169" s="33" t="n">
        <f aca="false">IF(D169="totale",(C169/(A169*24))/F169,IF(D169="marché libre",(C169/(A169*24))/G169,"spécifier histo"))</f>
        <v>0.828087121212121</v>
      </c>
      <c r="F169" s="59" t="n">
        <v>2200</v>
      </c>
      <c r="G169" s="59" t="n">
        <f aca="false">F169-H169</f>
        <v>2200</v>
      </c>
      <c r="H169" s="58" t="n">
        <v>0</v>
      </c>
      <c r="J169" s="55"/>
      <c r="L169" s="0"/>
      <c r="P169" s="0"/>
    </row>
    <row r="170" customFormat="false" ht="19.85" hidden="false" customHeight="true" outlineLevel="0" collapsed="false">
      <c r="A170" s="0" t="n">
        <v>31</v>
      </c>
      <c r="B170" s="31" t="n">
        <v>39934</v>
      </c>
      <c r="C170" s="56" t="n">
        <v>673426</v>
      </c>
      <c r="D170" s="29" t="s">
        <v>41</v>
      </c>
      <c r="E170" s="33" t="n">
        <f aca="false">IF(D170="totale",(C170/(A170*24))/F170,IF(D170="marché libre",(C170/(A170*24))/G170,"spécifier histo"))</f>
        <v>0.411428396871945</v>
      </c>
      <c r="F170" s="59" t="n">
        <v>2200</v>
      </c>
      <c r="G170" s="59" t="n">
        <f aca="false">F170-H170</f>
        <v>2200</v>
      </c>
      <c r="H170" s="58" t="n">
        <v>0</v>
      </c>
      <c r="J170" s="55"/>
      <c r="L170" s="0"/>
      <c r="P170" s="0"/>
    </row>
    <row r="171" customFormat="false" ht="19.85" hidden="false" customHeight="true" outlineLevel="0" collapsed="false">
      <c r="A171" s="0" t="n">
        <v>30</v>
      </c>
      <c r="B171" s="34" t="n">
        <v>39965</v>
      </c>
      <c r="C171" s="56" t="n">
        <v>270373</v>
      </c>
      <c r="D171" s="29" t="s">
        <v>41</v>
      </c>
      <c r="E171" s="33" t="n">
        <f aca="false">IF(D171="totale",(C171/(A171*24))/F171,IF(D171="marché libre",(C171/(A171*24))/G171,"spécifier histo"))</f>
        <v>0.170690025252525</v>
      </c>
      <c r="F171" s="59" t="n">
        <v>2200</v>
      </c>
      <c r="G171" s="59" t="n">
        <f aca="false">F171-H171</f>
        <v>2200</v>
      </c>
      <c r="H171" s="58" t="n">
        <v>0</v>
      </c>
      <c r="J171" s="55"/>
      <c r="L171" s="0"/>
      <c r="P171" s="0"/>
    </row>
    <row r="172" customFormat="false" ht="19.85" hidden="false" customHeight="true" outlineLevel="0" collapsed="false">
      <c r="A172" s="0" t="n">
        <v>31</v>
      </c>
      <c r="B172" s="31" t="n">
        <v>39995</v>
      </c>
      <c r="C172" s="56" t="n">
        <v>476</v>
      </c>
      <c r="D172" s="29" t="s">
        <v>41</v>
      </c>
      <c r="E172" s="33" t="n">
        <f aca="false">IF(D172="totale",(C172/(A172*24))/F172,IF(D172="marché libre",(C172/(A172*24))/G172,"spécifier histo"))</f>
        <v>0.000290811339198436</v>
      </c>
      <c r="F172" s="59" t="n">
        <v>2200</v>
      </c>
      <c r="G172" s="59" t="n">
        <f aca="false">F172-H172</f>
        <v>2200</v>
      </c>
      <c r="H172" s="58" t="n">
        <v>0</v>
      </c>
      <c r="J172" s="55"/>
      <c r="L172" s="0"/>
      <c r="P172" s="0"/>
    </row>
    <row r="173" customFormat="false" ht="19.85" hidden="false" customHeight="true" outlineLevel="0" collapsed="false">
      <c r="A173" s="0" t="n">
        <v>31</v>
      </c>
      <c r="B173" s="34" t="n">
        <v>40026</v>
      </c>
      <c r="C173" s="56" t="n">
        <v>0</v>
      </c>
      <c r="D173" s="29" t="s">
        <v>41</v>
      </c>
      <c r="E173" s="33" t="n">
        <f aca="false">IF(D173="totale",(C173/(A173*24))/F173,IF(D173="marché libre",(C173/(A173*24))/G173,"spécifier histo"))</f>
        <v>0</v>
      </c>
      <c r="F173" s="59" t="n">
        <v>2200</v>
      </c>
      <c r="G173" s="59" t="n">
        <f aca="false">F173-H173</f>
        <v>2200</v>
      </c>
      <c r="H173" s="58" t="n">
        <v>0</v>
      </c>
      <c r="J173" s="55"/>
      <c r="L173" s="0"/>
      <c r="P173" s="0"/>
    </row>
    <row r="174" customFormat="false" ht="19.85" hidden="false" customHeight="true" outlineLevel="0" collapsed="false">
      <c r="A174" s="0" t="n">
        <v>30</v>
      </c>
      <c r="B174" s="31" t="n">
        <v>40057</v>
      </c>
      <c r="C174" s="56" t="n">
        <v>0</v>
      </c>
      <c r="D174" s="29" t="s">
        <v>41</v>
      </c>
      <c r="E174" s="33" t="n">
        <f aca="false">IF(D174="totale",(C174/(A174*24))/F174,IF(D174="marché libre",(C174/(A174*24))/G174,"spécifier histo"))</f>
        <v>0</v>
      </c>
      <c r="F174" s="59" t="n">
        <v>2200</v>
      </c>
      <c r="G174" s="59" t="n">
        <f aca="false">F174-H174</f>
        <v>2200</v>
      </c>
      <c r="H174" s="58" t="n">
        <v>0</v>
      </c>
      <c r="J174" s="55"/>
      <c r="L174" s="0"/>
      <c r="P174" s="0"/>
    </row>
    <row r="175" customFormat="false" ht="19.85" hidden="false" customHeight="true" outlineLevel="0" collapsed="false">
      <c r="A175" s="0" t="n">
        <v>31</v>
      </c>
      <c r="B175" s="34" t="n">
        <v>40087</v>
      </c>
      <c r="C175" s="56" t="n">
        <v>0</v>
      </c>
      <c r="D175" s="29" t="s">
        <v>41</v>
      </c>
      <c r="E175" s="33" t="n">
        <f aca="false">IF(D175="totale",(C175/(A175*24))/F175,IF(D175="marché libre",(C175/(A175*24))/G175,"spécifier histo"))</f>
        <v>0</v>
      </c>
      <c r="F175" s="59" t="n">
        <v>2200</v>
      </c>
      <c r="G175" s="59" t="n">
        <f aca="false">F175-H175</f>
        <v>2200</v>
      </c>
      <c r="H175" s="58" t="n">
        <v>0</v>
      </c>
      <c r="J175" s="55"/>
      <c r="L175" s="0"/>
      <c r="P175" s="0"/>
    </row>
    <row r="176" customFormat="false" ht="19.85" hidden="false" customHeight="true" outlineLevel="0" collapsed="false">
      <c r="A176" s="0" t="n">
        <v>30</v>
      </c>
      <c r="B176" s="31" t="n">
        <v>40118</v>
      </c>
      <c r="C176" s="56" t="n">
        <v>15460</v>
      </c>
      <c r="D176" s="29" t="s">
        <v>41</v>
      </c>
      <c r="E176" s="33" t="n">
        <f aca="false">IF(D176="totale",(C176/(A176*24))/F176,IF(D176="marché libre",(C176/(A176*24))/G176,"spécifier histo"))</f>
        <v>0.00976010101010101</v>
      </c>
      <c r="F176" s="59" t="n">
        <v>2200</v>
      </c>
      <c r="G176" s="59" t="n">
        <f aca="false">F176-H176</f>
        <v>2200</v>
      </c>
      <c r="H176" s="58" t="n">
        <v>0</v>
      </c>
      <c r="J176" s="55"/>
      <c r="L176" s="0"/>
      <c r="P176" s="0"/>
    </row>
    <row r="177" customFormat="false" ht="19.85" hidden="false" customHeight="true" outlineLevel="0" collapsed="false">
      <c r="A177" s="0" t="n">
        <v>31</v>
      </c>
      <c r="B177" s="34" t="n">
        <v>40148</v>
      </c>
      <c r="C177" s="56" t="n">
        <v>281336</v>
      </c>
      <c r="D177" s="29" t="s">
        <v>41</v>
      </c>
      <c r="E177" s="33" t="n">
        <f aca="false">IF(D177="totale",(C177/(A177*24))/F177,IF(D177="marché libre",(C177/(A177*24))/G177,"spécifier histo"))</f>
        <v>0.171881720430108</v>
      </c>
      <c r="F177" s="59" t="n">
        <v>2200</v>
      </c>
      <c r="G177" s="59" t="n">
        <f aca="false">F177-H177</f>
        <v>2200</v>
      </c>
      <c r="H177" s="58" t="n">
        <v>0</v>
      </c>
      <c r="J177" s="55"/>
      <c r="L177" s="0"/>
      <c r="P177" s="0"/>
    </row>
    <row r="178" customFormat="false" ht="19.85" hidden="false" customHeight="true" outlineLevel="0" collapsed="false">
      <c r="A178" s="0" t="n">
        <v>31</v>
      </c>
      <c r="B178" s="31" t="n">
        <v>40179</v>
      </c>
      <c r="C178" s="56" t="n">
        <v>481517</v>
      </c>
      <c r="D178" s="29" t="s">
        <v>41</v>
      </c>
      <c r="E178" s="33" t="n">
        <f aca="false">IF(D178="totale",(C178/(A178*24))/F178,IF(D178="marché libre",(C178/(A178*24))/G178,"spécifier histo"))</f>
        <v>0.294181940371456</v>
      </c>
      <c r="F178" s="59" t="n">
        <v>2200</v>
      </c>
      <c r="G178" s="59" t="n">
        <f aca="false">F178-H178</f>
        <v>2200</v>
      </c>
      <c r="H178" s="58" t="n">
        <v>0</v>
      </c>
      <c r="J178" s="55"/>
      <c r="L178" s="0"/>
      <c r="P178" s="0"/>
    </row>
    <row r="179" customFormat="false" ht="19.85" hidden="false" customHeight="true" outlineLevel="0" collapsed="false">
      <c r="A179" s="0" t="n">
        <v>28</v>
      </c>
      <c r="B179" s="34" t="n">
        <v>40210</v>
      </c>
      <c r="C179" s="56" t="n">
        <v>634474</v>
      </c>
      <c r="D179" s="29" t="s">
        <v>41</v>
      </c>
      <c r="E179" s="33" t="n">
        <f aca="false">IF(D179="totale",(C179/(A179*24))/F179,IF(D179="marché libre",(C179/(A179*24))/G179,"spécifier histo"))</f>
        <v>0.429162608225108</v>
      </c>
      <c r="F179" s="59" t="n">
        <v>2200</v>
      </c>
      <c r="G179" s="59" t="n">
        <f aca="false">F179-H179</f>
        <v>2200</v>
      </c>
      <c r="H179" s="58" t="n">
        <v>0</v>
      </c>
      <c r="J179" s="55"/>
      <c r="L179" s="0"/>
      <c r="P179" s="0"/>
    </row>
    <row r="180" customFormat="false" ht="19.85" hidden="false" customHeight="true" outlineLevel="0" collapsed="false">
      <c r="A180" s="0" t="n">
        <v>31</v>
      </c>
      <c r="B180" s="31" t="n">
        <v>40238</v>
      </c>
      <c r="C180" s="56" t="n">
        <v>1096779</v>
      </c>
      <c r="D180" s="29" t="s">
        <v>41</v>
      </c>
      <c r="E180" s="33" t="n">
        <f aca="false">IF(D180="totale",(C180/(A180*24))/F180,IF(D180="marché libre",(C180/(A180*24))/G180,"spécifier histo"))</f>
        <v>0.670075146627566</v>
      </c>
      <c r="F180" s="59" t="n">
        <v>2200</v>
      </c>
      <c r="G180" s="59" t="n">
        <f aca="false">F180-H180</f>
        <v>2200</v>
      </c>
      <c r="H180" s="58" t="n">
        <v>0</v>
      </c>
      <c r="J180" s="55"/>
      <c r="L180" s="0"/>
      <c r="P180" s="0"/>
    </row>
    <row r="181" customFormat="false" ht="19.85" hidden="false" customHeight="true" outlineLevel="0" collapsed="false">
      <c r="A181" s="0" t="n">
        <v>30</v>
      </c>
      <c r="B181" s="34" t="n">
        <v>40269</v>
      </c>
      <c r="C181" s="56" t="n">
        <v>1232772</v>
      </c>
      <c r="D181" s="29" t="s">
        <v>41</v>
      </c>
      <c r="E181" s="33" t="n">
        <f aca="false">IF(D181="totale",(C181/(A181*24))/F181,IF(D181="marché libre",(C181/(A181*24))/G181,"spécifier histo"))</f>
        <v>0.778265151515152</v>
      </c>
      <c r="F181" s="59" t="n">
        <v>2200</v>
      </c>
      <c r="G181" s="59" t="n">
        <f aca="false">F181-H181</f>
        <v>2200</v>
      </c>
      <c r="H181" s="58" t="n">
        <v>0</v>
      </c>
      <c r="J181" s="55"/>
      <c r="L181" s="0"/>
      <c r="P181" s="0"/>
    </row>
    <row r="182" customFormat="false" ht="19.85" hidden="false" customHeight="true" outlineLevel="0" collapsed="false">
      <c r="A182" s="0" t="n">
        <v>31</v>
      </c>
      <c r="B182" s="31" t="n">
        <v>40299</v>
      </c>
      <c r="C182" s="56" t="n">
        <v>1331668</v>
      </c>
      <c r="D182" s="29" t="s">
        <v>41</v>
      </c>
      <c r="E182" s="33" t="n">
        <f aca="false">IF(D182="totale",(C182/(A182*24))/F182,IF(D182="marché libre",(C182/(A182*24))/G182,"spécifier histo"))</f>
        <v>0.813580156402737</v>
      </c>
      <c r="F182" s="59" t="n">
        <v>2200</v>
      </c>
      <c r="G182" s="59" t="n">
        <f aca="false">F182-H182</f>
        <v>2200</v>
      </c>
      <c r="H182" s="58" t="n">
        <v>0</v>
      </c>
      <c r="J182" s="55"/>
      <c r="L182" s="0"/>
      <c r="P182" s="0"/>
    </row>
    <row r="183" customFormat="false" ht="19.85" hidden="false" customHeight="true" outlineLevel="0" collapsed="false">
      <c r="A183" s="0" t="n">
        <v>30</v>
      </c>
      <c r="B183" s="34" t="n">
        <v>40330</v>
      </c>
      <c r="C183" s="56" t="n">
        <v>986164</v>
      </c>
      <c r="D183" s="29" t="s">
        <v>41</v>
      </c>
      <c r="E183" s="33" t="n">
        <f aca="false">IF(D183="totale",(C183/(A183*24))/F183,IF(D183="marché libre",(C183/(A183*24))/G183,"spécifier histo"))</f>
        <v>0.622578282828283</v>
      </c>
      <c r="F183" s="59" t="n">
        <v>2200</v>
      </c>
      <c r="G183" s="59" t="n">
        <f aca="false">F183-H183</f>
        <v>2200</v>
      </c>
      <c r="H183" s="58" t="n">
        <v>0</v>
      </c>
      <c r="J183" s="55"/>
      <c r="L183" s="0"/>
      <c r="P183" s="0"/>
    </row>
    <row r="184" customFormat="false" ht="19.85" hidden="false" customHeight="true" outlineLevel="0" collapsed="false">
      <c r="A184" s="0" t="n">
        <v>31</v>
      </c>
      <c r="B184" s="31" t="n">
        <v>40360</v>
      </c>
      <c r="C184" s="56" t="n">
        <v>99707</v>
      </c>
      <c r="D184" s="29" t="s">
        <v>41</v>
      </c>
      <c r="E184" s="33" t="n">
        <f aca="false">IF(D184="totale",(C184/(A184*24))/F184,IF(D184="marché libre",(C184/(A184*24))/G184,"spécifier histo"))</f>
        <v>0.0609158113391984</v>
      </c>
      <c r="F184" s="59" t="n">
        <v>2200</v>
      </c>
      <c r="G184" s="59" t="n">
        <f aca="false">F184-H184</f>
        <v>2200</v>
      </c>
      <c r="H184" s="58" t="n">
        <v>0</v>
      </c>
      <c r="J184" s="55"/>
      <c r="L184" s="0"/>
      <c r="P184" s="0"/>
    </row>
    <row r="185" customFormat="false" ht="19.85" hidden="false" customHeight="true" outlineLevel="0" collapsed="false">
      <c r="A185" s="0" t="n">
        <v>31</v>
      </c>
      <c r="B185" s="34" t="n">
        <v>40391</v>
      </c>
      <c r="C185" s="56" t="n">
        <v>1359</v>
      </c>
      <c r="D185" s="29" t="s">
        <v>41</v>
      </c>
      <c r="E185" s="33" t="n">
        <f aca="false">IF(D185="totale",(C185/(A185*24))/F185,IF(D185="marché libre",(C185/(A185*24))/G185,"spécifier histo"))</f>
        <v>0.000830278592375367</v>
      </c>
      <c r="F185" s="59" t="n">
        <v>2200</v>
      </c>
      <c r="G185" s="59" t="n">
        <f aca="false">F185-H185</f>
        <v>2200</v>
      </c>
      <c r="H185" s="58" t="n">
        <v>0</v>
      </c>
      <c r="J185" s="55"/>
      <c r="L185" s="0"/>
      <c r="P185" s="0"/>
    </row>
    <row r="186" customFormat="false" ht="19.85" hidden="false" customHeight="true" outlineLevel="0" collapsed="false">
      <c r="A186" s="0" t="n">
        <v>30</v>
      </c>
      <c r="B186" s="31" t="n">
        <v>40422</v>
      </c>
      <c r="C186" s="56" t="n">
        <v>9211</v>
      </c>
      <c r="D186" s="29" t="s">
        <v>41</v>
      </c>
      <c r="E186" s="33" t="n">
        <f aca="false">IF(D186="totale",(C186/(A186*24))/F186,IF(D186="marché libre",(C186/(A186*24))/G186,"spécifier histo"))</f>
        <v>0.00581502525252525</v>
      </c>
      <c r="F186" s="59" t="n">
        <v>2200</v>
      </c>
      <c r="G186" s="59" t="n">
        <f aca="false">F186-H186</f>
        <v>2200</v>
      </c>
      <c r="H186" s="58" t="n">
        <v>0</v>
      </c>
      <c r="J186" s="55"/>
      <c r="L186" s="0"/>
      <c r="P186" s="0"/>
    </row>
    <row r="187" customFormat="false" ht="19.85" hidden="false" customHeight="true" outlineLevel="0" collapsed="false">
      <c r="A187" s="0" t="n">
        <v>31</v>
      </c>
      <c r="B187" s="34" t="n">
        <v>40452</v>
      </c>
      <c r="C187" s="56" t="n">
        <v>70251</v>
      </c>
      <c r="D187" s="29" t="s">
        <v>41</v>
      </c>
      <c r="E187" s="33" t="n">
        <f aca="false">IF(D187="totale",(C187/(A187*24))/F187,IF(D187="marché libre",(C187/(A187*24))/G187,"spécifier histo"))</f>
        <v>0.0429197214076246</v>
      </c>
      <c r="F187" s="59" t="n">
        <v>2200</v>
      </c>
      <c r="G187" s="59" t="n">
        <f aca="false">F187-H187</f>
        <v>2200</v>
      </c>
      <c r="H187" s="58" t="n">
        <v>0</v>
      </c>
      <c r="J187" s="55"/>
      <c r="L187" s="0"/>
      <c r="P187" s="0"/>
    </row>
    <row r="188" customFormat="false" ht="19.85" hidden="false" customHeight="true" outlineLevel="0" collapsed="false">
      <c r="A188" s="0" t="n">
        <v>30</v>
      </c>
      <c r="B188" s="31" t="n">
        <v>40483</v>
      </c>
      <c r="C188" s="56" t="n">
        <v>573384</v>
      </c>
      <c r="D188" s="29" t="s">
        <v>41</v>
      </c>
      <c r="E188" s="33" t="n">
        <f aca="false">IF(D188="totale",(C188/(A188*24))/F188,IF(D188="marché libre",(C188/(A188*24))/G188,"spécifier histo"))</f>
        <v>0.361984848484848</v>
      </c>
      <c r="F188" s="59" t="n">
        <v>2200</v>
      </c>
      <c r="G188" s="59" t="n">
        <f aca="false">F188-H188</f>
        <v>2200</v>
      </c>
      <c r="H188" s="58" t="n">
        <v>0</v>
      </c>
      <c r="J188" s="55"/>
      <c r="L188" s="0"/>
      <c r="P188" s="0"/>
    </row>
    <row r="189" customFormat="false" ht="19.85" hidden="false" customHeight="true" outlineLevel="0" collapsed="false">
      <c r="A189" s="0" t="n">
        <v>31</v>
      </c>
      <c r="B189" s="34" t="n">
        <v>40513</v>
      </c>
      <c r="C189" s="56" t="n">
        <v>1062286</v>
      </c>
      <c r="D189" s="29" t="s">
        <v>41</v>
      </c>
      <c r="E189" s="33" t="n">
        <f aca="false">IF(D189="totale",(C189/(A189*24))/F189,IF(D189="marché libre",(C189/(A189*24))/G189,"spécifier histo"))</f>
        <v>0.649001710654936</v>
      </c>
      <c r="F189" s="59" t="n">
        <v>2200</v>
      </c>
      <c r="G189" s="59" t="n">
        <f aca="false">F189-H189</f>
        <v>2200</v>
      </c>
      <c r="H189" s="58" t="n">
        <v>0</v>
      </c>
      <c r="J189" s="55"/>
      <c r="L189" s="0"/>
      <c r="P189" s="0"/>
    </row>
    <row r="190" customFormat="false" ht="19.85" hidden="false" customHeight="true" outlineLevel="0" collapsed="false">
      <c r="A190" s="0" t="n">
        <v>31</v>
      </c>
      <c r="B190" s="31" t="n">
        <v>40544</v>
      </c>
      <c r="C190" s="56" t="n">
        <v>896483</v>
      </c>
      <c r="D190" s="29" t="s">
        <v>41</v>
      </c>
      <c r="E190" s="33" t="n">
        <f aca="false">IF(D190="totale",(C190/(A190*24))/F190,IF(D190="marché libre",(C190/(A190*24))/G190,"spécifier histo"))</f>
        <v>0.547704667644184</v>
      </c>
      <c r="F190" s="59" t="n">
        <v>2200</v>
      </c>
      <c r="G190" s="59" t="n">
        <f aca="false">F190-H190</f>
        <v>2200</v>
      </c>
      <c r="H190" s="58" t="n">
        <v>0</v>
      </c>
      <c r="J190" s="55"/>
      <c r="L190" s="0"/>
      <c r="P190" s="0"/>
    </row>
    <row r="191" customFormat="false" ht="19.85" hidden="false" customHeight="true" outlineLevel="0" collapsed="false">
      <c r="A191" s="0" t="n">
        <v>28</v>
      </c>
      <c r="B191" s="34" t="n">
        <v>40575</v>
      </c>
      <c r="C191" s="56" t="n">
        <v>285965</v>
      </c>
      <c r="D191" s="29" t="s">
        <v>41</v>
      </c>
      <c r="E191" s="33" t="n">
        <f aca="false">IF(D191="totale",(C191/(A191*24))/F191,IF(D191="marché libre",(C191/(A191*24))/G191,"spécifier histo"))</f>
        <v>0.193428706709957</v>
      </c>
      <c r="F191" s="59" t="n">
        <v>2200</v>
      </c>
      <c r="G191" s="59" t="n">
        <f aca="false">F191-H191</f>
        <v>2200</v>
      </c>
      <c r="H191" s="58" t="n">
        <v>0</v>
      </c>
      <c r="J191" s="55"/>
      <c r="L191" s="0"/>
      <c r="P191" s="0"/>
    </row>
    <row r="192" customFormat="false" ht="19.85" hidden="false" customHeight="true" outlineLevel="0" collapsed="false">
      <c r="A192" s="0" t="n">
        <v>31</v>
      </c>
      <c r="B192" s="31" t="n">
        <v>40603</v>
      </c>
      <c r="C192" s="56" t="n">
        <v>513986</v>
      </c>
      <c r="D192" s="29" t="s">
        <v>41</v>
      </c>
      <c r="E192" s="33" t="n">
        <f aca="false">IF(D192="totale",(C192/(A192*24))/F192,IF(D192="marché libre",(C192/(A192*24))/G192,"spécifier histo"))</f>
        <v>0.314018817204301</v>
      </c>
      <c r="F192" s="59" t="n">
        <v>2200</v>
      </c>
      <c r="G192" s="59" t="n">
        <f aca="false">F192-H192</f>
        <v>2200</v>
      </c>
      <c r="H192" s="58" t="n">
        <v>0</v>
      </c>
      <c r="J192" s="55"/>
      <c r="L192" s="0"/>
      <c r="P192" s="0"/>
    </row>
    <row r="193" customFormat="false" ht="19.85" hidden="false" customHeight="true" outlineLevel="0" collapsed="false">
      <c r="A193" s="0" t="n">
        <v>30</v>
      </c>
      <c r="B193" s="34" t="n">
        <v>40634</v>
      </c>
      <c r="C193" s="56" t="n">
        <v>448995</v>
      </c>
      <c r="D193" s="29" t="s">
        <v>41</v>
      </c>
      <c r="E193" s="33" t="n">
        <f aca="false">IF(D193="totale",(C193/(A193*24))/F193,IF(D193="marché libre",(C193/(A193*24))/G193,"spécifier histo"))</f>
        <v>0.283456439393939</v>
      </c>
      <c r="F193" s="59" t="n">
        <v>2200</v>
      </c>
      <c r="G193" s="59" t="n">
        <f aca="false">F193-H193</f>
        <v>2200</v>
      </c>
      <c r="H193" s="58" t="n">
        <v>0</v>
      </c>
      <c r="J193" s="55"/>
      <c r="L193" s="0"/>
      <c r="P193" s="0"/>
    </row>
    <row r="194" customFormat="false" ht="19.85" hidden="false" customHeight="true" outlineLevel="0" collapsed="false">
      <c r="A194" s="0" t="n">
        <v>31</v>
      </c>
      <c r="B194" s="31" t="n">
        <v>40664</v>
      </c>
      <c r="C194" s="56" t="n">
        <v>116367</v>
      </c>
      <c r="D194" s="29" t="s">
        <v>41</v>
      </c>
      <c r="E194" s="33" t="n">
        <f aca="false">IF(D194="totale",(C194/(A194*24))/F194,IF(D194="marché libre",(C194/(A194*24))/G194,"spécifier histo"))</f>
        <v>0.0710942082111437</v>
      </c>
      <c r="F194" s="59" t="n">
        <v>2200</v>
      </c>
      <c r="G194" s="59" t="n">
        <f aca="false">F194-H194</f>
        <v>2200</v>
      </c>
      <c r="H194" s="58" t="n">
        <v>0</v>
      </c>
      <c r="J194" s="55"/>
      <c r="L194" s="0"/>
      <c r="P194" s="0"/>
    </row>
    <row r="195" customFormat="false" ht="19.85" hidden="false" customHeight="true" outlineLevel="0" collapsed="false">
      <c r="A195" s="0" t="n">
        <v>30</v>
      </c>
      <c r="B195" s="34" t="n">
        <v>40695</v>
      </c>
      <c r="C195" s="56" t="n">
        <v>135939</v>
      </c>
      <c r="D195" s="29" t="s">
        <v>41</v>
      </c>
      <c r="E195" s="33" t="n">
        <f aca="false">IF(D195="totale",(C195/(A195*24))/F195,IF(D195="marché libre",(C195/(A195*24))/G195,"spécifier histo"))</f>
        <v>0.0858200757575758</v>
      </c>
      <c r="F195" s="59" t="n">
        <v>2200</v>
      </c>
      <c r="G195" s="59" t="n">
        <f aca="false">F195-H195</f>
        <v>2200</v>
      </c>
      <c r="H195" s="58" t="n">
        <v>0</v>
      </c>
      <c r="J195" s="55"/>
      <c r="L195" s="0"/>
      <c r="P195" s="0"/>
    </row>
    <row r="196" customFormat="false" ht="19.85" hidden="false" customHeight="true" outlineLevel="0" collapsed="false">
      <c r="A196" s="0" t="n">
        <v>31</v>
      </c>
      <c r="B196" s="31" t="n">
        <v>40725</v>
      </c>
      <c r="C196" s="56" t="n">
        <v>51490</v>
      </c>
      <c r="D196" s="29" t="s">
        <v>41</v>
      </c>
      <c r="E196" s="33" t="n">
        <f aca="false">IF(D196="totale",(C196/(A196*24))/F196,IF(D196="marché libre",(C196/(A196*24))/G196,"spécifier histo"))</f>
        <v>0.0314577223851417</v>
      </c>
      <c r="F196" s="59" t="n">
        <v>2200</v>
      </c>
      <c r="G196" s="59" t="n">
        <f aca="false">F196-H196</f>
        <v>2200</v>
      </c>
      <c r="H196" s="58" t="n">
        <v>0</v>
      </c>
      <c r="J196" s="55"/>
      <c r="L196" s="0"/>
      <c r="P196" s="0"/>
    </row>
    <row r="197" customFormat="false" ht="19.85" hidden="false" customHeight="true" outlineLevel="0" collapsed="false">
      <c r="A197" s="0" t="n">
        <v>31</v>
      </c>
      <c r="B197" s="34" t="n">
        <v>40756</v>
      </c>
      <c r="C197" s="56" t="n">
        <v>8524</v>
      </c>
      <c r="D197" s="29" t="s">
        <v>41</v>
      </c>
      <c r="E197" s="33" t="n">
        <f aca="false">IF(D197="totale",(C197/(A197*24))/F197,IF(D197="marché libre",(C197/(A197*24))/G197,"spécifier histo"))</f>
        <v>0.00520772238514174</v>
      </c>
      <c r="F197" s="59" t="n">
        <v>2200</v>
      </c>
      <c r="G197" s="59" t="n">
        <f aca="false">F197-H197</f>
        <v>2200</v>
      </c>
      <c r="H197" s="58" t="n">
        <v>0</v>
      </c>
      <c r="J197" s="55"/>
      <c r="L197" s="0"/>
      <c r="P197" s="0"/>
    </row>
    <row r="198" customFormat="false" ht="19.85" hidden="false" customHeight="true" outlineLevel="0" collapsed="false">
      <c r="A198" s="0" t="n">
        <v>30</v>
      </c>
      <c r="B198" s="31" t="n">
        <v>40787</v>
      </c>
      <c r="C198" s="56" t="n">
        <v>30443</v>
      </c>
      <c r="D198" s="29" t="s">
        <v>41</v>
      </c>
      <c r="E198" s="33" t="n">
        <f aca="false">IF(D198="totale",(C198/(A198*24))/F198,IF(D198="marché libre",(C198/(A198*24))/G198,"spécifier histo"))</f>
        <v>0.0192190656565657</v>
      </c>
      <c r="F198" s="59" t="n">
        <v>2200</v>
      </c>
      <c r="G198" s="59" t="n">
        <f aca="false">F198-H198</f>
        <v>2200</v>
      </c>
      <c r="H198" s="58" t="n">
        <v>0</v>
      </c>
      <c r="J198" s="55"/>
      <c r="L198" s="0"/>
      <c r="P198" s="0"/>
    </row>
    <row r="199" customFormat="false" ht="19.85" hidden="false" customHeight="true" outlineLevel="0" collapsed="false">
      <c r="A199" s="0" t="n">
        <v>31</v>
      </c>
      <c r="B199" s="34" t="n">
        <v>40817</v>
      </c>
      <c r="C199" s="56" t="n">
        <v>52055</v>
      </c>
      <c r="D199" s="29" t="s">
        <v>41</v>
      </c>
      <c r="E199" s="33" t="n">
        <f aca="false">IF(D199="totale",(C199/(A199*24))/F199,IF(D199="marché libre",(C199/(A199*24))/G199,"spécifier histo"))</f>
        <v>0.031802908113392</v>
      </c>
      <c r="F199" s="59" t="n">
        <v>2200</v>
      </c>
      <c r="G199" s="59" t="n">
        <f aca="false">F199-H199</f>
        <v>2200</v>
      </c>
      <c r="H199" s="58" t="n">
        <v>0</v>
      </c>
      <c r="J199" s="55"/>
      <c r="L199" s="0"/>
      <c r="P199" s="0"/>
    </row>
    <row r="200" customFormat="false" ht="19.85" hidden="false" customHeight="true" outlineLevel="0" collapsed="false">
      <c r="A200" s="0" t="n">
        <v>30</v>
      </c>
      <c r="B200" s="31" t="n">
        <v>40848</v>
      </c>
      <c r="C200" s="56" t="n">
        <v>88500</v>
      </c>
      <c r="D200" s="29" t="s">
        <v>41</v>
      </c>
      <c r="E200" s="33" t="n">
        <f aca="false">IF(D200="totale",(C200/(A200*24))/F200,IF(D200="marché libre",(C200/(A200*24))/G200,"spécifier histo"))</f>
        <v>0.0558712121212121</v>
      </c>
      <c r="F200" s="59" t="n">
        <v>2200</v>
      </c>
      <c r="G200" s="59" t="n">
        <f aca="false">F200-H200</f>
        <v>2200</v>
      </c>
      <c r="H200" s="58" t="n">
        <v>0</v>
      </c>
      <c r="J200" s="55"/>
      <c r="L200" s="0"/>
    </row>
    <row r="201" customFormat="false" ht="19.85" hidden="false" customHeight="true" outlineLevel="0" collapsed="false">
      <c r="A201" s="0" t="n">
        <v>31</v>
      </c>
      <c r="B201" s="34" t="n">
        <v>40878</v>
      </c>
      <c r="C201" s="56" t="n">
        <v>385960</v>
      </c>
      <c r="D201" s="29" t="s">
        <v>41</v>
      </c>
      <c r="E201" s="33" t="n">
        <f aca="false">IF(D201="totale",(C201/(A201*24))/F201,IF(D201="marché libre",(C201/(A201*24))/G201,"spécifier histo"))</f>
        <v>0.23580156402737</v>
      </c>
      <c r="F201" s="59" t="n">
        <v>2200</v>
      </c>
      <c r="G201" s="59" t="n">
        <f aca="false">F201-H201</f>
        <v>2200</v>
      </c>
      <c r="H201" s="58" t="n">
        <v>0</v>
      </c>
      <c r="J201" s="55"/>
      <c r="L201" s="0"/>
    </row>
    <row r="202" customFormat="false" ht="19.85" hidden="false" customHeight="true" outlineLevel="0" collapsed="false">
      <c r="A202" s="0" t="n">
        <v>31</v>
      </c>
      <c r="B202" s="31" t="n">
        <v>40909</v>
      </c>
      <c r="C202" s="56" t="n">
        <v>1255264</v>
      </c>
      <c r="D202" s="29" t="s">
        <v>41</v>
      </c>
      <c r="E202" s="33" t="n">
        <f aca="false">IF(D202="totale",(C202/(A202*24))/F202,IF(D202="marché libre",(C202/(A202*24))/G202,"spécifier histo"))</f>
        <v>0.766901270772239</v>
      </c>
      <c r="F202" s="59" t="n">
        <v>2200</v>
      </c>
      <c r="G202" s="59" t="n">
        <f aca="false">F202-H202</f>
        <v>2200</v>
      </c>
      <c r="H202" s="58" t="n">
        <v>0</v>
      </c>
      <c r="J202" s="55"/>
      <c r="L202" s="0"/>
    </row>
    <row r="203" customFormat="false" ht="19.85" hidden="false" customHeight="true" outlineLevel="0" collapsed="false">
      <c r="A203" s="0" t="n">
        <v>28</v>
      </c>
      <c r="B203" s="34" t="n">
        <v>40940</v>
      </c>
      <c r="C203" s="56" t="n">
        <v>686121</v>
      </c>
      <c r="D203" s="29" t="s">
        <v>41</v>
      </c>
      <c r="E203" s="33" t="n">
        <f aca="false">IF(D203="totale",(C203/(A203*24))/F203,IF(D203="marché libre",(C203/(A203*24))/G203,"spécifier histo"))</f>
        <v>0.464096996753247</v>
      </c>
      <c r="F203" s="59" t="n">
        <v>2200</v>
      </c>
      <c r="G203" s="59" t="n">
        <f aca="false">F203-H203</f>
        <v>2200</v>
      </c>
      <c r="H203" s="58" t="n">
        <v>0</v>
      </c>
      <c r="J203" s="55"/>
      <c r="L203" s="0"/>
    </row>
    <row r="204" customFormat="false" ht="19.85" hidden="false" customHeight="true" outlineLevel="0" collapsed="false">
      <c r="A204" s="0" t="n">
        <v>31</v>
      </c>
      <c r="B204" s="31" t="n">
        <v>40969</v>
      </c>
      <c r="C204" s="56" t="n">
        <v>749248</v>
      </c>
      <c r="D204" s="29" t="s">
        <v>41</v>
      </c>
      <c r="E204" s="33" t="n">
        <f aca="false">IF(D204="totale",(C204/(A204*24))/F204,IF(D204="marché libre",(C204/(A204*24))/G204,"spécifier histo"))</f>
        <v>0.457751710654936</v>
      </c>
      <c r="F204" s="59" t="n">
        <v>2200</v>
      </c>
      <c r="G204" s="59" t="n">
        <f aca="false">F204-H204</f>
        <v>2200</v>
      </c>
      <c r="H204" s="58" t="n">
        <v>0</v>
      </c>
      <c r="J204" s="55"/>
      <c r="L204" s="0"/>
    </row>
    <row r="205" customFormat="false" ht="19.85" hidden="false" customHeight="true" outlineLevel="0" collapsed="false">
      <c r="A205" s="0" t="n">
        <v>30</v>
      </c>
      <c r="B205" s="34" t="n">
        <v>41000</v>
      </c>
      <c r="C205" s="56" t="n">
        <v>791718</v>
      </c>
      <c r="D205" s="29" t="s">
        <v>41</v>
      </c>
      <c r="E205" s="33" t="n">
        <f aca="false">IF(D205="totale",(C205/(A205*24))/F205,IF(D205="marché libre",(C205/(A205*24))/G205,"spécifier histo"))</f>
        <v>0.49982196969697</v>
      </c>
      <c r="F205" s="59" t="n">
        <v>2200</v>
      </c>
      <c r="G205" s="59" t="n">
        <f aca="false">F205-H205</f>
        <v>2200</v>
      </c>
      <c r="H205" s="58" t="n">
        <v>0</v>
      </c>
      <c r="J205" s="55"/>
      <c r="L205" s="0"/>
    </row>
    <row r="206" customFormat="false" ht="19.85" hidden="false" customHeight="true" outlineLevel="0" collapsed="false">
      <c r="A206" s="0" t="n">
        <v>31</v>
      </c>
      <c r="B206" s="31" t="n">
        <v>41030</v>
      </c>
      <c r="C206" s="56" t="n">
        <v>1181985</v>
      </c>
      <c r="D206" s="29" t="s">
        <v>41</v>
      </c>
      <c r="E206" s="33" t="n">
        <f aca="false">IF(D206="totale",(C206/(A206*24))/F206,IF(D206="marché libre",(C206/(A206*24))/G206,"spécifier histo"))</f>
        <v>0.722131598240469</v>
      </c>
      <c r="F206" s="59" t="n">
        <v>2200</v>
      </c>
      <c r="G206" s="59" t="n">
        <f aca="false">F206-H206</f>
        <v>2200</v>
      </c>
      <c r="H206" s="58" t="n">
        <v>0</v>
      </c>
      <c r="J206" s="55"/>
      <c r="L206" s="0"/>
    </row>
    <row r="207" customFormat="false" ht="19.85" hidden="false" customHeight="true" outlineLevel="0" collapsed="false">
      <c r="A207" s="0" t="n">
        <v>30</v>
      </c>
      <c r="B207" s="34" t="n">
        <v>41061</v>
      </c>
      <c r="C207" s="56" t="n">
        <v>361880</v>
      </c>
      <c r="D207" s="29" t="s">
        <v>41</v>
      </c>
      <c r="E207" s="33" t="n">
        <f aca="false">IF(D207="totale",(C207/(A207*24))/F207,IF(D207="marché libre",(C207/(A207*24))/G207,"spécifier histo"))</f>
        <v>0.228459595959596</v>
      </c>
      <c r="F207" s="59" t="n">
        <v>2200</v>
      </c>
      <c r="G207" s="59" t="n">
        <f aca="false">F207-H207</f>
        <v>2200</v>
      </c>
      <c r="H207" s="58" t="n">
        <v>0</v>
      </c>
      <c r="J207" s="55"/>
      <c r="L207" s="0"/>
    </row>
    <row r="208" customFormat="false" ht="19.85" hidden="false" customHeight="true" outlineLevel="0" collapsed="false">
      <c r="A208" s="0" t="n">
        <v>31</v>
      </c>
      <c r="B208" s="31" t="n">
        <v>41091</v>
      </c>
      <c r="C208" s="56" t="n">
        <v>35440</v>
      </c>
      <c r="D208" s="29" t="s">
        <v>41</v>
      </c>
      <c r="E208" s="33" t="n">
        <f aca="false">IF(D208="totale",(C208/(A208*24))/F208,IF(D208="marché libre",(C208/(A208*24))/G208,"spécifier histo"))</f>
        <v>0.0216520039100684</v>
      </c>
      <c r="F208" s="59" t="n">
        <v>2200</v>
      </c>
      <c r="G208" s="59" t="n">
        <f aca="false">F208-H208</f>
        <v>2200</v>
      </c>
      <c r="H208" s="58" t="n">
        <v>0</v>
      </c>
      <c r="J208" s="55"/>
      <c r="L208" s="0"/>
    </row>
    <row r="209" customFormat="false" ht="19.85" hidden="false" customHeight="true" outlineLevel="0" collapsed="false">
      <c r="A209" s="0" t="n">
        <v>31</v>
      </c>
      <c r="B209" s="34" t="n">
        <v>41122</v>
      </c>
      <c r="C209" s="56" t="n">
        <v>6128</v>
      </c>
      <c r="D209" s="29" t="s">
        <v>41</v>
      </c>
      <c r="E209" s="33" t="n">
        <f aca="false">IF(D209="totale",(C209/(A209*24))/F209,IF(D209="marché libre",(C209/(A209*24))/G209,"spécifier histo"))</f>
        <v>0.00374389051808407</v>
      </c>
      <c r="F209" s="59" t="n">
        <v>2200</v>
      </c>
      <c r="G209" s="59" t="n">
        <f aca="false">F209-H209</f>
        <v>2200</v>
      </c>
      <c r="H209" s="58" t="n">
        <v>0</v>
      </c>
      <c r="J209" s="55"/>
      <c r="L209" s="0"/>
    </row>
    <row r="210" customFormat="false" ht="19.85" hidden="false" customHeight="true" outlineLevel="0" collapsed="false">
      <c r="A210" s="0" t="n">
        <v>30</v>
      </c>
      <c r="B210" s="31" t="n">
        <v>41153</v>
      </c>
      <c r="C210" s="56" t="n">
        <v>61238</v>
      </c>
      <c r="D210" s="29" t="s">
        <v>41</v>
      </c>
      <c r="E210" s="33" t="n">
        <f aca="false">IF(D210="totale",(C210/(A210*24))/F210,IF(D210="marché libre",(C210/(A210*24))/G210,"spécifier histo"))</f>
        <v>0.0386603535353535</v>
      </c>
      <c r="F210" s="59" t="n">
        <v>2200</v>
      </c>
      <c r="G210" s="59" t="n">
        <f aca="false">F210-H210</f>
        <v>2200</v>
      </c>
      <c r="H210" s="58" t="n">
        <v>0</v>
      </c>
      <c r="J210" s="55"/>
      <c r="L210" s="0"/>
    </row>
    <row r="211" customFormat="false" ht="19.85" hidden="false" customHeight="true" outlineLevel="0" collapsed="false">
      <c r="A211" s="0" t="n">
        <v>31</v>
      </c>
      <c r="B211" s="34" t="n">
        <v>41183</v>
      </c>
      <c r="C211" s="56" t="n">
        <v>38204</v>
      </c>
      <c r="D211" s="29" t="s">
        <v>41</v>
      </c>
      <c r="E211" s="33" t="n">
        <f aca="false">IF(D211="totale",(C211/(A211*24))/F211,IF(D211="marché libre",(C211/(A211*24))/G211,"spécifier histo"))</f>
        <v>0.0233406647116325</v>
      </c>
      <c r="F211" s="59" t="n">
        <v>2200</v>
      </c>
      <c r="G211" s="59" t="n">
        <f aca="false">F211-H211</f>
        <v>2200</v>
      </c>
      <c r="H211" s="58" t="n">
        <v>0</v>
      </c>
      <c r="J211" s="55"/>
      <c r="L211" s="0"/>
    </row>
    <row r="212" customFormat="false" ht="19.85" hidden="false" customHeight="true" outlineLevel="0" collapsed="false">
      <c r="A212" s="0" t="n">
        <v>30</v>
      </c>
      <c r="B212" s="31" t="n">
        <v>41214</v>
      </c>
      <c r="C212" s="56" t="n">
        <v>1117252</v>
      </c>
      <c r="D212" s="29" t="s">
        <v>41</v>
      </c>
      <c r="E212" s="33" t="n">
        <f aca="false">IF(D212="totale",(C212/(A212*24))/F212,IF(D212="marché libre",(C212/(A212*24))/G212,"spécifier histo"))</f>
        <v>0.705335858585859</v>
      </c>
      <c r="F212" s="59" t="n">
        <v>2200</v>
      </c>
      <c r="G212" s="59" t="n">
        <f aca="false">F212-H212</f>
        <v>2200</v>
      </c>
      <c r="H212" s="58" t="n">
        <v>0</v>
      </c>
      <c r="J212" s="55"/>
      <c r="L212" s="0"/>
    </row>
    <row r="213" customFormat="false" ht="19.85" hidden="false" customHeight="true" outlineLevel="0" collapsed="false">
      <c r="A213" s="0" t="n">
        <v>31</v>
      </c>
      <c r="B213" s="34" t="n">
        <v>41244</v>
      </c>
      <c r="C213" s="56" t="n">
        <v>1486190</v>
      </c>
      <c r="D213" s="29" t="s">
        <v>41</v>
      </c>
      <c r="E213" s="33" t="n">
        <f aca="false">IF(D213="totale",(C213/(A213*24))/F213,IF(D213="marché libre",(C213/(A213*24))/G213,"spécifier histo"))</f>
        <v>0.907985092864125</v>
      </c>
      <c r="F213" s="59" t="n">
        <v>2200</v>
      </c>
      <c r="G213" s="59" t="n">
        <f aca="false">F213-H213</f>
        <v>2200</v>
      </c>
      <c r="H213" s="58" t="n">
        <v>0</v>
      </c>
      <c r="J213" s="55"/>
      <c r="L213" s="0"/>
    </row>
    <row r="214" customFormat="false" ht="19.85" hidden="false" customHeight="true" outlineLevel="0" collapsed="false">
      <c r="A214" s="0" t="n">
        <v>31</v>
      </c>
      <c r="B214" s="31" t="n">
        <v>41275</v>
      </c>
      <c r="C214" s="56" t="n">
        <v>1404655</v>
      </c>
      <c r="D214" s="29" t="s">
        <v>41</v>
      </c>
      <c r="E214" s="33" t="n">
        <f aca="false">IF(D214="totale",(C214/(A214*24))/F214,IF(D214="marché libre",(C214/(A214*24))/G214,"spécifier histo"))</f>
        <v>0.858171432062561</v>
      </c>
      <c r="F214" s="59" t="n">
        <v>2200</v>
      </c>
      <c r="G214" s="59" t="n">
        <f aca="false">F214-H214</f>
        <v>2200</v>
      </c>
      <c r="H214" s="58" t="n">
        <v>0</v>
      </c>
      <c r="J214" s="55"/>
      <c r="L214" s="0"/>
    </row>
    <row r="215" customFormat="false" ht="19.85" hidden="false" customHeight="true" outlineLevel="0" collapsed="false">
      <c r="A215" s="0" t="n">
        <v>28</v>
      </c>
      <c r="B215" s="34" t="n">
        <v>41306</v>
      </c>
      <c r="C215" s="56" t="n">
        <v>1155045</v>
      </c>
      <c r="D215" s="29" t="s">
        <v>41</v>
      </c>
      <c r="E215" s="33" t="n">
        <f aca="false">IF(D215="totale",(C215/(A215*24))/F215,IF(D215="marché libre",(C215/(A215*24))/G215,"spécifier histo"))</f>
        <v>0.781280438311688</v>
      </c>
      <c r="F215" s="59" t="n">
        <v>2200</v>
      </c>
      <c r="G215" s="59" t="n">
        <f aca="false">F215-H215</f>
        <v>2200</v>
      </c>
      <c r="H215" s="58" t="n">
        <v>0</v>
      </c>
      <c r="J215" s="55"/>
      <c r="L215" s="0"/>
    </row>
    <row r="216" customFormat="false" ht="19.85" hidden="false" customHeight="true" outlineLevel="0" collapsed="false">
      <c r="A216" s="0" t="n">
        <v>31</v>
      </c>
      <c r="B216" s="31" t="n">
        <v>41334</v>
      </c>
      <c r="C216" s="56" t="n">
        <v>1424717</v>
      </c>
      <c r="D216" s="29" t="s">
        <v>41</v>
      </c>
      <c r="E216" s="33" t="n">
        <f aca="false">IF(D216="totale",(C216/(A216*24))/F216,IF(D216="marché libre",(C216/(A216*24))/G216,"spécifier histo"))</f>
        <v>0.870428274682307</v>
      </c>
      <c r="F216" s="59" t="n">
        <v>2200</v>
      </c>
      <c r="G216" s="59" t="n">
        <f aca="false">F216-H216</f>
        <v>2200</v>
      </c>
      <c r="H216" s="58" t="n">
        <v>0</v>
      </c>
      <c r="J216" s="55"/>
      <c r="L216" s="0"/>
    </row>
    <row r="217" customFormat="false" ht="19.85" hidden="false" customHeight="true" outlineLevel="0" collapsed="false">
      <c r="A217" s="0" t="n">
        <v>30</v>
      </c>
      <c r="B217" s="34" t="n">
        <v>41365</v>
      </c>
      <c r="C217" s="56" t="n">
        <v>1464951</v>
      </c>
      <c r="D217" s="29" t="s">
        <v>41</v>
      </c>
      <c r="E217" s="33" t="n">
        <f aca="false">IF(D217="totale",(C217/(A217*24))/F217,IF(D217="marché libre",(C217/(A217*24))/G217,"spécifier histo"))</f>
        <v>0.924842803030303</v>
      </c>
      <c r="F217" s="59" t="n">
        <v>2200</v>
      </c>
      <c r="G217" s="59" t="n">
        <f aca="false">F217-H217</f>
        <v>2200</v>
      </c>
      <c r="H217" s="58" t="n">
        <v>0</v>
      </c>
      <c r="J217" s="55"/>
      <c r="L217" s="0"/>
    </row>
    <row r="218" customFormat="false" ht="19.85" hidden="false" customHeight="true" outlineLevel="0" collapsed="false">
      <c r="A218" s="0" t="n">
        <v>31</v>
      </c>
      <c r="B218" s="31" t="n">
        <v>41395</v>
      </c>
      <c r="C218" s="56" t="n">
        <v>1262812</v>
      </c>
      <c r="D218" s="29" t="s">
        <v>41</v>
      </c>
      <c r="E218" s="33" t="n">
        <f aca="false">IF(D218="totale",(C218/(A218*24))/F218,IF(D218="marché libre",(C218/(A218*24))/G218,"spécifier histo"))</f>
        <v>0.771512707722385</v>
      </c>
      <c r="F218" s="59" t="n">
        <v>2200</v>
      </c>
      <c r="G218" s="59" t="n">
        <f aca="false">F218-H218</f>
        <v>2200</v>
      </c>
      <c r="H218" s="58" t="n">
        <v>0</v>
      </c>
      <c r="J218" s="55"/>
      <c r="L218" s="0"/>
    </row>
    <row r="219" customFormat="false" ht="19.85" hidden="false" customHeight="true" outlineLevel="0" collapsed="false">
      <c r="A219" s="0" t="n">
        <v>30</v>
      </c>
      <c r="B219" s="34" t="n">
        <v>41426</v>
      </c>
      <c r="C219" s="56" t="n">
        <v>767273</v>
      </c>
      <c r="D219" s="29" t="s">
        <v>41</v>
      </c>
      <c r="E219" s="33" t="n">
        <f aca="false">IF(D219="totale",(C219/(A219*24))/F219,IF(D219="marché libre",(C219/(A219*24))/G219,"spécifier histo"))</f>
        <v>0.48438952020202</v>
      </c>
      <c r="F219" s="59" t="n">
        <v>2200</v>
      </c>
      <c r="G219" s="59" t="n">
        <f aca="false">F219-H219</f>
        <v>2200</v>
      </c>
      <c r="H219" s="58" t="n">
        <v>0</v>
      </c>
      <c r="J219" s="55"/>
      <c r="L219" s="0"/>
    </row>
    <row r="220" customFormat="false" ht="19.85" hidden="false" customHeight="true" outlineLevel="0" collapsed="false">
      <c r="A220" s="0" t="n">
        <v>31</v>
      </c>
      <c r="B220" s="31" t="n">
        <v>41456</v>
      </c>
      <c r="C220" s="56" t="n">
        <v>273859</v>
      </c>
      <c r="D220" s="29" t="s">
        <v>41</v>
      </c>
      <c r="E220" s="33" t="n">
        <f aca="false">IF(D220="totale",(C220/(A220*24))/F220,IF(D220="marché libre",(C220/(A220*24))/G220,"spécifier histo"))</f>
        <v>0.167313660801564</v>
      </c>
      <c r="F220" s="59" t="n">
        <v>2200</v>
      </c>
      <c r="G220" s="59" t="n">
        <f aca="false">F220-H220</f>
        <v>2200</v>
      </c>
      <c r="H220" s="58" t="n">
        <v>0</v>
      </c>
      <c r="J220" s="55"/>
      <c r="L220" s="0"/>
    </row>
    <row r="221" customFormat="false" ht="19.85" hidden="false" customHeight="true" outlineLevel="0" collapsed="false">
      <c r="A221" s="0" t="n">
        <v>31</v>
      </c>
      <c r="B221" s="34" t="n">
        <v>41487</v>
      </c>
      <c r="C221" s="56" t="n">
        <v>156643</v>
      </c>
      <c r="D221" s="29" t="s">
        <v>41</v>
      </c>
      <c r="E221" s="33" t="n">
        <f aca="false">IF(D221="totale",(C221/(A221*24))/F221,IF(D221="marché libre",(C221/(A221*24))/G221,"spécifier histo"))</f>
        <v>0.0957007575757576</v>
      </c>
      <c r="F221" s="59" t="n">
        <v>2200</v>
      </c>
      <c r="G221" s="59" t="n">
        <f aca="false">F221-H221</f>
        <v>2200</v>
      </c>
      <c r="H221" s="58" t="n">
        <v>0</v>
      </c>
      <c r="J221" s="55"/>
      <c r="L221" s="0"/>
    </row>
    <row r="222" customFormat="false" ht="19.85" hidden="false" customHeight="true" outlineLevel="0" collapsed="false">
      <c r="A222" s="0" t="n">
        <v>30</v>
      </c>
      <c r="B222" s="31" t="n">
        <v>41518</v>
      </c>
      <c r="C222" s="56" t="n">
        <v>0</v>
      </c>
      <c r="D222" s="29" t="s">
        <v>41</v>
      </c>
      <c r="E222" s="33" t="n">
        <f aca="false">IF(D222="totale",(C222/(A222*24))/F222,IF(D222="marché libre",(C222/(A222*24))/G222,"spécifier histo"))</f>
        <v>0</v>
      </c>
      <c r="F222" s="59" t="n">
        <v>2200</v>
      </c>
      <c r="G222" s="59" t="n">
        <f aca="false">F222-H222</f>
        <v>2200</v>
      </c>
      <c r="H222" s="58" t="n">
        <v>0</v>
      </c>
      <c r="J222" s="55"/>
      <c r="L222" s="0"/>
    </row>
    <row r="223" customFormat="false" ht="19.85" hidden="false" customHeight="true" outlineLevel="0" collapsed="false">
      <c r="A223" s="0" t="n">
        <v>31</v>
      </c>
      <c r="B223" s="34" t="n">
        <v>41548</v>
      </c>
      <c r="C223" s="56" t="n">
        <v>253659</v>
      </c>
      <c r="D223" s="29" t="s">
        <v>41</v>
      </c>
      <c r="E223" s="33" t="n">
        <f aca="false">IF(D223="totale",(C223/(A223*24))/F223,IF(D223="marché libre",(C223/(A223*24))/G223,"spécifier histo"))</f>
        <v>0.154972507331378</v>
      </c>
      <c r="F223" s="59" t="n">
        <v>2200</v>
      </c>
      <c r="G223" s="59" t="n">
        <f aca="false">F223-H223</f>
        <v>2200</v>
      </c>
      <c r="H223" s="58" t="n">
        <v>0</v>
      </c>
      <c r="J223" s="55"/>
      <c r="L223" s="0"/>
    </row>
    <row r="224" customFormat="false" ht="19.85" hidden="false" customHeight="true" outlineLevel="0" collapsed="false">
      <c r="A224" s="0" t="n">
        <v>30</v>
      </c>
      <c r="B224" s="31" t="n">
        <v>41579</v>
      </c>
      <c r="C224" s="56" t="n">
        <v>1004387</v>
      </c>
      <c r="D224" s="29" t="s">
        <v>41</v>
      </c>
      <c r="E224" s="33" t="n">
        <f aca="false">IF(D224="totale",(C224/(A224*24))/F224,IF(D224="marché libre",(C224/(A224*24))/G224,"spécifier histo"))</f>
        <v>0.634082702020202</v>
      </c>
      <c r="F224" s="59" t="n">
        <v>2200</v>
      </c>
      <c r="G224" s="59" t="n">
        <f aca="false">F224-H224</f>
        <v>2200</v>
      </c>
      <c r="H224" s="58" t="n">
        <v>0</v>
      </c>
      <c r="J224" s="55"/>
      <c r="L224" s="0"/>
    </row>
    <row r="225" customFormat="false" ht="19.85" hidden="false" customHeight="true" outlineLevel="0" collapsed="false">
      <c r="A225" s="0" t="n">
        <v>31</v>
      </c>
      <c r="B225" s="34" t="n">
        <v>41609</v>
      </c>
      <c r="C225" s="56" t="n">
        <v>756707</v>
      </c>
      <c r="D225" s="29" t="s">
        <v>41</v>
      </c>
      <c r="E225" s="33" t="n">
        <f aca="false">IF(D225="totale",(C225/(A225*24))/F225,IF(D225="marché libre",(C225/(A225*24))/G225,"spécifier histo"))</f>
        <v>0.462308773216031</v>
      </c>
      <c r="F225" s="59" t="n">
        <v>2200</v>
      </c>
      <c r="G225" s="59" t="n">
        <f aca="false">F225-H225</f>
        <v>2200</v>
      </c>
      <c r="H225" s="58" t="n">
        <v>0</v>
      </c>
      <c r="J225" s="55"/>
      <c r="L225" s="0"/>
    </row>
    <row r="226" customFormat="false" ht="19.85" hidden="false" customHeight="true" outlineLevel="0" collapsed="false">
      <c r="A226" s="0" t="n">
        <v>31</v>
      </c>
      <c r="B226" s="31" t="n">
        <v>41640</v>
      </c>
      <c r="C226" s="238" t="n">
        <v>1526545</v>
      </c>
      <c r="D226" s="29" t="s">
        <v>41</v>
      </c>
      <c r="E226" s="33" t="n">
        <f aca="false">IF(D226="totale",(C226/(A226*24))/F226,IF(D226="marché libre",(C226/(A226*24))/G226,"spécifier histo"))</f>
        <v>0.932639907135875</v>
      </c>
      <c r="F226" s="59" t="n">
        <v>2200</v>
      </c>
      <c r="G226" s="59" t="n">
        <f aca="false">F226-H226</f>
        <v>2200</v>
      </c>
      <c r="H226" s="58" t="n">
        <v>0</v>
      </c>
      <c r="J226" s="55"/>
      <c r="L226" s="0"/>
    </row>
    <row r="227" customFormat="false" ht="19.85" hidden="false" customHeight="true" outlineLevel="0" collapsed="false">
      <c r="A227" s="0" t="n">
        <v>28</v>
      </c>
      <c r="B227" s="34" t="n">
        <v>41671</v>
      </c>
      <c r="C227" s="238" t="n">
        <v>1382402</v>
      </c>
      <c r="D227" s="29" t="s">
        <v>41</v>
      </c>
      <c r="E227" s="33" t="n">
        <f aca="false">IF(D227="totale",(C227/(A227*24))/F227,IF(D227="marché libre",(C227/(A227*24))/G227,"spécifier histo"))</f>
        <v>0.935066287878788</v>
      </c>
      <c r="F227" s="59" t="n">
        <v>2200</v>
      </c>
      <c r="G227" s="59" t="n">
        <f aca="false">F227-H227</f>
        <v>2200</v>
      </c>
      <c r="H227" s="58" t="n">
        <v>0</v>
      </c>
      <c r="J227" s="55"/>
      <c r="L227" s="0"/>
    </row>
    <row r="228" customFormat="false" ht="19.85" hidden="false" customHeight="true" outlineLevel="0" collapsed="false">
      <c r="A228" s="0" t="n">
        <v>31</v>
      </c>
      <c r="B228" s="31" t="n">
        <v>41699</v>
      </c>
      <c r="C228" s="238" t="n">
        <v>1515885</v>
      </c>
      <c r="D228" s="29" t="s">
        <v>41</v>
      </c>
      <c r="E228" s="33" t="n">
        <f aca="false">IF(D228="totale",(C228/(A228*24))/F228,IF(D228="marché libre",(C228/(A228*24))/G228,"spécifier histo"))</f>
        <v>0.92612719941349</v>
      </c>
      <c r="F228" s="59" t="n">
        <v>2200</v>
      </c>
      <c r="G228" s="59" t="n">
        <f aca="false">F228-H228</f>
        <v>2200</v>
      </c>
      <c r="H228" s="58" t="n">
        <v>0</v>
      </c>
      <c r="J228" s="55"/>
      <c r="L228" s="0"/>
    </row>
    <row r="229" customFormat="false" ht="19.85" hidden="false" customHeight="true" outlineLevel="0" collapsed="false">
      <c r="A229" s="0" t="n">
        <v>30</v>
      </c>
      <c r="B229" s="34" t="n">
        <v>41730</v>
      </c>
      <c r="C229" s="238" t="n">
        <v>913457</v>
      </c>
      <c r="D229" s="29" t="s">
        <v>41</v>
      </c>
      <c r="E229" s="33" t="n">
        <f aca="false">IF(D229="totale",(C229/(A229*24))/F229,IF(D229="marché libre",(C229/(A229*24))/G229,"spécifier histo"))</f>
        <v>0.576677398989899</v>
      </c>
      <c r="F229" s="59" t="n">
        <v>2200</v>
      </c>
      <c r="G229" s="59" t="n">
        <f aca="false">F229-H229</f>
        <v>2200</v>
      </c>
      <c r="H229" s="58" t="n">
        <v>0</v>
      </c>
      <c r="J229" s="55"/>
      <c r="L229" s="0"/>
    </row>
    <row r="230" customFormat="false" ht="19.85" hidden="false" customHeight="true" outlineLevel="0" collapsed="false">
      <c r="A230" s="0" t="n">
        <v>31</v>
      </c>
      <c r="B230" s="31" t="n">
        <v>41760</v>
      </c>
      <c r="C230" s="238" t="n">
        <v>1003141</v>
      </c>
      <c r="D230" s="29" t="s">
        <v>41</v>
      </c>
      <c r="E230" s="33" t="n">
        <f aca="false">IF(D230="totale",(C230/(A230*24))/F230,IF(D230="marché libre",(C230/(A230*24))/G230,"spécifier histo"))</f>
        <v>0.612867179863148</v>
      </c>
      <c r="F230" s="59" t="n">
        <v>2200</v>
      </c>
      <c r="G230" s="59" t="n">
        <f aca="false">F230-H230</f>
        <v>2200</v>
      </c>
      <c r="H230" s="58" t="n">
        <v>0</v>
      </c>
      <c r="J230" s="55"/>
      <c r="L230" s="0"/>
    </row>
    <row r="231" customFormat="false" ht="19.85" hidden="false" customHeight="true" outlineLevel="0" collapsed="false">
      <c r="A231" s="0" t="n">
        <v>30</v>
      </c>
      <c r="B231" s="34" t="n">
        <v>41791</v>
      </c>
      <c r="C231" s="238" t="n">
        <v>290982</v>
      </c>
      <c r="D231" s="29" t="s">
        <v>41</v>
      </c>
      <c r="E231" s="33" t="n">
        <f aca="false">IF(D231="totale",(C231/(A231*24))/F231,IF(D231="marché libre",(C231/(A231*24))/G231,"spécifier histo"))</f>
        <v>0.183700757575758</v>
      </c>
      <c r="F231" s="59" t="n">
        <v>2200</v>
      </c>
      <c r="G231" s="59" t="n">
        <f aca="false">F231-H231</f>
        <v>2200</v>
      </c>
      <c r="H231" s="58" t="n">
        <v>0</v>
      </c>
      <c r="J231" s="55"/>
      <c r="L231" s="0"/>
    </row>
    <row r="232" customFormat="false" ht="19.85" hidden="false" customHeight="true" outlineLevel="0" collapsed="false">
      <c r="A232" s="0" t="n">
        <v>31</v>
      </c>
      <c r="B232" s="31" t="n">
        <v>41821</v>
      </c>
      <c r="C232" s="238" t="n">
        <v>419051</v>
      </c>
      <c r="D232" s="29" t="s">
        <v>41</v>
      </c>
      <c r="E232" s="33" t="n">
        <f aca="false">IF(D232="totale",(C232/(A232*24))/F232,IF(D232="marché libre",(C232/(A232*24))/G232,"spécifier histo"))</f>
        <v>0.256018450635386</v>
      </c>
      <c r="F232" s="59" t="n">
        <v>2200</v>
      </c>
      <c r="G232" s="59" t="n">
        <f aca="false">F232-H232</f>
        <v>2200</v>
      </c>
      <c r="H232" s="58" t="n">
        <v>0</v>
      </c>
      <c r="J232" s="55"/>
      <c r="L232" s="0"/>
    </row>
    <row r="233" customFormat="false" ht="19.85" hidden="false" customHeight="true" outlineLevel="0" collapsed="false">
      <c r="A233" s="0" t="n">
        <v>31</v>
      </c>
      <c r="B233" s="34" t="n">
        <v>41852</v>
      </c>
      <c r="C233" s="238" t="n">
        <v>287317</v>
      </c>
      <c r="D233" s="29" t="s">
        <v>41</v>
      </c>
      <c r="E233" s="33" t="n">
        <f aca="false">IF(D233="totale",(C233/(A233*24))/F233,IF(D233="marché libre",(C233/(A233*24))/G233,"spécifier histo"))</f>
        <v>0.175535801564027</v>
      </c>
      <c r="F233" s="59" t="n">
        <v>2200</v>
      </c>
      <c r="G233" s="59" t="n">
        <f aca="false">F233-H233</f>
        <v>2200</v>
      </c>
      <c r="H233" s="58" t="n">
        <v>0</v>
      </c>
      <c r="J233" s="55"/>
      <c r="L233" s="0"/>
    </row>
    <row r="234" customFormat="false" ht="19.85" hidden="false" customHeight="true" outlineLevel="0" collapsed="false">
      <c r="A234" s="0" t="n">
        <v>30</v>
      </c>
      <c r="B234" s="31" t="n">
        <v>41883</v>
      </c>
      <c r="C234" s="238" t="n">
        <v>3153</v>
      </c>
      <c r="D234" s="29" t="s">
        <v>41</v>
      </c>
      <c r="E234" s="33" t="n">
        <f aca="false">IF(D234="totale",(C234/(A234*24))/F234,IF(D234="marché libre",(C234/(A234*24))/G234,"spécifier histo"))</f>
        <v>0.0019905303030303</v>
      </c>
      <c r="F234" s="59" t="n">
        <v>2200</v>
      </c>
      <c r="G234" s="59" t="n">
        <f aca="false">F234-H234</f>
        <v>2200</v>
      </c>
      <c r="H234" s="58" t="n">
        <v>0</v>
      </c>
      <c r="J234" s="55"/>
      <c r="L234" s="0"/>
    </row>
    <row r="235" customFormat="false" ht="19.85" hidden="false" customHeight="true" outlineLevel="0" collapsed="false">
      <c r="A235" s="0" t="n">
        <v>31</v>
      </c>
      <c r="B235" s="34" t="n">
        <v>41913</v>
      </c>
      <c r="C235" s="238" t="n">
        <v>1281</v>
      </c>
      <c r="D235" s="29" t="s">
        <v>41</v>
      </c>
      <c r="E235" s="33" t="n">
        <f aca="false">IF(D235="totale",(C235/(A235*24))/F235,IF(D235="marché libre",(C235/(A235*24))/G235,"spécifier histo"))</f>
        <v>0.000782624633431085</v>
      </c>
      <c r="F235" s="59" t="n">
        <v>2200</v>
      </c>
      <c r="G235" s="59" t="n">
        <f aca="false">F235-H235</f>
        <v>2200</v>
      </c>
      <c r="H235" s="58" t="n">
        <v>0</v>
      </c>
      <c r="I235" s="1" t="s">
        <v>233</v>
      </c>
      <c r="J235" s="55"/>
      <c r="K235" s="238"/>
      <c r="L235" s="238"/>
      <c r="M235" s="238"/>
      <c r="N235" s="238"/>
    </row>
    <row r="236" customFormat="false" ht="19.85" hidden="false" customHeight="true" outlineLevel="0" collapsed="false">
      <c r="A236" s="0" t="n">
        <v>30</v>
      </c>
      <c r="B236" s="31" t="n">
        <v>41944</v>
      </c>
      <c r="C236" s="238" t="n">
        <v>539806</v>
      </c>
      <c r="D236" s="29" t="s">
        <v>41</v>
      </c>
      <c r="E236" s="33" t="n">
        <f aca="false">IF(D236="totale",(C236/(A236*24))/F236,IF(D236="marché libre",(C236/(A236*24))/G236,"spécifier histo"))</f>
        <v>0.340786616161616</v>
      </c>
      <c r="F236" s="59" t="n">
        <v>2200</v>
      </c>
      <c r="G236" s="59" t="n">
        <f aca="false">F236-H236</f>
        <v>2200</v>
      </c>
      <c r="H236" s="58" t="n">
        <v>0</v>
      </c>
      <c r="I236" s="1" t="s">
        <v>233</v>
      </c>
      <c r="J236" s="55"/>
      <c r="K236" s="238"/>
      <c r="L236" s="0"/>
      <c r="M236" s="0"/>
      <c r="N236" s="0"/>
    </row>
    <row r="237" customFormat="false" ht="19.95" hidden="false" customHeight="true" outlineLevel="0" collapsed="false">
      <c r="A237" s="0" t="n">
        <v>31</v>
      </c>
      <c r="B237" s="34" t="n">
        <v>41974</v>
      </c>
      <c r="C237" s="238" t="n">
        <v>515243</v>
      </c>
      <c r="D237" s="29" t="s">
        <v>41</v>
      </c>
      <c r="E237" s="33" t="n">
        <f aca="false">IF(D237="totale",(C237/(A237*24))/F237,IF(D237="marché libre",(C237/(A237*24))/G237,"spécifier histo"))</f>
        <v>0.314786779081134</v>
      </c>
      <c r="F237" s="59" t="n">
        <v>2200</v>
      </c>
      <c r="G237" s="59" t="n">
        <f aca="false">F237-H237</f>
        <v>2200</v>
      </c>
      <c r="H237" s="58" t="n">
        <v>0</v>
      </c>
      <c r="I237" s="1" t="s">
        <v>233</v>
      </c>
      <c r="J237" s="55"/>
      <c r="K237" s="238"/>
      <c r="L237" s="0"/>
      <c r="M237" s="0"/>
      <c r="N237" s="0"/>
    </row>
    <row r="238" customFormat="false" ht="19.85" hidden="false" customHeight="true" outlineLevel="0" collapsed="false">
      <c r="A238" s="0" t="n">
        <v>31</v>
      </c>
      <c r="B238" s="31" t="n">
        <v>42005</v>
      </c>
      <c r="C238" s="238" t="n">
        <v>850127</v>
      </c>
      <c r="D238" s="29" t="s">
        <v>41</v>
      </c>
      <c r="E238" s="33" t="n">
        <f aca="false">IF(D238="totale",(C238/(A238*24))/F238,IF(D238="marché libre",(C238/(A238*24))/G238,"spécifier histo"))</f>
        <v>0.519383553274682</v>
      </c>
      <c r="F238" s="59" t="n">
        <v>2200</v>
      </c>
      <c r="G238" s="59" t="n">
        <f aca="false">F238-H238</f>
        <v>2200</v>
      </c>
      <c r="H238" s="58" t="n">
        <v>0</v>
      </c>
      <c r="J238" s="55"/>
      <c r="K238" s="238"/>
      <c r="L238" s="0"/>
      <c r="M238" s="0"/>
      <c r="N238" s="0"/>
    </row>
    <row r="239" customFormat="false" ht="19.85" hidden="false" customHeight="true" outlineLevel="0" collapsed="false">
      <c r="A239" s="0" t="n">
        <v>28</v>
      </c>
      <c r="B239" s="34" t="n">
        <v>42036</v>
      </c>
      <c r="C239" s="238" t="n">
        <v>707310</v>
      </c>
      <c r="D239" s="29" t="s">
        <v>41</v>
      </c>
      <c r="E239" s="33" t="n">
        <f aca="false">IF(D239="totale",(C239/(A239*24))/F239,IF(D239="marché libre",(C239/(A239*24))/G239,"spécifier histo"))</f>
        <v>0.478429383116883</v>
      </c>
      <c r="F239" s="59" t="n">
        <v>2200</v>
      </c>
      <c r="G239" s="59" t="n">
        <f aca="false">F239-H239</f>
        <v>2200</v>
      </c>
      <c r="H239" s="58" t="n">
        <v>0</v>
      </c>
      <c r="J239" s="55"/>
      <c r="K239" s="238"/>
      <c r="L239" s="0"/>
      <c r="M239" s="0"/>
      <c r="N239" s="0"/>
    </row>
    <row r="240" customFormat="false" ht="19.85" hidden="false" customHeight="true" outlineLevel="0" collapsed="false">
      <c r="A240" s="0" t="n">
        <v>31</v>
      </c>
      <c r="B240" s="31" t="n">
        <v>42064</v>
      </c>
      <c r="C240" s="238" t="n">
        <v>1489489</v>
      </c>
      <c r="D240" s="29" t="s">
        <v>41</v>
      </c>
      <c r="E240" s="33" t="n">
        <f aca="false">IF(D240="totale",(C240/(A240*24))/F240,IF(D240="marché libre",(C240/(A240*24))/G240,"spécifier histo"))</f>
        <v>0.910000610948192</v>
      </c>
      <c r="F240" s="59" t="n">
        <v>2200</v>
      </c>
      <c r="G240" s="59" t="n">
        <f aca="false">F240-H240</f>
        <v>2200</v>
      </c>
      <c r="H240" s="58" t="n">
        <v>0</v>
      </c>
      <c r="J240" s="55"/>
      <c r="K240" s="238"/>
      <c r="L240" s="0"/>
      <c r="M240" s="0"/>
      <c r="N240" s="0"/>
    </row>
    <row r="241" customFormat="false" ht="19.85" hidden="false" customHeight="true" outlineLevel="0" collapsed="false">
      <c r="A241" s="0" t="n">
        <v>30</v>
      </c>
      <c r="B241" s="34" t="n">
        <v>42095</v>
      </c>
      <c r="C241" s="238" t="n">
        <v>1348905</v>
      </c>
      <c r="D241" s="29" t="s">
        <v>41</v>
      </c>
      <c r="E241" s="33" t="n">
        <f aca="false">IF(D241="totale",(C241/(A241*24))/F241,IF(D241="marché libre",(C241/(A241*24))/G241,"spécifier histo"))</f>
        <v>0.851581439393939</v>
      </c>
      <c r="F241" s="59" t="n">
        <v>2200</v>
      </c>
      <c r="G241" s="59" t="n">
        <f aca="false">F241-H241</f>
        <v>2200</v>
      </c>
      <c r="H241" s="58" t="n">
        <v>0</v>
      </c>
      <c r="J241" s="55"/>
      <c r="K241" s="238"/>
      <c r="L241" s="0"/>
      <c r="M241" s="0"/>
      <c r="N241" s="0"/>
    </row>
    <row r="242" customFormat="false" ht="19.85" hidden="false" customHeight="true" outlineLevel="0" collapsed="false">
      <c r="A242" s="0" t="n">
        <v>31</v>
      </c>
      <c r="B242" s="31" t="n">
        <v>42125</v>
      </c>
      <c r="C242" s="238" t="n">
        <v>1258218</v>
      </c>
      <c r="D242" s="29" t="s">
        <v>41</v>
      </c>
      <c r="E242" s="33" t="n">
        <f aca="false">IF(D242="totale",(C242/(A242*24))/F242,IF(D242="marché libre",(C242/(A242*24))/G242,"spécifier histo"))</f>
        <v>0.768706011730205</v>
      </c>
      <c r="F242" s="59" t="n">
        <v>2200</v>
      </c>
      <c r="G242" s="59" t="n">
        <f aca="false">F242-H242</f>
        <v>2200</v>
      </c>
      <c r="H242" s="58" t="n">
        <v>0</v>
      </c>
      <c r="J242" s="55"/>
      <c r="K242" s="238"/>
      <c r="L242" s="0"/>
      <c r="M242" s="0"/>
      <c r="N242" s="0"/>
    </row>
    <row r="243" customFormat="false" ht="19.85" hidden="false" customHeight="true" outlineLevel="0" collapsed="false">
      <c r="A243" s="0" t="n">
        <v>30</v>
      </c>
      <c r="B243" s="34" t="n">
        <v>42156</v>
      </c>
      <c r="C243" s="238" t="n">
        <v>496729</v>
      </c>
      <c r="D243" s="29" t="s">
        <v>41</v>
      </c>
      <c r="E243" s="33" t="n">
        <f aca="false">IF(D243="totale",(C243/(A243*24))/F243,IF(D243="marché libre",(C243/(A243*24))/G243,"spécifier histo"))</f>
        <v>0.31359154040404</v>
      </c>
      <c r="F243" s="59" t="n">
        <v>2200</v>
      </c>
      <c r="G243" s="59" t="n">
        <f aca="false">F243-H243</f>
        <v>2200</v>
      </c>
      <c r="H243" s="58" t="n">
        <v>0</v>
      </c>
      <c r="J243" s="55"/>
      <c r="K243" s="238"/>
      <c r="L243" s="0"/>
      <c r="M243" s="0"/>
      <c r="N243" s="0"/>
    </row>
    <row r="244" customFormat="false" ht="19.85" hidden="false" customHeight="true" outlineLevel="0" collapsed="false">
      <c r="A244" s="0" t="n">
        <v>31</v>
      </c>
      <c r="B244" s="31" t="n">
        <v>42186</v>
      </c>
      <c r="C244" s="238" t="n">
        <v>11543</v>
      </c>
      <c r="D244" s="29" t="s">
        <v>41</v>
      </c>
      <c r="E244" s="33" t="n">
        <f aca="false">IF(D244="totale",(C244/(A244*24))/F244,IF(D244="marché libre",(C244/(A244*24))/G244,"spécifier histo"))</f>
        <v>0.00705217497556207</v>
      </c>
      <c r="F244" s="59" t="n">
        <v>2200</v>
      </c>
      <c r="G244" s="59" t="n">
        <f aca="false">F244-H244</f>
        <v>2200</v>
      </c>
      <c r="H244" s="58" t="n">
        <v>0</v>
      </c>
      <c r="J244" s="55"/>
      <c r="K244" s="238"/>
      <c r="L244" s="0"/>
      <c r="M244" s="0"/>
      <c r="N244" s="0"/>
    </row>
    <row r="245" customFormat="false" ht="19.85" hidden="false" customHeight="true" outlineLevel="0" collapsed="false">
      <c r="A245" s="0" t="n">
        <v>31</v>
      </c>
      <c r="B245" s="34" t="n">
        <v>42217</v>
      </c>
      <c r="C245" s="238" t="n">
        <v>81</v>
      </c>
      <c r="D245" s="29" t="s">
        <v>41</v>
      </c>
      <c r="E245" s="33" t="n">
        <f aca="false">IF(D245="totale",(C245/(A245*24))/F245,IF(D245="marché libre",(C245/(A245*24))/G245,"spécifier histo"))</f>
        <v>4.94868035190616E-005</v>
      </c>
      <c r="F245" s="59" t="n">
        <v>2200</v>
      </c>
      <c r="G245" s="59" t="n">
        <f aca="false">F245-H245</f>
        <v>2200</v>
      </c>
      <c r="H245" s="58" t="n">
        <v>0</v>
      </c>
      <c r="J245" s="55"/>
      <c r="K245" s="238"/>
      <c r="L245" s="0"/>
      <c r="M245" s="0"/>
      <c r="N245" s="0"/>
    </row>
    <row r="246" customFormat="false" ht="19.85" hidden="false" customHeight="true" outlineLevel="0" collapsed="false">
      <c r="A246" s="0" t="n">
        <v>30</v>
      </c>
      <c r="B246" s="31" t="n">
        <v>42248</v>
      </c>
      <c r="C246" s="238" t="n">
        <v>18402</v>
      </c>
      <c r="D246" s="29" t="s">
        <v>41</v>
      </c>
      <c r="E246" s="33" t="n">
        <f aca="false">IF(D246="totale",(C246/(A246*24))/F246,IF(D246="marché libre",(C246/(A246*24))/G246,"spécifier histo"))</f>
        <v>0.0116174242424242</v>
      </c>
      <c r="F246" s="59" t="n">
        <v>2200</v>
      </c>
      <c r="G246" s="59" t="n">
        <f aca="false">F246-H246</f>
        <v>2200</v>
      </c>
      <c r="H246" s="58" t="n">
        <v>0</v>
      </c>
      <c r="J246" s="55"/>
      <c r="K246" s="238"/>
      <c r="L246" s="0"/>
      <c r="M246" s="0"/>
      <c r="N246" s="0"/>
    </row>
    <row r="247" customFormat="false" ht="19.85" hidden="false" customHeight="true" outlineLevel="0" collapsed="false">
      <c r="A247" s="0" t="n">
        <v>31</v>
      </c>
      <c r="B247" s="34" t="n">
        <v>42278</v>
      </c>
      <c r="C247" s="238" t="n">
        <v>169853</v>
      </c>
      <c r="D247" s="29" t="s">
        <v>41</v>
      </c>
      <c r="E247" s="33" t="n">
        <f aca="false">IF(D247="totale",(C247/(A247*24))/F247,IF(D247="marché libre",(C247/(A247*24))/G247,"spécifier histo"))</f>
        <v>0.103771383186706</v>
      </c>
      <c r="F247" s="59" t="n">
        <v>2200</v>
      </c>
      <c r="G247" s="59" t="n">
        <f aca="false">F247-H247</f>
        <v>2200</v>
      </c>
      <c r="H247" s="58" t="n">
        <v>0</v>
      </c>
      <c r="J247" s="55"/>
      <c r="K247" s="238"/>
      <c r="L247" s="0"/>
      <c r="M247" s="0"/>
      <c r="N247" s="0"/>
    </row>
    <row r="248" customFormat="false" ht="19.85" hidden="false" customHeight="true" outlineLevel="0" collapsed="false">
      <c r="A248" s="0" t="n">
        <v>30</v>
      </c>
      <c r="B248" s="31" t="n">
        <v>42309</v>
      </c>
      <c r="C248" s="238" t="n">
        <v>190790</v>
      </c>
      <c r="D248" s="29" t="s">
        <v>41</v>
      </c>
      <c r="E248" s="33" t="n">
        <f aca="false">IF(D248="totale",(C248/(A248*24))/F248,IF(D248="marché libre",(C248/(A248*24))/G248,"spécifier histo"))</f>
        <v>0.120448232323232</v>
      </c>
      <c r="F248" s="59" t="n">
        <v>2200</v>
      </c>
      <c r="G248" s="59" t="n">
        <f aca="false">F248-H248</f>
        <v>2200</v>
      </c>
      <c r="H248" s="58" t="n">
        <v>0</v>
      </c>
      <c r="J248" s="55"/>
    </row>
    <row r="249" customFormat="false" ht="19.85" hidden="false" customHeight="true" outlineLevel="0" collapsed="false">
      <c r="A249" s="0" t="n">
        <v>31</v>
      </c>
      <c r="B249" s="34" t="n">
        <v>42339</v>
      </c>
      <c r="C249" s="238" t="n">
        <v>244007</v>
      </c>
      <c r="D249" s="29" t="s">
        <v>41</v>
      </c>
      <c r="E249" s="33" t="n">
        <f aca="false">IF(D249="totale",(C249/(A249*24))/F249,IF(D249="marché libre",(C249/(A249*24))/G249,"spécifier histo"))</f>
        <v>0.149075635386119</v>
      </c>
      <c r="F249" s="59" t="n">
        <v>2200</v>
      </c>
      <c r="G249" s="59" t="n">
        <f aca="false">F249-H249</f>
        <v>2200</v>
      </c>
      <c r="H249" s="58" t="n">
        <v>0</v>
      </c>
      <c r="J249" s="55"/>
    </row>
    <row r="250" customFormat="false" ht="19.85" hidden="false" customHeight="true" outlineLevel="0" collapsed="false">
      <c r="A250" s="0" t="n">
        <v>31</v>
      </c>
      <c r="B250" s="31" t="n">
        <v>42370</v>
      </c>
      <c r="C250" s="238" t="n">
        <v>525983</v>
      </c>
      <c r="D250" s="29" t="s">
        <v>41</v>
      </c>
      <c r="E250" s="33" t="n">
        <f aca="false">IF(D250="totale",(C250/(A250*24))/F250,IF(D250="marché libre",(C250/(A250*24))/G250,"spécifier histo"))</f>
        <v>0.321348362658847</v>
      </c>
      <c r="F250" s="59" t="n">
        <v>2200</v>
      </c>
      <c r="G250" s="59" t="n">
        <f aca="false">F250-H250</f>
        <v>2200</v>
      </c>
      <c r="H250" s="58" t="n">
        <v>0</v>
      </c>
      <c r="J250" s="55"/>
    </row>
    <row r="251" customFormat="false" ht="19.85" hidden="false" customHeight="true" outlineLevel="0" collapsed="false">
      <c r="A251" s="0" t="n">
        <v>28</v>
      </c>
      <c r="B251" s="34" t="n">
        <v>42401</v>
      </c>
      <c r="C251" s="238" t="n">
        <v>1010152</v>
      </c>
      <c r="D251" s="29" t="s">
        <v>41</v>
      </c>
      <c r="E251" s="33" t="n">
        <f aca="false">IF(D251="totale",(C251/(A251*24))/F251,IF(D251="marché libre",(C251/(A251*24))/G251,"spécifier histo"))</f>
        <v>0.68327380952381</v>
      </c>
      <c r="F251" s="59" t="n">
        <v>2200</v>
      </c>
      <c r="G251" s="59" t="n">
        <f aca="false">F251-H251</f>
        <v>2200</v>
      </c>
      <c r="H251" s="58" t="n">
        <v>0</v>
      </c>
      <c r="J251" s="55"/>
    </row>
    <row r="252" customFormat="false" ht="19.85" hidden="false" customHeight="true" outlineLevel="0" collapsed="false">
      <c r="A252" s="0" t="n">
        <v>31</v>
      </c>
      <c r="B252" s="31" t="n">
        <v>42430</v>
      </c>
      <c r="C252" s="238" t="n">
        <v>1051968</v>
      </c>
      <c r="D252" s="29" t="s">
        <v>41</v>
      </c>
      <c r="E252" s="33" t="n">
        <f aca="false">IF(D252="totale",(C252/(A252*24))/F252,IF(D252="marché libre",(C252/(A252*24))/G252,"spécifier histo"))</f>
        <v>0.642697947214076</v>
      </c>
      <c r="F252" s="59" t="n">
        <v>2200</v>
      </c>
      <c r="G252" s="59" t="n">
        <f aca="false">F252-H252</f>
        <v>2200</v>
      </c>
      <c r="H252" s="58" t="n">
        <v>0</v>
      </c>
      <c r="J252" s="55"/>
    </row>
    <row r="253" customFormat="false" ht="19.85" hidden="false" customHeight="true" outlineLevel="0" collapsed="false">
      <c r="A253" s="0" t="n">
        <v>30</v>
      </c>
      <c r="B253" s="34" t="n">
        <v>42461</v>
      </c>
      <c r="C253" s="238" t="n">
        <v>709141</v>
      </c>
      <c r="D253" s="29" t="s">
        <v>41</v>
      </c>
      <c r="E253" s="33" t="n">
        <f aca="false">IF(D253="totale",(C253/(A253*24))/F253,IF(D253="marché libre",(C253/(A253*24))/G253,"spécifier histo"))</f>
        <v>0.447690025252525</v>
      </c>
      <c r="F253" s="59" t="n">
        <v>2200</v>
      </c>
      <c r="G253" s="59" t="n">
        <f aca="false">F253-H253</f>
        <v>2200</v>
      </c>
      <c r="H253" s="58" t="n">
        <v>0</v>
      </c>
      <c r="J253" s="55"/>
    </row>
    <row r="254" customFormat="false" ht="19.85" hidden="false" customHeight="true" outlineLevel="0" collapsed="false">
      <c r="A254" s="0" t="n">
        <v>31</v>
      </c>
      <c r="B254" s="31" t="n">
        <v>42491</v>
      </c>
      <c r="C254" s="238" t="n">
        <v>1018128</v>
      </c>
      <c r="D254" s="29" t="s">
        <v>41</v>
      </c>
      <c r="E254" s="33" t="n">
        <f aca="false">IF(D254="totale",(C254/(A254*24))/F254,IF(D254="marché libre",(C254/(A254*24))/G254,"spécifier histo"))</f>
        <v>0.622023460410557</v>
      </c>
      <c r="F254" s="59" t="n">
        <v>2200</v>
      </c>
      <c r="G254" s="59" t="n">
        <f aca="false">F254-H254</f>
        <v>2200</v>
      </c>
      <c r="H254" s="58" t="n">
        <v>0</v>
      </c>
      <c r="J254" s="55"/>
      <c r="K254" s="63"/>
    </row>
    <row r="255" customFormat="false" ht="19.85" hidden="false" customHeight="true" outlineLevel="0" collapsed="false">
      <c r="A255" s="0" t="n">
        <v>30</v>
      </c>
      <c r="B255" s="34" t="n">
        <v>42522</v>
      </c>
      <c r="C255" s="238" t="n">
        <v>675102</v>
      </c>
      <c r="D255" s="29" t="s">
        <v>41</v>
      </c>
      <c r="E255" s="33" t="n">
        <f aca="false">IF(D255="totale",(C255/(A255*24))/F255,IF(D255="marché libre",(C255/(A255*24))/G255,"spécifier histo"))</f>
        <v>0.426200757575758</v>
      </c>
      <c r="F255" s="59" t="n">
        <v>2200</v>
      </c>
      <c r="G255" s="59" t="n">
        <f aca="false">F255-H255</f>
        <v>2200</v>
      </c>
      <c r="H255" s="58" t="n">
        <v>0</v>
      </c>
      <c r="J255" s="55"/>
      <c r="K255" s="63"/>
    </row>
    <row r="256" customFormat="false" ht="19.85" hidden="false" customHeight="true" outlineLevel="0" collapsed="false">
      <c r="A256" s="0" t="n">
        <v>31</v>
      </c>
      <c r="B256" s="31" t="n">
        <v>42552</v>
      </c>
      <c r="C256" s="238" t="n">
        <v>20438</v>
      </c>
      <c r="D256" s="29" t="s">
        <v>41</v>
      </c>
      <c r="E256" s="33" t="n">
        <f aca="false">IF(D256="totale",(C256/(A256*24))/F256,IF(D256="marché libre",(C256/(A256*24))/G256,"spécifier histo"))</f>
        <v>0.0124865591397849</v>
      </c>
      <c r="F256" s="59" t="n">
        <v>2200</v>
      </c>
      <c r="G256" s="59" t="n">
        <f aca="false">F256-H256</f>
        <v>2200</v>
      </c>
      <c r="H256" s="58" t="n">
        <v>0</v>
      </c>
      <c r="J256" s="55"/>
      <c r="K256" s="63"/>
    </row>
    <row r="257" customFormat="false" ht="19.85" hidden="false" customHeight="true" outlineLevel="0" collapsed="false">
      <c r="A257" s="0" t="n">
        <v>31</v>
      </c>
      <c r="B257" s="34" t="n">
        <v>42583</v>
      </c>
      <c r="C257" s="238" t="n">
        <v>2299</v>
      </c>
      <c r="D257" s="29" t="s">
        <v>41</v>
      </c>
      <c r="E257" s="33" t="n">
        <f aca="false">IF(D257="totale",(C257/(A257*24))/F257,IF(D257="marché libre",(C257/(A257*24))/G257,"spécifier histo"))</f>
        <v>0.00140456989247312</v>
      </c>
      <c r="F257" s="59" t="n">
        <v>2200</v>
      </c>
      <c r="G257" s="59" t="n">
        <f aca="false">F257-H257</f>
        <v>2200</v>
      </c>
      <c r="H257" s="58" t="n">
        <v>0</v>
      </c>
      <c r="J257" s="55"/>
    </row>
    <row r="258" customFormat="false" ht="19.85" hidden="false" customHeight="true" outlineLevel="0" collapsed="false">
      <c r="A258" s="0" t="n">
        <v>30</v>
      </c>
      <c r="B258" s="31" t="n">
        <v>42614</v>
      </c>
      <c r="C258" s="238" t="n">
        <v>0</v>
      </c>
      <c r="D258" s="29" t="s">
        <v>41</v>
      </c>
      <c r="E258" s="33" t="e">
        <f aca="false">IF(D258="totale",(C258/(A258*24))/F258,IF(D258="marché libre",(C258/(A258*24))/G258,"spécifier histo"))</f>
        <v>#DIV/0!</v>
      </c>
      <c r="F258" s="239" t="n">
        <v>0</v>
      </c>
      <c r="G258" s="239" t="n">
        <v>0</v>
      </c>
      <c r="H258" s="58" t="n">
        <v>0</v>
      </c>
      <c r="I258" s="0" t="s">
        <v>234</v>
      </c>
      <c r="J258" s="55" t="s">
        <v>235</v>
      </c>
    </row>
    <row r="259" customFormat="false" ht="19.85" hidden="false" customHeight="true" outlineLevel="0" collapsed="false">
      <c r="A259" s="0" t="n">
        <v>31</v>
      </c>
      <c r="B259" s="34" t="n">
        <v>42644</v>
      </c>
      <c r="C259" s="238" t="n">
        <v>0</v>
      </c>
      <c r="D259" s="29" t="s">
        <v>41</v>
      </c>
      <c r="E259" s="33" t="e">
        <f aca="false">IF(D259="totale",(C259/(A259*24))/F259,IF(D259="marché libre",(C259/(A259*24))/G259,"spécifier histo"))</f>
        <v>#DIV/0!</v>
      </c>
      <c r="F259" s="239" t="n">
        <v>0</v>
      </c>
      <c r="G259" s="239" t="n">
        <v>0</v>
      </c>
      <c r="H259" s="58" t="n">
        <v>0</v>
      </c>
      <c r="I259" s="0" t="s">
        <v>234</v>
      </c>
      <c r="J259" s="55" t="s">
        <v>235</v>
      </c>
    </row>
    <row r="260" customFormat="false" ht="19.85" hidden="false" customHeight="true" outlineLevel="0" collapsed="false">
      <c r="A260" s="0" t="n">
        <v>30</v>
      </c>
      <c r="B260" s="31" t="n">
        <v>42675</v>
      </c>
      <c r="C260" s="238" t="n">
        <v>0</v>
      </c>
      <c r="D260" s="29" t="s">
        <v>41</v>
      </c>
      <c r="E260" s="33" t="n">
        <f aca="false">IF(D260="totale",(C260/(A260*24))/F260,IF(D260="marché libre",(C260/(A260*24))/G260,"spécifier histo"))</f>
        <v>0</v>
      </c>
      <c r="F260" s="59" t="n">
        <v>2200</v>
      </c>
      <c r="G260" s="59" t="n">
        <f aca="false">F260-H260</f>
        <v>1800</v>
      </c>
      <c r="H260" s="58" t="n">
        <v>400</v>
      </c>
      <c r="I260" s="0"/>
      <c r="J260" s="55" t="s">
        <v>236</v>
      </c>
    </row>
    <row r="261" customFormat="false" ht="19.85" hidden="false" customHeight="true" outlineLevel="0" collapsed="false">
      <c r="A261" s="0" t="n">
        <v>31</v>
      </c>
      <c r="B261" s="34" t="n">
        <v>42705</v>
      </c>
      <c r="C261" s="238" t="n">
        <v>973</v>
      </c>
      <c r="D261" s="29" t="s">
        <v>41</v>
      </c>
      <c r="E261" s="33" t="n">
        <f aca="false">IF(D261="totale",(C261/(A261*24))/F261,IF(D261="marché libre",(C261/(A261*24))/G261,"spécifier histo"))</f>
        <v>0.000594452590420332</v>
      </c>
      <c r="F261" s="59" t="n">
        <v>2200</v>
      </c>
      <c r="G261" s="59" t="n">
        <f aca="false">F261-H261</f>
        <v>1800</v>
      </c>
      <c r="H261" s="58" t="n">
        <v>400</v>
      </c>
      <c r="J261" s="55"/>
    </row>
    <row r="262" customFormat="false" ht="19.85" hidden="false" customHeight="true" outlineLevel="0" collapsed="false">
      <c r="A262" s="0" t="n">
        <v>31</v>
      </c>
      <c r="B262" s="31" t="n">
        <v>42736</v>
      </c>
      <c r="C262" s="228" t="n">
        <v>126</v>
      </c>
      <c r="D262" s="29" t="s">
        <v>42</v>
      </c>
      <c r="E262" s="33" t="n">
        <f aca="false">IF(D262="totale",(C262/(A262*24))/F262,IF(D262="marché libre",(C262/(A262*24))/G262,"spécifier histo"))</f>
        <v>9.40860215053763E-005</v>
      </c>
      <c r="F262" s="228" t="n">
        <v>2200</v>
      </c>
      <c r="G262" s="228" t="n">
        <f aca="false">F262-H262</f>
        <v>1800</v>
      </c>
      <c r="H262" s="240" t="n">
        <v>400</v>
      </c>
      <c r="J262" s="30"/>
    </row>
    <row r="263" customFormat="false" ht="19.85" hidden="false" customHeight="true" outlineLevel="0" collapsed="false">
      <c r="A263" s="0" t="n">
        <v>28</v>
      </c>
      <c r="B263" s="34" t="n">
        <v>42767</v>
      </c>
      <c r="C263" s="59" t="n">
        <v>375239</v>
      </c>
      <c r="D263" s="29" t="s">
        <v>42</v>
      </c>
      <c r="E263" s="33" t="n">
        <f aca="false">IF(D263="totale",(C263/(A263*24))/F263,IF(D263="marché libre",(C263/(A263*24))/G263,"spécifier histo"))</f>
        <v>0.310217427248677</v>
      </c>
      <c r="F263" s="59" t="n">
        <v>2200</v>
      </c>
      <c r="G263" s="59" t="n">
        <f aca="false">F263-H263</f>
        <v>1800</v>
      </c>
      <c r="H263" s="58" t="n">
        <v>400</v>
      </c>
      <c r="J263" s="55"/>
    </row>
    <row r="264" customFormat="false" ht="19.85" hidden="false" customHeight="true" outlineLevel="0" collapsed="false">
      <c r="A264" s="0" t="n">
        <v>31</v>
      </c>
      <c r="B264" s="31" t="n">
        <v>42795</v>
      </c>
      <c r="C264" s="59" t="n">
        <v>765853</v>
      </c>
      <c r="D264" s="29" t="s">
        <v>42</v>
      </c>
      <c r="E264" s="33" t="n">
        <f aca="false">IF(D264="totale",(C264/(A264*24))/F264,IF(D264="marché libre",(C264/(A264*24))/G264,"spécifier histo"))</f>
        <v>0.571873506571087</v>
      </c>
      <c r="F264" s="59" t="n">
        <v>2200</v>
      </c>
      <c r="G264" s="59" t="n">
        <f aca="false">F264-H264</f>
        <v>1800</v>
      </c>
      <c r="H264" s="58" t="n">
        <v>400</v>
      </c>
      <c r="J264" s="55"/>
    </row>
    <row r="265" customFormat="false" ht="19.85" hidden="false" customHeight="true" outlineLevel="0" collapsed="false">
      <c r="A265" s="0" t="n">
        <v>30</v>
      </c>
      <c r="B265" s="34" t="n">
        <v>42826</v>
      </c>
      <c r="C265" s="59" t="n">
        <v>164420</v>
      </c>
      <c r="D265" s="29" t="s">
        <v>42</v>
      </c>
      <c r="E265" s="33" t="n">
        <f aca="false">IF(D265="totale",(C265/(A265*24))/F265,IF(D265="marché libre",(C265/(A265*24))/G265,"spécifier histo"))</f>
        <v>0.126867283950617</v>
      </c>
      <c r="F265" s="59" t="n">
        <v>2200</v>
      </c>
      <c r="G265" s="59" t="n">
        <f aca="false">F265-H265</f>
        <v>1800</v>
      </c>
      <c r="H265" s="58" t="n">
        <v>400</v>
      </c>
      <c r="J265" s="55"/>
    </row>
    <row r="266" customFormat="false" ht="19.85" hidden="false" customHeight="true" outlineLevel="0" collapsed="false">
      <c r="A266" s="0" t="n">
        <v>31</v>
      </c>
      <c r="B266" s="31" t="n">
        <v>42856</v>
      </c>
      <c r="C266" s="9" t="n">
        <v>779427</v>
      </c>
      <c r="D266" s="29" t="s">
        <v>42</v>
      </c>
      <c r="E266" s="33" t="n">
        <f aca="false">IF(D266="totale",(C266/(A266*24))/F266,IF(D266="marché libre",(C266/(A266*24))/G266,"spécifier histo"))</f>
        <v>0.582009408602151</v>
      </c>
      <c r="F266" s="59" t="n">
        <v>2200</v>
      </c>
      <c r="G266" s="59" t="n">
        <f aca="false">F266-H266</f>
        <v>1800</v>
      </c>
      <c r="H266" s="58" t="n">
        <v>400</v>
      </c>
      <c r="J266" s="55"/>
    </row>
    <row r="267" customFormat="false" ht="22.45" hidden="false" customHeight="true" outlineLevel="0" collapsed="false">
      <c r="A267" s="0" t="n">
        <v>30</v>
      </c>
      <c r="B267" s="34" t="n">
        <v>42887</v>
      </c>
      <c r="C267" s="9" t="n">
        <v>44656</v>
      </c>
      <c r="D267" s="29" t="s">
        <v>42</v>
      </c>
      <c r="E267" s="33" t="n">
        <f aca="false">IF(D267="totale",(C267/(A267*24))/F267,IF(D267="marché libre",(C267/(A267*24))/G267,"spécifier histo"))</f>
        <v>0.0344567901234568</v>
      </c>
      <c r="F267" s="59" t="n">
        <v>2200</v>
      </c>
      <c r="G267" s="59" t="n">
        <f aca="false">F267-H267</f>
        <v>1800</v>
      </c>
      <c r="H267" s="58" t="n">
        <v>400</v>
      </c>
      <c r="J267" s="55"/>
    </row>
    <row r="268" customFormat="false" ht="21.65" hidden="false" customHeight="true" outlineLevel="0" collapsed="false">
      <c r="A268" s="0" t="n">
        <v>31</v>
      </c>
      <c r="B268" s="31" t="n">
        <v>42917</v>
      </c>
      <c r="C268" s="9" t="n">
        <v>88</v>
      </c>
      <c r="D268" s="29" t="s">
        <v>42</v>
      </c>
      <c r="E268" s="33" t="n">
        <f aca="false">IF(D268="totale",(C268/(A268*24))/F268,IF(D268="marché libre",(C268/(A268*24))/G268,"spécifier histo"))</f>
        <v>6.57108721624851E-005</v>
      </c>
      <c r="F268" s="59" t="n">
        <v>2200</v>
      </c>
      <c r="G268" s="59" t="n">
        <f aca="false">F268-H268</f>
        <v>1800</v>
      </c>
      <c r="H268" s="58" t="n">
        <v>400</v>
      </c>
      <c r="J268" s="55"/>
    </row>
    <row r="269" customFormat="false" ht="21.65" hidden="false" customHeight="true" outlineLevel="0" collapsed="false">
      <c r="A269" s="0" t="n">
        <v>31</v>
      </c>
      <c r="B269" s="34" t="n">
        <v>42948</v>
      </c>
      <c r="C269" s="9" t="n">
        <v>0</v>
      </c>
      <c r="D269" s="29" t="s">
        <v>42</v>
      </c>
      <c r="E269" s="33" t="n">
        <f aca="false">IF(D269="totale",(C269/(A269*24))/F269,IF(D269="marché libre",(C269/(A269*24))/G269,"spécifier histo"))</f>
        <v>0</v>
      </c>
      <c r="F269" s="59" t="n">
        <v>2200</v>
      </c>
      <c r="G269" s="59" t="n">
        <f aca="false">F269-H269</f>
        <v>1800</v>
      </c>
      <c r="H269" s="58" t="n">
        <v>400</v>
      </c>
      <c r="J269" s="55"/>
    </row>
    <row r="270" customFormat="false" ht="21.65" hidden="false" customHeight="true" outlineLevel="0" collapsed="false">
      <c r="A270" s="0" t="n">
        <v>30</v>
      </c>
      <c r="B270" s="31" t="n">
        <v>42979</v>
      </c>
      <c r="C270" s="9" t="n">
        <v>0</v>
      </c>
      <c r="D270" s="29" t="s">
        <v>42</v>
      </c>
      <c r="E270" s="33" t="n">
        <f aca="false">IF(D270="totale",(C270/(A270*24))/F270,IF(D270="marché libre",(C270/(A270*24))/G270,"spécifier histo"))</f>
        <v>0</v>
      </c>
      <c r="F270" s="59" t="n">
        <v>2200</v>
      </c>
      <c r="G270" s="59" t="n">
        <f aca="false">F270-H270</f>
        <v>1800</v>
      </c>
      <c r="H270" s="58" t="n">
        <v>400</v>
      </c>
      <c r="J270" s="55"/>
    </row>
    <row r="271" customFormat="false" ht="21.65" hidden="false" customHeight="true" outlineLevel="0" collapsed="false">
      <c r="A271" s="0" t="n">
        <v>31</v>
      </c>
      <c r="B271" s="34" t="n">
        <v>43009</v>
      </c>
      <c r="C271" s="9" t="n">
        <v>0</v>
      </c>
      <c r="D271" s="29" t="s">
        <v>42</v>
      </c>
      <c r="E271" s="33" t="n">
        <f aca="false">IF(D271="totale",(C271/(A271*24))/F271,IF(D271="marché libre",(C271/(A271*24))/G271,"spécifier histo"))</f>
        <v>0</v>
      </c>
      <c r="F271" s="59" t="n">
        <v>2200</v>
      </c>
      <c r="G271" s="59" t="n">
        <f aca="false">F271-H271</f>
        <v>1800</v>
      </c>
      <c r="H271" s="58" t="n">
        <v>400</v>
      </c>
      <c r="J271" s="55"/>
    </row>
    <row r="272" customFormat="false" ht="21.65" hidden="false" customHeight="true" outlineLevel="0" collapsed="false">
      <c r="A272" s="0" t="n">
        <v>30</v>
      </c>
      <c r="B272" s="31" t="n">
        <v>43040</v>
      </c>
      <c r="C272" s="9" t="n">
        <v>0</v>
      </c>
      <c r="D272" s="29" t="s">
        <v>42</v>
      </c>
      <c r="E272" s="33" t="n">
        <f aca="false">IF(D272="totale",(C272/(A272*24))/F272,IF(D272="marché libre",(C272/(A272*24))/G272,"spécifier histo"))</f>
        <v>0</v>
      </c>
      <c r="F272" s="59" t="n">
        <v>2200</v>
      </c>
      <c r="G272" s="59" t="n">
        <f aca="false">F272-H272</f>
        <v>1800</v>
      </c>
      <c r="H272" s="58" t="n">
        <v>400</v>
      </c>
      <c r="J272" s="55"/>
    </row>
    <row r="273" customFormat="false" ht="21.65" hidden="false" customHeight="true" outlineLevel="0" collapsed="false">
      <c r="A273" s="0" t="n">
        <v>31</v>
      </c>
      <c r="B273" s="34" t="n">
        <v>43070</v>
      </c>
      <c r="C273" s="9" t="n">
        <v>502967</v>
      </c>
      <c r="D273" s="29" t="s">
        <v>42</v>
      </c>
      <c r="E273" s="33" t="n">
        <f aca="false">IF(D273="totale",(C273/(A273*24))/F273,IF(D273="marché libre",(C273/(A273*24))/G273,"spécifier histo"))</f>
        <v>0.375572729988053</v>
      </c>
      <c r="F273" s="59" t="n">
        <v>2200</v>
      </c>
      <c r="G273" s="59" t="n">
        <f aca="false">F273-H273</f>
        <v>1800</v>
      </c>
      <c r="H273" s="58" t="n">
        <v>400</v>
      </c>
      <c r="J273" s="55"/>
    </row>
    <row r="274" customFormat="false" ht="28.35" hidden="false" customHeight="true" outlineLevel="0" collapsed="false">
      <c r="A274" s="0" t="n">
        <v>31</v>
      </c>
      <c r="B274" s="31" t="n">
        <v>43101</v>
      </c>
      <c r="C274" s="9" t="n">
        <v>1333665</v>
      </c>
      <c r="D274" s="29" t="s">
        <v>42</v>
      </c>
      <c r="E274" s="33" t="n">
        <f aca="false">IF(D274="totale",(C274/(A274*24))/F274,IF(D274="marché libre",(C274/(A274*24))/G274,"spécifier histo"))</f>
        <v>0.995866935483871</v>
      </c>
      <c r="F274" s="59" t="n">
        <v>2200</v>
      </c>
      <c r="G274" s="59" t="n">
        <f aca="false">F274-H274</f>
        <v>1800</v>
      </c>
      <c r="H274" s="58" t="n">
        <v>400</v>
      </c>
      <c r="J274" s="30"/>
    </row>
    <row r="275" customFormat="false" ht="28.35" hidden="false" customHeight="true" outlineLevel="0" collapsed="false">
      <c r="A275" s="0" t="n">
        <v>28</v>
      </c>
      <c r="B275" s="34" t="n">
        <v>43132</v>
      </c>
      <c r="C275" s="1" t="n">
        <v>1333665</v>
      </c>
      <c r="D275" s="29" t="s">
        <v>42</v>
      </c>
      <c r="E275" s="33" t="n">
        <f aca="false">IF(D275="totale",(C275/(A275*24))/F275,IF(D275="marché libre",(C275/(A275*24))/G275,"spécifier histo"))</f>
        <v>1.10256696428571</v>
      </c>
      <c r="F275" s="59" t="n">
        <v>2200</v>
      </c>
      <c r="G275" s="59" t="n">
        <f aca="false">F275-H275</f>
        <v>1800</v>
      </c>
      <c r="H275" s="58" t="n">
        <v>400</v>
      </c>
    </row>
    <row r="276" customFormat="false" ht="28.35" hidden="false" customHeight="true" outlineLevel="0" collapsed="false">
      <c r="A276" s="0" t="n">
        <v>31</v>
      </c>
      <c r="B276" s="31" t="n">
        <v>43160</v>
      </c>
      <c r="C276" s="1" t="n">
        <v>893879</v>
      </c>
      <c r="D276" s="29" t="s">
        <v>42</v>
      </c>
      <c r="E276" s="33" t="n">
        <f aca="false">IF(D276="totale",(C276/(A276*24))/F276,IF(D276="marché libre",(C276/(A276*24))/G276,"spécifier histo"))</f>
        <v>0.667472371565113</v>
      </c>
      <c r="F276" s="59" t="n">
        <v>2200</v>
      </c>
      <c r="G276" s="59" t="n">
        <f aca="false">F276-H276</f>
        <v>1800</v>
      </c>
      <c r="H276" s="58" t="n">
        <v>400</v>
      </c>
    </row>
    <row r="277" customFormat="false" ht="28.35" hidden="false" customHeight="true" outlineLevel="0" collapsed="false">
      <c r="A277" s="0" t="n">
        <v>30</v>
      </c>
      <c r="B277" s="34" t="n">
        <v>43191</v>
      </c>
      <c r="C277" s="1" t="n">
        <v>1076695</v>
      </c>
      <c r="D277" s="29" t="s">
        <v>42</v>
      </c>
      <c r="E277" s="33" t="n">
        <f aca="false">IF(D277="totale",(C277/(A277*24))/F277,IF(D277="marché libre",(C277/(A277*24))/G277,"spécifier histo"))</f>
        <v>0.830783179012346</v>
      </c>
      <c r="F277" s="59" t="n">
        <v>2200</v>
      </c>
      <c r="G277" s="59" t="n">
        <f aca="false">F277-H277</f>
        <v>1800</v>
      </c>
      <c r="H277" s="58" t="n">
        <v>400</v>
      </c>
    </row>
    <row r="278" customFormat="false" ht="28.35" hidden="false" customHeight="true" outlineLevel="0" collapsed="false">
      <c r="A278" s="0" t="n">
        <v>31</v>
      </c>
      <c r="B278" s="31" t="n">
        <v>43221</v>
      </c>
      <c r="C278" s="1" t="n">
        <v>1130729</v>
      </c>
      <c r="D278" s="29" t="s">
        <v>42</v>
      </c>
      <c r="E278" s="33" t="n">
        <f aca="false">IF(D278="totale",(C278/(A278*24))/F278,IF(D278="marché libre",(C278/(A278*24))/G278,"spécifier histo"))</f>
        <v>0.844331690561529</v>
      </c>
      <c r="F278" s="59" t="n">
        <v>2200</v>
      </c>
      <c r="G278" s="59" t="n">
        <f aca="false">F278-H278</f>
        <v>1800</v>
      </c>
      <c r="H278" s="58" t="n">
        <v>400</v>
      </c>
    </row>
    <row r="279" customFormat="false" ht="28.35" hidden="false" customHeight="true" outlineLevel="0" collapsed="false">
      <c r="A279" s="0" t="n">
        <v>30</v>
      </c>
      <c r="B279" s="34" t="n">
        <v>43252</v>
      </c>
      <c r="C279" s="1" t="n">
        <v>999111</v>
      </c>
      <c r="D279" s="29" t="s">
        <v>42</v>
      </c>
      <c r="E279" s="33" t="n">
        <f aca="false">IF(D279="totale",(C279/(A279*24))/F279,IF(D279="marché libre",(C279/(A279*24))/G279,"spécifier histo"))</f>
        <v>0.770918981481482</v>
      </c>
      <c r="F279" s="59" t="n">
        <v>2200</v>
      </c>
      <c r="G279" s="59" t="n">
        <f aca="false">F279-H279</f>
        <v>1800</v>
      </c>
      <c r="H279" s="58" t="n">
        <v>400</v>
      </c>
    </row>
    <row r="280" customFormat="false" ht="28.35" hidden="false" customHeight="true" outlineLevel="0" collapsed="false">
      <c r="A280" s="0" t="n">
        <v>31</v>
      </c>
      <c r="B280" s="31" t="n">
        <v>43282</v>
      </c>
      <c r="C280" s="1" t="n">
        <v>649075</v>
      </c>
      <c r="D280" s="29" t="s">
        <v>42</v>
      </c>
      <c r="E280" s="33" t="n">
        <f aca="false">IF(D280="totale",(C280/(A280*24))/F280,IF(D280="marché libre",(C280/(A280*24))/G280,"spécifier histo"))</f>
        <v>0.484673685782557</v>
      </c>
      <c r="F280" s="59" t="n">
        <v>2200</v>
      </c>
      <c r="G280" s="59" t="n">
        <f aca="false">F280-H280</f>
        <v>1800</v>
      </c>
      <c r="H280" s="58" t="n">
        <v>400</v>
      </c>
    </row>
    <row r="281" customFormat="false" ht="28.35" hidden="false" customHeight="true" outlineLevel="0" collapsed="false">
      <c r="A281" s="0"/>
    </row>
    <row r="282" customFormat="false" ht="28.35" hidden="false" customHeight="true" outlineLevel="0" collapsed="false">
      <c r="A282" s="0"/>
    </row>
    <row r="283" customFormat="false" ht="28.35" hidden="false" customHeight="true" outlineLevel="0" collapsed="false">
      <c r="A283" s="0"/>
    </row>
    <row r="284" customFormat="false" ht="28.35" hidden="false" customHeight="true" outlineLevel="0" collapsed="false">
      <c r="A284" s="0"/>
    </row>
    <row r="285" customFormat="false" ht="28.35" hidden="false" customHeight="true" outlineLevel="0" collapsed="false">
      <c r="A285" s="0"/>
    </row>
    <row r="286" customFormat="false" ht="28.35" hidden="false" customHeight="true" outlineLevel="0" collapsed="false">
      <c r="A286" s="0"/>
    </row>
    <row r="287" customFormat="false" ht="12.8" hidden="false" customHeight="false" outlineLevel="0" collapsed="false">
      <c r="A287" s="0"/>
    </row>
    <row r="288" customFormat="false" ht="12.8" hidden="false" customHeight="false" outlineLevel="0" collapsed="false">
      <c r="A288" s="0"/>
    </row>
    <row r="289" customFormat="false" ht="12.8" hidden="false" customHeight="false" outlineLevel="0" collapsed="false">
      <c r="A289" s="0"/>
    </row>
    <row r="290" customFormat="false" ht="12.8" hidden="false" customHeight="false" outlineLevel="0" collapsed="false">
      <c r="A290" s="0"/>
    </row>
    <row r="291" customFormat="false" ht="12.8" hidden="false" customHeight="false" outlineLevel="0" collapsed="false">
      <c r="A291" s="0"/>
    </row>
    <row r="292" customFormat="false" ht="12.8" hidden="false" customHeight="false" outlineLevel="0" collapsed="false">
      <c r="A292" s="0"/>
    </row>
    <row r="293" customFormat="false" ht="12.8" hidden="false" customHeight="false" outlineLevel="0" collapsed="false">
      <c r="A293" s="0"/>
    </row>
    <row r="294" customFormat="false" ht="12.8" hidden="false" customHeight="false" outlineLevel="0" collapsed="false">
      <c r="A294" s="0"/>
    </row>
    <row r="295" customFormat="false" ht="12.8" hidden="false" customHeight="false" outlineLevel="0" collapsed="false">
      <c r="A295" s="0"/>
    </row>
    <row r="296" customFormat="false" ht="12.8" hidden="false" customHeight="false" outlineLevel="0" collapsed="false">
      <c r="A296" s="0"/>
    </row>
    <row r="297" customFormat="false" ht="12.8" hidden="false" customHeight="false" outlineLevel="0" collapsed="false">
      <c r="A297" s="0"/>
    </row>
    <row r="298" customFormat="false" ht="12.8" hidden="false" customHeight="false" outlineLevel="0" collapsed="false">
      <c r="A298" s="0"/>
    </row>
    <row r="299" customFormat="false" ht="12.8" hidden="false" customHeight="false" outlineLevel="0" collapsed="false">
      <c r="A299" s="0"/>
    </row>
    <row r="300" customFormat="false" ht="12.8" hidden="false" customHeight="false" outlineLevel="0" collapsed="false">
      <c r="A300" s="0"/>
    </row>
    <row r="301" customFormat="false" ht="12.8" hidden="false" customHeight="false" outlineLevel="0" collapsed="false">
      <c r="A301" s="0"/>
    </row>
    <row r="302" customFormat="false" ht="12.8" hidden="false" customHeight="false" outlineLevel="0" collapsed="false">
      <c r="A302" s="0"/>
    </row>
    <row r="303" customFormat="false" ht="12.8" hidden="false" customHeight="false" outlineLevel="0" collapsed="false">
      <c r="A303" s="0"/>
    </row>
    <row r="304" customFormat="false" ht="12.8" hidden="false" customHeight="false" outlineLevel="0" collapsed="false">
      <c r="A304" s="0"/>
    </row>
    <row r="305" customFormat="false" ht="12.8" hidden="false" customHeight="false" outlineLevel="0" collapsed="false">
      <c r="A305" s="0"/>
    </row>
    <row r="306" customFormat="false" ht="12.8" hidden="false" customHeight="false" outlineLevel="0" collapsed="false">
      <c r="A306" s="0"/>
    </row>
    <row r="307" customFormat="false" ht="12.8" hidden="false" customHeight="false" outlineLevel="0" collapsed="false">
      <c r="A307" s="0"/>
    </row>
    <row r="308" customFormat="false" ht="12.8" hidden="false" customHeight="false" outlineLevel="0" collapsed="false">
      <c r="A308" s="0"/>
    </row>
    <row r="309" customFormat="false" ht="12.8" hidden="false" customHeight="false" outlineLevel="0" collapsed="false">
      <c r="A309" s="0"/>
    </row>
    <row r="310" customFormat="false" ht="12.8" hidden="false" customHeight="false" outlineLevel="0" collapsed="false">
      <c r="A310" s="0"/>
    </row>
    <row r="311" customFormat="false" ht="12.8" hidden="false" customHeight="false" outlineLevel="0" collapsed="false">
      <c r="A311" s="0"/>
    </row>
    <row r="312" customFormat="false" ht="12.8" hidden="false" customHeight="false" outlineLevel="0" collapsed="false">
      <c r="A312" s="0"/>
    </row>
    <row r="313" customFormat="false" ht="12.8" hidden="false" customHeight="false" outlineLevel="0" collapsed="false">
      <c r="A313" s="0"/>
    </row>
    <row r="314" customFormat="false" ht="12.8" hidden="false" customHeight="false" outlineLevel="0" collapsed="false">
      <c r="A314"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8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tabColor rgb="FF168253"/>
    <pageSetUpPr fitToPage="false"/>
  </sheetPr>
  <dimension ref="A1:W22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96" activePane="bottomRight" state="frozen"/>
      <selection pane="topLeft" activeCell="A1" activeCellId="0" sqref="A1"/>
      <selection pane="topRight" activeCell="B1" activeCellId="0" sqref="B1"/>
      <selection pane="bottomLeft" activeCell="A196" activeCellId="0" sqref="A196"/>
      <selection pane="bottomRight" activeCell="H210" activeCellId="0" sqref="H21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9.95" hidden="false" customHeight="true" outlineLevel="0" collapsed="false">
      <c r="A4" s="0"/>
      <c r="B4" s="16" t="s">
        <v>237</v>
      </c>
      <c r="C4" s="16" t="n">
        <v>40522</v>
      </c>
      <c r="D4" s="5" t="s">
        <v>238</v>
      </c>
      <c r="E4" s="14" t="s">
        <v>239</v>
      </c>
      <c r="F4" s="15" t="n">
        <v>1600</v>
      </c>
      <c r="G4" s="15" t="n">
        <v>1600</v>
      </c>
      <c r="H4" s="15" t="n">
        <v>1600</v>
      </c>
      <c r="I4" s="16" t="s">
        <v>240</v>
      </c>
      <c r="J4" s="15" t="n">
        <v>1600</v>
      </c>
      <c r="K4" s="16" t="s">
        <v>241</v>
      </c>
      <c r="L4" s="16" t="s">
        <v>145</v>
      </c>
      <c r="M4" s="16" t="s">
        <v>242</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41.65" hidden="false" customHeight="true" outlineLevel="0" collapsed="false">
      <c r="A6" s="0"/>
      <c r="B6" s="0"/>
      <c r="C6" s="10" t="s">
        <v>25</v>
      </c>
      <c r="D6" s="10"/>
      <c r="F6" s="20" t="s">
        <v>26</v>
      </c>
      <c r="G6" s="19" t="s">
        <v>243</v>
      </c>
      <c r="H6" s="19"/>
      <c r="I6" s="19"/>
      <c r="J6" s="19"/>
      <c r="K6" s="19"/>
      <c r="L6" s="19"/>
      <c r="M6" s="19"/>
      <c r="N6" s="19"/>
      <c r="P6" s="21" t="s">
        <v>244</v>
      </c>
      <c r="Q6" s="19" t="s">
        <v>27</v>
      </c>
      <c r="R6" s="9"/>
      <c r="S6" s="22"/>
      <c r="T6" s="5" t="s">
        <v>28</v>
      </c>
    </row>
    <row r="7" customFormat="false" ht="41.65" hidden="false" customHeight="true" outlineLevel="0" collapsed="false">
      <c r="A7" s="0"/>
      <c r="B7" s="0"/>
      <c r="C7" s="126" t="s">
        <v>245</v>
      </c>
      <c r="D7" s="126"/>
      <c r="F7" s="20"/>
      <c r="G7" s="20"/>
      <c r="H7" s="19"/>
      <c r="I7" s="19"/>
      <c r="J7" s="19"/>
      <c r="K7" s="19"/>
      <c r="L7" s="19"/>
      <c r="M7" s="19"/>
      <c r="N7" s="19"/>
      <c r="P7" s="24"/>
      <c r="Q7" s="5" t="s">
        <v>29</v>
      </c>
      <c r="R7" s="9"/>
      <c r="S7" s="25"/>
      <c r="T7" s="5" t="s">
        <v>30</v>
      </c>
    </row>
    <row r="8" customFormat="false" ht="42.45" hidden="false" customHeight="true" outlineLevel="0" collapsed="false">
      <c r="A8" s="26" t="n">
        <f aca="false">_xlfn.SHEET()</f>
        <v>17</v>
      </c>
      <c r="F8" s="9"/>
      <c r="G8" s="9"/>
      <c r="H8" s="9"/>
      <c r="J8" s="9"/>
      <c r="R8" s="9"/>
      <c r="S8" s="27"/>
      <c r="T8" s="16" t="s">
        <v>31</v>
      </c>
    </row>
    <row r="9" customFormat="false" ht="36.65" hidden="false" customHeight="true" outlineLevel="0" collapsed="false">
      <c r="A9" s="26" t="n">
        <f aca="false">_xlfn.SHEETS()</f>
        <v>79</v>
      </c>
      <c r="B9" s="9" t="s">
        <v>32</v>
      </c>
      <c r="C9" s="9" t="s">
        <v>51</v>
      </c>
      <c r="D9" s="29" t="s">
        <v>52</v>
      </c>
      <c r="E9" s="1" t="s">
        <v>35</v>
      </c>
      <c r="F9" s="9" t="s">
        <v>36</v>
      </c>
      <c r="G9" s="9" t="s">
        <v>37</v>
      </c>
      <c r="H9" s="9" t="s">
        <v>38</v>
      </c>
      <c r="I9" s="9" t="s">
        <v>39</v>
      </c>
      <c r="J9" s="205" t="s">
        <v>40</v>
      </c>
    </row>
    <row r="10" customFormat="false" ht="18.45" hidden="false" customHeight="true" outlineLevel="0" collapsed="false">
      <c r="A10" s="0" t="n">
        <v>31</v>
      </c>
      <c r="B10" s="31" t="n">
        <v>36892</v>
      </c>
      <c r="C10" s="1" t="n">
        <v>518040</v>
      </c>
      <c r="D10" s="29" t="s">
        <v>41</v>
      </c>
      <c r="E10" s="33" t="n">
        <f aca="false">IF(D10="totale",(C10/(A10*24))/F10,IF(D10="marché libre",(C10/(A10*24))/G10,"spécifier histo"))</f>
        <v>0.435181451612903</v>
      </c>
      <c r="F10" s="59" t="n">
        <v>1600</v>
      </c>
      <c r="G10" s="59" t="n">
        <f aca="false">F10-H10</f>
        <v>1600</v>
      </c>
      <c r="H10" s="58" t="n">
        <v>0</v>
      </c>
      <c r="J10" s="241" t="s">
        <v>246</v>
      </c>
    </row>
    <row r="11" customFormat="false" ht="18.45" hidden="false" customHeight="true" outlineLevel="0" collapsed="false">
      <c r="A11" s="0" t="n">
        <v>28</v>
      </c>
      <c r="B11" s="34" t="n">
        <v>36923</v>
      </c>
      <c r="C11" s="1" t="n">
        <v>466922</v>
      </c>
      <c r="D11" s="29" t="s">
        <v>41</v>
      </c>
      <c r="E11" s="33" t="n">
        <f aca="false">IF(D11="totale",(C11/(A11*24))/F11,IF(D11="marché libre",(C11/(A11*24))/G11,"spécifier histo"))</f>
        <v>0.434265252976191</v>
      </c>
      <c r="F11" s="59" t="n">
        <v>1600</v>
      </c>
      <c r="G11" s="59" t="n">
        <f aca="false">F11-H11</f>
        <v>1600</v>
      </c>
      <c r="H11" s="58" t="n">
        <v>0</v>
      </c>
      <c r="J11" s="241" t="s">
        <v>247</v>
      </c>
      <c r="L11" s="181" t="s">
        <v>248</v>
      </c>
      <c r="M11" s="181"/>
      <c r="N11" s="181"/>
      <c r="O11" s="181"/>
      <c r="P11" s="181"/>
      <c r="Q11" s="181"/>
    </row>
    <row r="12" customFormat="false" ht="18.45" hidden="false" customHeight="true" outlineLevel="0" collapsed="false">
      <c r="A12" s="0" t="n">
        <v>31</v>
      </c>
      <c r="B12" s="31" t="n">
        <v>36951</v>
      </c>
      <c r="C12" s="1" t="n">
        <v>888655</v>
      </c>
      <c r="D12" s="29" t="s">
        <v>41</v>
      </c>
      <c r="E12" s="33" t="n">
        <f aca="false">IF(D12="totale",(C12/(A12*24))/F12,IF(D12="marché libre",(C12/(A12*24))/G12,"spécifier histo"))</f>
        <v>0.746517977150538</v>
      </c>
      <c r="F12" s="59" t="n">
        <v>1600</v>
      </c>
      <c r="G12" s="59" t="n">
        <f aca="false">F12-H12</f>
        <v>1600</v>
      </c>
      <c r="H12" s="58" t="n">
        <v>0</v>
      </c>
      <c r="J12" s="241"/>
      <c r="L12" s="181"/>
      <c r="M12" s="181"/>
      <c r="N12" s="181"/>
      <c r="O12" s="181"/>
      <c r="P12" s="181"/>
      <c r="Q12" s="181"/>
    </row>
    <row r="13" customFormat="false" ht="18.45" hidden="false" customHeight="true" outlineLevel="0" collapsed="false">
      <c r="A13" s="0" t="n">
        <v>30</v>
      </c>
      <c r="B13" s="34" t="n">
        <v>36982</v>
      </c>
      <c r="C13" s="1" t="n">
        <v>704288</v>
      </c>
      <c r="D13" s="29" t="s">
        <v>41</v>
      </c>
      <c r="E13" s="33" t="n">
        <f aca="false">IF(D13="totale",(C13/(A13*24))/F13,IF(D13="marché libre",(C13/(A13*24))/G13,"spécifier histo"))</f>
        <v>0.611361111111111</v>
      </c>
      <c r="F13" s="59" t="n">
        <v>1600</v>
      </c>
      <c r="G13" s="59" t="n">
        <f aca="false">F13-H13</f>
        <v>1600</v>
      </c>
      <c r="H13" s="58" t="n">
        <v>0</v>
      </c>
      <c r="J13" s="241"/>
      <c r="L13" s="181"/>
      <c r="M13" s="181"/>
      <c r="N13" s="181"/>
      <c r="O13" s="181"/>
      <c r="P13" s="181"/>
      <c r="Q13" s="181"/>
    </row>
    <row r="14" customFormat="false" ht="18.45" hidden="false" customHeight="true" outlineLevel="0" collapsed="false">
      <c r="A14" s="0" t="n">
        <v>31</v>
      </c>
      <c r="B14" s="31" t="n">
        <v>37012</v>
      </c>
      <c r="C14" s="1" t="n">
        <v>0</v>
      </c>
      <c r="D14" s="29" t="s">
        <v>41</v>
      </c>
      <c r="E14" s="33" t="n">
        <f aca="false">IF(D14="totale",(C14/(A14*24))/F14,IF(D14="marché libre",(C14/(A14*24))/G14,"spécifier histo"))</f>
        <v>0</v>
      </c>
      <c r="F14" s="59" t="n">
        <v>1600</v>
      </c>
      <c r="G14" s="59" t="n">
        <f aca="false">F14-H14</f>
        <v>1600</v>
      </c>
      <c r="H14" s="58" t="n">
        <v>0</v>
      </c>
      <c r="J14" s="241"/>
      <c r="L14" s="181"/>
      <c r="M14" s="181"/>
      <c r="N14" s="181"/>
      <c r="O14" s="181"/>
      <c r="P14" s="181"/>
      <c r="Q14" s="181"/>
    </row>
    <row r="15" customFormat="false" ht="18.45" hidden="false" customHeight="true" outlineLevel="0" collapsed="false">
      <c r="A15" s="0" t="n">
        <v>30</v>
      </c>
      <c r="B15" s="34" t="n">
        <v>37043</v>
      </c>
      <c r="C15" s="1" t="n">
        <v>0</v>
      </c>
      <c r="D15" s="29" t="s">
        <v>41</v>
      </c>
      <c r="E15" s="33" t="n">
        <f aca="false">IF(D15="totale",(C15/(A15*24))/F15,IF(D15="marché libre",(C15/(A15*24))/G15,"spécifier histo"))</f>
        <v>0</v>
      </c>
      <c r="F15" s="59" t="n">
        <v>1600</v>
      </c>
      <c r="G15" s="59" t="n">
        <f aca="false">F15-H15</f>
        <v>1600</v>
      </c>
      <c r="H15" s="58" t="n">
        <v>0</v>
      </c>
      <c r="J15" s="241"/>
      <c r="L15" s="181"/>
      <c r="M15" s="181"/>
      <c r="N15" s="181"/>
      <c r="O15" s="181"/>
      <c r="P15" s="181"/>
      <c r="Q15" s="181"/>
    </row>
    <row r="16" customFormat="false" ht="18.45" hidden="false" customHeight="true" outlineLevel="0" collapsed="false">
      <c r="A16" s="0" t="n">
        <v>31</v>
      </c>
      <c r="B16" s="31" t="n">
        <v>37073</v>
      </c>
      <c r="C16" s="1" t="n">
        <v>0</v>
      </c>
      <c r="D16" s="29" t="s">
        <v>41</v>
      </c>
      <c r="E16" s="33" t="n">
        <f aca="false">IF(D16="totale",(C16/(A16*24))/F16,IF(D16="marché libre",(C16/(A16*24))/G16,"spécifier histo"))</f>
        <v>0</v>
      </c>
      <c r="F16" s="59" t="n">
        <v>1600</v>
      </c>
      <c r="G16" s="59" t="n">
        <f aca="false">F16-H16</f>
        <v>1600</v>
      </c>
      <c r="H16" s="58" t="n">
        <v>0</v>
      </c>
      <c r="J16" s="241"/>
      <c r="L16" s="181"/>
      <c r="M16" s="181"/>
      <c r="N16" s="181"/>
      <c r="O16" s="181"/>
      <c r="P16" s="181"/>
      <c r="Q16" s="181"/>
    </row>
    <row r="17" customFormat="false" ht="18.45" hidden="false" customHeight="true" outlineLevel="0" collapsed="false">
      <c r="A17" s="0" t="n">
        <v>31</v>
      </c>
      <c r="B17" s="34" t="n">
        <v>37104</v>
      </c>
      <c r="C17" s="1" t="n">
        <v>0</v>
      </c>
      <c r="D17" s="29" t="s">
        <v>41</v>
      </c>
      <c r="E17" s="33" t="n">
        <f aca="false">IF(D17="totale",(C17/(A17*24))/F17,IF(D17="marché libre",(C17/(A17*24))/G17,"spécifier histo"))</f>
        <v>0</v>
      </c>
      <c r="F17" s="59" t="n">
        <v>1600</v>
      </c>
      <c r="G17" s="59" t="n">
        <f aca="false">F17-H17</f>
        <v>1600</v>
      </c>
      <c r="H17" s="58" t="n">
        <v>0</v>
      </c>
      <c r="J17" s="241"/>
    </row>
    <row r="18" customFormat="false" ht="18.45" hidden="false" customHeight="true" outlineLevel="0" collapsed="false">
      <c r="A18" s="0" t="n">
        <v>30</v>
      </c>
      <c r="B18" s="31" t="n">
        <v>37135</v>
      </c>
      <c r="C18" s="1" t="n">
        <v>235523</v>
      </c>
      <c r="D18" s="29" t="s">
        <v>41</v>
      </c>
      <c r="E18" s="33" t="n">
        <f aca="false">IF(D18="totale",(C18/(A18*24))/F18,IF(D18="marché libre",(C18/(A18*24))/G18,"spécifier histo"))</f>
        <v>0.204447048611111</v>
      </c>
      <c r="F18" s="59" t="n">
        <v>1600</v>
      </c>
      <c r="G18" s="59" t="n">
        <f aca="false">F18-H18</f>
        <v>1600</v>
      </c>
      <c r="H18" s="58" t="n">
        <v>0</v>
      </c>
      <c r="J18" s="241"/>
    </row>
    <row r="19" customFormat="false" ht="18.45" hidden="false" customHeight="true" outlineLevel="0" collapsed="false">
      <c r="A19" s="0" t="n">
        <v>31</v>
      </c>
      <c r="B19" s="34" t="n">
        <v>37165</v>
      </c>
      <c r="C19" s="1" t="n">
        <v>135661</v>
      </c>
      <c r="D19" s="29" t="s">
        <v>41</v>
      </c>
      <c r="E19" s="33" t="n">
        <f aca="false">IF(D19="totale",(C19/(A19*24))/F19,IF(D19="marché libre",(C19/(A19*24))/G19,"spécifier histo"))</f>
        <v>0.113962533602151</v>
      </c>
      <c r="F19" s="59" t="n">
        <v>1600</v>
      </c>
      <c r="G19" s="59" t="n">
        <f aca="false">F19-H19</f>
        <v>1600</v>
      </c>
      <c r="H19" s="58" t="n">
        <v>0</v>
      </c>
      <c r="J19" s="241"/>
    </row>
    <row r="20" customFormat="false" ht="18.45" hidden="false" customHeight="true" outlineLevel="0" collapsed="false">
      <c r="A20" s="0" t="n">
        <v>30</v>
      </c>
      <c r="B20" s="31" t="n">
        <v>37196</v>
      </c>
      <c r="C20" s="1" t="n">
        <v>165176</v>
      </c>
      <c r="D20" s="29" t="s">
        <v>41</v>
      </c>
      <c r="E20" s="33" t="n">
        <f aca="false">IF(D20="totale",(C20/(A20*24))/F20,IF(D20="marché libre",(C20/(A20*24))/G20,"spécifier histo"))</f>
        <v>0.143381944444444</v>
      </c>
      <c r="F20" s="59" t="n">
        <v>1600</v>
      </c>
      <c r="G20" s="59" t="n">
        <f aca="false">F20-H20</f>
        <v>1600</v>
      </c>
      <c r="H20" s="58" t="n">
        <v>0</v>
      </c>
      <c r="J20" s="241"/>
    </row>
    <row r="21" customFormat="false" ht="18.45" hidden="false" customHeight="true" outlineLevel="0" collapsed="false">
      <c r="A21" s="0" t="n">
        <v>31</v>
      </c>
      <c r="B21" s="34" t="n">
        <v>37226</v>
      </c>
      <c r="C21" s="1" t="n">
        <v>170519</v>
      </c>
      <c r="D21" s="29" t="s">
        <v>41</v>
      </c>
      <c r="E21" s="33" t="n">
        <f aca="false">IF(D21="totale",(C21/(A21*24))/F21,IF(D21="marché libre",(C21/(A21*24))/G21,"spécifier histo"))</f>
        <v>0.143245127688172</v>
      </c>
      <c r="F21" s="59" t="n">
        <v>1600</v>
      </c>
      <c r="G21" s="59" t="n">
        <f aca="false">F21-H21</f>
        <v>1600</v>
      </c>
      <c r="H21" s="58" t="n">
        <v>0</v>
      </c>
      <c r="J21" s="241"/>
    </row>
    <row r="22" customFormat="false" ht="18.45" hidden="false" customHeight="true" outlineLevel="0" collapsed="false">
      <c r="A22" s="0" t="n">
        <v>31</v>
      </c>
      <c r="B22" s="31" t="n">
        <v>37257</v>
      </c>
      <c r="C22" s="1" t="n">
        <v>259143</v>
      </c>
      <c r="D22" s="29" t="s">
        <v>41</v>
      </c>
      <c r="E22" s="33" t="n">
        <f aca="false">IF(D22="totale",(C22/(A22*24))/F22,IF(D22="marché libre",(C22/(A22*24))/G22,"spécifier histo"))</f>
        <v>0.217694052419355</v>
      </c>
      <c r="F22" s="59" t="n">
        <v>1600</v>
      </c>
      <c r="G22" s="59" t="n">
        <f aca="false">F22-H22</f>
        <v>1600</v>
      </c>
      <c r="H22" s="58" t="n">
        <v>0</v>
      </c>
      <c r="J22" s="208"/>
    </row>
    <row r="23" customFormat="false" ht="18.45" hidden="false" customHeight="true" outlineLevel="0" collapsed="false">
      <c r="A23" s="0" t="n">
        <v>28</v>
      </c>
      <c r="B23" s="34" t="n">
        <v>37288</v>
      </c>
      <c r="C23" s="1" t="n">
        <v>559015</v>
      </c>
      <c r="D23" s="29" t="s">
        <v>41</v>
      </c>
      <c r="E23" s="33" t="n">
        <f aca="false">IF(D23="totale",(C23/(A23*24))/F23,IF(D23="marché libre",(C23/(A23*24))/G23,"spécifier histo"))</f>
        <v>0.519917224702381</v>
      </c>
      <c r="F23" s="59" t="n">
        <v>1600</v>
      </c>
      <c r="G23" s="59" t="n">
        <f aca="false">F23-H23</f>
        <v>1600</v>
      </c>
      <c r="H23" s="58" t="n">
        <v>0</v>
      </c>
      <c r="J23" s="208"/>
      <c r="K23" s="0"/>
      <c r="L23" s="0"/>
      <c r="M23" s="0"/>
      <c r="N23" s="0"/>
      <c r="O23" s="0"/>
      <c r="P23" s="0"/>
      <c r="Q23" s="0"/>
      <c r="R23" s="0"/>
      <c r="S23" s="0"/>
      <c r="T23" s="0"/>
      <c r="U23" s="0"/>
      <c r="V23" s="0"/>
      <c r="W23" s="0"/>
    </row>
    <row r="24" customFormat="false" ht="18.45" hidden="false" customHeight="true" outlineLevel="0" collapsed="false">
      <c r="A24" s="0" t="n">
        <v>31</v>
      </c>
      <c r="B24" s="31" t="n">
        <v>37316</v>
      </c>
      <c r="C24" s="1" t="n">
        <v>670513</v>
      </c>
      <c r="D24" s="29" t="s">
        <v>41</v>
      </c>
      <c r="E24" s="33" t="n">
        <f aca="false">IF(D24="totale",(C24/(A24*24))/F24,IF(D24="marché libre",(C24/(A24*24))/G24,"spécifier histo"))</f>
        <v>0.563266969086021</v>
      </c>
      <c r="F24" s="59" t="n">
        <v>1600</v>
      </c>
      <c r="G24" s="59" t="n">
        <f aca="false">F24-H24</f>
        <v>1600</v>
      </c>
      <c r="H24" s="58" t="n">
        <v>0</v>
      </c>
      <c r="J24" s="208"/>
      <c r="K24" s="0"/>
      <c r="L24" s="0"/>
      <c r="M24" s="0"/>
      <c r="N24" s="0"/>
      <c r="O24" s="0"/>
      <c r="P24" s="0"/>
      <c r="Q24" s="0"/>
      <c r="R24" s="0"/>
      <c r="S24" s="0"/>
      <c r="T24" s="0"/>
      <c r="U24" s="0"/>
      <c r="V24" s="0"/>
      <c r="W24" s="0"/>
    </row>
    <row r="25" customFormat="false" ht="18.45" hidden="false" customHeight="true" outlineLevel="0" collapsed="false">
      <c r="A25" s="0" t="n">
        <v>30</v>
      </c>
      <c r="B25" s="34" t="n">
        <v>37347</v>
      </c>
      <c r="C25" s="1" t="n">
        <v>135433</v>
      </c>
      <c r="D25" s="29" t="s">
        <v>41</v>
      </c>
      <c r="E25" s="33" t="n">
        <f aca="false">IF(D25="totale",(C25/(A25*24))/F25,IF(D25="marché libre",(C25/(A25*24))/G25,"spécifier histo"))</f>
        <v>0.117563368055556</v>
      </c>
      <c r="F25" s="59" t="n">
        <v>1600</v>
      </c>
      <c r="G25" s="59" t="n">
        <f aca="false">F25-H25</f>
        <v>1600</v>
      </c>
      <c r="H25" s="58" t="n">
        <v>0</v>
      </c>
      <c r="J25" s="208"/>
      <c r="K25" s="0"/>
      <c r="L25" s="0"/>
      <c r="M25" s="0"/>
      <c r="N25" s="0"/>
      <c r="O25" s="0"/>
      <c r="P25" s="0"/>
      <c r="Q25" s="0"/>
      <c r="R25" s="0"/>
      <c r="S25" s="0"/>
      <c r="T25" s="0"/>
      <c r="U25" s="0"/>
      <c r="V25" s="0"/>
      <c r="W25" s="0"/>
    </row>
    <row r="26" customFormat="false" ht="18.45" hidden="false" customHeight="true" outlineLevel="0" collapsed="false">
      <c r="A26" s="0" t="n">
        <v>31</v>
      </c>
      <c r="B26" s="31" t="n">
        <v>37377</v>
      </c>
      <c r="C26" s="1" t="n">
        <v>376998</v>
      </c>
      <c r="D26" s="29" t="s">
        <v>41</v>
      </c>
      <c r="E26" s="33" t="n">
        <f aca="false">IF(D26="totale",(C26/(A26*24))/F26,IF(D26="marché libre",(C26/(A26*24))/G26,"spécifier histo"))</f>
        <v>0.316698588709677</v>
      </c>
      <c r="F26" s="59" t="n">
        <v>1600</v>
      </c>
      <c r="G26" s="59" t="n">
        <f aca="false">F26-H26</f>
        <v>1600</v>
      </c>
      <c r="H26" s="58" t="n">
        <v>0</v>
      </c>
      <c r="J26" s="208"/>
      <c r="K26" s="0"/>
      <c r="L26" s="0"/>
      <c r="M26" s="0"/>
      <c r="N26" s="0"/>
      <c r="O26" s="0"/>
      <c r="P26" s="0"/>
      <c r="Q26" s="0"/>
      <c r="R26" s="0"/>
      <c r="S26" s="0"/>
      <c r="T26" s="0"/>
      <c r="U26" s="0"/>
      <c r="V26" s="0"/>
      <c r="W26" s="0"/>
    </row>
    <row r="27" customFormat="false" ht="18.45" hidden="false" customHeight="true" outlineLevel="0" collapsed="false">
      <c r="A27" s="0" t="n">
        <v>30</v>
      </c>
      <c r="B27" s="34" t="n">
        <v>37408</v>
      </c>
      <c r="C27" s="1" t="n">
        <v>121026</v>
      </c>
      <c r="D27" s="29" t="s">
        <v>41</v>
      </c>
      <c r="E27" s="33" t="n">
        <f aca="false">IF(D27="totale",(C27/(A27*24))/F27,IF(D27="marché libre",(C27/(A27*24))/G27,"spécifier histo"))</f>
        <v>0.105057291666667</v>
      </c>
      <c r="F27" s="59" t="n">
        <v>1600</v>
      </c>
      <c r="G27" s="59" t="n">
        <f aca="false">F27-H27</f>
        <v>1600</v>
      </c>
      <c r="H27" s="58" t="n">
        <v>0</v>
      </c>
      <c r="J27" s="208"/>
      <c r="K27" s="0"/>
      <c r="L27" s="0"/>
      <c r="M27" s="0"/>
      <c r="N27" s="0"/>
      <c r="O27" s="0"/>
      <c r="P27" s="0"/>
      <c r="Q27" s="0"/>
      <c r="R27" s="0"/>
      <c r="S27" s="0"/>
      <c r="T27" s="0"/>
      <c r="U27" s="0"/>
      <c r="V27" s="0"/>
      <c r="W27" s="0"/>
    </row>
    <row r="28" customFormat="false" ht="18.45" hidden="false" customHeight="true" outlineLevel="0" collapsed="false">
      <c r="A28" s="0" t="n">
        <v>31</v>
      </c>
      <c r="B28" s="31" t="n">
        <v>37438</v>
      </c>
      <c r="C28" s="1" t="n">
        <v>0</v>
      </c>
      <c r="D28" s="29" t="s">
        <v>41</v>
      </c>
      <c r="E28" s="33" t="n">
        <f aca="false">IF(D28="totale",(C28/(A28*24))/F28,IF(D28="marché libre",(C28/(A28*24))/G28,"spécifier histo"))</f>
        <v>0</v>
      </c>
      <c r="F28" s="59" t="n">
        <v>1600</v>
      </c>
      <c r="G28" s="59" t="n">
        <f aca="false">F28-H28</f>
        <v>1600</v>
      </c>
      <c r="H28" s="58" t="n">
        <v>0</v>
      </c>
      <c r="J28" s="208"/>
      <c r="K28" s="0"/>
      <c r="L28" s="0"/>
      <c r="M28" s="0"/>
      <c r="N28" s="0"/>
      <c r="O28" s="0"/>
      <c r="P28" s="0"/>
      <c r="Q28" s="0"/>
      <c r="R28" s="0"/>
      <c r="S28" s="0"/>
      <c r="T28" s="0"/>
      <c r="U28" s="0"/>
      <c r="V28" s="0"/>
      <c r="W28" s="0"/>
    </row>
    <row r="29" customFormat="false" ht="18.45" hidden="false" customHeight="true" outlineLevel="0" collapsed="false">
      <c r="A29" s="0" t="n">
        <v>31</v>
      </c>
      <c r="B29" s="34" t="n">
        <v>37469</v>
      </c>
      <c r="C29" s="1" t="n">
        <v>0</v>
      </c>
      <c r="D29" s="29" t="s">
        <v>41</v>
      </c>
      <c r="E29" s="33" t="n">
        <f aca="false">IF(D29="totale",(C29/(A29*24))/F29,IF(D29="marché libre",(C29/(A29*24))/G29,"spécifier histo"))</f>
        <v>0</v>
      </c>
      <c r="F29" s="59" t="n">
        <v>1600</v>
      </c>
      <c r="G29" s="59" t="n">
        <f aca="false">F29-H29</f>
        <v>1600</v>
      </c>
      <c r="H29" s="58" t="n">
        <v>0</v>
      </c>
      <c r="J29" s="208"/>
      <c r="K29" s="0"/>
      <c r="L29" s="0"/>
      <c r="M29" s="0"/>
      <c r="N29" s="0"/>
      <c r="O29" s="0"/>
      <c r="P29" s="0"/>
      <c r="Q29" s="0"/>
      <c r="R29" s="0"/>
      <c r="S29" s="0"/>
      <c r="T29" s="0"/>
      <c r="U29" s="0"/>
      <c r="V29" s="0"/>
    </row>
    <row r="30" customFormat="false" ht="18.45" hidden="false" customHeight="true" outlineLevel="0" collapsed="false">
      <c r="A30" s="0" t="n">
        <v>30</v>
      </c>
      <c r="B30" s="31" t="n">
        <v>37500</v>
      </c>
      <c r="C30" s="1" t="n">
        <v>114872</v>
      </c>
      <c r="D30" s="29" t="s">
        <v>41</v>
      </c>
      <c r="E30" s="33" t="n">
        <f aca="false">IF(D30="totale",(C30/(A30*24))/F30,IF(D30="marché libre",(C30/(A30*24))/G30,"spécifier histo"))</f>
        <v>0.0997152777777778</v>
      </c>
      <c r="F30" s="59" t="n">
        <v>1600</v>
      </c>
      <c r="G30" s="59" t="n">
        <f aca="false">F30-H30</f>
        <v>1600</v>
      </c>
      <c r="H30" s="58" t="n">
        <v>0</v>
      </c>
      <c r="J30" s="208"/>
      <c r="K30" s="0"/>
      <c r="L30" s="0"/>
      <c r="M30" s="0"/>
      <c r="N30" s="0"/>
      <c r="O30" s="0"/>
      <c r="P30" s="0"/>
      <c r="Q30" s="0"/>
      <c r="R30" s="0"/>
      <c r="S30" s="0"/>
      <c r="T30" s="0"/>
      <c r="U30" s="0"/>
      <c r="V30" s="0"/>
    </row>
    <row r="31" customFormat="false" ht="18.45" hidden="false" customHeight="true" outlineLevel="0" collapsed="false">
      <c r="A31" s="0" t="n">
        <v>31</v>
      </c>
      <c r="B31" s="34" t="n">
        <v>37530</v>
      </c>
      <c r="C31" s="1" t="n">
        <v>168855</v>
      </c>
      <c r="D31" s="29" t="s">
        <v>41</v>
      </c>
      <c r="E31" s="33" t="n">
        <f aca="false">IF(D31="totale",(C31/(A31*24))/F31,IF(D31="marché libre",(C31/(A31*24))/G31,"spécifier histo"))</f>
        <v>0.141847278225806</v>
      </c>
      <c r="F31" s="59" t="n">
        <v>1600</v>
      </c>
      <c r="G31" s="59" t="n">
        <f aca="false">F31-H31</f>
        <v>1600</v>
      </c>
      <c r="H31" s="58" t="n">
        <v>0</v>
      </c>
      <c r="J31" s="208"/>
      <c r="K31" s="0"/>
      <c r="L31" s="0"/>
      <c r="M31" s="0"/>
      <c r="N31" s="0"/>
      <c r="O31" s="0"/>
      <c r="P31" s="0"/>
      <c r="Q31" s="0"/>
      <c r="R31" s="0"/>
      <c r="S31" s="0"/>
      <c r="T31" s="0"/>
      <c r="U31" s="0"/>
      <c r="V31" s="0"/>
    </row>
    <row r="32" customFormat="false" ht="18.45" hidden="false" customHeight="true" outlineLevel="0" collapsed="false">
      <c r="A32" s="0" t="n">
        <v>30</v>
      </c>
      <c r="B32" s="31" t="n">
        <v>37561</v>
      </c>
      <c r="C32" s="1" t="n">
        <v>566404</v>
      </c>
      <c r="D32" s="29" t="s">
        <v>41</v>
      </c>
      <c r="E32" s="33" t="n">
        <f aca="false">IF(D32="totale",(C32/(A32*24))/F32,IF(D32="marché libre",(C32/(A32*24))/G32,"spécifier histo"))</f>
        <v>0.491670138888889</v>
      </c>
      <c r="F32" s="59" t="n">
        <v>1600</v>
      </c>
      <c r="G32" s="59" t="n">
        <f aca="false">F32-H32</f>
        <v>1600</v>
      </c>
      <c r="H32" s="58" t="n">
        <v>0</v>
      </c>
      <c r="J32" s="208"/>
      <c r="K32" s="0"/>
      <c r="L32" s="0"/>
      <c r="M32" s="0"/>
      <c r="N32" s="0"/>
      <c r="O32" s="0"/>
      <c r="P32" s="0"/>
      <c r="Q32" s="0"/>
      <c r="R32" s="0"/>
      <c r="S32" s="0"/>
      <c r="T32" s="0"/>
      <c r="U32" s="0"/>
      <c r="V32" s="0"/>
    </row>
    <row r="33" customFormat="false" ht="18.45" hidden="false" customHeight="true" outlineLevel="0" collapsed="false">
      <c r="A33" s="0" t="n">
        <v>31</v>
      </c>
      <c r="B33" s="34" t="n">
        <v>37591</v>
      </c>
      <c r="C33" s="1" t="n">
        <v>567275</v>
      </c>
      <c r="D33" s="29" t="s">
        <v>41</v>
      </c>
      <c r="E33" s="33" t="n">
        <f aca="false">IF(D33="totale",(C33/(A33*24))/F33,IF(D33="marché libre",(C33/(A33*24))/G33,"spécifier histo"))</f>
        <v>0.476541498655914</v>
      </c>
      <c r="F33" s="59" t="n">
        <v>1600</v>
      </c>
      <c r="G33" s="59" t="n">
        <f aca="false">F33-H33</f>
        <v>1600</v>
      </c>
      <c r="H33" s="58" t="n">
        <v>0</v>
      </c>
      <c r="J33" s="208"/>
      <c r="K33" s="0"/>
      <c r="L33" s="0"/>
      <c r="M33" s="0"/>
      <c r="N33" s="0"/>
      <c r="O33" s="0"/>
      <c r="P33" s="0"/>
      <c r="Q33" s="0"/>
      <c r="R33" s="0"/>
      <c r="S33" s="0"/>
      <c r="T33" s="0"/>
      <c r="U33" s="0"/>
      <c r="V33" s="0"/>
    </row>
    <row r="34" customFormat="false" ht="18.45" hidden="false" customHeight="true" outlineLevel="0" collapsed="false">
      <c r="A34" s="0" t="n">
        <v>31</v>
      </c>
      <c r="B34" s="31" t="n">
        <v>37622</v>
      </c>
      <c r="C34" s="1" t="n">
        <v>440073</v>
      </c>
      <c r="D34" s="29" t="s">
        <v>41</v>
      </c>
      <c r="E34" s="33" t="n">
        <f aca="false">IF(D34="totale",(C34/(A34*24))/F34,IF(D34="marché libre",(C34/(A34*24))/G34,"spécifier histo"))</f>
        <v>0.36968497983871</v>
      </c>
      <c r="F34" s="59" t="n">
        <v>1600</v>
      </c>
      <c r="G34" s="59" t="n">
        <f aca="false">F34-H34</f>
        <v>1600</v>
      </c>
      <c r="H34" s="58" t="n">
        <v>0</v>
      </c>
      <c r="J34" s="208"/>
      <c r="K34" s="0"/>
      <c r="L34" s="0"/>
      <c r="M34" s="0"/>
      <c r="N34" s="0"/>
      <c r="O34" s="0"/>
      <c r="P34" s="0"/>
      <c r="Q34" s="0"/>
      <c r="R34" s="0"/>
      <c r="S34" s="0"/>
      <c r="T34" s="0"/>
      <c r="U34" s="0"/>
      <c r="V34" s="0"/>
    </row>
    <row r="35" customFormat="false" ht="18.45" hidden="false" customHeight="true" outlineLevel="0" collapsed="false">
      <c r="A35" s="0" t="n">
        <v>28</v>
      </c>
      <c r="B35" s="34" t="n">
        <v>37653</v>
      </c>
      <c r="C35" s="1" t="n">
        <v>190665</v>
      </c>
      <c r="D35" s="29" t="s">
        <v>41</v>
      </c>
      <c r="E35" s="33" t="n">
        <f aca="false">IF(D35="totale",(C35/(A35*24))/F35,IF(D35="marché libre",(C35/(A35*24))/G35,"spécifier histo"))</f>
        <v>0.177329799107143</v>
      </c>
      <c r="F35" s="59" t="n">
        <v>1600</v>
      </c>
      <c r="G35" s="59" t="n">
        <f aca="false">F35-H35</f>
        <v>1600</v>
      </c>
      <c r="H35" s="58" t="n">
        <v>0</v>
      </c>
      <c r="J35" s="208"/>
      <c r="K35" s="0"/>
      <c r="N35" s="0"/>
      <c r="P35" s="0"/>
      <c r="R35" s="0"/>
      <c r="T35" s="0"/>
    </row>
    <row r="36" customFormat="false" ht="18.45" hidden="false" customHeight="true" outlineLevel="0" collapsed="false">
      <c r="A36" s="0" t="n">
        <v>31</v>
      </c>
      <c r="B36" s="31" t="n">
        <v>37681</v>
      </c>
      <c r="C36" s="1" t="n">
        <v>522568</v>
      </c>
      <c r="D36" s="29" t="s">
        <v>41</v>
      </c>
      <c r="E36" s="33" t="n">
        <f aca="false">IF(D36="totale",(C36/(A36*24))/F36,IF(D36="marché libre",(C36/(A36*24))/G36,"spécifier histo"))</f>
        <v>0.438985215053763</v>
      </c>
      <c r="F36" s="59" t="n">
        <v>1600</v>
      </c>
      <c r="G36" s="59" t="n">
        <f aca="false">F36-H36</f>
        <v>1600</v>
      </c>
      <c r="H36" s="58" t="n">
        <v>0</v>
      </c>
      <c r="J36" s="0"/>
      <c r="K36" s="0"/>
      <c r="L36" s="0"/>
      <c r="M36" s="0"/>
      <c r="N36" s="0"/>
      <c r="O36" s="0"/>
      <c r="P36" s="0"/>
      <c r="Q36" s="0"/>
      <c r="R36" s="0"/>
      <c r="S36" s="0"/>
      <c r="T36" s="0"/>
      <c r="U36" s="0"/>
      <c r="V36" s="0"/>
      <c r="W36" s="0"/>
    </row>
    <row r="37" customFormat="false" ht="18.45" hidden="false" customHeight="true" outlineLevel="0" collapsed="false">
      <c r="A37" s="0" t="n">
        <v>30</v>
      </c>
      <c r="B37" s="34" t="n">
        <v>37712</v>
      </c>
      <c r="C37" s="1" t="n">
        <v>249824</v>
      </c>
      <c r="D37" s="29" t="s">
        <v>41</v>
      </c>
      <c r="E37" s="33" t="n">
        <f aca="false">IF(D37="totale",(C37/(A37*24))/F37,IF(D37="marché libre",(C37/(A37*24))/G37,"spécifier histo"))</f>
        <v>0.216861111111111</v>
      </c>
      <c r="F37" s="59" t="n">
        <v>1600</v>
      </c>
      <c r="G37" s="59" t="n">
        <f aca="false">F37-H37</f>
        <v>1600</v>
      </c>
      <c r="H37" s="58" t="n">
        <v>0</v>
      </c>
      <c r="J37" s="208"/>
      <c r="K37" s="0"/>
      <c r="N37" s="0"/>
      <c r="P37" s="0"/>
      <c r="R37" s="0"/>
      <c r="T37" s="0"/>
    </row>
    <row r="38" customFormat="false" ht="18.45" hidden="false" customHeight="true" outlineLevel="0" collapsed="false">
      <c r="A38" s="0" t="n">
        <v>31</v>
      </c>
      <c r="B38" s="31" t="n">
        <v>37742</v>
      </c>
      <c r="C38" s="1" t="n">
        <v>157052</v>
      </c>
      <c r="D38" s="29" t="s">
        <v>41</v>
      </c>
      <c r="E38" s="33" t="n">
        <f aca="false">IF(D38="totale",(C38/(A38*24))/F38,IF(D38="marché libre",(C38/(A38*24))/G38,"spécifier histo"))</f>
        <v>0.131932123655914</v>
      </c>
      <c r="F38" s="59" t="n">
        <v>1600</v>
      </c>
      <c r="G38" s="59" t="n">
        <f aca="false">F38-H38</f>
        <v>1600</v>
      </c>
      <c r="H38" s="58" t="n">
        <v>0</v>
      </c>
      <c r="J38" s="208"/>
      <c r="K38" s="0"/>
      <c r="N38" s="0"/>
      <c r="P38" s="0"/>
      <c r="R38" s="0"/>
      <c r="T38" s="0"/>
    </row>
    <row r="39" customFormat="false" ht="18.45" hidden="false" customHeight="true" outlineLevel="0" collapsed="false">
      <c r="A39" s="0" t="n">
        <v>30</v>
      </c>
      <c r="B39" s="34" t="n">
        <v>37773</v>
      </c>
      <c r="C39" s="1" t="n">
        <v>0</v>
      </c>
      <c r="D39" s="29" t="s">
        <v>41</v>
      </c>
      <c r="E39" s="33" t="n">
        <f aca="false">IF(D39="totale",(C39/(A39*24))/F39,IF(D39="marché libre",(C39/(A39*24))/G39,"spécifier histo"))</f>
        <v>0</v>
      </c>
      <c r="F39" s="59" t="n">
        <v>1600</v>
      </c>
      <c r="G39" s="59" t="n">
        <f aca="false">F39-H39</f>
        <v>1600</v>
      </c>
      <c r="H39" s="58" t="n">
        <v>0</v>
      </c>
      <c r="J39" s="208"/>
      <c r="K39" s="0"/>
      <c r="N39" s="0"/>
      <c r="P39" s="0"/>
      <c r="R39" s="0"/>
      <c r="T39" s="0"/>
    </row>
    <row r="40" customFormat="false" ht="18.45" hidden="false" customHeight="true" outlineLevel="0" collapsed="false">
      <c r="A40" s="0" t="n">
        <v>31</v>
      </c>
      <c r="B40" s="31" t="n">
        <v>37803</v>
      </c>
      <c r="C40" s="1" t="n">
        <v>0</v>
      </c>
      <c r="D40" s="29" t="s">
        <v>41</v>
      </c>
      <c r="E40" s="33" t="n">
        <f aca="false">IF(D40="totale",(C40/(A40*24))/F40,IF(D40="marché libre",(C40/(A40*24))/G40,"spécifier histo"))</f>
        <v>0</v>
      </c>
      <c r="F40" s="59" t="n">
        <v>1600</v>
      </c>
      <c r="G40" s="59" t="n">
        <f aca="false">F40-H40</f>
        <v>1600</v>
      </c>
      <c r="H40" s="58" t="n">
        <v>0</v>
      </c>
      <c r="J40" s="208"/>
      <c r="K40" s="0"/>
      <c r="N40" s="0"/>
      <c r="P40" s="0"/>
      <c r="R40" s="0"/>
      <c r="T40" s="0"/>
    </row>
    <row r="41" customFormat="false" ht="18.45" hidden="false" customHeight="true" outlineLevel="0" collapsed="false">
      <c r="A41" s="0" t="n">
        <v>31</v>
      </c>
      <c r="B41" s="34" t="n">
        <v>37834</v>
      </c>
      <c r="C41" s="1" t="n">
        <v>0</v>
      </c>
      <c r="D41" s="29" t="s">
        <v>41</v>
      </c>
      <c r="E41" s="33" t="n">
        <f aca="false">IF(D41="totale",(C41/(A41*24))/F41,IF(D41="marché libre",(C41/(A41*24))/G41,"spécifier histo"))</f>
        <v>0</v>
      </c>
      <c r="F41" s="59" t="n">
        <v>1600</v>
      </c>
      <c r="G41" s="59" t="n">
        <f aca="false">F41-H41</f>
        <v>1600</v>
      </c>
      <c r="H41" s="58" t="n">
        <v>0</v>
      </c>
      <c r="J41" s="208"/>
      <c r="K41" s="0"/>
      <c r="N41" s="0"/>
      <c r="P41" s="0"/>
      <c r="R41" s="0"/>
      <c r="T41" s="0"/>
    </row>
    <row r="42" customFormat="false" ht="18.45" hidden="false" customHeight="true" outlineLevel="0" collapsed="false">
      <c r="A42" s="0" t="n">
        <v>30</v>
      </c>
      <c r="B42" s="31" t="n">
        <v>37865</v>
      </c>
      <c r="C42" s="1" t="n">
        <v>0</v>
      </c>
      <c r="D42" s="29" t="s">
        <v>41</v>
      </c>
      <c r="E42" s="33" t="n">
        <f aca="false">IF(D42="totale",(C42/(A42*24))/F42,IF(D42="marché libre",(C42/(A42*24))/G42,"spécifier histo"))</f>
        <v>0</v>
      </c>
      <c r="F42" s="59" t="n">
        <v>1600</v>
      </c>
      <c r="G42" s="59" t="n">
        <f aca="false">F42-H42</f>
        <v>1600</v>
      </c>
      <c r="H42" s="58" t="n">
        <v>0</v>
      </c>
      <c r="J42" s="208"/>
      <c r="K42" s="0"/>
      <c r="N42" s="0"/>
      <c r="P42" s="0"/>
      <c r="R42" s="0"/>
      <c r="T42" s="0"/>
    </row>
    <row r="43" customFormat="false" ht="18.45" hidden="false" customHeight="true" outlineLevel="0" collapsed="false">
      <c r="A43" s="0" t="n">
        <v>31</v>
      </c>
      <c r="B43" s="34" t="n">
        <v>37895</v>
      </c>
      <c r="C43" s="1" t="n">
        <v>302958</v>
      </c>
      <c r="D43" s="29" t="s">
        <v>41</v>
      </c>
      <c r="E43" s="33" t="n">
        <f aca="false">IF(D43="totale",(C43/(A43*24))/F43,IF(D43="marché libre",(C43/(A43*24))/G43,"spécifier histo"))</f>
        <v>0.254501008064516</v>
      </c>
      <c r="F43" s="59" t="n">
        <v>1600</v>
      </c>
      <c r="G43" s="59" t="n">
        <f aca="false">F43-H43</f>
        <v>1600</v>
      </c>
      <c r="H43" s="58" t="n">
        <v>0</v>
      </c>
      <c r="J43" s="208"/>
      <c r="K43" s="0"/>
      <c r="N43" s="0"/>
      <c r="P43" s="0"/>
      <c r="R43" s="0"/>
      <c r="T43" s="0"/>
    </row>
    <row r="44" customFormat="false" ht="18.45" hidden="false" customHeight="true" outlineLevel="0" collapsed="false">
      <c r="A44" s="0" t="n">
        <v>30</v>
      </c>
      <c r="B44" s="31" t="n">
        <v>37926</v>
      </c>
      <c r="C44" s="1" t="n">
        <v>199285</v>
      </c>
      <c r="D44" s="29" t="s">
        <v>41</v>
      </c>
      <c r="E44" s="33" t="n">
        <f aca="false">IF(D44="totale",(C44/(A44*24))/F44,IF(D44="marché libre",(C44/(A44*24))/G44,"spécifier histo"))</f>
        <v>0.172990451388889</v>
      </c>
      <c r="F44" s="59" t="n">
        <v>1600</v>
      </c>
      <c r="G44" s="59" t="n">
        <f aca="false">F44-H44</f>
        <v>1600</v>
      </c>
      <c r="H44" s="58" t="n">
        <v>0</v>
      </c>
      <c r="J44" s="208"/>
      <c r="K44" s="0"/>
      <c r="N44" s="0"/>
      <c r="P44" s="0"/>
      <c r="R44" s="0"/>
      <c r="T44" s="0"/>
    </row>
    <row r="45" customFormat="false" ht="18.45" hidden="false" customHeight="true" outlineLevel="0" collapsed="false">
      <c r="A45" s="0" t="n">
        <v>31</v>
      </c>
      <c r="B45" s="34" t="n">
        <v>37956</v>
      </c>
      <c r="C45" s="1" t="n">
        <v>274531</v>
      </c>
      <c r="D45" s="29" t="s">
        <v>41</v>
      </c>
      <c r="E45" s="33" t="n">
        <f aca="false">IF(D45="totale",(C45/(A45*24))/F45,IF(D45="marché libre",(C45/(A45*24))/G45,"spécifier histo"))</f>
        <v>0.230620799731183</v>
      </c>
      <c r="F45" s="59" t="n">
        <v>1600</v>
      </c>
      <c r="G45" s="59" t="n">
        <f aca="false">F45-H45</f>
        <v>1600</v>
      </c>
      <c r="H45" s="58" t="n">
        <v>0</v>
      </c>
      <c r="J45" s="208"/>
      <c r="K45" s="0"/>
      <c r="N45" s="0"/>
      <c r="P45" s="0"/>
      <c r="R45" s="0"/>
      <c r="T45" s="0"/>
    </row>
    <row r="46" customFormat="false" ht="18.45" hidden="false" customHeight="true" outlineLevel="0" collapsed="false">
      <c r="A46" s="0" t="n">
        <v>31</v>
      </c>
      <c r="B46" s="31" t="n">
        <v>37987</v>
      </c>
      <c r="C46" s="1" t="n">
        <v>379668</v>
      </c>
      <c r="D46" s="29" t="s">
        <v>41</v>
      </c>
      <c r="E46" s="33" t="n">
        <f aca="false">IF(D46="totale",(C46/(A46*24))/F46,IF(D46="marché libre",(C46/(A46*24))/G46,"spécifier histo"))</f>
        <v>0.318941532258065</v>
      </c>
      <c r="F46" s="59" t="n">
        <v>1600</v>
      </c>
      <c r="G46" s="59" t="n">
        <f aca="false">F46-H46</f>
        <v>1600</v>
      </c>
      <c r="H46" s="58" t="n">
        <v>0</v>
      </c>
      <c r="J46" s="208"/>
      <c r="K46" s="0"/>
      <c r="N46" s="0"/>
      <c r="P46" s="0"/>
      <c r="R46" s="0"/>
      <c r="T46" s="0"/>
    </row>
    <row r="47" customFormat="false" ht="18.45" hidden="false" customHeight="true" outlineLevel="0" collapsed="false">
      <c r="A47" s="0" t="n">
        <v>28</v>
      </c>
      <c r="B47" s="34" t="n">
        <v>38018</v>
      </c>
      <c r="C47" s="1" t="n">
        <v>349035</v>
      </c>
      <c r="D47" s="29" t="s">
        <v>41</v>
      </c>
      <c r="E47" s="33" t="n">
        <f aca="false">IF(D47="totale",(C47/(A47*24))/F47,IF(D47="marché libre",(C47/(A47*24))/G47,"spécifier histo"))</f>
        <v>0.324623325892857</v>
      </c>
      <c r="F47" s="59" t="n">
        <v>1600</v>
      </c>
      <c r="G47" s="59" t="n">
        <f aca="false">F47-H47</f>
        <v>1600</v>
      </c>
      <c r="H47" s="58" t="n">
        <v>0</v>
      </c>
      <c r="J47" s="208"/>
      <c r="K47" s="0"/>
      <c r="P47" s="0"/>
      <c r="R47" s="0"/>
      <c r="T47" s="0"/>
    </row>
    <row r="48" customFormat="false" ht="18.45" hidden="false" customHeight="true" outlineLevel="0" collapsed="false">
      <c r="A48" s="0" t="n">
        <v>31</v>
      </c>
      <c r="B48" s="31" t="n">
        <v>38047</v>
      </c>
      <c r="C48" s="1" t="n">
        <v>406575</v>
      </c>
      <c r="D48" s="29" t="s">
        <v>41</v>
      </c>
      <c r="E48" s="33" t="n">
        <f aca="false">IF(D48="totale",(C48/(A48*24))/F48,IF(D48="marché libre",(C48/(A48*24))/G48,"spécifier histo"))</f>
        <v>0.341544858870968</v>
      </c>
      <c r="F48" s="59" t="n">
        <v>1600</v>
      </c>
      <c r="G48" s="59" t="n">
        <f aca="false">F48-H48</f>
        <v>1600</v>
      </c>
      <c r="H48" s="58" t="n">
        <v>0</v>
      </c>
      <c r="J48" s="208"/>
      <c r="K48" s="0"/>
      <c r="P48" s="0"/>
      <c r="T48" s="0"/>
    </row>
    <row r="49" customFormat="false" ht="18.45" hidden="false" customHeight="true" outlineLevel="0" collapsed="false">
      <c r="A49" s="0" t="n">
        <v>30</v>
      </c>
      <c r="B49" s="34" t="n">
        <v>38078</v>
      </c>
      <c r="C49" s="1" t="n">
        <v>324623</v>
      </c>
      <c r="D49" s="29" t="s">
        <v>41</v>
      </c>
      <c r="E49" s="33" t="n">
        <f aca="false">IF(D49="totale",(C49/(A49*24))/F49,IF(D49="marché libre",(C49/(A49*24))/G49,"spécifier histo"))</f>
        <v>0.281790798611111</v>
      </c>
      <c r="F49" s="59" t="n">
        <v>1600</v>
      </c>
      <c r="G49" s="59" t="n">
        <f aca="false">F49-H49</f>
        <v>1600</v>
      </c>
      <c r="H49" s="58" t="n">
        <v>0</v>
      </c>
      <c r="J49" s="208"/>
      <c r="K49" s="0"/>
      <c r="P49" s="0"/>
      <c r="T49" s="0"/>
    </row>
    <row r="50" customFormat="false" ht="18.45" hidden="false" customHeight="true" outlineLevel="0" collapsed="false">
      <c r="A50" s="0" t="n">
        <v>31</v>
      </c>
      <c r="B50" s="31" t="n">
        <v>38108</v>
      </c>
      <c r="C50" s="1" t="n">
        <v>241076</v>
      </c>
      <c r="D50" s="29" t="s">
        <v>41</v>
      </c>
      <c r="E50" s="33" t="n">
        <f aca="false">IF(D50="totale",(C50/(A50*24))/F50,IF(D50="marché libre",(C50/(A50*24))/G50,"spécifier histo"))</f>
        <v>0.202516801075269</v>
      </c>
      <c r="F50" s="59" t="n">
        <v>1600</v>
      </c>
      <c r="G50" s="59" t="n">
        <f aca="false">F50-H50</f>
        <v>1600</v>
      </c>
      <c r="H50" s="58" t="n">
        <v>0</v>
      </c>
      <c r="J50" s="208"/>
      <c r="K50" s="0"/>
      <c r="P50" s="0"/>
      <c r="T50" s="0"/>
    </row>
    <row r="51" customFormat="false" ht="18.45" hidden="false" customHeight="true" outlineLevel="0" collapsed="false">
      <c r="A51" s="0" t="n">
        <v>30</v>
      </c>
      <c r="B51" s="34" t="n">
        <v>38139</v>
      </c>
      <c r="C51" s="1" t="n">
        <v>0</v>
      </c>
      <c r="D51" s="29" t="s">
        <v>41</v>
      </c>
      <c r="E51" s="33" t="n">
        <f aca="false">IF(D51="totale",(C51/(A51*24))/F51,IF(D51="marché libre",(C51/(A51*24))/G51,"spécifier histo"))</f>
        <v>0</v>
      </c>
      <c r="F51" s="59" t="n">
        <v>1600</v>
      </c>
      <c r="G51" s="59" t="n">
        <f aca="false">F51-H51</f>
        <v>1600</v>
      </c>
      <c r="H51" s="58" t="n">
        <v>0</v>
      </c>
      <c r="J51" s="208"/>
      <c r="K51" s="0"/>
      <c r="P51" s="0"/>
      <c r="T51" s="0"/>
    </row>
    <row r="52" customFormat="false" ht="18.45" hidden="false" customHeight="true" outlineLevel="0" collapsed="false">
      <c r="A52" s="0" t="n">
        <v>31</v>
      </c>
      <c r="B52" s="31" t="n">
        <v>38169</v>
      </c>
      <c r="C52" s="1" t="n">
        <v>0</v>
      </c>
      <c r="D52" s="29" t="s">
        <v>41</v>
      </c>
      <c r="E52" s="33" t="n">
        <f aca="false">IF(D52="totale",(C52/(A52*24))/F52,IF(D52="marché libre",(C52/(A52*24))/G52,"spécifier histo"))</f>
        <v>0</v>
      </c>
      <c r="F52" s="59" t="n">
        <v>1600</v>
      </c>
      <c r="G52" s="59" t="n">
        <f aca="false">F52-H52</f>
        <v>1600</v>
      </c>
      <c r="H52" s="58" t="n">
        <v>0</v>
      </c>
      <c r="J52" s="208"/>
      <c r="K52" s="0"/>
      <c r="P52" s="0"/>
      <c r="T52" s="0"/>
    </row>
    <row r="53" customFormat="false" ht="18.45" hidden="false" customHeight="true" outlineLevel="0" collapsed="false">
      <c r="A53" s="0" t="n">
        <v>31</v>
      </c>
      <c r="B53" s="34" t="n">
        <v>38200</v>
      </c>
      <c r="C53" s="1" t="n">
        <v>0</v>
      </c>
      <c r="D53" s="29" t="s">
        <v>41</v>
      </c>
      <c r="E53" s="33" t="n">
        <f aca="false">IF(D53="totale",(C53/(A53*24))/F53,IF(D53="marché libre",(C53/(A53*24))/G53,"spécifier histo"))</f>
        <v>0</v>
      </c>
      <c r="F53" s="59" t="n">
        <v>1600</v>
      </c>
      <c r="G53" s="59" t="n">
        <f aca="false">F53-H53</f>
        <v>1600</v>
      </c>
      <c r="H53" s="58" t="n">
        <v>0</v>
      </c>
      <c r="J53" s="208"/>
      <c r="K53" s="0"/>
      <c r="P53" s="0"/>
      <c r="T53" s="0"/>
    </row>
    <row r="54" customFormat="false" ht="18.45" hidden="false" customHeight="true" outlineLevel="0" collapsed="false">
      <c r="A54" s="0" t="n">
        <v>30</v>
      </c>
      <c r="B54" s="31" t="n">
        <v>38231</v>
      </c>
      <c r="C54" s="1" t="n">
        <v>0</v>
      </c>
      <c r="D54" s="29" t="s">
        <v>41</v>
      </c>
      <c r="E54" s="33" t="n">
        <f aca="false">IF(D54="totale",(C54/(A54*24))/F54,IF(D54="marché libre",(C54/(A54*24))/G54,"spécifier histo"))</f>
        <v>0</v>
      </c>
      <c r="F54" s="59" t="n">
        <v>1600</v>
      </c>
      <c r="G54" s="59" t="n">
        <f aca="false">F54-H54</f>
        <v>1600</v>
      </c>
      <c r="H54" s="58" t="n">
        <v>0</v>
      </c>
      <c r="J54" s="208"/>
      <c r="K54" s="0"/>
      <c r="P54" s="0"/>
      <c r="T54" s="0"/>
    </row>
    <row r="55" customFormat="false" ht="18.45" hidden="false" customHeight="true" outlineLevel="0" collapsed="false">
      <c r="A55" s="0" t="n">
        <v>31</v>
      </c>
      <c r="B55" s="34" t="n">
        <v>38261</v>
      </c>
      <c r="C55" s="1" t="n">
        <v>208449</v>
      </c>
      <c r="D55" s="29" t="s">
        <v>41</v>
      </c>
      <c r="E55" s="33" t="n">
        <f aca="false">IF(D55="totale",(C55/(A55*24))/F55,IF(D55="marché libre",(C55/(A55*24))/G55,"spécifier histo"))</f>
        <v>0.175108366935484</v>
      </c>
      <c r="F55" s="59" t="n">
        <v>1600</v>
      </c>
      <c r="G55" s="59" t="n">
        <f aca="false">F55-H55</f>
        <v>1600</v>
      </c>
      <c r="H55" s="58" t="n">
        <v>0</v>
      </c>
      <c r="J55" s="208"/>
      <c r="K55" s="0"/>
      <c r="P55" s="0"/>
      <c r="T55" s="0"/>
    </row>
    <row r="56" customFormat="false" ht="18.45" hidden="false" customHeight="true" outlineLevel="0" collapsed="false">
      <c r="A56" s="0" t="n">
        <v>30</v>
      </c>
      <c r="B56" s="31" t="n">
        <v>38292</v>
      </c>
      <c r="C56" s="1" t="n">
        <v>140707</v>
      </c>
      <c r="D56" s="29" t="s">
        <v>41</v>
      </c>
      <c r="E56" s="33" t="n">
        <f aca="false">IF(D56="totale",(C56/(A56*24))/F56,IF(D56="marché libre",(C56/(A56*24))/G56,"spécifier histo"))</f>
        <v>0.122141493055556</v>
      </c>
      <c r="F56" s="59" t="n">
        <v>1600</v>
      </c>
      <c r="G56" s="59" t="n">
        <f aca="false">F56-H56</f>
        <v>1600</v>
      </c>
      <c r="H56" s="58" t="n">
        <v>0</v>
      </c>
      <c r="J56" s="208"/>
      <c r="K56" s="0"/>
      <c r="P56" s="0"/>
      <c r="T56" s="0"/>
    </row>
    <row r="57" customFormat="false" ht="18.45" hidden="false" customHeight="true" outlineLevel="0" collapsed="false">
      <c r="A57" s="0" t="n">
        <v>31</v>
      </c>
      <c r="B57" s="34" t="n">
        <v>38322</v>
      </c>
      <c r="C57" s="1" t="n">
        <v>252286</v>
      </c>
      <c r="D57" s="29" t="s">
        <v>41</v>
      </c>
      <c r="E57" s="33" t="n">
        <f aca="false">IF(D57="totale",(C57/(A57*24))/F57,IF(D57="marché libre",(C57/(A57*24))/G57,"spécifier histo"))</f>
        <v>0.211933803763441</v>
      </c>
      <c r="F57" s="59" t="n">
        <v>1600</v>
      </c>
      <c r="G57" s="59" t="n">
        <f aca="false">F57-H57</f>
        <v>1600</v>
      </c>
      <c r="H57" s="58" t="n">
        <v>0</v>
      </c>
      <c r="J57" s="208"/>
      <c r="K57" s="0"/>
      <c r="P57" s="0"/>
      <c r="T57" s="0"/>
    </row>
    <row r="58" customFormat="false" ht="18.45" hidden="false" customHeight="true" outlineLevel="0" collapsed="false">
      <c r="A58" s="0" t="n">
        <v>31</v>
      </c>
      <c r="B58" s="31" t="n">
        <v>38353</v>
      </c>
      <c r="C58" s="1" t="n">
        <v>283830</v>
      </c>
      <c r="D58" s="29" t="s">
        <v>41</v>
      </c>
      <c r="E58" s="33" t="n">
        <f aca="false">IF(D58="totale",(C58/(A58*24))/F58,IF(D58="marché libre",(C58/(A58*24))/G58,"spécifier histo"))</f>
        <v>0.238432459677419</v>
      </c>
      <c r="F58" s="59" t="n">
        <v>1600</v>
      </c>
      <c r="G58" s="59" t="n">
        <f aca="false">F58-H58</f>
        <v>1600</v>
      </c>
      <c r="H58" s="58" t="n">
        <v>0</v>
      </c>
      <c r="J58" s="208"/>
      <c r="K58" s="0"/>
      <c r="P58" s="0"/>
      <c r="T58" s="0"/>
    </row>
    <row r="59" customFormat="false" ht="18.45" hidden="false" customHeight="true" outlineLevel="0" collapsed="false">
      <c r="A59" s="0" t="n">
        <v>28</v>
      </c>
      <c r="B59" s="34" t="n">
        <v>38384</v>
      </c>
      <c r="C59" s="1" t="n">
        <v>139727</v>
      </c>
      <c r="D59" s="29" t="s">
        <v>41</v>
      </c>
      <c r="E59" s="33" t="n">
        <f aca="false">IF(D59="totale",(C59/(A59*24))/F59,IF(D59="marché libre",(C59/(A59*24))/G59,"spécifier histo"))</f>
        <v>0.129954427083333</v>
      </c>
      <c r="F59" s="59" t="n">
        <v>1600</v>
      </c>
      <c r="G59" s="59" t="n">
        <f aca="false">F59-H59</f>
        <v>1600</v>
      </c>
      <c r="H59" s="58" t="n">
        <v>0</v>
      </c>
      <c r="J59" s="208"/>
      <c r="K59" s="0"/>
      <c r="P59" s="0"/>
    </row>
    <row r="60" customFormat="false" ht="18.45" hidden="false" customHeight="true" outlineLevel="0" collapsed="false">
      <c r="A60" s="0" t="n">
        <v>31</v>
      </c>
      <c r="B60" s="31" t="n">
        <v>38412</v>
      </c>
      <c r="C60" s="1" t="n">
        <v>433895</v>
      </c>
      <c r="D60" s="29" t="s">
        <v>41</v>
      </c>
      <c r="E60" s="33" t="n">
        <f aca="false">IF(D60="totale",(C60/(A60*24))/F60,IF(D60="marché libre",(C60/(A60*24))/G60,"spécifier histo"))</f>
        <v>0.364495127688172</v>
      </c>
      <c r="F60" s="59" t="n">
        <v>1600</v>
      </c>
      <c r="G60" s="59" t="n">
        <f aca="false">F60-H60</f>
        <v>1600</v>
      </c>
      <c r="H60" s="58" t="n">
        <v>0</v>
      </c>
      <c r="J60" s="208"/>
      <c r="K60" s="0"/>
      <c r="P60" s="0"/>
    </row>
    <row r="61" customFormat="false" ht="18.45" hidden="false" customHeight="true" outlineLevel="0" collapsed="false">
      <c r="A61" s="0" t="n">
        <v>30</v>
      </c>
      <c r="B61" s="34" t="n">
        <v>38443</v>
      </c>
      <c r="C61" s="1" t="n">
        <v>569869</v>
      </c>
      <c r="D61" s="29" t="s">
        <v>41</v>
      </c>
      <c r="E61" s="33" t="n">
        <f aca="false">IF(D61="totale",(C61/(A61*24))/F61,IF(D61="marché libre",(C61/(A61*24))/G61,"spécifier histo"))</f>
        <v>0.494677951388889</v>
      </c>
      <c r="F61" s="59" t="n">
        <v>1600</v>
      </c>
      <c r="G61" s="59" t="n">
        <f aca="false">F61-H61</f>
        <v>1600</v>
      </c>
      <c r="H61" s="58" t="n">
        <v>0</v>
      </c>
      <c r="J61" s="208"/>
      <c r="K61" s="0"/>
      <c r="P61" s="0"/>
    </row>
    <row r="62" customFormat="false" ht="18.45" hidden="false" customHeight="true" outlineLevel="0" collapsed="false">
      <c r="A62" s="0" t="n">
        <v>31</v>
      </c>
      <c r="B62" s="31" t="n">
        <v>38473</v>
      </c>
      <c r="C62" s="1" t="n">
        <v>307227</v>
      </c>
      <c r="D62" s="29" t="s">
        <v>41</v>
      </c>
      <c r="E62" s="33" t="n">
        <f aca="false">IF(D62="totale",(C62/(A62*24))/F62,IF(D62="marché libre",(C62/(A62*24))/G62,"spécifier histo"))</f>
        <v>0.258087197580645</v>
      </c>
      <c r="F62" s="59" t="n">
        <v>1600</v>
      </c>
      <c r="G62" s="59" t="n">
        <f aca="false">F62-H62</f>
        <v>1600</v>
      </c>
      <c r="H62" s="58" t="n">
        <v>0</v>
      </c>
      <c r="J62" s="208"/>
      <c r="K62" s="0"/>
      <c r="P62" s="0"/>
    </row>
    <row r="63" customFormat="false" ht="18.45" hidden="false" customHeight="true" outlineLevel="0" collapsed="false">
      <c r="A63" s="0" t="n">
        <v>30</v>
      </c>
      <c r="B63" s="34" t="n">
        <v>38504</v>
      </c>
      <c r="C63" s="1" t="n">
        <v>0</v>
      </c>
      <c r="D63" s="29" t="s">
        <v>41</v>
      </c>
      <c r="E63" s="33" t="n">
        <f aca="false">IF(D63="totale",(C63/(A63*24))/F63,IF(D63="marché libre",(C63/(A63*24))/G63,"spécifier histo"))</f>
        <v>0</v>
      </c>
      <c r="F63" s="59" t="n">
        <v>1600</v>
      </c>
      <c r="G63" s="59" t="n">
        <f aca="false">F63-H63</f>
        <v>1600</v>
      </c>
      <c r="H63" s="58" t="n">
        <v>0</v>
      </c>
      <c r="J63" s="208"/>
      <c r="K63" s="0"/>
      <c r="P63" s="0"/>
    </row>
    <row r="64" customFormat="false" ht="18.45" hidden="false" customHeight="true" outlineLevel="0" collapsed="false">
      <c r="A64" s="0" t="n">
        <v>31</v>
      </c>
      <c r="B64" s="31" t="n">
        <v>38534</v>
      </c>
      <c r="C64" s="1" t="n">
        <v>0</v>
      </c>
      <c r="D64" s="29" t="s">
        <v>41</v>
      </c>
      <c r="E64" s="33" t="n">
        <f aca="false">IF(D64="totale",(C64/(A64*24))/F64,IF(D64="marché libre",(C64/(A64*24))/G64,"spécifier histo"))</f>
        <v>0</v>
      </c>
      <c r="F64" s="59" t="n">
        <v>1600</v>
      </c>
      <c r="G64" s="59" t="n">
        <f aca="false">F64-H64</f>
        <v>1600</v>
      </c>
      <c r="H64" s="58" t="n">
        <v>0</v>
      </c>
      <c r="J64" s="208"/>
      <c r="K64" s="0"/>
      <c r="P64" s="0"/>
    </row>
    <row r="65" customFormat="false" ht="18.45" hidden="false" customHeight="true" outlineLevel="0" collapsed="false">
      <c r="A65" s="0" t="n">
        <v>31</v>
      </c>
      <c r="B65" s="34" t="n">
        <v>38565</v>
      </c>
      <c r="C65" s="1" t="n">
        <v>0</v>
      </c>
      <c r="D65" s="29" t="s">
        <v>41</v>
      </c>
      <c r="E65" s="33" t="n">
        <f aca="false">IF(D65="totale",(C65/(A65*24))/F65,IF(D65="marché libre",(C65/(A65*24))/G65,"spécifier histo"))</f>
        <v>0</v>
      </c>
      <c r="F65" s="59" t="n">
        <v>1600</v>
      </c>
      <c r="G65" s="59" t="n">
        <f aca="false">F65-H65</f>
        <v>1600</v>
      </c>
      <c r="H65" s="58" t="n">
        <v>0</v>
      </c>
      <c r="J65" s="208"/>
      <c r="K65" s="0"/>
      <c r="P65" s="0"/>
    </row>
    <row r="66" customFormat="false" ht="18.45" hidden="false" customHeight="true" outlineLevel="0" collapsed="false">
      <c r="A66" s="0" t="n">
        <v>30</v>
      </c>
      <c r="B66" s="31" t="n">
        <v>38596</v>
      </c>
      <c r="C66" s="1" t="n">
        <v>0</v>
      </c>
      <c r="D66" s="29" t="s">
        <v>41</v>
      </c>
      <c r="E66" s="33" t="n">
        <f aca="false">IF(D66="totale",(C66/(A66*24))/F66,IF(D66="marché libre",(C66/(A66*24))/G66,"spécifier histo"))</f>
        <v>0</v>
      </c>
      <c r="F66" s="59" t="n">
        <v>1600</v>
      </c>
      <c r="G66" s="59" t="n">
        <f aca="false">F66-H66</f>
        <v>1600</v>
      </c>
      <c r="H66" s="58" t="n">
        <v>0</v>
      </c>
      <c r="J66" s="208"/>
      <c r="K66" s="0"/>
      <c r="P66" s="0"/>
    </row>
    <row r="67" customFormat="false" ht="18.45" hidden="false" customHeight="true" outlineLevel="0" collapsed="false">
      <c r="A67" s="0" t="n">
        <v>31</v>
      </c>
      <c r="B67" s="34" t="n">
        <v>38626</v>
      </c>
      <c r="C67" s="1" t="n">
        <v>36336</v>
      </c>
      <c r="D67" s="29" t="s">
        <v>41</v>
      </c>
      <c r="E67" s="33" t="n">
        <f aca="false">IF(D67="totale",(C67/(A67*24))/F67,IF(D67="marché libre",(C67/(A67*24))/G67,"spécifier histo"))</f>
        <v>0.0305241935483871</v>
      </c>
      <c r="F67" s="59" t="n">
        <v>1600</v>
      </c>
      <c r="G67" s="59" t="n">
        <f aca="false">F67-H67</f>
        <v>1600</v>
      </c>
      <c r="H67" s="58" t="n">
        <v>0</v>
      </c>
      <c r="J67" s="208"/>
      <c r="K67" s="0"/>
      <c r="P67" s="0"/>
    </row>
    <row r="68" customFormat="false" ht="18.45" hidden="false" customHeight="true" outlineLevel="0" collapsed="false">
      <c r="A68" s="0" t="n">
        <v>30</v>
      </c>
      <c r="B68" s="31" t="n">
        <v>38657</v>
      </c>
      <c r="C68" s="1" t="n">
        <v>22370</v>
      </c>
      <c r="D68" s="29" t="s">
        <v>41</v>
      </c>
      <c r="E68" s="33" t="n">
        <f aca="false">IF(D68="totale",(C68/(A68*24))/F68,IF(D68="marché libre",(C68/(A68*24))/G68,"spécifier histo"))</f>
        <v>0.0194184027777778</v>
      </c>
      <c r="F68" s="59" t="n">
        <v>1600</v>
      </c>
      <c r="G68" s="59" t="n">
        <f aca="false">F68-H68</f>
        <v>1600</v>
      </c>
      <c r="H68" s="58" t="n">
        <v>0</v>
      </c>
      <c r="J68" s="208"/>
      <c r="K68" s="0"/>
      <c r="P68" s="0"/>
    </row>
    <row r="69" customFormat="false" ht="18.45" hidden="false" customHeight="true" outlineLevel="0" collapsed="false">
      <c r="A69" s="0" t="n">
        <v>31</v>
      </c>
      <c r="B69" s="34" t="n">
        <v>38687</v>
      </c>
      <c r="C69" s="1" t="n">
        <v>99032</v>
      </c>
      <c r="D69" s="29" t="s">
        <v>41</v>
      </c>
      <c r="E69" s="33" t="n">
        <f aca="false">IF(D69="totale",(C69/(A69*24))/F69,IF(D69="marché libre",(C69/(A69*24))/G69,"spécifier histo"))</f>
        <v>0.0831922043010753</v>
      </c>
      <c r="F69" s="59" t="n">
        <v>1600</v>
      </c>
      <c r="G69" s="59" t="n">
        <f aca="false">F69-H69</f>
        <v>1600</v>
      </c>
      <c r="H69" s="58" t="n">
        <v>0</v>
      </c>
      <c r="J69" s="208"/>
      <c r="K69" s="0"/>
      <c r="P69" s="0"/>
    </row>
    <row r="70" customFormat="false" ht="18.45" hidden="false" customHeight="true" outlineLevel="0" collapsed="false">
      <c r="A70" s="0" t="n">
        <v>31</v>
      </c>
      <c r="B70" s="31" t="n">
        <v>38718</v>
      </c>
      <c r="C70" s="1" t="n">
        <v>148831</v>
      </c>
      <c r="D70" s="29" t="s">
        <v>41</v>
      </c>
      <c r="E70" s="33" t="n">
        <f aca="false">IF(D70="totale",(C70/(A70*24))/F70,IF(D70="marché libre",(C70/(A70*24))/G70,"spécifier histo"))</f>
        <v>0.125026041666667</v>
      </c>
      <c r="F70" s="59" t="n">
        <v>1600</v>
      </c>
      <c r="G70" s="59" t="n">
        <f aca="false">F70-H70</f>
        <v>1600</v>
      </c>
      <c r="H70" s="58" t="n">
        <v>0</v>
      </c>
      <c r="J70" s="208"/>
      <c r="K70" s="0"/>
      <c r="P70" s="0"/>
    </row>
    <row r="71" customFormat="false" ht="18.45" hidden="false" customHeight="true" outlineLevel="0" collapsed="false">
      <c r="A71" s="0" t="n">
        <v>28</v>
      </c>
      <c r="B71" s="34" t="n">
        <v>38749</v>
      </c>
      <c r="C71" s="1" t="n">
        <v>211136</v>
      </c>
      <c r="D71" s="29" t="s">
        <v>41</v>
      </c>
      <c r="E71" s="33" t="n">
        <f aca="false">IF(D71="totale",(C71/(A71*24))/F71,IF(D71="marché libre",(C71/(A71*24))/G71,"spécifier histo"))</f>
        <v>0.196369047619048</v>
      </c>
      <c r="F71" s="59" t="n">
        <v>1600</v>
      </c>
      <c r="G71" s="59" t="n">
        <f aca="false">F71-H71</f>
        <v>1600</v>
      </c>
      <c r="H71" s="58" t="n">
        <v>0</v>
      </c>
      <c r="J71" s="208"/>
      <c r="K71" s="0"/>
      <c r="P71" s="0"/>
    </row>
    <row r="72" customFormat="false" ht="18.45" hidden="false" customHeight="true" outlineLevel="0" collapsed="false">
      <c r="A72" s="0" t="n">
        <v>31</v>
      </c>
      <c r="B72" s="31" t="n">
        <v>38777</v>
      </c>
      <c r="C72" s="1" t="n">
        <v>653021</v>
      </c>
      <c r="D72" s="29" t="s">
        <v>41</v>
      </c>
      <c r="E72" s="33" t="n">
        <f aca="false">IF(D72="totale",(C72/(A72*24))/F72,IF(D72="marché libre",(C72/(A72*24))/G72,"spécifier histo"))</f>
        <v>0.548572748655914</v>
      </c>
      <c r="F72" s="59" t="n">
        <v>1600</v>
      </c>
      <c r="G72" s="59" t="n">
        <f aca="false">F72-H72</f>
        <v>1600</v>
      </c>
      <c r="H72" s="58" t="n">
        <v>0</v>
      </c>
      <c r="J72" s="208"/>
      <c r="K72" s="0"/>
      <c r="P72" s="0"/>
    </row>
    <row r="73" customFormat="false" ht="18.45" hidden="false" customHeight="true" outlineLevel="0" collapsed="false">
      <c r="A73" s="0" t="n">
        <v>30</v>
      </c>
      <c r="B73" s="34" t="n">
        <v>38808</v>
      </c>
      <c r="C73" s="1" t="n">
        <v>667872</v>
      </c>
      <c r="D73" s="29" t="s">
        <v>41</v>
      </c>
      <c r="E73" s="33" t="n">
        <f aca="false">IF(D73="totale",(C73/(A73*24))/F73,IF(D73="marché libre",(C73/(A73*24))/G73,"spécifier histo"))</f>
        <v>0.57975</v>
      </c>
      <c r="F73" s="59" t="n">
        <v>1600</v>
      </c>
      <c r="G73" s="59" t="n">
        <f aca="false">F73-H73</f>
        <v>1600</v>
      </c>
      <c r="H73" s="58" t="n">
        <v>0</v>
      </c>
      <c r="J73" s="208"/>
      <c r="K73" s="0"/>
      <c r="P73" s="0"/>
    </row>
    <row r="74" customFormat="false" ht="18.45" hidden="false" customHeight="true" outlineLevel="0" collapsed="false">
      <c r="A74" s="0" t="n">
        <v>31</v>
      </c>
      <c r="B74" s="31" t="n">
        <v>38838</v>
      </c>
      <c r="C74" s="1" t="n">
        <v>478716</v>
      </c>
      <c r="D74" s="29" t="s">
        <v>41</v>
      </c>
      <c r="E74" s="33" t="n">
        <f aca="false">IF(D74="totale",(C74/(A74*24))/F74,IF(D74="marché libre",(C74/(A74*24))/G74,"spécifier histo"))</f>
        <v>0.402147177419355</v>
      </c>
      <c r="F74" s="59" t="n">
        <v>1600</v>
      </c>
      <c r="G74" s="59" t="n">
        <f aca="false">F74-H74</f>
        <v>1600</v>
      </c>
      <c r="H74" s="58" t="n">
        <v>0</v>
      </c>
      <c r="J74" s="208"/>
      <c r="K74" s="0"/>
      <c r="P74" s="0"/>
    </row>
    <row r="75" customFormat="false" ht="18.45" hidden="false" customHeight="true" outlineLevel="0" collapsed="false">
      <c r="A75" s="0" t="n">
        <v>30</v>
      </c>
      <c r="B75" s="34" t="n">
        <v>38869</v>
      </c>
      <c r="C75" s="1" t="n">
        <v>0</v>
      </c>
      <c r="D75" s="29" t="s">
        <v>41</v>
      </c>
      <c r="E75" s="33" t="n">
        <f aca="false">IF(D75="totale",(C75/(A75*24))/F75,IF(D75="marché libre",(C75/(A75*24))/G75,"spécifier histo"))</f>
        <v>0</v>
      </c>
      <c r="F75" s="59" t="n">
        <v>1600</v>
      </c>
      <c r="G75" s="59" t="n">
        <f aca="false">F75-H75</f>
        <v>1600</v>
      </c>
      <c r="H75" s="58" t="n">
        <v>0</v>
      </c>
      <c r="J75" s="208"/>
      <c r="K75" s="0"/>
      <c r="P75" s="0"/>
    </row>
    <row r="76" customFormat="false" ht="18.45" hidden="false" customHeight="true" outlineLevel="0" collapsed="false">
      <c r="A76" s="0" t="n">
        <v>31</v>
      </c>
      <c r="B76" s="31" t="n">
        <v>38899</v>
      </c>
      <c r="C76" s="1" t="n">
        <v>0</v>
      </c>
      <c r="D76" s="29" t="s">
        <v>41</v>
      </c>
      <c r="E76" s="33" t="n">
        <f aca="false">IF(D76="totale",(C76/(A76*24))/F76,IF(D76="marché libre",(C76/(A76*24))/G76,"spécifier histo"))</f>
        <v>0</v>
      </c>
      <c r="F76" s="59" t="n">
        <v>1600</v>
      </c>
      <c r="G76" s="59" t="n">
        <f aca="false">F76-H76</f>
        <v>1600</v>
      </c>
      <c r="H76" s="58" t="n">
        <v>0</v>
      </c>
      <c r="J76" s="208"/>
      <c r="K76" s="0"/>
      <c r="P76" s="0"/>
    </row>
    <row r="77" customFormat="false" ht="18.45" hidden="false" customHeight="true" outlineLevel="0" collapsed="false">
      <c r="A77" s="0" t="n">
        <v>31</v>
      </c>
      <c r="B77" s="34" t="n">
        <v>38930</v>
      </c>
      <c r="C77" s="1" t="n">
        <v>0</v>
      </c>
      <c r="D77" s="29" t="s">
        <v>41</v>
      </c>
      <c r="E77" s="33" t="n">
        <f aca="false">IF(D77="totale",(C77/(A77*24))/F77,IF(D77="marché libre",(C77/(A77*24))/G77,"spécifier histo"))</f>
        <v>0</v>
      </c>
      <c r="F77" s="59" t="n">
        <v>1600</v>
      </c>
      <c r="G77" s="59" t="n">
        <f aca="false">F77-H77</f>
        <v>1600</v>
      </c>
      <c r="H77" s="58" t="n">
        <v>0</v>
      </c>
      <c r="J77" s="208"/>
      <c r="K77" s="0"/>
      <c r="P77" s="0"/>
    </row>
    <row r="78" customFormat="false" ht="18.45" hidden="false" customHeight="true" outlineLevel="0" collapsed="false">
      <c r="A78" s="0" t="n">
        <v>30</v>
      </c>
      <c r="B78" s="31" t="n">
        <v>38961</v>
      </c>
      <c r="C78" s="1" t="n">
        <v>0</v>
      </c>
      <c r="D78" s="29" t="s">
        <v>41</v>
      </c>
      <c r="E78" s="33" t="n">
        <f aca="false">IF(D78="totale",(C78/(A78*24))/F78,IF(D78="marché libre",(C78/(A78*24))/G78,"spécifier histo"))</f>
        <v>0</v>
      </c>
      <c r="F78" s="59" t="n">
        <v>1600</v>
      </c>
      <c r="G78" s="59" t="n">
        <f aca="false">F78-H78</f>
        <v>1600</v>
      </c>
      <c r="H78" s="58" t="n">
        <v>0</v>
      </c>
      <c r="J78" s="208"/>
      <c r="K78" s="0"/>
      <c r="P78" s="0"/>
    </row>
    <row r="79" customFormat="false" ht="18.45" hidden="false" customHeight="true" outlineLevel="0" collapsed="false">
      <c r="A79" s="0" t="n">
        <v>31</v>
      </c>
      <c r="B79" s="34" t="n">
        <v>38991</v>
      </c>
      <c r="C79" s="1" t="n">
        <v>0</v>
      </c>
      <c r="D79" s="29" t="s">
        <v>41</v>
      </c>
      <c r="E79" s="33" t="n">
        <f aca="false">IF(D79="totale",(C79/(A79*24))/F79,IF(D79="marché libre",(C79/(A79*24))/G79,"spécifier histo"))</f>
        <v>0</v>
      </c>
      <c r="F79" s="59" t="n">
        <v>1600</v>
      </c>
      <c r="G79" s="59" t="n">
        <f aca="false">F79-H79</f>
        <v>1600</v>
      </c>
      <c r="H79" s="58" t="n">
        <v>0</v>
      </c>
      <c r="J79" s="208"/>
      <c r="K79" s="0"/>
      <c r="P79" s="0"/>
    </row>
    <row r="80" customFormat="false" ht="18.45" hidden="false" customHeight="true" outlineLevel="0" collapsed="false">
      <c r="A80" s="0" t="n">
        <v>30</v>
      </c>
      <c r="B80" s="31" t="n">
        <v>39022</v>
      </c>
      <c r="C80" s="1" t="n">
        <v>0</v>
      </c>
      <c r="D80" s="29" t="s">
        <v>41</v>
      </c>
      <c r="E80" s="33" t="n">
        <f aca="false">IF(D80="totale",(C80/(A80*24))/F80,IF(D80="marché libre",(C80/(A80*24))/G80,"spécifier histo"))</f>
        <v>0</v>
      </c>
      <c r="F80" s="59" t="n">
        <v>1600</v>
      </c>
      <c r="G80" s="59" t="n">
        <f aca="false">F80-H80</f>
        <v>1600</v>
      </c>
      <c r="H80" s="58" t="n">
        <v>0</v>
      </c>
      <c r="J80" s="208"/>
      <c r="K80" s="0"/>
      <c r="P80" s="0"/>
    </row>
    <row r="81" customFormat="false" ht="18.45" hidden="false" customHeight="true" outlineLevel="0" collapsed="false">
      <c r="A81" s="0" t="n">
        <v>31</v>
      </c>
      <c r="B81" s="34" t="n">
        <v>39052</v>
      </c>
      <c r="C81" s="1" t="n">
        <v>0</v>
      </c>
      <c r="D81" s="29" t="s">
        <v>41</v>
      </c>
      <c r="E81" s="33" t="n">
        <f aca="false">IF(D81="totale",(C81/(A81*24))/F81,IF(D81="marché libre",(C81/(A81*24))/G81,"spécifier histo"))</f>
        <v>0</v>
      </c>
      <c r="F81" s="59" t="n">
        <v>1600</v>
      </c>
      <c r="G81" s="59" t="n">
        <f aca="false">F81-H81</f>
        <v>1600</v>
      </c>
      <c r="H81" s="58" t="n">
        <v>0</v>
      </c>
      <c r="J81" s="208"/>
      <c r="K81" s="0"/>
      <c r="P81" s="0"/>
    </row>
    <row r="82" customFormat="false" ht="18.45" hidden="false" customHeight="true" outlineLevel="0" collapsed="false">
      <c r="A82" s="0" t="n">
        <v>31</v>
      </c>
      <c r="B82" s="31" t="n">
        <v>39083</v>
      </c>
      <c r="C82" s="1" t="n">
        <v>434200</v>
      </c>
      <c r="D82" s="29" t="s">
        <v>41</v>
      </c>
      <c r="E82" s="33" t="n">
        <f aca="false">IF(D82="totale",(C82/(A82*24))/F82,IF(D82="marché libre",(C82/(A82*24))/G82,"spécifier histo"))</f>
        <v>0.364751344086021</v>
      </c>
      <c r="F82" s="59" t="n">
        <v>1600</v>
      </c>
      <c r="G82" s="59" t="n">
        <f aca="false">F82-H82</f>
        <v>1600</v>
      </c>
      <c r="H82" s="58" t="n">
        <v>0</v>
      </c>
      <c r="J82" s="208"/>
      <c r="K82" s="0"/>
      <c r="P82" s="0"/>
    </row>
    <row r="83" customFormat="false" ht="18.45" hidden="false" customHeight="true" outlineLevel="0" collapsed="false">
      <c r="A83" s="0" t="n">
        <v>28</v>
      </c>
      <c r="B83" s="34" t="n">
        <v>39114</v>
      </c>
      <c r="C83" s="1" t="n">
        <v>548108</v>
      </c>
      <c r="D83" s="29" t="s">
        <v>41</v>
      </c>
      <c r="E83" s="33" t="n">
        <f aca="false">IF(D83="totale",(C83/(A83*24))/F83,IF(D83="marché libre",(C83/(A83*24))/G83,"spécifier histo"))</f>
        <v>0.50977306547619</v>
      </c>
      <c r="F83" s="59" t="n">
        <v>1600</v>
      </c>
      <c r="G83" s="59" t="n">
        <f aca="false">F83-H83</f>
        <v>1600</v>
      </c>
      <c r="H83" s="58" t="n">
        <v>0</v>
      </c>
      <c r="J83" s="208"/>
      <c r="P83" s="0"/>
    </row>
    <row r="84" customFormat="false" ht="18.45" hidden="false" customHeight="true" outlineLevel="0" collapsed="false">
      <c r="A84" s="0" t="n">
        <v>31</v>
      </c>
      <c r="B84" s="31" t="n">
        <v>39142</v>
      </c>
      <c r="C84" s="1" t="n">
        <v>537340</v>
      </c>
      <c r="D84" s="29" t="s">
        <v>41</v>
      </c>
      <c r="E84" s="33" t="n">
        <f aca="false">IF(D84="totale",(C84/(A84*24))/F84,IF(D84="marché libre",(C84/(A84*24))/G84,"spécifier histo"))</f>
        <v>0.451394489247312</v>
      </c>
      <c r="F84" s="59" t="n">
        <v>1600</v>
      </c>
      <c r="G84" s="59" t="n">
        <f aca="false">F84-H84</f>
        <v>1600</v>
      </c>
      <c r="H84" s="58" t="n">
        <v>0</v>
      </c>
      <c r="J84" s="208"/>
      <c r="P84" s="0"/>
    </row>
    <row r="85" customFormat="false" ht="18.45" hidden="false" customHeight="true" outlineLevel="0" collapsed="false">
      <c r="A85" s="0" t="n">
        <v>30</v>
      </c>
      <c r="B85" s="34" t="n">
        <v>39173</v>
      </c>
      <c r="C85" s="1" t="n">
        <v>190665</v>
      </c>
      <c r="D85" s="29" t="s">
        <v>41</v>
      </c>
      <c r="E85" s="33" t="n">
        <f aca="false">IF(D85="totale",(C85/(A85*24))/F85,IF(D85="marché libre",(C85/(A85*24))/G85,"spécifier histo"))</f>
        <v>0.1655078125</v>
      </c>
      <c r="F85" s="59" t="n">
        <v>1600</v>
      </c>
      <c r="G85" s="59" t="n">
        <f aca="false">F85-H85</f>
        <v>1600</v>
      </c>
      <c r="H85" s="58" t="n">
        <v>0</v>
      </c>
      <c r="J85" s="208"/>
      <c r="P85" s="0"/>
    </row>
    <row r="86" customFormat="false" ht="18.45" hidden="false" customHeight="true" outlineLevel="0" collapsed="false">
      <c r="A86" s="0" t="n">
        <v>31</v>
      </c>
      <c r="B86" s="31" t="n">
        <v>39203</v>
      </c>
      <c r="C86" s="1" t="n">
        <v>422400</v>
      </c>
      <c r="D86" s="29" t="s">
        <v>41</v>
      </c>
      <c r="E86" s="33" t="n">
        <f aca="false">IF(D86="totale",(C86/(A86*24))/F86,IF(D86="marché libre",(C86/(A86*24))/G86,"spécifier histo"))</f>
        <v>0.354838709677419</v>
      </c>
      <c r="F86" s="59" t="n">
        <v>1600</v>
      </c>
      <c r="G86" s="59" t="n">
        <f aca="false">F86-H86</f>
        <v>1600</v>
      </c>
      <c r="H86" s="58" t="n">
        <v>0</v>
      </c>
      <c r="J86" s="208"/>
      <c r="P86" s="0"/>
    </row>
    <row r="87" customFormat="false" ht="18.45" hidden="false" customHeight="true" outlineLevel="0" collapsed="false">
      <c r="A87" s="0" t="n">
        <v>30</v>
      </c>
      <c r="B87" s="34" t="n">
        <v>39234</v>
      </c>
      <c r="C87" s="1" t="n">
        <v>544993</v>
      </c>
      <c r="D87" s="29" t="s">
        <v>41</v>
      </c>
      <c r="E87" s="33" t="n">
        <f aca="false">IF(D87="totale",(C87/(A87*24))/F87,IF(D87="marché libre",(C87/(A87*24))/G87,"spécifier histo"))</f>
        <v>0.473084201388889</v>
      </c>
      <c r="F87" s="59" t="n">
        <v>1600</v>
      </c>
      <c r="G87" s="59" t="n">
        <f aca="false">F87-H87</f>
        <v>1600</v>
      </c>
      <c r="H87" s="58" t="n">
        <v>0</v>
      </c>
      <c r="J87" s="208"/>
      <c r="P87" s="0"/>
    </row>
    <row r="88" customFormat="false" ht="18.45" hidden="false" customHeight="true" outlineLevel="0" collapsed="false">
      <c r="A88" s="0" t="n">
        <v>31</v>
      </c>
      <c r="B88" s="31" t="n">
        <v>39264</v>
      </c>
      <c r="C88" s="1" t="n">
        <v>434618</v>
      </c>
      <c r="D88" s="29" t="s">
        <v>41</v>
      </c>
      <c r="E88" s="33" t="n">
        <f aca="false">IF(D88="totale",(C88/(A88*24))/F88,IF(D88="marché libre",(C88/(A88*24))/G88,"spécifier histo"))</f>
        <v>0.36510248655914</v>
      </c>
      <c r="F88" s="59" t="n">
        <v>1600</v>
      </c>
      <c r="G88" s="59" t="n">
        <f aca="false">F88-H88</f>
        <v>1600</v>
      </c>
      <c r="H88" s="58" t="n">
        <v>0</v>
      </c>
      <c r="J88" s="208"/>
      <c r="P88" s="0"/>
    </row>
    <row r="89" customFormat="false" ht="18.45" hidden="false" customHeight="true" outlineLevel="0" collapsed="false">
      <c r="A89" s="0" t="n">
        <v>31</v>
      </c>
      <c r="B89" s="34" t="n">
        <v>39295</v>
      </c>
      <c r="C89" s="1" t="n">
        <v>64304</v>
      </c>
      <c r="D89" s="29" t="s">
        <v>41</v>
      </c>
      <c r="E89" s="33" t="n">
        <f aca="false">IF(D89="totale",(C89/(A89*24))/F89,IF(D89="marché libre",(C89/(A89*24))/G89,"spécifier histo"))</f>
        <v>0.0540188172043011</v>
      </c>
      <c r="F89" s="59" t="n">
        <v>1600</v>
      </c>
      <c r="G89" s="59" t="n">
        <f aca="false">F89-H89</f>
        <v>1600</v>
      </c>
      <c r="H89" s="58" t="n">
        <v>0</v>
      </c>
      <c r="J89" s="208"/>
      <c r="P89" s="0"/>
    </row>
    <row r="90" customFormat="false" ht="18.45" hidden="false" customHeight="true" outlineLevel="0" collapsed="false">
      <c r="A90" s="0" t="n">
        <v>30</v>
      </c>
      <c r="B90" s="31" t="n">
        <v>39326</v>
      </c>
      <c r="C90" s="1" t="n">
        <v>101769</v>
      </c>
      <c r="D90" s="29" t="s">
        <v>41</v>
      </c>
      <c r="E90" s="33" t="n">
        <f aca="false">IF(D90="totale",(C90/(A90*24))/F90,IF(D90="marché libre",(C90/(A90*24))/G90,"spécifier histo"))</f>
        <v>0.0883411458333333</v>
      </c>
      <c r="F90" s="59" t="n">
        <v>1600</v>
      </c>
      <c r="G90" s="59" t="n">
        <f aca="false">F90-H90</f>
        <v>1600</v>
      </c>
      <c r="H90" s="58" t="n">
        <v>0</v>
      </c>
      <c r="J90" s="208"/>
      <c r="P90" s="0"/>
    </row>
    <row r="91" customFormat="false" ht="18.45" hidden="false" customHeight="true" outlineLevel="0" collapsed="false">
      <c r="A91" s="0" t="n">
        <v>31</v>
      </c>
      <c r="B91" s="34" t="n">
        <v>39356</v>
      </c>
      <c r="C91" s="1" t="n">
        <v>67820</v>
      </c>
      <c r="D91" s="29" t="s">
        <v>41</v>
      </c>
      <c r="E91" s="33" t="n">
        <f aca="false">IF(D91="totale",(C91/(A91*24))/F91,IF(D91="marché libre",(C91/(A91*24))/G91,"spécifier histo"))</f>
        <v>0.0569724462365591</v>
      </c>
      <c r="F91" s="59" t="n">
        <v>1600</v>
      </c>
      <c r="G91" s="59" t="n">
        <f aca="false">F91-H91</f>
        <v>1600</v>
      </c>
      <c r="H91" s="58" t="n">
        <v>0</v>
      </c>
      <c r="J91" s="208"/>
      <c r="P91" s="0"/>
    </row>
    <row r="92" customFormat="false" ht="18.45" hidden="false" customHeight="true" outlineLevel="0" collapsed="false">
      <c r="A92" s="0" t="n">
        <v>30</v>
      </c>
      <c r="B92" s="31" t="n">
        <v>39387</v>
      </c>
      <c r="C92" s="1" t="n">
        <v>177032</v>
      </c>
      <c r="D92" s="29" t="s">
        <v>41</v>
      </c>
      <c r="E92" s="33" t="n">
        <f aca="false">IF(D92="totale",(C92/(A92*24))/F92,IF(D92="marché libre",(C92/(A92*24))/G92,"spécifier histo"))</f>
        <v>0.153673611111111</v>
      </c>
      <c r="F92" s="59" t="n">
        <v>1600</v>
      </c>
      <c r="G92" s="59" t="n">
        <f aca="false">F92-H92</f>
        <v>1600</v>
      </c>
      <c r="H92" s="58" t="n">
        <v>0</v>
      </c>
      <c r="J92" s="208"/>
      <c r="P92" s="0"/>
    </row>
    <row r="93" customFormat="false" ht="18.45" hidden="false" customHeight="true" outlineLevel="0" collapsed="false">
      <c r="A93" s="0" t="n">
        <v>31</v>
      </c>
      <c r="B93" s="34" t="n">
        <v>39417</v>
      </c>
      <c r="C93" s="1" t="n">
        <v>396226</v>
      </c>
      <c r="D93" s="29" t="s">
        <v>41</v>
      </c>
      <c r="E93" s="33" t="n">
        <f aca="false">IF(D93="totale",(C93/(A93*24))/F93,IF(D93="marché libre",(C93/(A93*24))/G93,"spécifier histo"))</f>
        <v>0.332851142473118</v>
      </c>
      <c r="F93" s="59" t="n">
        <v>1600</v>
      </c>
      <c r="G93" s="59" t="n">
        <f aca="false">F93-H93</f>
        <v>1600</v>
      </c>
      <c r="H93" s="58" t="n">
        <v>0</v>
      </c>
      <c r="J93" s="208"/>
      <c r="P93" s="0"/>
    </row>
    <row r="94" customFormat="false" ht="18.45" hidden="false" customHeight="true" outlineLevel="0" collapsed="false">
      <c r="A94" s="0" t="n">
        <v>31</v>
      </c>
      <c r="B94" s="31" t="n">
        <v>39448</v>
      </c>
      <c r="C94" s="1" t="n">
        <v>521095</v>
      </c>
      <c r="D94" s="29" t="s">
        <v>41</v>
      </c>
      <c r="E94" s="33" t="n">
        <f aca="false">IF(D94="totale",(C94/(A94*24))/F94,IF(D94="marché libre",(C94/(A94*24))/G94,"spécifier histo"))</f>
        <v>0.437747815860215</v>
      </c>
      <c r="F94" s="59" t="n">
        <v>1600</v>
      </c>
      <c r="G94" s="59" t="n">
        <f aca="false">F94-H94</f>
        <v>1600</v>
      </c>
      <c r="H94" s="58" t="n">
        <v>0</v>
      </c>
      <c r="J94" s="208"/>
      <c r="P94" s="0"/>
    </row>
    <row r="95" customFormat="false" ht="18.45" hidden="false" customHeight="true" outlineLevel="0" collapsed="false">
      <c r="A95" s="0" t="n">
        <v>28</v>
      </c>
      <c r="B95" s="34" t="n">
        <v>39479</v>
      </c>
      <c r="C95" s="1" t="n">
        <v>276971</v>
      </c>
      <c r="D95" s="29" t="s">
        <v>41</v>
      </c>
      <c r="E95" s="33" t="n">
        <f aca="false">IF(D95="totale",(C95/(A95*24))/F95,IF(D95="marché libre",(C95/(A95*24))/G95,"spécifier histo"))</f>
        <v>0.257599516369048</v>
      </c>
      <c r="F95" s="59" t="n">
        <v>1600</v>
      </c>
      <c r="G95" s="59" t="n">
        <f aca="false">F95-H95</f>
        <v>1600</v>
      </c>
      <c r="H95" s="58" t="n">
        <v>0</v>
      </c>
      <c r="J95" s="208"/>
      <c r="P95" s="0"/>
    </row>
    <row r="96" customFormat="false" ht="18.45" hidden="false" customHeight="true" outlineLevel="0" collapsed="false">
      <c r="A96" s="0" t="n">
        <v>31</v>
      </c>
      <c r="B96" s="31" t="n">
        <v>39508</v>
      </c>
      <c r="C96" s="1" t="n">
        <v>566685</v>
      </c>
      <c r="D96" s="29" t="s">
        <v>41</v>
      </c>
      <c r="E96" s="33" t="n">
        <f aca="false">IF(D96="totale",(C96/(A96*24))/F96,IF(D96="marché libre",(C96/(A96*24))/G96,"spécifier histo"))</f>
        <v>0.476045866935484</v>
      </c>
      <c r="F96" s="59" t="n">
        <v>1600</v>
      </c>
      <c r="G96" s="59" t="n">
        <f aca="false">F96-H96</f>
        <v>1600</v>
      </c>
      <c r="H96" s="58" t="n">
        <v>0</v>
      </c>
      <c r="J96" s="208"/>
      <c r="P96" s="0"/>
    </row>
    <row r="97" customFormat="false" ht="18.45" hidden="false" customHeight="true" outlineLevel="0" collapsed="false">
      <c r="A97" s="0" t="n">
        <v>30</v>
      </c>
      <c r="B97" s="34" t="n">
        <v>39539</v>
      </c>
      <c r="C97" s="1" t="n">
        <v>792129</v>
      </c>
      <c r="D97" s="29" t="s">
        <v>41</v>
      </c>
      <c r="E97" s="33" t="n">
        <f aca="false">IF(D97="totale",(C97/(A97*24))/F97,IF(D97="marché libre",(C97/(A97*24))/G97,"spécifier histo"))</f>
        <v>0.687611979166667</v>
      </c>
      <c r="F97" s="59" t="n">
        <v>1600</v>
      </c>
      <c r="G97" s="59" t="n">
        <f aca="false">F97-H97</f>
        <v>1600</v>
      </c>
      <c r="H97" s="58" t="n">
        <v>0</v>
      </c>
      <c r="J97" s="208"/>
      <c r="P97" s="0"/>
    </row>
    <row r="98" customFormat="false" ht="18.45" hidden="false" customHeight="true" outlineLevel="0" collapsed="false">
      <c r="A98" s="0" t="n">
        <v>31</v>
      </c>
      <c r="B98" s="31" t="n">
        <v>39569</v>
      </c>
      <c r="C98" s="1" t="n">
        <v>294710</v>
      </c>
      <c r="D98" s="29" t="s">
        <v>41</v>
      </c>
      <c r="E98" s="33" t="n">
        <f aca="false">IF(D98="totale",(C98/(A98*24))/F98,IF(D98="marché libre",(C98/(A98*24))/G98,"spécifier histo"))</f>
        <v>0.247572244623656</v>
      </c>
      <c r="F98" s="59" t="n">
        <v>1600</v>
      </c>
      <c r="G98" s="59" t="n">
        <f aca="false">F98-H98</f>
        <v>1600</v>
      </c>
      <c r="H98" s="58" t="n">
        <v>0</v>
      </c>
      <c r="J98" s="208"/>
      <c r="P98" s="0"/>
    </row>
    <row r="99" customFormat="false" ht="18.45" hidden="false" customHeight="true" outlineLevel="0" collapsed="false">
      <c r="A99" s="0" t="n">
        <v>30</v>
      </c>
      <c r="B99" s="34" t="n">
        <v>39600</v>
      </c>
      <c r="C99" s="1" t="n">
        <v>287846</v>
      </c>
      <c r="D99" s="29" t="s">
        <v>41</v>
      </c>
      <c r="E99" s="33" t="n">
        <f aca="false">IF(D99="totale",(C99/(A99*24))/F99,IF(D99="marché libre",(C99/(A99*24))/G99,"spécifier histo"))</f>
        <v>0.249866319444444</v>
      </c>
      <c r="F99" s="59" t="n">
        <v>1600</v>
      </c>
      <c r="G99" s="59" t="n">
        <f aca="false">F99-H99</f>
        <v>1600</v>
      </c>
      <c r="H99" s="58" t="n">
        <v>0</v>
      </c>
      <c r="J99" s="208"/>
      <c r="P99" s="0"/>
    </row>
    <row r="100" customFormat="false" ht="18.45" hidden="false" customHeight="true" outlineLevel="0" collapsed="false">
      <c r="A100" s="0" t="n">
        <v>31</v>
      </c>
      <c r="B100" s="31" t="n">
        <v>39630</v>
      </c>
      <c r="C100" s="1" t="n">
        <v>0</v>
      </c>
      <c r="D100" s="29" t="s">
        <v>41</v>
      </c>
      <c r="E100" s="33" t="n">
        <f aca="false">IF(D100="totale",(C100/(A100*24))/F100,IF(D100="marché libre",(C100/(A100*24))/G100,"spécifier histo"))</f>
        <v>0</v>
      </c>
      <c r="F100" s="59" t="n">
        <v>1600</v>
      </c>
      <c r="G100" s="59" t="n">
        <f aca="false">F100-H100</f>
        <v>1600</v>
      </c>
      <c r="H100" s="58" t="n">
        <v>0</v>
      </c>
      <c r="J100" s="208"/>
      <c r="P100" s="0"/>
    </row>
    <row r="101" customFormat="false" ht="18.45" hidden="false" customHeight="true" outlineLevel="0" collapsed="false">
      <c r="A101" s="0" t="n">
        <v>31</v>
      </c>
      <c r="B101" s="34" t="n">
        <v>39661</v>
      </c>
      <c r="C101" s="1" t="n">
        <v>0</v>
      </c>
      <c r="D101" s="29" t="s">
        <v>41</v>
      </c>
      <c r="E101" s="33" t="n">
        <f aca="false">IF(D101="totale",(C101/(A101*24))/F101,IF(D101="marché libre",(C101/(A101*24))/G101,"spécifier histo"))</f>
        <v>0</v>
      </c>
      <c r="F101" s="59" t="n">
        <v>1600</v>
      </c>
      <c r="G101" s="59" t="n">
        <f aca="false">F101-H101</f>
        <v>1600</v>
      </c>
      <c r="H101" s="58" t="n">
        <v>0</v>
      </c>
      <c r="J101" s="208"/>
      <c r="P101" s="0"/>
    </row>
    <row r="102" customFormat="false" ht="18.45" hidden="false" customHeight="true" outlineLevel="0" collapsed="false">
      <c r="A102" s="0" t="n">
        <v>30</v>
      </c>
      <c r="B102" s="31" t="n">
        <v>39692</v>
      </c>
      <c r="C102" s="1" t="n">
        <v>0</v>
      </c>
      <c r="D102" s="29" t="s">
        <v>41</v>
      </c>
      <c r="E102" s="33" t="n">
        <f aca="false">IF(D102="totale",(C102/(A102*24))/F102,IF(D102="marché libre",(C102/(A102*24))/G102,"spécifier histo"))</f>
        <v>0</v>
      </c>
      <c r="F102" s="59" t="n">
        <v>1600</v>
      </c>
      <c r="G102" s="59" t="n">
        <f aca="false">F102-H102</f>
        <v>1600</v>
      </c>
      <c r="H102" s="58" t="n">
        <v>0</v>
      </c>
      <c r="J102" s="208"/>
      <c r="P102" s="0"/>
    </row>
    <row r="103" customFormat="false" ht="18.45" hidden="false" customHeight="true" outlineLevel="0" collapsed="false">
      <c r="A103" s="0" t="n">
        <v>31</v>
      </c>
      <c r="B103" s="34" t="n">
        <v>39722</v>
      </c>
      <c r="C103" s="1" t="n">
        <v>180135</v>
      </c>
      <c r="D103" s="29" t="s">
        <v>41</v>
      </c>
      <c r="E103" s="33" t="n">
        <f aca="false">IF(D103="totale",(C103/(A103*24))/F103,IF(D103="marché libre",(C103/(A103*24))/G103,"spécifier histo"))</f>
        <v>0.151323084677419</v>
      </c>
      <c r="F103" s="59" t="n">
        <v>1600</v>
      </c>
      <c r="G103" s="59" t="n">
        <f aca="false">F103-H103</f>
        <v>1600</v>
      </c>
      <c r="H103" s="58" t="n">
        <v>0</v>
      </c>
      <c r="J103" s="208"/>
      <c r="P103" s="0"/>
    </row>
    <row r="104" customFormat="false" ht="18.45" hidden="false" customHeight="true" outlineLevel="0" collapsed="false">
      <c r="A104" s="0" t="n">
        <v>30</v>
      </c>
      <c r="B104" s="31" t="n">
        <v>39753</v>
      </c>
      <c r="C104" s="1" t="n">
        <v>191787</v>
      </c>
      <c r="D104" s="29" t="s">
        <v>41</v>
      </c>
      <c r="E104" s="33" t="n">
        <f aca="false">IF(D104="totale",(C104/(A104*24))/F104,IF(D104="marché libre",(C104/(A104*24))/G104,"spécifier histo"))</f>
        <v>0.166481770833333</v>
      </c>
      <c r="F104" s="59" t="n">
        <v>1600</v>
      </c>
      <c r="G104" s="59" t="n">
        <f aca="false">F104-H104</f>
        <v>1600</v>
      </c>
      <c r="H104" s="58" t="n">
        <v>0</v>
      </c>
      <c r="J104" s="208"/>
      <c r="P104" s="0"/>
    </row>
    <row r="105" customFormat="false" ht="18.45" hidden="false" customHeight="true" outlineLevel="0" collapsed="false">
      <c r="A105" s="0" t="n">
        <v>31</v>
      </c>
      <c r="B105" s="34" t="n">
        <v>39783</v>
      </c>
      <c r="C105" s="1" t="n">
        <v>229344</v>
      </c>
      <c r="D105" s="29" t="s">
        <v>41</v>
      </c>
      <c r="E105" s="33" t="n">
        <f aca="false">IF(D105="totale",(C105/(A105*24))/F105,IF(D105="marché libre",(C105/(A105*24))/G105,"spécifier histo"))</f>
        <v>0.192661290322581</v>
      </c>
      <c r="F105" s="59" t="n">
        <v>1600</v>
      </c>
      <c r="G105" s="59" t="n">
        <f aca="false">F105-H105</f>
        <v>1600</v>
      </c>
      <c r="H105" s="58" t="n">
        <v>0</v>
      </c>
      <c r="J105" s="208"/>
      <c r="P105" s="0"/>
    </row>
    <row r="106" customFormat="false" ht="18.45" hidden="false" customHeight="true" outlineLevel="0" collapsed="false">
      <c r="A106" s="0" t="n">
        <v>31</v>
      </c>
      <c r="B106" s="31" t="n">
        <v>39814</v>
      </c>
      <c r="C106" s="1" t="n">
        <v>136418</v>
      </c>
      <c r="D106" s="29" t="s">
        <v>41</v>
      </c>
      <c r="E106" s="33" t="n">
        <f aca="false">IF(D106="totale",(C106/(A106*24))/F106,IF(D106="marché libre",(C106/(A106*24))/G106,"spécifier histo"))</f>
        <v>0.114598454301075</v>
      </c>
      <c r="F106" s="59" t="n">
        <v>1600</v>
      </c>
      <c r="G106" s="59" t="n">
        <f aca="false">F106-H106</f>
        <v>1600</v>
      </c>
      <c r="H106" s="58" t="n">
        <v>0</v>
      </c>
      <c r="J106" s="208"/>
      <c r="P106" s="0"/>
    </row>
    <row r="107" customFormat="false" ht="18.45" hidden="false" customHeight="true" outlineLevel="0" collapsed="false">
      <c r="A107" s="0" t="n">
        <v>28</v>
      </c>
      <c r="B107" s="34" t="n">
        <v>39845</v>
      </c>
      <c r="C107" s="1" t="n">
        <v>184957</v>
      </c>
      <c r="D107" s="29" t="s">
        <v>41</v>
      </c>
      <c r="E107" s="33" t="n">
        <f aca="false">IF(D107="totale",(C107/(A107*24))/F107,IF(D107="marché libre",(C107/(A107*24))/G107,"spécifier histo"))</f>
        <v>0.172021019345238</v>
      </c>
      <c r="F107" s="59" t="n">
        <v>1600</v>
      </c>
      <c r="G107" s="59" t="n">
        <f aca="false">F107-H107</f>
        <v>1600</v>
      </c>
      <c r="H107" s="58" t="n">
        <v>0</v>
      </c>
      <c r="J107" s="208"/>
    </row>
    <row r="108" customFormat="false" ht="18.45" hidden="false" customHeight="true" outlineLevel="0" collapsed="false">
      <c r="A108" s="0" t="n">
        <v>31</v>
      </c>
      <c r="B108" s="31" t="n">
        <v>39873</v>
      </c>
      <c r="C108" s="1" t="n">
        <v>531255</v>
      </c>
      <c r="D108" s="29" t="s">
        <v>41</v>
      </c>
      <c r="E108" s="33" t="n">
        <f aca="false">IF(D108="totale",(C108/(A108*24))/F108,IF(D108="marché libre",(C108/(A108*24))/G108,"spécifier histo"))</f>
        <v>0.446282762096774</v>
      </c>
      <c r="F108" s="59" t="n">
        <v>1600</v>
      </c>
      <c r="G108" s="59" t="n">
        <f aca="false">F108-H108</f>
        <v>1600</v>
      </c>
      <c r="H108" s="58" t="n">
        <v>0</v>
      </c>
      <c r="J108" s="208"/>
    </row>
    <row r="109" customFormat="false" ht="18.45" hidden="false" customHeight="true" outlineLevel="0" collapsed="false">
      <c r="A109" s="0" t="n">
        <v>30</v>
      </c>
      <c r="B109" s="34" t="n">
        <v>39904</v>
      </c>
      <c r="C109" s="1" t="n">
        <v>644891</v>
      </c>
      <c r="D109" s="29" t="s">
        <v>41</v>
      </c>
      <c r="E109" s="33" t="n">
        <f aca="false">IF(D109="totale",(C109/(A109*24))/F109,IF(D109="marché libre",(C109/(A109*24))/G109,"spécifier histo"))</f>
        <v>0.559801215277778</v>
      </c>
      <c r="F109" s="59" t="n">
        <v>1600</v>
      </c>
      <c r="G109" s="59" t="n">
        <f aca="false">F109-H109</f>
        <v>1600</v>
      </c>
      <c r="H109" s="58" t="n">
        <v>0</v>
      </c>
      <c r="J109" s="208"/>
    </row>
    <row r="110" customFormat="false" ht="18.45" hidden="false" customHeight="true" outlineLevel="0" collapsed="false">
      <c r="A110" s="0" t="n">
        <v>31</v>
      </c>
      <c r="B110" s="31" t="n">
        <v>39934</v>
      </c>
      <c r="C110" s="1" t="n">
        <v>158854</v>
      </c>
      <c r="D110" s="29" t="s">
        <v>41</v>
      </c>
      <c r="E110" s="33" t="n">
        <f aca="false">IF(D110="totale",(C110/(A110*24))/F110,IF(D110="marché libre",(C110/(A110*24))/G110,"spécifier histo"))</f>
        <v>0.133445900537634</v>
      </c>
      <c r="F110" s="59" t="n">
        <v>1600</v>
      </c>
      <c r="G110" s="59" t="n">
        <f aca="false">F110-H110</f>
        <v>1600</v>
      </c>
      <c r="H110" s="58" t="n">
        <v>0</v>
      </c>
      <c r="J110" s="208"/>
    </row>
    <row r="111" customFormat="false" ht="18.45" hidden="false" customHeight="true" outlineLevel="0" collapsed="false">
      <c r="A111" s="0" t="n">
        <v>30</v>
      </c>
      <c r="B111" s="34" t="n">
        <v>39965</v>
      </c>
      <c r="C111" s="1" t="n">
        <v>26061</v>
      </c>
      <c r="D111" s="29" t="s">
        <v>41</v>
      </c>
      <c r="E111" s="33" t="n">
        <f aca="false">IF(D111="totale",(C111/(A111*24))/F111,IF(D111="marché libre",(C111/(A111*24))/G111,"spécifier histo"))</f>
        <v>0.0226223958333333</v>
      </c>
      <c r="F111" s="59" t="n">
        <v>1600</v>
      </c>
      <c r="G111" s="59" t="n">
        <f aca="false">F111-H111</f>
        <v>1600</v>
      </c>
      <c r="H111" s="58" t="n">
        <v>0</v>
      </c>
      <c r="J111" s="208"/>
    </row>
    <row r="112" customFormat="false" ht="18.45" hidden="false" customHeight="true" outlineLevel="0" collapsed="false">
      <c r="A112" s="0" t="n">
        <v>31</v>
      </c>
      <c r="B112" s="31" t="n">
        <v>39995</v>
      </c>
      <c r="C112" s="1" t="n">
        <v>0</v>
      </c>
      <c r="D112" s="29" t="s">
        <v>41</v>
      </c>
      <c r="E112" s="33" t="n">
        <f aca="false">IF(D112="totale",(C112/(A112*24))/F112,IF(D112="marché libre",(C112/(A112*24))/G112,"spécifier histo"))</f>
        <v>0</v>
      </c>
      <c r="F112" s="59" t="n">
        <v>1600</v>
      </c>
      <c r="G112" s="59" t="n">
        <f aca="false">F112-H112</f>
        <v>1600</v>
      </c>
      <c r="H112" s="58" t="n">
        <v>0</v>
      </c>
      <c r="J112" s="208"/>
    </row>
    <row r="113" customFormat="false" ht="18.45" hidden="false" customHeight="true" outlineLevel="0" collapsed="false">
      <c r="A113" s="0" t="n">
        <v>31</v>
      </c>
      <c r="B113" s="34" t="n">
        <v>40026</v>
      </c>
      <c r="C113" s="1" t="n">
        <v>0</v>
      </c>
      <c r="D113" s="29" t="s">
        <v>41</v>
      </c>
      <c r="E113" s="33" t="n">
        <f aca="false">IF(D113="totale",(C113/(A113*24))/F113,IF(D113="marché libre",(C113/(A113*24))/G113,"spécifier histo"))</f>
        <v>0</v>
      </c>
      <c r="F113" s="59" t="n">
        <v>1600</v>
      </c>
      <c r="G113" s="59" t="n">
        <f aca="false">F113-H113</f>
        <v>1600</v>
      </c>
      <c r="H113" s="58" t="n">
        <v>0</v>
      </c>
      <c r="J113" s="208"/>
    </row>
    <row r="114" customFormat="false" ht="18.45" hidden="false" customHeight="true" outlineLevel="0" collapsed="false">
      <c r="A114" s="0" t="n">
        <v>30</v>
      </c>
      <c r="B114" s="31" t="n">
        <v>40057</v>
      </c>
      <c r="C114" s="1" t="n">
        <v>0</v>
      </c>
      <c r="D114" s="29" t="s">
        <v>41</v>
      </c>
      <c r="E114" s="33" t="n">
        <f aca="false">IF(D114="totale",(C114/(A114*24))/F114,IF(D114="marché libre",(C114/(A114*24))/G114,"spécifier histo"))</f>
        <v>0</v>
      </c>
      <c r="F114" s="59" t="n">
        <v>1600</v>
      </c>
      <c r="G114" s="59" t="n">
        <f aca="false">F114-H114</f>
        <v>1600</v>
      </c>
      <c r="H114" s="58" t="n">
        <v>0</v>
      </c>
      <c r="J114" s="208" t="s">
        <v>249</v>
      </c>
    </row>
    <row r="115" customFormat="false" ht="18.45" hidden="false" customHeight="true" outlineLevel="0" collapsed="false">
      <c r="A115" s="0" t="n">
        <v>31</v>
      </c>
      <c r="B115" s="34" t="n">
        <v>40087</v>
      </c>
      <c r="C115" s="1" t="n">
        <v>15069</v>
      </c>
      <c r="D115" s="29" t="s">
        <v>41</v>
      </c>
      <c r="E115" s="33" t="n">
        <f aca="false">IF(D115="totale",(C115/(A115*24))/F115,IF(D115="marché libre",(C115/(A115*24))/G115,"spécifier histo"))</f>
        <v>0.0126587701612903</v>
      </c>
      <c r="F115" s="59" t="n">
        <v>1600</v>
      </c>
      <c r="G115" s="59" t="n">
        <f aca="false">F115-H115</f>
        <v>1600</v>
      </c>
      <c r="H115" s="58" t="n">
        <v>0</v>
      </c>
      <c r="J115" s="208" t="s">
        <v>250</v>
      </c>
    </row>
    <row r="116" customFormat="false" ht="18.45" hidden="false" customHeight="true" outlineLevel="0" collapsed="false">
      <c r="A116" s="0" t="n">
        <v>30</v>
      </c>
      <c r="B116" s="31" t="n">
        <v>40118</v>
      </c>
      <c r="C116" s="1" t="n">
        <v>414042</v>
      </c>
      <c r="D116" s="29" t="s">
        <v>41</v>
      </c>
      <c r="E116" s="33" t="n">
        <f aca="false">IF(D116="totale",(C116/(A116*24))/F116,IF(D116="marché libre",(C116/(A116*24))/G116,"spécifier histo"))</f>
        <v>0.359411458333333</v>
      </c>
      <c r="F116" s="59" t="n">
        <v>1600</v>
      </c>
      <c r="G116" s="59" t="n">
        <f aca="false">F116-H116</f>
        <v>1600</v>
      </c>
      <c r="H116" s="58" t="n">
        <v>0</v>
      </c>
      <c r="J116" s="208" t="s">
        <v>251</v>
      </c>
    </row>
    <row r="117" customFormat="false" ht="18.45" hidden="false" customHeight="true" outlineLevel="0" collapsed="false">
      <c r="A117" s="0" t="n">
        <v>31</v>
      </c>
      <c r="B117" s="34" t="n">
        <v>40148</v>
      </c>
      <c r="C117" s="1" t="n">
        <v>565228</v>
      </c>
      <c r="D117" s="29" t="s">
        <v>41</v>
      </c>
      <c r="E117" s="33" t="n">
        <f aca="false">IF(D117="totale",(C117/(A117*24))/F117,IF(D117="marché libre",(C117/(A117*24))/G117,"spécifier histo"))</f>
        <v>0.474821908602151</v>
      </c>
      <c r="F117" s="59" t="n">
        <v>1600</v>
      </c>
      <c r="G117" s="59" t="n">
        <f aca="false">F117-H117</f>
        <v>1600</v>
      </c>
      <c r="H117" s="58" t="n">
        <v>0</v>
      </c>
      <c r="J117" s="208" t="s">
        <v>251</v>
      </c>
    </row>
    <row r="118" customFormat="false" ht="18.45" hidden="false" customHeight="true" outlineLevel="0" collapsed="false">
      <c r="A118" s="0" t="n">
        <v>31</v>
      </c>
      <c r="B118" s="31" t="n">
        <v>40179</v>
      </c>
      <c r="C118" s="1" t="n">
        <v>265014</v>
      </c>
      <c r="D118" s="29" t="s">
        <v>41</v>
      </c>
      <c r="E118" s="33" t="n">
        <f aca="false">IF(D118="totale",(C118/(A118*24))/F118,IF(D118="marché libre",(C118/(A118*24))/G118,"spécifier histo"))</f>
        <v>0.222626008064516</v>
      </c>
      <c r="F118" s="59" t="n">
        <v>1600</v>
      </c>
      <c r="G118" s="59" t="n">
        <f aca="false">F118-H118</f>
        <v>1600</v>
      </c>
      <c r="H118" s="58" t="n">
        <v>0</v>
      </c>
      <c r="J118" s="208" t="s">
        <v>252</v>
      </c>
    </row>
    <row r="119" customFormat="false" ht="18.45" hidden="false" customHeight="true" outlineLevel="0" collapsed="false">
      <c r="A119" s="0" t="n">
        <v>28</v>
      </c>
      <c r="B119" s="34" t="n">
        <v>40210</v>
      </c>
      <c r="C119" s="1" t="n">
        <v>339500</v>
      </c>
      <c r="D119" s="29" t="s">
        <v>41</v>
      </c>
      <c r="E119" s="33" t="n">
        <f aca="false">IF(D119="totale",(C119/(A119*24))/F119,IF(D119="marché libre",(C119/(A119*24))/G119,"spécifier histo"))</f>
        <v>0.315755208333333</v>
      </c>
      <c r="F119" s="59" t="n">
        <v>1600</v>
      </c>
      <c r="G119" s="59" t="n">
        <f aca="false">F119-H119</f>
        <v>1600</v>
      </c>
      <c r="H119" s="58" t="n">
        <v>0</v>
      </c>
      <c r="J119" s="208" t="s">
        <v>253</v>
      </c>
    </row>
    <row r="120" customFormat="false" ht="18.45" hidden="false" customHeight="true" outlineLevel="0" collapsed="false">
      <c r="A120" s="0" t="n">
        <v>31</v>
      </c>
      <c r="B120" s="31" t="n">
        <v>40238</v>
      </c>
      <c r="C120" s="1" t="n">
        <v>537026</v>
      </c>
      <c r="D120" s="29" t="s">
        <v>41</v>
      </c>
      <c r="E120" s="33" t="n">
        <f aca="false">IF(D120="totale",(C120/(A120*24))/F120,IF(D120="marché libre",(C120/(A120*24))/G120,"spécifier histo"))</f>
        <v>0.451130712365591</v>
      </c>
      <c r="F120" s="59" t="n">
        <v>1600</v>
      </c>
      <c r="G120" s="59" t="n">
        <f aca="false">F120-H120</f>
        <v>1600</v>
      </c>
      <c r="H120" s="58" t="n">
        <v>0</v>
      </c>
      <c r="J120" s="208"/>
    </row>
    <row r="121" customFormat="false" ht="18.45" hidden="false" customHeight="true" outlineLevel="0" collapsed="false">
      <c r="A121" s="0" t="n">
        <v>30</v>
      </c>
      <c r="B121" s="34" t="n">
        <v>40269</v>
      </c>
      <c r="C121" s="1" t="n">
        <v>418101</v>
      </c>
      <c r="D121" s="29" t="s">
        <v>41</v>
      </c>
      <c r="E121" s="33" t="n">
        <f aca="false">IF(D121="totale",(C121/(A121*24))/F121,IF(D121="marché libre",(C121/(A121*24))/G121,"spécifier histo"))</f>
        <v>0.362934895833333</v>
      </c>
      <c r="F121" s="59" t="n">
        <v>1600</v>
      </c>
      <c r="G121" s="59" t="n">
        <f aca="false">F121-H121</f>
        <v>1600</v>
      </c>
      <c r="H121" s="58" t="n">
        <v>0</v>
      </c>
      <c r="J121" s="208"/>
    </row>
    <row r="122" customFormat="false" ht="18.45" hidden="false" customHeight="true" outlineLevel="0" collapsed="false">
      <c r="A122" s="0" t="n">
        <v>31</v>
      </c>
      <c r="B122" s="31" t="n">
        <v>40299</v>
      </c>
      <c r="C122" s="1" t="n">
        <v>215432</v>
      </c>
      <c r="D122" s="29" t="s">
        <v>41</v>
      </c>
      <c r="E122" s="33" t="n">
        <f aca="false">IF(D122="totale",(C122/(A122*24))/F122,IF(D122="marché libre",(C122/(A122*24))/G122,"spécifier histo"))</f>
        <v>0.180974462365591</v>
      </c>
      <c r="F122" s="59" t="n">
        <v>1600</v>
      </c>
      <c r="G122" s="59" t="n">
        <f aca="false">F122-H122</f>
        <v>1600</v>
      </c>
      <c r="H122" s="58" t="n">
        <v>0</v>
      </c>
      <c r="J122" s="208"/>
    </row>
    <row r="123" customFormat="false" ht="18.45" hidden="false" customHeight="true" outlineLevel="0" collapsed="false">
      <c r="A123" s="0" t="n">
        <v>30</v>
      </c>
      <c r="B123" s="34" t="n">
        <v>40330</v>
      </c>
      <c r="C123" s="1" t="n">
        <v>241411</v>
      </c>
      <c r="D123" s="29" t="s">
        <v>41</v>
      </c>
      <c r="E123" s="33" t="n">
        <f aca="false">IF(D123="totale",(C123/(A123*24))/F123,IF(D123="marché libre",(C123/(A123*24))/G123,"spécifier histo"))</f>
        <v>0.209558159722222</v>
      </c>
      <c r="F123" s="59" t="n">
        <v>1600</v>
      </c>
      <c r="G123" s="59" t="n">
        <f aca="false">F123-H123</f>
        <v>1600</v>
      </c>
      <c r="H123" s="58" t="n">
        <v>0</v>
      </c>
      <c r="J123" s="208"/>
    </row>
    <row r="124" customFormat="false" ht="18.45" hidden="false" customHeight="true" outlineLevel="0" collapsed="false">
      <c r="A124" s="0" t="n">
        <v>31</v>
      </c>
      <c r="B124" s="31" t="n">
        <v>40360</v>
      </c>
      <c r="C124" s="1" t="n">
        <v>36390</v>
      </c>
      <c r="D124" s="29" t="s">
        <v>41</v>
      </c>
      <c r="E124" s="33" t="n">
        <f aca="false">IF(D124="totale",(C124/(A124*24))/F124,IF(D124="marché libre",(C124/(A124*24))/G124,"spécifier histo"))</f>
        <v>0.0305695564516129</v>
      </c>
      <c r="F124" s="59" t="n">
        <v>1600</v>
      </c>
      <c r="G124" s="59" t="n">
        <f aca="false">F124-H124</f>
        <v>1600</v>
      </c>
      <c r="H124" s="58" t="n">
        <v>0</v>
      </c>
      <c r="J124" s="208" t="s">
        <v>254</v>
      </c>
    </row>
    <row r="125" customFormat="false" ht="18.45" hidden="false" customHeight="true" outlineLevel="0" collapsed="false">
      <c r="A125" s="0" t="n">
        <v>31</v>
      </c>
      <c r="B125" s="34" t="n">
        <v>40391</v>
      </c>
      <c r="C125" s="1" t="n">
        <v>99323</v>
      </c>
      <c r="D125" s="29" t="s">
        <v>41</v>
      </c>
      <c r="E125" s="33" t="n">
        <f aca="false">IF(D125="totale",(C125/(A125*24))/F125,IF(D125="marché libre",(C125/(A125*24))/G125,"spécifier histo"))</f>
        <v>0.0834366599462366</v>
      </c>
      <c r="F125" s="59" t="n">
        <v>1600</v>
      </c>
      <c r="G125" s="59" t="n">
        <f aca="false">F125-H125</f>
        <v>1600</v>
      </c>
      <c r="H125" s="58" t="n">
        <v>0</v>
      </c>
      <c r="J125" s="208" t="s">
        <v>255</v>
      </c>
    </row>
    <row r="126" customFormat="false" ht="18.45" hidden="false" customHeight="true" outlineLevel="0" collapsed="false">
      <c r="A126" s="0" t="n">
        <v>30</v>
      </c>
      <c r="B126" s="31" t="n">
        <v>40422</v>
      </c>
      <c r="C126" s="1" t="n">
        <v>34223</v>
      </c>
      <c r="D126" s="29" t="s">
        <v>41</v>
      </c>
      <c r="E126" s="33" t="n">
        <f aca="false">IF(D126="totale",(C126/(A126*24))/F126,IF(D126="marché libre",(C126/(A126*24))/G126,"spécifier histo"))</f>
        <v>0.0297074652777778</v>
      </c>
      <c r="F126" s="59" t="n">
        <v>1600</v>
      </c>
      <c r="G126" s="59" t="n">
        <f aca="false">F126-H126</f>
        <v>1600</v>
      </c>
      <c r="H126" s="58" t="n">
        <v>0</v>
      </c>
      <c r="J126" s="208" t="s">
        <v>256</v>
      </c>
    </row>
    <row r="127" customFormat="false" ht="18.45" hidden="false" customHeight="true" outlineLevel="0" collapsed="false">
      <c r="A127" s="0" t="n">
        <v>31</v>
      </c>
      <c r="B127" s="34" t="n">
        <v>40452</v>
      </c>
      <c r="C127" s="1" t="n">
        <v>61684</v>
      </c>
      <c r="D127" s="29" t="s">
        <v>41</v>
      </c>
      <c r="E127" s="33" t="n">
        <f aca="false">IF(D127="totale",(C127/(A127*24))/F127,IF(D127="marché libre",(C127/(A127*24))/G127,"spécifier histo"))</f>
        <v>0.051817876344086</v>
      </c>
      <c r="F127" s="59" t="n">
        <v>1600</v>
      </c>
      <c r="G127" s="59" t="n">
        <f aca="false">F127-H127</f>
        <v>1600</v>
      </c>
      <c r="H127" s="58" t="n">
        <v>0</v>
      </c>
      <c r="J127" s="208" t="s">
        <v>257</v>
      </c>
    </row>
    <row r="128" customFormat="false" ht="18.45" hidden="false" customHeight="true" outlineLevel="0" collapsed="false">
      <c r="A128" s="0" t="n">
        <v>30</v>
      </c>
      <c r="B128" s="31" t="n">
        <v>40483</v>
      </c>
      <c r="C128" s="1" t="n">
        <v>289249</v>
      </c>
      <c r="D128" s="29" t="s">
        <v>41</v>
      </c>
      <c r="E128" s="33" t="n">
        <f aca="false">IF(D128="totale",(C128/(A128*24))/F128,IF(D128="marché libre",(C128/(A128*24))/G128,"spécifier histo"))</f>
        <v>0.251084201388889</v>
      </c>
      <c r="F128" s="59" t="n">
        <v>1600</v>
      </c>
      <c r="G128" s="59" t="n">
        <f aca="false">F128-H128</f>
        <v>1600</v>
      </c>
      <c r="H128" s="58" t="n">
        <v>0</v>
      </c>
      <c r="J128" s="0"/>
    </row>
    <row r="129" customFormat="false" ht="18.45" hidden="false" customHeight="true" outlineLevel="0" collapsed="false">
      <c r="A129" s="0" t="n">
        <v>31</v>
      </c>
      <c r="B129" s="34" t="n">
        <v>40513</v>
      </c>
      <c r="C129" s="1" t="n">
        <v>407855</v>
      </c>
      <c r="D129" s="29" t="s">
        <v>41</v>
      </c>
      <c r="E129" s="33" t="n">
        <f aca="false">IF(D129="totale",(C129/(A129*24))/F129,IF(D129="marché libre",(C129/(A129*24))/G129,"spécifier histo"))</f>
        <v>0.342620127688172</v>
      </c>
      <c r="F129" s="59" t="n">
        <v>1600</v>
      </c>
      <c r="G129" s="59" t="n">
        <f aca="false">F129-H129</f>
        <v>1600</v>
      </c>
      <c r="H129" s="58" t="n">
        <v>0</v>
      </c>
      <c r="J129" s="242" t="s">
        <v>238</v>
      </c>
    </row>
    <row r="130" customFormat="false" ht="18.45" hidden="false" customHeight="true" outlineLevel="0" collapsed="false">
      <c r="A130" s="0" t="n">
        <v>31</v>
      </c>
      <c r="B130" s="31" t="n">
        <v>40544</v>
      </c>
      <c r="C130" s="1" t="n">
        <v>425890</v>
      </c>
      <c r="D130" s="29" t="s">
        <v>41</v>
      </c>
      <c r="E130" s="33" t="n">
        <f aca="false">IF(D130="totale",(C130/(A130*24))/F130,IF(D130="marché libre",(C130/(A130*24))/G130,"spécifier histo"))</f>
        <v>0.357770497311828</v>
      </c>
      <c r="F130" s="59" t="n">
        <v>1600</v>
      </c>
      <c r="G130" s="59" t="n">
        <f aca="false">F130-H130</f>
        <v>1600</v>
      </c>
      <c r="H130" s="58" t="n">
        <v>0</v>
      </c>
      <c r="J130" s="243" t="s">
        <v>258</v>
      </c>
    </row>
    <row r="131" customFormat="false" ht="18.45" hidden="false" customHeight="true" outlineLevel="0" collapsed="false">
      <c r="A131" s="0" t="n">
        <v>28</v>
      </c>
      <c r="B131" s="34" t="n">
        <v>40575</v>
      </c>
      <c r="C131" s="1" t="n">
        <v>55339</v>
      </c>
      <c r="D131" s="29" t="s">
        <v>41</v>
      </c>
      <c r="E131" s="33" t="n">
        <f aca="false">IF(D131="totale",(C131/(A131*24))/F131,IF(D131="marché libre",(C131/(A131*24))/G131,"spécifier histo"))</f>
        <v>0.0514685639880952</v>
      </c>
      <c r="F131" s="59" t="n">
        <v>1600</v>
      </c>
      <c r="G131" s="59" t="n">
        <f aca="false">F131-H131</f>
        <v>1600</v>
      </c>
      <c r="H131" s="58" t="n">
        <v>0</v>
      </c>
      <c r="J131" s="243" t="s">
        <v>259</v>
      </c>
    </row>
    <row r="132" customFormat="false" ht="18.45" hidden="false" customHeight="true" outlineLevel="0" collapsed="false">
      <c r="A132" s="0" t="n">
        <v>31</v>
      </c>
      <c r="B132" s="31" t="n">
        <v>40603</v>
      </c>
      <c r="C132" s="1" t="n">
        <v>268244</v>
      </c>
      <c r="D132" s="29" t="s">
        <v>41</v>
      </c>
      <c r="E132" s="33" t="n">
        <f aca="false">IF(D132="totale",(C132/(A132*24))/F132,IF(D132="marché libre",(C132/(A132*24))/G132,"spécifier histo"))</f>
        <v>0.22533938172043</v>
      </c>
      <c r="F132" s="59" t="n">
        <v>1600</v>
      </c>
      <c r="G132" s="59" t="n">
        <f aca="false">F132-H132</f>
        <v>1600</v>
      </c>
      <c r="H132" s="58" t="n">
        <v>0</v>
      </c>
      <c r="J132" s="243" t="s">
        <v>260</v>
      </c>
    </row>
    <row r="133" customFormat="false" ht="18.45" hidden="false" customHeight="true" outlineLevel="0" collapsed="false">
      <c r="A133" s="0" t="n">
        <v>30</v>
      </c>
      <c r="B133" s="34" t="n">
        <v>40634</v>
      </c>
      <c r="C133" s="1" t="n">
        <v>67016</v>
      </c>
      <c r="D133" s="29" t="s">
        <v>41</v>
      </c>
      <c r="E133" s="33" t="n">
        <f aca="false">IF(D133="totale",(C133/(A133*24))/F133,IF(D133="marché libre",(C133/(A133*24))/G133,"spécifier histo"))</f>
        <v>0.0581736111111111</v>
      </c>
      <c r="F133" s="59" t="n">
        <v>1600</v>
      </c>
      <c r="G133" s="59" t="n">
        <f aca="false">F133-H133</f>
        <v>1600</v>
      </c>
      <c r="H133" s="58" t="n">
        <v>0</v>
      </c>
      <c r="J133" s="243" t="s">
        <v>261</v>
      </c>
    </row>
    <row r="134" customFormat="false" ht="18.45" hidden="false" customHeight="true" outlineLevel="0" collapsed="false">
      <c r="A134" s="0" t="n">
        <v>31</v>
      </c>
      <c r="B134" s="31" t="n">
        <v>40664</v>
      </c>
      <c r="C134" s="1" t="n">
        <v>0</v>
      </c>
      <c r="D134" s="29" t="s">
        <v>41</v>
      </c>
      <c r="E134" s="33" t="n">
        <f aca="false">IF(D134="totale",(C134/(A134*24))/F134,IF(D134="marché libre",(C134/(A134*24))/G134,"spécifier histo"))</f>
        <v>0</v>
      </c>
      <c r="F134" s="59" t="n">
        <v>1600</v>
      </c>
      <c r="G134" s="59" t="n">
        <f aca="false">F134-H134</f>
        <v>1600</v>
      </c>
      <c r="H134" s="58" t="n">
        <v>0</v>
      </c>
      <c r="J134" s="243" t="s">
        <v>262</v>
      </c>
    </row>
    <row r="135" customFormat="false" ht="18.45" hidden="false" customHeight="true" outlineLevel="0" collapsed="false">
      <c r="A135" s="0" t="n">
        <v>30</v>
      </c>
      <c r="B135" s="34" t="n">
        <v>40695</v>
      </c>
      <c r="C135" s="1" t="n">
        <v>62756</v>
      </c>
      <c r="D135" s="29" t="s">
        <v>41</v>
      </c>
      <c r="E135" s="33" t="n">
        <f aca="false">IF(D135="totale",(C135/(A135*24))/F135,IF(D135="marché libre",(C135/(A135*24))/G135,"spécifier histo"))</f>
        <v>0.0544756944444444</v>
      </c>
      <c r="F135" s="59" t="n">
        <v>1600</v>
      </c>
      <c r="G135" s="59" t="n">
        <f aca="false">F135-H135</f>
        <v>1600</v>
      </c>
      <c r="H135" s="58" t="n">
        <v>0</v>
      </c>
      <c r="J135" s="243" t="s">
        <v>263</v>
      </c>
    </row>
    <row r="136" customFormat="false" ht="18.45" hidden="false" customHeight="true" outlineLevel="0" collapsed="false">
      <c r="A136" s="0" t="n">
        <v>31</v>
      </c>
      <c r="B136" s="31" t="n">
        <v>40725</v>
      </c>
      <c r="C136" s="1" t="n">
        <v>184680</v>
      </c>
      <c r="D136" s="29" t="s">
        <v>41</v>
      </c>
      <c r="E136" s="33" t="n">
        <f aca="false">IF(D136="totale",(C136/(A136*24))/F136,IF(D136="marché libre",(C136/(A136*24))/G136,"spécifier histo"))</f>
        <v>0.155141129032258</v>
      </c>
      <c r="F136" s="59" t="n">
        <v>1600</v>
      </c>
      <c r="G136" s="59" t="n">
        <f aca="false">F136-H136</f>
        <v>1600</v>
      </c>
      <c r="H136" s="58" t="n">
        <v>0</v>
      </c>
      <c r="J136" s="243" t="s">
        <v>264</v>
      </c>
    </row>
    <row r="137" customFormat="false" ht="18.45" hidden="false" customHeight="true" outlineLevel="0" collapsed="false">
      <c r="A137" s="0" t="n">
        <v>31</v>
      </c>
      <c r="B137" s="34" t="n">
        <v>40756</v>
      </c>
      <c r="C137" s="1" t="n">
        <v>24258</v>
      </c>
      <c r="D137" s="29" t="s">
        <v>41</v>
      </c>
      <c r="E137" s="33" t="n">
        <f aca="false">IF(D137="totale",(C137/(A137*24))/F137,IF(D137="marché libre",(C137/(A137*24))/G137,"spécifier histo"))</f>
        <v>0.0203780241935484</v>
      </c>
      <c r="F137" s="59" t="n">
        <v>1600</v>
      </c>
      <c r="G137" s="59" t="n">
        <f aca="false">F137-H137</f>
        <v>1600</v>
      </c>
      <c r="H137" s="58" t="n">
        <v>0</v>
      </c>
      <c r="J137" s="243" t="s">
        <v>265</v>
      </c>
    </row>
    <row r="138" customFormat="false" ht="18.45" hidden="false" customHeight="true" outlineLevel="0" collapsed="false">
      <c r="A138" s="0" t="n">
        <v>30</v>
      </c>
      <c r="B138" s="31" t="n">
        <v>40787</v>
      </c>
      <c r="C138" s="1" t="n">
        <v>41001</v>
      </c>
      <c r="D138" s="29" t="s">
        <v>41</v>
      </c>
      <c r="E138" s="33" t="n">
        <f aca="false">IF(D138="totale",(C138/(A138*24))/F138,IF(D138="marché libre",(C138/(A138*24))/G138,"spécifier histo"))</f>
        <v>0.0355911458333333</v>
      </c>
      <c r="F138" s="59" t="n">
        <v>1600</v>
      </c>
      <c r="G138" s="59" t="n">
        <f aca="false">F138-H138</f>
        <v>1600</v>
      </c>
      <c r="H138" s="58" t="n">
        <v>0</v>
      </c>
      <c r="J138" s="243" t="s">
        <v>266</v>
      </c>
    </row>
    <row r="139" customFormat="false" ht="18.45" hidden="false" customHeight="true" outlineLevel="0" collapsed="false">
      <c r="A139" s="0" t="n">
        <v>31</v>
      </c>
      <c r="B139" s="34" t="n">
        <v>40817</v>
      </c>
      <c r="C139" s="1" t="n">
        <v>70469</v>
      </c>
      <c r="D139" s="29" t="s">
        <v>41</v>
      </c>
      <c r="E139" s="33" t="n">
        <f aca="false">IF(D139="totale",(C139/(A139*24))/F139,IF(D139="marché libre",(C139/(A139*24))/G139,"spécifier histo"))</f>
        <v>0.059197748655914</v>
      </c>
      <c r="F139" s="59" t="n">
        <v>1600</v>
      </c>
      <c r="G139" s="59" t="n">
        <f aca="false">F139-H139</f>
        <v>1600</v>
      </c>
      <c r="H139" s="58" t="n">
        <v>0</v>
      </c>
      <c r="J139" s="243" t="s">
        <v>267</v>
      </c>
    </row>
    <row r="140" customFormat="false" ht="18.45" hidden="false" customHeight="true" outlineLevel="0" collapsed="false">
      <c r="A140" s="0" t="n">
        <v>30</v>
      </c>
      <c r="B140" s="31" t="n">
        <v>40848</v>
      </c>
      <c r="C140" s="1" t="n">
        <v>44525</v>
      </c>
      <c r="D140" s="29" t="s">
        <v>41</v>
      </c>
      <c r="E140" s="33" t="n">
        <f aca="false">IF(D140="totale",(C140/(A140*24))/F140,IF(D140="marché libre",(C140/(A140*24))/G140,"spécifier histo"))</f>
        <v>0.0386501736111111</v>
      </c>
      <c r="F140" s="59" t="n">
        <v>1600</v>
      </c>
      <c r="G140" s="59" t="n">
        <f aca="false">F140-H140</f>
        <v>1600</v>
      </c>
      <c r="H140" s="58" t="n">
        <v>0</v>
      </c>
      <c r="J140" s="0"/>
      <c r="K140" s="0"/>
      <c r="L140" s="0"/>
      <c r="M140" s="0"/>
      <c r="N140" s="0"/>
      <c r="O140" s="0"/>
      <c r="P140" s="0"/>
      <c r="Q140" s="0"/>
      <c r="R140" s="0"/>
      <c r="S140" s="0"/>
      <c r="T140" s="0"/>
    </row>
    <row r="141" customFormat="false" ht="18.45" hidden="false" customHeight="true" outlineLevel="0" collapsed="false">
      <c r="A141" s="0" t="n">
        <v>31</v>
      </c>
      <c r="B141" s="34" t="n">
        <v>40878</v>
      </c>
      <c r="C141" s="1" t="n">
        <v>583263</v>
      </c>
      <c r="D141" s="29" t="s">
        <v>41</v>
      </c>
      <c r="E141" s="33" t="n">
        <f aca="false">IF(D141="totale",(C141/(A141*24))/F141,IF(D141="marché libre",(C141/(A141*24))/G141,"spécifier histo"))</f>
        <v>0.489972278225806</v>
      </c>
      <c r="F141" s="59" t="n">
        <v>1600</v>
      </c>
      <c r="G141" s="59" t="n">
        <f aca="false">F141-H141</f>
        <v>1600</v>
      </c>
      <c r="H141" s="58" t="n">
        <v>0</v>
      </c>
      <c r="J141" s="0"/>
      <c r="K141" s="0"/>
      <c r="L141" s="0"/>
      <c r="M141" s="0"/>
      <c r="N141" s="0"/>
      <c r="O141" s="0"/>
      <c r="P141" s="0"/>
      <c r="Q141" s="0"/>
      <c r="R141" s="0"/>
      <c r="S141" s="0"/>
      <c r="T141" s="0"/>
    </row>
    <row r="142" customFormat="false" ht="18.45" hidden="false" customHeight="true" outlineLevel="0" collapsed="false">
      <c r="A142" s="0" t="n">
        <v>31</v>
      </c>
      <c r="B142" s="31" t="n">
        <v>40909</v>
      </c>
      <c r="C142" s="1" t="n">
        <v>569469</v>
      </c>
      <c r="D142" s="29" t="s">
        <v>41</v>
      </c>
      <c r="E142" s="33" t="n">
        <f aca="false">IF(D142="totale",(C142/(A142*24))/F142,IF(D142="marché libre",(C142/(A142*24))/G142,"spécifier histo"))</f>
        <v>0.478384576612903</v>
      </c>
      <c r="F142" s="59" t="n">
        <v>1600</v>
      </c>
      <c r="G142" s="59" t="n">
        <f aca="false">F142-H142</f>
        <v>1600</v>
      </c>
      <c r="H142" s="58" t="n">
        <v>0</v>
      </c>
      <c r="J142" s="0"/>
      <c r="K142" s="0"/>
      <c r="L142" s="0"/>
      <c r="M142" s="0"/>
      <c r="N142" s="0"/>
      <c r="O142" s="0"/>
      <c r="P142" s="0"/>
      <c r="Q142" s="0"/>
      <c r="R142" s="0"/>
      <c r="S142" s="0"/>
      <c r="T142" s="0"/>
    </row>
    <row r="143" customFormat="false" ht="18.45" hidden="false" customHeight="true" outlineLevel="0" collapsed="false">
      <c r="A143" s="0" t="n">
        <v>28</v>
      </c>
      <c r="B143" s="34" t="n">
        <v>40940</v>
      </c>
      <c r="C143" s="1" t="n">
        <v>70418</v>
      </c>
      <c r="D143" s="29" t="s">
        <v>41</v>
      </c>
      <c r="E143" s="33" t="n">
        <f aca="false">IF(D143="totale",(C143/(A143*24))/F143,IF(D143="marché libre",(C143/(A143*24))/G143,"spécifier histo"))</f>
        <v>0.0654929315476191</v>
      </c>
      <c r="F143" s="59" t="n">
        <v>1600</v>
      </c>
      <c r="G143" s="59" t="n">
        <f aca="false">F143-H143</f>
        <v>1600</v>
      </c>
      <c r="H143" s="58" t="n">
        <v>0</v>
      </c>
      <c r="J143" s="0"/>
      <c r="K143" s="0"/>
      <c r="L143" s="0"/>
      <c r="M143" s="0"/>
      <c r="N143" s="0"/>
      <c r="O143" s="0"/>
      <c r="P143" s="0"/>
      <c r="Q143" s="0"/>
      <c r="R143" s="0"/>
      <c r="S143" s="0"/>
      <c r="T143" s="0"/>
    </row>
    <row r="144" customFormat="false" ht="18.45" hidden="false" customHeight="true" outlineLevel="0" collapsed="false">
      <c r="A144" s="0" t="n">
        <v>31</v>
      </c>
      <c r="B144" s="31" t="n">
        <v>40969</v>
      </c>
      <c r="C144" s="1" t="n">
        <v>455619</v>
      </c>
      <c r="D144" s="29" t="s">
        <v>41</v>
      </c>
      <c r="E144" s="33" t="n">
        <f aca="false">IF(D144="totale",(C144/(A144*24))/F144,IF(D144="marché libre",(C144/(A144*24))/G144,"spécifier histo"))</f>
        <v>0.382744455645161</v>
      </c>
      <c r="F144" s="59" t="n">
        <v>1600</v>
      </c>
      <c r="G144" s="59" t="n">
        <f aca="false">F144-H144</f>
        <v>1600</v>
      </c>
      <c r="H144" s="58" t="n">
        <v>0</v>
      </c>
      <c r="J144" s="0"/>
      <c r="K144" s="0"/>
      <c r="L144" s="0"/>
      <c r="M144" s="0"/>
      <c r="N144" s="0"/>
      <c r="O144" s="0"/>
      <c r="P144" s="0"/>
      <c r="Q144" s="0"/>
      <c r="R144" s="0"/>
      <c r="S144" s="0"/>
      <c r="T144" s="0"/>
    </row>
    <row r="145" customFormat="false" ht="18.45" hidden="false" customHeight="true" outlineLevel="0" collapsed="false">
      <c r="A145" s="0" t="n">
        <v>30</v>
      </c>
      <c r="B145" s="34" t="n">
        <v>41000</v>
      </c>
      <c r="C145" s="1" t="n">
        <v>428587</v>
      </c>
      <c r="D145" s="29" t="s">
        <v>41</v>
      </c>
      <c r="E145" s="33" t="n">
        <f aca="false">IF(D145="totale",(C145/(A145*24))/F145,IF(D145="marché libre",(C145/(A145*24))/G145,"spécifier histo"))</f>
        <v>0.372037326388889</v>
      </c>
      <c r="F145" s="59" t="n">
        <v>1600</v>
      </c>
      <c r="G145" s="59" t="n">
        <f aca="false">F145-H145</f>
        <v>1600</v>
      </c>
      <c r="H145" s="58" t="n">
        <v>0</v>
      </c>
      <c r="J145" s="0"/>
      <c r="K145" s="0"/>
      <c r="L145" s="0"/>
      <c r="M145" s="0"/>
      <c r="N145" s="0"/>
      <c r="O145" s="0"/>
      <c r="P145" s="0"/>
      <c r="Q145" s="0"/>
      <c r="R145" s="0"/>
      <c r="S145" s="0"/>
      <c r="T145" s="0"/>
    </row>
    <row r="146" customFormat="false" ht="18.45" hidden="false" customHeight="true" outlineLevel="0" collapsed="false">
      <c r="A146" s="0" t="n">
        <v>31</v>
      </c>
      <c r="B146" s="31" t="n">
        <v>41030</v>
      </c>
      <c r="C146" s="1" t="n">
        <v>334346</v>
      </c>
      <c r="D146" s="29" t="s">
        <v>41</v>
      </c>
      <c r="E146" s="33" t="n">
        <f aca="false">IF(D146="totale",(C146/(A146*24))/F146,IF(D146="marché libre",(C146/(A146*24))/G146,"spécifier histo"))</f>
        <v>0.280868615591398</v>
      </c>
      <c r="F146" s="59" t="n">
        <v>1600</v>
      </c>
      <c r="G146" s="59" t="n">
        <f aca="false">F146-H146</f>
        <v>1600</v>
      </c>
      <c r="H146" s="58" t="n">
        <v>0</v>
      </c>
      <c r="J146" s="0"/>
      <c r="K146" s="0"/>
      <c r="L146" s="0"/>
      <c r="M146" s="0"/>
      <c r="N146" s="0"/>
      <c r="O146" s="0"/>
      <c r="P146" s="0"/>
      <c r="Q146" s="0"/>
      <c r="R146" s="0"/>
      <c r="S146" s="0"/>
      <c r="T146" s="0"/>
    </row>
    <row r="147" customFormat="false" ht="18.45" hidden="false" customHeight="true" outlineLevel="0" collapsed="false">
      <c r="A147" s="0" t="n">
        <v>30</v>
      </c>
      <c r="B147" s="34" t="n">
        <v>41061</v>
      </c>
      <c r="C147" s="1" t="n">
        <v>222558</v>
      </c>
      <c r="D147" s="29" t="s">
        <v>41</v>
      </c>
      <c r="E147" s="33" t="n">
        <f aca="false">IF(D147="totale",(C147/(A147*24))/F147,IF(D147="marché libre",(C147/(A147*24))/G147,"spécifier histo"))</f>
        <v>0.193192708333333</v>
      </c>
      <c r="F147" s="59" t="n">
        <v>1600</v>
      </c>
      <c r="G147" s="59" t="n">
        <f aca="false">F147-H147</f>
        <v>1600</v>
      </c>
      <c r="H147" s="58" t="n">
        <v>0</v>
      </c>
      <c r="J147" s="0"/>
      <c r="K147" s="0"/>
      <c r="L147" s="0"/>
      <c r="M147" s="0"/>
      <c r="N147" s="0"/>
      <c r="O147" s="0"/>
      <c r="P147" s="0"/>
      <c r="Q147" s="0"/>
      <c r="R147" s="0"/>
      <c r="S147" s="0"/>
      <c r="T147" s="0"/>
    </row>
    <row r="148" customFormat="false" ht="18.45" hidden="false" customHeight="true" outlineLevel="0" collapsed="false">
      <c r="A148" s="0" t="n">
        <v>31</v>
      </c>
      <c r="B148" s="31" t="n">
        <v>41091</v>
      </c>
      <c r="C148" s="1" t="n">
        <v>60925</v>
      </c>
      <c r="D148" s="29" t="s">
        <v>41</v>
      </c>
      <c r="E148" s="33" t="n">
        <f aca="false">IF(D148="totale",(C148/(A148*24))/F148,IF(D148="marché libre",(C148/(A148*24))/G148,"spécifier histo"))</f>
        <v>0.0511802755376344</v>
      </c>
      <c r="F148" s="59" t="n">
        <v>1600</v>
      </c>
      <c r="G148" s="59" t="n">
        <f aca="false">F148-H148</f>
        <v>1600</v>
      </c>
      <c r="H148" s="58" t="n">
        <v>0</v>
      </c>
      <c r="J148" s="0"/>
      <c r="K148" s="0"/>
      <c r="L148" s="0"/>
      <c r="M148" s="0"/>
      <c r="N148" s="0"/>
      <c r="O148" s="0"/>
      <c r="P148" s="0"/>
      <c r="Q148" s="0"/>
      <c r="R148" s="0"/>
      <c r="S148" s="0"/>
      <c r="T148" s="0"/>
    </row>
    <row r="149" customFormat="false" ht="18.45" hidden="false" customHeight="true" outlineLevel="0" collapsed="false">
      <c r="A149" s="0" t="n">
        <v>31</v>
      </c>
      <c r="B149" s="34" t="n">
        <v>41122</v>
      </c>
      <c r="C149" s="1" t="n">
        <v>0</v>
      </c>
      <c r="D149" s="29" t="s">
        <v>41</v>
      </c>
      <c r="E149" s="33" t="n">
        <f aca="false">IF(D149="totale",(C149/(A149*24))/F149,IF(D149="marché libre",(C149/(A149*24))/G149,"spécifier histo"))</f>
        <v>0</v>
      </c>
      <c r="F149" s="59" t="n">
        <v>1600</v>
      </c>
      <c r="G149" s="57" t="n">
        <f aca="false">F149-H149</f>
        <v>1600</v>
      </c>
      <c r="H149" s="58" t="n">
        <v>0</v>
      </c>
      <c r="J149" s="0"/>
      <c r="K149" s="0"/>
      <c r="L149" s="0"/>
      <c r="M149" s="0"/>
      <c r="N149" s="0"/>
      <c r="O149" s="0"/>
      <c r="P149" s="0"/>
      <c r="Q149" s="0"/>
      <c r="R149" s="0"/>
      <c r="S149" s="0"/>
      <c r="T149" s="0"/>
    </row>
    <row r="150" customFormat="false" ht="18.45" hidden="false" customHeight="true" outlineLevel="0" collapsed="false">
      <c r="A150" s="0" t="n">
        <v>30</v>
      </c>
      <c r="B150" s="31" t="n">
        <v>41153</v>
      </c>
      <c r="C150" s="1" t="n">
        <v>0</v>
      </c>
      <c r="D150" s="29" t="s">
        <v>41</v>
      </c>
      <c r="E150" s="33" t="n">
        <f aca="false">IF(D150="totale",(C150/(A150*24))/F150,IF(D150="marché libre",(C150/(A150*24))/G150,"spécifier histo"))</f>
        <v>0</v>
      </c>
      <c r="F150" s="59" t="n">
        <v>1600</v>
      </c>
      <c r="G150" s="57" t="n">
        <f aca="false">F150-H150</f>
        <v>1600</v>
      </c>
      <c r="H150" s="58" t="n">
        <v>0</v>
      </c>
      <c r="J150" s="0"/>
      <c r="K150" s="0"/>
      <c r="L150" s="0"/>
      <c r="M150" s="0"/>
      <c r="N150" s="0"/>
      <c r="O150" s="0"/>
      <c r="P150" s="0"/>
      <c r="Q150" s="0"/>
      <c r="R150" s="0"/>
      <c r="S150" s="0"/>
      <c r="T150" s="0"/>
    </row>
    <row r="151" customFormat="false" ht="18.45" hidden="false" customHeight="true" outlineLevel="0" collapsed="false">
      <c r="A151" s="0" t="n">
        <v>31</v>
      </c>
      <c r="B151" s="34" t="n">
        <v>41183</v>
      </c>
      <c r="C151" s="1" t="n">
        <v>107027</v>
      </c>
      <c r="D151" s="29" t="s">
        <v>41</v>
      </c>
      <c r="E151" s="33" t="n">
        <f aca="false">IF(D151="totale",(C151/(A151*24))/F151,IF(D151="marché libre",(C151/(A151*24))/G151,"spécifier histo"))</f>
        <v>0.0899084341397849</v>
      </c>
      <c r="F151" s="59" t="n">
        <v>1600</v>
      </c>
      <c r="G151" s="57" t="n">
        <f aca="false">F151-H151</f>
        <v>1600</v>
      </c>
      <c r="H151" s="58" t="n">
        <v>0</v>
      </c>
      <c r="J151" s="0"/>
      <c r="K151" s="0"/>
      <c r="L151" s="0"/>
      <c r="M151" s="0"/>
      <c r="N151" s="0"/>
      <c r="O151" s="0"/>
      <c r="P151" s="0"/>
      <c r="Q151" s="0"/>
      <c r="R151" s="0"/>
      <c r="S151" s="0"/>
      <c r="T151" s="0"/>
    </row>
    <row r="152" customFormat="false" ht="18.45" hidden="false" customHeight="true" outlineLevel="0" collapsed="false">
      <c r="A152" s="0" t="n">
        <v>30</v>
      </c>
      <c r="B152" s="31" t="n">
        <v>41214</v>
      </c>
      <c r="C152" s="1" t="n">
        <v>307304</v>
      </c>
      <c r="D152" s="29" t="s">
        <v>41</v>
      </c>
      <c r="E152" s="33" t="n">
        <f aca="false">IF(D152="totale",(C152/(A152*24))/F152,IF(D152="marché libre",(C152/(A152*24))/G152,"spécifier histo"))</f>
        <v>0.266756944444444</v>
      </c>
      <c r="F152" s="59" t="n">
        <v>1600</v>
      </c>
      <c r="G152" s="57" t="n">
        <f aca="false">F152-H152</f>
        <v>1600</v>
      </c>
      <c r="H152" s="58" t="n">
        <v>0</v>
      </c>
      <c r="J152" s="0"/>
      <c r="K152" s="0"/>
      <c r="L152" s="0"/>
      <c r="M152" s="0"/>
      <c r="N152" s="0"/>
      <c r="O152" s="0"/>
      <c r="P152" s="0"/>
      <c r="Q152" s="0"/>
      <c r="R152" s="0"/>
      <c r="S152" s="0"/>
      <c r="T152" s="0"/>
    </row>
    <row r="153" customFormat="false" ht="18.45" hidden="false" customHeight="true" outlineLevel="0" collapsed="false">
      <c r="A153" s="0" t="n">
        <v>31</v>
      </c>
      <c r="B153" s="34" t="n">
        <v>41244</v>
      </c>
      <c r="C153" s="1" t="n">
        <v>457392</v>
      </c>
      <c r="D153" s="29" t="s">
        <v>41</v>
      </c>
      <c r="E153" s="33" t="n">
        <f aca="false">IF(D153="totale",(C153/(A153*24))/F153,IF(D153="marché libre",(C153/(A153*24))/G153,"spécifier histo"))</f>
        <v>0.384233870967742</v>
      </c>
      <c r="F153" s="59" t="n">
        <v>1600</v>
      </c>
      <c r="G153" s="59" t="n">
        <f aca="false">F153-H153</f>
        <v>1600</v>
      </c>
      <c r="H153" s="58" t="n">
        <v>0</v>
      </c>
      <c r="J153" s="180"/>
    </row>
    <row r="154" customFormat="false" ht="18.45" hidden="false" customHeight="true" outlineLevel="0" collapsed="false">
      <c r="A154" s="0" t="n">
        <v>31</v>
      </c>
      <c r="B154" s="31" t="n">
        <v>41275</v>
      </c>
      <c r="C154" s="1" t="n">
        <v>319907</v>
      </c>
      <c r="D154" s="29" t="s">
        <v>41</v>
      </c>
      <c r="E154" s="33" t="n">
        <f aca="false">IF(D154="totale",(C154/(A154*24))/F154,IF(D154="marché libre",(C154/(A154*24))/G154,"spécifier histo"))</f>
        <v>0.268739079301075</v>
      </c>
      <c r="F154" s="59" t="n">
        <v>1600</v>
      </c>
      <c r="G154" s="59" t="n">
        <f aca="false">F154-H154</f>
        <v>1600</v>
      </c>
      <c r="H154" s="58" t="n">
        <v>0</v>
      </c>
      <c r="J154" s="180"/>
    </row>
    <row r="155" customFormat="false" ht="18.45" hidden="false" customHeight="true" outlineLevel="0" collapsed="false">
      <c r="A155" s="0" t="n">
        <v>28</v>
      </c>
      <c r="B155" s="34" t="n">
        <v>41306</v>
      </c>
      <c r="C155" s="1" t="n">
        <v>283094</v>
      </c>
      <c r="D155" s="29" t="s">
        <v>41</v>
      </c>
      <c r="E155" s="33" t="n">
        <f aca="false">IF(D155="totale",(C155/(A155*24))/F155,IF(D155="marché libre",(C155/(A155*24))/G155,"spécifier histo"))</f>
        <v>0.263294270833333</v>
      </c>
      <c r="F155" s="59" t="n">
        <v>1600</v>
      </c>
      <c r="G155" s="59" t="n">
        <f aca="false">F155-H155</f>
        <v>1600</v>
      </c>
      <c r="H155" s="58" t="n">
        <v>0</v>
      </c>
      <c r="J155" s="180"/>
    </row>
    <row r="156" customFormat="false" ht="18.45" hidden="false" customHeight="true" outlineLevel="0" collapsed="false">
      <c r="A156" s="0" t="n">
        <v>31</v>
      </c>
      <c r="B156" s="31" t="n">
        <v>41334</v>
      </c>
      <c r="C156" s="1" t="n">
        <v>435938</v>
      </c>
      <c r="D156" s="29" t="s">
        <v>41</v>
      </c>
      <c r="E156" s="33" t="n">
        <f aca="false">IF(D156="totale",(C156/(A156*24))/F156,IF(D156="marché libre",(C156/(A156*24))/G156,"spécifier histo"))</f>
        <v>0.366211357526882</v>
      </c>
      <c r="F156" s="59" t="n">
        <v>1600</v>
      </c>
      <c r="G156" s="59" t="n">
        <f aca="false">F156-H156</f>
        <v>1600</v>
      </c>
      <c r="H156" s="58" t="n">
        <v>0</v>
      </c>
      <c r="J156" s="180"/>
    </row>
    <row r="157" customFormat="false" ht="18.45" hidden="false" customHeight="true" outlineLevel="0" collapsed="false">
      <c r="A157" s="0" t="n">
        <v>30</v>
      </c>
      <c r="B157" s="34" t="n">
        <v>41365</v>
      </c>
      <c r="C157" s="1" t="n">
        <v>581850</v>
      </c>
      <c r="D157" s="29" t="s">
        <v>41</v>
      </c>
      <c r="E157" s="33" t="n">
        <f aca="false">IF(D157="totale",(C157/(A157*24))/F157,IF(D157="marché libre",(C157/(A157*24))/G157,"spécifier histo"))</f>
        <v>0.505078125</v>
      </c>
      <c r="F157" s="59" t="n">
        <v>1600</v>
      </c>
      <c r="G157" s="59" t="n">
        <f aca="false">F157-H157</f>
        <v>1600</v>
      </c>
      <c r="H157" s="58" t="n">
        <v>0</v>
      </c>
      <c r="J157" s="180"/>
    </row>
    <row r="158" customFormat="false" ht="18.45" hidden="false" customHeight="true" outlineLevel="0" collapsed="false">
      <c r="A158" s="0" t="n">
        <v>31</v>
      </c>
      <c r="B158" s="31" t="n">
        <v>41395</v>
      </c>
      <c r="C158" s="1" t="n">
        <v>656399</v>
      </c>
      <c r="D158" s="29" t="s">
        <v>41</v>
      </c>
      <c r="E158" s="33" t="n">
        <f aca="false">IF(D158="totale",(C158/(A158*24))/F158,IF(D158="marché libre",(C158/(A158*24))/G158,"spécifier histo"))</f>
        <v>0.551410450268817</v>
      </c>
      <c r="F158" s="59" t="n">
        <v>1600</v>
      </c>
      <c r="G158" s="59" t="n">
        <f aca="false">F158-H158</f>
        <v>1600</v>
      </c>
      <c r="H158" s="58" t="n">
        <v>0</v>
      </c>
      <c r="J158" s="180"/>
    </row>
    <row r="159" customFormat="false" ht="18.45" hidden="false" customHeight="true" outlineLevel="0" collapsed="false">
      <c r="A159" s="0" t="n">
        <v>30</v>
      </c>
      <c r="B159" s="34" t="n">
        <v>41426</v>
      </c>
      <c r="C159" s="1" t="n">
        <v>310893</v>
      </c>
      <c r="D159" s="29" t="s">
        <v>41</v>
      </c>
      <c r="E159" s="33" t="n">
        <f aca="false">IF(D159="totale",(C159/(A159*24))/F159,IF(D159="marché libre",(C159/(A159*24))/G159,"spécifier histo"))</f>
        <v>0.269872395833333</v>
      </c>
      <c r="F159" s="59" t="n">
        <v>1600</v>
      </c>
      <c r="G159" s="59" t="n">
        <f aca="false">F159-H159</f>
        <v>1600</v>
      </c>
      <c r="H159" s="58" t="n">
        <v>0</v>
      </c>
      <c r="J159" s="180"/>
    </row>
    <row r="160" customFormat="false" ht="12.8" hidden="false" customHeight="false" outlineLevel="0" collapsed="false">
      <c r="A160" s="0" t="n">
        <v>31</v>
      </c>
      <c r="B160" s="31" t="n">
        <v>41456</v>
      </c>
      <c r="C160" s="1" t="n">
        <v>0</v>
      </c>
      <c r="D160" s="29" t="s">
        <v>41</v>
      </c>
      <c r="E160" s="33" t="n">
        <f aca="false">IF(D160="totale",(C160/(A160*24))/F160,IF(D160="marché libre",(C160/(A160*24))/G160,"spécifier histo"))</f>
        <v>0</v>
      </c>
      <c r="F160" s="59" t="n">
        <v>1600</v>
      </c>
      <c r="G160" s="59" t="n">
        <f aca="false">F160-H160</f>
        <v>1600</v>
      </c>
      <c r="H160" s="58" t="n">
        <v>0</v>
      </c>
      <c r="J160" s="180"/>
    </row>
    <row r="161" customFormat="false" ht="12.8" hidden="false" customHeight="false" outlineLevel="0" collapsed="false">
      <c r="A161" s="0" t="n">
        <v>31</v>
      </c>
      <c r="B161" s="34" t="n">
        <v>41487</v>
      </c>
      <c r="C161" s="1" t="n">
        <v>0</v>
      </c>
      <c r="D161" s="29" t="s">
        <v>41</v>
      </c>
      <c r="E161" s="33" t="n">
        <f aca="false">IF(D161="totale",(C161/(A161*24))/F161,IF(D161="marché libre",(C161/(A161*24))/G161,"spécifier histo"))</f>
        <v>0</v>
      </c>
      <c r="F161" s="59" t="n">
        <v>1600</v>
      </c>
      <c r="G161" s="59" t="n">
        <f aca="false">F161-H161</f>
        <v>1600</v>
      </c>
      <c r="H161" s="58" t="n">
        <v>0</v>
      </c>
      <c r="J161" s="180"/>
    </row>
    <row r="162" customFormat="false" ht="12.8" hidden="false" customHeight="false" outlineLevel="0" collapsed="false">
      <c r="A162" s="0" t="n">
        <v>30</v>
      </c>
      <c r="B162" s="31" t="n">
        <v>41518</v>
      </c>
      <c r="C162" s="1" t="n">
        <v>0</v>
      </c>
      <c r="D162" s="29" t="s">
        <v>41</v>
      </c>
      <c r="E162" s="33" t="n">
        <f aca="false">IF(D162="totale",(C162/(A162*24))/F162,IF(D162="marché libre",(C162/(A162*24))/G162,"spécifier histo"))</f>
        <v>0</v>
      </c>
      <c r="F162" s="59" t="n">
        <v>1600</v>
      </c>
      <c r="G162" s="59" t="n">
        <f aca="false">F162-H162</f>
        <v>1600</v>
      </c>
      <c r="H162" s="58" t="n">
        <v>0</v>
      </c>
      <c r="J162" s="180"/>
    </row>
    <row r="163" customFormat="false" ht="12.8" hidden="false" customHeight="false" outlineLevel="0" collapsed="false">
      <c r="A163" s="0" t="n">
        <v>31</v>
      </c>
      <c r="B163" s="34" t="n">
        <v>41548</v>
      </c>
      <c r="C163" s="58" t="n">
        <v>345079</v>
      </c>
      <c r="D163" s="29" t="s">
        <v>41</v>
      </c>
      <c r="E163" s="33" t="n">
        <f aca="false">IF(D163="totale",(C163/(A163*24))/F163,IF(D163="marché libre",(C163/(A163*24))/G163,"spécifier histo"))</f>
        <v>0.289884912634409</v>
      </c>
      <c r="F163" s="59" t="n">
        <v>1600</v>
      </c>
      <c r="G163" s="59" t="n">
        <f aca="false">F163-H163</f>
        <v>1600</v>
      </c>
      <c r="H163" s="58" t="n">
        <v>0</v>
      </c>
      <c r="J163" s="180"/>
    </row>
    <row r="164" customFormat="false" ht="12.8" hidden="false" customHeight="false" outlineLevel="0" collapsed="false">
      <c r="A164" s="244" t="n">
        <v>30</v>
      </c>
      <c r="B164" s="229" t="n">
        <v>41579</v>
      </c>
      <c r="C164" s="245" t="n">
        <v>367135</v>
      </c>
      <c r="D164" s="246" t="s">
        <v>42</v>
      </c>
      <c r="E164" s="118" t="n">
        <f aca="false">IF(D164="totale",(C164/(A164*24))/F164,IF(D164="marché libre",(C164/(A164*24))/G164,"spécifier histo"))</f>
        <v>0.318693576388889</v>
      </c>
      <c r="F164" s="232" t="n">
        <v>1600</v>
      </c>
      <c r="G164" s="232" t="n">
        <f aca="false">F164-H164</f>
        <v>1600</v>
      </c>
      <c r="H164" s="245" t="n">
        <v>0</v>
      </c>
      <c r="J164" s="180"/>
    </row>
    <row r="165" customFormat="false" ht="12.8" hidden="false" customHeight="false" outlineLevel="0" collapsed="false">
      <c r="A165" s="0" t="n">
        <v>31</v>
      </c>
      <c r="B165" s="34" t="n">
        <v>41609</v>
      </c>
      <c r="C165" s="58" t="n">
        <v>271904</v>
      </c>
      <c r="D165" s="29" t="s">
        <v>42</v>
      </c>
      <c r="E165" s="33" t="n">
        <f aca="false">IF(D165="totale",(C165/(A165*24))/F165,IF(D165="marché libre",(C165/(A165*24))/G165,"spécifier histo"))</f>
        <v>0.228413978494624</v>
      </c>
      <c r="F165" s="59" t="n">
        <v>1600</v>
      </c>
      <c r="G165" s="59" t="n">
        <f aca="false">F165-H165</f>
        <v>1600</v>
      </c>
      <c r="H165" s="58" t="n">
        <v>0</v>
      </c>
      <c r="J165" s="180"/>
    </row>
    <row r="166" customFormat="false" ht="12.8" hidden="false" customHeight="false" outlineLevel="0" collapsed="false">
      <c r="A166" s="0" t="n">
        <v>31</v>
      </c>
      <c r="B166" s="31" t="n">
        <v>41640</v>
      </c>
      <c r="C166" s="1" t="n">
        <v>485170</v>
      </c>
      <c r="D166" s="29" t="s">
        <v>42</v>
      </c>
      <c r="E166" s="33" t="n">
        <f aca="false">IF(D166="totale",(C166/(A166*24))/F166,IF(D166="marché libre",(C166/(A166*24))/G166,"spécifier histo"))</f>
        <v>0.407568884408602</v>
      </c>
      <c r="F166" s="59" t="n">
        <v>1600</v>
      </c>
      <c r="G166" s="59" t="n">
        <f aca="false">F166-H166</f>
        <v>1600</v>
      </c>
      <c r="H166" s="58" t="n">
        <v>0</v>
      </c>
      <c r="J166" s="180"/>
    </row>
    <row r="167" customFormat="false" ht="12.8" hidden="false" customHeight="false" outlineLevel="0" collapsed="false">
      <c r="A167" s="0" t="n">
        <v>28</v>
      </c>
      <c r="B167" s="34" t="n">
        <v>41671</v>
      </c>
      <c r="C167" s="1" t="n">
        <v>452372</v>
      </c>
      <c r="D167" s="29" t="s">
        <v>42</v>
      </c>
      <c r="E167" s="33" t="n">
        <f aca="false">IF(D167="totale",(C167/(A167*24))/F167,IF(D167="marché libre",(C167/(A167*24))/G167,"spécifier histo"))</f>
        <v>0.420732886904762</v>
      </c>
      <c r="F167" s="59" t="n">
        <v>1600</v>
      </c>
      <c r="G167" s="59" t="n">
        <f aca="false">F167-H167</f>
        <v>1600</v>
      </c>
      <c r="H167" s="58" t="n">
        <v>0</v>
      </c>
      <c r="J167" s="180"/>
    </row>
    <row r="168" customFormat="false" ht="12.8" hidden="false" customHeight="false" outlineLevel="0" collapsed="false">
      <c r="A168" s="0" t="n">
        <v>31</v>
      </c>
      <c r="B168" s="31" t="n">
        <v>41699</v>
      </c>
      <c r="C168" s="1" t="n">
        <v>532379</v>
      </c>
      <c r="D168" s="29" t="s">
        <v>42</v>
      </c>
      <c r="E168" s="33" t="n">
        <f aca="false">IF(D168="totale",(C168/(A168*24))/F168,IF(D168="marché libre",(C168/(A168*24))/G168,"spécifier histo"))</f>
        <v>0.447226982526882</v>
      </c>
      <c r="F168" s="59" t="n">
        <v>1600</v>
      </c>
      <c r="G168" s="59" t="n">
        <f aca="false">F168-H168</f>
        <v>1600</v>
      </c>
      <c r="H168" s="58" t="n">
        <v>0</v>
      </c>
      <c r="J168" s="180"/>
    </row>
    <row r="169" customFormat="false" ht="12.8" hidden="false" customHeight="false" outlineLevel="0" collapsed="false">
      <c r="A169" s="0" t="n">
        <v>30</v>
      </c>
      <c r="B169" s="34" t="n">
        <v>41730</v>
      </c>
      <c r="C169" s="1" t="n">
        <v>249283</v>
      </c>
      <c r="D169" s="29" t="s">
        <v>42</v>
      </c>
      <c r="E169" s="33" t="n">
        <f aca="false">IF(D169="totale",(C169/(A169*24))/F169,IF(D169="marché libre",(C169/(A169*24))/G169,"spécifier histo"))</f>
        <v>0.216391493055556</v>
      </c>
      <c r="F169" s="59" t="n">
        <v>1600</v>
      </c>
      <c r="G169" s="59" t="n">
        <f aca="false">F169-H169</f>
        <v>1600</v>
      </c>
      <c r="H169" s="58" t="n">
        <v>0</v>
      </c>
      <c r="J169" s="0"/>
    </row>
    <row r="170" customFormat="false" ht="12.8" hidden="false" customHeight="false" outlineLevel="0" collapsed="false">
      <c r="A170" s="0" t="n">
        <v>31</v>
      </c>
      <c r="B170" s="31" t="n">
        <v>41760</v>
      </c>
      <c r="C170" s="1" t="n">
        <v>238327</v>
      </c>
      <c r="D170" s="29" t="s">
        <v>42</v>
      </c>
      <c r="E170" s="33" t="n">
        <f aca="false">IF(D170="totale",(C170/(A170*24))/F170,IF(D170="marché libre",(C170/(A170*24))/G170,"spécifier histo"))</f>
        <v>0.20020749327957</v>
      </c>
      <c r="F170" s="59" t="n">
        <v>1600</v>
      </c>
      <c r="G170" s="59" t="n">
        <f aca="false">F170-H170</f>
        <v>1600</v>
      </c>
      <c r="H170" s="58" t="n">
        <v>0</v>
      </c>
      <c r="J170" s="0"/>
    </row>
    <row r="171" customFormat="false" ht="12.8" hidden="false" customHeight="false" outlineLevel="0" collapsed="false">
      <c r="A171" s="0" t="n">
        <v>30</v>
      </c>
      <c r="B171" s="34" t="n">
        <v>41791</v>
      </c>
      <c r="C171" s="1" t="n">
        <v>33511</v>
      </c>
      <c r="D171" s="29" t="s">
        <v>42</v>
      </c>
      <c r="E171" s="33" t="n">
        <f aca="false">IF(D171="totale",(C171/(A171*24))/F171,IF(D171="marché libre",(C171/(A171*24))/G171,"spécifier histo"))</f>
        <v>0.0290894097222222</v>
      </c>
      <c r="F171" s="59" t="n">
        <v>1600</v>
      </c>
      <c r="G171" s="59" t="n">
        <f aca="false">F171-H171</f>
        <v>1600</v>
      </c>
      <c r="H171" s="58" t="n">
        <v>0</v>
      </c>
      <c r="J171" s="0"/>
    </row>
    <row r="172" customFormat="false" ht="12.8" hidden="false" customHeight="false" outlineLevel="0" collapsed="false">
      <c r="A172" s="0" t="n">
        <v>31</v>
      </c>
      <c r="B172" s="31" t="n">
        <v>41821</v>
      </c>
      <c r="C172" s="1" t="n">
        <v>218354</v>
      </c>
      <c r="D172" s="29" t="s">
        <v>42</v>
      </c>
      <c r="E172" s="33" t="n">
        <f aca="false">IF(D172="totale",(C172/(A172*24))/F172,IF(D172="marché libre",(C172/(A172*24))/G172,"spécifier histo"))</f>
        <v>0.183429099462366</v>
      </c>
      <c r="F172" s="59" t="n">
        <v>1600</v>
      </c>
      <c r="G172" s="59" t="n">
        <f aca="false">F172-H172</f>
        <v>1600</v>
      </c>
      <c r="H172" s="58" t="n">
        <v>0</v>
      </c>
    </row>
    <row r="173" customFormat="false" ht="12.8" hidden="false" customHeight="false" outlineLevel="0" collapsed="false">
      <c r="A173" s="0" t="n">
        <v>31</v>
      </c>
      <c r="B173" s="34" t="n">
        <v>41852</v>
      </c>
      <c r="C173" s="1" t="n">
        <v>132886</v>
      </c>
      <c r="D173" s="29" t="s">
        <v>42</v>
      </c>
      <c r="E173" s="33" t="n">
        <f aca="false">IF(D173="totale",(C173/(A173*24))/F173,IF(D173="marché libre",(C173/(A173*24))/G173,"spécifier histo"))</f>
        <v>0.111631384408602</v>
      </c>
      <c r="F173" s="59" t="n">
        <v>1600</v>
      </c>
      <c r="G173" s="59" t="n">
        <f aca="false">F173-H173</f>
        <v>1600</v>
      </c>
      <c r="H173" s="58" t="n">
        <v>0</v>
      </c>
    </row>
    <row r="174" customFormat="false" ht="12.8" hidden="false" customHeight="false" outlineLevel="0" collapsed="false">
      <c r="A174" s="0" t="n">
        <v>30</v>
      </c>
      <c r="B174" s="31" t="n">
        <v>41883</v>
      </c>
      <c r="C174" s="1" t="n">
        <v>1929</v>
      </c>
      <c r="D174" s="29" t="s">
        <v>42</v>
      </c>
      <c r="E174" s="33" t="n">
        <f aca="false">IF(D174="totale",(C174/(A174*24))/F174,IF(D174="marché libre",(C174/(A174*24))/G174,"spécifier histo"))</f>
        <v>0.00167447916666667</v>
      </c>
      <c r="F174" s="59" t="n">
        <v>1600</v>
      </c>
      <c r="G174" s="59" t="n">
        <f aca="false">F174-H174</f>
        <v>1600</v>
      </c>
      <c r="H174" s="58" t="n">
        <v>0</v>
      </c>
    </row>
    <row r="175" customFormat="false" ht="12.8" hidden="false" customHeight="false" outlineLevel="0" collapsed="false">
      <c r="A175" s="0" t="n">
        <v>31</v>
      </c>
      <c r="B175" s="34" t="n">
        <v>41913</v>
      </c>
      <c r="C175" s="1" t="n">
        <v>131023</v>
      </c>
      <c r="D175" s="29" t="s">
        <v>42</v>
      </c>
      <c r="E175" s="33" t="n">
        <f aca="false">IF(D175="totale",(C175/(A175*24))/F175,IF(D175="marché libre",(C175/(A175*24))/G175,"spécifier histo"))</f>
        <v>0.110066364247312</v>
      </c>
      <c r="F175" s="59" t="n">
        <v>1600</v>
      </c>
      <c r="G175" s="59" t="n">
        <f aca="false">F175-H175</f>
        <v>1600</v>
      </c>
      <c r="H175" s="58" t="n">
        <v>0</v>
      </c>
    </row>
    <row r="176" customFormat="false" ht="12.8" hidden="false" customHeight="false" outlineLevel="0" collapsed="false">
      <c r="A176" s="0" t="n">
        <v>30</v>
      </c>
      <c r="B176" s="31" t="n">
        <v>41944</v>
      </c>
      <c r="C176" s="1" t="n">
        <v>13671</v>
      </c>
      <c r="D176" s="29" t="s">
        <v>42</v>
      </c>
      <c r="E176" s="33" t="n">
        <f aca="false">IF(D176="totale",(C176/(A176*24))/F176,IF(D176="marché libre",(C176/(A176*24))/G176,"spécifier histo"))</f>
        <v>0.0118671875</v>
      </c>
      <c r="F176" s="59" t="n">
        <v>1600</v>
      </c>
      <c r="G176" s="59" t="n">
        <f aca="false">F176-H176</f>
        <v>1600</v>
      </c>
      <c r="H176" s="58" t="n">
        <v>0</v>
      </c>
    </row>
    <row r="177" customFormat="false" ht="12.8" hidden="false" customHeight="false" outlineLevel="0" collapsed="false">
      <c r="A177" s="0" t="n">
        <v>31</v>
      </c>
      <c r="B177" s="34" t="n">
        <v>41974</v>
      </c>
      <c r="C177" s="1" t="n">
        <v>186684</v>
      </c>
      <c r="D177" s="29" t="s">
        <v>42</v>
      </c>
      <c r="E177" s="33" t="n">
        <f aca="false">IF(D177="totale",(C177/(A177*24))/F177,IF(D177="marché libre",(C177/(A177*24))/G177,"spécifier histo"))</f>
        <v>0.156824596774194</v>
      </c>
      <c r="F177" s="59" t="n">
        <v>1600</v>
      </c>
      <c r="G177" s="59" t="n">
        <f aca="false">F177-H177</f>
        <v>1600</v>
      </c>
      <c r="H177" s="58" t="n">
        <v>0</v>
      </c>
    </row>
    <row r="178" customFormat="false" ht="12.8" hidden="false" customHeight="false" outlineLevel="0" collapsed="false">
      <c r="A178" s="0" t="n">
        <v>31</v>
      </c>
      <c r="B178" s="31" t="n">
        <v>42005</v>
      </c>
      <c r="C178" s="1" t="n">
        <v>324421</v>
      </c>
      <c r="D178" s="29" t="s">
        <v>42</v>
      </c>
      <c r="E178" s="33" t="n">
        <f aca="false">IF(D178="totale",(C178/(A178*24))/F178,IF(D178="marché libre",(C178/(A178*24))/G178,"spécifier histo"))</f>
        <v>0.272531081989247</v>
      </c>
      <c r="F178" s="59" t="n">
        <v>1600</v>
      </c>
      <c r="G178" s="59" t="n">
        <f aca="false">F178-H178</f>
        <v>1600</v>
      </c>
      <c r="H178" s="58" t="n">
        <v>0</v>
      </c>
    </row>
    <row r="179" customFormat="false" ht="12.8" hidden="false" customHeight="false" outlineLevel="0" collapsed="false">
      <c r="A179" s="0" t="n">
        <v>28</v>
      </c>
      <c r="B179" s="34" t="n">
        <v>42036</v>
      </c>
      <c r="C179" s="1" t="n">
        <v>185359</v>
      </c>
      <c r="D179" s="29" t="s">
        <v>42</v>
      </c>
      <c r="E179" s="33" t="n">
        <f aca="false">IF(D179="totale",(C179/(A179*24))/F179,IF(D179="marché libre",(C179/(A179*24))/G179,"spécifier histo"))</f>
        <v>0.17239490327381</v>
      </c>
      <c r="F179" s="59" t="n">
        <v>1600</v>
      </c>
      <c r="G179" s="59" t="n">
        <f aca="false">F179-H179</f>
        <v>1600</v>
      </c>
      <c r="H179" s="58" t="n">
        <v>0</v>
      </c>
    </row>
    <row r="180" customFormat="false" ht="12.8" hidden="false" customHeight="false" outlineLevel="0" collapsed="false">
      <c r="A180" s="0" t="n">
        <v>31</v>
      </c>
      <c r="B180" s="31" t="n">
        <v>42064</v>
      </c>
      <c r="C180" s="1" t="n">
        <v>499219</v>
      </c>
      <c r="D180" s="29" t="s">
        <v>42</v>
      </c>
      <c r="E180" s="33" t="n">
        <f aca="false">IF(D180="totale",(C180/(A180*24))/F180,IF(D180="marché libre",(C180/(A180*24))/G180,"spécifier histo"))</f>
        <v>0.419370799731183</v>
      </c>
      <c r="F180" s="59" t="n">
        <v>1600</v>
      </c>
      <c r="G180" s="57" t="n">
        <f aca="false">F180-H180</f>
        <v>1600</v>
      </c>
      <c r="H180" s="58" t="n">
        <v>0</v>
      </c>
    </row>
    <row r="181" customFormat="false" ht="12.8" hidden="false" customHeight="false" outlineLevel="0" collapsed="false">
      <c r="A181" s="0" t="n">
        <v>30</v>
      </c>
      <c r="B181" s="34" t="n">
        <v>42095</v>
      </c>
      <c r="C181" s="1" t="n">
        <v>407476</v>
      </c>
      <c r="D181" s="29" t="s">
        <v>42</v>
      </c>
      <c r="E181" s="33" t="n">
        <f aca="false">IF(D181="totale",(C181/(A181*24))/F181,IF(D181="marché libre",(C181/(A181*24))/G181,"spécifier histo"))</f>
        <v>0.353711805555556</v>
      </c>
      <c r="F181" s="59" t="n">
        <v>1600</v>
      </c>
      <c r="G181" s="59" t="n">
        <f aca="false">F181-H181</f>
        <v>1600</v>
      </c>
      <c r="H181" s="58" t="n">
        <v>0</v>
      </c>
    </row>
    <row r="182" customFormat="false" ht="12.8" hidden="false" customHeight="false" outlineLevel="0" collapsed="false">
      <c r="A182" s="0" t="n">
        <v>31</v>
      </c>
      <c r="B182" s="31" t="n">
        <v>42125</v>
      </c>
      <c r="C182" s="1" t="n">
        <v>224664</v>
      </c>
      <c r="D182" s="29" t="s">
        <v>42</v>
      </c>
      <c r="E182" s="33" t="n">
        <f aca="false">IF(D182="totale",(C182/(A182*24))/F182,IF(D182="marché libre",(C182/(A182*24))/G182,"spécifier histo"))</f>
        <v>0.188729838709677</v>
      </c>
      <c r="F182" s="59" t="n">
        <v>1600</v>
      </c>
      <c r="G182" s="59" t="n">
        <f aca="false">F182-H182</f>
        <v>1600</v>
      </c>
      <c r="H182" s="58" t="n">
        <v>0</v>
      </c>
    </row>
    <row r="183" customFormat="false" ht="12.8" hidden="false" customHeight="false" outlineLevel="0" collapsed="false">
      <c r="A183" s="0" t="n">
        <v>30</v>
      </c>
      <c r="B183" s="34" t="n">
        <v>42156</v>
      </c>
      <c r="C183" s="1" t="n">
        <v>0</v>
      </c>
      <c r="D183" s="29" t="s">
        <v>42</v>
      </c>
      <c r="E183" s="33" t="n">
        <f aca="false">IF(D183="totale",(C183/(A183*24))/F183,IF(D183="marché libre",(C183/(A183*24))/G183,"spécifier histo"))</f>
        <v>0</v>
      </c>
      <c r="F183" s="59" t="n">
        <v>1600</v>
      </c>
      <c r="G183" s="59" t="n">
        <f aca="false">F183-H183</f>
        <v>1600</v>
      </c>
      <c r="H183" s="58" t="n">
        <v>0</v>
      </c>
    </row>
    <row r="184" customFormat="false" ht="12.8" hidden="false" customHeight="false" outlineLevel="0" collapsed="false">
      <c r="A184" s="0" t="n">
        <v>31</v>
      </c>
      <c r="B184" s="31" t="n">
        <v>42186</v>
      </c>
      <c r="C184" s="1" t="n">
        <v>0</v>
      </c>
      <c r="D184" s="29" t="s">
        <v>42</v>
      </c>
      <c r="E184" s="33" t="n">
        <f aca="false">IF(D184="totale",(C184/(A184*24))/F184,IF(D184="marché libre",(C184/(A184*24))/G184,"spécifier histo"))</f>
        <v>0</v>
      </c>
      <c r="F184" s="59" t="n">
        <v>1600</v>
      </c>
      <c r="G184" s="59" t="n">
        <f aca="false">F184-H184</f>
        <v>1600</v>
      </c>
      <c r="H184" s="58" t="n">
        <v>0</v>
      </c>
    </row>
    <row r="185" customFormat="false" ht="12.8" hidden="false" customHeight="false" outlineLevel="0" collapsed="false">
      <c r="A185" s="0" t="n">
        <v>31</v>
      </c>
      <c r="B185" s="34" t="n">
        <v>42217</v>
      </c>
      <c r="C185" s="1" t="n">
        <v>0</v>
      </c>
      <c r="D185" s="29" t="s">
        <v>42</v>
      </c>
      <c r="E185" s="33" t="n">
        <f aca="false">IF(D185="totale",(C185/(A185*24))/F185,IF(D185="marché libre",(C185/(A185*24))/G185,"spécifier histo"))</f>
        <v>0</v>
      </c>
      <c r="F185" s="59" t="n">
        <v>1600</v>
      </c>
      <c r="G185" s="59" t="n">
        <f aca="false">F185-H185</f>
        <v>1600</v>
      </c>
      <c r="H185" s="58" t="n">
        <v>0</v>
      </c>
    </row>
    <row r="186" customFormat="false" ht="12.8" hidden="false" customHeight="false" outlineLevel="0" collapsed="false">
      <c r="A186" s="0" t="n">
        <v>30</v>
      </c>
      <c r="B186" s="31" t="n">
        <v>42248</v>
      </c>
      <c r="C186" s="1" t="n">
        <v>0</v>
      </c>
      <c r="D186" s="29" t="s">
        <v>42</v>
      </c>
      <c r="E186" s="33" t="n">
        <f aca="false">IF(D186="totale",(C186/(A186*24))/F186,IF(D186="marché libre",(C186/(A186*24))/G186,"spécifier histo"))</f>
        <v>0</v>
      </c>
      <c r="F186" s="59" t="n">
        <v>1600</v>
      </c>
      <c r="G186" s="59" t="n">
        <f aca="false">F186-H186</f>
        <v>1600</v>
      </c>
      <c r="H186" s="58" t="n">
        <v>0</v>
      </c>
    </row>
    <row r="187" customFormat="false" ht="12.8" hidden="false" customHeight="false" outlineLevel="0" collapsed="false">
      <c r="A187" s="0" t="n">
        <v>31</v>
      </c>
      <c r="B187" s="34" t="n">
        <v>42278</v>
      </c>
      <c r="C187" s="1" t="n">
        <v>0</v>
      </c>
      <c r="D187" s="29" t="s">
        <v>42</v>
      </c>
      <c r="E187" s="33" t="n">
        <f aca="false">IF(D187="totale",(C187/(A187*24))/F187,IF(D187="marché libre",(C187/(A187*24))/G187,"spécifier histo"))</f>
        <v>0</v>
      </c>
      <c r="F187" s="59" t="n">
        <v>1600</v>
      </c>
      <c r="G187" s="59" t="n">
        <f aca="false">F187-H187</f>
        <v>1600</v>
      </c>
      <c r="H187" s="58" t="n">
        <v>0</v>
      </c>
    </row>
    <row r="188" customFormat="false" ht="12.8" hidden="false" customHeight="false" outlineLevel="0" collapsed="false">
      <c r="A188" s="0" t="n">
        <v>30</v>
      </c>
      <c r="B188" s="31" t="n">
        <v>42309</v>
      </c>
      <c r="C188" s="1" t="n">
        <v>0</v>
      </c>
      <c r="D188" s="29" t="s">
        <v>42</v>
      </c>
      <c r="E188" s="33" t="n">
        <f aca="false">IF(D188="totale",(C188/(A188*24))/F188,IF(D188="marché libre",(C188/(A188*24))/G188,"spécifier histo"))</f>
        <v>0</v>
      </c>
      <c r="F188" s="59" t="n">
        <v>1600</v>
      </c>
      <c r="G188" s="59" t="n">
        <f aca="false">F188-H188</f>
        <v>1600</v>
      </c>
      <c r="H188" s="58" t="n">
        <v>0</v>
      </c>
    </row>
    <row r="189" customFormat="false" ht="12.8" hidden="false" customHeight="false" outlineLevel="0" collapsed="false">
      <c r="A189" s="0" t="n">
        <v>31</v>
      </c>
      <c r="B189" s="34" t="n">
        <v>42339</v>
      </c>
      <c r="C189" s="1" t="n">
        <v>0</v>
      </c>
      <c r="D189" s="29" t="s">
        <v>42</v>
      </c>
      <c r="E189" s="33" t="n">
        <f aca="false">IF(D189="totale",(C189/(A189*24))/F189,IF(D189="marché libre",(C189/(A189*24))/G189,"spécifier histo"))</f>
        <v>0</v>
      </c>
      <c r="F189" s="59" t="n">
        <v>1600</v>
      </c>
      <c r="G189" s="59" t="n">
        <f aca="false">F189-H189</f>
        <v>1600</v>
      </c>
      <c r="H189" s="58" t="n">
        <v>0</v>
      </c>
    </row>
    <row r="190" customFormat="false" ht="12.8" hidden="false" customHeight="false" outlineLevel="0" collapsed="false">
      <c r="A190" s="244" t="n">
        <v>31</v>
      </c>
      <c r="B190" s="31" t="n">
        <v>42370</v>
      </c>
      <c r="C190" s="1" t="n">
        <v>0</v>
      </c>
      <c r="D190" s="29" t="s">
        <v>42</v>
      </c>
      <c r="E190" s="33" t="n">
        <f aca="false">IF(D190="totale",(C190/(A190*24))/F190,IF(D190="marché libre",(C190/(A190*24))/G190,"spécifier histo"))</f>
        <v>0</v>
      </c>
      <c r="F190" s="59" t="n">
        <v>1600</v>
      </c>
      <c r="G190" s="59" t="n">
        <f aca="false">F190-H190</f>
        <v>1600</v>
      </c>
      <c r="H190" s="58" t="n">
        <v>0</v>
      </c>
    </row>
    <row r="191" customFormat="false" ht="12.8" hidden="false" customHeight="false" outlineLevel="0" collapsed="false">
      <c r="A191" s="0" t="n">
        <v>28</v>
      </c>
      <c r="B191" s="34" t="n">
        <v>42401</v>
      </c>
      <c r="C191" s="1" t="n">
        <v>132092</v>
      </c>
      <c r="D191" s="29" t="s">
        <v>42</v>
      </c>
      <c r="E191" s="33" t="n">
        <f aca="false">IF(D191="totale",(C191/(A191*24))/F191,IF(D191="marché libre",(C191/(A191*24))/G191,"spécifier histo"))</f>
        <v>0.122853422619048</v>
      </c>
      <c r="F191" s="59" t="n">
        <v>1600</v>
      </c>
      <c r="G191" s="59" t="n">
        <f aca="false">F191-H191</f>
        <v>1600</v>
      </c>
      <c r="H191" s="58" t="n">
        <v>0</v>
      </c>
    </row>
    <row r="192" customFormat="false" ht="12.8" hidden="false" customHeight="false" outlineLevel="0" collapsed="false">
      <c r="A192" s="0" t="n">
        <v>31</v>
      </c>
      <c r="B192" s="31" t="n">
        <v>42430</v>
      </c>
      <c r="C192" s="1" t="n">
        <v>409059</v>
      </c>
      <c r="D192" s="29" t="s">
        <v>42</v>
      </c>
      <c r="E192" s="33" t="n">
        <f aca="false">IF(D192="totale",(C192/(A192*24))/F192,IF(D192="marché libre",(C192/(A192*24))/G192,"spécifier histo"))</f>
        <v>0.343631552419355</v>
      </c>
      <c r="F192" s="59" t="n">
        <v>1600</v>
      </c>
      <c r="G192" s="59" t="n">
        <f aca="false">F192-H192</f>
        <v>1600</v>
      </c>
      <c r="H192" s="58" t="n">
        <v>0</v>
      </c>
    </row>
    <row r="193" customFormat="false" ht="12.8" hidden="false" customHeight="false" outlineLevel="0" collapsed="false">
      <c r="A193" s="0" t="n">
        <v>30</v>
      </c>
      <c r="B193" s="34" t="n">
        <v>42461</v>
      </c>
      <c r="C193" s="1" t="n">
        <v>460305</v>
      </c>
      <c r="D193" s="29" t="s">
        <v>42</v>
      </c>
      <c r="E193" s="33" t="n">
        <f aca="false">IF(D193="totale",(C193/(A193*24))/F193,IF(D193="marché libre",(C193/(A193*24))/G193,"spécifier histo"))</f>
        <v>0.3995703125</v>
      </c>
      <c r="F193" s="59" t="n">
        <v>1600</v>
      </c>
      <c r="G193" s="59" t="n">
        <f aca="false">F193-H193</f>
        <v>1600</v>
      </c>
      <c r="H193" s="58" t="n">
        <v>0</v>
      </c>
    </row>
    <row r="194" customFormat="false" ht="12.8" hidden="false" customHeight="false" outlineLevel="0" collapsed="false">
      <c r="A194" s="0" t="n">
        <v>31</v>
      </c>
      <c r="B194" s="31" t="n">
        <v>42491</v>
      </c>
      <c r="C194" s="1" t="n">
        <v>398105</v>
      </c>
      <c r="D194" s="29" t="s">
        <v>42</v>
      </c>
      <c r="E194" s="33" t="n">
        <f aca="false">IF(D194="totale",(C194/(A194*24))/F194,IF(D194="marché libre",(C194/(A194*24))/G194,"spécifier histo"))</f>
        <v>0.334429603494624</v>
      </c>
      <c r="F194" s="59" t="n">
        <v>1600</v>
      </c>
      <c r="G194" s="59" t="n">
        <f aca="false">F194-H194</f>
        <v>1600</v>
      </c>
      <c r="H194" s="58" t="n">
        <v>0</v>
      </c>
    </row>
    <row r="195" customFormat="false" ht="12.8" hidden="false" customHeight="false" outlineLevel="0" collapsed="false">
      <c r="A195" s="0" t="n">
        <v>30</v>
      </c>
      <c r="B195" s="34" t="n">
        <v>42522</v>
      </c>
      <c r="C195" s="1" t="n">
        <v>413328</v>
      </c>
      <c r="D195" s="29" t="s">
        <v>42</v>
      </c>
      <c r="E195" s="33" t="n">
        <f aca="false">IF(D195="totale",(C195/(A195*24))/F195,IF(D195="marché libre",(C195/(A195*24))/G195,"spécifier histo"))</f>
        <v>0.358791666666667</v>
      </c>
      <c r="F195" s="59" t="n">
        <v>1600</v>
      </c>
      <c r="G195" s="59" t="n">
        <f aca="false">F195-H195</f>
        <v>1600</v>
      </c>
      <c r="H195" s="58" t="n">
        <v>0</v>
      </c>
    </row>
    <row r="196" customFormat="false" ht="12.8" hidden="false" customHeight="false" outlineLevel="0" collapsed="false">
      <c r="A196" s="0" t="n">
        <v>31</v>
      </c>
      <c r="B196" s="31" t="n">
        <v>42552</v>
      </c>
      <c r="C196" s="1" t="n">
        <v>0</v>
      </c>
      <c r="D196" s="29" t="s">
        <v>42</v>
      </c>
      <c r="E196" s="33" t="e">
        <f aca="false">IF(D196="totale",(C196/(A196*24))/F196,IF(D196="marché libre",(C196/(A196*24))/G196,"spécifier histo"))</f>
        <v>#DIV/0!</v>
      </c>
      <c r="F196" s="59" t="n">
        <v>0</v>
      </c>
      <c r="G196" s="59" t="n">
        <f aca="false">F196-H196</f>
        <v>0</v>
      </c>
      <c r="H196" s="58" t="n">
        <v>0</v>
      </c>
      <c r="I196" s="1" t="s">
        <v>268</v>
      </c>
    </row>
    <row r="197" customFormat="false" ht="12.8" hidden="false" customHeight="false" outlineLevel="0" collapsed="false">
      <c r="A197" s="0" t="n">
        <v>31</v>
      </c>
      <c r="B197" s="34" t="n">
        <v>42583</v>
      </c>
      <c r="C197" s="1" t="n">
        <v>0</v>
      </c>
      <c r="D197" s="29" t="s">
        <v>42</v>
      </c>
      <c r="E197" s="33" t="e">
        <f aca="false">IF(D197="totale",(C197/(A197*24))/F197,IF(D197="marché libre",(C197/(A197*24))/G197,"spécifier histo"))</f>
        <v>#DIV/0!</v>
      </c>
      <c r="F197" s="59" t="n">
        <v>0</v>
      </c>
      <c r="G197" s="59" t="n">
        <f aca="false">F197-H197</f>
        <v>0</v>
      </c>
      <c r="H197" s="58" t="n">
        <v>0</v>
      </c>
      <c r="I197" s="1" t="s">
        <v>268</v>
      </c>
    </row>
    <row r="198" customFormat="false" ht="12.8" hidden="false" customHeight="false" outlineLevel="0" collapsed="false">
      <c r="A198" s="0" t="n">
        <v>30</v>
      </c>
      <c r="B198" s="31" t="n">
        <v>42614</v>
      </c>
      <c r="C198" s="1" t="n">
        <v>0</v>
      </c>
      <c r="D198" s="29" t="s">
        <v>42</v>
      </c>
      <c r="E198" s="33" t="e">
        <f aca="false">IF(D198="totale",(C198/(A198*24))/F198,IF(D198="marché libre",(C198/(A198*24))/G198,"spécifier histo"))</f>
        <v>#DIV/0!</v>
      </c>
      <c r="F198" s="59" t="n">
        <v>0</v>
      </c>
      <c r="G198" s="59" t="n">
        <f aca="false">F198-H198</f>
        <v>0</v>
      </c>
      <c r="H198" s="58" t="n">
        <v>0</v>
      </c>
      <c r="I198" s="1" t="s">
        <v>268</v>
      </c>
    </row>
    <row r="199" customFormat="false" ht="12.8" hidden="false" customHeight="false" outlineLevel="0" collapsed="false">
      <c r="A199" s="0" t="n">
        <v>31</v>
      </c>
      <c r="B199" s="34" t="n">
        <v>42644</v>
      </c>
      <c r="C199" s="1" t="n">
        <v>0</v>
      </c>
      <c r="D199" s="29" t="s">
        <v>42</v>
      </c>
      <c r="E199" s="33" t="e">
        <f aca="false">IF(D199="totale",(C199/(A199*24))/F199,IF(D199="marché libre",(C199/(A199*24))/G199,"spécifier histo"))</f>
        <v>#DIV/0!</v>
      </c>
      <c r="F199" s="59" t="n">
        <v>0</v>
      </c>
      <c r="G199" s="59" t="n">
        <f aca="false">F199-H199</f>
        <v>0</v>
      </c>
      <c r="H199" s="58" t="n">
        <v>0</v>
      </c>
      <c r="I199" s="1" t="s">
        <v>268</v>
      </c>
    </row>
    <row r="200" customFormat="false" ht="12.8" hidden="false" customHeight="false" outlineLevel="0" collapsed="false">
      <c r="A200" s="0" t="n">
        <v>30</v>
      </c>
      <c r="B200" s="31" t="n">
        <v>42675</v>
      </c>
      <c r="C200" s="59" t="n">
        <v>0</v>
      </c>
      <c r="D200" s="29" t="s">
        <v>42</v>
      </c>
      <c r="E200" s="33" t="e">
        <f aca="false">IF(D200="totale",(C200/(A200*24))/F200,IF(D200="marché libre",(C200/(A200*24))/G200,"spécifier histo"))</f>
        <v>#DIV/0!</v>
      </c>
      <c r="F200" s="59" t="n">
        <v>0</v>
      </c>
      <c r="G200" s="57" t="n">
        <f aca="false">F200-H200</f>
        <v>0</v>
      </c>
      <c r="H200" s="58" t="n">
        <v>0</v>
      </c>
      <c r="I200" s="1" t="s">
        <v>268</v>
      </c>
    </row>
    <row r="201" customFormat="false" ht="12.8" hidden="false" customHeight="false" outlineLevel="0" collapsed="false">
      <c r="A201" s="0" t="n">
        <v>31</v>
      </c>
      <c r="B201" s="34" t="n">
        <v>42705</v>
      </c>
      <c r="C201" s="60" t="n">
        <v>0</v>
      </c>
      <c r="D201" s="29" t="s">
        <v>42</v>
      </c>
      <c r="E201" s="33" t="e">
        <f aca="false">IF(D201="totale",(C201/(A201*24))/F201,IF(D201="marché libre",(C201/(A201*24))/G201,"spécifier histo"))</f>
        <v>#DIV/0!</v>
      </c>
      <c r="F201" s="59" t="n">
        <v>0</v>
      </c>
      <c r="G201" s="59" t="n">
        <f aca="false">F201-H201</f>
        <v>0</v>
      </c>
      <c r="H201" s="58" t="n">
        <v>0</v>
      </c>
      <c r="I201" s="1" t="s">
        <v>268</v>
      </c>
    </row>
    <row r="202" customFormat="false" ht="12.8" hidden="false" customHeight="false" outlineLevel="0" collapsed="false">
      <c r="A202" s="0" t="n">
        <v>31</v>
      </c>
      <c r="B202" s="31" t="n">
        <v>42736</v>
      </c>
      <c r="C202" s="60" t="n">
        <v>0</v>
      </c>
      <c r="D202" s="29" t="s">
        <v>42</v>
      </c>
      <c r="E202" s="33" t="e">
        <f aca="false">IF(D202="totale",(C202/(A202*24))/F202,IF(D202="marché libre",(C202/(A202*24))/G202,"spécifier histo"))</f>
        <v>#DIV/0!</v>
      </c>
      <c r="F202" s="59" t="n">
        <v>0</v>
      </c>
      <c r="G202" s="59" t="n">
        <f aca="false">F202-H202</f>
        <v>0</v>
      </c>
      <c r="H202" s="58" t="n">
        <v>0</v>
      </c>
      <c r="I202" s="1" t="s">
        <v>268</v>
      </c>
    </row>
    <row r="203" customFormat="false" ht="12.8" hidden="false" customHeight="false" outlineLevel="0" collapsed="false">
      <c r="A203" s="0" t="n">
        <v>28</v>
      </c>
      <c r="B203" s="34" t="n">
        <v>42767</v>
      </c>
      <c r="C203" s="60" t="n">
        <v>0</v>
      </c>
      <c r="D203" s="29" t="s">
        <v>42</v>
      </c>
      <c r="E203" s="33" t="e">
        <f aca="false">IF(D203="totale",(C203/(A203*24))/F203,IF(D203="marché libre",(C203/(A203*24))/G203,"spécifier histo"))</f>
        <v>#DIV/0!</v>
      </c>
      <c r="F203" s="59" t="n">
        <v>0</v>
      </c>
      <c r="G203" s="59" t="n">
        <f aca="false">F203-H203</f>
        <v>0</v>
      </c>
      <c r="H203" s="58" t="n">
        <v>0</v>
      </c>
      <c r="I203" s="1" t="s">
        <v>268</v>
      </c>
    </row>
    <row r="204" customFormat="false" ht="12.8" hidden="false" customHeight="false" outlineLevel="0" collapsed="false">
      <c r="A204" s="0" t="n">
        <v>31</v>
      </c>
      <c r="B204" s="31" t="n">
        <v>42795</v>
      </c>
      <c r="C204" s="59" t="n">
        <v>0</v>
      </c>
      <c r="D204" s="29" t="s">
        <v>42</v>
      </c>
      <c r="E204" s="33" t="e">
        <f aca="false">IF(D204="totale",(C204/(A204*24))/F204,IF(D204="marché libre",(C204/(A204*24))/G204,"spécifier histo"))</f>
        <v>#DIV/0!</v>
      </c>
      <c r="F204" s="59" t="n">
        <v>0</v>
      </c>
      <c r="G204" s="59" t="n">
        <f aca="false">F204-H204</f>
        <v>0</v>
      </c>
      <c r="H204" s="58" t="n">
        <v>0</v>
      </c>
      <c r="I204" s="1" t="s">
        <v>268</v>
      </c>
    </row>
    <row r="205" customFormat="false" ht="12.8" hidden="false" customHeight="false" outlineLevel="0" collapsed="false">
      <c r="A205" s="0" t="n">
        <v>30</v>
      </c>
      <c r="B205" s="34" t="n">
        <v>42826</v>
      </c>
      <c r="C205" s="59" t="n">
        <v>0</v>
      </c>
      <c r="D205" s="29" t="s">
        <v>42</v>
      </c>
      <c r="E205" s="33" t="e">
        <f aca="false">IF(D205="totale",(C205/(A205*24))/F205,IF(D205="marché libre",(C205/(A205*24))/G205,"spécifier histo"))</f>
        <v>#DIV/0!</v>
      </c>
      <c r="F205" s="59" t="n">
        <v>0</v>
      </c>
      <c r="G205" s="59" t="n">
        <f aca="false">F205-H205</f>
        <v>0</v>
      </c>
      <c r="H205" s="58" t="n">
        <v>0</v>
      </c>
      <c r="I205" s="1" t="s">
        <v>268</v>
      </c>
    </row>
    <row r="206" customFormat="false" ht="12.8" hidden="false" customHeight="false" outlineLevel="0" collapsed="false">
      <c r="A206" s="0" t="n">
        <v>31</v>
      </c>
      <c r="B206" s="31" t="n">
        <v>42856</v>
      </c>
      <c r="C206" s="9" t="n">
        <v>0</v>
      </c>
      <c r="D206" s="29" t="s">
        <v>42</v>
      </c>
      <c r="E206" s="33" t="e">
        <f aca="false">IF(D206="totale",(C206/(A206*24))/F206,IF(D206="marché libre",(C206/(A206*24))/G206,"spécifier histo"))</f>
        <v>#DIV/0!</v>
      </c>
      <c r="F206" s="59" t="n">
        <v>0</v>
      </c>
      <c r="G206" s="59" t="n">
        <f aca="false">F206-H206</f>
        <v>0</v>
      </c>
      <c r="H206" s="58" t="n">
        <v>0</v>
      </c>
      <c r="I206" s="1" t="s">
        <v>268</v>
      </c>
    </row>
    <row r="207" customFormat="false" ht="12.8" hidden="false" customHeight="false" outlineLevel="0" collapsed="false">
      <c r="A207" s="0" t="n">
        <v>30</v>
      </c>
      <c r="B207" s="34" t="n">
        <v>42887</v>
      </c>
      <c r="C207" s="9" t="n">
        <v>0</v>
      </c>
      <c r="D207" s="29" t="s">
        <v>42</v>
      </c>
      <c r="E207" s="33" t="e">
        <f aca="false">IF(D207="totale",(C207/(A207*24))/F207,IF(D207="marché libre",(C207/(A207*24))/G207,"spécifier histo"))</f>
        <v>#DIV/0!</v>
      </c>
      <c r="F207" s="59" t="n">
        <v>0</v>
      </c>
      <c r="G207" s="59" t="n">
        <f aca="false">F207-H207</f>
        <v>0</v>
      </c>
      <c r="H207" s="58" t="n">
        <v>0</v>
      </c>
      <c r="I207" s="1" t="s">
        <v>268</v>
      </c>
    </row>
    <row r="208" customFormat="false" ht="12.8" hidden="false" customHeight="false" outlineLevel="0" collapsed="false">
      <c r="A208" s="0" t="n">
        <v>31</v>
      </c>
      <c r="B208" s="31" t="n">
        <v>42917</v>
      </c>
      <c r="C208" s="9" t="n">
        <v>0</v>
      </c>
      <c r="D208" s="29" t="s">
        <v>42</v>
      </c>
      <c r="E208" s="33" t="e">
        <f aca="false">IF(D208="totale",(C208/(A208*24))/F208,IF(D208="marché libre",(C208/(A208*24))/G208,"spécifier histo"))</f>
        <v>#DIV/0!</v>
      </c>
      <c r="F208" s="59" t="n">
        <v>0</v>
      </c>
      <c r="G208" s="59" t="n">
        <f aca="false">F208-H208</f>
        <v>0</v>
      </c>
      <c r="H208" s="58" t="n">
        <v>0</v>
      </c>
      <c r="I208" s="1" t="s">
        <v>268</v>
      </c>
    </row>
    <row r="209" customFormat="false" ht="12.8" hidden="false" customHeight="false" outlineLevel="0" collapsed="false">
      <c r="A209" s="0" t="n">
        <v>31</v>
      </c>
      <c r="B209" s="34" t="n">
        <v>42948</v>
      </c>
      <c r="C209" s="9" t="n">
        <v>0</v>
      </c>
      <c r="D209" s="29" t="s">
        <v>42</v>
      </c>
      <c r="E209" s="33" t="e">
        <f aca="false">IF(D209="totale",(C209/(A209*24))/F209,IF(D209="marché libre",(C209/(A209*24))/G209,"spécifier histo"))</f>
        <v>#DIV/0!</v>
      </c>
      <c r="F209" s="59" t="n">
        <v>0</v>
      </c>
      <c r="G209" s="59" t="n">
        <f aca="false">F209-H209</f>
        <v>0</v>
      </c>
      <c r="H209" s="58" t="n">
        <v>0</v>
      </c>
      <c r="I209" s="1" t="s">
        <v>268</v>
      </c>
    </row>
    <row r="210" customFormat="false" ht="12.8" hidden="false" customHeight="false" outlineLevel="0" collapsed="false">
      <c r="A210" s="0" t="n">
        <v>30</v>
      </c>
      <c r="B210" s="31" t="n">
        <v>42979</v>
      </c>
      <c r="C210" s="9" t="n">
        <v>0</v>
      </c>
      <c r="D210" s="29" t="s">
        <v>42</v>
      </c>
      <c r="E210" s="33" t="e">
        <f aca="false">IF(D210="totale",(C210/(A210*24))/F210,IF(D210="marché libre",(C210/(A210*24))/G210,"spécifier histo"))</f>
        <v>#DIV/0!</v>
      </c>
      <c r="F210" s="59" t="n">
        <v>0</v>
      </c>
      <c r="G210" s="59" t="n">
        <f aca="false">F210-H210</f>
        <v>0</v>
      </c>
      <c r="H210" s="58" t="n">
        <v>0</v>
      </c>
      <c r="I210" s="1" t="s">
        <v>268</v>
      </c>
    </row>
    <row r="211" customFormat="false" ht="12.8" hidden="false" customHeight="false" outlineLevel="0" collapsed="false">
      <c r="A211" s="0" t="n">
        <v>31</v>
      </c>
      <c r="B211" s="34" t="n">
        <v>43009</v>
      </c>
      <c r="C211" s="9" t="n">
        <v>0</v>
      </c>
      <c r="D211" s="29" t="s">
        <v>42</v>
      </c>
      <c r="E211" s="33" t="e">
        <f aca="false">IF(D211="totale",(C211/(A211*24))/F211,IF(D211="marché libre",(C211/(A211*24))/G211,"spécifier histo"))</f>
        <v>#DIV/0!</v>
      </c>
      <c r="F211" s="59" t="n">
        <v>0</v>
      </c>
      <c r="G211" s="59" t="n">
        <f aca="false">F211-H211</f>
        <v>0</v>
      </c>
      <c r="H211" s="58" t="n">
        <v>0</v>
      </c>
      <c r="I211" s="1" t="s">
        <v>268</v>
      </c>
    </row>
    <row r="212" customFormat="false" ht="12.8" hidden="false" customHeight="false" outlineLevel="0" collapsed="false">
      <c r="A212" s="0" t="n">
        <v>30</v>
      </c>
      <c r="B212" s="31" t="n">
        <v>43040</v>
      </c>
      <c r="C212" s="9" t="n">
        <v>0</v>
      </c>
      <c r="D212" s="29" t="s">
        <v>42</v>
      </c>
      <c r="E212" s="33" t="e">
        <f aca="false">IF(D212="totale",(C212/(A212*24))/F212,IF(D212="marché libre",(C212/(A212*24))/G212,"spécifier histo"))</f>
        <v>#DIV/0!</v>
      </c>
      <c r="F212" s="59" t="n">
        <v>0</v>
      </c>
      <c r="G212" s="59" t="n">
        <f aca="false">F212-H212</f>
        <v>0</v>
      </c>
      <c r="H212" s="58" t="n">
        <v>0</v>
      </c>
      <c r="I212" s="1" t="s">
        <v>268</v>
      </c>
    </row>
    <row r="213" customFormat="false" ht="12.8" hidden="false" customHeight="false" outlineLevel="0" collapsed="false">
      <c r="A213" s="0" t="n">
        <v>31</v>
      </c>
      <c r="B213" s="34" t="n">
        <v>43070</v>
      </c>
      <c r="C213" s="9" t="n">
        <v>0</v>
      </c>
      <c r="D213" s="29" t="s">
        <v>42</v>
      </c>
      <c r="E213" s="33" t="e">
        <f aca="false">IF(D213="totale",(C213/(A213*24))/F213,IF(D213="marché libre",(C213/(A213*24))/G213,"spécifier histo"))</f>
        <v>#DIV/0!</v>
      </c>
      <c r="F213" s="59" t="n">
        <v>0</v>
      </c>
      <c r="G213" s="59" t="n">
        <f aca="false">F213-H213</f>
        <v>0</v>
      </c>
      <c r="H213" s="58" t="n">
        <v>0</v>
      </c>
      <c r="I213" s="1" t="s">
        <v>268</v>
      </c>
    </row>
    <row r="214" customFormat="false" ht="12.8" hidden="false" customHeight="false" outlineLevel="0" collapsed="false">
      <c r="A214" s="0" t="n">
        <v>31</v>
      </c>
      <c r="B214" s="31" t="n">
        <v>43101</v>
      </c>
      <c r="C214" s="9" t="n">
        <v>0</v>
      </c>
      <c r="D214" s="29" t="s">
        <v>42</v>
      </c>
      <c r="E214" s="33" t="e">
        <f aca="false">IF(D214="totale",(C214/(A214*24))/F214,IF(D214="marché libre",(C214/(A214*24))/G214,"spécifier histo"))</f>
        <v>#DIV/0!</v>
      </c>
      <c r="F214" s="59" t="n">
        <v>0</v>
      </c>
      <c r="G214" s="59" t="n">
        <f aca="false">F214-H214</f>
        <v>0</v>
      </c>
      <c r="H214" s="58" t="n">
        <v>0</v>
      </c>
      <c r="I214" s="1" t="s">
        <v>268</v>
      </c>
    </row>
    <row r="215" customFormat="false" ht="12.8" hidden="false" customHeight="false" outlineLevel="0" collapsed="false">
      <c r="A215" s="0" t="n">
        <v>28</v>
      </c>
      <c r="B215" s="34" t="n">
        <v>43132</v>
      </c>
      <c r="C215" s="1" t="n">
        <v>0</v>
      </c>
      <c r="D215" s="29" t="s">
        <v>42</v>
      </c>
      <c r="E215" s="33" t="e">
        <f aca="false">IF(D215="totale",(C215/(A215*24))/F215,IF(D215="marché libre",(C215/(A215*24))/G215,"spécifier histo"))</f>
        <v>#DIV/0!</v>
      </c>
      <c r="F215" s="59" t="n">
        <v>0</v>
      </c>
      <c r="G215" s="59" t="n">
        <f aca="false">F215-H215</f>
        <v>0</v>
      </c>
      <c r="H215" s="58" t="n">
        <v>0</v>
      </c>
      <c r="I215" s="1" t="s">
        <v>268</v>
      </c>
    </row>
    <row r="216" customFormat="false" ht="12.8" hidden="false" customHeight="false" outlineLevel="0" collapsed="false">
      <c r="A216" s="0" t="n">
        <v>31</v>
      </c>
      <c r="B216" s="31" t="n">
        <v>43160</v>
      </c>
      <c r="C216" s="1" t="n">
        <v>0</v>
      </c>
      <c r="D216" s="29" t="s">
        <v>42</v>
      </c>
      <c r="E216" s="33" t="e">
        <f aca="false">IF(D216="totale",(C216/(A216*24))/F216,IF(D216="marché libre",(C216/(A216*24))/G216,"spécifier histo"))</f>
        <v>#DIV/0!</v>
      </c>
      <c r="F216" s="59" t="n">
        <v>0</v>
      </c>
      <c r="G216" s="59" t="n">
        <f aca="false">F216-H216</f>
        <v>0</v>
      </c>
      <c r="H216" s="58" t="n">
        <v>0</v>
      </c>
      <c r="I216" s="1" t="s">
        <v>268</v>
      </c>
    </row>
    <row r="217" customFormat="false" ht="12.8" hidden="false" customHeight="false" outlineLevel="0" collapsed="false">
      <c r="A217" s="0" t="n">
        <v>28</v>
      </c>
      <c r="B217" s="34" t="n">
        <v>43191</v>
      </c>
      <c r="C217" s="1" t="n">
        <v>0</v>
      </c>
      <c r="D217" s="29" t="s">
        <v>42</v>
      </c>
      <c r="E217" s="33" t="e">
        <f aca="false">IF(D217="totale",(C217/(A217*24))/F217,IF(D217="marché libre",(C217/(A217*24))/G217,"spécifier histo"))</f>
        <v>#DIV/0!</v>
      </c>
      <c r="F217" s="59" t="n">
        <v>0</v>
      </c>
      <c r="G217" s="59" t="n">
        <f aca="false">F217-H217</f>
        <v>0</v>
      </c>
      <c r="H217" s="58" t="n">
        <v>0</v>
      </c>
      <c r="I217" s="1" t="s">
        <v>268</v>
      </c>
    </row>
    <row r="218" customFormat="false" ht="12.8" hidden="false" customHeight="false" outlineLevel="0" collapsed="false">
      <c r="A218" s="0" t="n">
        <v>31</v>
      </c>
      <c r="B218" s="31" t="n">
        <v>43221</v>
      </c>
      <c r="C218" s="1" t="n">
        <v>0</v>
      </c>
      <c r="D218" s="29" t="s">
        <v>42</v>
      </c>
      <c r="E218" s="33" t="e">
        <f aca="false">IF(D218="totale",(C218/(A218*24))/F218,IF(D218="marché libre",(C218/(A218*24))/G218,"spécifier histo"))</f>
        <v>#DIV/0!</v>
      </c>
      <c r="F218" s="59" t="n">
        <v>0</v>
      </c>
      <c r="G218" s="59" t="n">
        <f aca="false">F218-H218</f>
        <v>0</v>
      </c>
      <c r="H218" s="58" t="n">
        <v>0</v>
      </c>
      <c r="I218" s="1" t="s">
        <v>268</v>
      </c>
      <c r="J218" s="247" t="s">
        <v>269</v>
      </c>
    </row>
    <row r="219" customFormat="false" ht="12.8" hidden="false" customHeight="false" outlineLevel="0" collapsed="false">
      <c r="A219" s="0" t="n">
        <v>30</v>
      </c>
      <c r="B219" s="34" t="n">
        <v>43252</v>
      </c>
      <c r="C219" s="1" t="n">
        <v>0</v>
      </c>
      <c r="D219" s="29" t="s">
        <v>42</v>
      </c>
      <c r="E219" s="33" t="e">
        <f aca="false">IF(D219="totale",(C219/(A219*24))/F219,IF(D219="marché libre",(C219/(A219*24))/G219,"spécifier histo"))</f>
        <v>#DIV/0!</v>
      </c>
      <c r="F219" s="59" t="n">
        <v>0</v>
      </c>
      <c r="G219" s="59" t="n">
        <f aca="false">F219-H219</f>
        <v>0</v>
      </c>
      <c r="H219" s="58" t="n">
        <v>0</v>
      </c>
      <c r="I219" s="1" t="s">
        <v>268</v>
      </c>
      <c r="J219" s="248"/>
    </row>
    <row r="220" customFormat="false" ht="12.8" hidden="false" customHeight="false" outlineLevel="0" collapsed="false">
      <c r="A220" s="0" t="n">
        <v>31</v>
      </c>
      <c r="B220" s="31" t="n">
        <v>43282</v>
      </c>
      <c r="C220" s="1" t="n">
        <v>0</v>
      </c>
      <c r="D220" s="29" t="s">
        <v>42</v>
      </c>
      <c r="E220" s="33" t="e">
        <f aca="false">IF(D220="totale",(C220/(A220*24))/F220,IF(D220="marché libre",(C220/(A220*24))/G220,"spécifier histo"))</f>
        <v>#DIV/0!</v>
      </c>
      <c r="F220" s="59" t="n">
        <v>0</v>
      </c>
      <c r="G220" s="59" t="n">
        <f aca="false">F220-H220</f>
        <v>0</v>
      </c>
      <c r="H220" s="58" t="n">
        <v>0</v>
      </c>
      <c r="I220" s="1" t="s">
        <v>268</v>
      </c>
    </row>
    <row r="221" customFormat="false" ht="12.8" hidden="false" customHeight="false" outlineLevel="0" collapsed="false">
      <c r="A221" s="0" t="n">
        <v>30</v>
      </c>
      <c r="B221" s="34" t="n">
        <v>43313</v>
      </c>
      <c r="C221" s="1" t="n">
        <v>0</v>
      </c>
      <c r="D221" s="29" t="s">
        <v>42</v>
      </c>
      <c r="E221" s="33" t="e">
        <f aca="false">IF(D221="totale",(C221/(A221*24))/F221,IF(D221="marché libre",(C221/(A221*24))/G221,"spécifier histo"))</f>
        <v>#DIV/0!</v>
      </c>
      <c r="F221" s="59" t="n">
        <v>0</v>
      </c>
      <c r="G221" s="59" t="n">
        <f aca="false">F221-H221</f>
        <v>0</v>
      </c>
      <c r="H221" s="58" t="n">
        <v>0</v>
      </c>
      <c r="I221" s="1" t="s">
        <v>268</v>
      </c>
    </row>
    <row r="222" customFormat="false" ht="12.8" hidden="false" customHeight="false" outlineLevel="0" collapsed="false">
      <c r="A222" s="0" t="n">
        <v>31</v>
      </c>
      <c r="B222" s="31" t="n">
        <v>43344</v>
      </c>
      <c r="C222" s="1" t="n">
        <v>0</v>
      </c>
      <c r="D222" s="29" t="s">
        <v>42</v>
      </c>
      <c r="E222" s="33" t="e">
        <f aca="false">IF(D222="totale",(C222/(A222*24))/F222,IF(D222="marché libre",(C222/(A222*24))/G222,"spécifier histo"))</f>
        <v>#DIV/0!</v>
      </c>
      <c r="F222" s="59" t="n">
        <v>0</v>
      </c>
      <c r="G222" s="59" t="n">
        <f aca="false">F222-H222</f>
        <v>0</v>
      </c>
      <c r="H222" s="58" t="n">
        <v>0</v>
      </c>
      <c r="I222" s="1" t="s">
        <v>268</v>
      </c>
    </row>
    <row r="223" customFormat="false" ht="12.8" hidden="false" customHeight="false" outlineLevel="0" collapsed="false">
      <c r="A223" s="0" t="n">
        <v>31</v>
      </c>
      <c r="B223" s="34" t="n">
        <v>43374</v>
      </c>
      <c r="C223" s="1" t="n">
        <v>0</v>
      </c>
      <c r="D223" s="29" t="s">
        <v>42</v>
      </c>
      <c r="E223" s="33" t="e">
        <f aca="false">IF(D223="totale",(C223/(A223*24))/F223,IF(D223="marché libre",(C223/(A223*24))/G223,"spécifier histo"))</f>
        <v>#DIV/0!</v>
      </c>
      <c r="F223" s="59" t="n">
        <v>0</v>
      </c>
      <c r="G223" s="59" t="n">
        <f aca="false">F223-H223</f>
        <v>0</v>
      </c>
      <c r="H223" s="58" t="n">
        <v>0</v>
      </c>
      <c r="I223" s="1" t="s">
        <v>268</v>
      </c>
    </row>
    <row r="224" customFormat="false" ht="12.8" hidden="false" customHeight="false" outlineLevel="0" collapsed="false">
      <c r="F224" s="59"/>
    </row>
  </sheetData>
  <mergeCells count="13">
    <mergeCell ref="B1:E2"/>
    <mergeCell ref="F1:N1"/>
    <mergeCell ref="F2:I2"/>
    <mergeCell ref="J2:K2"/>
    <mergeCell ref="L2:M2"/>
    <mergeCell ref="N2:N3"/>
    <mergeCell ref="U2:U3"/>
    <mergeCell ref="T4:V4"/>
    <mergeCell ref="C6:D6"/>
    <mergeCell ref="F6:F7"/>
    <mergeCell ref="G6:N7"/>
    <mergeCell ref="C7:D7"/>
    <mergeCell ref="L11:Q16"/>
  </mergeCells>
  <conditionalFormatting sqref="E10:E22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tabColor rgb="FF00CC33"/>
    <pageSetUpPr fitToPage="false"/>
  </sheetPr>
  <dimension ref="A1:V24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F204" activeCellId="0" sqref="F204"/>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7.44"/>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17.13"/>
    <col collapsed="false" customWidth="true" hidden="false" outlineLevel="0" max="11" min="11" style="1" width="38.9"/>
    <col collapsed="false" customWidth="true" hidden="false" outlineLevel="0" max="12" min="12" style="1" width="23.01"/>
    <col collapsed="false" customWidth="false" hidden="false" outlineLevel="0" max="13" min="13" style="1" width="11.52"/>
    <col collapsed="false" customWidth="true" hidden="false" outlineLevel="0" max="14" min="14" style="1" width="8.94"/>
    <col collapsed="false" customWidth="true" hidden="false" outlineLevel="0" max="15" min="15" style="1" width="4.02"/>
    <col collapsed="false" customWidth="true" hidden="false" outlineLevel="0" max="16" min="16" style="1" width="11.88"/>
    <col collapsed="false" customWidth="true" hidden="false" outlineLevel="0" max="17" min="17" style="1" width="15.28"/>
    <col collapsed="false" customWidth="true" hidden="false" outlineLevel="0" max="18" min="18" style="1" width="3.85"/>
    <col collapsed="false" customWidth="true" hidden="false" outlineLevel="0" max="19" min="19" style="1" width="7.1"/>
    <col collapsed="false" customWidth="false" hidden="false" outlineLevel="0" max="1025" min="20" style="1" width="11.52"/>
  </cols>
  <sheetData>
    <row r="1" customFormat="false" ht="30.8" hidden="false" customHeight="true" outlineLevel="0" collapsed="false">
      <c r="A1" s="122" t="s">
        <v>108</v>
      </c>
      <c r="B1" s="2" t="s">
        <v>0</v>
      </c>
      <c r="C1" s="2"/>
      <c r="D1" s="2"/>
      <c r="E1" s="2"/>
      <c r="F1" s="3" t="s">
        <v>1</v>
      </c>
      <c r="G1" s="3"/>
      <c r="H1" s="3"/>
      <c r="I1" s="3"/>
      <c r="J1" s="3"/>
      <c r="K1" s="3"/>
      <c r="L1" s="3"/>
      <c r="M1" s="3"/>
      <c r="N1" s="3"/>
    </row>
    <row r="2" customFormat="false" ht="30.8" hidden="false" customHeight="true" outlineLevel="0" collapsed="false">
      <c r="A2" s="0" t="n">
        <v>5</v>
      </c>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270</v>
      </c>
      <c r="C4" s="16" t="n">
        <v>40587</v>
      </c>
      <c r="D4" s="5" t="s">
        <v>271</v>
      </c>
      <c r="E4" s="14" t="s">
        <v>272</v>
      </c>
      <c r="F4" s="15" t="n">
        <f aca="false">1560+670</f>
        <v>2230</v>
      </c>
      <c r="G4" s="15" t="n">
        <v>2000</v>
      </c>
      <c r="H4" s="15" t="s">
        <v>273</v>
      </c>
      <c r="I4" s="5" t="s">
        <v>274</v>
      </c>
      <c r="J4" s="15"/>
      <c r="K4" s="16"/>
      <c r="L4" s="16" t="n">
        <v>670</v>
      </c>
      <c r="M4" s="16" t="s">
        <v>145</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59.15" hidden="false" customHeight="true" outlineLevel="0" collapsed="false">
      <c r="A6" s="0"/>
      <c r="B6" s="0"/>
      <c r="C6" s="10" t="s">
        <v>25</v>
      </c>
      <c r="D6" s="10"/>
      <c r="F6" s="20" t="s">
        <v>26</v>
      </c>
      <c r="G6" s="19" t="s">
        <v>275</v>
      </c>
      <c r="H6" s="19"/>
      <c r="I6" s="19"/>
      <c r="J6" s="19"/>
      <c r="K6" s="19"/>
      <c r="L6" s="19"/>
      <c r="M6" s="19"/>
      <c r="N6" s="19"/>
      <c r="P6" s="21" t="n">
        <v>42005</v>
      </c>
      <c r="Q6" s="19" t="s">
        <v>27</v>
      </c>
      <c r="R6" s="9"/>
      <c r="S6" s="22"/>
      <c r="T6" s="5" t="s">
        <v>28</v>
      </c>
    </row>
    <row r="7" customFormat="false" ht="66.9" hidden="false" customHeight="true" outlineLevel="0" collapsed="false">
      <c r="A7" s="0"/>
      <c r="B7" s="0"/>
      <c r="C7" s="23" t="s">
        <v>276</v>
      </c>
      <c r="D7" s="23"/>
      <c r="F7" s="20"/>
      <c r="G7" s="20"/>
      <c r="H7" s="19"/>
      <c r="I7" s="19"/>
      <c r="J7" s="19"/>
      <c r="K7" s="19"/>
      <c r="L7" s="19"/>
      <c r="M7" s="19"/>
      <c r="N7" s="19"/>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18.5" hidden="false" customHeight="true" outlineLevel="0" collapsed="false">
      <c r="A10" s="0" t="n">
        <v>31</v>
      </c>
      <c r="B10" s="31" t="n">
        <v>37257</v>
      </c>
      <c r="C10" s="56" t="n">
        <v>385000</v>
      </c>
      <c r="D10" s="29" t="s">
        <v>41</v>
      </c>
      <c r="E10" s="33" t="n">
        <f aca="false">IF(D10="totale",(C10/(A10*24))/F10,IF(D10="marché libre",(C10/(A10*24))/G10,"spécifier histo"))</f>
        <v>0.258736559139785</v>
      </c>
      <c r="F10" s="59" t="n">
        <v>2000</v>
      </c>
      <c r="G10" s="59" t="n">
        <f aca="false">F10-H10</f>
        <v>2000</v>
      </c>
      <c r="H10" s="59" t="n">
        <v>0</v>
      </c>
      <c r="I10" s="9"/>
      <c r="J10" s="30"/>
    </row>
    <row r="11" customFormat="false" ht="18.5" hidden="false" customHeight="true" outlineLevel="0" collapsed="false">
      <c r="A11" s="0" t="n">
        <v>28</v>
      </c>
      <c r="B11" s="34" t="n">
        <v>37288</v>
      </c>
      <c r="C11" s="56" t="n">
        <v>776000</v>
      </c>
      <c r="D11" s="29" t="s">
        <v>41</v>
      </c>
      <c r="E11" s="33" t="n">
        <f aca="false">IF(D11="totale",(C11/(A11*24))/F11,IF(D11="marché libre",(C11/(A11*24))/G11,"spécifier histo"))</f>
        <v>0.577380952380952</v>
      </c>
      <c r="F11" s="59" t="n">
        <v>2000</v>
      </c>
      <c r="G11" s="59" t="n">
        <f aca="false">F11-H11</f>
        <v>2000</v>
      </c>
      <c r="H11" s="59" t="n">
        <v>0</v>
      </c>
      <c r="I11" s="9"/>
      <c r="J11" s="30"/>
    </row>
    <row r="12" customFormat="false" ht="18.5" hidden="false" customHeight="true" outlineLevel="0" collapsed="false">
      <c r="A12" s="0" t="n">
        <v>31</v>
      </c>
      <c r="B12" s="31" t="n">
        <v>37316</v>
      </c>
      <c r="C12" s="56" t="n">
        <v>1265000</v>
      </c>
      <c r="D12" s="29" t="s">
        <v>41</v>
      </c>
      <c r="E12" s="33" t="n">
        <f aca="false">IF(D12="totale",(C12/(A12*24))/F12,IF(D12="marché libre",(C12/(A12*24))/G12,"spécifier histo"))</f>
        <v>0.85013440860215</v>
      </c>
      <c r="F12" s="59" t="n">
        <v>2000</v>
      </c>
      <c r="G12" s="59" t="n">
        <f aca="false">F12-H12</f>
        <v>2000</v>
      </c>
      <c r="H12" s="59" t="n">
        <v>0</v>
      </c>
      <c r="I12" s="9"/>
      <c r="J12" s="30"/>
    </row>
    <row r="13" customFormat="false" ht="18.5" hidden="false" customHeight="true" outlineLevel="0" collapsed="false">
      <c r="A13" s="0" t="n">
        <v>30</v>
      </c>
      <c r="B13" s="34" t="n">
        <v>37347</v>
      </c>
      <c r="C13" s="56" t="n">
        <v>813000</v>
      </c>
      <c r="D13" s="29" t="s">
        <v>41</v>
      </c>
      <c r="E13" s="33" t="n">
        <f aca="false">IF(D13="totale",(C13/(A13*24))/F13,IF(D13="marché libre",(C13/(A13*24))/G13,"spécifier histo"))</f>
        <v>0.564583333333333</v>
      </c>
      <c r="F13" s="59" t="n">
        <v>2000</v>
      </c>
      <c r="G13" s="59" t="n">
        <f aca="false">F13-H13</f>
        <v>2000</v>
      </c>
      <c r="H13" s="59" t="n">
        <v>0</v>
      </c>
      <c r="I13" s="9"/>
      <c r="J13" s="30"/>
    </row>
    <row r="14" customFormat="false" ht="18.5" hidden="false" customHeight="true" outlineLevel="0" collapsed="false">
      <c r="A14" s="0" t="n">
        <v>31</v>
      </c>
      <c r="B14" s="31" t="n">
        <v>37377</v>
      </c>
      <c r="C14" s="56" t="n">
        <v>1298000</v>
      </c>
      <c r="D14" s="29" t="s">
        <v>41</v>
      </c>
      <c r="E14" s="33" t="n">
        <f aca="false">IF(D14="totale",(C14/(A14*24))/F14,IF(D14="marché libre",(C14/(A14*24))/G14,"spécifier histo"))</f>
        <v>0.872311827956989</v>
      </c>
      <c r="F14" s="59" t="n">
        <v>2000</v>
      </c>
      <c r="G14" s="59" t="n">
        <f aca="false">F14-H14</f>
        <v>2000</v>
      </c>
      <c r="H14" s="59" t="n">
        <v>0</v>
      </c>
      <c r="I14" s="9"/>
      <c r="J14" s="30"/>
    </row>
    <row r="15" customFormat="false" ht="18.5" hidden="false" customHeight="true" outlineLevel="0" collapsed="false">
      <c r="A15" s="0" t="n">
        <v>30</v>
      </c>
      <c r="B15" s="34" t="n">
        <v>37408</v>
      </c>
      <c r="C15" s="56" t="n">
        <v>804000</v>
      </c>
      <c r="D15" s="29" t="s">
        <v>41</v>
      </c>
      <c r="E15" s="33" t="n">
        <f aca="false">IF(D15="totale",(C15/(A15*24))/F15,IF(D15="marché libre",(C15/(A15*24))/G15,"spécifier histo"))</f>
        <v>0.558333333333333</v>
      </c>
      <c r="F15" s="59" t="n">
        <v>2000</v>
      </c>
      <c r="G15" s="59" t="n">
        <f aca="false">F15-H15</f>
        <v>2000</v>
      </c>
      <c r="H15" s="59" t="n">
        <v>0</v>
      </c>
      <c r="I15" s="9"/>
      <c r="J15" s="30"/>
    </row>
    <row r="16" customFormat="false" ht="18.5" hidden="false" customHeight="true" outlineLevel="0" collapsed="false">
      <c r="A16" s="0" t="n">
        <v>31</v>
      </c>
      <c r="B16" s="31" t="n">
        <v>37438</v>
      </c>
      <c r="C16" s="56" t="n">
        <v>409000</v>
      </c>
      <c r="D16" s="29" t="s">
        <v>41</v>
      </c>
      <c r="E16" s="33" t="n">
        <f aca="false">IF(D16="totale",(C16/(A16*24))/F16,IF(D16="marché libre",(C16/(A16*24))/G16,"spécifier histo"))</f>
        <v>0.274865591397849</v>
      </c>
      <c r="F16" s="59" t="n">
        <v>2000</v>
      </c>
      <c r="G16" s="59" t="n">
        <f aca="false">F16-H16</f>
        <v>2000</v>
      </c>
      <c r="H16" s="59" t="n">
        <v>0</v>
      </c>
      <c r="I16" s="9"/>
      <c r="J16" s="30"/>
    </row>
    <row r="17" customFormat="false" ht="18.5" hidden="false" customHeight="true" outlineLevel="0" collapsed="false">
      <c r="A17" s="0" t="n">
        <v>31</v>
      </c>
      <c r="B17" s="34" t="n">
        <v>37469</v>
      </c>
      <c r="C17" s="56" t="n">
        <v>520000</v>
      </c>
      <c r="D17" s="29" t="s">
        <v>41</v>
      </c>
      <c r="E17" s="33" t="n">
        <f aca="false">IF(D17="totale",(C17/(A17*24))/F17,IF(D17="marché libre",(C17/(A17*24))/G17,"spécifier histo"))</f>
        <v>0.349462365591398</v>
      </c>
      <c r="F17" s="59" t="n">
        <v>2000</v>
      </c>
      <c r="G17" s="59" t="n">
        <f aca="false">F17-H17</f>
        <v>2000</v>
      </c>
      <c r="H17" s="59" t="n">
        <v>0</v>
      </c>
      <c r="I17" s="9"/>
      <c r="J17" s="30"/>
    </row>
    <row r="18" customFormat="false" ht="18.5" hidden="false" customHeight="true" outlineLevel="0" collapsed="false">
      <c r="A18" s="0" t="n">
        <v>30</v>
      </c>
      <c r="B18" s="31" t="n">
        <v>37500</v>
      </c>
      <c r="C18" s="56" t="n">
        <v>366000</v>
      </c>
      <c r="D18" s="29" t="s">
        <v>41</v>
      </c>
      <c r="E18" s="33" t="n">
        <f aca="false">IF(D18="totale",(C18/(A18*24))/F18,IF(D18="marché libre",(C18/(A18*24))/G18,"spécifier histo"))</f>
        <v>0.254166666666667</v>
      </c>
      <c r="F18" s="59" t="n">
        <v>2000</v>
      </c>
      <c r="G18" s="59" t="n">
        <f aca="false">F18-H18</f>
        <v>2000</v>
      </c>
      <c r="H18" s="59" t="n">
        <v>0</v>
      </c>
      <c r="I18" s="9"/>
      <c r="J18" s="30"/>
    </row>
    <row r="19" customFormat="false" ht="18.5" hidden="false" customHeight="true" outlineLevel="0" collapsed="false">
      <c r="A19" s="0" t="n">
        <v>31</v>
      </c>
      <c r="B19" s="34" t="n">
        <v>37530</v>
      </c>
      <c r="C19" s="56" t="n">
        <v>641000</v>
      </c>
      <c r="D19" s="29" t="s">
        <v>41</v>
      </c>
      <c r="E19" s="33" t="n">
        <f aca="false">IF(D19="totale",(C19/(A19*24))/F19,IF(D19="marché libre",(C19/(A19*24))/G19,"spécifier histo"))</f>
        <v>0.430779569892473</v>
      </c>
      <c r="F19" s="59" t="n">
        <v>2000</v>
      </c>
      <c r="G19" s="59" t="n">
        <f aca="false">F19-H19</f>
        <v>2000</v>
      </c>
      <c r="H19" s="59" t="n">
        <v>0</v>
      </c>
      <c r="I19" s="9"/>
      <c r="J19" s="30"/>
    </row>
    <row r="20" customFormat="false" ht="18.5" hidden="false" customHeight="true" outlineLevel="0" collapsed="false">
      <c r="A20" s="0" t="n">
        <v>30</v>
      </c>
      <c r="B20" s="31" t="n">
        <v>37561</v>
      </c>
      <c r="C20" s="56" t="n">
        <v>1380000</v>
      </c>
      <c r="D20" s="29" t="s">
        <v>41</v>
      </c>
      <c r="E20" s="33" t="n">
        <f aca="false">IF(D20="totale",(C20/(A20*24))/F20,IF(D20="marché libre",(C20/(A20*24))/G20,"spécifier histo"))</f>
        <v>0.958333333333333</v>
      </c>
      <c r="F20" s="59" t="n">
        <v>2000</v>
      </c>
      <c r="G20" s="59" t="n">
        <f aca="false">F20-H20</f>
        <v>2000</v>
      </c>
      <c r="H20" s="59" t="n">
        <v>0</v>
      </c>
      <c r="I20" s="9"/>
      <c r="J20" s="30"/>
    </row>
    <row r="21" customFormat="false" ht="18.5" hidden="false" customHeight="true" outlineLevel="0" collapsed="false">
      <c r="A21" s="0" t="n">
        <v>31</v>
      </c>
      <c r="B21" s="34" t="n">
        <v>37591</v>
      </c>
      <c r="C21" s="56" t="n">
        <v>1232000</v>
      </c>
      <c r="D21" s="29" t="s">
        <v>41</v>
      </c>
      <c r="E21" s="33" t="n">
        <f aca="false">IF(D21="totale",(C21/(A21*24))/F21,IF(D21="marché libre",(C21/(A21*24))/G21,"spécifier histo"))</f>
        <v>0.827956989247312</v>
      </c>
      <c r="F21" s="59" t="n">
        <v>2000</v>
      </c>
      <c r="G21" s="59" t="n">
        <f aca="false">F21-H21</f>
        <v>2000</v>
      </c>
      <c r="H21" s="59" t="n">
        <v>0</v>
      </c>
      <c r="I21" s="9"/>
      <c r="J21" s="30"/>
    </row>
    <row r="22" customFormat="false" ht="18.5" hidden="false" customHeight="true" outlineLevel="0" collapsed="false">
      <c r="A22" s="0" t="n">
        <v>31</v>
      </c>
      <c r="B22" s="31" t="n">
        <v>37622</v>
      </c>
      <c r="C22" s="56" t="n">
        <v>1219000</v>
      </c>
      <c r="D22" s="29" t="s">
        <v>41</v>
      </c>
      <c r="E22" s="33" t="n">
        <f aca="false">IF(D22="totale",(C22/(A22*24))/F22,IF(D22="marché libre",(C22/(A22*24))/G22,"spécifier histo"))</f>
        <v>0.819220430107527</v>
      </c>
      <c r="F22" s="59" t="n">
        <v>2000</v>
      </c>
      <c r="G22" s="59" t="n">
        <f aca="false">F22-H22</f>
        <v>2000</v>
      </c>
      <c r="H22" s="59" t="n">
        <v>0</v>
      </c>
      <c r="I22" s="9"/>
      <c r="J22" s="30"/>
    </row>
    <row r="23" customFormat="false" ht="18.5" hidden="false" customHeight="true" outlineLevel="0" collapsed="false">
      <c r="A23" s="0" t="n">
        <v>28</v>
      </c>
      <c r="B23" s="34" t="n">
        <v>37653</v>
      </c>
      <c r="C23" s="56" t="n">
        <v>799000</v>
      </c>
      <c r="D23" s="29" t="s">
        <v>41</v>
      </c>
      <c r="E23" s="33" t="n">
        <f aca="false">IF(D23="totale",(C23/(A23*24))/F23,IF(D23="marché libre",(C23/(A23*24))/G23,"spécifier histo"))</f>
        <v>0.594494047619048</v>
      </c>
      <c r="F23" s="59" t="n">
        <v>2000</v>
      </c>
      <c r="G23" s="59" t="n">
        <f aca="false">F23-H23</f>
        <v>2000</v>
      </c>
      <c r="H23" s="59" t="n">
        <v>0</v>
      </c>
      <c r="I23" s="9"/>
      <c r="J23" s="30"/>
    </row>
    <row r="24" customFormat="false" ht="18.5" hidden="false" customHeight="true" outlineLevel="0" collapsed="false">
      <c r="A24" s="0" t="n">
        <v>31</v>
      </c>
      <c r="B24" s="31" t="n">
        <v>37681</v>
      </c>
      <c r="C24" s="56" t="n">
        <v>1065000</v>
      </c>
      <c r="D24" s="29" t="s">
        <v>41</v>
      </c>
      <c r="E24" s="33" t="n">
        <f aca="false">IF(D24="totale",(C24/(A24*24))/F24,IF(D24="marché libre",(C24/(A24*24))/G24,"spécifier histo"))</f>
        <v>0.715725806451613</v>
      </c>
      <c r="F24" s="59" t="n">
        <v>2000</v>
      </c>
      <c r="G24" s="59" t="n">
        <f aca="false">F24-H24</f>
        <v>2000</v>
      </c>
      <c r="H24" s="59" t="n">
        <v>0</v>
      </c>
      <c r="I24" s="9"/>
      <c r="J24" s="30"/>
    </row>
    <row r="25" customFormat="false" ht="18.5" hidden="false" customHeight="true" outlineLevel="0" collapsed="false">
      <c r="A25" s="0" t="n">
        <v>30</v>
      </c>
      <c r="B25" s="34" t="n">
        <v>37712</v>
      </c>
      <c r="C25" s="56" t="n">
        <v>973000</v>
      </c>
      <c r="D25" s="29" t="s">
        <v>41</v>
      </c>
      <c r="E25" s="33" t="n">
        <f aca="false">IF(D25="totale",(C25/(A25*24))/F25,IF(D25="marché libre",(C25/(A25*24))/G25,"spécifier histo"))</f>
        <v>0.675694444444444</v>
      </c>
      <c r="F25" s="59" t="n">
        <v>2000</v>
      </c>
      <c r="G25" s="59" t="n">
        <f aca="false">F25-H25</f>
        <v>2000</v>
      </c>
      <c r="H25" s="59" t="n">
        <v>0</v>
      </c>
      <c r="I25" s="9"/>
      <c r="J25" s="30"/>
    </row>
    <row r="26" customFormat="false" ht="18.5" hidden="false" customHeight="true" outlineLevel="0" collapsed="false">
      <c r="A26" s="0" t="n">
        <v>31</v>
      </c>
      <c r="B26" s="31" t="n">
        <v>37742</v>
      </c>
      <c r="C26" s="56" t="n">
        <v>941000</v>
      </c>
      <c r="D26" s="29" t="s">
        <v>41</v>
      </c>
      <c r="E26" s="33" t="n">
        <f aca="false">IF(D26="totale",(C26/(A26*24))/F26,IF(D26="marché libre",(C26/(A26*24))/G26,"spécifier histo"))</f>
        <v>0.63239247311828</v>
      </c>
      <c r="F26" s="59" t="n">
        <v>2000</v>
      </c>
      <c r="G26" s="59" t="n">
        <f aca="false">F26-H26</f>
        <v>2000</v>
      </c>
      <c r="H26" s="59" t="n">
        <v>0</v>
      </c>
      <c r="I26" s="9"/>
      <c r="J26" s="30"/>
    </row>
    <row r="27" customFormat="false" ht="18.5" hidden="false" customHeight="true" outlineLevel="0" collapsed="false">
      <c r="A27" s="0" t="n">
        <v>30</v>
      </c>
      <c r="B27" s="34" t="n">
        <v>37773</v>
      </c>
      <c r="C27" s="56" t="n">
        <v>283000</v>
      </c>
      <c r="D27" s="29" t="s">
        <v>41</v>
      </c>
      <c r="E27" s="33" t="n">
        <f aca="false">IF(D27="totale",(C27/(A27*24))/F27,IF(D27="marché libre",(C27/(A27*24))/G27,"spécifier histo"))</f>
        <v>0.196527777777778</v>
      </c>
      <c r="F27" s="59" t="n">
        <v>2000</v>
      </c>
      <c r="G27" s="59" t="n">
        <f aca="false">F27-H27</f>
        <v>2000</v>
      </c>
      <c r="H27" s="59" t="n">
        <v>0</v>
      </c>
      <c r="I27" s="9"/>
      <c r="J27" s="30"/>
    </row>
    <row r="28" customFormat="false" ht="18.5" hidden="false" customHeight="true" outlineLevel="0" collapsed="false">
      <c r="A28" s="0" t="n">
        <v>31</v>
      </c>
      <c r="B28" s="31" t="n">
        <v>37803</v>
      </c>
      <c r="C28" s="56" t="n">
        <v>121000</v>
      </c>
      <c r="D28" s="29" t="s">
        <v>41</v>
      </c>
      <c r="E28" s="33" t="n">
        <f aca="false">IF(D28="totale",(C28/(A28*24))/F28,IF(D28="marché libre",(C28/(A28*24))/G28,"spécifier histo"))</f>
        <v>0.0813172043010753</v>
      </c>
      <c r="F28" s="59" t="n">
        <v>2000</v>
      </c>
      <c r="G28" s="59" t="n">
        <f aca="false">F28-H28</f>
        <v>2000</v>
      </c>
      <c r="H28" s="59" t="n">
        <v>0</v>
      </c>
      <c r="I28" s="9"/>
      <c r="J28" s="30"/>
    </row>
    <row r="29" customFormat="false" ht="18.5" hidden="false" customHeight="true" outlineLevel="0" collapsed="false">
      <c r="A29" s="0" t="n">
        <v>31</v>
      </c>
      <c r="B29" s="34" t="n">
        <v>37834</v>
      </c>
      <c r="C29" s="56" t="n">
        <v>39000</v>
      </c>
      <c r="D29" s="29" t="s">
        <v>41</v>
      </c>
      <c r="E29" s="33" t="n">
        <f aca="false">IF(D29="totale",(C29/(A29*24))/F29,IF(D29="marché libre",(C29/(A29*24))/G29,"spécifier histo"))</f>
        <v>0.0262096774193548</v>
      </c>
      <c r="F29" s="59" t="n">
        <v>2000</v>
      </c>
      <c r="G29" s="59" t="n">
        <f aca="false">F29-H29</f>
        <v>2000</v>
      </c>
      <c r="H29" s="59" t="n">
        <v>0</v>
      </c>
      <c r="I29" s="9"/>
      <c r="J29" s="30"/>
    </row>
    <row r="30" customFormat="false" ht="18.5" hidden="false" customHeight="true" outlineLevel="0" collapsed="false">
      <c r="A30" s="0" t="n">
        <v>30</v>
      </c>
      <c r="B30" s="31" t="n">
        <v>37865</v>
      </c>
      <c r="C30" s="56" t="n">
        <v>66000</v>
      </c>
      <c r="D30" s="29" t="s">
        <v>41</v>
      </c>
      <c r="E30" s="33" t="n">
        <f aca="false">IF(D30="totale",(C30/(A30*24))/F30,IF(D30="marché libre",(C30/(A30*24))/G30,"spécifier histo"))</f>
        <v>0.0458333333333333</v>
      </c>
      <c r="F30" s="59" t="n">
        <v>2000</v>
      </c>
      <c r="G30" s="59" t="n">
        <f aca="false">F30-H30</f>
        <v>2000</v>
      </c>
      <c r="H30" s="59" t="n">
        <v>0</v>
      </c>
      <c r="I30" s="9"/>
      <c r="J30" s="30"/>
    </row>
    <row r="31" customFormat="false" ht="18.5" hidden="false" customHeight="true" outlineLevel="0" collapsed="false">
      <c r="A31" s="0" t="n">
        <v>31</v>
      </c>
      <c r="B31" s="34" t="n">
        <v>37895</v>
      </c>
      <c r="C31" s="56" t="n">
        <v>405000</v>
      </c>
      <c r="D31" s="29" t="s">
        <v>41</v>
      </c>
      <c r="E31" s="33" t="n">
        <f aca="false">IF(D31="totale",(C31/(A31*24))/F31,IF(D31="marché libre",(C31/(A31*24))/G31,"spécifier histo"))</f>
        <v>0.272177419354839</v>
      </c>
      <c r="F31" s="59" t="n">
        <v>2000</v>
      </c>
      <c r="G31" s="59" t="n">
        <f aca="false">F31-H31</f>
        <v>2000</v>
      </c>
      <c r="H31" s="59" t="n">
        <v>0</v>
      </c>
      <c r="I31" s="9"/>
      <c r="J31" s="30"/>
    </row>
    <row r="32" customFormat="false" ht="18.5" hidden="false" customHeight="true" outlineLevel="0" collapsed="false">
      <c r="A32" s="0" t="n">
        <v>30</v>
      </c>
      <c r="B32" s="31" t="n">
        <v>37926</v>
      </c>
      <c r="C32" s="56" t="n">
        <v>499000</v>
      </c>
      <c r="D32" s="29" t="s">
        <v>41</v>
      </c>
      <c r="E32" s="33" t="n">
        <f aca="false">IF(D32="totale",(C32/(A32*24))/F32,IF(D32="marché libre",(C32/(A32*24))/G32,"spécifier histo"))</f>
        <v>0.346527777777778</v>
      </c>
      <c r="F32" s="59" t="n">
        <v>2000</v>
      </c>
      <c r="G32" s="59" t="n">
        <f aca="false">F32-H32</f>
        <v>2000</v>
      </c>
      <c r="H32" s="59" t="n">
        <v>0</v>
      </c>
      <c r="I32" s="9"/>
      <c r="J32" s="30"/>
    </row>
    <row r="33" customFormat="false" ht="18.5" hidden="false" customHeight="true" outlineLevel="0" collapsed="false">
      <c r="A33" s="0" t="n">
        <v>31</v>
      </c>
      <c r="B33" s="34" t="n">
        <v>37956</v>
      </c>
      <c r="C33" s="56" t="n">
        <v>469000</v>
      </c>
      <c r="D33" s="29" t="s">
        <v>41</v>
      </c>
      <c r="E33" s="33" t="n">
        <f aca="false">IF(D33="totale",(C33/(A33*24))/F33,IF(D33="marché libre",(C33/(A33*24))/G33,"spécifier histo"))</f>
        <v>0.315188172043011</v>
      </c>
      <c r="F33" s="59" t="n">
        <v>2000</v>
      </c>
      <c r="G33" s="59" t="n">
        <f aca="false">F33-H33</f>
        <v>2000</v>
      </c>
      <c r="H33" s="59" t="n">
        <v>0</v>
      </c>
      <c r="I33" s="9"/>
      <c r="J33" s="30"/>
    </row>
    <row r="34" customFormat="false" ht="18.5" hidden="false" customHeight="true" outlineLevel="0" collapsed="false">
      <c r="A34" s="0" t="n">
        <v>31</v>
      </c>
      <c r="B34" s="31" t="n">
        <v>37987</v>
      </c>
      <c r="C34" s="56" t="n">
        <v>950000</v>
      </c>
      <c r="D34" s="29" t="s">
        <v>41</v>
      </c>
      <c r="E34" s="33" t="n">
        <f aca="false">IF(D34="totale",(C34/(A34*24))/F34,IF(D34="marché libre",(C34/(A34*24))/G34,"spécifier histo"))</f>
        <v>0.638440860215054</v>
      </c>
      <c r="F34" s="59" t="n">
        <v>2000</v>
      </c>
      <c r="G34" s="59" t="n">
        <f aca="false">F34-H34</f>
        <v>2000</v>
      </c>
      <c r="H34" s="59" t="n">
        <v>0</v>
      </c>
      <c r="I34" s="9"/>
      <c r="J34" s="30"/>
    </row>
    <row r="35" customFormat="false" ht="18.5" hidden="false" customHeight="true" outlineLevel="0" collapsed="false">
      <c r="A35" s="0" t="n">
        <v>28</v>
      </c>
      <c r="B35" s="34" t="n">
        <v>38018</v>
      </c>
      <c r="C35" s="56" t="n">
        <v>968000</v>
      </c>
      <c r="D35" s="29" t="s">
        <v>41</v>
      </c>
      <c r="E35" s="33" t="n">
        <f aca="false">IF(D35="totale",(C35/(A35*24))/F35,IF(D35="marché libre",(C35/(A35*24))/G35,"spécifier histo"))</f>
        <v>0.720238095238095</v>
      </c>
      <c r="F35" s="59" t="n">
        <v>2000</v>
      </c>
      <c r="G35" s="59" t="n">
        <f aca="false">F35-H35</f>
        <v>2000</v>
      </c>
      <c r="H35" s="59" t="n">
        <v>0</v>
      </c>
      <c r="I35" s="9"/>
      <c r="J35" s="30"/>
    </row>
    <row r="36" customFormat="false" ht="18.5" hidden="false" customHeight="true" outlineLevel="0" collapsed="false">
      <c r="A36" s="0" t="n">
        <v>31</v>
      </c>
      <c r="B36" s="31" t="n">
        <v>38047</v>
      </c>
      <c r="C36" s="56" t="n">
        <v>996000</v>
      </c>
      <c r="D36" s="29" t="s">
        <v>41</v>
      </c>
      <c r="E36" s="33" t="n">
        <f aca="false">IF(D36="totale",(C36/(A36*24))/F36,IF(D36="marché libre",(C36/(A36*24))/G36,"spécifier histo"))</f>
        <v>0.669354838709678</v>
      </c>
      <c r="F36" s="59" t="n">
        <v>2000</v>
      </c>
      <c r="G36" s="59" t="n">
        <f aca="false">F36-H36</f>
        <v>2000</v>
      </c>
      <c r="H36" s="59" t="n">
        <v>0</v>
      </c>
      <c r="I36" s="9"/>
      <c r="J36" s="30"/>
    </row>
    <row r="37" customFormat="false" ht="18.5" hidden="false" customHeight="true" outlineLevel="0" collapsed="false">
      <c r="A37" s="0" t="n">
        <v>30</v>
      </c>
      <c r="B37" s="34" t="n">
        <v>38078</v>
      </c>
      <c r="C37" s="56" t="n">
        <v>1074000</v>
      </c>
      <c r="D37" s="29" t="s">
        <v>41</v>
      </c>
      <c r="E37" s="33" t="n">
        <f aca="false">IF(D37="totale",(C37/(A37*24))/F37,IF(D37="marché libre",(C37/(A37*24))/G37,"spécifier histo"))</f>
        <v>0.745833333333333</v>
      </c>
      <c r="F37" s="59" t="n">
        <v>2000</v>
      </c>
      <c r="G37" s="59" t="n">
        <f aca="false">F37-H37</f>
        <v>2000</v>
      </c>
      <c r="H37" s="59" t="n">
        <v>0</v>
      </c>
      <c r="I37" s="9"/>
      <c r="J37" s="30"/>
    </row>
    <row r="38" customFormat="false" ht="18.5" hidden="false" customHeight="true" outlineLevel="0" collapsed="false">
      <c r="A38" s="0" t="n">
        <v>31</v>
      </c>
      <c r="B38" s="31" t="n">
        <v>38108</v>
      </c>
      <c r="C38" s="56" t="n">
        <v>1297000</v>
      </c>
      <c r="D38" s="29" t="s">
        <v>41</v>
      </c>
      <c r="E38" s="33" t="n">
        <f aca="false">IF(D38="totale",(C38/(A38*24))/F38,IF(D38="marché libre",(C38/(A38*24))/G38,"spécifier histo"))</f>
        <v>0.871639784946236</v>
      </c>
      <c r="F38" s="59" t="n">
        <v>2000</v>
      </c>
      <c r="G38" s="59" t="n">
        <f aca="false">F38-H38</f>
        <v>2000</v>
      </c>
      <c r="H38" s="59" t="n">
        <v>0</v>
      </c>
      <c r="I38" s="9"/>
      <c r="J38" s="30"/>
    </row>
    <row r="39" customFormat="false" ht="18.5" hidden="false" customHeight="true" outlineLevel="0" collapsed="false">
      <c r="A39" s="0" t="n">
        <v>30</v>
      </c>
      <c r="B39" s="34" t="n">
        <v>38139</v>
      </c>
      <c r="C39" s="56" t="n">
        <v>570000</v>
      </c>
      <c r="D39" s="29" t="s">
        <v>41</v>
      </c>
      <c r="E39" s="33" t="n">
        <f aca="false">IF(D39="totale",(C39/(A39*24))/F39,IF(D39="marché libre",(C39/(A39*24))/G39,"spécifier histo"))</f>
        <v>0.395833333333333</v>
      </c>
      <c r="F39" s="59" t="n">
        <v>2000</v>
      </c>
      <c r="G39" s="59" t="n">
        <f aca="false">F39-H39</f>
        <v>2000</v>
      </c>
      <c r="H39" s="59" t="n">
        <v>0</v>
      </c>
      <c r="I39" s="9"/>
      <c r="J39" s="30"/>
    </row>
    <row r="40" customFormat="false" ht="18.5" hidden="false" customHeight="true" outlineLevel="0" collapsed="false">
      <c r="A40" s="0" t="n">
        <v>31</v>
      </c>
      <c r="B40" s="31" t="n">
        <v>38169</v>
      </c>
      <c r="C40" s="56" t="n">
        <v>270000</v>
      </c>
      <c r="D40" s="29" t="s">
        <v>41</v>
      </c>
      <c r="E40" s="33" t="n">
        <f aca="false">IF(D40="totale",(C40/(A40*24))/F40,IF(D40="marché libre",(C40/(A40*24))/G40,"spécifier histo"))</f>
        <v>0.181451612903226</v>
      </c>
      <c r="F40" s="59" t="n">
        <v>2000</v>
      </c>
      <c r="G40" s="59" t="n">
        <f aca="false">F40-H40</f>
        <v>2000</v>
      </c>
      <c r="H40" s="59" t="n">
        <v>0</v>
      </c>
      <c r="I40" s="9"/>
      <c r="J40" s="30"/>
    </row>
    <row r="41" customFormat="false" ht="18.5" hidden="false" customHeight="true" outlineLevel="0" collapsed="false">
      <c r="A41" s="0" t="n">
        <v>31</v>
      </c>
      <c r="B41" s="34" t="n">
        <v>38200</v>
      </c>
      <c r="C41" s="56" t="n">
        <v>239000</v>
      </c>
      <c r="D41" s="29" t="s">
        <v>41</v>
      </c>
      <c r="E41" s="33" t="n">
        <f aca="false">IF(D41="totale",(C41/(A41*24))/F41,IF(D41="marché libre",(C41/(A41*24))/G41,"spécifier histo"))</f>
        <v>0.160618279569892</v>
      </c>
      <c r="F41" s="59" t="n">
        <v>2000</v>
      </c>
      <c r="G41" s="59" t="n">
        <f aca="false">F41-H41</f>
        <v>2000</v>
      </c>
      <c r="H41" s="59" t="n">
        <v>0</v>
      </c>
      <c r="I41" s="9"/>
      <c r="J41" s="30"/>
    </row>
    <row r="42" customFormat="false" ht="18.5" hidden="false" customHeight="true" outlineLevel="0" collapsed="false">
      <c r="A42" s="0" t="n">
        <v>30</v>
      </c>
      <c r="B42" s="31" t="n">
        <v>38231</v>
      </c>
      <c r="C42" s="56" t="n">
        <v>75000</v>
      </c>
      <c r="D42" s="29" t="s">
        <v>41</v>
      </c>
      <c r="E42" s="33" t="n">
        <f aca="false">IF(D42="totale",(C42/(A42*24))/F42,IF(D42="marché libre",(C42/(A42*24))/G42,"spécifier histo"))</f>
        <v>0.0520833333333333</v>
      </c>
      <c r="F42" s="59" t="n">
        <v>2000</v>
      </c>
      <c r="G42" s="59" t="n">
        <f aca="false">F42-H42</f>
        <v>2000</v>
      </c>
      <c r="H42" s="59" t="n">
        <v>0</v>
      </c>
      <c r="I42" s="9"/>
      <c r="J42" s="30"/>
    </row>
    <row r="43" customFormat="false" ht="18.5" hidden="false" customHeight="true" outlineLevel="0" collapsed="false">
      <c r="A43" s="0" t="n">
        <v>31</v>
      </c>
      <c r="B43" s="34" t="n">
        <v>38261</v>
      </c>
      <c r="C43" s="56" t="n">
        <v>345000</v>
      </c>
      <c r="D43" s="29" t="s">
        <v>41</v>
      </c>
      <c r="E43" s="33" t="n">
        <f aca="false">IF(D43="totale",(C43/(A43*24))/F43,IF(D43="marché libre",(C43/(A43*24))/G43,"spécifier histo"))</f>
        <v>0.231854838709677</v>
      </c>
      <c r="F43" s="59" t="n">
        <v>2000</v>
      </c>
      <c r="G43" s="59" t="n">
        <f aca="false">F43-H43</f>
        <v>2000</v>
      </c>
      <c r="H43" s="59" t="n">
        <v>0</v>
      </c>
      <c r="I43" s="9"/>
      <c r="J43" s="30"/>
    </row>
    <row r="44" customFormat="false" ht="18.5" hidden="false" customHeight="true" outlineLevel="0" collapsed="false">
      <c r="A44" s="0" t="n">
        <v>30</v>
      </c>
      <c r="B44" s="31" t="n">
        <v>38292</v>
      </c>
      <c r="C44" s="56" t="n">
        <v>260000</v>
      </c>
      <c r="D44" s="29" t="s">
        <v>41</v>
      </c>
      <c r="E44" s="33" t="n">
        <f aca="false">IF(D44="totale",(C44/(A44*24))/F44,IF(D44="marché libre",(C44/(A44*24))/G44,"spécifier histo"))</f>
        <v>0.180555555555556</v>
      </c>
      <c r="F44" s="59" t="n">
        <v>2000</v>
      </c>
      <c r="G44" s="59" t="n">
        <f aca="false">F44-H44</f>
        <v>2000</v>
      </c>
      <c r="H44" s="59" t="n">
        <v>0</v>
      </c>
      <c r="I44" s="9"/>
      <c r="J44" s="30"/>
    </row>
    <row r="45" customFormat="false" ht="18.5" hidden="false" customHeight="true" outlineLevel="0" collapsed="false">
      <c r="A45" s="0" t="n">
        <v>31</v>
      </c>
      <c r="B45" s="34" t="n">
        <v>38322</v>
      </c>
      <c r="C45" s="56" t="n">
        <v>362000</v>
      </c>
      <c r="D45" s="29" t="s">
        <v>41</v>
      </c>
      <c r="E45" s="33" t="n">
        <f aca="false">IF(D45="totale",(C45/(A45*24))/F45,IF(D45="marché libre",(C45/(A45*24))/G45,"spécifier histo"))</f>
        <v>0.243279569892473</v>
      </c>
      <c r="F45" s="59" t="n">
        <v>2000</v>
      </c>
      <c r="G45" s="59" t="n">
        <f aca="false">F45-H45</f>
        <v>2000</v>
      </c>
      <c r="H45" s="59" t="n">
        <v>0</v>
      </c>
      <c r="I45" s="9"/>
      <c r="J45" s="30"/>
    </row>
    <row r="46" customFormat="false" ht="19.85" hidden="false" customHeight="true" outlineLevel="0" collapsed="false">
      <c r="A46" s="0" t="n">
        <v>31</v>
      </c>
      <c r="B46" s="31" t="n">
        <v>38353</v>
      </c>
      <c r="C46" s="56" t="n">
        <v>549000</v>
      </c>
      <c r="D46" s="29" t="s">
        <v>41</v>
      </c>
      <c r="E46" s="33" t="n">
        <f aca="false">IF(D46="totale",(C46/(A46*24))/F46,IF(D46="marché libre",(C46/(A46*24))/G46,"spécifier histo"))</f>
        <v>0.368951612903226</v>
      </c>
      <c r="F46" s="59" t="n">
        <v>2000</v>
      </c>
      <c r="G46" s="59" t="n">
        <f aca="false">F46-H46</f>
        <v>2000</v>
      </c>
      <c r="H46" s="59" t="n">
        <v>0</v>
      </c>
      <c r="J46" s="237" t="s">
        <v>277</v>
      </c>
    </row>
    <row r="47" customFormat="false" ht="19.85" hidden="false" customHeight="true" outlineLevel="0" collapsed="false">
      <c r="A47" s="0" t="n">
        <v>28</v>
      </c>
      <c r="B47" s="34" t="n">
        <v>38384</v>
      </c>
      <c r="C47" s="56" t="n">
        <v>605000</v>
      </c>
      <c r="D47" s="29" t="s">
        <v>41</v>
      </c>
      <c r="E47" s="33" t="n">
        <f aca="false">IF(D47="totale",(C47/(A47*24))/F47,IF(D47="marché libre",(C47/(A47*24))/G47,"spécifier histo"))</f>
        <v>0.45014880952381</v>
      </c>
      <c r="F47" s="59" t="n">
        <v>2000</v>
      </c>
      <c r="G47" s="59" t="n">
        <f aca="false">F47-H47</f>
        <v>2000</v>
      </c>
      <c r="H47" s="59" t="n">
        <v>0</v>
      </c>
      <c r="J47" s="237" t="s">
        <v>278</v>
      </c>
    </row>
    <row r="48" customFormat="false" ht="19.85" hidden="false" customHeight="true" outlineLevel="0" collapsed="false">
      <c r="A48" s="0" t="n">
        <v>31</v>
      </c>
      <c r="B48" s="31" t="n">
        <v>38412</v>
      </c>
      <c r="C48" s="56" t="n">
        <v>953000</v>
      </c>
      <c r="D48" s="29" t="s">
        <v>41</v>
      </c>
      <c r="E48" s="33" t="n">
        <f aca="false">IF(D48="totale",(C48/(A48*24))/F48,IF(D48="marché libre",(C48/(A48*24))/G48,"spécifier histo"))</f>
        <v>0.640456989247312</v>
      </c>
      <c r="F48" s="59" t="n">
        <v>2000</v>
      </c>
      <c r="G48" s="59" t="n">
        <f aca="false">F48-H48</f>
        <v>2000</v>
      </c>
      <c r="H48" s="59" t="n">
        <v>0</v>
      </c>
      <c r="J48" s="70" t="s">
        <v>279</v>
      </c>
    </row>
    <row r="49" customFormat="false" ht="19.85" hidden="false" customHeight="true" outlineLevel="0" collapsed="false">
      <c r="A49" s="0" t="n">
        <v>30</v>
      </c>
      <c r="B49" s="34" t="n">
        <v>38443</v>
      </c>
      <c r="C49" s="56" t="n">
        <v>1364000</v>
      </c>
      <c r="D49" s="29" t="s">
        <v>41</v>
      </c>
      <c r="E49" s="33" t="n">
        <f aca="false">IF(D49="totale",(C49/(A49*24))/F49,IF(D49="marché libre",(C49/(A49*24))/G49,"spécifier histo"))</f>
        <v>0.947222222222222</v>
      </c>
      <c r="F49" s="59" t="n">
        <v>2000</v>
      </c>
      <c r="G49" s="59" t="n">
        <f aca="false">F49-H49</f>
        <v>2000</v>
      </c>
      <c r="H49" s="59" t="n">
        <v>0</v>
      </c>
      <c r="J49" s="70"/>
      <c r="L49" s="249" t="s">
        <v>280</v>
      </c>
      <c r="M49" s="199"/>
      <c r="N49" s="199"/>
      <c r="O49" s="199"/>
      <c r="P49" s="199"/>
    </row>
    <row r="50" customFormat="false" ht="19.85" hidden="false" customHeight="true" outlineLevel="0" collapsed="false">
      <c r="A50" s="0" t="n">
        <v>31</v>
      </c>
      <c r="B50" s="31" t="n">
        <v>38473</v>
      </c>
      <c r="C50" s="56" t="n">
        <v>1234000</v>
      </c>
      <c r="D50" s="29" t="s">
        <v>41</v>
      </c>
      <c r="E50" s="33" t="n">
        <f aca="false">IF(D50="totale",(C50/(A50*24))/F50,IF(D50="marché libre",(C50/(A50*24))/G50,"spécifier histo"))</f>
        <v>0.829301075268817</v>
      </c>
      <c r="F50" s="59" t="n">
        <v>2000</v>
      </c>
      <c r="G50" s="59" t="n">
        <f aca="false">F50-H50</f>
        <v>2000</v>
      </c>
      <c r="H50" s="59" t="n">
        <v>0</v>
      </c>
      <c r="J50" s="70"/>
      <c r="L50" s="249" t="s">
        <v>281</v>
      </c>
      <c r="M50" s="199"/>
      <c r="N50" s="199"/>
      <c r="O50" s="199"/>
      <c r="P50" s="199"/>
    </row>
    <row r="51" customFormat="false" ht="19.85" hidden="false" customHeight="true" outlineLevel="0" collapsed="false">
      <c r="A51" s="0" t="n">
        <v>30</v>
      </c>
      <c r="B51" s="34" t="n">
        <v>38504</v>
      </c>
      <c r="C51" s="56" t="n">
        <v>542000</v>
      </c>
      <c r="D51" s="29" t="s">
        <v>41</v>
      </c>
      <c r="E51" s="33" t="n">
        <f aca="false">IF(D51="totale",(C51/(A51*24))/F51,IF(D51="marché libre",(C51/(A51*24))/G51,"spécifier histo"))</f>
        <v>0.376388888888889</v>
      </c>
      <c r="F51" s="59" t="n">
        <v>2000</v>
      </c>
      <c r="G51" s="59" t="n">
        <f aca="false">F51-H51</f>
        <v>2000</v>
      </c>
      <c r="H51" s="59" t="n">
        <v>0</v>
      </c>
      <c r="J51" s="70"/>
      <c r="L51" s="249" t="s">
        <v>282</v>
      </c>
      <c r="M51" s="199"/>
      <c r="N51" s="199"/>
      <c r="O51" s="199"/>
      <c r="P51" s="199"/>
    </row>
    <row r="52" customFormat="false" ht="19.85" hidden="false" customHeight="true" outlineLevel="0" collapsed="false">
      <c r="A52" s="0" t="n">
        <v>31</v>
      </c>
      <c r="B52" s="31" t="n">
        <v>38534</v>
      </c>
      <c r="C52" s="56" t="n">
        <v>399000</v>
      </c>
      <c r="D52" s="29" t="s">
        <v>41</v>
      </c>
      <c r="E52" s="33" t="n">
        <f aca="false">IF(D52="totale",(C52/(A52*24))/F52,IF(D52="marché libre",(C52/(A52*24))/G52,"spécifier histo"))</f>
        <v>0.268145161290323</v>
      </c>
      <c r="F52" s="59" t="n">
        <v>2000</v>
      </c>
      <c r="G52" s="59" t="n">
        <f aca="false">F52-H52</f>
        <v>2000</v>
      </c>
      <c r="H52" s="59" t="n">
        <v>0</v>
      </c>
      <c r="J52" s="70"/>
      <c r="L52" s="249" t="s">
        <v>283</v>
      </c>
      <c r="M52" s="199"/>
      <c r="N52" s="199"/>
      <c r="O52" s="199"/>
      <c r="P52" s="199"/>
    </row>
    <row r="53" customFormat="false" ht="19.85" hidden="false" customHeight="true" outlineLevel="0" collapsed="false">
      <c r="A53" s="0" t="n">
        <v>31</v>
      </c>
      <c r="B53" s="34" t="n">
        <v>38565</v>
      </c>
      <c r="C53" s="56" t="n">
        <v>369000</v>
      </c>
      <c r="D53" s="29" t="s">
        <v>41</v>
      </c>
      <c r="E53" s="33" t="n">
        <f aca="false">IF(D53="totale",(C53/(A53*24))/F53,IF(D53="marché libre",(C53/(A53*24))/G53,"spécifier histo"))</f>
        <v>0.247983870967742</v>
      </c>
      <c r="F53" s="59" t="n">
        <v>2000</v>
      </c>
      <c r="G53" s="59" t="n">
        <f aca="false">F53-H53</f>
        <v>2000</v>
      </c>
      <c r="H53" s="59" t="n">
        <v>0</v>
      </c>
      <c r="J53" s="70"/>
      <c r="L53" s="249" t="s">
        <v>284</v>
      </c>
      <c r="M53" s="199"/>
      <c r="N53" s="199"/>
      <c r="O53" s="199"/>
      <c r="P53" s="199"/>
    </row>
    <row r="54" customFormat="false" ht="19.85" hidden="false" customHeight="true" outlineLevel="0" collapsed="false">
      <c r="A54" s="0" t="n">
        <v>30</v>
      </c>
      <c r="B54" s="31" t="n">
        <v>38596</v>
      </c>
      <c r="C54" s="56" t="n">
        <v>142000</v>
      </c>
      <c r="D54" s="29" t="s">
        <v>41</v>
      </c>
      <c r="E54" s="33" t="n">
        <f aca="false">IF(D54="totale",(C54/(A54*24))/F54,IF(D54="marché libre",(C54/(A54*24))/G54,"spécifier histo"))</f>
        <v>0.0986111111111111</v>
      </c>
      <c r="F54" s="59" t="n">
        <v>2000</v>
      </c>
      <c r="G54" s="59" t="n">
        <f aca="false">F54-H54</f>
        <v>2000</v>
      </c>
      <c r="H54" s="59" t="n">
        <v>0</v>
      </c>
      <c r="J54" s="70"/>
    </row>
    <row r="55" customFormat="false" ht="19.85" hidden="false" customHeight="true" outlineLevel="0" collapsed="false">
      <c r="A55" s="0" t="n">
        <v>31</v>
      </c>
      <c r="B55" s="34" t="n">
        <v>38626</v>
      </c>
      <c r="C55" s="56" t="n">
        <v>356000</v>
      </c>
      <c r="D55" s="29" t="s">
        <v>41</v>
      </c>
      <c r="E55" s="33" t="n">
        <f aca="false">IF(D55="totale",(C55/(A55*24))/F55,IF(D55="marché libre",(C55/(A55*24))/G55,"spécifier histo"))</f>
        <v>0.239247311827957</v>
      </c>
      <c r="F55" s="59" t="n">
        <v>2000</v>
      </c>
      <c r="G55" s="59" t="n">
        <f aca="false">F55-H55</f>
        <v>2000</v>
      </c>
      <c r="H55" s="59" t="n">
        <v>0</v>
      </c>
      <c r="J55" s="70"/>
      <c r="L55" s="234" t="s">
        <v>285</v>
      </c>
      <c r="M55" s="235"/>
    </row>
    <row r="56" customFormat="false" ht="19.85" hidden="false" customHeight="true" outlineLevel="0" collapsed="false">
      <c r="A56" s="0" t="n">
        <v>30</v>
      </c>
      <c r="B56" s="31" t="n">
        <v>38657</v>
      </c>
      <c r="C56" s="56" t="n">
        <v>350000</v>
      </c>
      <c r="D56" s="29" t="s">
        <v>41</v>
      </c>
      <c r="E56" s="33" t="n">
        <f aca="false">IF(D56="totale",(C56/(A56*24))/F56,IF(D56="marché libre",(C56/(A56*24))/G56,"spécifier histo"))</f>
        <v>0.243055555555556</v>
      </c>
      <c r="F56" s="59" t="n">
        <v>2000</v>
      </c>
      <c r="G56" s="59" t="n">
        <f aca="false">F56-H56</f>
        <v>2000</v>
      </c>
      <c r="H56" s="59" t="n">
        <v>0</v>
      </c>
      <c r="J56" s="70"/>
      <c r="L56" s="234" t="s">
        <v>286</v>
      </c>
      <c r="M56" s="235"/>
    </row>
    <row r="57" customFormat="false" ht="19.85" hidden="false" customHeight="true" outlineLevel="0" collapsed="false">
      <c r="A57" s="0" t="n">
        <v>31</v>
      </c>
      <c r="B57" s="34" t="n">
        <v>38687</v>
      </c>
      <c r="C57" s="56" t="n">
        <v>424000</v>
      </c>
      <c r="D57" s="29" t="s">
        <v>41</v>
      </c>
      <c r="E57" s="33" t="n">
        <f aca="false">IF(D57="totale",(C57/(A57*24))/F57,IF(D57="marché libre",(C57/(A57*24))/G57,"spécifier histo"))</f>
        <v>0.28494623655914</v>
      </c>
      <c r="F57" s="59" t="n">
        <v>2000</v>
      </c>
      <c r="G57" s="59" t="n">
        <f aca="false">F57-H57</f>
        <v>2000</v>
      </c>
      <c r="H57" s="59" t="n">
        <v>0</v>
      </c>
      <c r="J57" s="70"/>
      <c r="L57" s="234" t="s">
        <v>282</v>
      </c>
      <c r="M57" s="235"/>
    </row>
    <row r="58" customFormat="false" ht="19.85" hidden="false" customHeight="true" outlineLevel="0" collapsed="false">
      <c r="A58" s="0" t="n">
        <v>31</v>
      </c>
      <c r="B58" s="31" t="n">
        <v>38718</v>
      </c>
      <c r="C58" s="56" t="n">
        <v>388000</v>
      </c>
      <c r="D58" s="29" t="s">
        <v>41</v>
      </c>
      <c r="E58" s="33" t="n">
        <f aca="false">IF(D58="totale",(C58/(A58*24))/F58,IF(D58="marché libre",(C58/(A58*24))/G58,"spécifier histo"))</f>
        <v>0.260752688172043</v>
      </c>
      <c r="F58" s="59" t="n">
        <v>2000</v>
      </c>
      <c r="G58" s="59" t="n">
        <f aca="false">F58-H58</f>
        <v>2000</v>
      </c>
      <c r="H58" s="59" t="n">
        <v>0</v>
      </c>
      <c r="J58" s="55"/>
      <c r="L58" s="234" t="s">
        <v>287</v>
      </c>
      <c r="M58" s="235"/>
    </row>
    <row r="59" customFormat="false" ht="19.85" hidden="false" customHeight="true" outlineLevel="0" collapsed="false">
      <c r="A59" s="0" t="n">
        <v>28</v>
      </c>
      <c r="B59" s="34" t="n">
        <v>38749</v>
      </c>
      <c r="C59" s="56" t="n">
        <v>624000</v>
      </c>
      <c r="D59" s="29" t="s">
        <v>41</v>
      </c>
      <c r="E59" s="33" t="n">
        <f aca="false">IF(D59="totale",(C59/(A59*24))/F59,IF(D59="marché libre",(C59/(A59*24))/G59,"spécifier histo"))</f>
        <v>0.464285714285714</v>
      </c>
      <c r="F59" s="59" t="n">
        <v>2000</v>
      </c>
      <c r="G59" s="59" t="n">
        <f aca="false">F59-H59</f>
        <v>2000</v>
      </c>
      <c r="H59" s="59" t="n">
        <v>0</v>
      </c>
      <c r="J59" s="55"/>
      <c r="L59" s="234" t="s">
        <v>288</v>
      </c>
      <c r="M59" s="235"/>
    </row>
    <row r="60" customFormat="false" ht="19.85" hidden="false" customHeight="true" outlineLevel="0" collapsed="false">
      <c r="A60" s="0" t="n">
        <v>31</v>
      </c>
      <c r="B60" s="31" t="n">
        <v>38777</v>
      </c>
      <c r="C60" s="56" t="n">
        <v>1216000</v>
      </c>
      <c r="D60" s="29" t="s">
        <v>41</v>
      </c>
      <c r="E60" s="33" t="n">
        <f aca="false">IF(D60="totale",(C60/(A60*24))/F60,IF(D60="marché libre",(C60/(A60*24))/G60,"spécifier histo"))</f>
        <v>0.817204301075269</v>
      </c>
      <c r="F60" s="59" t="n">
        <v>2000</v>
      </c>
      <c r="G60" s="59" t="n">
        <f aca="false">F60-H60</f>
        <v>2000</v>
      </c>
      <c r="H60" s="59" t="n">
        <v>0</v>
      </c>
      <c r="J60" s="55"/>
    </row>
    <row r="61" customFormat="false" ht="19.85" hidden="false" customHeight="true" outlineLevel="0" collapsed="false">
      <c r="A61" s="0" t="n">
        <v>30</v>
      </c>
      <c r="B61" s="34" t="n">
        <v>38808</v>
      </c>
      <c r="C61" s="56" t="n">
        <v>1459000</v>
      </c>
      <c r="D61" s="29" t="s">
        <v>41</v>
      </c>
      <c r="E61" s="33" t="n">
        <f aca="false">IF(D61="totale",(C61/(A61*24))/F61,IF(D61="marché libre",(C61/(A61*24))/G61,"spécifier histo"))</f>
        <v>1.01319444444444</v>
      </c>
      <c r="F61" s="59" t="n">
        <v>2000</v>
      </c>
      <c r="G61" s="59" t="n">
        <f aca="false">F61-H61</f>
        <v>2000</v>
      </c>
      <c r="H61" s="59" t="n">
        <v>0</v>
      </c>
      <c r="J61" s="55"/>
    </row>
    <row r="62" customFormat="false" ht="19.85" hidden="false" customHeight="true" outlineLevel="0" collapsed="false">
      <c r="A62" s="0" t="n">
        <v>31</v>
      </c>
      <c r="B62" s="31" t="n">
        <v>38838</v>
      </c>
      <c r="C62" s="56" t="n">
        <v>1430000</v>
      </c>
      <c r="D62" s="29" t="s">
        <v>41</v>
      </c>
      <c r="E62" s="33" t="n">
        <f aca="false">IF(D62="totale",(C62/(A62*24))/F62,IF(D62="marché libre",(C62/(A62*24))/G62,"spécifier histo"))</f>
        <v>0.961021505376344</v>
      </c>
      <c r="F62" s="59" t="n">
        <v>2000</v>
      </c>
      <c r="G62" s="59" t="n">
        <f aca="false">F62-H62</f>
        <v>2000</v>
      </c>
      <c r="H62" s="59" t="n">
        <v>0</v>
      </c>
      <c r="J62" s="55"/>
    </row>
    <row r="63" customFormat="false" ht="19.85" hidden="false" customHeight="true" outlineLevel="0" collapsed="false">
      <c r="A63" s="0" t="n">
        <v>30</v>
      </c>
      <c r="B63" s="34" t="n">
        <v>38869</v>
      </c>
      <c r="C63" s="56" t="n">
        <v>563000</v>
      </c>
      <c r="D63" s="29" t="s">
        <v>41</v>
      </c>
      <c r="E63" s="33" t="n">
        <f aca="false">IF(D63="totale",(C63/(A63*24))/F63,IF(D63="marché libre",(C63/(A63*24))/G63,"spécifier histo"))</f>
        <v>0.390972222222222</v>
      </c>
      <c r="F63" s="59" t="n">
        <v>2000</v>
      </c>
      <c r="G63" s="59" t="n">
        <f aca="false">F63-H63</f>
        <v>2000</v>
      </c>
      <c r="H63" s="59" t="n">
        <v>0</v>
      </c>
      <c r="J63" s="55"/>
    </row>
    <row r="64" customFormat="false" ht="19.85" hidden="false" customHeight="true" outlineLevel="0" collapsed="false">
      <c r="A64" s="0" t="n">
        <v>31</v>
      </c>
      <c r="B64" s="31" t="n">
        <v>38899</v>
      </c>
      <c r="C64" s="56" t="n">
        <v>327000</v>
      </c>
      <c r="D64" s="29" t="s">
        <v>41</v>
      </c>
      <c r="E64" s="33" t="n">
        <f aca="false">IF(D64="totale",(C64/(A64*24))/F64,IF(D64="marché libre",(C64/(A64*24))/G64,"spécifier histo"))</f>
        <v>0.219758064516129</v>
      </c>
      <c r="F64" s="59" t="n">
        <v>2000</v>
      </c>
      <c r="G64" s="59" t="n">
        <f aca="false">F64-H64</f>
        <v>2000</v>
      </c>
      <c r="H64" s="59" t="n">
        <v>0</v>
      </c>
      <c r="J64" s="55"/>
    </row>
    <row r="65" customFormat="false" ht="19.85" hidden="false" customHeight="true" outlineLevel="0" collapsed="false">
      <c r="A65" s="0" t="n">
        <v>31</v>
      </c>
      <c r="B65" s="34" t="n">
        <v>38930</v>
      </c>
      <c r="C65" s="56" t="n">
        <v>327000</v>
      </c>
      <c r="D65" s="29" t="s">
        <v>41</v>
      </c>
      <c r="E65" s="33" t="n">
        <f aca="false">IF(D65="totale",(C65/(A65*24))/F65,IF(D65="marché libre",(C65/(A65*24))/G65,"spécifier histo"))</f>
        <v>0.219758064516129</v>
      </c>
      <c r="F65" s="59" t="n">
        <v>2000</v>
      </c>
      <c r="G65" s="59" t="n">
        <f aca="false">F65-H65</f>
        <v>2000</v>
      </c>
      <c r="H65" s="59" t="n">
        <v>0</v>
      </c>
      <c r="J65" s="55"/>
    </row>
    <row r="66" customFormat="false" ht="19.85" hidden="false" customHeight="true" outlineLevel="0" collapsed="false">
      <c r="A66" s="0" t="n">
        <v>30</v>
      </c>
      <c r="B66" s="31" t="n">
        <v>38961</v>
      </c>
      <c r="C66" s="56" t="n">
        <v>263000</v>
      </c>
      <c r="D66" s="29" t="s">
        <v>41</v>
      </c>
      <c r="E66" s="33" t="n">
        <f aca="false">IF(D66="totale",(C66/(A66*24))/F66,IF(D66="marché libre",(C66/(A66*24))/G66,"spécifier histo"))</f>
        <v>0.182638888888889</v>
      </c>
      <c r="F66" s="59" t="n">
        <v>2000</v>
      </c>
      <c r="G66" s="59" t="n">
        <f aca="false">F66-H66</f>
        <v>2000</v>
      </c>
      <c r="H66" s="59" t="n">
        <v>0</v>
      </c>
      <c r="J66" s="55"/>
    </row>
    <row r="67" customFormat="false" ht="19.85" hidden="false" customHeight="true" outlineLevel="0" collapsed="false">
      <c r="A67" s="0" t="n">
        <v>31</v>
      </c>
      <c r="B67" s="34" t="n">
        <v>38991</v>
      </c>
      <c r="C67" s="56" t="n">
        <v>348000</v>
      </c>
      <c r="D67" s="29" t="s">
        <v>41</v>
      </c>
      <c r="E67" s="33" t="n">
        <f aca="false">IF(D67="totale",(C67/(A67*24))/F67,IF(D67="marché libre",(C67/(A67*24))/G67,"spécifier histo"))</f>
        <v>0.233870967741935</v>
      </c>
      <c r="F67" s="59" t="n">
        <v>2000</v>
      </c>
      <c r="G67" s="59" t="n">
        <f aca="false">F67-H67</f>
        <v>2000</v>
      </c>
      <c r="H67" s="59" t="n">
        <v>0</v>
      </c>
      <c r="J67" s="55"/>
    </row>
    <row r="68" customFormat="false" ht="19.85" hidden="false" customHeight="true" outlineLevel="0" collapsed="false">
      <c r="A68" s="0" t="n">
        <v>30</v>
      </c>
      <c r="B68" s="31" t="n">
        <v>39022</v>
      </c>
      <c r="C68" s="56" t="n">
        <v>289000</v>
      </c>
      <c r="D68" s="29" t="s">
        <v>41</v>
      </c>
      <c r="E68" s="33" t="n">
        <f aca="false">IF(D68="totale",(C68/(A68*24))/F68,IF(D68="marché libre",(C68/(A68*24))/G68,"spécifier histo"))</f>
        <v>0.200694444444444</v>
      </c>
      <c r="F68" s="59" t="n">
        <v>2000</v>
      </c>
      <c r="G68" s="59" t="n">
        <f aca="false">F68-H68</f>
        <v>2000</v>
      </c>
      <c r="H68" s="59" t="n">
        <v>0</v>
      </c>
      <c r="J68" s="55"/>
    </row>
    <row r="69" customFormat="false" ht="19.85" hidden="false" customHeight="true" outlineLevel="0" collapsed="false">
      <c r="A69" s="0" t="n">
        <v>31</v>
      </c>
      <c r="B69" s="34" t="n">
        <v>39052</v>
      </c>
      <c r="C69" s="56" t="n">
        <v>607000</v>
      </c>
      <c r="D69" s="29" t="s">
        <v>41</v>
      </c>
      <c r="E69" s="33" t="n">
        <f aca="false">IF(D69="totale",(C69/(A69*24))/F69,IF(D69="marché libre",(C69/(A69*24))/G69,"spécifier histo"))</f>
        <v>0.407930107526882</v>
      </c>
      <c r="F69" s="59" t="n">
        <v>2000</v>
      </c>
      <c r="G69" s="59" t="n">
        <f aca="false">F69-H69</f>
        <v>2000</v>
      </c>
      <c r="H69" s="59" t="n">
        <v>0</v>
      </c>
      <c r="J69" s="55"/>
    </row>
    <row r="70" customFormat="false" ht="19.85" hidden="false" customHeight="true" outlineLevel="0" collapsed="false">
      <c r="A70" s="0" t="n">
        <v>31</v>
      </c>
      <c r="B70" s="31" t="n">
        <v>39083</v>
      </c>
      <c r="C70" s="56" t="n">
        <v>864000</v>
      </c>
      <c r="D70" s="29" t="s">
        <v>41</v>
      </c>
      <c r="E70" s="33" t="n">
        <f aca="false">IF(D70="totale",(C70/(A70*24))/F70,IF(D70="marché libre",(C70/(A70*24))/G70,"spécifier histo"))</f>
        <v>0.580645161290323</v>
      </c>
      <c r="F70" s="59" t="n">
        <v>2000</v>
      </c>
      <c r="G70" s="59" t="n">
        <f aca="false">F70-H70</f>
        <v>2000</v>
      </c>
      <c r="H70" s="59" t="n">
        <v>0</v>
      </c>
      <c r="J70" s="55"/>
    </row>
    <row r="71" customFormat="false" ht="19.85" hidden="false" customHeight="true" outlineLevel="0" collapsed="false">
      <c r="A71" s="0" t="n">
        <v>28</v>
      </c>
      <c r="B71" s="34" t="n">
        <v>39114</v>
      </c>
      <c r="C71" s="56" t="n">
        <v>971000</v>
      </c>
      <c r="D71" s="29" t="s">
        <v>41</v>
      </c>
      <c r="E71" s="33" t="n">
        <f aca="false">IF(D71="totale",(C71/(A71*24))/F71,IF(D71="marché libre",(C71/(A71*24))/G71,"spécifier histo"))</f>
        <v>0.722470238095238</v>
      </c>
      <c r="F71" s="59" t="n">
        <v>2000</v>
      </c>
      <c r="G71" s="59" t="n">
        <f aca="false">F71-H71</f>
        <v>2000</v>
      </c>
      <c r="H71" s="59" t="n">
        <v>0</v>
      </c>
      <c r="J71" s="55"/>
    </row>
    <row r="72" customFormat="false" ht="19.85" hidden="false" customHeight="true" outlineLevel="0" collapsed="false">
      <c r="A72" s="0" t="n">
        <v>31</v>
      </c>
      <c r="B72" s="31" t="n">
        <v>39142</v>
      </c>
      <c r="C72" s="56" t="n">
        <v>1286000</v>
      </c>
      <c r="D72" s="29" t="s">
        <v>41</v>
      </c>
      <c r="E72" s="33" t="n">
        <f aca="false">IF(D72="totale",(C72/(A72*24))/F72,IF(D72="marché libre",(C72/(A72*24))/G72,"spécifier histo"))</f>
        <v>0.864247311827957</v>
      </c>
      <c r="F72" s="59" t="n">
        <v>2000</v>
      </c>
      <c r="G72" s="59" t="n">
        <f aca="false">F72-H72</f>
        <v>2000</v>
      </c>
      <c r="H72" s="59" t="n">
        <v>0</v>
      </c>
      <c r="J72" s="55"/>
    </row>
    <row r="73" customFormat="false" ht="19.85" hidden="false" customHeight="true" outlineLevel="0" collapsed="false">
      <c r="A73" s="0" t="n">
        <v>30</v>
      </c>
      <c r="B73" s="34" t="n">
        <v>39173</v>
      </c>
      <c r="C73" s="56" t="n">
        <v>999000</v>
      </c>
      <c r="D73" s="29" t="s">
        <v>41</v>
      </c>
      <c r="E73" s="33" t="n">
        <f aca="false">IF(D73="totale",(C73/(A73*24))/F73,IF(D73="marché libre",(C73/(A73*24))/G73,"spécifier histo"))</f>
        <v>0.69375</v>
      </c>
      <c r="F73" s="59" t="n">
        <v>2000</v>
      </c>
      <c r="G73" s="59" t="n">
        <f aca="false">F73-H73</f>
        <v>2000</v>
      </c>
      <c r="H73" s="59" t="n">
        <v>0</v>
      </c>
      <c r="J73" s="55"/>
    </row>
    <row r="74" customFormat="false" ht="19.85" hidden="false" customHeight="true" outlineLevel="0" collapsed="false">
      <c r="A74" s="0" t="n">
        <v>31</v>
      </c>
      <c r="B74" s="31" t="n">
        <v>39203</v>
      </c>
      <c r="C74" s="56" t="n">
        <v>862000</v>
      </c>
      <c r="D74" s="29" t="s">
        <v>41</v>
      </c>
      <c r="E74" s="33" t="n">
        <f aca="false">IF(D74="totale",(C74/(A74*24))/F74,IF(D74="marché libre",(C74/(A74*24))/G74,"spécifier histo"))</f>
        <v>0.579301075268817</v>
      </c>
      <c r="F74" s="59" t="n">
        <v>2000</v>
      </c>
      <c r="G74" s="59" t="n">
        <f aca="false">F74-H74</f>
        <v>2000</v>
      </c>
      <c r="H74" s="59" t="n">
        <v>0</v>
      </c>
      <c r="J74" s="55"/>
    </row>
    <row r="75" customFormat="false" ht="19.85" hidden="false" customHeight="true" outlineLevel="0" collapsed="false">
      <c r="A75" s="0" t="n">
        <v>30</v>
      </c>
      <c r="B75" s="34" t="n">
        <v>39234</v>
      </c>
      <c r="C75" s="56" t="n">
        <v>1269000</v>
      </c>
      <c r="D75" s="29" t="s">
        <v>41</v>
      </c>
      <c r="E75" s="33" t="n">
        <f aca="false">IF(D75="totale",(C75/(A75*24))/F75,IF(D75="marché libre",(C75/(A75*24))/G75,"spécifier histo"))</f>
        <v>0.88125</v>
      </c>
      <c r="F75" s="59" t="n">
        <v>2000</v>
      </c>
      <c r="G75" s="59" t="n">
        <f aca="false">F75-H75</f>
        <v>2000</v>
      </c>
      <c r="H75" s="59" t="n">
        <v>0</v>
      </c>
      <c r="J75" s="55"/>
    </row>
    <row r="76" customFormat="false" ht="19.85" hidden="false" customHeight="true" outlineLevel="0" collapsed="false">
      <c r="A76" s="0" t="n">
        <v>31</v>
      </c>
      <c r="B76" s="31" t="n">
        <v>39264</v>
      </c>
      <c r="C76" s="56" t="n">
        <v>618000</v>
      </c>
      <c r="D76" s="29" t="s">
        <v>41</v>
      </c>
      <c r="E76" s="33" t="n">
        <f aca="false">IF(D76="totale",(C76/(A76*24))/F76,IF(D76="marché libre",(C76/(A76*24))/G76,"spécifier histo"))</f>
        <v>0.415322580645161</v>
      </c>
      <c r="F76" s="59" t="n">
        <v>2000</v>
      </c>
      <c r="G76" s="59" t="n">
        <f aca="false">F76-H76</f>
        <v>2000</v>
      </c>
      <c r="H76" s="59" t="n">
        <v>0</v>
      </c>
      <c r="J76" s="55" t="s">
        <v>289</v>
      </c>
    </row>
    <row r="77" customFormat="false" ht="19.85" hidden="false" customHeight="true" outlineLevel="0" collapsed="false">
      <c r="A77" s="0" t="n">
        <v>31</v>
      </c>
      <c r="B77" s="34" t="n">
        <v>39295</v>
      </c>
      <c r="C77" s="56" t="n">
        <v>717000</v>
      </c>
      <c r="D77" s="29" t="s">
        <v>41</v>
      </c>
      <c r="E77" s="33" t="n">
        <f aca="false">IF(D77="totale",(C77/(A77*24))/F77,IF(D77="marché libre",(C77/(A77*24))/G77,"spécifier histo"))</f>
        <v>0.481854838709677</v>
      </c>
      <c r="F77" s="59" t="n">
        <v>2000</v>
      </c>
      <c r="G77" s="59" t="n">
        <f aca="false">F77-H77</f>
        <v>2000</v>
      </c>
      <c r="H77" s="59" t="n">
        <v>0</v>
      </c>
      <c r="J77" s="55" t="s">
        <v>290</v>
      </c>
    </row>
    <row r="78" customFormat="false" ht="19.85" hidden="false" customHeight="true" outlineLevel="0" collapsed="false">
      <c r="A78" s="0" t="n">
        <v>30</v>
      </c>
      <c r="B78" s="31" t="n">
        <v>39326</v>
      </c>
      <c r="C78" s="56" t="n">
        <v>399000</v>
      </c>
      <c r="D78" s="29" t="s">
        <v>41</v>
      </c>
      <c r="E78" s="33" t="n">
        <f aca="false">IF(D78="totale",(C78/(A78*24))/F78,IF(D78="marché libre",(C78/(A78*24))/G78,"spécifier histo"))</f>
        <v>0.277083333333333</v>
      </c>
      <c r="F78" s="59" t="n">
        <v>2000</v>
      </c>
      <c r="G78" s="59" t="n">
        <f aca="false">F78-H78</f>
        <v>2000</v>
      </c>
      <c r="H78" s="59" t="n">
        <v>0</v>
      </c>
      <c r="J78" s="55"/>
    </row>
    <row r="79" customFormat="false" ht="19.85" hidden="false" customHeight="true" outlineLevel="0" collapsed="false">
      <c r="A79" s="0" t="n">
        <v>31</v>
      </c>
      <c r="B79" s="34" t="n">
        <v>39356</v>
      </c>
      <c r="C79" s="56" t="n">
        <v>426000</v>
      </c>
      <c r="D79" s="29" t="s">
        <v>41</v>
      </c>
      <c r="E79" s="33" t="n">
        <f aca="false">IF(D79="totale",(C79/(A79*24))/F79,IF(D79="marché libre",(C79/(A79*24))/G79,"spécifier histo"))</f>
        <v>0.286290322580645</v>
      </c>
      <c r="F79" s="59" t="n">
        <v>2000</v>
      </c>
      <c r="G79" s="59" t="n">
        <f aca="false">F79-H79</f>
        <v>2000</v>
      </c>
      <c r="H79" s="59" t="n">
        <v>0</v>
      </c>
      <c r="J79" s="55"/>
    </row>
    <row r="80" customFormat="false" ht="19.85" hidden="false" customHeight="true" outlineLevel="0" collapsed="false">
      <c r="A80" s="0" t="n">
        <v>30</v>
      </c>
      <c r="B80" s="31" t="n">
        <v>39387</v>
      </c>
      <c r="C80" s="56" t="n">
        <v>327000</v>
      </c>
      <c r="D80" s="29" t="s">
        <v>41</v>
      </c>
      <c r="E80" s="33" t="n">
        <f aca="false">IF(D80="totale",(C80/(A80*24))/F80,IF(D80="marché libre",(C80/(A80*24))/G80,"spécifier histo"))</f>
        <v>0.227083333333333</v>
      </c>
      <c r="F80" s="59" t="n">
        <v>2000</v>
      </c>
      <c r="G80" s="59" t="n">
        <f aca="false">F80-H80</f>
        <v>2000</v>
      </c>
      <c r="H80" s="59" t="n">
        <v>0</v>
      </c>
      <c r="J80" s="55"/>
    </row>
    <row r="81" customFormat="false" ht="19.85" hidden="false" customHeight="true" outlineLevel="0" collapsed="false">
      <c r="A81" s="0" t="n">
        <v>31</v>
      </c>
      <c r="B81" s="34" t="n">
        <v>39417</v>
      </c>
      <c r="C81" s="56" t="n">
        <v>947000</v>
      </c>
      <c r="D81" s="29" t="s">
        <v>41</v>
      </c>
      <c r="E81" s="33" t="n">
        <f aca="false">IF(D81="totale",(C81/(A81*24))/F81,IF(D81="marché libre",(C81/(A81*24))/G81,"spécifier histo"))</f>
        <v>0.636424731182796</v>
      </c>
      <c r="F81" s="59" t="n">
        <v>2000</v>
      </c>
      <c r="G81" s="59" t="n">
        <f aca="false">F81-H81</f>
        <v>2000</v>
      </c>
      <c r="H81" s="59" t="n">
        <v>0</v>
      </c>
      <c r="J81" s="55"/>
    </row>
    <row r="82" customFormat="false" ht="19.85" hidden="false" customHeight="true" outlineLevel="0" collapsed="false">
      <c r="A82" s="0" t="n">
        <v>31</v>
      </c>
      <c r="B82" s="31" t="n">
        <v>39448</v>
      </c>
      <c r="C82" s="56" t="n">
        <v>1189000</v>
      </c>
      <c r="D82" s="29" t="s">
        <v>41</v>
      </c>
      <c r="E82" s="33" t="n">
        <f aca="false">IF(D82="totale",(C82/(A82*24))/F82,IF(D82="marché libre",(C82/(A82*24))/G82,"spécifier histo"))</f>
        <v>0.799059139784946</v>
      </c>
      <c r="F82" s="59" t="n">
        <v>2000</v>
      </c>
      <c r="G82" s="59" t="n">
        <f aca="false">F82-H82</f>
        <v>2000</v>
      </c>
      <c r="H82" s="59" t="n">
        <v>0</v>
      </c>
      <c r="J82" s="55"/>
    </row>
    <row r="83" customFormat="false" ht="19.85" hidden="false" customHeight="true" outlineLevel="0" collapsed="false">
      <c r="A83" s="0" t="n">
        <v>28</v>
      </c>
      <c r="B83" s="34" t="n">
        <v>39479</v>
      </c>
      <c r="C83" s="56" t="n">
        <v>761000</v>
      </c>
      <c r="D83" s="29" t="s">
        <v>41</v>
      </c>
      <c r="E83" s="33" t="n">
        <f aca="false">IF(D83="totale",(C83/(A83*24))/F83,IF(D83="marché libre",(C83/(A83*24))/G83,"spécifier histo"))</f>
        <v>0.566220238095238</v>
      </c>
      <c r="F83" s="59" t="n">
        <v>2000</v>
      </c>
      <c r="G83" s="59" t="n">
        <f aca="false">F83-H83</f>
        <v>2000</v>
      </c>
      <c r="H83" s="59" t="n">
        <v>0</v>
      </c>
      <c r="J83" s="55"/>
    </row>
    <row r="84" customFormat="false" ht="19.85" hidden="false" customHeight="true" outlineLevel="0" collapsed="false">
      <c r="A84" s="0" t="n">
        <v>31</v>
      </c>
      <c r="B84" s="31" t="n">
        <v>39508</v>
      </c>
      <c r="C84" s="56" t="n">
        <v>1137000</v>
      </c>
      <c r="D84" s="29" t="s">
        <v>41</v>
      </c>
      <c r="E84" s="33" t="n">
        <f aca="false">IF(D84="totale",(C84/(A84*24))/F84,IF(D84="marché libre",(C84/(A84*24))/G84,"spécifier histo"))</f>
        <v>0.764112903225807</v>
      </c>
      <c r="F84" s="59" t="n">
        <v>2000</v>
      </c>
      <c r="G84" s="59" t="n">
        <f aca="false">F84-H84</f>
        <v>2000</v>
      </c>
      <c r="H84" s="59" t="n">
        <v>0</v>
      </c>
      <c r="J84" s="55"/>
    </row>
    <row r="85" customFormat="false" ht="19.85" hidden="false" customHeight="true" outlineLevel="0" collapsed="false">
      <c r="A85" s="0" t="n">
        <v>30</v>
      </c>
      <c r="B85" s="34" t="n">
        <v>39539</v>
      </c>
      <c r="C85" s="56" t="n">
        <v>1458000</v>
      </c>
      <c r="D85" s="29" t="s">
        <v>41</v>
      </c>
      <c r="E85" s="33" t="n">
        <f aca="false">IF(D85="totale",(C85/(A85*24))/F85,IF(D85="marché libre",(C85/(A85*24))/G85,"spécifier histo"))</f>
        <v>1.0125</v>
      </c>
      <c r="F85" s="59" t="n">
        <v>2000</v>
      </c>
      <c r="G85" s="59" t="n">
        <f aca="false">F85-H85</f>
        <v>2000</v>
      </c>
      <c r="H85" s="59" t="n">
        <v>0</v>
      </c>
      <c r="J85" s="55"/>
    </row>
    <row r="86" customFormat="false" ht="19.85" hidden="false" customHeight="true" outlineLevel="0" collapsed="false">
      <c r="A86" s="0" t="n">
        <v>31</v>
      </c>
      <c r="B86" s="31" t="n">
        <v>39569</v>
      </c>
      <c r="C86" s="56" t="n">
        <v>1286000</v>
      </c>
      <c r="D86" s="29" t="s">
        <v>41</v>
      </c>
      <c r="E86" s="33" t="n">
        <f aca="false">IF(D86="totale",(C86/(A86*24))/F86,IF(D86="marché libre",(C86/(A86*24))/G86,"spécifier histo"))</f>
        <v>0.864247311827957</v>
      </c>
      <c r="F86" s="59" t="n">
        <v>2000</v>
      </c>
      <c r="G86" s="59" t="n">
        <f aca="false">F86-H86</f>
        <v>2000</v>
      </c>
      <c r="H86" s="59" t="n">
        <v>0</v>
      </c>
      <c r="J86" s="55"/>
    </row>
    <row r="87" customFormat="false" ht="19.85" hidden="false" customHeight="true" outlineLevel="0" collapsed="false">
      <c r="A87" s="0" t="n">
        <v>30</v>
      </c>
      <c r="B87" s="34" t="n">
        <v>39600</v>
      </c>
      <c r="C87" s="56" t="n">
        <v>921000</v>
      </c>
      <c r="D87" s="29" t="s">
        <v>41</v>
      </c>
      <c r="E87" s="33" t="n">
        <f aca="false">IF(D87="totale",(C87/(A87*24))/F87,IF(D87="marché libre",(C87/(A87*24))/G87,"spécifier histo"))</f>
        <v>0.639583333333333</v>
      </c>
      <c r="F87" s="59" t="n">
        <v>2000</v>
      </c>
      <c r="G87" s="59" t="n">
        <f aca="false">F87-H87</f>
        <v>2000</v>
      </c>
      <c r="H87" s="59" t="n">
        <v>0</v>
      </c>
      <c r="J87" s="55"/>
    </row>
    <row r="88" customFormat="false" ht="19.85" hidden="false" customHeight="true" outlineLevel="0" collapsed="false">
      <c r="A88" s="0" t="n">
        <v>31</v>
      </c>
      <c r="B88" s="31" t="n">
        <v>39630</v>
      </c>
      <c r="C88" s="56" t="n">
        <v>716000</v>
      </c>
      <c r="D88" s="29" t="s">
        <v>41</v>
      </c>
      <c r="E88" s="33" t="n">
        <f aca="false">IF(D88="totale",(C88/(A88*24))/F88,IF(D88="marché libre",(C88/(A88*24))/G88,"spécifier histo"))</f>
        <v>0.481182795698925</v>
      </c>
      <c r="F88" s="59" t="n">
        <v>2000</v>
      </c>
      <c r="G88" s="59" t="n">
        <f aca="false">F88-H88</f>
        <v>2000</v>
      </c>
      <c r="H88" s="59" t="n">
        <v>0</v>
      </c>
      <c r="J88" s="55"/>
    </row>
    <row r="89" customFormat="false" ht="19.85" hidden="false" customHeight="true" outlineLevel="0" collapsed="false">
      <c r="A89" s="0" t="n">
        <v>31</v>
      </c>
      <c r="B89" s="34" t="n">
        <v>39661</v>
      </c>
      <c r="C89" s="56" t="n">
        <v>422000</v>
      </c>
      <c r="D89" s="29" t="s">
        <v>41</v>
      </c>
      <c r="E89" s="33" t="n">
        <f aca="false">IF(D89="totale",(C89/(A89*24))/F89,IF(D89="marché libre",(C89/(A89*24))/G89,"spécifier histo"))</f>
        <v>0.283602150537634</v>
      </c>
      <c r="F89" s="59" t="n">
        <v>2000</v>
      </c>
      <c r="G89" s="59" t="n">
        <f aca="false">F89-H89</f>
        <v>2000</v>
      </c>
      <c r="H89" s="59" t="n">
        <v>0</v>
      </c>
      <c r="J89" s="55"/>
    </row>
    <row r="90" customFormat="false" ht="19.85" hidden="false" customHeight="true" outlineLevel="0" collapsed="false">
      <c r="A90" s="0" t="n">
        <v>30</v>
      </c>
      <c r="B90" s="31" t="n">
        <v>39692</v>
      </c>
      <c r="C90" s="56" t="n">
        <v>44000</v>
      </c>
      <c r="D90" s="29" t="s">
        <v>41</v>
      </c>
      <c r="E90" s="33" t="n">
        <f aca="false">IF(D90="totale",(C90/(A90*24))/F90,IF(D90="marché libre",(C90/(A90*24))/G90,"spécifier histo"))</f>
        <v>0.0305555555555556</v>
      </c>
      <c r="F90" s="59" t="n">
        <v>2000</v>
      </c>
      <c r="G90" s="59" t="n">
        <f aca="false">F90-H90</f>
        <v>2000</v>
      </c>
      <c r="H90" s="59" t="n">
        <v>0</v>
      </c>
      <c r="J90" s="55" t="s">
        <v>291</v>
      </c>
    </row>
    <row r="91" customFormat="false" ht="19.85" hidden="false" customHeight="true" outlineLevel="0" collapsed="false">
      <c r="A91" s="0" t="n">
        <v>31</v>
      </c>
      <c r="B91" s="34" t="n">
        <v>39722</v>
      </c>
      <c r="C91" s="56" t="n">
        <v>509000</v>
      </c>
      <c r="D91" s="29" t="s">
        <v>41</v>
      </c>
      <c r="E91" s="33" t="n">
        <f aca="false">IF(D91="totale",(C91/(A91*24))/F91,IF(D91="marché libre",(C91/(A91*24))/G91,"spécifier histo"))</f>
        <v>0.342069892473118</v>
      </c>
      <c r="F91" s="59" t="n">
        <v>2000</v>
      </c>
      <c r="G91" s="59" t="n">
        <f aca="false">F91-H91</f>
        <v>2000</v>
      </c>
      <c r="H91" s="59" t="n">
        <v>0</v>
      </c>
      <c r="J91" s="55"/>
    </row>
    <row r="92" customFormat="false" ht="19.85" hidden="false" customHeight="true" outlineLevel="0" collapsed="false">
      <c r="A92" s="0" t="n">
        <v>30</v>
      </c>
      <c r="B92" s="31" t="n">
        <v>39753</v>
      </c>
      <c r="C92" s="56" t="n">
        <v>912000</v>
      </c>
      <c r="D92" s="29" t="s">
        <v>41</v>
      </c>
      <c r="E92" s="33" t="n">
        <f aca="false">IF(D92="totale",(C92/(A92*24))/F92,IF(D92="marché libre",(C92/(A92*24))/G92,"spécifier histo"))</f>
        <v>0.633333333333333</v>
      </c>
      <c r="F92" s="59" t="n">
        <v>2000</v>
      </c>
      <c r="G92" s="59" t="n">
        <f aca="false">F92-H92</f>
        <v>2000</v>
      </c>
      <c r="H92" s="59" t="n">
        <v>0</v>
      </c>
      <c r="J92" s="55"/>
    </row>
    <row r="93" customFormat="false" ht="19.85" hidden="false" customHeight="true" outlineLevel="0" collapsed="false">
      <c r="A93" s="0" t="n">
        <v>31</v>
      </c>
      <c r="B93" s="34" t="n">
        <v>39783</v>
      </c>
      <c r="C93" s="56" t="n">
        <v>803000</v>
      </c>
      <c r="D93" s="29" t="s">
        <v>41</v>
      </c>
      <c r="E93" s="33" t="n">
        <f aca="false">IF(D93="totale",(C93/(A93*24))/F93,IF(D93="marché libre",(C93/(A93*24))/G93,"spécifier histo"))</f>
        <v>0.539650537634409</v>
      </c>
      <c r="F93" s="59" t="n">
        <v>2000</v>
      </c>
      <c r="G93" s="59" t="n">
        <f aca="false">F93-H93</f>
        <v>2000</v>
      </c>
      <c r="H93" s="59" t="n">
        <v>0</v>
      </c>
      <c r="J93" s="55"/>
    </row>
    <row r="94" customFormat="false" ht="19.85" hidden="false" customHeight="true" outlineLevel="0" collapsed="false">
      <c r="A94" s="0" t="n">
        <v>31</v>
      </c>
      <c r="B94" s="31" t="n">
        <v>39814</v>
      </c>
      <c r="C94" s="56" t="n">
        <v>686000</v>
      </c>
      <c r="D94" s="29" t="s">
        <v>41</v>
      </c>
      <c r="E94" s="33" t="n">
        <f aca="false">IF(D94="totale",(C94/(A94*24))/F94,IF(D94="marché libre",(C94/(A94*24))/G94,"spécifier histo"))</f>
        <v>0.461021505376344</v>
      </c>
      <c r="F94" s="59" t="n">
        <v>2000</v>
      </c>
      <c r="G94" s="59" t="n">
        <f aca="false">F94-H94</f>
        <v>2000</v>
      </c>
      <c r="H94" s="59" t="n">
        <v>0</v>
      </c>
      <c r="J94" s="55"/>
    </row>
    <row r="95" customFormat="false" ht="19.85" hidden="false" customHeight="true" outlineLevel="0" collapsed="false">
      <c r="A95" s="0" t="n">
        <v>28</v>
      </c>
      <c r="B95" s="34" t="n">
        <v>39845</v>
      </c>
      <c r="C95" s="56" t="n">
        <v>672000</v>
      </c>
      <c r="D95" s="29" t="s">
        <v>41</v>
      </c>
      <c r="E95" s="33" t="n">
        <f aca="false">IF(D95="totale",(C95/(A95*24))/F95,IF(D95="marché libre",(C95/(A95*24))/G95,"spécifier histo"))</f>
        <v>0.5</v>
      </c>
      <c r="F95" s="59" t="n">
        <v>2000</v>
      </c>
      <c r="G95" s="59" t="n">
        <f aca="false">F95-H95</f>
        <v>2000</v>
      </c>
      <c r="H95" s="59" t="n">
        <v>0</v>
      </c>
      <c r="J95" s="55"/>
    </row>
    <row r="96" customFormat="false" ht="19.85" hidden="false" customHeight="true" outlineLevel="0" collapsed="false">
      <c r="A96" s="0" t="n">
        <v>31</v>
      </c>
      <c r="B96" s="31" t="n">
        <v>39873</v>
      </c>
      <c r="C96" s="56" t="n">
        <v>1045000</v>
      </c>
      <c r="D96" s="29" t="s">
        <v>41</v>
      </c>
      <c r="E96" s="33" t="n">
        <f aca="false">IF(D96="totale",(C96/(A96*24))/F96,IF(D96="marché libre",(C96/(A96*24))/G96,"spécifier histo"))</f>
        <v>0.702284946236559</v>
      </c>
      <c r="F96" s="59" t="n">
        <v>2000</v>
      </c>
      <c r="G96" s="59" t="n">
        <f aca="false">F96-H96</f>
        <v>2000</v>
      </c>
      <c r="H96" s="59" t="n">
        <v>0</v>
      </c>
      <c r="J96" s="55"/>
    </row>
    <row r="97" customFormat="false" ht="19.85" hidden="false" customHeight="true" outlineLevel="0" collapsed="false">
      <c r="A97" s="0" t="n">
        <v>30</v>
      </c>
      <c r="B97" s="34" t="n">
        <v>39904</v>
      </c>
      <c r="C97" s="56" t="n">
        <v>1279000</v>
      </c>
      <c r="D97" s="29" t="s">
        <v>41</v>
      </c>
      <c r="E97" s="33" t="n">
        <f aca="false">IF(D97="totale",(C97/(A97*24))/F97,IF(D97="marché libre",(C97/(A97*24))/G97,"spécifier histo"))</f>
        <v>0.888194444444444</v>
      </c>
      <c r="F97" s="59" t="n">
        <v>2000</v>
      </c>
      <c r="G97" s="59" t="n">
        <f aca="false">F97-H97</f>
        <v>2000</v>
      </c>
      <c r="H97" s="59" t="n">
        <v>0</v>
      </c>
      <c r="J97" s="55"/>
    </row>
    <row r="98" customFormat="false" ht="19.85" hidden="false" customHeight="true" outlineLevel="0" collapsed="false">
      <c r="A98" s="0" t="n">
        <v>31</v>
      </c>
      <c r="B98" s="31" t="n">
        <v>39934</v>
      </c>
      <c r="C98" s="56" t="n">
        <v>948000</v>
      </c>
      <c r="D98" s="29" t="s">
        <v>41</v>
      </c>
      <c r="E98" s="33" t="n">
        <f aca="false">IF(D98="totale",(C98/(A98*24))/F98,IF(D98="marché libre",(C98/(A98*24))/G98,"spécifier histo"))</f>
        <v>0.637096774193548</v>
      </c>
      <c r="F98" s="59" t="n">
        <v>2000</v>
      </c>
      <c r="G98" s="59" t="n">
        <f aca="false">F98-H98</f>
        <v>2000</v>
      </c>
      <c r="H98" s="59" t="n">
        <v>0</v>
      </c>
      <c r="J98" s="55"/>
    </row>
    <row r="99" customFormat="false" ht="19.85" hidden="false" customHeight="true" outlineLevel="0" collapsed="false">
      <c r="A99" s="0" t="n">
        <v>30</v>
      </c>
      <c r="B99" s="34" t="n">
        <v>39965</v>
      </c>
      <c r="C99" s="56" t="n">
        <v>423000</v>
      </c>
      <c r="D99" s="29" t="s">
        <v>41</v>
      </c>
      <c r="E99" s="33" t="n">
        <f aca="false">IF(D99="totale",(C99/(A99*24))/F99,IF(D99="marché libre",(C99/(A99*24))/G99,"spécifier histo"))</f>
        <v>0.29375</v>
      </c>
      <c r="F99" s="59" t="n">
        <v>2000</v>
      </c>
      <c r="G99" s="59" t="n">
        <f aca="false">F99-H99</f>
        <v>2000</v>
      </c>
      <c r="H99" s="59" t="n">
        <v>0</v>
      </c>
      <c r="J99" s="55"/>
    </row>
    <row r="100" customFormat="false" ht="19.85" hidden="false" customHeight="true" outlineLevel="0" collapsed="false">
      <c r="A100" s="0" t="n">
        <v>31</v>
      </c>
      <c r="B100" s="31" t="n">
        <v>39995</v>
      </c>
      <c r="C100" s="56" t="n">
        <v>209000</v>
      </c>
      <c r="D100" s="29" t="s">
        <v>41</v>
      </c>
      <c r="E100" s="33" t="n">
        <f aca="false">IF(D100="totale",(C100/(A100*24))/F100,IF(D100="marché libre",(C100/(A100*24))/G100,"spécifier histo"))</f>
        <v>0.140456989247312</v>
      </c>
      <c r="F100" s="59" t="n">
        <v>2000</v>
      </c>
      <c r="G100" s="59" t="n">
        <f aca="false">F100-H100</f>
        <v>2000</v>
      </c>
      <c r="H100" s="59" t="n">
        <v>0</v>
      </c>
      <c r="J100" s="55"/>
    </row>
    <row r="101" customFormat="false" ht="19.85" hidden="false" customHeight="true" outlineLevel="0" collapsed="false">
      <c r="A101" s="0" t="n">
        <v>31</v>
      </c>
      <c r="B101" s="34" t="n">
        <v>40026</v>
      </c>
      <c r="C101" s="56" t="n">
        <v>164000</v>
      </c>
      <c r="D101" s="29" t="s">
        <v>41</v>
      </c>
      <c r="E101" s="33" t="n">
        <f aca="false">IF(D101="totale",(C101/(A101*24))/F101,IF(D101="marché libre",(C101/(A101*24))/G101,"spécifier histo"))</f>
        <v>0.110215053763441</v>
      </c>
      <c r="F101" s="59" t="n">
        <v>2000</v>
      </c>
      <c r="G101" s="59" t="n">
        <f aca="false">F101-H101</f>
        <v>2000</v>
      </c>
      <c r="H101" s="59" t="n">
        <v>0</v>
      </c>
      <c r="J101" s="55"/>
    </row>
    <row r="102" customFormat="false" ht="19.85" hidden="false" customHeight="true" outlineLevel="0" collapsed="false">
      <c r="A102" s="0" t="n">
        <v>30</v>
      </c>
      <c r="B102" s="31" t="n">
        <v>40057</v>
      </c>
      <c r="C102" s="56" t="n">
        <v>123000</v>
      </c>
      <c r="D102" s="29" t="s">
        <v>41</v>
      </c>
      <c r="E102" s="33" t="n">
        <f aca="false">IF(D102="totale",(C102/(A102*24))/F102,IF(D102="marché libre",(C102/(A102*24))/G102,"spécifier histo"))</f>
        <v>0.0854166666666667</v>
      </c>
      <c r="F102" s="59" t="n">
        <v>2000</v>
      </c>
      <c r="G102" s="59" t="n">
        <f aca="false">F102-H102</f>
        <v>2000</v>
      </c>
      <c r="H102" s="59" t="n">
        <v>0</v>
      </c>
      <c r="J102" s="55"/>
    </row>
    <row r="103" customFormat="false" ht="19.85" hidden="false" customHeight="true" outlineLevel="0" collapsed="false">
      <c r="A103" s="0" t="n">
        <v>31</v>
      </c>
      <c r="B103" s="34" t="n">
        <v>40087</v>
      </c>
      <c r="C103" s="56" t="n">
        <v>106000</v>
      </c>
      <c r="D103" s="29" t="s">
        <v>41</v>
      </c>
      <c r="E103" s="33" t="n">
        <f aca="false">IF(D103="totale",(C103/(A103*24))/F103,IF(D103="marché libre",(C103/(A103*24))/G103,"spécifier histo"))</f>
        <v>0.0712365591397849</v>
      </c>
      <c r="F103" s="59" t="n">
        <v>2000</v>
      </c>
      <c r="G103" s="59" t="n">
        <f aca="false">F103-H103</f>
        <v>2000</v>
      </c>
      <c r="H103" s="59" t="n">
        <v>0</v>
      </c>
      <c r="J103" s="55"/>
    </row>
    <row r="104" customFormat="false" ht="19.85" hidden="false" customHeight="true" outlineLevel="0" collapsed="false">
      <c r="A104" s="0" t="n">
        <v>30</v>
      </c>
      <c r="B104" s="31" t="n">
        <v>40118</v>
      </c>
      <c r="C104" s="56" t="n">
        <v>552000</v>
      </c>
      <c r="D104" s="29" t="s">
        <v>41</v>
      </c>
      <c r="E104" s="33" t="n">
        <f aca="false">IF(D104="totale",(C104/(A104*24))/F104,IF(D104="marché libre",(C104/(A104*24))/G104,"spécifier histo"))</f>
        <v>0.383333333333333</v>
      </c>
      <c r="F104" s="59" t="n">
        <v>2000</v>
      </c>
      <c r="G104" s="59" t="n">
        <f aca="false">F104-H104</f>
        <v>2000</v>
      </c>
      <c r="H104" s="59" t="n">
        <v>0</v>
      </c>
      <c r="J104" s="55"/>
    </row>
    <row r="105" customFormat="false" ht="19.85" hidden="false" customHeight="true" outlineLevel="0" collapsed="false">
      <c r="A105" s="0" t="n">
        <v>31</v>
      </c>
      <c r="B105" s="34" t="n">
        <v>40148</v>
      </c>
      <c r="C105" s="56" t="n">
        <v>982000</v>
      </c>
      <c r="D105" s="29" t="s">
        <v>41</v>
      </c>
      <c r="E105" s="33" t="n">
        <f aca="false">IF(D105="totale",(C105/(A105*24))/F105,IF(D105="marché libre",(C105/(A105*24))/G105,"spécifier histo"))</f>
        <v>0.65994623655914</v>
      </c>
      <c r="F105" s="59" t="n">
        <v>2000</v>
      </c>
      <c r="G105" s="59" t="n">
        <f aca="false">F105-H105</f>
        <v>2000</v>
      </c>
      <c r="H105" s="59" t="n">
        <v>0</v>
      </c>
      <c r="J105" s="55"/>
    </row>
    <row r="106" customFormat="false" ht="19.85" hidden="false" customHeight="true" outlineLevel="0" collapsed="false">
      <c r="A106" s="0" t="n">
        <v>31</v>
      </c>
      <c r="B106" s="31" t="n">
        <v>40179</v>
      </c>
      <c r="C106" s="56" t="n">
        <v>932000</v>
      </c>
      <c r="D106" s="29" t="s">
        <v>41</v>
      </c>
      <c r="E106" s="33" t="n">
        <f aca="false">IF(D106="totale",(C106/(A106*24))/F106,IF(D106="marché libre",(C106/(A106*24))/G106,"spécifier histo"))</f>
        <v>0.626344086021505</v>
      </c>
      <c r="F106" s="59" t="n">
        <v>2000</v>
      </c>
      <c r="G106" s="59" t="n">
        <f aca="false">F106-H106</f>
        <v>2000</v>
      </c>
      <c r="H106" s="59" t="n">
        <v>0</v>
      </c>
      <c r="J106" s="55"/>
    </row>
    <row r="107" customFormat="false" ht="19.85" hidden="false" customHeight="true" outlineLevel="0" collapsed="false">
      <c r="A107" s="0" t="n">
        <v>28</v>
      </c>
      <c r="B107" s="34" t="n">
        <v>40210</v>
      </c>
      <c r="C107" s="56" t="n">
        <v>632000</v>
      </c>
      <c r="D107" s="29" t="s">
        <v>41</v>
      </c>
      <c r="E107" s="33" t="n">
        <f aca="false">IF(D107="totale",(C107/(A107*24))/F107,IF(D107="marché libre",(C107/(A107*24))/G107,"spécifier histo"))</f>
        <v>0.470238095238095</v>
      </c>
      <c r="F107" s="59" t="n">
        <v>2000</v>
      </c>
      <c r="G107" s="59" t="n">
        <f aca="false">F107-H107</f>
        <v>2000</v>
      </c>
      <c r="H107" s="59" t="n">
        <v>0</v>
      </c>
      <c r="J107" s="55"/>
    </row>
    <row r="108" customFormat="false" ht="19.85" hidden="false" customHeight="true" outlineLevel="0" collapsed="false">
      <c r="A108" s="0" t="n">
        <v>31</v>
      </c>
      <c r="B108" s="31" t="n">
        <v>40238</v>
      </c>
      <c r="C108" s="56" t="n">
        <v>1136000</v>
      </c>
      <c r="D108" s="29" t="s">
        <v>41</v>
      </c>
      <c r="E108" s="33" t="n">
        <f aca="false">IF(D108="totale",(C108/(A108*24))/F108,IF(D108="marché libre",(C108/(A108*24))/G108,"spécifier histo"))</f>
        <v>0.763440860215054</v>
      </c>
      <c r="F108" s="59" t="n">
        <v>2000</v>
      </c>
      <c r="G108" s="59" t="n">
        <f aca="false">F108-H108</f>
        <v>2000</v>
      </c>
      <c r="H108" s="59" t="n">
        <v>0</v>
      </c>
      <c r="J108" s="55"/>
    </row>
    <row r="109" customFormat="false" ht="19.85" hidden="false" customHeight="true" outlineLevel="0" collapsed="false">
      <c r="A109" s="0" t="n">
        <v>30</v>
      </c>
      <c r="B109" s="34" t="n">
        <v>40269</v>
      </c>
      <c r="C109" s="56" t="n">
        <v>1337000</v>
      </c>
      <c r="D109" s="29" t="s">
        <v>41</v>
      </c>
      <c r="E109" s="33" t="n">
        <f aca="false">IF(D109="totale",(C109/(A109*24))/F109,IF(D109="marché libre",(C109/(A109*24))/G109,"spécifier histo"))</f>
        <v>0.928472222222222</v>
      </c>
      <c r="F109" s="59" t="n">
        <v>2000</v>
      </c>
      <c r="G109" s="59" t="n">
        <f aca="false">F109-H109</f>
        <v>2000</v>
      </c>
      <c r="H109" s="59" t="n">
        <v>0</v>
      </c>
      <c r="J109" s="55"/>
    </row>
    <row r="110" customFormat="false" ht="19.85" hidden="false" customHeight="true" outlineLevel="0" collapsed="false">
      <c r="A110" s="0" t="n">
        <v>31</v>
      </c>
      <c r="B110" s="31" t="n">
        <v>40299</v>
      </c>
      <c r="C110" s="56" t="n">
        <v>1348000</v>
      </c>
      <c r="D110" s="29" t="s">
        <v>41</v>
      </c>
      <c r="E110" s="33" t="n">
        <f aca="false">IF(D110="totale",(C110/(A110*24))/F110,IF(D110="marché libre",(C110/(A110*24))/G110,"spécifier histo"))</f>
        <v>0.905913978494624</v>
      </c>
      <c r="F110" s="59" t="n">
        <v>2000</v>
      </c>
      <c r="G110" s="59" t="n">
        <f aca="false">F110-H110</f>
        <v>2000</v>
      </c>
      <c r="H110" s="59" t="n">
        <v>0</v>
      </c>
      <c r="J110" s="55"/>
    </row>
    <row r="111" customFormat="false" ht="19.85" hidden="false" customHeight="true" outlineLevel="0" collapsed="false">
      <c r="A111" s="0" t="n">
        <v>30</v>
      </c>
      <c r="B111" s="34" t="n">
        <v>40330</v>
      </c>
      <c r="C111" s="56" t="n">
        <v>1047000</v>
      </c>
      <c r="D111" s="29" t="s">
        <v>41</v>
      </c>
      <c r="E111" s="33" t="n">
        <f aca="false">IF(D111="totale",(C111/(A111*24))/F111,IF(D111="marché libre",(C111/(A111*24))/G111,"spécifier histo"))</f>
        <v>0.727083333333333</v>
      </c>
      <c r="F111" s="59" t="n">
        <v>2000</v>
      </c>
      <c r="G111" s="59" t="n">
        <f aca="false">F111-H111</f>
        <v>2000</v>
      </c>
      <c r="H111" s="59" t="n">
        <v>0</v>
      </c>
      <c r="J111" s="55"/>
    </row>
    <row r="112" customFormat="false" ht="19.85" hidden="false" customHeight="true" outlineLevel="0" collapsed="false">
      <c r="A112" s="0" t="n">
        <v>31</v>
      </c>
      <c r="B112" s="31" t="n">
        <v>40360</v>
      </c>
      <c r="C112" s="56" t="n">
        <v>388000</v>
      </c>
      <c r="D112" s="29" t="s">
        <v>41</v>
      </c>
      <c r="E112" s="33" t="n">
        <f aca="false">IF(D112="totale",(C112/(A112*24))/F112,IF(D112="marché libre",(C112/(A112*24))/G112,"spécifier histo"))</f>
        <v>0.260752688172043</v>
      </c>
      <c r="F112" s="59" t="n">
        <v>2000</v>
      </c>
      <c r="G112" s="59" t="n">
        <f aca="false">F112-H112</f>
        <v>2000</v>
      </c>
      <c r="H112" s="59" t="n">
        <v>0</v>
      </c>
      <c r="J112" s="55"/>
    </row>
    <row r="113" customFormat="false" ht="19.85" hidden="false" customHeight="true" outlineLevel="0" collapsed="false">
      <c r="A113" s="0" t="n">
        <v>31</v>
      </c>
      <c r="B113" s="34" t="n">
        <v>40391</v>
      </c>
      <c r="C113" s="56" t="n">
        <v>468000</v>
      </c>
      <c r="D113" s="29" t="s">
        <v>41</v>
      </c>
      <c r="E113" s="33" t="n">
        <f aca="false">IF(D113="totale",(C113/(A113*24))/F113,IF(D113="marché libre",(C113/(A113*24))/G113,"spécifier histo"))</f>
        <v>0.314516129032258</v>
      </c>
      <c r="F113" s="59" t="n">
        <v>2000</v>
      </c>
      <c r="G113" s="59" t="n">
        <f aca="false">F113-H113</f>
        <v>2000</v>
      </c>
      <c r="H113" s="59" t="n">
        <v>0</v>
      </c>
      <c r="J113" s="55"/>
    </row>
    <row r="114" customFormat="false" ht="19.85" hidden="false" customHeight="true" outlineLevel="0" collapsed="false">
      <c r="A114" s="0" t="n">
        <v>30</v>
      </c>
      <c r="B114" s="31" t="n">
        <v>40422</v>
      </c>
      <c r="C114" s="56" t="n">
        <v>81000</v>
      </c>
      <c r="D114" s="29" t="s">
        <v>41</v>
      </c>
      <c r="E114" s="33" t="n">
        <f aca="false">IF(D114="totale",(C114/(A114*24))/F114,IF(D114="marché libre",(C114/(A114*24))/G114,"spécifier histo"))</f>
        <v>0.05625</v>
      </c>
      <c r="F114" s="59" t="n">
        <v>2000</v>
      </c>
      <c r="G114" s="59" t="n">
        <f aca="false">F114-H114</f>
        <v>2000</v>
      </c>
      <c r="H114" s="59" t="n">
        <v>0</v>
      </c>
      <c r="J114" s="55" t="s">
        <v>292</v>
      </c>
    </row>
    <row r="115" customFormat="false" ht="19.85" hidden="false" customHeight="true" outlineLevel="0" collapsed="false">
      <c r="A115" s="0" t="n">
        <v>31</v>
      </c>
      <c r="B115" s="34" t="n">
        <v>40452</v>
      </c>
      <c r="C115" s="56" t="n">
        <v>148000</v>
      </c>
      <c r="D115" s="29" t="s">
        <v>41</v>
      </c>
      <c r="E115" s="33" t="n">
        <f aca="false">IF(D115="totale",(C115/(A115*24))/F115,IF(D115="marché libre",(C115/(A115*24))/G115,"spécifier histo"))</f>
        <v>0.0994623655913979</v>
      </c>
      <c r="F115" s="59" t="n">
        <v>2000</v>
      </c>
      <c r="G115" s="59" t="n">
        <f aca="false">F115-H115</f>
        <v>2000</v>
      </c>
      <c r="H115" s="59" t="n">
        <v>0</v>
      </c>
      <c r="J115" s="55"/>
    </row>
    <row r="116" customFormat="false" ht="19.85" hidden="false" customHeight="true" outlineLevel="0" collapsed="false">
      <c r="A116" s="0" t="n">
        <v>30</v>
      </c>
      <c r="B116" s="31" t="n">
        <v>40483</v>
      </c>
      <c r="C116" s="56" t="n">
        <v>710000</v>
      </c>
      <c r="D116" s="29" t="s">
        <v>41</v>
      </c>
      <c r="E116" s="33" t="n">
        <f aca="false">IF(D116="totale",(C116/(A116*24))/F116,IF(D116="marché libre",(C116/(A116*24))/G116,"spécifier histo"))</f>
        <v>0.493055555555556</v>
      </c>
      <c r="F116" s="59" t="n">
        <v>2000</v>
      </c>
      <c r="G116" s="59" t="n">
        <f aca="false">F116-H116</f>
        <v>2000</v>
      </c>
      <c r="H116" s="59" t="n">
        <v>0</v>
      </c>
      <c r="J116" s="55"/>
    </row>
    <row r="117" customFormat="false" ht="19.85" hidden="false" customHeight="true" outlineLevel="0" collapsed="false">
      <c r="A117" s="0" t="n">
        <v>31</v>
      </c>
      <c r="B117" s="34" t="n">
        <v>40513</v>
      </c>
      <c r="C117" s="56" t="n">
        <v>959000</v>
      </c>
      <c r="D117" s="29" t="s">
        <v>41</v>
      </c>
      <c r="E117" s="33" t="n">
        <f aca="false">IF(D117="totale",(C117/(A117*24))/F117,IF(D117="marché libre",(C117/(A117*24))/G117,"spécifier histo"))</f>
        <v>0.644489247311828</v>
      </c>
      <c r="F117" s="59" t="n">
        <v>2000</v>
      </c>
      <c r="G117" s="59" t="n">
        <f aca="false">F117-H117</f>
        <v>2000</v>
      </c>
      <c r="H117" s="59" t="n">
        <v>0</v>
      </c>
      <c r="J117" s="55"/>
    </row>
    <row r="118" customFormat="false" ht="19.85" hidden="false" customHeight="true" outlineLevel="0" collapsed="false">
      <c r="A118" s="0" t="n">
        <v>31</v>
      </c>
      <c r="B118" s="31" t="n">
        <v>40544</v>
      </c>
      <c r="C118" s="56" t="n">
        <v>890000</v>
      </c>
      <c r="D118" s="29" t="s">
        <v>41</v>
      </c>
      <c r="E118" s="33" t="n">
        <f aca="false">IF(D118="totale",(C118/(A118*24))/F118,IF(D118="marché libre",(C118/(A118*24))/G118,"spécifier histo"))</f>
        <v>0.598118279569893</v>
      </c>
      <c r="F118" s="59" t="n">
        <v>2000</v>
      </c>
      <c r="G118" s="59" t="n">
        <f aca="false">F118-H118</f>
        <v>2000</v>
      </c>
      <c r="H118" s="59" t="n">
        <v>0</v>
      </c>
      <c r="J118" s="55"/>
    </row>
    <row r="119" customFormat="false" ht="19.85" hidden="false" customHeight="true" outlineLevel="0" collapsed="false">
      <c r="A119" s="0" t="n">
        <v>28</v>
      </c>
      <c r="B119" s="34" t="n">
        <v>40575</v>
      </c>
      <c r="C119" s="56" t="n">
        <v>376000</v>
      </c>
      <c r="D119" s="29" t="s">
        <v>41</v>
      </c>
      <c r="E119" s="33" t="n">
        <f aca="false">IF(D119="totale",(C119/(A119*24))/F119,IF(D119="marché libre",(C119/(A119*24))/G119,"spécifier histo"))</f>
        <v>0.279761904761905</v>
      </c>
      <c r="F119" s="59" t="n">
        <v>2000</v>
      </c>
      <c r="G119" s="59" t="n">
        <f aca="false">F119-H119</f>
        <v>2000</v>
      </c>
      <c r="H119" s="59" t="n">
        <v>0</v>
      </c>
      <c r="J119" s="55"/>
    </row>
    <row r="120" customFormat="false" ht="19.85" hidden="false" customHeight="true" outlineLevel="0" collapsed="false">
      <c r="A120" s="0" t="n">
        <v>31</v>
      </c>
      <c r="B120" s="31" t="n">
        <v>40603</v>
      </c>
      <c r="C120" s="56" t="n">
        <v>555000</v>
      </c>
      <c r="D120" s="29" t="s">
        <v>41</v>
      </c>
      <c r="E120" s="33" t="n">
        <f aca="false">IF(D120="totale",(C120/(A120*24))/F120,IF(D120="marché libre",(C120/(A120*24))/G120,"spécifier histo"))</f>
        <v>0.372983870967742</v>
      </c>
      <c r="F120" s="59" t="n">
        <v>2000</v>
      </c>
      <c r="G120" s="59" t="n">
        <f aca="false">F120-H120</f>
        <v>2000</v>
      </c>
      <c r="H120" s="59" t="n">
        <v>0</v>
      </c>
      <c r="J120" s="55"/>
    </row>
    <row r="121" customFormat="false" ht="19.85" hidden="false" customHeight="true" outlineLevel="0" collapsed="false">
      <c r="A121" s="0" t="n">
        <v>30</v>
      </c>
      <c r="B121" s="34" t="n">
        <v>40634</v>
      </c>
      <c r="C121" s="56" t="n">
        <v>712000</v>
      </c>
      <c r="D121" s="29" t="s">
        <v>41</v>
      </c>
      <c r="E121" s="33" t="n">
        <f aca="false">IF(D121="totale",(C121/(A121*24))/F121,IF(D121="marché libre",(C121/(A121*24))/G121,"spécifier histo"))</f>
        <v>0.494444444444444</v>
      </c>
      <c r="F121" s="59" t="n">
        <v>2000</v>
      </c>
      <c r="G121" s="59" t="n">
        <f aca="false">F121-H121</f>
        <v>2000</v>
      </c>
      <c r="H121" s="59" t="n">
        <v>0</v>
      </c>
      <c r="J121" s="55"/>
    </row>
    <row r="122" customFormat="false" ht="19.85" hidden="false" customHeight="true" outlineLevel="0" collapsed="false">
      <c r="A122" s="0" t="n">
        <v>31</v>
      </c>
      <c r="B122" s="31" t="n">
        <v>40664</v>
      </c>
      <c r="C122" s="56" t="n">
        <v>486000</v>
      </c>
      <c r="D122" s="29" t="s">
        <v>41</v>
      </c>
      <c r="E122" s="33" t="n">
        <f aca="false">IF(D122="totale",(C122/(A122*24))/F122,IF(D122="marché libre",(C122/(A122*24))/G122,"spécifier histo"))</f>
        <v>0.326612903225806</v>
      </c>
      <c r="F122" s="59" t="n">
        <v>2000</v>
      </c>
      <c r="G122" s="59" t="n">
        <f aca="false">F122-H122</f>
        <v>2000</v>
      </c>
      <c r="H122" s="59" t="n">
        <v>0</v>
      </c>
      <c r="J122" s="55"/>
    </row>
    <row r="123" customFormat="false" ht="19.85" hidden="false" customHeight="true" outlineLevel="0" collapsed="false">
      <c r="A123" s="0" t="n">
        <v>30</v>
      </c>
      <c r="B123" s="34" t="n">
        <v>40695</v>
      </c>
      <c r="C123" s="56" t="n">
        <v>897000</v>
      </c>
      <c r="D123" s="29" t="s">
        <v>41</v>
      </c>
      <c r="E123" s="33" t="n">
        <f aca="false">IF(D123="totale",(C123/(A123*24))/F123,IF(D123="marché libre",(C123/(A123*24))/G123,"spécifier histo"))</f>
        <v>0.622916666666667</v>
      </c>
      <c r="F123" s="59" t="n">
        <v>2000</v>
      </c>
      <c r="G123" s="59" t="n">
        <f aca="false">F123-H123</f>
        <v>2000</v>
      </c>
      <c r="H123" s="59" t="n">
        <v>0</v>
      </c>
      <c r="J123" s="55"/>
    </row>
    <row r="124" customFormat="false" ht="19.85" hidden="false" customHeight="true" outlineLevel="0" collapsed="false">
      <c r="A124" s="0" t="n">
        <v>31</v>
      </c>
      <c r="B124" s="31" t="n">
        <v>40725</v>
      </c>
      <c r="C124" s="56" t="n">
        <v>920000</v>
      </c>
      <c r="D124" s="29" t="s">
        <v>41</v>
      </c>
      <c r="E124" s="33" t="n">
        <f aca="false">IF(D124="totale",(C124/(A124*24))/F124,IF(D124="marché libre",(C124/(A124*24))/G124,"spécifier histo"))</f>
        <v>0.618279569892473</v>
      </c>
      <c r="F124" s="59" t="n">
        <v>2000</v>
      </c>
      <c r="G124" s="59" t="n">
        <f aca="false">F124-H124</f>
        <v>2000</v>
      </c>
      <c r="H124" s="59" t="n">
        <v>0</v>
      </c>
      <c r="J124" s="55"/>
    </row>
    <row r="125" customFormat="false" ht="19.85" hidden="false" customHeight="true" outlineLevel="0" collapsed="false">
      <c r="A125" s="0" t="n">
        <v>31</v>
      </c>
      <c r="B125" s="34" t="n">
        <v>40756</v>
      </c>
      <c r="C125" s="56" t="n">
        <v>494000</v>
      </c>
      <c r="D125" s="29" t="s">
        <v>41</v>
      </c>
      <c r="E125" s="33" t="n">
        <f aca="false">IF(D125="totale",(C125/(A125*24))/F125,IF(D125="marché libre",(C125/(A125*24))/G125,"spécifier histo"))</f>
        <v>0.331989247311828</v>
      </c>
      <c r="F125" s="59" t="n">
        <v>2000</v>
      </c>
      <c r="G125" s="59" t="n">
        <f aca="false">F125-H125</f>
        <v>2000</v>
      </c>
      <c r="H125" s="59" t="n">
        <v>0</v>
      </c>
      <c r="J125" s="55"/>
    </row>
    <row r="126" customFormat="false" ht="19.85" hidden="false" customHeight="true" outlineLevel="0" collapsed="false">
      <c r="A126" s="0" t="n">
        <v>30</v>
      </c>
      <c r="B126" s="31" t="n">
        <v>40787</v>
      </c>
      <c r="C126" s="56" t="n">
        <v>409000</v>
      </c>
      <c r="D126" s="29" t="s">
        <v>41</v>
      </c>
      <c r="E126" s="33" t="n">
        <f aca="false">IF(D126="totale",(C126/(A126*24))/F126,IF(D126="marché libre",(C126/(A126*24))/G126,"spécifier histo"))</f>
        <v>0.284027777777778</v>
      </c>
      <c r="F126" s="59" t="n">
        <v>2000</v>
      </c>
      <c r="G126" s="59" t="n">
        <f aca="false">F126-H126</f>
        <v>2000</v>
      </c>
      <c r="H126" s="59" t="n">
        <v>0</v>
      </c>
      <c r="J126" s="55"/>
    </row>
    <row r="127" customFormat="false" ht="19.85" hidden="false" customHeight="true" outlineLevel="0" collapsed="false">
      <c r="A127" s="0" t="n">
        <v>31</v>
      </c>
      <c r="B127" s="34" t="n">
        <v>40817</v>
      </c>
      <c r="C127" s="56" t="n">
        <v>363000</v>
      </c>
      <c r="D127" s="29" t="s">
        <v>41</v>
      </c>
      <c r="E127" s="33" t="n">
        <f aca="false">IF(D127="totale",(C127/(A127*24))/F127,IF(D127="marché libre",(C127/(A127*24))/G127,"spécifier histo"))</f>
        <v>0.243951612903226</v>
      </c>
      <c r="F127" s="59" t="n">
        <v>2000</v>
      </c>
      <c r="G127" s="59" t="n">
        <f aca="false">F127-H127</f>
        <v>2000</v>
      </c>
      <c r="H127" s="59" t="n">
        <v>0</v>
      </c>
      <c r="J127" s="55"/>
    </row>
    <row r="128" customFormat="false" ht="19.85" hidden="false" customHeight="true" outlineLevel="0" collapsed="false">
      <c r="A128" s="0" t="n">
        <v>30</v>
      </c>
      <c r="B128" s="31" t="n">
        <v>40848</v>
      </c>
      <c r="C128" s="56" t="n">
        <v>246000</v>
      </c>
      <c r="D128" s="29" t="s">
        <v>41</v>
      </c>
      <c r="E128" s="33" t="n">
        <f aca="false">IF(D128="totale",(C128/(A128*24))/F128,IF(D128="marché libre",(C128/(A128*24))/G128,"spécifier histo"))</f>
        <v>0.170833333333333</v>
      </c>
      <c r="F128" s="59" t="n">
        <v>2000</v>
      </c>
      <c r="G128" s="59" t="n">
        <f aca="false">F128-H128</f>
        <v>2000</v>
      </c>
      <c r="H128" s="59" t="n">
        <v>0</v>
      </c>
      <c r="J128" s="55"/>
    </row>
    <row r="129" customFormat="false" ht="19.85" hidden="false" customHeight="true" outlineLevel="0" collapsed="false">
      <c r="A129" s="0" t="n">
        <v>31</v>
      </c>
      <c r="B129" s="34" t="n">
        <v>40878</v>
      </c>
      <c r="C129" s="56" t="n">
        <v>926000</v>
      </c>
      <c r="D129" s="29" t="s">
        <v>41</v>
      </c>
      <c r="E129" s="33" t="n">
        <f aca="false">IF(D129="totale",(C129/(A129*24))/F129,IF(D129="marché libre",(C129/(A129*24))/G129,"spécifier histo"))</f>
        <v>0.622311827956989</v>
      </c>
      <c r="F129" s="59" t="n">
        <v>2000</v>
      </c>
      <c r="G129" s="59" t="n">
        <f aca="false">F129-H129</f>
        <v>2000</v>
      </c>
      <c r="H129" s="59" t="n">
        <v>0</v>
      </c>
      <c r="J129" s="55"/>
    </row>
    <row r="130" customFormat="false" ht="19.85" hidden="false" customHeight="true" outlineLevel="0" collapsed="false">
      <c r="A130" s="0" t="n">
        <v>31</v>
      </c>
      <c r="B130" s="31" t="n">
        <v>40909</v>
      </c>
      <c r="C130" s="56" t="n">
        <v>1259000</v>
      </c>
      <c r="D130" s="29" t="s">
        <v>41</v>
      </c>
      <c r="E130" s="33" t="n">
        <f aca="false">IF(D130="totale",(C130/(A130*24))/F130,IF(D130="marché libre",(C130/(A130*24))/G130,"spécifier histo"))</f>
        <v>0.846102150537634</v>
      </c>
      <c r="F130" s="59" t="n">
        <v>2000</v>
      </c>
      <c r="G130" s="59" t="n">
        <f aca="false">F130-H130</f>
        <v>2000</v>
      </c>
      <c r="H130" s="59" t="n">
        <v>0</v>
      </c>
      <c r="J130" s="55"/>
    </row>
    <row r="131" customFormat="false" ht="19.85" hidden="false" customHeight="true" outlineLevel="0" collapsed="false">
      <c r="A131" s="0" t="n">
        <v>28</v>
      </c>
      <c r="B131" s="34" t="n">
        <v>40940</v>
      </c>
      <c r="C131" s="56" t="n">
        <v>621000</v>
      </c>
      <c r="D131" s="29" t="s">
        <v>41</v>
      </c>
      <c r="E131" s="33" t="n">
        <f aca="false">IF(D131="totale",(C131/(A131*24))/F131,IF(D131="marché libre",(C131/(A131*24))/G131,"spécifier histo"))</f>
        <v>0.462053571428571</v>
      </c>
      <c r="F131" s="59" t="n">
        <v>2000</v>
      </c>
      <c r="G131" s="59" t="n">
        <f aca="false">F131-H131</f>
        <v>2000</v>
      </c>
      <c r="H131" s="59" t="n">
        <v>0</v>
      </c>
      <c r="J131" s="55"/>
    </row>
    <row r="132" customFormat="false" ht="19.85" hidden="false" customHeight="true" outlineLevel="0" collapsed="false">
      <c r="A132" s="0" t="n">
        <v>31</v>
      </c>
      <c r="B132" s="31" t="n">
        <v>40969</v>
      </c>
      <c r="C132" s="56" t="n">
        <v>925000</v>
      </c>
      <c r="D132" s="29" t="s">
        <v>41</v>
      </c>
      <c r="E132" s="33" t="n">
        <f aca="false">IF(D132="totale",(C132/(A132*24))/F132,IF(D132="marché libre",(C132/(A132*24))/G132,"spécifier histo"))</f>
        <v>0.621639784946237</v>
      </c>
      <c r="F132" s="59" t="n">
        <v>2000</v>
      </c>
      <c r="G132" s="59" t="n">
        <f aca="false">F132-H132</f>
        <v>2000</v>
      </c>
      <c r="H132" s="59" t="n">
        <v>0</v>
      </c>
      <c r="J132" s="55"/>
    </row>
    <row r="133" customFormat="false" ht="19.85" hidden="false" customHeight="true" outlineLevel="0" collapsed="false">
      <c r="A133" s="0" t="n">
        <v>30</v>
      </c>
      <c r="B133" s="34" t="n">
        <v>41000</v>
      </c>
      <c r="C133" s="56" t="n">
        <v>1210000</v>
      </c>
      <c r="D133" s="29" t="s">
        <v>41</v>
      </c>
      <c r="E133" s="33" t="n">
        <f aca="false">IF(D133="totale",(C133/(A133*24))/F133,IF(D133="marché libre",(C133/(A133*24))/G133,"spécifier histo"))</f>
        <v>0.840277777777778</v>
      </c>
      <c r="F133" s="59" t="n">
        <v>2000</v>
      </c>
      <c r="G133" s="59" t="n">
        <f aca="false">F133-H133</f>
        <v>2000</v>
      </c>
      <c r="H133" s="59" t="n">
        <v>0</v>
      </c>
      <c r="J133" s="55"/>
    </row>
    <row r="134" customFormat="false" ht="19.85" hidden="false" customHeight="true" outlineLevel="0" collapsed="false">
      <c r="A134" s="0" t="n">
        <v>31</v>
      </c>
      <c r="B134" s="31" t="n">
        <v>41030</v>
      </c>
      <c r="C134" s="56" t="n">
        <v>1363000</v>
      </c>
      <c r="D134" s="29" t="s">
        <v>41</v>
      </c>
      <c r="E134" s="33" t="n">
        <f aca="false">IF(D134="totale",(C134/(A134*24))/F134,IF(D134="marché libre",(C134/(A134*24))/G134,"spécifier histo"))</f>
        <v>0.915994623655914</v>
      </c>
      <c r="F134" s="59" t="n">
        <v>2000</v>
      </c>
      <c r="G134" s="59" t="n">
        <f aca="false">F134-H134</f>
        <v>2000</v>
      </c>
      <c r="H134" s="59" t="n">
        <v>0</v>
      </c>
      <c r="J134" s="55"/>
    </row>
    <row r="135" customFormat="false" ht="19.85" hidden="false" customHeight="true" outlineLevel="0" collapsed="false">
      <c r="A135" s="0" t="n">
        <v>30</v>
      </c>
      <c r="B135" s="34" t="n">
        <v>41061</v>
      </c>
      <c r="C135" s="56" t="n">
        <v>1014000</v>
      </c>
      <c r="D135" s="29" t="s">
        <v>41</v>
      </c>
      <c r="E135" s="33" t="n">
        <f aca="false">IF(D135="totale",(C135/(A135*24))/F135,IF(D135="marché libre",(C135/(A135*24))/G135,"spécifier histo"))</f>
        <v>0.704166666666667</v>
      </c>
      <c r="F135" s="59" t="n">
        <v>2000</v>
      </c>
      <c r="G135" s="59" t="n">
        <f aca="false">F135-H135</f>
        <v>2000</v>
      </c>
      <c r="H135" s="59" t="n">
        <v>0</v>
      </c>
      <c r="J135" s="55"/>
    </row>
    <row r="136" customFormat="false" ht="19.85" hidden="false" customHeight="true" outlineLevel="0" collapsed="false">
      <c r="A136" s="0" t="n">
        <v>31</v>
      </c>
      <c r="B136" s="31" t="n">
        <v>41091</v>
      </c>
      <c r="C136" s="56" t="n">
        <v>358000</v>
      </c>
      <c r="D136" s="29" t="s">
        <v>41</v>
      </c>
      <c r="E136" s="33" t="n">
        <f aca="false">IF(D136="totale",(C136/(A136*24))/F136,IF(D136="marché libre",(C136/(A136*24))/G136,"spécifier histo"))</f>
        <v>0.240591397849462</v>
      </c>
      <c r="F136" s="59" t="n">
        <v>2000</v>
      </c>
      <c r="G136" s="59" t="n">
        <f aca="false">F136-H136</f>
        <v>2000</v>
      </c>
      <c r="H136" s="59" t="n">
        <v>0</v>
      </c>
      <c r="J136" s="55"/>
    </row>
    <row r="137" customFormat="false" ht="19.85" hidden="false" customHeight="true" outlineLevel="0" collapsed="false">
      <c r="A137" s="0" t="n">
        <v>31</v>
      </c>
      <c r="B137" s="34" t="n">
        <v>41122</v>
      </c>
      <c r="C137" s="56" t="n">
        <v>157000</v>
      </c>
      <c r="D137" s="29" t="s">
        <v>41</v>
      </c>
      <c r="E137" s="33" t="n">
        <f aca="false">IF(D137="totale",(C137/(A137*24))/F137,IF(D137="marché libre",(C137/(A137*24))/G137,"spécifier histo"))</f>
        <v>0.105510752688172</v>
      </c>
      <c r="F137" s="59" t="n">
        <v>2000</v>
      </c>
      <c r="G137" s="59" t="n">
        <f aca="false">F137-H137</f>
        <v>2000</v>
      </c>
      <c r="H137" s="59" t="n">
        <v>0</v>
      </c>
      <c r="J137" s="55"/>
    </row>
    <row r="138" customFormat="false" ht="19.85" hidden="false" customHeight="true" outlineLevel="0" collapsed="false">
      <c r="A138" s="0" t="n">
        <v>30</v>
      </c>
      <c r="B138" s="31" t="n">
        <v>41153</v>
      </c>
      <c r="C138" s="56" t="n">
        <v>311000</v>
      </c>
      <c r="D138" s="29" t="s">
        <v>41</v>
      </c>
      <c r="E138" s="33" t="n">
        <f aca="false">IF(D138="totale",(C138/(A138*24))/F138,IF(D138="marché libre",(C138/(A138*24))/G138,"spécifier histo"))</f>
        <v>0.215972222222222</v>
      </c>
      <c r="F138" s="59" t="n">
        <v>2000</v>
      </c>
      <c r="G138" s="59" t="n">
        <f aca="false">F138-H138</f>
        <v>2000</v>
      </c>
      <c r="H138" s="59" t="n">
        <v>0</v>
      </c>
      <c r="J138" s="55"/>
    </row>
    <row r="139" customFormat="false" ht="19.85" hidden="false" customHeight="true" outlineLevel="0" collapsed="false">
      <c r="A139" s="0" t="n">
        <v>31</v>
      </c>
      <c r="B139" s="34" t="n">
        <v>41183</v>
      </c>
      <c r="C139" s="56" t="n">
        <v>708000</v>
      </c>
      <c r="D139" s="29" t="s">
        <v>41</v>
      </c>
      <c r="E139" s="33" t="n">
        <f aca="false">IF(D139="totale",(C139/(A139*24))/F139,IF(D139="marché libre",(C139/(A139*24))/G139,"spécifier histo"))</f>
        <v>0.475806451612903</v>
      </c>
      <c r="F139" s="59" t="n">
        <v>2000</v>
      </c>
      <c r="G139" s="59" t="n">
        <f aca="false">F139-H139</f>
        <v>2000</v>
      </c>
      <c r="H139" s="59" t="n">
        <v>0</v>
      </c>
      <c r="J139" s="55"/>
    </row>
    <row r="140" customFormat="false" ht="19.85" hidden="false" customHeight="true" outlineLevel="0" collapsed="false">
      <c r="A140" s="0" t="n">
        <v>30</v>
      </c>
      <c r="B140" s="31" t="n">
        <v>41214</v>
      </c>
      <c r="C140" s="56" t="n">
        <v>1109000</v>
      </c>
      <c r="D140" s="29" t="s">
        <v>41</v>
      </c>
      <c r="E140" s="33" t="n">
        <f aca="false">IF(D140="totale",(C140/(A140*24))/F140,IF(D140="marché libre",(C140/(A140*24))/G140,"spécifier histo"))</f>
        <v>0.770138888888889</v>
      </c>
      <c r="F140" s="59" t="n">
        <v>2000</v>
      </c>
      <c r="G140" s="59" t="n">
        <f aca="false">F140-H140</f>
        <v>2000</v>
      </c>
      <c r="H140" s="59" t="n">
        <v>0</v>
      </c>
      <c r="J140" s="55"/>
    </row>
    <row r="141" customFormat="false" ht="19.85" hidden="false" customHeight="true" outlineLevel="0" collapsed="false">
      <c r="A141" s="0" t="n">
        <v>31</v>
      </c>
      <c r="B141" s="34" t="n">
        <v>41244</v>
      </c>
      <c r="C141" s="56" t="n">
        <v>1340000</v>
      </c>
      <c r="D141" s="29" t="s">
        <v>41</v>
      </c>
      <c r="E141" s="33" t="n">
        <f aca="false">IF(D141="totale",(C141/(A141*24))/F141,IF(D141="marché libre",(C141/(A141*24))/G141,"spécifier histo"))</f>
        <v>0.900537634408602</v>
      </c>
      <c r="F141" s="59" t="n">
        <v>2000</v>
      </c>
      <c r="G141" s="59" t="n">
        <f aca="false">F141-H141</f>
        <v>2000</v>
      </c>
      <c r="H141" s="59" t="n">
        <v>0</v>
      </c>
      <c r="J141" s="55"/>
    </row>
    <row r="142" customFormat="false" ht="19.85" hidden="false" customHeight="true" outlineLevel="0" collapsed="false">
      <c r="A142" s="0" t="n">
        <v>31</v>
      </c>
      <c r="B142" s="31" t="n">
        <v>41275</v>
      </c>
      <c r="C142" s="56" t="n">
        <v>1149000</v>
      </c>
      <c r="D142" s="29" t="s">
        <v>41</v>
      </c>
      <c r="E142" s="33" t="n">
        <f aca="false">IF(D142="totale",(C142/(A142*24))/F142,IF(D142="marché libre",(C142/(A142*24))/G142,"spécifier histo"))</f>
        <v>0.772177419354839</v>
      </c>
      <c r="F142" s="59" t="n">
        <v>2000</v>
      </c>
      <c r="G142" s="59" t="n">
        <f aca="false">F142-H142</f>
        <v>2000</v>
      </c>
      <c r="H142" s="59" t="n">
        <v>0</v>
      </c>
      <c r="J142" s="55"/>
    </row>
    <row r="143" customFormat="false" ht="19.85" hidden="false" customHeight="true" outlineLevel="0" collapsed="false">
      <c r="A143" s="0" t="n">
        <v>28</v>
      </c>
      <c r="B143" s="34" t="n">
        <v>41306</v>
      </c>
      <c r="C143" s="56" t="n">
        <v>1015000</v>
      </c>
      <c r="D143" s="29" t="s">
        <v>41</v>
      </c>
      <c r="E143" s="33" t="n">
        <f aca="false">IF(D143="totale",(C143/(A143*24))/F143,IF(D143="marché libre",(C143/(A143*24))/G143,"spécifier histo"))</f>
        <v>0.755208333333333</v>
      </c>
      <c r="F143" s="59" t="n">
        <v>2000</v>
      </c>
      <c r="G143" s="59" t="n">
        <f aca="false">F143-H143</f>
        <v>2000</v>
      </c>
      <c r="H143" s="59" t="n">
        <v>0</v>
      </c>
      <c r="J143" s="55"/>
    </row>
    <row r="144" customFormat="false" ht="19.85" hidden="false" customHeight="true" outlineLevel="0" collapsed="false">
      <c r="A144" s="0" t="n">
        <v>31</v>
      </c>
      <c r="B144" s="31" t="n">
        <v>41334</v>
      </c>
      <c r="C144" s="56" t="n">
        <v>1189000</v>
      </c>
      <c r="D144" s="29" t="s">
        <v>41</v>
      </c>
      <c r="E144" s="33" t="n">
        <f aca="false">IF(D144="totale",(C144/(A144*24))/F144,IF(D144="marché libre",(C144/(A144*24))/G144,"spécifier histo"))</f>
        <v>0.799059139784946</v>
      </c>
      <c r="F144" s="59" t="n">
        <v>2000</v>
      </c>
      <c r="G144" s="59" t="n">
        <f aca="false">F144-H144</f>
        <v>2000</v>
      </c>
      <c r="H144" s="59" t="n">
        <v>0</v>
      </c>
      <c r="J144" s="55"/>
    </row>
    <row r="145" customFormat="false" ht="19.85" hidden="false" customHeight="true" outlineLevel="0" collapsed="false">
      <c r="A145" s="0" t="n">
        <v>30</v>
      </c>
      <c r="B145" s="34" t="n">
        <v>41365</v>
      </c>
      <c r="C145" s="56" t="n">
        <v>1339000</v>
      </c>
      <c r="D145" s="29" t="s">
        <v>41</v>
      </c>
      <c r="E145" s="33" t="n">
        <f aca="false">IF(D145="totale",(C145/(A145*24))/F145,IF(D145="marché libre",(C145/(A145*24))/G145,"spécifier histo"))</f>
        <v>0.929861111111111</v>
      </c>
      <c r="F145" s="59" t="n">
        <v>2000</v>
      </c>
      <c r="G145" s="59" t="n">
        <f aca="false">F145-H145</f>
        <v>2000</v>
      </c>
      <c r="H145" s="59" t="n">
        <v>0</v>
      </c>
      <c r="J145" s="55"/>
    </row>
    <row r="146" customFormat="false" ht="19.85" hidden="false" customHeight="true" outlineLevel="0" collapsed="false">
      <c r="A146" s="0" t="n">
        <v>31</v>
      </c>
      <c r="B146" s="31" t="n">
        <v>41395</v>
      </c>
      <c r="C146" s="56" t="n">
        <v>1503000</v>
      </c>
      <c r="D146" s="29" t="s">
        <v>41</v>
      </c>
      <c r="E146" s="33" t="n">
        <f aca="false">IF(D146="totale",(C146/(A146*24))/F146,IF(D146="marché libre",(C146/(A146*24))/G146,"spécifier histo"))</f>
        <v>1.01008064516129</v>
      </c>
      <c r="F146" s="59" t="n">
        <v>2000</v>
      </c>
      <c r="G146" s="59" t="n">
        <f aca="false">F146-H146</f>
        <v>2000</v>
      </c>
      <c r="H146" s="59" t="n">
        <v>0</v>
      </c>
      <c r="J146" s="55"/>
    </row>
    <row r="147" customFormat="false" ht="19.85" hidden="false" customHeight="true" outlineLevel="0" collapsed="false">
      <c r="A147" s="0" t="n">
        <v>30</v>
      </c>
      <c r="B147" s="34" t="n">
        <v>41426</v>
      </c>
      <c r="C147" s="56" t="n">
        <v>1149000</v>
      </c>
      <c r="D147" s="29" t="s">
        <v>41</v>
      </c>
      <c r="E147" s="33" t="n">
        <f aca="false">IF(D147="totale",(C147/(A147*24))/F147,IF(D147="marché libre",(C147/(A147*24))/G147,"spécifier histo"))</f>
        <v>0.797916666666667</v>
      </c>
      <c r="F147" s="59" t="n">
        <v>2000</v>
      </c>
      <c r="G147" s="59" t="n">
        <f aca="false">F147-H147</f>
        <v>2000</v>
      </c>
      <c r="H147" s="59" t="n">
        <v>0</v>
      </c>
      <c r="J147" s="55"/>
    </row>
    <row r="148" customFormat="false" ht="19.85" hidden="false" customHeight="true" outlineLevel="0" collapsed="false">
      <c r="A148" s="0" t="n">
        <v>31</v>
      </c>
      <c r="B148" s="31" t="n">
        <v>41456</v>
      </c>
      <c r="C148" s="56" t="n">
        <v>463000</v>
      </c>
      <c r="D148" s="29" t="s">
        <v>41</v>
      </c>
      <c r="E148" s="33" t="n">
        <f aca="false">IF(D148="totale",(C148/(A148*24))/F148,IF(D148="marché libre",(C148/(A148*24))/G148,"spécifier histo"))</f>
        <v>0.311155913978495</v>
      </c>
      <c r="F148" s="59" t="n">
        <v>2000</v>
      </c>
      <c r="G148" s="59" t="n">
        <f aca="false">F148-H148</f>
        <v>2000</v>
      </c>
      <c r="H148" s="59" t="n">
        <v>0</v>
      </c>
      <c r="J148" s="55"/>
    </row>
    <row r="149" customFormat="false" ht="19.85" hidden="false" customHeight="true" outlineLevel="0" collapsed="false">
      <c r="A149" s="0" t="n">
        <v>31</v>
      </c>
      <c r="B149" s="34" t="n">
        <v>41487</v>
      </c>
      <c r="C149" s="56" t="n">
        <v>454000</v>
      </c>
      <c r="D149" s="29" t="s">
        <v>41</v>
      </c>
      <c r="E149" s="33" t="n">
        <f aca="false">IF(D149="totale",(C149/(A149*24))/F149,IF(D149="marché libre",(C149/(A149*24))/G149,"spécifier histo"))</f>
        <v>0.30510752688172</v>
      </c>
      <c r="F149" s="59" t="n">
        <v>2000</v>
      </c>
      <c r="G149" s="59" t="n">
        <f aca="false">F149-H149</f>
        <v>2000</v>
      </c>
      <c r="H149" s="59" t="n">
        <v>0</v>
      </c>
      <c r="J149" s="55"/>
    </row>
    <row r="150" customFormat="false" ht="19.85" hidden="false" customHeight="true" outlineLevel="0" collapsed="false">
      <c r="A150" s="0" t="n">
        <v>30</v>
      </c>
      <c r="B150" s="31" t="n">
        <v>41518</v>
      </c>
      <c r="C150" s="56" t="n">
        <v>515000</v>
      </c>
      <c r="D150" s="29" t="s">
        <v>41</v>
      </c>
      <c r="E150" s="33" t="n">
        <f aca="false">IF(D150="totale",(C150/(A150*24))/F150,IF(D150="marché libre",(C150/(A150*24))/G150,"spécifier histo"))</f>
        <v>0.357638888888889</v>
      </c>
      <c r="F150" s="59" t="n">
        <v>2000</v>
      </c>
      <c r="G150" s="59" t="n">
        <f aca="false">F150-H150</f>
        <v>2000</v>
      </c>
      <c r="H150" s="59" t="n">
        <v>0</v>
      </c>
      <c r="J150" s="55"/>
    </row>
    <row r="151" customFormat="false" ht="19.85" hidden="false" customHeight="true" outlineLevel="0" collapsed="false">
      <c r="A151" s="0" t="n">
        <v>31</v>
      </c>
      <c r="B151" s="34" t="n">
        <v>41548</v>
      </c>
      <c r="C151" s="56" t="n">
        <v>708000</v>
      </c>
      <c r="D151" s="29" t="s">
        <v>41</v>
      </c>
      <c r="E151" s="33" t="n">
        <f aca="false">IF(D151="totale",(C151/(A151*24))/F151,IF(D151="marché libre",(C151/(A151*24))/G151,"spécifier histo"))</f>
        <v>0.475806451612903</v>
      </c>
      <c r="F151" s="59" t="n">
        <v>2000</v>
      </c>
      <c r="G151" s="59" t="n">
        <f aca="false">F151-H151</f>
        <v>2000</v>
      </c>
      <c r="H151" s="59" t="n">
        <v>0</v>
      </c>
      <c r="J151" s="55"/>
    </row>
    <row r="152" customFormat="false" ht="19.85" hidden="false" customHeight="true" outlineLevel="0" collapsed="false">
      <c r="A152" s="0" t="n">
        <v>30</v>
      </c>
      <c r="B152" s="31" t="n">
        <v>41579</v>
      </c>
      <c r="C152" s="56" t="n">
        <v>1224000</v>
      </c>
      <c r="D152" s="29" t="s">
        <v>41</v>
      </c>
      <c r="E152" s="33" t="n">
        <f aca="false">IF(D152="totale",(C152/(A152*24))/F152,IF(D152="marché libre",(C152/(A152*24))/G152,"spécifier histo"))</f>
        <v>0.85</v>
      </c>
      <c r="F152" s="59" t="n">
        <v>2000</v>
      </c>
      <c r="G152" s="59" t="n">
        <f aca="false">F152-H152</f>
        <v>2000</v>
      </c>
      <c r="H152" s="59" t="n">
        <v>0</v>
      </c>
      <c r="J152" s="55"/>
    </row>
    <row r="153" customFormat="false" ht="19.85" hidden="false" customHeight="true" outlineLevel="0" collapsed="false">
      <c r="A153" s="0" t="n">
        <v>31</v>
      </c>
      <c r="B153" s="34" t="n">
        <v>41609</v>
      </c>
      <c r="C153" s="56" t="n">
        <v>730000</v>
      </c>
      <c r="D153" s="29" t="s">
        <v>41</v>
      </c>
      <c r="E153" s="33" t="n">
        <f aca="false">IF(D153="totale",(C153/(A153*24))/F153,IF(D153="marché libre",(C153/(A153*24))/G153,"spécifier histo"))</f>
        <v>0.490591397849462</v>
      </c>
      <c r="F153" s="59" t="n">
        <v>2000</v>
      </c>
      <c r="G153" s="59" t="n">
        <f aca="false">F153-H153</f>
        <v>2000</v>
      </c>
      <c r="H153" s="59" t="n">
        <v>0</v>
      </c>
      <c r="J153" s="55"/>
    </row>
    <row r="154" customFormat="false" ht="19.85" hidden="false" customHeight="true" outlineLevel="0" collapsed="false">
      <c r="A154" s="0" t="n">
        <v>31</v>
      </c>
      <c r="B154" s="31" t="n">
        <v>41640</v>
      </c>
      <c r="C154" s="56" t="n">
        <v>1272000</v>
      </c>
      <c r="D154" s="29" t="s">
        <v>41</v>
      </c>
      <c r="E154" s="33" t="n">
        <f aca="false">IF(D154="totale",(C154/(A154*24))/F154,IF(D154="marché libre",(C154/(A154*24))/G154,"spécifier histo"))</f>
        <v>0.854838709677419</v>
      </c>
      <c r="F154" s="59" t="n">
        <v>2000</v>
      </c>
      <c r="G154" s="59" t="n">
        <f aca="false">F154-H154</f>
        <v>2000</v>
      </c>
      <c r="H154" s="59" t="n">
        <v>0</v>
      </c>
    </row>
    <row r="155" customFormat="false" ht="19.85" hidden="false" customHeight="true" outlineLevel="0" collapsed="false">
      <c r="A155" s="0" t="n">
        <v>28</v>
      </c>
      <c r="B155" s="34" t="n">
        <v>41671</v>
      </c>
      <c r="C155" s="56" t="n">
        <v>1147000</v>
      </c>
      <c r="D155" s="29" t="s">
        <v>41</v>
      </c>
      <c r="E155" s="33" t="n">
        <f aca="false">IF(D155="totale",(C155/(A155*24))/F155,IF(D155="marché libre",(C155/(A155*24))/G155,"spécifier histo"))</f>
        <v>0.853422619047619</v>
      </c>
      <c r="F155" s="59" t="n">
        <v>2000</v>
      </c>
      <c r="G155" s="59" t="n">
        <f aca="false">F155-H155</f>
        <v>2000</v>
      </c>
      <c r="H155" s="59" t="n">
        <v>0</v>
      </c>
    </row>
    <row r="156" customFormat="false" ht="19.85" hidden="false" customHeight="true" outlineLevel="0" collapsed="false">
      <c r="A156" s="0" t="n">
        <v>31</v>
      </c>
      <c r="B156" s="31" t="n">
        <v>41699</v>
      </c>
      <c r="C156" s="56" t="n">
        <v>1308000</v>
      </c>
      <c r="D156" s="29" t="s">
        <v>41</v>
      </c>
      <c r="E156" s="33" t="n">
        <f aca="false">IF(D156="totale",(C156/(A156*24))/F156,IF(D156="marché libre",(C156/(A156*24))/G156,"spécifier histo"))</f>
        <v>0.879032258064516</v>
      </c>
      <c r="F156" s="59" t="n">
        <v>2000</v>
      </c>
      <c r="G156" s="59" t="n">
        <f aca="false">F156-H156</f>
        <v>2000</v>
      </c>
      <c r="H156" s="59" t="n">
        <v>0</v>
      </c>
    </row>
    <row r="157" customFormat="false" ht="19.85" hidden="false" customHeight="true" outlineLevel="0" collapsed="false">
      <c r="A157" s="0" t="n">
        <v>30</v>
      </c>
      <c r="B157" s="34" t="n">
        <v>41730</v>
      </c>
      <c r="C157" s="56" t="n">
        <v>1262128</v>
      </c>
      <c r="D157" s="29" t="s">
        <v>41</v>
      </c>
      <c r="E157" s="33" t="n">
        <f aca="false">IF(D157="totale",(C157/(A157*24))/F157,IF(D157="marché libre",(C157/(A157*24))/G157,"spécifier histo"))</f>
        <v>0.876477777777778</v>
      </c>
      <c r="F157" s="59" t="n">
        <v>2000</v>
      </c>
      <c r="G157" s="59" t="n">
        <f aca="false">F157-H157</f>
        <v>2000</v>
      </c>
      <c r="H157" s="59" t="n">
        <v>0</v>
      </c>
    </row>
    <row r="158" customFormat="false" ht="19.85" hidden="false" customHeight="true" outlineLevel="0" collapsed="false">
      <c r="A158" s="0" t="n">
        <v>31</v>
      </c>
      <c r="B158" s="31" t="n">
        <v>41760</v>
      </c>
      <c r="C158" s="56" t="n">
        <v>1311710</v>
      </c>
      <c r="D158" s="29" t="s">
        <v>41</v>
      </c>
      <c r="E158" s="33" t="n">
        <f aca="false">IF(D158="totale",(C158/(A158*24))/F158,IF(D158="marché libre",(C158/(A158*24))/G158,"spécifier histo"))</f>
        <v>0.881525537634409</v>
      </c>
      <c r="F158" s="59" t="n">
        <v>2000</v>
      </c>
      <c r="G158" s="59" t="n">
        <f aca="false">F158-H158</f>
        <v>2000</v>
      </c>
      <c r="H158" s="59" t="n">
        <v>0</v>
      </c>
    </row>
    <row r="159" customFormat="false" ht="19.85" hidden="false" customHeight="true" outlineLevel="0" collapsed="false">
      <c r="A159" s="0" t="n">
        <v>30</v>
      </c>
      <c r="B159" s="34" t="n">
        <v>41791</v>
      </c>
      <c r="C159" s="56" t="n">
        <v>389847</v>
      </c>
      <c r="D159" s="29" t="s">
        <v>41</v>
      </c>
      <c r="E159" s="33" t="n">
        <f aca="false">IF(D159="totale",(C159/(A159*24))/F159,IF(D159="marché libre",(C159/(A159*24))/G159,"spécifier histo"))</f>
        <v>0.270727083333333</v>
      </c>
      <c r="F159" s="59" t="n">
        <v>2000</v>
      </c>
      <c r="G159" s="59" t="n">
        <f aca="false">F159-H159</f>
        <v>2000</v>
      </c>
      <c r="H159" s="59" t="n">
        <v>0</v>
      </c>
    </row>
    <row r="160" customFormat="false" ht="19.85" hidden="false" customHeight="true" outlineLevel="0" collapsed="false">
      <c r="A160" s="0" t="n">
        <v>31</v>
      </c>
      <c r="B160" s="31" t="n">
        <v>41821</v>
      </c>
      <c r="C160" s="56" t="n">
        <v>1014070</v>
      </c>
      <c r="D160" s="29" t="s">
        <v>41</v>
      </c>
      <c r="E160" s="33" t="n">
        <f aca="false">IF(D160="totale",(C160/(A160*24))/F160,IF(D160="marché libre",(C160/(A160*24))/G160,"spécifier histo"))</f>
        <v>0.681498655913978</v>
      </c>
      <c r="F160" s="59" t="n">
        <v>2000</v>
      </c>
      <c r="G160" s="59" t="n">
        <f aca="false">F160-H160</f>
        <v>2000</v>
      </c>
      <c r="H160" s="59" t="n">
        <v>0</v>
      </c>
    </row>
    <row r="161" customFormat="false" ht="19.85" hidden="false" customHeight="true" outlineLevel="0" collapsed="false">
      <c r="A161" s="0" t="n">
        <v>31</v>
      </c>
      <c r="B161" s="34" t="n">
        <v>41852</v>
      </c>
      <c r="C161" s="56" t="n">
        <v>801293</v>
      </c>
      <c r="D161" s="29" t="s">
        <v>41</v>
      </c>
      <c r="E161" s="33" t="n">
        <f aca="false">IF(D161="totale",(C161/(A161*24))/F161,IF(D161="marché libre",(C161/(A161*24))/G161,"spécifier histo"))</f>
        <v>0.538503360215054</v>
      </c>
      <c r="F161" s="59" t="n">
        <v>2000</v>
      </c>
      <c r="G161" s="59" t="n">
        <f aca="false">F161-H161</f>
        <v>2000</v>
      </c>
      <c r="H161" s="59" t="n">
        <v>0</v>
      </c>
      <c r="J161" s="55"/>
    </row>
    <row r="162" customFormat="false" ht="19.85" hidden="false" customHeight="true" outlineLevel="0" collapsed="false">
      <c r="A162" s="0" t="n">
        <v>30</v>
      </c>
      <c r="B162" s="31" t="n">
        <v>41883</v>
      </c>
      <c r="C162" s="56" t="n">
        <v>358558</v>
      </c>
      <c r="D162" s="29" t="s">
        <v>41</v>
      </c>
      <c r="E162" s="33" t="n">
        <f aca="false">IF(D162="totale",(C162/(A162*24))/F162,IF(D162="marché libre",(C162/(A162*24))/G162,"spécifier histo"))</f>
        <v>0.248998611111111</v>
      </c>
      <c r="F162" s="59" t="n">
        <v>2000</v>
      </c>
      <c r="G162" s="59" t="n">
        <f aca="false">F162-H162</f>
        <v>2000</v>
      </c>
      <c r="H162" s="59" t="n">
        <v>0</v>
      </c>
      <c r="J162" s="55"/>
    </row>
    <row r="163" customFormat="false" ht="19.85" hidden="false" customHeight="true" outlineLevel="0" collapsed="false">
      <c r="A163" s="0" t="n">
        <v>31</v>
      </c>
      <c r="B163" s="34" t="n">
        <v>41913</v>
      </c>
      <c r="C163" s="56" t="n">
        <v>254453</v>
      </c>
      <c r="D163" s="29" t="s">
        <v>41</v>
      </c>
      <c r="E163" s="33" t="n">
        <f aca="false">IF(D163="totale",(C163/(A163*24))/F163,IF(D163="marché libre",(C163/(A163*24))/G163,"spécifier histo"))</f>
        <v>0.171003360215054</v>
      </c>
      <c r="F163" s="59" t="n">
        <v>2000</v>
      </c>
      <c r="G163" s="59" t="n">
        <f aca="false">F163-H163</f>
        <v>2000</v>
      </c>
      <c r="H163" s="59" t="n">
        <v>0</v>
      </c>
      <c r="J163" s="55"/>
    </row>
    <row r="164" customFormat="false" ht="19.85" hidden="false" customHeight="true" outlineLevel="0" collapsed="false">
      <c r="A164" s="0" t="n">
        <v>30</v>
      </c>
      <c r="B164" s="31" t="n">
        <v>41944</v>
      </c>
      <c r="C164" s="56" t="n">
        <v>487056</v>
      </c>
      <c r="D164" s="29" t="s">
        <v>41</v>
      </c>
      <c r="E164" s="33" t="n">
        <f aca="false">IF(D164="totale",(C164/(A164*24))/F164,IF(D164="marché libre",(C164/(A164*24))/G164,"spécifier histo"))</f>
        <v>0.338233333333333</v>
      </c>
      <c r="F164" s="59" t="n">
        <v>2000</v>
      </c>
      <c r="G164" s="59" t="n">
        <f aca="false">F164-H164</f>
        <v>2000</v>
      </c>
      <c r="H164" s="59" t="n">
        <v>0</v>
      </c>
      <c r="J164" s="55"/>
    </row>
    <row r="165" customFormat="false" ht="19.95" hidden="false" customHeight="true" outlineLevel="0" collapsed="false">
      <c r="A165" s="0" t="n">
        <v>31</v>
      </c>
      <c r="B165" s="34" t="n">
        <v>41974</v>
      </c>
      <c r="C165" s="56" t="n">
        <v>342535</v>
      </c>
      <c r="D165" s="29" t="s">
        <v>41</v>
      </c>
      <c r="E165" s="33" t="n">
        <f aca="false">IF(D165="totale",(C165/(A165*24))/F165,IF(D165="marché libre",(C165/(A165*24))/G165,"spécifier histo"))</f>
        <v>0.230198252688172</v>
      </c>
      <c r="F165" s="59" t="n">
        <v>2000</v>
      </c>
      <c r="G165" s="59" t="n">
        <f aca="false">F165-H165</f>
        <v>2000</v>
      </c>
      <c r="H165" s="59" t="n">
        <v>0</v>
      </c>
      <c r="J165" s="55"/>
    </row>
    <row r="166" customFormat="false" ht="19.85" hidden="false" customHeight="true" outlineLevel="0" collapsed="false">
      <c r="A166" s="0" t="n">
        <v>31</v>
      </c>
      <c r="B166" s="31" t="n">
        <v>42005</v>
      </c>
      <c r="C166" s="1" t="n">
        <v>699858</v>
      </c>
      <c r="D166" s="250" t="s">
        <v>42</v>
      </c>
      <c r="E166" s="33" t="n">
        <f aca="false">IF(D166="totale",(C166/(A166*24))/F166,IF(D166="marché libre",(C166/(A166*24))/G166,"spécifier histo"))</f>
        <v>0.470334677419355</v>
      </c>
      <c r="F166" s="228" t="n">
        <v>2000</v>
      </c>
      <c r="G166" s="228" t="n">
        <f aca="false">F166-H166</f>
        <v>2000</v>
      </c>
      <c r="H166" s="228" t="n">
        <v>0</v>
      </c>
      <c r="J166" s="55"/>
      <c r="K166" s="56"/>
      <c r="L166" s="0"/>
    </row>
    <row r="167" customFormat="false" ht="19.85" hidden="false" customHeight="true" outlineLevel="0" collapsed="false">
      <c r="A167" s="0" t="n">
        <v>28</v>
      </c>
      <c r="B167" s="34" t="n">
        <v>42036</v>
      </c>
      <c r="C167" s="1" t="n">
        <v>493560</v>
      </c>
      <c r="D167" s="250" t="s">
        <v>42</v>
      </c>
      <c r="E167" s="33" t="n">
        <f aca="false">IF(D167="totale",(C167/(A167*24))/F167,IF(D167="marché libre",(C167/(A167*24))/G167,"spécifier histo"))</f>
        <v>0.367232142857143</v>
      </c>
      <c r="F167" s="59" t="n">
        <v>2000</v>
      </c>
      <c r="G167" s="59" t="n">
        <f aca="false">F167-H167</f>
        <v>2000</v>
      </c>
      <c r="H167" s="59" t="n">
        <v>0</v>
      </c>
      <c r="J167" s="55"/>
      <c r="K167" s="56"/>
      <c r="L167" s="0"/>
    </row>
    <row r="168" customFormat="false" ht="19.85" hidden="false" customHeight="true" outlineLevel="0" collapsed="false">
      <c r="A168" s="0" t="n">
        <v>31</v>
      </c>
      <c r="B168" s="31" t="n">
        <v>42064</v>
      </c>
      <c r="C168" s="1" t="n">
        <v>1310626</v>
      </c>
      <c r="D168" s="250" t="s">
        <v>42</v>
      </c>
      <c r="E168" s="33" t="n">
        <f aca="false">IF(D168="totale",(C168/(A168*24))/F168,IF(D168="marché libre",(C168/(A168*24))/G168,"spécifier histo"))</f>
        <v>0.880797043010753</v>
      </c>
      <c r="F168" s="59" t="n">
        <v>2000</v>
      </c>
      <c r="G168" s="59" t="n">
        <f aca="false">F168-H168</f>
        <v>2000</v>
      </c>
      <c r="H168" s="59" t="n">
        <v>0</v>
      </c>
      <c r="J168" s="55"/>
      <c r="K168" s="56"/>
      <c r="L168" s="0"/>
    </row>
    <row r="169" customFormat="false" ht="19.85" hidden="false" customHeight="true" outlineLevel="0" collapsed="false">
      <c r="A169" s="0" t="n">
        <v>30</v>
      </c>
      <c r="B169" s="34" t="n">
        <v>42095</v>
      </c>
      <c r="C169" s="1" t="n">
        <v>1123231</v>
      </c>
      <c r="D169" s="250" t="s">
        <v>42</v>
      </c>
      <c r="E169" s="33" t="n">
        <f aca="false">IF(D169="totale",(C169/(A169*24))/F169,IF(D169="marché libre",(C169/(A169*24))/G169,"spécifier histo"))</f>
        <v>0.780021527777778</v>
      </c>
      <c r="F169" s="59" t="n">
        <v>2000</v>
      </c>
      <c r="G169" s="59" t="n">
        <f aca="false">F169-H169</f>
        <v>2000</v>
      </c>
      <c r="H169" s="59" t="n">
        <v>0</v>
      </c>
      <c r="J169" s="55"/>
      <c r="K169" s="56"/>
      <c r="L169" s="0"/>
    </row>
    <row r="170" customFormat="false" ht="19.85" hidden="false" customHeight="true" outlineLevel="0" collapsed="false">
      <c r="A170" s="0" t="n">
        <v>31</v>
      </c>
      <c r="B170" s="31" t="n">
        <v>42125</v>
      </c>
      <c r="C170" s="1" t="n">
        <v>1095872</v>
      </c>
      <c r="D170" s="250" t="s">
        <v>42</v>
      </c>
      <c r="E170" s="33" t="n">
        <f aca="false">IF(D170="totale",(C170/(A170*24))/F170,IF(D170="marché libre",(C170/(A170*24))/G170,"spécifier histo"))</f>
        <v>0.73647311827957</v>
      </c>
      <c r="F170" s="59" t="n">
        <v>2000</v>
      </c>
      <c r="G170" s="59" t="n">
        <f aca="false">F170-H170</f>
        <v>2000</v>
      </c>
      <c r="H170" s="59" t="n">
        <v>0</v>
      </c>
      <c r="J170" s="55"/>
      <c r="K170" s="56"/>
      <c r="L170" s="0"/>
    </row>
    <row r="171" customFormat="false" ht="19.85" hidden="false" customHeight="true" outlineLevel="0" collapsed="false">
      <c r="A171" s="0" t="n">
        <v>30</v>
      </c>
      <c r="B171" s="34" t="n">
        <v>42156</v>
      </c>
      <c r="C171" s="1" t="n">
        <v>0</v>
      </c>
      <c r="D171" s="250" t="s">
        <v>42</v>
      </c>
      <c r="E171" s="33" t="n">
        <f aca="false">IF(D171="totale",(C171/(A171*24))/F171,IF(D171="marché libre",(C171/(A171*24))/G171,"spécifier histo"))</f>
        <v>0</v>
      </c>
      <c r="F171" s="59" t="n">
        <v>2000</v>
      </c>
      <c r="G171" s="59" t="n">
        <f aca="false">F171-H171</f>
        <v>2000</v>
      </c>
      <c r="H171" s="59" t="n">
        <v>0</v>
      </c>
      <c r="J171" s="55"/>
      <c r="K171" s="56"/>
      <c r="L171" s="0"/>
    </row>
    <row r="172" customFormat="false" ht="19.85" hidden="false" customHeight="true" outlineLevel="0" collapsed="false">
      <c r="A172" s="0" t="n">
        <v>31</v>
      </c>
      <c r="B172" s="31" t="n">
        <v>42186</v>
      </c>
      <c r="C172" s="1" t="n">
        <v>0</v>
      </c>
      <c r="D172" s="250" t="s">
        <v>42</v>
      </c>
      <c r="E172" s="33" t="n">
        <f aca="false">IF(D172="totale",(C172/(A172*24))/F172,IF(D172="marché libre",(C172/(A172*24))/G172,"spécifier histo"))</f>
        <v>0</v>
      </c>
      <c r="F172" s="59" t="n">
        <v>2000</v>
      </c>
      <c r="G172" s="59" t="n">
        <f aca="false">F172-H172</f>
        <v>2000</v>
      </c>
      <c r="H172" s="59" t="n">
        <v>0</v>
      </c>
      <c r="J172" s="55"/>
      <c r="K172" s="56"/>
      <c r="L172" s="0"/>
    </row>
    <row r="173" customFormat="false" ht="19.85" hidden="false" customHeight="true" outlineLevel="0" collapsed="false">
      <c r="A173" s="0" t="n">
        <v>31</v>
      </c>
      <c r="B173" s="34" t="n">
        <v>42217</v>
      </c>
      <c r="C173" s="1" t="n">
        <v>277</v>
      </c>
      <c r="D173" s="250" t="s">
        <v>42</v>
      </c>
      <c r="E173" s="33" t="n">
        <f aca="false">IF(D173="totale",(C173/(A173*24))/F173,IF(D173="marché libre",(C173/(A173*24))/G173,"spécifier histo"))</f>
        <v>0.000186155913978495</v>
      </c>
      <c r="F173" s="59" t="n">
        <v>2000</v>
      </c>
      <c r="G173" s="59" t="n">
        <f aca="false">F173-H173</f>
        <v>2000</v>
      </c>
      <c r="H173" s="59" t="n">
        <v>0</v>
      </c>
      <c r="J173" s="55"/>
      <c r="K173" s="56"/>
      <c r="L173" s="0"/>
    </row>
    <row r="174" customFormat="false" ht="19.85" hidden="false" customHeight="true" outlineLevel="0" collapsed="false">
      <c r="A174" s="0" t="n">
        <v>30</v>
      </c>
      <c r="B174" s="31" t="n">
        <v>42248</v>
      </c>
      <c r="C174" s="1" t="n">
        <v>0</v>
      </c>
      <c r="D174" s="250" t="s">
        <v>42</v>
      </c>
      <c r="E174" s="33" t="e">
        <f aca="false">IF(D174="totale",(C174/(A174*24))/F174,IF(D174="marché libre",(C174/(A174*24))/G174,"spécifier histo"))</f>
        <v>#DIV/0!</v>
      </c>
      <c r="F174" s="59" t="n">
        <v>0</v>
      </c>
      <c r="G174" s="59" t="n">
        <f aca="false">F174-H174</f>
        <v>0</v>
      </c>
      <c r="H174" s="59" t="n">
        <v>0</v>
      </c>
      <c r="I174" s="1" t="s">
        <v>293</v>
      </c>
      <c r="J174" s="55"/>
      <c r="K174" s="56"/>
      <c r="L174" s="0"/>
    </row>
    <row r="175" customFormat="false" ht="19.85" hidden="false" customHeight="true" outlineLevel="0" collapsed="false">
      <c r="A175" s="0" t="n">
        <v>31</v>
      </c>
      <c r="B175" s="34" t="n">
        <v>42278</v>
      </c>
      <c r="C175" s="1" t="n">
        <v>0</v>
      </c>
      <c r="D175" s="250" t="s">
        <v>42</v>
      </c>
      <c r="E175" s="33" t="e">
        <f aca="false">IF(D175="totale",(C175/(A175*24))/F175,IF(D175="marché libre",(C175/(A175*24))/G175,"spécifier histo"))</f>
        <v>#DIV/0!</v>
      </c>
      <c r="F175" s="58" t="n">
        <v>0</v>
      </c>
      <c r="G175" s="59" t="n">
        <f aca="false">F175-H175</f>
        <v>0</v>
      </c>
      <c r="H175" s="58" t="n">
        <v>0</v>
      </c>
      <c r="I175" s="1" t="s">
        <v>293</v>
      </c>
      <c r="J175" s="55" t="s">
        <v>294</v>
      </c>
      <c r="K175" s="56"/>
      <c r="L175" s="0"/>
    </row>
    <row r="176" customFormat="false" ht="19.85" hidden="false" customHeight="true" outlineLevel="0" collapsed="false">
      <c r="A176" s="0" t="n">
        <v>30</v>
      </c>
      <c r="B176" s="31" t="n">
        <v>42309</v>
      </c>
      <c r="C176" s="1" t="n">
        <v>115289</v>
      </c>
      <c r="D176" s="250" t="s">
        <v>42</v>
      </c>
      <c r="E176" s="33" t="n">
        <f aca="false">IF(D176="totale",(C176/(A176*24))/F176,IF(D176="marché libre",(C176/(A176*24))/G176,"spécifier histo"))</f>
        <v>0.10264334045584</v>
      </c>
      <c r="F176" s="58" t="n">
        <f aca="false">G176+H176</f>
        <v>2230</v>
      </c>
      <c r="G176" s="59" t="n">
        <v>1560</v>
      </c>
      <c r="H176" s="58" t="n">
        <v>670</v>
      </c>
      <c r="J176" s="55" t="s">
        <v>295</v>
      </c>
      <c r="K176" s="56"/>
      <c r="L176" s="0"/>
    </row>
    <row r="177" customFormat="false" ht="19.85" hidden="false" customHeight="true" outlineLevel="0" collapsed="false">
      <c r="A177" s="0" t="n">
        <v>31</v>
      </c>
      <c r="B177" s="34" t="n">
        <v>42339</v>
      </c>
      <c r="C177" s="1" t="n">
        <v>236960</v>
      </c>
      <c r="D177" s="250" t="s">
        <v>42</v>
      </c>
      <c r="E177" s="33" t="n">
        <f aca="false">IF(D177="totale",(C177/(A177*24))/F177,IF(D177="marché libre",(C177/(A177*24))/G177,"spécifier histo"))</f>
        <v>0.204163220292253</v>
      </c>
      <c r="F177" s="58" t="n">
        <f aca="false">G177+H177</f>
        <v>2230</v>
      </c>
      <c r="G177" s="59" t="n">
        <v>1560</v>
      </c>
      <c r="H177" s="58" t="n">
        <v>670</v>
      </c>
      <c r="J177" s="55"/>
      <c r="K177" s="56"/>
      <c r="L177" s="0"/>
    </row>
    <row r="178" customFormat="false" ht="19.85" hidden="false" customHeight="true" outlineLevel="0" collapsed="false">
      <c r="A178" s="0" t="n">
        <v>31</v>
      </c>
      <c r="B178" s="31" t="n">
        <v>42370</v>
      </c>
      <c r="C178" s="56" t="n">
        <v>648304.5</v>
      </c>
      <c r="D178" s="250" t="s">
        <v>42</v>
      </c>
      <c r="E178" s="33" t="n">
        <f aca="false">IF(D178="totale",(C178/(A178*24))/F178,IF(D178="marché libre",(C178/(A178*24))/G178,"spécifier histo"))</f>
        <v>0.558575010339123</v>
      </c>
      <c r="F178" s="58" t="n">
        <f aca="false">G178+H178</f>
        <v>2230</v>
      </c>
      <c r="G178" s="59" t="n">
        <v>1560</v>
      </c>
      <c r="H178" s="58" t="n">
        <v>670</v>
      </c>
      <c r="J178" s="55"/>
    </row>
    <row r="179" customFormat="false" ht="19.85" hidden="false" customHeight="true" outlineLevel="0" collapsed="false">
      <c r="A179" s="0" t="n">
        <v>28</v>
      </c>
      <c r="B179" s="34" t="n">
        <v>42401</v>
      </c>
      <c r="C179" s="56" t="n">
        <v>816553.166666667</v>
      </c>
      <c r="D179" s="250" t="s">
        <v>42</v>
      </c>
      <c r="E179" s="33" t="n">
        <f aca="false">IF(D179="totale",(C179/(A179*24))/F179,IF(D179="marché libre",(C179/(A179*24))/G179,"spécifier histo"))</f>
        <v>0.778915948056573</v>
      </c>
      <c r="F179" s="58" t="n">
        <f aca="false">G179+H179</f>
        <v>2230</v>
      </c>
      <c r="G179" s="59" t="n">
        <v>1560</v>
      </c>
      <c r="H179" s="58" t="n">
        <v>670</v>
      </c>
      <c r="J179" s="55"/>
    </row>
    <row r="180" customFormat="false" ht="19.85" hidden="false" customHeight="true" outlineLevel="0" collapsed="false">
      <c r="A180" s="0" t="n">
        <v>31</v>
      </c>
      <c r="B180" s="31" t="n">
        <v>42430</v>
      </c>
      <c r="C180" s="56" t="n">
        <v>498854.833333333</v>
      </c>
      <c r="D180" s="250" t="s">
        <v>42</v>
      </c>
      <c r="E180" s="33" t="n">
        <f aca="false">IF(D180="totale",(C180/(A180*24))/F180,IF(D180="marché libre",(C180/(A180*24))/G180,"spécifier histo"))</f>
        <v>0.429810133489569</v>
      </c>
      <c r="F180" s="58" t="n">
        <f aca="false">G180+H180</f>
        <v>2230</v>
      </c>
      <c r="G180" s="59" t="n">
        <v>1560</v>
      </c>
      <c r="H180" s="58" t="n">
        <v>670</v>
      </c>
      <c r="J180" s="55"/>
    </row>
    <row r="181" customFormat="false" ht="19.85" hidden="false" customHeight="true" outlineLevel="0" collapsed="false">
      <c r="A181" s="0" t="n">
        <v>30</v>
      </c>
      <c r="B181" s="34" t="n">
        <v>42461</v>
      </c>
      <c r="C181" s="56" t="n">
        <v>718403</v>
      </c>
      <c r="D181" s="250" t="s">
        <v>42</v>
      </c>
      <c r="E181" s="33" t="n">
        <f aca="false">IF(D181="totale",(C181/(A181*24))/F181,IF(D181="marché libre",(C181/(A181*24))/G181,"spécifier histo"))</f>
        <v>0.639603810541311</v>
      </c>
      <c r="F181" s="58" t="n">
        <f aca="false">G181+H181</f>
        <v>2230</v>
      </c>
      <c r="G181" s="59" t="n">
        <v>1560</v>
      </c>
      <c r="H181" s="58" t="n">
        <v>670</v>
      </c>
      <c r="J181" s="55"/>
    </row>
    <row r="182" customFormat="false" ht="19.85" hidden="false" customHeight="true" outlineLevel="0" collapsed="false">
      <c r="A182" s="0" t="n">
        <v>31</v>
      </c>
      <c r="B182" s="31" t="n">
        <v>42491</v>
      </c>
      <c r="C182" s="56" t="n">
        <v>914038.333333333</v>
      </c>
      <c r="D182" s="250" t="s">
        <v>42</v>
      </c>
      <c r="E182" s="33" t="n">
        <f aca="false">IF(D182="totale",(C182/(A182*24))/F182,IF(D182="marché libre",(C182/(A182*24))/G182,"spécifier histo"))</f>
        <v>0.787529581380388</v>
      </c>
      <c r="F182" s="58" t="n">
        <f aca="false">G182+H182</f>
        <v>2230</v>
      </c>
      <c r="G182" s="59" t="n">
        <v>1560</v>
      </c>
      <c r="H182" s="58" t="n">
        <v>670</v>
      </c>
      <c r="J182" s="55" t="s">
        <v>296</v>
      </c>
      <c r="K182" s="251" t="s">
        <v>297</v>
      </c>
      <c r="Q182" s="1" t="s">
        <v>298</v>
      </c>
      <c r="S182" s="252" t="s">
        <v>299</v>
      </c>
    </row>
    <row r="183" customFormat="false" ht="19.85" hidden="false" customHeight="true" outlineLevel="0" collapsed="false">
      <c r="A183" s="0" t="n">
        <v>30</v>
      </c>
      <c r="B183" s="34" t="n">
        <v>42522</v>
      </c>
      <c r="C183" s="56" t="n">
        <v>722088</v>
      </c>
      <c r="D183" s="250" t="s">
        <v>42</v>
      </c>
      <c r="E183" s="33" t="n">
        <f aca="false">IF(D183="totale",(C183/(A183*24))/F183,IF(D183="marché libre",(C183/(A183*24))/G183,"spécifier histo"))</f>
        <v>0.642884615384615</v>
      </c>
      <c r="F183" s="58" t="n">
        <f aca="false">G183+H183</f>
        <v>2230</v>
      </c>
      <c r="G183" s="59" t="n">
        <v>1560</v>
      </c>
      <c r="H183" s="58" t="n">
        <v>670</v>
      </c>
      <c r="J183" s="55" t="s">
        <v>296</v>
      </c>
      <c r="K183" s="63"/>
    </row>
    <row r="184" customFormat="false" ht="19.85" hidden="false" customHeight="true" outlineLevel="0" collapsed="false">
      <c r="A184" s="0" t="n">
        <v>31</v>
      </c>
      <c r="B184" s="31" t="n">
        <v>42552</v>
      </c>
      <c r="C184" s="56" t="n">
        <v>419.166666666667</v>
      </c>
      <c r="D184" s="250" t="s">
        <v>42</v>
      </c>
      <c r="E184" s="33" t="n">
        <f aca="false">IF(D184="totale",(C184/(A184*24))/F184,IF(D184="marché libre",(C184/(A184*24))/G184,"spécifier histo"))</f>
        <v>0.000361151318812609</v>
      </c>
      <c r="F184" s="58" t="n">
        <f aca="false">G184+H184</f>
        <v>2230</v>
      </c>
      <c r="G184" s="59" t="n">
        <v>1560</v>
      </c>
      <c r="H184" s="58" t="n">
        <v>670</v>
      </c>
      <c r="J184" s="55"/>
      <c r="K184" s="63"/>
    </row>
    <row r="185" customFormat="false" ht="19.85" hidden="false" customHeight="true" outlineLevel="0" collapsed="false">
      <c r="A185" s="0" t="n">
        <v>31</v>
      </c>
      <c r="B185" s="34" t="n">
        <v>42583</v>
      </c>
      <c r="C185" s="56" t="n">
        <v>197488.333333333</v>
      </c>
      <c r="D185" s="250" t="s">
        <v>42</v>
      </c>
      <c r="E185" s="33" t="n">
        <f aca="false">IF(D185="totale",(C185/(A185*24))/F185,IF(D185="marché libre",(C185/(A185*24))/G185,"spécifier histo"))</f>
        <v>0.17015468477162</v>
      </c>
      <c r="F185" s="58" t="n">
        <f aca="false">G185+H185</f>
        <v>2230</v>
      </c>
      <c r="G185" s="59" t="n">
        <v>1560</v>
      </c>
      <c r="H185" s="58" t="n">
        <v>670</v>
      </c>
      <c r="J185" s="55"/>
    </row>
    <row r="186" customFormat="false" ht="19.85" hidden="false" customHeight="true" outlineLevel="0" collapsed="false">
      <c r="A186" s="0" t="n">
        <v>30</v>
      </c>
      <c r="B186" s="31" t="n">
        <v>42614</v>
      </c>
      <c r="C186" s="56" t="n">
        <v>0</v>
      </c>
      <c r="D186" s="250" t="s">
        <v>42</v>
      </c>
      <c r="E186" s="33" t="n">
        <f aca="false">IF(D186="totale",(C186/(A186*24))/F186,IF(D186="marché libre",(C186/(A186*24))/G186,"spécifier histo"))</f>
        <v>0</v>
      </c>
      <c r="F186" s="58" t="n">
        <f aca="false">G186+H186</f>
        <v>2230</v>
      </c>
      <c r="G186" s="59" t="n">
        <v>1560</v>
      </c>
      <c r="H186" s="58" t="n">
        <v>670</v>
      </c>
      <c r="J186" s="55"/>
    </row>
    <row r="187" customFormat="false" ht="19.85" hidden="false" customHeight="true" outlineLevel="0" collapsed="false">
      <c r="A187" s="0" t="n">
        <v>31</v>
      </c>
      <c r="B187" s="34" t="n">
        <v>42644</v>
      </c>
      <c r="C187" s="56" t="n">
        <v>0</v>
      </c>
      <c r="D187" s="250" t="s">
        <v>42</v>
      </c>
      <c r="E187" s="33" t="n">
        <f aca="false">IF(D187="totale",(C187/(A187*24))/F187,IF(D187="marché libre",(C187/(A187*24))/G187,"spécifier histo"))</f>
        <v>0</v>
      </c>
      <c r="F187" s="58" t="n">
        <f aca="false">G187+H187</f>
        <v>2230</v>
      </c>
      <c r="G187" s="59" t="n">
        <v>1560</v>
      </c>
      <c r="H187" s="58" t="n">
        <v>670</v>
      </c>
      <c r="J187" s="55"/>
    </row>
    <row r="188" customFormat="false" ht="19.85" hidden="false" customHeight="true" outlineLevel="0" collapsed="false">
      <c r="A188" s="0" t="n">
        <v>30</v>
      </c>
      <c r="B188" s="31" t="n">
        <v>42675</v>
      </c>
      <c r="C188" s="56" t="n">
        <v>177207</v>
      </c>
      <c r="D188" s="250" t="s">
        <v>42</v>
      </c>
      <c r="E188" s="33" t="n">
        <f aca="false">IF(D188="totale",(C188/(A188*24))/F188,IF(D188="marché libre",(C188/(A188*24))/G188,"spécifier histo"))</f>
        <v>0.157769764957265</v>
      </c>
      <c r="F188" s="58" t="n">
        <f aca="false">G188+H188</f>
        <v>2230</v>
      </c>
      <c r="G188" s="59" t="n">
        <v>1560</v>
      </c>
      <c r="H188" s="58" t="n">
        <v>670</v>
      </c>
      <c r="J188" s="55"/>
      <c r="Q188" s="253" t="s">
        <v>300</v>
      </c>
    </row>
    <row r="189" customFormat="false" ht="19.85" hidden="false" customHeight="true" outlineLevel="0" collapsed="false">
      <c r="A189" s="0" t="n">
        <v>31</v>
      </c>
      <c r="B189" s="34" t="n">
        <v>42705</v>
      </c>
      <c r="C189" s="56" t="n">
        <v>0</v>
      </c>
      <c r="D189" s="250" t="s">
        <v>42</v>
      </c>
      <c r="E189" s="33" t="n">
        <f aca="false">IF(D189="totale",(C189/(A189*24))/F189,IF(D189="marché libre",(C189/(A189*24))/G189,"spécifier histo"))</f>
        <v>0</v>
      </c>
      <c r="F189" s="58" t="n">
        <f aca="false">G189+H189</f>
        <v>2230</v>
      </c>
      <c r="G189" s="59" t="n">
        <v>1560</v>
      </c>
      <c r="H189" s="58" t="n">
        <v>670</v>
      </c>
      <c r="J189" s="55"/>
      <c r="Q189" s="254" t="s">
        <v>301</v>
      </c>
    </row>
    <row r="190" customFormat="false" ht="19.85" hidden="false" customHeight="true" outlineLevel="0" collapsed="false">
      <c r="A190" s="0" t="n">
        <v>31</v>
      </c>
      <c r="B190" s="31" t="n">
        <v>42736</v>
      </c>
      <c r="C190" s="56" t="n">
        <v>650974</v>
      </c>
      <c r="D190" s="250" t="s">
        <v>42</v>
      </c>
      <c r="E190" s="33" t="n">
        <f aca="false">IF(D190="totale",(C190/(A190*24))/F190,IF(D190="marché libre",(C190/(A190*24))/G190,"spécifier histo"))</f>
        <v>0.560875034463744</v>
      </c>
      <c r="F190" s="58" t="n">
        <f aca="false">G190+H190</f>
        <v>2230</v>
      </c>
      <c r="G190" s="59" t="n">
        <v>1560</v>
      </c>
      <c r="H190" s="58" t="n">
        <v>670</v>
      </c>
      <c r="J190" s="30"/>
      <c r="K190" s="0"/>
      <c r="Q190" s="254" t="s">
        <v>302</v>
      </c>
    </row>
    <row r="191" customFormat="false" ht="19.85" hidden="false" customHeight="true" outlineLevel="0" collapsed="false">
      <c r="A191" s="0" t="n">
        <v>28</v>
      </c>
      <c r="B191" s="34" t="n">
        <v>42767</v>
      </c>
      <c r="C191" s="56" t="n">
        <v>814912</v>
      </c>
      <c r="D191" s="250" t="s">
        <v>42</v>
      </c>
      <c r="E191" s="33" t="n">
        <f aca="false">IF(D191="totale",(C191/(A191*24))/F191,IF(D191="marché libre",(C191/(A191*24))/G191,"spécifier histo"))</f>
        <v>0.777350427350427</v>
      </c>
      <c r="F191" s="58" t="n">
        <f aca="false">G191+H191</f>
        <v>2230</v>
      </c>
      <c r="G191" s="59" t="n">
        <v>1560</v>
      </c>
      <c r="H191" s="58" t="n">
        <v>670</v>
      </c>
      <c r="J191" s="55"/>
      <c r="K191" s="0"/>
      <c r="Q191" s="254" t="s">
        <v>303</v>
      </c>
    </row>
    <row r="192" customFormat="false" ht="19.85" hidden="false" customHeight="true" outlineLevel="0" collapsed="false">
      <c r="A192" s="0" t="n">
        <v>31</v>
      </c>
      <c r="B192" s="31" t="n">
        <v>42795</v>
      </c>
      <c r="C192" s="56" t="n">
        <v>499511</v>
      </c>
      <c r="D192" s="250" t="s">
        <v>42</v>
      </c>
      <c r="E192" s="33" t="n">
        <f aca="false">IF(D192="totale",(C192/(A192*24))/F192,IF(D192="marché libre",(C192/(A192*24))/G192,"spécifier histo"))</f>
        <v>0.430375482492418</v>
      </c>
      <c r="F192" s="58" t="n">
        <f aca="false">G192+H192</f>
        <v>2230</v>
      </c>
      <c r="G192" s="59" t="n">
        <v>1560</v>
      </c>
      <c r="H192" s="58" t="n">
        <v>670</v>
      </c>
      <c r="J192" s="55"/>
      <c r="K192" s="0"/>
      <c r="Q192" s="254" t="s">
        <v>304</v>
      </c>
    </row>
    <row r="193" customFormat="false" ht="19.85" hidden="false" customHeight="true" outlineLevel="0" collapsed="false">
      <c r="A193" s="0" t="n">
        <v>30</v>
      </c>
      <c r="B193" s="34" t="n">
        <v>42826</v>
      </c>
      <c r="C193" s="56" t="n">
        <v>718403</v>
      </c>
      <c r="D193" s="250" t="s">
        <v>42</v>
      </c>
      <c r="E193" s="33" t="n">
        <f aca="false">IF(D193="totale",(C193/(A193*24))/F193,IF(D193="marché libre",(C193/(A193*24))/G193,"spécifier histo"))</f>
        <v>0.639603810541311</v>
      </c>
      <c r="F193" s="58" t="n">
        <f aca="false">G193+H193</f>
        <v>2230</v>
      </c>
      <c r="G193" s="59" t="n">
        <v>1560</v>
      </c>
      <c r="H193" s="58" t="n">
        <v>670</v>
      </c>
      <c r="J193" s="55"/>
      <c r="K193" s="0"/>
    </row>
    <row r="194" customFormat="false" ht="19.85" hidden="false" customHeight="true" outlineLevel="0" collapsed="false">
      <c r="A194" s="0" t="n">
        <v>31</v>
      </c>
      <c r="B194" s="31" t="n">
        <v>42856</v>
      </c>
      <c r="C194" s="56" t="n">
        <v>914591</v>
      </c>
      <c r="D194" s="250" t="s">
        <v>42</v>
      </c>
      <c r="E194" s="33" t="n">
        <f aca="false">IF(D194="totale",(C194/(A194*24))/F194,IF(D194="marché libre",(C194/(A194*24))/G194,"spécifier histo"))</f>
        <v>0.788005755445272</v>
      </c>
      <c r="F194" s="58" t="n">
        <f aca="false">G194+H194</f>
        <v>2230</v>
      </c>
      <c r="G194" s="59" t="n">
        <v>1560</v>
      </c>
      <c r="H194" s="58" t="n">
        <v>670</v>
      </c>
      <c r="J194" s="55"/>
      <c r="K194" s="0"/>
    </row>
    <row r="195" customFormat="false" ht="22.45" hidden="false" customHeight="true" outlineLevel="0" collapsed="false">
      <c r="A195" s="0" t="n">
        <v>30</v>
      </c>
      <c r="B195" s="34" t="n">
        <v>42887</v>
      </c>
      <c r="C195" s="56" t="n">
        <v>719260</v>
      </c>
      <c r="D195" s="250" t="s">
        <v>42</v>
      </c>
      <c r="E195" s="33" t="n">
        <f aca="false">IF(D195="totale",(C195/(A195*24))/F195,IF(D195="marché libre",(C195/(A195*24))/G195,"spécifier histo"))</f>
        <v>0.640366809116809</v>
      </c>
      <c r="F195" s="58" t="n">
        <f aca="false">G195+H195</f>
        <v>2230</v>
      </c>
      <c r="G195" s="59" t="n">
        <v>1560</v>
      </c>
      <c r="H195" s="58" t="n">
        <v>670</v>
      </c>
      <c r="J195" s="55"/>
      <c r="K195" s="0"/>
    </row>
    <row r="196" customFormat="false" ht="21.65" hidden="false" customHeight="true" outlineLevel="0" collapsed="false">
      <c r="A196" s="0" t="n">
        <v>31</v>
      </c>
      <c r="B196" s="31" t="n">
        <v>42917</v>
      </c>
      <c r="C196" s="56" t="n">
        <v>0</v>
      </c>
      <c r="D196" s="250" t="s">
        <v>42</v>
      </c>
      <c r="E196" s="33" t="n">
        <f aca="false">IF(D196="totale",(C196/(A196*24))/F196,IF(D196="marché libre",(C196/(A196*24))/G196,"spécifier histo"))</f>
        <v>0</v>
      </c>
      <c r="F196" s="58" t="n">
        <f aca="false">G196+H196</f>
        <v>2230</v>
      </c>
      <c r="G196" s="59" t="n">
        <v>1560</v>
      </c>
      <c r="H196" s="58" t="n">
        <v>670</v>
      </c>
      <c r="J196" s="55"/>
      <c r="K196" s="0"/>
    </row>
    <row r="197" customFormat="false" ht="21.65" hidden="false" customHeight="true" outlineLevel="0" collapsed="false">
      <c r="A197" s="0" t="n">
        <v>31</v>
      </c>
      <c r="B197" s="34" t="n">
        <v>42948</v>
      </c>
      <c r="C197" s="56" t="n">
        <v>197264</v>
      </c>
      <c r="D197" s="250" t="s">
        <v>42</v>
      </c>
      <c r="E197" s="33" t="n">
        <f aca="false">IF(D197="totale",(C197/(A197*24))/F197,IF(D197="marché libre",(C197/(A197*24))/G197,"spécifier histo"))</f>
        <v>0.169961400606562</v>
      </c>
      <c r="F197" s="58" t="n">
        <f aca="false">G197+H197</f>
        <v>2230</v>
      </c>
      <c r="G197" s="59" t="n">
        <v>1560</v>
      </c>
      <c r="H197" s="58" t="n">
        <v>670</v>
      </c>
      <c r="J197" s="55"/>
      <c r="K197" s="0"/>
    </row>
    <row r="198" customFormat="false" ht="21.65" hidden="false" customHeight="true" outlineLevel="0" collapsed="false">
      <c r="A198" s="0" t="n">
        <v>30</v>
      </c>
      <c r="B198" s="31" t="n">
        <v>42979</v>
      </c>
      <c r="C198" s="56" t="n">
        <v>0</v>
      </c>
      <c r="D198" s="250" t="s">
        <v>42</v>
      </c>
      <c r="E198" s="33" t="n">
        <f aca="false">IF(D198="totale",(C198/(A198*24))/F198,IF(D198="marché libre",(C198/(A198*24))/G198,"spécifier histo"))</f>
        <v>0</v>
      </c>
      <c r="F198" s="58" t="n">
        <f aca="false">G198+H198</f>
        <v>2230</v>
      </c>
      <c r="G198" s="59" t="n">
        <v>1560</v>
      </c>
      <c r="H198" s="58" t="n">
        <v>670</v>
      </c>
      <c r="J198" s="55"/>
      <c r="K198" s="0"/>
    </row>
    <row r="199" customFormat="false" ht="21.65" hidden="false" customHeight="true" outlineLevel="0" collapsed="false">
      <c r="A199" s="0" t="n">
        <v>31</v>
      </c>
      <c r="B199" s="34" t="n">
        <v>43009</v>
      </c>
      <c r="C199" s="56" t="n">
        <v>0</v>
      </c>
      <c r="D199" s="250" t="s">
        <v>42</v>
      </c>
      <c r="E199" s="33" t="n">
        <f aca="false">IF(D199="totale",(C199/(A199*24))/F199,IF(D199="marché libre",(C199/(A199*24))/G199,"spécifier histo"))</f>
        <v>0</v>
      </c>
      <c r="F199" s="58" t="n">
        <f aca="false">G199+H199</f>
        <v>2230</v>
      </c>
      <c r="G199" s="59" t="n">
        <v>1560</v>
      </c>
      <c r="H199" s="58" t="n">
        <v>670</v>
      </c>
      <c r="J199" s="55"/>
      <c r="K199" s="0"/>
    </row>
    <row r="200" customFormat="false" ht="21.65" hidden="false" customHeight="true" outlineLevel="0" collapsed="false">
      <c r="A200" s="0" t="n">
        <v>30</v>
      </c>
      <c r="B200" s="31" t="n">
        <v>43040</v>
      </c>
      <c r="C200" s="56" t="n">
        <v>177207</v>
      </c>
      <c r="D200" s="250" t="s">
        <v>42</v>
      </c>
      <c r="E200" s="33" t="n">
        <f aca="false">IF(D200="totale",(C200/(A200*24))/F200,IF(D200="marché libre",(C200/(A200*24))/G200,"spécifier histo"))</f>
        <v>0.157769764957265</v>
      </c>
      <c r="F200" s="58" t="n">
        <f aca="false">G200+H200</f>
        <v>2230</v>
      </c>
      <c r="G200" s="59" t="n">
        <v>1560</v>
      </c>
      <c r="H200" s="58" t="n">
        <v>670</v>
      </c>
      <c r="J200" s="55"/>
      <c r="K200" s="0"/>
    </row>
    <row r="201" customFormat="false" ht="21.65" hidden="false" customHeight="true" outlineLevel="0" collapsed="false">
      <c r="A201" s="0" t="n">
        <v>31</v>
      </c>
      <c r="B201" s="34" t="n">
        <v>43070</v>
      </c>
      <c r="C201" s="56" t="n">
        <v>0</v>
      </c>
      <c r="D201" s="250" t="s">
        <v>42</v>
      </c>
      <c r="E201" s="33" t="n">
        <f aca="false">IF(D201="totale",(C201/(A201*24))/F201,IF(D201="marché libre",(C201/(A201*24))/G201,"spécifier histo"))</f>
        <v>0</v>
      </c>
      <c r="F201" s="58" t="n">
        <f aca="false">G201+H201</f>
        <v>2230</v>
      </c>
      <c r="G201" s="59" t="n">
        <v>1560</v>
      </c>
      <c r="H201" s="58" t="n">
        <v>670</v>
      </c>
      <c r="J201" s="55"/>
      <c r="K201" s="0"/>
    </row>
    <row r="202" customFormat="false" ht="22.05" hidden="false" customHeight="true" outlineLevel="0" collapsed="false">
      <c r="A202" s="0" t="n">
        <v>31</v>
      </c>
      <c r="B202" s="31" t="n">
        <v>43101</v>
      </c>
      <c r="C202" s="56" t="n">
        <v>1027155</v>
      </c>
      <c r="D202" s="250" t="s">
        <v>42</v>
      </c>
      <c r="E202" s="33" t="n">
        <f aca="false">IF(D202="totale",(C202/(A202*24))/F202,IF(D202="marché libre",(C202/(A202*24))/G202,"spécifier histo"))</f>
        <v>0.88499017783292</v>
      </c>
      <c r="F202" s="58" t="n">
        <f aca="false">G202+H202</f>
        <v>2230</v>
      </c>
      <c r="G202" s="59" t="n">
        <v>1560</v>
      </c>
      <c r="H202" s="58" t="n">
        <v>670</v>
      </c>
      <c r="J202" s="30"/>
    </row>
    <row r="203" customFormat="false" ht="28.35" hidden="false" customHeight="true" outlineLevel="0" collapsed="false">
      <c r="A203" s="0"/>
    </row>
    <row r="204" customFormat="false" ht="28.35" hidden="false" customHeight="true" outlineLevel="0" collapsed="false">
      <c r="A204" s="0"/>
    </row>
    <row r="205" customFormat="false" ht="28.35" hidden="false" customHeight="true" outlineLevel="0" collapsed="false">
      <c r="A205" s="0"/>
    </row>
    <row r="206" customFormat="false" ht="28.35" hidden="false" customHeight="true" outlineLevel="0" collapsed="false">
      <c r="A206" s="0"/>
    </row>
    <row r="207" customFormat="false" ht="28.35" hidden="false" customHeight="true" outlineLevel="0" collapsed="false">
      <c r="A207" s="0"/>
    </row>
    <row r="208" customFormat="false" ht="28.35" hidden="false" customHeight="true" outlineLevel="0" collapsed="false">
      <c r="A208" s="0"/>
    </row>
    <row r="209" customFormat="false" ht="28.35" hidden="false" customHeight="true" outlineLevel="0" collapsed="false">
      <c r="A209" s="0"/>
    </row>
    <row r="210" customFormat="false" ht="28.35" hidden="false" customHeight="true" outlineLevel="0" collapsed="false">
      <c r="A210" s="0"/>
    </row>
    <row r="211" customFormat="false" ht="28.35" hidden="false" customHeight="true" outlineLevel="0" collapsed="false">
      <c r="A211" s="0"/>
    </row>
    <row r="212" customFormat="false" ht="28.35" hidden="false" customHeight="true" outlineLevel="0" collapsed="false">
      <c r="A212" s="0"/>
    </row>
    <row r="213" customFormat="false" ht="28.35" hidden="false" customHeight="true" outlineLevel="0" collapsed="false">
      <c r="A213" s="0"/>
    </row>
    <row r="214" customFormat="false" ht="28.35" hidden="false" customHeight="true" outlineLevel="0" collapsed="false">
      <c r="A214" s="0"/>
    </row>
    <row r="215" customFormat="false" ht="28.35" hidden="false" customHeight="true" outlineLevel="0" collapsed="false">
      <c r="A215" s="0"/>
    </row>
    <row r="216" customFormat="false" ht="28.35" hidden="false" customHeight="true" outlineLevel="0" collapsed="false">
      <c r="A216" s="0"/>
    </row>
    <row r="217" customFormat="false" ht="28.35" hidden="false" customHeight="true" outlineLevel="0" collapsed="false">
      <c r="A217" s="0"/>
    </row>
    <row r="218" customFormat="false" ht="28.35" hidden="false" customHeight="true" outlineLevel="0" collapsed="false">
      <c r="A218" s="0"/>
    </row>
    <row r="219" customFormat="false" ht="28.35" hidden="false" customHeight="tru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row r="224" customFormat="false" ht="12.8" hidden="false" customHeight="false" outlineLevel="0" collapsed="false">
      <c r="A224" s="0"/>
    </row>
    <row r="225" customFormat="false" ht="12.8" hidden="false" customHeight="false" outlineLevel="0" collapsed="false">
      <c r="A225" s="0"/>
    </row>
    <row r="226" customFormat="false" ht="12.8" hidden="false" customHeight="false" outlineLevel="0" collapsed="false">
      <c r="A226" s="0"/>
    </row>
    <row r="227" customFormat="false" ht="12.8" hidden="false" customHeight="false" outlineLevel="0" collapsed="false">
      <c r="A227" s="0"/>
    </row>
    <row r="228" customFormat="false" ht="12.8" hidden="false" customHeight="false" outlineLevel="0" collapsed="false">
      <c r="A228" s="0"/>
    </row>
    <row r="229" customFormat="false" ht="12.8" hidden="false" customHeight="false" outlineLevel="0" collapsed="false">
      <c r="A229" s="0"/>
    </row>
    <row r="230" customFormat="false" ht="12.8" hidden="false" customHeight="false" outlineLevel="0" collapsed="false">
      <c r="A230" s="0"/>
    </row>
    <row r="231" customFormat="false" ht="12.8" hidden="false" customHeight="fals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row r="239" customFormat="false" ht="12.8" hidden="false" customHeight="false" outlineLevel="0" collapsed="false">
      <c r="A239" s="0"/>
    </row>
    <row r="240" customFormat="false" ht="12.8" hidden="false" customHeight="false" outlineLevel="0" collapsed="false">
      <c r="A240" s="0"/>
    </row>
    <row r="241" customFormat="false" ht="12.8" hidden="false" customHeight="false" outlineLevel="0" collapsed="false">
      <c r="A241" s="0"/>
    </row>
    <row r="242" customFormat="false" ht="12.8" hidden="false" customHeight="false" outlineLevel="0" collapsed="false">
      <c r="A242" s="0"/>
    </row>
    <row r="243" customFormat="false" ht="12.8" hidden="false" customHeight="false" outlineLevel="0" collapsed="false">
      <c r="A243" s="0"/>
    </row>
    <row r="244" customFormat="false" ht="12.8" hidden="false" customHeight="false" outlineLevel="0" collapsed="false">
      <c r="A244" s="0"/>
    </row>
    <row r="245" customFormat="false" ht="12.8" hidden="false" customHeight="false" outlineLevel="0" collapsed="false">
      <c r="A245" s="0"/>
    </row>
    <row r="246" customFormat="false" ht="12.8" hidden="false" customHeight="false" outlineLevel="0" collapsed="false">
      <c r="A246" s="0"/>
    </row>
    <row r="247" customFormat="false" ht="12.8" hidden="false" customHeight="false" outlineLevel="0" collapsed="false">
      <c r="A24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02">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9.xml><?xml version="1.0" encoding="utf-8"?>
<worksheet xmlns="http://schemas.openxmlformats.org/spreadsheetml/2006/main" xmlns:r="http://schemas.openxmlformats.org/officeDocument/2006/relationships">
  <sheetPr filterMode="false">
    <tabColor rgb="FF00CC33"/>
    <pageSetUpPr fitToPage="false"/>
  </sheetPr>
  <dimension ref="A1:AMJ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589" activePane="bottomRight" state="frozen"/>
      <selection pane="topLeft" activeCell="A1" activeCellId="0" sqref="A1"/>
      <selection pane="topRight" activeCell="B1" activeCellId="0" sqref="B1"/>
      <selection pane="bottomLeft" activeCell="A589" activeCellId="0" sqref="A589"/>
      <selection pane="bottomRight" activeCell="B594" activeCellId="0" sqref="B594"/>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255"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56" width="24.68"/>
    <col collapsed="false" customWidth="true" hidden="false" outlineLevel="0" max="11" min="11" style="256" width="19.45"/>
    <col collapsed="false" customWidth="true" hidden="false" outlineLevel="0" max="12" min="12" style="256" width="24.54"/>
    <col collapsed="false" customWidth="false" hidden="false" outlineLevel="0" max="13" min="13" style="256" width="11.52"/>
    <col collapsed="false" customWidth="true" hidden="false" outlineLevel="0" max="14" min="14" style="256" width="10.8"/>
    <col collapsed="false" customWidth="true" hidden="false" outlineLevel="0" max="15" min="15" style="256" width="4.02"/>
    <col collapsed="false" customWidth="false" hidden="false" outlineLevel="0" max="16" min="16" style="256" width="11.52"/>
    <col collapsed="false" customWidth="true" hidden="false" outlineLevel="0" max="17" min="17" style="256" width="15.28"/>
    <col collapsed="false" customWidth="true" hidden="false" outlineLevel="0" max="18" min="18" style="256" width="3.85"/>
    <col collapsed="false" customWidth="false" hidden="false" outlineLevel="0" max="20" min="19" style="256" width="11.52"/>
    <col collapsed="false" customWidth="false" hidden="false" outlineLevel="0" max="22" min="21" style="1" width="11.52"/>
    <col collapsed="false" customWidth="true" hidden="false" outlineLevel="0" max="23" min="23" style="1" width="14.32"/>
    <col collapsed="false" customWidth="false" hidden="false" outlineLevel="0" max="1014" min="24" style="1" width="11.52"/>
    <col collapsed="false" customWidth="false" hidden="false" outlineLevel="0" max="1025" min="1015" style="0" width="11.52"/>
  </cols>
  <sheetData>
    <row r="1" customFormat="false" ht="30.8" hidden="false" customHeight="true" outlineLevel="0" collapsed="false">
      <c r="A1" s="197" t="s">
        <v>108</v>
      </c>
      <c r="B1" s="2" t="s">
        <v>0</v>
      </c>
      <c r="C1" s="2"/>
      <c r="D1" s="2"/>
      <c r="E1" s="2"/>
      <c r="F1" s="3" t="s">
        <v>1</v>
      </c>
      <c r="G1" s="3"/>
      <c r="H1" s="3"/>
      <c r="I1" s="3"/>
      <c r="J1" s="3"/>
      <c r="K1" s="3"/>
      <c r="L1" s="3"/>
      <c r="M1" s="3"/>
      <c r="N1" s="3"/>
      <c r="O1" s="1"/>
      <c r="P1" s="1"/>
      <c r="Q1" s="1"/>
      <c r="R1" s="1"/>
      <c r="S1" s="1"/>
      <c r="T1" s="1"/>
    </row>
    <row r="2" customFormat="false" ht="30.8" hidden="false" customHeight="true" outlineLevel="0" collapsed="false">
      <c r="A2" s="0"/>
      <c r="B2" s="2"/>
      <c r="C2" s="2"/>
      <c r="D2" s="2"/>
      <c r="E2" s="2"/>
      <c r="F2" s="3" t="s">
        <v>305</v>
      </c>
      <c r="G2" s="3"/>
      <c r="H2" s="3"/>
      <c r="I2" s="3"/>
      <c r="J2" s="3" t="s">
        <v>3</v>
      </c>
      <c r="K2" s="3"/>
      <c r="L2" s="3" t="s">
        <v>4</v>
      </c>
      <c r="M2" s="3"/>
      <c r="N2" s="3" t="s">
        <v>5</v>
      </c>
      <c r="O2" s="1"/>
      <c r="P2" s="4"/>
      <c r="Q2" s="5" t="s">
        <v>6</v>
      </c>
      <c r="R2" s="1"/>
      <c r="S2" s="6"/>
      <c r="T2" s="7" t="s">
        <v>7</v>
      </c>
      <c r="U2" s="8" t="s">
        <v>8</v>
      </c>
      <c r="V2" s="9"/>
    </row>
    <row r="3" customFormat="false" ht="37.45" hidden="false" customHeight="true" outlineLevel="0" collapsed="false">
      <c r="A3" s="0"/>
      <c r="B3" s="10" t="s">
        <v>9</v>
      </c>
      <c r="C3" s="257" t="s">
        <v>10</v>
      </c>
      <c r="D3" s="10" t="s">
        <v>11</v>
      </c>
      <c r="E3" s="11" t="s">
        <v>12</v>
      </c>
      <c r="F3" s="10" t="s">
        <v>13</v>
      </c>
      <c r="G3" s="10" t="s">
        <v>14</v>
      </c>
      <c r="H3" s="10" t="s">
        <v>15</v>
      </c>
      <c r="I3" s="10" t="s">
        <v>16</v>
      </c>
      <c r="J3" s="10" t="s">
        <v>17</v>
      </c>
      <c r="K3" s="10" t="s">
        <v>18</v>
      </c>
      <c r="L3" s="10" t="s">
        <v>19</v>
      </c>
      <c r="M3" s="10" t="s">
        <v>17</v>
      </c>
      <c r="N3" s="3"/>
      <c r="O3" s="1"/>
      <c r="P3" s="12"/>
      <c r="Q3" s="5" t="s">
        <v>20</v>
      </c>
      <c r="R3" s="1"/>
      <c r="S3" s="13"/>
      <c r="T3" s="7" t="s">
        <v>21</v>
      </c>
      <c r="U3" s="8"/>
      <c r="V3" s="9"/>
    </row>
    <row r="4" customFormat="false" ht="36.65" hidden="false" customHeight="true" outlineLevel="0" collapsed="false">
      <c r="A4" s="0"/>
      <c r="B4" s="5" t="s">
        <v>306</v>
      </c>
      <c r="C4" s="258" t="n">
        <v>40603</v>
      </c>
      <c r="D4" s="5" t="s">
        <v>307</v>
      </c>
      <c r="E4" s="14" t="s">
        <v>308</v>
      </c>
      <c r="F4" s="15" t="n">
        <v>1000</v>
      </c>
      <c r="G4" s="15" t="n">
        <v>1000</v>
      </c>
      <c r="H4" s="15" t="n">
        <v>600</v>
      </c>
      <c r="I4" s="5" t="s">
        <v>309</v>
      </c>
      <c r="J4" s="15" t="n">
        <f aca="false">600+400</f>
        <v>1000</v>
      </c>
      <c r="K4" s="5" t="s">
        <v>310</v>
      </c>
      <c r="L4" s="16" t="s">
        <v>311</v>
      </c>
      <c r="M4" s="16" t="s">
        <v>312</v>
      </c>
      <c r="N4" s="16"/>
      <c r="O4" s="1"/>
      <c r="P4" s="17"/>
      <c r="Q4" s="16" t="s">
        <v>23</v>
      </c>
      <c r="R4" s="1"/>
      <c r="S4" s="18"/>
      <c r="T4" s="19" t="s">
        <v>24</v>
      </c>
      <c r="U4" s="19"/>
      <c r="V4" s="19"/>
    </row>
    <row r="5" customFormat="false" ht="28.35" hidden="false" customHeight="true" outlineLevel="0" collapsed="false">
      <c r="A5" s="0"/>
      <c r="F5" s="9"/>
      <c r="G5" s="9"/>
      <c r="H5" s="9"/>
      <c r="J5" s="9"/>
      <c r="K5" s="1"/>
      <c r="L5" s="1"/>
      <c r="M5" s="1"/>
      <c r="N5" s="1"/>
      <c r="O5" s="1"/>
      <c r="P5" s="9"/>
      <c r="Q5" s="9"/>
      <c r="R5" s="1"/>
      <c r="S5" s="1"/>
      <c r="T5" s="1"/>
    </row>
    <row r="6" customFormat="false" ht="28.35" hidden="false" customHeight="true" outlineLevel="0" collapsed="false">
      <c r="A6" s="0"/>
      <c r="B6" s="0"/>
      <c r="C6" s="257" t="s">
        <v>25</v>
      </c>
      <c r="D6" s="257"/>
      <c r="F6" s="20" t="s">
        <v>26</v>
      </c>
      <c r="G6" s="19" t="s">
        <v>313</v>
      </c>
      <c r="H6" s="19"/>
      <c r="I6" s="19"/>
      <c r="J6" s="19"/>
      <c r="K6" s="19"/>
      <c r="L6" s="19"/>
      <c r="M6" s="19"/>
      <c r="N6" s="19"/>
      <c r="O6" s="1"/>
      <c r="P6" s="125" t="n">
        <v>42005</v>
      </c>
      <c r="Q6" s="19" t="s">
        <v>27</v>
      </c>
      <c r="R6" s="9"/>
      <c r="S6" s="22"/>
      <c r="T6" s="5" t="s">
        <v>28</v>
      </c>
    </row>
    <row r="7" customFormat="false" ht="66.9" hidden="false" customHeight="true" outlineLevel="0" collapsed="false">
      <c r="A7" s="0"/>
      <c r="B7" s="0"/>
      <c r="C7" s="259" t="s">
        <v>314</v>
      </c>
      <c r="D7" s="259"/>
      <c r="F7" s="20"/>
      <c r="G7" s="20"/>
      <c r="H7" s="19"/>
      <c r="I7" s="19"/>
      <c r="J7" s="19"/>
      <c r="K7" s="19"/>
      <c r="L7" s="19"/>
      <c r="M7" s="19"/>
      <c r="N7" s="19"/>
      <c r="O7" s="1"/>
      <c r="P7" s="24"/>
      <c r="Q7" s="5" t="s">
        <v>29</v>
      </c>
      <c r="R7" s="9"/>
      <c r="S7" s="25"/>
      <c r="T7" s="5" t="s">
        <v>30</v>
      </c>
    </row>
    <row r="8" customFormat="false" ht="42.45" hidden="false" customHeight="true" outlineLevel="0" collapsed="false">
      <c r="A8" s="26"/>
      <c r="C8" s="0"/>
      <c r="F8" s="9"/>
      <c r="G8" s="9"/>
      <c r="H8" s="9"/>
      <c r="J8" s="9"/>
      <c r="K8" s="1"/>
      <c r="L8" s="1"/>
      <c r="M8" s="1"/>
      <c r="N8" s="1"/>
      <c r="O8" s="1"/>
      <c r="P8" s="1"/>
      <c r="Q8" s="1"/>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205" t="s">
        <v>40</v>
      </c>
      <c r="K9" s="1"/>
      <c r="L9" s="1"/>
      <c r="M9" s="1"/>
      <c r="N9" s="1"/>
      <c r="O9" s="1"/>
      <c r="P9" s="1"/>
      <c r="Q9" s="1"/>
      <c r="R9" s="1"/>
      <c r="S9" s="1"/>
      <c r="T9" s="1"/>
    </row>
    <row r="10" customFormat="false" ht="18.95" hidden="false" customHeight="true" outlineLevel="0" collapsed="false">
      <c r="A10" s="0" t="n">
        <v>31</v>
      </c>
      <c r="B10" s="31" t="n">
        <v>25569</v>
      </c>
      <c r="C10" s="56" t="n">
        <v>271000</v>
      </c>
      <c r="D10" s="260" t="s">
        <v>41</v>
      </c>
      <c r="E10" s="33" t="n">
        <f aca="false">IF(D10="totale",(C10/(A10*24))/F10,IF(D10="marché libre",(C10/(A10*24))/G10,"spécifier histo"))</f>
        <v>0.364247311827957</v>
      </c>
      <c r="F10" s="59" t="n">
        <v>1000</v>
      </c>
      <c r="G10" s="59" t="n">
        <f aca="false">F10-H10</f>
        <v>1000</v>
      </c>
      <c r="H10" s="59" t="n">
        <f aca="false">0</f>
        <v>0</v>
      </c>
      <c r="I10" s="9"/>
      <c r="J10" s="205"/>
      <c r="K10" s="1"/>
      <c r="L10" s="1"/>
      <c r="M10" s="0"/>
      <c r="N10" s="0"/>
      <c r="O10" s="0"/>
      <c r="P10" s="0"/>
      <c r="Q10" s="1"/>
      <c r="R10" s="1"/>
      <c r="S10" s="1"/>
      <c r="T10" s="1"/>
    </row>
    <row r="11" customFormat="false" ht="18.95" hidden="false" customHeight="true" outlineLevel="0" collapsed="false">
      <c r="A11" s="0" t="n">
        <v>28</v>
      </c>
      <c r="B11" s="34" t="n">
        <v>25600</v>
      </c>
      <c r="C11" s="56" t="n">
        <v>278000</v>
      </c>
      <c r="D11" s="260" t="s">
        <v>41</v>
      </c>
      <c r="E11" s="33" t="n">
        <f aca="false">IF(D11="totale",(C11/(A11*24))/F11,IF(D11="marché libre",(C11/(A11*24))/G11,"spécifier histo"))</f>
        <v>0.413690476190476</v>
      </c>
      <c r="F11" s="59" t="n">
        <v>1000</v>
      </c>
      <c r="G11" s="59" t="n">
        <f aca="false">F11-H11</f>
        <v>1000</v>
      </c>
      <c r="H11" s="59" t="n">
        <f aca="false">0</f>
        <v>0</v>
      </c>
      <c r="I11" s="9"/>
      <c r="J11" s="0"/>
      <c r="K11" s="0"/>
      <c r="L11" s="0"/>
      <c r="M11" s="0"/>
      <c r="N11" s="0"/>
      <c r="O11" s="0"/>
      <c r="P11" s="0"/>
      <c r="Q11" s="1"/>
      <c r="R11" s="1"/>
      <c r="S11" s="1"/>
      <c r="T11" s="1"/>
    </row>
    <row r="12" customFormat="false" ht="18.95" hidden="false" customHeight="true" outlineLevel="0" collapsed="false">
      <c r="A12" s="0" t="n">
        <v>31</v>
      </c>
      <c r="B12" s="31" t="n">
        <v>25628</v>
      </c>
      <c r="C12" s="56" t="n">
        <v>262000</v>
      </c>
      <c r="D12" s="260" t="s">
        <v>41</v>
      </c>
      <c r="E12" s="33" t="n">
        <f aca="false">IF(D12="totale",(C12/(A12*24))/F12,IF(D12="marché libre",(C12/(A12*24))/G12,"spécifier histo"))</f>
        <v>0.352150537634409</v>
      </c>
      <c r="F12" s="59" t="n">
        <v>1000</v>
      </c>
      <c r="G12" s="59" t="n">
        <f aca="false">F12-H12</f>
        <v>1000</v>
      </c>
      <c r="H12" s="59" t="n">
        <f aca="false">0</f>
        <v>0</v>
      </c>
      <c r="I12" s="9"/>
      <c r="J12" s="0"/>
      <c r="K12" s="0"/>
      <c r="L12" s="0"/>
      <c r="M12" s="0"/>
      <c r="N12" s="0"/>
      <c r="O12" s="0"/>
      <c r="P12" s="0"/>
      <c r="Q12" s="1"/>
      <c r="R12" s="1"/>
      <c r="S12" s="1"/>
      <c r="T12" s="1"/>
    </row>
    <row r="13" customFormat="false" ht="18.95" hidden="false" customHeight="true" outlineLevel="0" collapsed="false">
      <c r="A13" s="0" t="n">
        <v>30</v>
      </c>
      <c r="B13" s="34" t="n">
        <v>25659</v>
      </c>
      <c r="C13" s="56" t="n">
        <v>333000</v>
      </c>
      <c r="D13" s="260" t="s">
        <v>41</v>
      </c>
      <c r="E13" s="33" t="n">
        <f aca="false">IF(D13="totale",(C13/(A13*24))/F13,IF(D13="marché libre",(C13/(A13*24))/G13,"spécifier histo"))</f>
        <v>0.4625</v>
      </c>
      <c r="F13" s="59" t="n">
        <v>1000</v>
      </c>
      <c r="G13" s="59" t="n">
        <f aca="false">F13-H13</f>
        <v>1000</v>
      </c>
      <c r="H13" s="59" t="n">
        <f aca="false">0</f>
        <v>0</v>
      </c>
      <c r="I13" s="9"/>
      <c r="J13" s="0"/>
      <c r="K13" s="0"/>
      <c r="L13" s="0"/>
      <c r="M13" s="0"/>
      <c r="N13" s="0"/>
      <c r="O13" s="0"/>
      <c r="P13" s="0"/>
      <c r="Q13" s="1"/>
      <c r="R13" s="1"/>
      <c r="S13" s="1"/>
      <c r="T13" s="1"/>
    </row>
    <row r="14" customFormat="false" ht="18.95" hidden="false" customHeight="true" outlineLevel="0" collapsed="false">
      <c r="A14" s="0" t="n">
        <v>31</v>
      </c>
      <c r="B14" s="31" t="n">
        <v>25689</v>
      </c>
      <c r="C14" s="56" t="n">
        <v>493000</v>
      </c>
      <c r="D14" s="260" t="s">
        <v>41</v>
      </c>
      <c r="E14" s="33" t="n">
        <f aca="false">IF(D14="totale",(C14/(A14*24))/F14,IF(D14="marché libre",(C14/(A14*24))/G14,"spécifier histo"))</f>
        <v>0.662634408602151</v>
      </c>
      <c r="F14" s="59" t="n">
        <v>1000</v>
      </c>
      <c r="G14" s="59" t="n">
        <f aca="false">F14-H14</f>
        <v>1000</v>
      </c>
      <c r="H14" s="59" t="n">
        <f aca="false">0</f>
        <v>0</v>
      </c>
      <c r="I14" s="9"/>
      <c r="J14" s="0"/>
      <c r="K14" s="0"/>
      <c r="L14" s="0"/>
      <c r="M14" s="0"/>
      <c r="N14" s="0"/>
      <c r="O14" s="0"/>
      <c r="P14" s="0"/>
      <c r="Q14" s="1"/>
      <c r="R14" s="1"/>
      <c r="S14" s="1"/>
      <c r="T14" s="1"/>
    </row>
    <row r="15" customFormat="false" ht="18.95" hidden="false" customHeight="true" outlineLevel="0" collapsed="false">
      <c r="A15" s="0" t="n">
        <v>30</v>
      </c>
      <c r="B15" s="34" t="n">
        <v>25720</v>
      </c>
      <c r="C15" s="56" t="n">
        <v>646000</v>
      </c>
      <c r="D15" s="260" t="s">
        <v>41</v>
      </c>
      <c r="E15" s="33" t="n">
        <f aca="false">IF(D15="totale",(C15/(A15*24))/F15,IF(D15="marché libre",(C15/(A15*24))/G15,"spécifier histo"))</f>
        <v>0.897222222222222</v>
      </c>
      <c r="F15" s="59" t="n">
        <v>1000</v>
      </c>
      <c r="G15" s="59" t="n">
        <f aca="false">F15-H15</f>
        <v>1000</v>
      </c>
      <c r="H15" s="59" t="n">
        <f aca="false">0</f>
        <v>0</v>
      </c>
      <c r="I15" s="9"/>
      <c r="J15" s="0"/>
      <c r="K15" s="0"/>
      <c r="L15" s="0"/>
      <c r="M15" s="0"/>
      <c r="N15" s="0"/>
      <c r="O15" s="0"/>
      <c r="P15" s="0"/>
      <c r="Q15" s="1"/>
      <c r="R15" s="1"/>
      <c r="S15" s="1"/>
      <c r="T15" s="1"/>
    </row>
    <row r="16" customFormat="false" ht="18.95" hidden="false" customHeight="true" outlineLevel="0" collapsed="false">
      <c r="A16" s="0" t="n">
        <v>31</v>
      </c>
      <c r="B16" s="31" t="n">
        <v>25750</v>
      </c>
      <c r="C16" s="56" t="n">
        <v>558000</v>
      </c>
      <c r="D16" s="260" t="s">
        <v>41</v>
      </c>
      <c r="E16" s="33" t="n">
        <f aca="false">IF(D16="totale",(C16/(A16*24))/F16,IF(D16="marché libre",(C16/(A16*24))/G16,"spécifier histo"))</f>
        <v>0.75</v>
      </c>
      <c r="F16" s="59" t="n">
        <v>1000</v>
      </c>
      <c r="G16" s="59" t="n">
        <f aca="false">F16-H16</f>
        <v>1000</v>
      </c>
      <c r="H16" s="59" t="n">
        <f aca="false">0</f>
        <v>0</v>
      </c>
      <c r="I16" s="9"/>
      <c r="J16" s="0"/>
      <c r="K16" s="0"/>
      <c r="L16" s="0"/>
      <c r="M16" s="0"/>
      <c r="N16" s="0"/>
      <c r="O16" s="0"/>
      <c r="P16" s="0"/>
      <c r="Q16" s="1"/>
      <c r="R16" s="1"/>
      <c r="S16" s="1"/>
      <c r="T16" s="1"/>
    </row>
    <row r="17" customFormat="false" ht="18.95" hidden="false" customHeight="true" outlineLevel="0" collapsed="false">
      <c r="A17" s="0" t="n">
        <v>31</v>
      </c>
      <c r="B17" s="34" t="n">
        <v>25781</v>
      </c>
      <c r="C17" s="56" t="n">
        <v>612000</v>
      </c>
      <c r="D17" s="260" t="s">
        <v>41</v>
      </c>
      <c r="E17" s="33" t="n">
        <f aca="false">IF(D17="totale",(C17/(A17*24))/F17,IF(D17="marché libre",(C17/(A17*24))/G17,"spécifier histo"))</f>
        <v>0.82258064516129</v>
      </c>
      <c r="F17" s="59" t="n">
        <v>1000</v>
      </c>
      <c r="G17" s="59" t="n">
        <f aca="false">F17-H17</f>
        <v>1000</v>
      </c>
      <c r="H17" s="59" t="n">
        <f aca="false">0</f>
        <v>0</v>
      </c>
      <c r="I17" s="9"/>
      <c r="J17" s="0"/>
      <c r="K17" s="0"/>
      <c r="L17" s="0"/>
      <c r="M17" s="0"/>
      <c r="N17" s="0"/>
      <c r="O17" s="0"/>
      <c r="P17" s="0"/>
      <c r="Q17" s="1"/>
      <c r="R17" s="1"/>
      <c r="S17" s="1"/>
      <c r="T17" s="1"/>
    </row>
    <row r="18" customFormat="false" ht="18.95" hidden="false" customHeight="true" outlineLevel="0" collapsed="false">
      <c r="A18" s="0" t="n">
        <v>30</v>
      </c>
      <c r="B18" s="31" t="n">
        <v>25812</v>
      </c>
      <c r="C18" s="56" t="n">
        <v>453000</v>
      </c>
      <c r="D18" s="260" t="s">
        <v>41</v>
      </c>
      <c r="E18" s="33" t="n">
        <f aca="false">IF(D18="totale",(C18/(A18*24))/F18,IF(D18="marché libre",(C18/(A18*24))/G18,"spécifier histo"))</f>
        <v>0.629166666666667</v>
      </c>
      <c r="F18" s="59" t="n">
        <v>1000</v>
      </c>
      <c r="G18" s="59" t="n">
        <f aca="false">F18-H18</f>
        <v>1000</v>
      </c>
      <c r="H18" s="59" t="n">
        <f aca="false">0</f>
        <v>0</v>
      </c>
      <c r="I18" s="9"/>
      <c r="J18" s="0"/>
      <c r="K18" s="0"/>
      <c r="L18" s="0"/>
      <c r="M18" s="0"/>
      <c r="N18" s="0"/>
      <c r="O18" s="0"/>
      <c r="P18" s="0"/>
      <c r="Q18" s="1"/>
      <c r="R18" s="1"/>
      <c r="S18" s="1"/>
      <c r="T18" s="1"/>
    </row>
    <row r="19" customFormat="false" ht="18.95" hidden="false" customHeight="true" outlineLevel="0" collapsed="false">
      <c r="A19" s="0" t="n">
        <v>31</v>
      </c>
      <c r="B19" s="34" t="n">
        <v>25842</v>
      </c>
      <c r="C19" s="56" t="n">
        <v>441000</v>
      </c>
      <c r="D19" s="260" t="s">
        <v>41</v>
      </c>
      <c r="E19" s="33" t="n">
        <f aca="false">IF(D19="totale",(C19/(A19*24))/F19,IF(D19="marché libre",(C19/(A19*24))/G19,"spécifier histo"))</f>
        <v>0.592741935483871</v>
      </c>
      <c r="F19" s="59" t="n">
        <v>1000</v>
      </c>
      <c r="G19" s="59" t="n">
        <f aca="false">F19-H19</f>
        <v>1000</v>
      </c>
      <c r="H19" s="59" t="n">
        <f aca="false">0</f>
        <v>0</v>
      </c>
      <c r="I19" s="9"/>
      <c r="J19" s="0"/>
      <c r="K19" s="0"/>
      <c r="L19" s="0"/>
      <c r="M19" s="0"/>
      <c r="N19" s="0"/>
      <c r="O19" s="0"/>
      <c r="P19" s="0"/>
      <c r="Q19" s="1"/>
      <c r="R19" s="1"/>
      <c r="S19" s="1"/>
      <c r="T19" s="1"/>
    </row>
    <row r="20" customFormat="false" ht="18.95" hidden="false" customHeight="true" outlineLevel="0" collapsed="false">
      <c r="A20" s="0" t="n">
        <v>30</v>
      </c>
      <c r="B20" s="31" t="n">
        <v>25873</v>
      </c>
      <c r="C20" s="56" t="n">
        <v>387000</v>
      </c>
      <c r="D20" s="260" t="s">
        <v>41</v>
      </c>
      <c r="E20" s="33" t="n">
        <f aca="false">IF(D20="totale",(C20/(A20*24))/F20,IF(D20="marché libre",(C20/(A20*24))/G20,"spécifier histo"))</f>
        <v>0.5375</v>
      </c>
      <c r="F20" s="59" t="n">
        <v>1000</v>
      </c>
      <c r="G20" s="59" t="n">
        <f aca="false">F20-H20</f>
        <v>1000</v>
      </c>
      <c r="H20" s="59" t="n">
        <f aca="false">0</f>
        <v>0</v>
      </c>
      <c r="I20" s="9"/>
      <c r="J20" s="0"/>
      <c r="K20" s="0"/>
      <c r="L20" s="0"/>
      <c r="M20" s="0"/>
      <c r="N20" s="0"/>
      <c r="O20" s="0"/>
      <c r="P20" s="0"/>
      <c r="Q20" s="1"/>
      <c r="R20" s="1"/>
      <c r="S20" s="1"/>
      <c r="T20" s="1"/>
    </row>
    <row r="21" customFormat="false" ht="18.95" hidden="false" customHeight="true" outlineLevel="0" collapsed="false">
      <c r="A21" s="0" t="n">
        <v>31</v>
      </c>
      <c r="B21" s="34" t="n">
        <v>25903</v>
      </c>
      <c r="C21" s="56" t="n">
        <v>392000</v>
      </c>
      <c r="D21" s="260" t="s">
        <v>41</v>
      </c>
      <c r="E21" s="33" t="n">
        <f aca="false">IF(D21="totale",(C21/(A21*24))/F21,IF(D21="marché libre",(C21/(A21*24))/G21,"spécifier histo"))</f>
        <v>0.526881720430108</v>
      </c>
      <c r="F21" s="59" t="n">
        <v>1000</v>
      </c>
      <c r="G21" s="59" t="n">
        <f aca="false">F21-H21</f>
        <v>1000</v>
      </c>
      <c r="H21" s="59" t="n">
        <f aca="false">0</f>
        <v>0</v>
      </c>
      <c r="I21" s="9"/>
      <c r="J21" s="0"/>
      <c r="K21" s="0"/>
      <c r="L21" s="0"/>
      <c r="M21" s="0"/>
      <c r="N21" s="0"/>
      <c r="O21" s="0"/>
      <c r="P21" s="0"/>
      <c r="Q21" s="1"/>
      <c r="R21" s="1"/>
      <c r="S21" s="1"/>
      <c r="T21" s="1"/>
    </row>
    <row r="22" customFormat="false" ht="18.95" hidden="false" customHeight="true" outlineLevel="0" collapsed="false">
      <c r="A22" s="0" t="n">
        <v>31</v>
      </c>
      <c r="B22" s="31" t="n">
        <v>25934</v>
      </c>
      <c r="C22" s="56" t="n">
        <v>337000</v>
      </c>
      <c r="D22" s="260" t="s">
        <v>41</v>
      </c>
      <c r="E22" s="33" t="n">
        <f aca="false">IF(D22="totale",(C22/(A22*24))/F22,IF(D22="marché libre",(C22/(A22*24))/G22,"spécifier histo"))</f>
        <v>0.452956989247312</v>
      </c>
      <c r="F22" s="59" t="n">
        <v>1000</v>
      </c>
      <c r="G22" s="59" t="n">
        <f aca="false">F22-H22</f>
        <v>1000</v>
      </c>
      <c r="H22" s="59" t="n">
        <f aca="false">0</f>
        <v>0</v>
      </c>
      <c r="I22" s="9"/>
      <c r="J22" s="0"/>
      <c r="K22" s="0"/>
      <c r="L22" s="0"/>
      <c r="M22" s="0"/>
      <c r="N22" s="0"/>
      <c r="O22" s="0"/>
      <c r="P22" s="0"/>
      <c r="Q22" s="1"/>
      <c r="R22" s="1"/>
      <c r="S22" s="1"/>
      <c r="T22" s="1"/>
    </row>
    <row r="23" customFormat="false" ht="18.95" hidden="false" customHeight="true" outlineLevel="0" collapsed="false">
      <c r="A23" s="0" t="n">
        <v>28</v>
      </c>
      <c r="B23" s="34" t="n">
        <v>25965</v>
      </c>
      <c r="C23" s="56" t="n">
        <v>251000</v>
      </c>
      <c r="D23" s="260" t="s">
        <v>41</v>
      </c>
      <c r="E23" s="33" t="n">
        <f aca="false">IF(D23="totale",(C23/(A23*24))/F23,IF(D23="marché libre",(C23/(A23*24))/G23,"spécifier histo"))</f>
        <v>0.373511904761905</v>
      </c>
      <c r="F23" s="59" t="n">
        <v>1000</v>
      </c>
      <c r="G23" s="59" t="n">
        <f aca="false">F23-H23</f>
        <v>1000</v>
      </c>
      <c r="H23" s="59" t="n">
        <f aca="false">0</f>
        <v>0</v>
      </c>
      <c r="I23" s="9"/>
      <c r="J23" s="0"/>
      <c r="K23" s="0"/>
      <c r="L23" s="0"/>
      <c r="M23" s="0"/>
      <c r="N23" s="1"/>
      <c r="O23" s="1"/>
      <c r="P23" s="1"/>
      <c r="Q23" s="1"/>
      <c r="R23" s="1"/>
      <c r="S23" s="1"/>
      <c r="T23" s="1"/>
    </row>
    <row r="24" customFormat="false" ht="18.95" hidden="false" customHeight="true" outlineLevel="0" collapsed="false">
      <c r="A24" s="0" t="n">
        <v>31</v>
      </c>
      <c r="B24" s="31" t="n">
        <v>25993</v>
      </c>
      <c r="C24" s="56" t="n">
        <v>231000</v>
      </c>
      <c r="D24" s="260" t="s">
        <v>41</v>
      </c>
      <c r="E24" s="33" t="n">
        <f aca="false">IF(D24="totale",(C24/(A24*24))/F24,IF(D24="marché libre",(C24/(A24*24))/G24,"spécifier histo"))</f>
        <v>0.310483870967742</v>
      </c>
      <c r="F24" s="59" t="n">
        <v>1000</v>
      </c>
      <c r="G24" s="59" t="n">
        <f aca="false">F24-H24</f>
        <v>1000</v>
      </c>
      <c r="H24" s="59" t="n">
        <f aca="false">0</f>
        <v>0</v>
      </c>
      <c r="I24" s="9"/>
      <c r="J24" s="1"/>
      <c r="K24" s="0"/>
      <c r="L24" s="0"/>
      <c r="M24" s="0"/>
      <c r="N24" s="1"/>
      <c r="O24" s="1"/>
      <c r="P24" s="1"/>
      <c r="Q24" s="1"/>
      <c r="R24" s="1"/>
      <c r="S24" s="1"/>
      <c r="T24" s="1"/>
    </row>
    <row r="25" customFormat="false" ht="18.95" hidden="false" customHeight="true" outlineLevel="0" collapsed="false">
      <c r="A25" s="0" t="n">
        <v>30</v>
      </c>
      <c r="B25" s="34" t="n">
        <v>26024</v>
      </c>
      <c r="C25" s="56" t="n">
        <v>289000</v>
      </c>
      <c r="D25" s="260" t="s">
        <v>41</v>
      </c>
      <c r="E25" s="33" t="n">
        <f aca="false">IF(D25="totale",(C25/(A25*24))/F25,IF(D25="marché libre",(C25/(A25*24))/G25,"spécifier histo"))</f>
        <v>0.401388888888889</v>
      </c>
      <c r="F25" s="59" t="n">
        <v>1000</v>
      </c>
      <c r="G25" s="59" t="n">
        <f aca="false">F25-H25</f>
        <v>1000</v>
      </c>
      <c r="H25" s="59" t="n">
        <f aca="false">0</f>
        <v>0</v>
      </c>
      <c r="I25" s="9"/>
      <c r="J25" s="1"/>
      <c r="K25" s="0"/>
      <c r="L25" s="0"/>
      <c r="M25" s="0"/>
      <c r="N25" s="1"/>
      <c r="O25" s="1"/>
      <c r="P25" s="1"/>
      <c r="Q25" s="1"/>
      <c r="R25" s="1"/>
      <c r="S25" s="1"/>
      <c r="T25" s="1"/>
    </row>
    <row r="26" customFormat="false" ht="18.95" hidden="false" customHeight="true" outlineLevel="0" collapsed="false">
      <c r="A26" s="0" t="n">
        <v>31</v>
      </c>
      <c r="B26" s="31" t="n">
        <v>26054</v>
      </c>
      <c r="C26" s="56" t="n">
        <v>366000</v>
      </c>
      <c r="D26" s="260" t="s">
        <v>41</v>
      </c>
      <c r="E26" s="33" t="n">
        <f aca="false">IF(D26="totale",(C26/(A26*24))/F26,IF(D26="marché libre",(C26/(A26*24))/G26,"spécifier histo"))</f>
        <v>0.491935483870968</v>
      </c>
      <c r="F26" s="59" t="n">
        <v>1000</v>
      </c>
      <c r="G26" s="59" t="n">
        <f aca="false">F26-H26</f>
        <v>1000</v>
      </c>
      <c r="H26" s="59" t="n">
        <f aca="false">0</f>
        <v>0</v>
      </c>
      <c r="I26" s="9"/>
      <c r="J26" s="1"/>
      <c r="K26" s="0"/>
      <c r="L26" s="0"/>
      <c r="M26" s="0"/>
      <c r="N26" s="1"/>
      <c r="O26" s="1"/>
      <c r="P26" s="1"/>
      <c r="Q26" s="1"/>
      <c r="R26" s="1"/>
      <c r="S26" s="1"/>
      <c r="T26" s="1"/>
    </row>
    <row r="27" customFormat="false" ht="18.95" hidden="false" customHeight="true" outlineLevel="0" collapsed="false">
      <c r="A27" s="0" t="n">
        <v>30</v>
      </c>
      <c r="B27" s="34" t="n">
        <v>26085</v>
      </c>
      <c r="C27" s="56" t="n">
        <v>468000</v>
      </c>
      <c r="D27" s="260" t="s">
        <v>41</v>
      </c>
      <c r="E27" s="33" t="n">
        <f aca="false">IF(D27="totale",(C27/(A27*24))/F27,IF(D27="marché libre",(C27/(A27*24))/G27,"spécifier histo"))</f>
        <v>0.65</v>
      </c>
      <c r="F27" s="59" t="n">
        <v>1000</v>
      </c>
      <c r="G27" s="59" t="n">
        <f aca="false">F27-H27</f>
        <v>1000</v>
      </c>
      <c r="H27" s="59" t="n">
        <f aca="false">0</f>
        <v>0</v>
      </c>
      <c r="I27" s="9"/>
      <c r="J27" s="1"/>
      <c r="K27" s="0"/>
      <c r="L27" s="0"/>
      <c r="M27" s="0"/>
      <c r="N27" s="1"/>
      <c r="O27" s="1"/>
      <c r="P27" s="1"/>
      <c r="Q27" s="1"/>
      <c r="R27" s="1"/>
      <c r="S27" s="1"/>
      <c r="T27" s="1"/>
    </row>
    <row r="28" customFormat="false" ht="18.95" hidden="false" customHeight="true" outlineLevel="0" collapsed="false">
      <c r="A28" s="0" t="n">
        <v>31</v>
      </c>
      <c r="B28" s="31" t="n">
        <v>26115</v>
      </c>
      <c r="C28" s="56" t="n">
        <v>499000</v>
      </c>
      <c r="D28" s="260" t="s">
        <v>41</v>
      </c>
      <c r="E28" s="33" t="n">
        <f aca="false">IF(D28="totale",(C28/(A28*24))/F28,IF(D28="marché libre",(C28/(A28*24))/G28,"spécifier histo"))</f>
        <v>0.670698924731183</v>
      </c>
      <c r="F28" s="59" t="n">
        <v>1000</v>
      </c>
      <c r="G28" s="59" t="n">
        <f aca="false">F28-H28</f>
        <v>1000</v>
      </c>
      <c r="H28" s="59" t="n">
        <f aca="false">0</f>
        <v>0</v>
      </c>
      <c r="I28" s="9"/>
      <c r="J28" s="1"/>
      <c r="K28" s="0"/>
      <c r="L28" s="0"/>
      <c r="M28" s="0"/>
      <c r="N28" s="1"/>
      <c r="O28" s="1"/>
      <c r="P28" s="1"/>
      <c r="Q28" s="1"/>
      <c r="R28" s="1"/>
      <c r="S28" s="1"/>
      <c r="T28" s="1"/>
    </row>
    <row r="29" customFormat="false" ht="18.95" hidden="false" customHeight="true" outlineLevel="0" collapsed="false">
      <c r="A29" s="0" t="n">
        <v>31</v>
      </c>
      <c r="B29" s="34" t="n">
        <v>26146</v>
      </c>
      <c r="C29" s="56" t="n">
        <v>418000</v>
      </c>
      <c r="D29" s="260" t="s">
        <v>41</v>
      </c>
      <c r="E29" s="33" t="n">
        <f aca="false">IF(D29="totale",(C29/(A29*24))/F29,IF(D29="marché libre",(C29/(A29*24))/G29,"spécifier histo"))</f>
        <v>0.561827956989247</v>
      </c>
      <c r="F29" s="59" t="n">
        <v>1000</v>
      </c>
      <c r="G29" s="59" t="n">
        <f aca="false">F29-H29</f>
        <v>1000</v>
      </c>
      <c r="H29" s="59" t="n">
        <f aca="false">0</f>
        <v>0</v>
      </c>
      <c r="I29" s="9"/>
      <c r="J29" s="1"/>
      <c r="K29" s="0"/>
      <c r="L29" s="0"/>
      <c r="M29" s="0"/>
      <c r="N29" s="1"/>
      <c r="O29" s="1"/>
      <c r="P29" s="1"/>
      <c r="Q29" s="1"/>
      <c r="R29" s="1"/>
      <c r="S29" s="1"/>
      <c r="T29" s="1"/>
    </row>
    <row r="30" customFormat="false" ht="18.95" hidden="false" customHeight="true" outlineLevel="0" collapsed="false">
      <c r="A30" s="0" t="n">
        <v>30</v>
      </c>
      <c r="B30" s="31" t="n">
        <v>26177</v>
      </c>
      <c r="C30" s="56" t="n">
        <v>361000</v>
      </c>
      <c r="D30" s="260" t="s">
        <v>41</v>
      </c>
      <c r="E30" s="33" t="n">
        <f aca="false">IF(D30="totale",(C30/(A30*24))/F30,IF(D30="marché libre",(C30/(A30*24))/G30,"spécifier histo"))</f>
        <v>0.501388888888889</v>
      </c>
      <c r="F30" s="59" t="n">
        <v>1000</v>
      </c>
      <c r="G30" s="59" t="n">
        <f aca="false">F30-H30</f>
        <v>1000</v>
      </c>
      <c r="H30" s="59" t="n">
        <f aca="false">0</f>
        <v>0</v>
      </c>
      <c r="I30" s="9"/>
      <c r="J30" s="1"/>
      <c r="K30" s="0"/>
      <c r="L30" s="0"/>
      <c r="M30" s="0"/>
      <c r="N30" s="1"/>
      <c r="O30" s="1"/>
      <c r="P30" s="1"/>
      <c r="Q30" s="1"/>
      <c r="R30" s="1"/>
      <c r="S30" s="1"/>
      <c r="T30" s="1"/>
    </row>
    <row r="31" customFormat="false" ht="18.95" hidden="false" customHeight="true" outlineLevel="0" collapsed="false">
      <c r="A31" s="0" t="n">
        <v>31</v>
      </c>
      <c r="B31" s="34" t="n">
        <v>26207</v>
      </c>
      <c r="C31" s="56" t="n">
        <v>341000</v>
      </c>
      <c r="D31" s="260" t="s">
        <v>41</v>
      </c>
      <c r="E31" s="33" t="n">
        <f aca="false">IF(D31="totale",(C31/(A31*24))/F31,IF(D31="marché libre",(C31/(A31*24))/G31,"spécifier histo"))</f>
        <v>0.458333333333333</v>
      </c>
      <c r="F31" s="59" t="n">
        <v>1000</v>
      </c>
      <c r="G31" s="59" t="n">
        <f aca="false">F31-H31</f>
        <v>1000</v>
      </c>
      <c r="H31" s="59" t="n">
        <f aca="false">0</f>
        <v>0</v>
      </c>
      <c r="I31" s="9"/>
      <c r="J31" s="1"/>
      <c r="K31" s="0"/>
      <c r="L31" s="0"/>
      <c r="M31" s="0"/>
      <c r="N31" s="1"/>
      <c r="O31" s="1"/>
      <c r="P31" s="1"/>
      <c r="Q31" s="1"/>
      <c r="R31" s="1"/>
      <c r="S31" s="1"/>
      <c r="T31" s="1"/>
    </row>
    <row r="32" customFormat="false" ht="18.95" hidden="false" customHeight="true" outlineLevel="0" collapsed="false">
      <c r="A32" s="0" t="n">
        <v>30</v>
      </c>
      <c r="B32" s="31" t="n">
        <v>26238</v>
      </c>
      <c r="C32" s="56" t="n">
        <v>295000</v>
      </c>
      <c r="D32" s="260" t="s">
        <v>41</v>
      </c>
      <c r="E32" s="33" t="n">
        <f aca="false">IF(D32="totale",(C32/(A32*24))/F32,IF(D32="marché libre",(C32/(A32*24))/G32,"spécifier histo"))</f>
        <v>0.409722222222222</v>
      </c>
      <c r="F32" s="59" t="n">
        <v>1000</v>
      </c>
      <c r="G32" s="59" t="n">
        <f aca="false">F32-H32</f>
        <v>1000</v>
      </c>
      <c r="H32" s="59" t="n">
        <f aca="false">0</f>
        <v>0</v>
      </c>
      <c r="I32" s="9"/>
      <c r="J32" s="1"/>
      <c r="K32" s="0"/>
      <c r="L32" s="0"/>
      <c r="M32" s="0"/>
      <c r="N32" s="1"/>
      <c r="O32" s="1"/>
      <c r="P32" s="1"/>
      <c r="Q32" s="1"/>
      <c r="R32" s="1"/>
      <c r="S32" s="1"/>
      <c r="T32" s="1"/>
    </row>
    <row r="33" customFormat="false" ht="18.95" hidden="false" customHeight="true" outlineLevel="0" collapsed="false">
      <c r="A33" s="0" t="n">
        <v>31</v>
      </c>
      <c r="B33" s="34" t="n">
        <v>26268</v>
      </c>
      <c r="C33" s="56" t="n">
        <v>281000</v>
      </c>
      <c r="D33" s="260" t="s">
        <v>41</v>
      </c>
      <c r="E33" s="33" t="n">
        <f aca="false">IF(D33="totale",(C33/(A33*24))/F33,IF(D33="marché libre",(C33/(A33*24))/G33,"spécifier histo"))</f>
        <v>0.377688172043011</v>
      </c>
      <c r="F33" s="59" t="n">
        <v>1000</v>
      </c>
      <c r="G33" s="59" t="n">
        <f aca="false">F33-H33</f>
        <v>1000</v>
      </c>
      <c r="H33" s="59" t="n">
        <f aca="false">0</f>
        <v>0</v>
      </c>
      <c r="I33" s="9"/>
      <c r="J33" s="1"/>
      <c r="K33" s="0"/>
      <c r="L33" s="0"/>
      <c r="M33" s="0"/>
      <c r="N33" s="1"/>
      <c r="O33" s="1"/>
      <c r="P33" s="1"/>
      <c r="Q33" s="1"/>
      <c r="R33" s="1"/>
      <c r="S33" s="1"/>
      <c r="T33" s="1"/>
    </row>
    <row r="34" customFormat="false" ht="18.95" hidden="false" customHeight="true" outlineLevel="0" collapsed="false">
      <c r="A34" s="0" t="n">
        <v>31</v>
      </c>
      <c r="B34" s="31" t="n">
        <v>26299</v>
      </c>
      <c r="C34" s="56" t="n">
        <v>262000</v>
      </c>
      <c r="D34" s="260" t="s">
        <v>41</v>
      </c>
      <c r="E34" s="33" t="n">
        <f aca="false">IF(D34="totale",(C34/(A34*24))/F34,IF(D34="marché libre",(C34/(A34*24))/G34,"spécifier histo"))</f>
        <v>0.352150537634409</v>
      </c>
      <c r="F34" s="59" t="n">
        <v>1000</v>
      </c>
      <c r="G34" s="59" t="n">
        <f aca="false">F34-H34</f>
        <v>1000</v>
      </c>
      <c r="H34" s="59" t="n">
        <f aca="false">0</f>
        <v>0</v>
      </c>
      <c r="I34" s="9"/>
      <c r="J34" s="1"/>
      <c r="K34" s="0"/>
      <c r="L34" s="0"/>
      <c r="M34" s="0"/>
      <c r="N34" s="1"/>
      <c r="O34" s="1"/>
      <c r="P34" s="1"/>
      <c r="Q34" s="1"/>
      <c r="R34" s="1"/>
      <c r="S34" s="1"/>
      <c r="T34" s="1"/>
    </row>
    <row r="35" customFormat="false" ht="18.95" hidden="false" customHeight="true" outlineLevel="0" collapsed="false">
      <c r="A35" s="0" t="n">
        <v>28</v>
      </c>
      <c r="B35" s="34" t="n">
        <v>26330</v>
      </c>
      <c r="C35" s="56" t="n">
        <v>206000</v>
      </c>
      <c r="D35" s="260" t="s">
        <v>41</v>
      </c>
      <c r="E35" s="33" t="n">
        <f aca="false">IF(D35="totale",(C35/(A35*24))/F35,IF(D35="marché libre",(C35/(A35*24))/G35,"spécifier histo"))</f>
        <v>0.306547619047619</v>
      </c>
      <c r="F35" s="59" t="n">
        <v>1000</v>
      </c>
      <c r="G35" s="59" t="n">
        <f aca="false">F35-H35</f>
        <v>1000</v>
      </c>
      <c r="H35" s="59" t="n">
        <f aca="false">0</f>
        <v>0</v>
      </c>
      <c r="I35" s="9"/>
      <c r="J35" s="1"/>
      <c r="K35" s="0"/>
      <c r="L35" s="0"/>
      <c r="M35" s="0"/>
      <c r="N35" s="1"/>
      <c r="O35" s="1"/>
      <c r="P35" s="1"/>
      <c r="Q35" s="1"/>
      <c r="R35" s="1"/>
      <c r="S35" s="1"/>
      <c r="T35" s="1"/>
    </row>
    <row r="36" customFormat="false" ht="18.95" hidden="false" customHeight="true" outlineLevel="0" collapsed="false">
      <c r="A36" s="0" t="n">
        <v>31</v>
      </c>
      <c r="B36" s="31" t="n">
        <v>26359</v>
      </c>
      <c r="C36" s="56" t="n">
        <v>195000</v>
      </c>
      <c r="D36" s="260" t="s">
        <v>41</v>
      </c>
      <c r="E36" s="33" t="n">
        <f aca="false">IF(D36="totale",(C36/(A36*24))/F36,IF(D36="marché libre",(C36/(A36*24))/G36,"spécifier histo"))</f>
        <v>0.262096774193548</v>
      </c>
      <c r="F36" s="59" t="n">
        <v>1000</v>
      </c>
      <c r="G36" s="59" t="n">
        <f aca="false">F36-H36</f>
        <v>1000</v>
      </c>
      <c r="H36" s="59" t="n">
        <f aca="false">0</f>
        <v>0</v>
      </c>
      <c r="I36" s="9"/>
      <c r="J36" s="1"/>
      <c r="K36" s="0"/>
      <c r="L36" s="0"/>
      <c r="M36" s="0"/>
      <c r="N36" s="1"/>
      <c r="O36" s="1"/>
      <c r="P36" s="1"/>
      <c r="Q36" s="1"/>
      <c r="R36" s="1"/>
      <c r="S36" s="1"/>
      <c r="T36" s="1"/>
    </row>
    <row r="37" customFormat="false" ht="18.95" hidden="false" customHeight="true" outlineLevel="0" collapsed="false">
      <c r="A37" s="0" t="n">
        <v>30</v>
      </c>
      <c r="B37" s="34" t="n">
        <v>26390</v>
      </c>
      <c r="C37" s="56" t="n">
        <v>245000</v>
      </c>
      <c r="D37" s="260" t="s">
        <v>41</v>
      </c>
      <c r="E37" s="33" t="n">
        <f aca="false">IF(D37="totale",(C37/(A37*24))/F37,IF(D37="marché libre",(C37/(A37*24))/G37,"spécifier histo"))</f>
        <v>0.340277777777778</v>
      </c>
      <c r="F37" s="59" t="n">
        <v>1000</v>
      </c>
      <c r="G37" s="59" t="n">
        <f aca="false">F37-H37</f>
        <v>1000</v>
      </c>
      <c r="H37" s="59" t="n">
        <f aca="false">0</f>
        <v>0</v>
      </c>
      <c r="I37" s="9"/>
      <c r="J37" s="205"/>
      <c r="K37" s="1"/>
      <c r="L37" s="1"/>
      <c r="M37" s="1"/>
      <c r="N37" s="1"/>
      <c r="O37" s="1"/>
      <c r="P37" s="1"/>
      <c r="Q37" s="1"/>
      <c r="R37" s="1"/>
      <c r="S37" s="1"/>
      <c r="T37" s="1"/>
    </row>
    <row r="38" customFormat="false" ht="18.95" hidden="false" customHeight="true" outlineLevel="0" collapsed="false">
      <c r="A38" s="0" t="n">
        <v>31</v>
      </c>
      <c r="B38" s="31" t="n">
        <v>26420</v>
      </c>
      <c r="C38" s="56" t="n">
        <v>275000</v>
      </c>
      <c r="D38" s="260" t="s">
        <v>41</v>
      </c>
      <c r="E38" s="33" t="n">
        <f aca="false">IF(D38="totale",(C38/(A38*24))/F38,IF(D38="marché libre",(C38/(A38*24))/G38,"spécifier histo"))</f>
        <v>0.369623655913978</v>
      </c>
      <c r="F38" s="59" t="n">
        <v>1000</v>
      </c>
      <c r="G38" s="59" t="n">
        <f aca="false">F38-H38</f>
        <v>1000</v>
      </c>
      <c r="H38" s="59" t="n">
        <f aca="false">0</f>
        <v>0</v>
      </c>
      <c r="I38" s="9"/>
      <c r="J38" s="205"/>
      <c r="K38" s="1"/>
      <c r="L38" s="1"/>
      <c r="M38" s="1"/>
      <c r="N38" s="1"/>
      <c r="O38" s="1"/>
      <c r="P38" s="1"/>
      <c r="Q38" s="1"/>
      <c r="R38" s="1"/>
      <c r="S38" s="1"/>
      <c r="T38" s="1"/>
    </row>
    <row r="39" customFormat="false" ht="18.95" hidden="false" customHeight="true" outlineLevel="0" collapsed="false">
      <c r="A39" s="0" t="n">
        <v>30</v>
      </c>
      <c r="B39" s="34" t="n">
        <v>26451</v>
      </c>
      <c r="C39" s="56" t="n">
        <v>396000</v>
      </c>
      <c r="D39" s="260" t="s">
        <v>41</v>
      </c>
      <c r="E39" s="33" t="n">
        <f aca="false">IF(D39="totale",(C39/(A39*24))/F39,IF(D39="marché libre",(C39/(A39*24))/G39,"spécifier histo"))</f>
        <v>0.55</v>
      </c>
      <c r="F39" s="59" t="n">
        <v>1000</v>
      </c>
      <c r="G39" s="59" t="n">
        <f aca="false">F39-H39</f>
        <v>1000</v>
      </c>
      <c r="H39" s="59" t="n">
        <f aca="false">0</f>
        <v>0</v>
      </c>
      <c r="I39" s="9"/>
      <c r="J39" s="205"/>
      <c r="K39" s="1"/>
      <c r="L39" s="1"/>
      <c r="M39" s="1"/>
      <c r="N39" s="1"/>
      <c r="O39" s="1"/>
      <c r="P39" s="1"/>
      <c r="Q39" s="1"/>
      <c r="R39" s="1"/>
      <c r="S39" s="1"/>
      <c r="T39" s="1"/>
    </row>
    <row r="40" customFormat="false" ht="18.95" hidden="false" customHeight="true" outlineLevel="0" collapsed="false">
      <c r="A40" s="0" t="n">
        <v>31</v>
      </c>
      <c r="B40" s="31" t="n">
        <v>26481</v>
      </c>
      <c r="C40" s="56" t="n">
        <v>477000</v>
      </c>
      <c r="D40" s="260" t="s">
        <v>41</v>
      </c>
      <c r="E40" s="33" t="n">
        <f aca="false">IF(D40="totale",(C40/(A40*24))/F40,IF(D40="marché libre",(C40/(A40*24))/G40,"spécifier histo"))</f>
        <v>0.641129032258065</v>
      </c>
      <c r="F40" s="59" t="n">
        <v>1000</v>
      </c>
      <c r="G40" s="59" t="n">
        <f aca="false">F40-H40</f>
        <v>1000</v>
      </c>
      <c r="H40" s="59" t="n">
        <f aca="false">0</f>
        <v>0</v>
      </c>
      <c r="I40" s="9"/>
      <c r="J40" s="205"/>
      <c r="K40" s="1"/>
      <c r="L40" s="1"/>
      <c r="M40" s="1"/>
      <c r="N40" s="1"/>
      <c r="O40" s="1"/>
      <c r="P40" s="1"/>
      <c r="Q40" s="1"/>
      <c r="R40" s="1"/>
      <c r="S40" s="1"/>
      <c r="T40" s="1"/>
    </row>
    <row r="41" customFormat="false" ht="18.95" hidden="false" customHeight="true" outlineLevel="0" collapsed="false">
      <c r="A41" s="0" t="n">
        <v>31</v>
      </c>
      <c r="B41" s="34" t="n">
        <v>26512</v>
      </c>
      <c r="C41" s="56" t="n">
        <v>416000</v>
      </c>
      <c r="D41" s="260" t="s">
        <v>41</v>
      </c>
      <c r="E41" s="33" t="n">
        <f aca="false">IF(D41="totale",(C41/(A41*24))/F41,IF(D41="marché libre",(C41/(A41*24))/G41,"spécifier histo"))</f>
        <v>0.559139784946237</v>
      </c>
      <c r="F41" s="59" t="n">
        <v>1000</v>
      </c>
      <c r="G41" s="59" t="n">
        <f aca="false">F41-H41</f>
        <v>1000</v>
      </c>
      <c r="H41" s="59" t="n">
        <f aca="false">0</f>
        <v>0</v>
      </c>
      <c r="I41" s="9"/>
      <c r="J41" s="205"/>
      <c r="K41" s="1"/>
      <c r="L41" s="1"/>
      <c r="M41" s="1"/>
      <c r="N41" s="1"/>
      <c r="O41" s="1"/>
      <c r="P41" s="1"/>
      <c r="Q41" s="1"/>
      <c r="R41" s="1"/>
      <c r="S41" s="1"/>
      <c r="T41" s="1"/>
    </row>
    <row r="42" customFormat="false" ht="18.95" hidden="false" customHeight="true" outlineLevel="0" collapsed="false">
      <c r="A42" s="0" t="n">
        <v>30</v>
      </c>
      <c r="B42" s="31" t="n">
        <v>26543</v>
      </c>
      <c r="C42" s="56" t="n">
        <v>363000</v>
      </c>
      <c r="D42" s="260" t="s">
        <v>41</v>
      </c>
      <c r="E42" s="33" t="n">
        <f aca="false">IF(D42="totale",(C42/(A42*24))/F42,IF(D42="marché libre",(C42/(A42*24))/G42,"spécifier histo"))</f>
        <v>0.504166666666667</v>
      </c>
      <c r="F42" s="59" t="n">
        <v>1000</v>
      </c>
      <c r="G42" s="59" t="n">
        <f aca="false">F42-H42</f>
        <v>1000</v>
      </c>
      <c r="H42" s="59" t="n">
        <f aca="false">0</f>
        <v>0</v>
      </c>
      <c r="I42" s="9"/>
      <c r="J42" s="205"/>
      <c r="K42" s="1"/>
      <c r="L42" s="1"/>
      <c r="M42" s="1"/>
      <c r="N42" s="1"/>
      <c r="O42" s="1"/>
      <c r="P42" s="1"/>
      <c r="Q42" s="1"/>
      <c r="R42" s="1"/>
      <c r="S42" s="1"/>
      <c r="T42" s="1"/>
    </row>
    <row r="43" customFormat="false" ht="18.95" hidden="false" customHeight="true" outlineLevel="0" collapsed="false">
      <c r="A43" s="0" t="n">
        <v>31</v>
      </c>
      <c r="B43" s="34" t="n">
        <v>26573</v>
      </c>
      <c r="C43" s="56" t="n">
        <v>291000</v>
      </c>
      <c r="D43" s="260" t="s">
        <v>41</v>
      </c>
      <c r="E43" s="33" t="n">
        <f aca="false">IF(D43="totale",(C43/(A43*24))/F43,IF(D43="marché libre",(C43/(A43*24))/G43,"spécifier histo"))</f>
        <v>0.391129032258064</v>
      </c>
      <c r="F43" s="59" t="n">
        <v>1000</v>
      </c>
      <c r="G43" s="59" t="n">
        <f aca="false">F43-H43</f>
        <v>1000</v>
      </c>
      <c r="H43" s="59" t="n">
        <f aca="false">0</f>
        <v>0</v>
      </c>
      <c r="I43" s="9"/>
      <c r="J43" s="1"/>
      <c r="K43" s="0"/>
      <c r="L43" s="0"/>
      <c r="M43" s="1"/>
      <c r="N43" s="1"/>
      <c r="O43" s="1"/>
      <c r="P43" s="1"/>
      <c r="Q43" s="1"/>
      <c r="R43" s="1"/>
      <c r="S43" s="1"/>
      <c r="T43" s="1"/>
    </row>
    <row r="44" customFormat="false" ht="18.95" hidden="false" customHeight="true" outlineLevel="0" collapsed="false">
      <c r="A44" s="0" t="n">
        <v>30</v>
      </c>
      <c r="B44" s="31" t="n">
        <v>26604</v>
      </c>
      <c r="C44" s="56" t="n">
        <v>331000</v>
      </c>
      <c r="D44" s="260" t="s">
        <v>41</v>
      </c>
      <c r="E44" s="33" t="n">
        <f aca="false">IF(D44="totale",(C44/(A44*24))/F44,IF(D44="marché libre",(C44/(A44*24))/G44,"spécifier histo"))</f>
        <v>0.459722222222222</v>
      </c>
      <c r="F44" s="59" t="n">
        <v>1000</v>
      </c>
      <c r="G44" s="59" t="n">
        <f aca="false">F44-H44</f>
        <v>1000</v>
      </c>
      <c r="H44" s="59" t="n">
        <f aca="false">0</f>
        <v>0</v>
      </c>
      <c r="I44" s="9"/>
      <c r="J44" s="1"/>
      <c r="K44" s="0"/>
      <c r="L44" s="0"/>
      <c r="M44" s="1"/>
      <c r="N44" s="1"/>
      <c r="O44" s="1"/>
      <c r="P44" s="1"/>
      <c r="Q44" s="1"/>
      <c r="R44" s="1"/>
      <c r="S44" s="1"/>
      <c r="T44" s="1"/>
    </row>
    <row r="45" customFormat="false" ht="18.95" hidden="false" customHeight="true" outlineLevel="0" collapsed="false">
      <c r="A45" s="0" t="n">
        <v>31</v>
      </c>
      <c r="B45" s="34" t="n">
        <v>26634</v>
      </c>
      <c r="C45" s="56" t="n">
        <v>413000</v>
      </c>
      <c r="D45" s="260" t="s">
        <v>41</v>
      </c>
      <c r="E45" s="33" t="n">
        <f aca="false">IF(D45="totale",(C45/(A45*24))/F45,IF(D45="marché libre",(C45/(A45*24))/G45,"spécifier histo"))</f>
        <v>0.555107526881721</v>
      </c>
      <c r="F45" s="59" t="n">
        <v>1000</v>
      </c>
      <c r="G45" s="59" t="n">
        <f aca="false">F45-H45</f>
        <v>1000</v>
      </c>
      <c r="H45" s="59" t="n">
        <f aca="false">0</f>
        <v>0</v>
      </c>
      <c r="I45" s="9"/>
      <c r="J45" s="1"/>
      <c r="K45" s="0"/>
      <c r="L45" s="0"/>
      <c r="M45" s="1"/>
      <c r="N45" s="1"/>
      <c r="O45" s="1"/>
      <c r="P45" s="1"/>
      <c r="Q45" s="1"/>
      <c r="R45" s="1"/>
      <c r="S45" s="1"/>
      <c r="T45" s="1"/>
    </row>
    <row r="46" customFormat="false" ht="18.95" hidden="false" customHeight="true" outlineLevel="0" collapsed="false">
      <c r="A46" s="0" t="n">
        <v>31</v>
      </c>
      <c r="B46" s="31" t="n">
        <v>26665</v>
      </c>
      <c r="C46" s="56" t="n">
        <v>328000</v>
      </c>
      <c r="D46" s="260" t="s">
        <v>41</v>
      </c>
      <c r="E46" s="33" t="n">
        <f aca="false">IF(D46="totale",(C46/(A46*24))/F46,IF(D46="marché libre",(C46/(A46*24))/G46,"spécifier histo"))</f>
        <v>0.440860215053763</v>
      </c>
      <c r="F46" s="59" t="n">
        <v>1000</v>
      </c>
      <c r="G46" s="59" t="n">
        <f aca="false">F46-H46</f>
        <v>1000</v>
      </c>
      <c r="H46" s="59" t="n">
        <f aca="false">0</f>
        <v>0</v>
      </c>
      <c r="I46" s="9"/>
      <c r="J46" s="1"/>
      <c r="K46" s="0"/>
      <c r="L46" s="0"/>
      <c r="M46" s="1"/>
      <c r="N46" s="1"/>
      <c r="O46" s="1"/>
      <c r="P46" s="1"/>
      <c r="Q46" s="1"/>
      <c r="R46" s="1"/>
      <c r="S46" s="1"/>
      <c r="T46" s="1"/>
    </row>
    <row r="47" customFormat="false" ht="18.95" hidden="false" customHeight="true" outlineLevel="0" collapsed="false">
      <c r="A47" s="0" t="n">
        <v>28</v>
      </c>
      <c r="B47" s="34" t="n">
        <v>26696</v>
      </c>
      <c r="C47" s="56" t="n">
        <v>251000</v>
      </c>
      <c r="D47" s="260" t="s">
        <v>41</v>
      </c>
      <c r="E47" s="33" t="n">
        <f aca="false">IF(D47="totale",(C47/(A47*24))/F47,IF(D47="marché libre",(C47/(A47*24))/G47,"spécifier histo"))</f>
        <v>0.373511904761905</v>
      </c>
      <c r="F47" s="59" t="n">
        <v>1000</v>
      </c>
      <c r="G47" s="59" t="n">
        <f aca="false">F47-H47</f>
        <v>1000</v>
      </c>
      <c r="H47" s="59" t="n">
        <f aca="false">0</f>
        <v>0</v>
      </c>
      <c r="I47" s="9"/>
      <c r="J47" s="1"/>
      <c r="K47" s="0"/>
      <c r="L47" s="0"/>
      <c r="M47" s="1"/>
      <c r="N47" s="1"/>
      <c r="O47" s="1"/>
      <c r="P47" s="1"/>
      <c r="Q47" s="1"/>
      <c r="R47" s="1"/>
      <c r="S47" s="1"/>
      <c r="T47" s="1"/>
    </row>
    <row r="48" customFormat="false" ht="18.95" hidden="false" customHeight="true" outlineLevel="0" collapsed="false">
      <c r="A48" s="0" t="n">
        <v>31</v>
      </c>
      <c r="B48" s="31" t="n">
        <v>26724</v>
      </c>
      <c r="C48" s="56" t="n">
        <v>99000</v>
      </c>
      <c r="D48" s="260" t="s">
        <v>41</v>
      </c>
      <c r="E48" s="33" t="n">
        <f aca="false">IF(D48="totale",(C48/(A48*24))/F48,IF(D48="marché libre",(C48/(A48*24))/G48,"spécifier histo"))</f>
        <v>0.133064516129032</v>
      </c>
      <c r="F48" s="59" t="n">
        <v>1000</v>
      </c>
      <c r="G48" s="59" t="n">
        <f aca="false">F48-H48</f>
        <v>1000</v>
      </c>
      <c r="H48" s="59" t="n">
        <f aca="false">0</f>
        <v>0</v>
      </c>
      <c r="I48" s="9"/>
      <c r="J48" s="1"/>
      <c r="K48" s="0"/>
      <c r="L48" s="0"/>
      <c r="M48" s="1"/>
      <c r="N48" s="1"/>
      <c r="O48" s="1"/>
      <c r="P48" s="1"/>
      <c r="Q48" s="1"/>
      <c r="R48" s="1"/>
      <c r="S48" s="1"/>
      <c r="T48" s="1"/>
    </row>
    <row r="49" customFormat="false" ht="18.95" hidden="false" customHeight="true" outlineLevel="0" collapsed="false">
      <c r="A49" s="0" t="n">
        <v>30</v>
      </c>
      <c r="B49" s="34" t="n">
        <v>26755</v>
      </c>
      <c r="C49" s="56" t="n">
        <v>0</v>
      </c>
      <c r="D49" s="260" t="s">
        <v>41</v>
      </c>
      <c r="E49" s="33" t="n">
        <f aca="false">IF(D49="totale",(C49/(A49*24))/F49,IF(D49="marché libre",(C49/(A49*24))/G49,"spécifier histo"))</f>
        <v>0</v>
      </c>
      <c r="F49" s="59" t="n">
        <v>1000</v>
      </c>
      <c r="G49" s="59" t="n">
        <f aca="false">F49-H49</f>
        <v>1000</v>
      </c>
      <c r="H49" s="59" t="n">
        <f aca="false">0</f>
        <v>0</v>
      </c>
      <c r="I49" s="9"/>
      <c r="J49" s="1"/>
      <c r="K49" s="0"/>
      <c r="L49" s="0"/>
      <c r="M49" s="1"/>
      <c r="N49" s="1"/>
      <c r="O49" s="1"/>
      <c r="P49" s="1"/>
      <c r="Q49" s="1"/>
      <c r="R49" s="1"/>
      <c r="S49" s="1"/>
      <c r="T49" s="1"/>
    </row>
    <row r="50" customFormat="false" ht="18.95" hidden="false" customHeight="true" outlineLevel="0" collapsed="false">
      <c r="A50" s="0" t="n">
        <v>31</v>
      </c>
      <c r="B50" s="31" t="n">
        <v>26785</v>
      </c>
      <c r="C50" s="56" t="n">
        <v>0</v>
      </c>
      <c r="D50" s="260" t="s">
        <v>41</v>
      </c>
      <c r="E50" s="33" t="n">
        <f aca="false">IF(D50="totale",(C50/(A50*24))/F50,IF(D50="marché libre",(C50/(A50*24))/G50,"spécifier histo"))</f>
        <v>0</v>
      </c>
      <c r="F50" s="59" t="n">
        <v>1000</v>
      </c>
      <c r="G50" s="59" t="n">
        <f aca="false">F50-H50</f>
        <v>1000</v>
      </c>
      <c r="H50" s="59" t="n">
        <f aca="false">0</f>
        <v>0</v>
      </c>
      <c r="I50" s="9"/>
      <c r="J50" s="1"/>
      <c r="K50" s="0"/>
      <c r="L50" s="0"/>
      <c r="M50" s="1"/>
      <c r="N50" s="1"/>
      <c r="O50" s="1"/>
      <c r="P50" s="1"/>
      <c r="Q50" s="1"/>
      <c r="R50" s="1"/>
      <c r="S50" s="1"/>
      <c r="T50" s="1"/>
    </row>
    <row r="51" customFormat="false" ht="18.95" hidden="false" customHeight="true" outlineLevel="0" collapsed="false">
      <c r="A51" s="0" t="n">
        <v>30</v>
      </c>
      <c r="B51" s="34" t="n">
        <v>26816</v>
      </c>
      <c r="C51" s="56" t="n">
        <v>341000</v>
      </c>
      <c r="D51" s="260" t="s">
        <v>41</v>
      </c>
      <c r="E51" s="33" t="n">
        <f aca="false">IF(D51="totale",(C51/(A51*24))/F51,IF(D51="marché libre",(C51/(A51*24))/G51,"spécifier histo"))</f>
        <v>0.473611111111111</v>
      </c>
      <c r="F51" s="59" t="n">
        <v>1000</v>
      </c>
      <c r="G51" s="59" t="n">
        <f aca="false">F51-H51</f>
        <v>1000</v>
      </c>
      <c r="H51" s="59" t="n">
        <f aca="false">0</f>
        <v>0</v>
      </c>
      <c r="I51" s="9"/>
      <c r="J51" s="1"/>
      <c r="K51" s="0"/>
      <c r="L51" s="0"/>
      <c r="M51" s="1"/>
      <c r="N51" s="1"/>
      <c r="O51" s="1"/>
      <c r="P51" s="1"/>
      <c r="Q51" s="1"/>
      <c r="R51" s="1"/>
      <c r="S51" s="1"/>
      <c r="T51" s="1"/>
    </row>
    <row r="52" customFormat="false" ht="18.95" hidden="false" customHeight="true" outlineLevel="0" collapsed="false">
      <c r="A52" s="0" t="n">
        <v>31</v>
      </c>
      <c r="B52" s="31" t="n">
        <v>26846</v>
      </c>
      <c r="C52" s="56" t="n">
        <v>510000</v>
      </c>
      <c r="D52" s="260" t="s">
        <v>41</v>
      </c>
      <c r="E52" s="33" t="n">
        <f aca="false">IF(D52="totale",(C52/(A52*24))/F52,IF(D52="marché libre",(C52/(A52*24))/G52,"spécifier histo"))</f>
        <v>0.685483870967742</v>
      </c>
      <c r="F52" s="59" t="n">
        <v>1000</v>
      </c>
      <c r="G52" s="59" t="n">
        <f aca="false">F52-H52</f>
        <v>1000</v>
      </c>
      <c r="H52" s="59" t="n">
        <f aca="false">0</f>
        <v>0</v>
      </c>
      <c r="I52" s="9"/>
      <c r="J52" s="1"/>
      <c r="K52" s="0"/>
      <c r="L52" s="0"/>
      <c r="M52" s="1"/>
      <c r="N52" s="1"/>
      <c r="O52" s="1"/>
      <c r="P52" s="1"/>
      <c r="Q52" s="1"/>
      <c r="R52" s="1"/>
      <c r="S52" s="1"/>
      <c r="T52" s="1"/>
    </row>
    <row r="53" customFormat="false" ht="18.95" hidden="false" customHeight="true" outlineLevel="0" collapsed="false">
      <c r="A53" s="0" t="n">
        <v>31</v>
      </c>
      <c r="B53" s="34" t="n">
        <v>26877</v>
      </c>
      <c r="C53" s="56" t="n">
        <v>613000</v>
      </c>
      <c r="D53" s="260" t="s">
        <v>41</v>
      </c>
      <c r="E53" s="33" t="n">
        <f aca="false">IF(D53="totale",(C53/(A53*24))/F53,IF(D53="marché libre",(C53/(A53*24))/G53,"spécifier histo"))</f>
        <v>0.823924731182796</v>
      </c>
      <c r="F53" s="59" t="n">
        <v>1000</v>
      </c>
      <c r="G53" s="59" t="n">
        <f aca="false">F53-H53</f>
        <v>1000</v>
      </c>
      <c r="H53" s="59" t="n">
        <f aca="false">0</f>
        <v>0</v>
      </c>
      <c r="I53" s="9"/>
      <c r="J53" s="1"/>
      <c r="K53" s="0"/>
      <c r="L53" s="0"/>
      <c r="M53" s="1"/>
      <c r="N53" s="1"/>
      <c r="O53" s="1"/>
      <c r="P53" s="1"/>
      <c r="Q53" s="1"/>
      <c r="R53" s="1"/>
      <c r="S53" s="1"/>
      <c r="T53" s="1"/>
    </row>
    <row r="54" customFormat="false" ht="18.95" hidden="false" customHeight="true" outlineLevel="0" collapsed="false">
      <c r="A54" s="0" t="n">
        <v>30</v>
      </c>
      <c r="B54" s="31" t="n">
        <v>26908</v>
      </c>
      <c r="C54" s="56" t="n">
        <v>444000</v>
      </c>
      <c r="D54" s="260" t="s">
        <v>41</v>
      </c>
      <c r="E54" s="33" t="n">
        <f aca="false">IF(D54="totale",(C54/(A54*24))/F54,IF(D54="marché libre",(C54/(A54*24))/G54,"spécifier histo"))</f>
        <v>0.616666666666667</v>
      </c>
      <c r="F54" s="59" t="n">
        <v>1000</v>
      </c>
      <c r="G54" s="59" t="n">
        <f aca="false">F54-H54</f>
        <v>1000</v>
      </c>
      <c r="H54" s="59" t="n">
        <f aca="false">0</f>
        <v>0</v>
      </c>
      <c r="I54" s="9"/>
      <c r="J54" s="1"/>
      <c r="K54" s="0"/>
      <c r="L54" s="0"/>
      <c r="M54" s="1"/>
      <c r="N54" s="1"/>
      <c r="O54" s="1"/>
      <c r="P54" s="1"/>
      <c r="Q54" s="1"/>
      <c r="R54" s="1"/>
      <c r="S54" s="1"/>
      <c r="T54" s="1"/>
    </row>
    <row r="55" customFormat="false" ht="18.95" hidden="false" customHeight="true" outlineLevel="0" collapsed="false">
      <c r="A55" s="0" t="n">
        <v>31</v>
      </c>
      <c r="B55" s="34" t="n">
        <v>26938</v>
      </c>
      <c r="C55" s="56" t="n">
        <v>409000</v>
      </c>
      <c r="D55" s="260" t="s">
        <v>41</v>
      </c>
      <c r="E55" s="33" t="n">
        <f aca="false">IF(D55="totale",(C55/(A55*24))/F55,IF(D55="marché libre",(C55/(A55*24))/G55,"spécifier histo"))</f>
        <v>0.549731182795699</v>
      </c>
      <c r="F55" s="59" t="n">
        <v>1000</v>
      </c>
      <c r="G55" s="59" t="n">
        <f aca="false">F55-H55</f>
        <v>1000</v>
      </c>
      <c r="H55" s="59" t="n">
        <f aca="false">0</f>
        <v>0</v>
      </c>
      <c r="I55" s="9"/>
      <c r="J55" s="1"/>
      <c r="K55" s="0"/>
      <c r="L55" s="0"/>
      <c r="M55" s="1"/>
      <c r="N55" s="1"/>
      <c r="O55" s="1"/>
      <c r="P55" s="1"/>
      <c r="Q55" s="1"/>
      <c r="R55" s="1"/>
      <c r="S55" s="1"/>
      <c r="T55" s="1"/>
    </row>
    <row r="56" customFormat="false" ht="18.95" hidden="false" customHeight="true" outlineLevel="0" collapsed="false">
      <c r="A56" s="0" t="n">
        <v>30</v>
      </c>
      <c r="B56" s="31" t="n">
        <v>26969</v>
      </c>
      <c r="C56" s="56" t="n">
        <v>383000</v>
      </c>
      <c r="D56" s="260" t="s">
        <v>41</v>
      </c>
      <c r="E56" s="33" t="n">
        <f aca="false">IF(D56="totale",(C56/(A56*24))/F56,IF(D56="marché libre",(C56/(A56*24))/G56,"spécifier histo"))</f>
        <v>0.531944444444444</v>
      </c>
      <c r="F56" s="59" t="n">
        <v>1000</v>
      </c>
      <c r="G56" s="59" t="n">
        <f aca="false">F56-H56</f>
        <v>1000</v>
      </c>
      <c r="H56" s="59" t="n">
        <f aca="false">0</f>
        <v>0</v>
      </c>
      <c r="I56" s="9"/>
      <c r="J56" s="0"/>
      <c r="K56" s="0"/>
      <c r="L56" s="0"/>
      <c r="M56" s="1"/>
      <c r="N56" s="1"/>
      <c r="O56" s="1"/>
      <c r="P56" s="1"/>
      <c r="Q56" s="1"/>
      <c r="R56" s="1"/>
      <c r="S56" s="1"/>
      <c r="T56" s="1"/>
    </row>
    <row r="57" customFormat="false" ht="18.95" hidden="false" customHeight="true" outlineLevel="0" collapsed="false">
      <c r="A57" s="0" t="n">
        <v>31</v>
      </c>
      <c r="B57" s="34" t="n">
        <v>26999</v>
      </c>
      <c r="C57" s="56" t="n">
        <v>356000</v>
      </c>
      <c r="D57" s="260" t="s">
        <v>41</v>
      </c>
      <c r="E57" s="33" t="n">
        <f aca="false">IF(D57="totale",(C57/(A57*24))/F57,IF(D57="marché libre",(C57/(A57*24))/G57,"spécifier histo"))</f>
        <v>0.478494623655914</v>
      </c>
      <c r="F57" s="59" t="n">
        <v>1000</v>
      </c>
      <c r="G57" s="59" t="n">
        <f aca="false">F57-H57</f>
        <v>1000</v>
      </c>
      <c r="H57" s="59" t="n">
        <f aca="false">0</f>
        <v>0</v>
      </c>
      <c r="I57" s="9"/>
      <c r="J57" s="0"/>
      <c r="K57" s="0"/>
      <c r="L57" s="0"/>
      <c r="M57" s="1"/>
      <c r="N57" s="1"/>
      <c r="O57" s="1"/>
      <c r="P57" s="1"/>
      <c r="Q57" s="1"/>
      <c r="R57" s="1"/>
      <c r="S57" s="1"/>
      <c r="T57" s="1"/>
    </row>
    <row r="58" customFormat="false" ht="18.95" hidden="false" customHeight="true" outlineLevel="0" collapsed="false">
      <c r="A58" s="0" t="n">
        <v>31</v>
      </c>
      <c r="B58" s="31" t="n">
        <v>27030</v>
      </c>
      <c r="C58" s="56" t="n">
        <v>318000</v>
      </c>
      <c r="D58" s="260" t="s">
        <v>41</v>
      </c>
      <c r="E58" s="33" t="n">
        <f aca="false">IF(D58="totale",(C58/(A58*24))/F58,IF(D58="marché libre",(C58/(A58*24))/G58,"spécifier histo"))</f>
        <v>0.42741935483871</v>
      </c>
      <c r="F58" s="59" t="n">
        <v>1000</v>
      </c>
      <c r="G58" s="59" t="n">
        <f aca="false">F58-H58</f>
        <v>1000</v>
      </c>
      <c r="H58" s="59" t="n">
        <f aca="false">0</f>
        <v>0</v>
      </c>
      <c r="I58" s="9"/>
      <c r="J58" s="205"/>
      <c r="K58" s="1"/>
      <c r="L58" s="1"/>
      <c r="M58" s="1"/>
      <c r="N58" s="1"/>
      <c r="O58" s="1"/>
      <c r="P58" s="1"/>
      <c r="Q58" s="1"/>
      <c r="R58" s="1"/>
      <c r="S58" s="1"/>
      <c r="T58" s="1"/>
    </row>
    <row r="59" customFormat="false" ht="18.95" hidden="false" customHeight="true" outlineLevel="0" collapsed="false">
      <c r="A59" s="0" t="n">
        <v>28</v>
      </c>
      <c r="B59" s="34" t="n">
        <v>27061</v>
      </c>
      <c r="C59" s="56" t="n">
        <v>277000</v>
      </c>
      <c r="D59" s="260" t="s">
        <v>41</v>
      </c>
      <c r="E59" s="33" t="n">
        <f aca="false">IF(D59="totale",(C59/(A59*24))/F59,IF(D59="marché libre",(C59/(A59*24))/G59,"spécifier histo"))</f>
        <v>0.412202380952381</v>
      </c>
      <c r="F59" s="59" t="n">
        <v>1000</v>
      </c>
      <c r="G59" s="59" t="n">
        <f aca="false">F59-H59</f>
        <v>1000</v>
      </c>
      <c r="H59" s="59" t="n">
        <f aca="false">0</f>
        <v>0</v>
      </c>
      <c r="I59" s="9"/>
      <c r="J59" s="205"/>
      <c r="K59" s="1"/>
      <c r="L59" s="1"/>
      <c r="M59" s="1"/>
      <c r="N59" s="1"/>
      <c r="O59" s="1"/>
      <c r="P59" s="1"/>
      <c r="Q59" s="1"/>
      <c r="R59" s="1"/>
      <c r="S59" s="1"/>
      <c r="T59" s="1"/>
    </row>
    <row r="60" customFormat="false" ht="18.95" hidden="false" customHeight="true" outlineLevel="0" collapsed="false">
      <c r="A60" s="0" t="n">
        <v>31</v>
      </c>
      <c r="B60" s="31" t="n">
        <v>27089</v>
      </c>
      <c r="C60" s="56" t="n">
        <v>312000</v>
      </c>
      <c r="D60" s="260" t="s">
        <v>41</v>
      </c>
      <c r="E60" s="33" t="n">
        <f aca="false">IF(D60="totale",(C60/(A60*24))/F60,IF(D60="marché libre",(C60/(A60*24))/G60,"spécifier histo"))</f>
        <v>0.419354838709677</v>
      </c>
      <c r="F60" s="59" t="n">
        <v>1000</v>
      </c>
      <c r="G60" s="59" t="n">
        <f aca="false">F60-H60</f>
        <v>1000</v>
      </c>
      <c r="H60" s="59" t="n">
        <f aca="false">0</f>
        <v>0</v>
      </c>
      <c r="I60" s="9"/>
      <c r="J60" s="205"/>
      <c r="K60" s="1"/>
      <c r="L60" s="0"/>
      <c r="M60" s="1"/>
      <c r="N60" s="1"/>
      <c r="O60" s="1"/>
      <c r="P60" s="1"/>
      <c r="Q60" s="1"/>
      <c r="R60" s="1"/>
      <c r="S60" s="1"/>
      <c r="T60" s="1"/>
    </row>
    <row r="61" customFormat="false" ht="18.95" hidden="false" customHeight="true" outlineLevel="0" collapsed="false">
      <c r="A61" s="0" t="n">
        <v>30</v>
      </c>
      <c r="B61" s="34" t="n">
        <v>27120</v>
      </c>
      <c r="C61" s="56" t="n">
        <v>330000</v>
      </c>
      <c r="D61" s="260" t="s">
        <v>41</v>
      </c>
      <c r="E61" s="33" t="n">
        <f aca="false">IF(D61="totale",(C61/(A61*24))/F61,IF(D61="marché libre",(C61/(A61*24))/G61,"spécifier histo"))</f>
        <v>0.458333333333333</v>
      </c>
      <c r="F61" s="59" t="n">
        <v>1000</v>
      </c>
      <c r="G61" s="59" t="n">
        <f aca="false">F61-H61</f>
        <v>1000</v>
      </c>
      <c r="H61" s="59" t="n">
        <f aca="false">0</f>
        <v>0</v>
      </c>
      <c r="I61" s="9"/>
      <c r="J61" s="205"/>
      <c r="K61" s="1"/>
      <c r="L61" s="0"/>
      <c r="M61" s="1"/>
      <c r="N61" s="1"/>
      <c r="O61" s="1"/>
      <c r="P61" s="1"/>
      <c r="Q61" s="1"/>
      <c r="R61" s="1"/>
      <c r="S61" s="1"/>
      <c r="T61" s="1"/>
    </row>
    <row r="62" customFormat="false" ht="18.95" hidden="false" customHeight="true" outlineLevel="0" collapsed="false">
      <c r="A62" s="0" t="n">
        <v>31</v>
      </c>
      <c r="B62" s="31" t="n">
        <v>27150</v>
      </c>
      <c r="C62" s="56" t="n">
        <v>315000</v>
      </c>
      <c r="D62" s="260" t="s">
        <v>41</v>
      </c>
      <c r="E62" s="33" t="n">
        <f aca="false">IF(D62="totale",(C62/(A62*24))/F62,IF(D62="marché libre",(C62/(A62*24))/G62,"spécifier histo"))</f>
        <v>0.423387096774194</v>
      </c>
      <c r="F62" s="59" t="n">
        <v>1000</v>
      </c>
      <c r="G62" s="59" t="n">
        <f aca="false">F62-H62</f>
        <v>1000</v>
      </c>
      <c r="H62" s="59" t="n">
        <f aca="false">0</f>
        <v>0</v>
      </c>
      <c r="I62" s="9"/>
      <c r="J62" s="205"/>
      <c r="K62" s="1"/>
      <c r="L62" s="0"/>
      <c r="M62" s="1"/>
      <c r="N62" s="1"/>
      <c r="O62" s="1"/>
      <c r="P62" s="1"/>
      <c r="Q62" s="1"/>
      <c r="R62" s="1"/>
      <c r="S62" s="1"/>
      <c r="T62" s="1"/>
    </row>
    <row r="63" customFormat="false" ht="18.95" hidden="false" customHeight="true" outlineLevel="0" collapsed="false">
      <c r="A63" s="0" t="n">
        <v>30</v>
      </c>
      <c r="B63" s="34" t="n">
        <v>27181</v>
      </c>
      <c r="C63" s="56" t="n">
        <v>465000</v>
      </c>
      <c r="D63" s="260" t="s">
        <v>41</v>
      </c>
      <c r="E63" s="33" t="n">
        <f aca="false">IF(D63="totale",(C63/(A63*24))/F63,IF(D63="marché libre",(C63/(A63*24))/G63,"spécifier histo"))</f>
        <v>0.645833333333333</v>
      </c>
      <c r="F63" s="59" t="n">
        <v>1000</v>
      </c>
      <c r="G63" s="59" t="n">
        <f aca="false">F63-H63</f>
        <v>1000</v>
      </c>
      <c r="H63" s="59" t="n">
        <f aca="false">0</f>
        <v>0</v>
      </c>
      <c r="I63" s="9"/>
      <c r="J63" s="205"/>
      <c r="K63" s="1"/>
      <c r="L63" s="0"/>
      <c r="M63" s="1"/>
      <c r="N63" s="1"/>
      <c r="O63" s="1"/>
      <c r="P63" s="1"/>
      <c r="Q63" s="1"/>
      <c r="R63" s="1"/>
      <c r="S63" s="1"/>
      <c r="T63" s="1"/>
    </row>
    <row r="64" customFormat="false" ht="18.95" hidden="false" customHeight="true" outlineLevel="0" collapsed="false">
      <c r="A64" s="0" t="n">
        <v>31</v>
      </c>
      <c r="B64" s="31" t="n">
        <v>27211</v>
      </c>
      <c r="C64" s="56" t="n">
        <v>583000</v>
      </c>
      <c r="D64" s="260" t="s">
        <v>41</v>
      </c>
      <c r="E64" s="33" t="n">
        <f aca="false">IF(D64="totale",(C64/(A64*24))/F64,IF(D64="marché libre",(C64/(A64*24))/G64,"spécifier histo"))</f>
        <v>0.783602150537634</v>
      </c>
      <c r="F64" s="59" t="n">
        <v>1000</v>
      </c>
      <c r="G64" s="59" t="n">
        <f aca="false">F64-H64</f>
        <v>1000</v>
      </c>
      <c r="H64" s="59" t="n">
        <f aca="false">0</f>
        <v>0</v>
      </c>
      <c r="I64" s="9"/>
      <c r="J64" s="205"/>
      <c r="K64" s="1"/>
      <c r="L64" s="0"/>
      <c r="M64" s="1"/>
      <c r="N64" s="1"/>
      <c r="O64" s="1"/>
      <c r="P64" s="1"/>
      <c r="Q64" s="1"/>
      <c r="R64" s="1"/>
      <c r="S64" s="1"/>
      <c r="T64" s="1"/>
    </row>
    <row r="65" customFormat="false" ht="18.95" hidden="false" customHeight="true" outlineLevel="0" collapsed="false">
      <c r="A65" s="0" t="n">
        <v>31</v>
      </c>
      <c r="B65" s="34" t="n">
        <v>27242</v>
      </c>
      <c r="C65" s="56" t="n">
        <v>495000</v>
      </c>
      <c r="D65" s="260" t="s">
        <v>41</v>
      </c>
      <c r="E65" s="33" t="n">
        <f aca="false">IF(D65="totale",(C65/(A65*24))/F65,IF(D65="marché libre",(C65/(A65*24))/G65,"spécifier histo"))</f>
        <v>0.665322580645161</v>
      </c>
      <c r="F65" s="59" t="n">
        <v>1000</v>
      </c>
      <c r="G65" s="59" t="n">
        <f aca="false">F65-H65</f>
        <v>1000</v>
      </c>
      <c r="H65" s="59" t="n">
        <f aca="false">0</f>
        <v>0</v>
      </c>
      <c r="I65" s="9"/>
      <c r="J65" s="205"/>
      <c r="K65" s="1"/>
      <c r="L65" s="0"/>
      <c r="M65" s="1"/>
      <c r="N65" s="1"/>
      <c r="O65" s="1"/>
      <c r="P65" s="1"/>
      <c r="Q65" s="1"/>
      <c r="R65" s="1"/>
      <c r="S65" s="1"/>
      <c r="T65" s="1"/>
    </row>
    <row r="66" customFormat="false" ht="18.95" hidden="false" customHeight="true" outlineLevel="0" collapsed="false">
      <c r="A66" s="0" t="n">
        <v>30</v>
      </c>
      <c r="B66" s="31" t="n">
        <v>27273</v>
      </c>
      <c r="C66" s="56" t="n">
        <v>414000</v>
      </c>
      <c r="D66" s="260" t="s">
        <v>41</v>
      </c>
      <c r="E66" s="33" t="n">
        <f aca="false">IF(D66="totale",(C66/(A66*24))/F66,IF(D66="marché libre",(C66/(A66*24))/G66,"spécifier histo"))</f>
        <v>0.575</v>
      </c>
      <c r="F66" s="59" t="n">
        <v>1000</v>
      </c>
      <c r="G66" s="59" t="n">
        <f aca="false">F66-H66</f>
        <v>1000</v>
      </c>
      <c r="H66" s="59" t="n">
        <f aca="false">0</f>
        <v>0</v>
      </c>
      <c r="I66" s="9"/>
      <c r="J66" s="205"/>
      <c r="K66" s="1"/>
      <c r="L66" s="0"/>
      <c r="M66" s="1"/>
      <c r="N66" s="1"/>
      <c r="O66" s="1"/>
      <c r="P66" s="1"/>
      <c r="Q66" s="1"/>
      <c r="R66" s="1"/>
      <c r="S66" s="1"/>
      <c r="T66" s="1"/>
    </row>
    <row r="67" customFormat="false" ht="18.95" hidden="false" customHeight="true" outlineLevel="0" collapsed="false">
      <c r="A67" s="0" t="n">
        <v>31</v>
      </c>
      <c r="B67" s="34" t="n">
        <v>27303</v>
      </c>
      <c r="C67" s="56" t="n">
        <v>465000</v>
      </c>
      <c r="D67" s="260" t="s">
        <v>41</v>
      </c>
      <c r="E67" s="33" t="n">
        <f aca="false">IF(D67="totale",(C67/(A67*24))/F67,IF(D67="marché libre",(C67/(A67*24))/G67,"spécifier histo"))</f>
        <v>0.625</v>
      </c>
      <c r="F67" s="59" t="n">
        <v>1000</v>
      </c>
      <c r="G67" s="59" t="n">
        <f aca="false">F67-H67</f>
        <v>1000</v>
      </c>
      <c r="H67" s="59" t="n">
        <f aca="false">0</f>
        <v>0</v>
      </c>
      <c r="I67" s="9"/>
      <c r="J67" s="205"/>
      <c r="K67" s="1"/>
      <c r="L67" s="0"/>
      <c r="M67" s="1"/>
      <c r="N67" s="1"/>
      <c r="O67" s="1"/>
      <c r="P67" s="1"/>
      <c r="Q67" s="1"/>
      <c r="R67" s="1"/>
      <c r="S67" s="1"/>
      <c r="T67" s="1"/>
    </row>
    <row r="68" customFormat="false" ht="18.95" hidden="false" customHeight="true" outlineLevel="0" collapsed="false">
      <c r="A68" s="0" t="n">
        <v>30</v>
      </c>
      <c r="B68" s="31" t="n">
        <v>27334</v>
      </c>
      <c r="C68" s="56" t="n">
        <v>420000</v>
      </c>
      <c r="D68" s="260" t="s">
        <v>41</v>
      </c>
      <c r="E68" s="33" t="n">
        <f aca="false">IF(D68="totale",(C68/(A68*24))/F68,IF(D68="marché libre",(C68/(A68*24))/G68,"spécifier histo"))</f>
        <v>0.583333333333333</v>
      </c>
      <c r="F68" s="59" t="n">
        <v>1000</v>
      </c>
      <c r="G68" s="59" t="n">
        <f aca="false">F68-H68</f>
        <v>1000</v>
      </c>
      <c r="H68" s="59" t="n">
        <f aca="false">0</f>
        <v>0</v>
      </c>
      <c r="I68" s="9"/>
      <c r="J68" s="205"/>
      <c r="K68" s="1"/>
      <c r="L68" s="0"/>
      <c r="M68" s="1"/>
      <c r="N68" s="1"/>
      <c r="O68" s="1"/>
      <c r="P68" s="1"/>
      <c r="Q68" s="1"/>
      <c r="R68" s="1"/>
      <c r="S68" s="1"/>
      <c r="T68" s="1"/>
    </row>
    <row r="69" customFormat="false" ht="18.95" hidden="false" customHeight="true" outlineLevel="0" collapsed="false">
      <c r="A69" s="0" t="n">
        <v>31</v>
      </c>
      <c r="B69" s="34" t="n">
        <v>27364</v>
      </c>
      <c r="C69" s="56" t="n">
        <v>418000</v>
      </c>
      <c r="D69" s="260" t="s">
        <v>41</v>
      </c>
      <c r="E69" s="33" t="n">
        <f aca="false">IF(D69="totale",(C69/(A69*24))/F69,IF(D69="marché libre",(C69/(A69*24))/G69,"spécifier histo"))</f>
        <v>0.561827956989247</v>
      </c>
      <c r="F69" s="59" t="n">
        <v>1000</v>
      </c>
      <c r="G69" s="59" t="n">
        <f aca="false">F69-H69</f>
        <v>1000</v>
      </c>
      <c r="H69" s="59" t="n">
        <f aca="false">0</f>
        <v>0</v>
      </c>
      <c r="I69" s="9"/>
      <c r="J69" s="205"/>
      <c r="K69" s="1"/>
      <c r="L69" s="0"/>
      <c r="M69" s="1"/>
      <c r="N69" s="1"/>
      <c r="O69" s="1"/>
      <c r="P69" s="1"/>
      <c r="Q69" s="1"/>
      <c r="R69" s="1"/>
      <c r="S69" s="1"/>
      <c r="T69" s="1"/>
    </row>
    <row r="70" customFormat="false" ht="18.95" hidden="false" customHeight="true" outlineLevel="0" collapsed="false">
      <c r="A70" s="0" t="n">
        <v>31</v>
      </c>
      <c r="B70" s="31" t="n">
        <v>27395</v>
      </c>
      <c r="C70" s="56" t="n">
        <v>361000</v>
      </c>
      <c r="D70" s="260" t="s">
        <v>41</v>
      </c>
      <c r="E70" s="33" t="n">
        <f aca="false">IF(D70="totale",(C70/(A70*24))/F70,IF(D70="marché libre",(C70/(A70*24))/G70,"spécifier histo"))</f>
        <v>0.485215053763441</v>
      </c>
      <c r="F70" s="59" t="n">
        <v>1000</v>
      </c>
      <c r="G70" s="59" t="n">
        <f aca="false">F70-H70</f>
        <v>1000</v>
      </c>
      <c r="H70" s="59" t="n">
        <f aca="false">0</f>
        <v>0</v>
      </c>
      <c r="I70" s="9"/>
      <c r="J70" s="0"/>
      <c r="K70" s="1"/>
      <c r="L70" s="0"/>
      <c r="M70" s="1"/>
      <c r="N70" s="1"/>
      <c r="O70" s="1"/>
      <c r="P70" s="1"/>
      <c r="Q70" s="1"/>
      <c r="R70" s="1"/>
      <c r="S70" s="1"/>
      <c r="T70" s="1"/>
    </row>
    <row r="71" customFormat="false" ht="18.95" hidden="false" customHeight="true" outlineLevel="0" collapsed="false">
      <c r="A71" s="0" t="n">
        <v>28</v>
      </c>
      <c r="B71" s="34" t="n">
        <v>27426</v>
      </c>
      <c r="C71" s="56" t="n">
        <v>289000</v>
      </c>
      <c r="D71" s="260" t="s">
        <v>41</v>
      </c>
      <c r="E71" s="33" t="n">
        <f aca="false">IF(D71="totale",(C71/(A71*24))/F71,IF(D71="marché libre",(C71/(A71*24))/G71,"spécifier histo"))</f>
        <v>0.430059523809524</v>
      </c>
      <c r="F71" s="59" t="n">
        <v>1000</v>
      </c>
      <c r="G71" s="59" t="n">
        <f aca="false">F71-H71</f>
        <v>1000</v>
      </c>
      <c r="H71" s="59" t="n">
        <f aca="false">0</f>
        <v>0</v>
      </c>
      <c r="I71" s="9"/>
      <c r="J71" s="0"/>
      <c r="K71" s="1"/>
      <c r="L71" s="0"/>
      <c r="M71" s="1"/>
      <c r="N71" s="1"/>
      <c r="O71" s="1"/>
      <c r="P71" s="1"/>
      <c r="Q71" s="1"/>
      <c r="R71" s="1"/>
      <c r="S71" s="1"/>
      <c r="T71" s="1"/>
    </row>
    <row r="72" customFormat="false" ht="18.95" hidden="false" customHeight="true" outlineLevel="0" collapsed="false">
      <c r="A72" s="0" t="n">
        <v>31</v>
      </c>
      <c r="B72" s="31" t="n">
        <v>27454</v>
      </c>
      <c r="C72" s="56" t="n">
        <v>280000</v>
      </c>
      <c r="D72" s="260" t="s">
        <v>41</v>
      </c>
      <c r="E72" s="33" t="n">
        <f aca="false">IF(D72="totale",(C72/(A72*24))/F72,IF(D72="marché libre",(C72/(A72*24))/G72,"spécifier histo"))</f>
        <v>0.376344086021505</v>
      </c>
      <c r="F72" s="59" t="n">
        <v>1000</v>
      </c>
      <c r="G72" s="59" t="n">
        <f aca="false">F72-H72</f>
        <v>1000</v>
      </c>
      <c r="H72" s="59" t="n">
        <f aca="false">0</f>
        <v>0</v>
      </c>
      <c r="I72" s="9"/>
      <c r="J72" s="0"/>
      <c r="K72" s="1"/>
      <c r="L72" s="0"/>
      <c r="M72" s="1"/>
      <c r="N72" s="1"/>
      <c r="O72" s="1"/>
      <c r="P72" s="1"/>
      <c r="Q72" s="1"/>
      <c r="R72" s="1"/>
      <c r="S72" s="1"/>
      <c r="T72" s="1"/>
    </row>
    <row r="73" customFormat="false" ht="18.95" hidden="false" customHeight="true" outlineLevel="0" collapsed="false">
      <c r="A73" s="0" t="n">
        <v>30</v>
      </c>
      <c r="B73" s="34" t="n">
        <v>27485</v>
      </c>
      <c r="C73" s="56" t="n">
        <v>289000</v>
      </c>
      <c r="D73" s="260" t="s">
        <v>41</v>
      </c>
      <c r="E73" s="33" t="n">
        <f aca="false">IF(D73="totale",(C73/(A73*24))/F73,IF(D73="marché libre",(C73/(A73*24))/G73,"spécifier histo"))</f>
        <v>0.401388888888889</v>
      </c>
      <c r="F73" s="59" t="n">
        <v>1000</v>
      </c>
      <c r="G73" s="59" t="n">
        <f aca="false">F73-H73</f>
        <v>1000</v>
      </c>
      <c r="H73" s="59" t="n">
        <f aca="false">0</f>
        <v>0</v>
      </c>
      <c r="I73" s="9"/>
      <c r="J73" s="0"/>
      <c r="K73" s="1"/>
      <c r="L73" s="1"/>
      <c r="M73" s="1"/>
      <c r="N73" s="1"/>
      <c r="O73" s="1"/>
      <c r="P73" s="1"/>
      <c r="Q73" s="1"/>
      <c r="R73" s="1"/>
      <c r="S73" s="1"/>
      <c r="T73" s="1"/>
    </row>
    <row r="74" customFormat="false" ht="18.95" hidden="false" customHeight="true" outlineLevel="0" collapsed="false">
      <c r="A74" s="0" t="n">
        <v>31</v>
      </c>
      <c r="B74" s="31" t="n">
        <v>27515</v>
      </c>
      <c r="C74" s="56" t="n">
        <v>500000</v>
      </c>
      <c r="D74" s="260" t="s">
        <v>41</v>
      </c>
      <c r="E74" s="33" t="n">
        <f aca="false">IF(D74="totale",(C74/(A74*24))/F74,IF(D74="marché libre",(C74/(A74*24))/G74,"spécifier histo"))</f>
        <v>0.672043010752688</v>
      </c>
      <c r="F74" s="59" t="n">
        <v>1000</v>
      </c>
      <c r="G74" s="59" t="n">
        <f aca="false">F74-H74</f>
        <v>1000</v>
      </c>
      <c r="H74" s="59" t="n">
        <f aca="false">0</f>
        <v>0</v>
      </c>
      <c r="I74" s="9"/>
      <c r="J74" s="0"/>
      <c r="K74" s="1"/>
      <c r="L74" s="1"/>
      <c r="M74" s="1"/>
      <c r="N74" s="1"/>
      <c r="O74" s="1"/>
      <c r="P74" s="1"/>
      <c r="Q74" s="1"/>
      <c r="R74" s="1"/>
      <c r="S74" s="1"/>
      <c r="T74" s="1"/>
    </row>
    <row r="75" customFormat="false" ht="18.95" hidden="false" customHeight="true" outlineLevel="0" collapsed="false">
      <c r="A75" s="0" t="n">
        <v>30</v>
      </c>
      <c r="B75" s="34" t="n">
        <v>27546</v>
      </c>
      <c r="C75" s="56" t="n">
        <v>615000</v>
      </c>
      <c r="D75" s="260" t="s">
        <v>41</v>
      </c>
      <c r="E75" s="33" t="n">
        <f aca="false">IF(D75="totale",(C75/(A75*24))/F75,IF(D75="marché libre",(C75/(A75*24))/G75,"spécifier histo"))</f>
        <v>0.854166666666667</v>
      </c>
      <c r="F75" s="59" t="n">
        <v>1000</v>
      </c>
      <c r="G75" s="59" t="n">
        <f aca="false">F75-H75</f>
        <v>1000</v>
      </c>
      <c r="H75" s="59" t="n">
        <f aca="false">0</f>
        <v>0</v>
      </c>
      <c r="I75" s="9"/>
      <c r="J75" s="0"/>
      <c r="K75" s="1"/>
      <c r="L75" s="1"/>
      <c r="M75" s="1"/>
      <c r="N75" s="1"/>
      <c r="O75" s="1"/>
      <c r="P75" s="1"/>
      <c r="Q75" s="1"/>
      <c r="R75" s="1"/>
      <c r="S75" s="1"/>
      <c r="T75" s="1"/>
    </row>
    <row r="76" customFormat="false" ht="18.95" hidden="false" customHeight="true" outlineLevel="0" collapsed="false">
      <c r="A76" s="0" t="n">
        <v>31</v>
      </c>
      <c r="B76" s="31" t="n">
        <v>27576</v>
      </c>
      <c r="C76" s="56" t="n">
        <v>640000</v>
      </c>
      <c r="D76" s="260" t="s">
        <v>41</v>
      </c>
      <c r="E76" s="33" t="n">
        <f aca="false">IF(D76="totale",(C76/(A76*24))/F76,IF(D76="marché libre",(C76/(A76*24))/G76,"spécifier histo"))</f>
        <v>0.860215053763441</v>
      </c>
      <c r="F76" s="59" t="n">
        <v>1000</v>
      </c>
      <c r="G76" s="59" t="n">
        <f aca="false">F76-H76</f>
        <v>1000</v>
      </c>
      <c r="H76" s="59" t="n">
        <f aca="false">0</f>
        <v>0</v>
      </c>
      <c r="I76" s="9"/>
      <c r="J76" s="0"/>
      <c r="K76" s="1"/>
      <c r="L76" s="1"/>
      <c r="M76" s="1"/>
      <c r="N76" s="1"/>
      <c r="O76" s="1"/>
      <c r="P76" s="1"/>
      <c r="Q76" s="1"/>
      <c r="R76" s="1"/>
      <c r="S76" s="1"/>
      <c r="T76" s="1"/>
    </row>
    <row r="77" customFormat="false" ht="18.95" hidden="false" customHeight="true" outlineLevel="0" collapsed="false">
      <c r="A77" s="0" t="n">
        <v>31</v>
      </c>
      <c r="B77" s="34" t="n">
        <v>27607</v>
      </c>
      <c r="C77" s="56" t="n">
        <v>568000</v>
      </c>
      <c r="D77" s="260" t="s">
        <v>41</v>
      </c>
      <c r="E77" s="33" t="n">
        <f aca="false">IF(D77="totale",(C77/(A77*24))/F77,IF(D77="marché libre",(C77/(A77*24))/G77,"spécifier histo"))</f>
        <v>0.763440860215054</v>
      </c>
      <c r="F77" s="59" t="n">
        <v>1000</v>
      </c>
      <c r="G77" s="59" t="n">
        <f aca="false">F77-H77</f>
        <v>1000</v>
      </c>
      <c r="H77" s="59" t="n">
        <f aca="false">0</f>
        <v>0</v>
      </c>
      <c r="I77" s="9"/>
      <c r="J77" s="0"/>
      <c r="K77" s="1"/>
      <c r="L77" s="1"/>
      <c r="M77" s="1"/>
      <c r="N77" s="1"/>
      <c r="O77" s="1"/>
      <c r="P77" s="1"/>
      <c r="Q77" s="1"/>
      <c r="R77" s="1"/>
      <c r="S77" s="1"/>
      <c r="T77" s="1"/>
    </row>
    <row r="78" customFormat="false" ht="18.95" hidden="false" customHeight="true" outlineLevel="0" collapsed="false">
      <c r="A78" s="0" t="n">
        <v>30</v>
      </c>
      <c r="B78" s="31" t="n">
        <v>27638</v>
      </c>
      <c r="C78" s="56" t="n">
        <v>452000</v>
      </c>
      <c r="D78" s="260" t="s">
        <v>41</v>
      </c>
      <c r="E78" s="33" t="n">
        <f aca="false">IF(D78="totale",(C78/(A78*24))/F78,IF(D78="marché libre",(C78/(A78*24))/G78,"spécifier histo"))</f>
        <v>0.627777777777778</v>
      </c>
      <c r="F78" s="59" t="n">
        <v>1000</v>
      </c>
      <c r="G78" s="59" t="n">
        <f aca="false">F78-H78</f>
        <v>1000</v>
      </c>
      <c r="H78" s="59" t="n">
        <f aca="false">0</f>
        <v>0</v>
      </c>
      <c r="I78" s="9"/>
      <c r="J78" s="0"/>
      <c r="K78" s="1"/>
      <c r="L78" s="1"/>
      <c r="M78" s="1"/>
      <c r="N78" s="1"/>
      <c r="O78" s="1"/>
      <c r="P78" s="1"/>
      <c r="Q78" s="1"/>
      <c r="R78" s="1"/>
      <c r="S78" s="1"/>
      <c r="T78" s="1"/>
    </row>
    <row r="79" customFormat="false" ht="18.95" hidden="false" customHeight="true" outlineLevel="0" collapsed="false">
      <c r="A79" s="0" t="n">
        <v>31</v>
      </c>
      <c r="B79" s="34" t="n">
        <v>27668</v>
      </c>
      <c r="C79" s="56" t="n">
        <v>474000</v>
      </c>
      <c r="D79" s="260" t="s">
        <v>41</v>
      </c>
      <c r="E79" s="33" t="n">
        <f aca="false">IF(D79="totale",(C79/(A79*24))/F79,IF(D79="marché libre",(C79/(A79*24))/G79,"spécifier histo"))</f>
        <v>0.637096774193548</v>
      </c>
      <c r="F79" s="59" t="n">
        <v>1000</v>
      </c>
      <c r="G79" s="59" t="n">
        <f aca="false">F79-H79</f>
        <v>1000</v>
      </c>
      <c r="H79" s="59" t="n">
        <f aca="false">0</f>
        <v>0</v>
      </c>
      <c r="I79" s="9"/>
      <c r="J79" s="0"/>
      <c r="K79" s="1"/>
      <c r="L79" s="1"/>
      <c r="M79" s="1"/>
      <c r="N79" s="1"/>
      <c r="O79" s="1"/>
      <c r="P79" s="1"/>
      <c r="Q79" s="1"/>
      <c r="R79" s="1"/>
      <c r="S79" s="1"/>
      <c r="T79" s="1"/>
    </row>
    <row r="80" customFormat="false" ht="18.95" hidden="false" customHeight="true" outlineLevel="0" collapsed="false">
      <c r="A80" s="0" t="n">
        <v>30</v>
      </c>
      <c r="B80" s="31" t="n">
        <v>27699</v>
      </c>
      <c r="C80" s="56" t="n">
        <v>386000</v>
      </c>
      <c r="D80" s="260" t="s">
        <v>41</v>
      </c>
      <c r="E80" s="33" t="n">
        <f aca="false">IF(D80="totale",(C80/(A80*24))/F80,IF(D80="marché libre",(C80/(A80*24))/G80,"spécifier histo"))</f>
        <v>0.536111111111111</v>
      </c>
      <c r="F80" s="59" t="n">
        <v>1000</v>
      </c>
      <c r="G80" s="59" t="n">
        <f aca="false">F80-H80</f>
        <v>1000</v>
      </c>
      <c r="H80" s="59" t="n">
        <f aca="false">0</f>
        <v>0</v>
      </c>
      <c r="I80" s="9"/>
      <c r="J80" s="0"/>
      <c r="K80" s="1"/>
      <c r="L80" s="1"/>
      <c r="M80" s="1"/>
      <c r="N80" s="1"/>
      <c r="O80" s="1"/>
      <c r="P80" s="1"/>
      <c r="Q80" s="1"/>
      <c r="R80" s="1"/>
      <c r="S80" s="1"/>
      <c r="T80" s="1"/>
    </row>
    <row r="81" customFormat="false" ht="18.95" hidden="false" customHeight="true" outlineLevel="0" collapsed="false">
      <c r="A81" s="0" t="n">
        <v>31</v>
      </c>
      <c r="B81" s="34" t="n">
        <v>27729</v>
      </c>
      <c r="C81" s="56" t="n">
        <v>347000</v>
      </c>
      <c r="D81" s="260" t="s">
        <v>41</v>
      </c>
      <c r="E81" s="33" t="n">
        <f aca="false">IF(D81="totale",(C81/(A81*24))/F81,IF(D81="marché libre",(C81/(A81*24))/G81,"spécifier histo"))</f>
        <v>0.466397849462366</v>
      </c>
      <c r="F81" s="59" t="n">
        <v>1000</v>
      </c>
      <c r="G81" s="59" t="n">
        <f aca="false">F81-H81</f>
        <v>1000</v>
      </c>
      <c r="H81" s="59" t="n">
        <f aca="false">0</f>
        <v>0</v>
      </c>
      <c r="I81" s="9"/>
      <c r="J81" s="0"/>
      <c r="K81" s="1"/>
      <c r="L81" s="1"/>
      <c r="M81" s="1"/>
      <c r="N81" s="1"/>
      <c r="O81" s="1"/>
      <c r="P81" s="1"/>
      <c r="Q81" s="1"/>
      <c r="R81" s="1"/>
      <c r="S81" s="1"/>
      <c r="T81" s="1"/>
    </row>
    <row r="82" customFormat="false" ht="18.95" hidden="false" customHeight="true" outlineLevel="0" collapsed="false">
      <c r="A82" s="0" t="n">
        <v>31</v>
      </c>
      <c r="B82" s="31" t="n">
        <v>27760</v>
      </c>
      <c r="C82" s="56" t="n">
        <v>302000</v>
      </c>
      <c r="D82" s="260" t="s">
        <v>41</v>
      </c>
      <c r="E82" s="33" t="n">
        <f aca="false">IF(D82="totale",(C82/(A82*24))/F82,IF(D82="marché libre",(C82/(A82*24))/G82,"spécifier histo"))</f>
        <v>0.405913978494624</v>
      </c>
      <c r="F82" s="59" t="n">
        <v>1000</v>
      </c>
      <c r="G82" s="59" t="n">
        <f aca="false">F82-H82</f>
        <v>1000</v>
      </c>
      <c r="H82" s="59" t="n">
        <f aca="false">0</f>
        <v>0</v>
      </c>
      <c r="I82" s="9"/>
      <c r="J82" s="38"/>
      <c r="K82" s="1"/>
      <c r="L82" s="1"/>
      <c r="M82" s="1"/>
      <c r="N82" s="1"/>
      <c r="O82" s="1"/>
      <c r="P82" s="1"/>
      <c r="Q82" s="1"/>
      <c r="R82" s="1"/>
      <c r="S82" s="1"/>
      <c r="T82" s="1"/>
    </row>
    <row r="83" s="1" customFormat="true" ht="18.95" hidden="false" customHeight="true" outlineLevel="0" collapsed="false">
      <c r="A83" s="0" t="n">
        <v>28</v>
      </c>
      <c r="B83" s="34" t="n">
        <v>27791</v>
      </c>
      <c r="C83" s="56" t="n">
        <v>253000</v>
      </c>
      <c r="D83" s="260" t="s">
        <v>41</v>
      </c>
      <c r="E83" s="33" t="n">
        <f aca="false">IF(D83="totale",(C83/(A83*24))/F83,IF(D83="marché libre",(C83/(A83*24))/G83,"spécifier histo"))</f>
        <v>0.376488095238095</v>
      </c>
      <c r="F83" s="59" t="n">
        <v>1000</v>
      </c>
      <c r="G83" s="59" t="n">
        <f aca="false">F83-H83</f>
        <v>1000</v>
      </c>
      <c r="H83" s="59" t="n">
        <f aca="false">0</f>
        <v>0</v>
      </c>
      <c r="I83" s="9"/>
      <c r="AMA83" s="0"/>
      <c r="AMB83" s="0"/>
      <c r="AMC83" s="0"/>
      <c r="AMD83" s="0"/>
      <c r="AME83" s="0"/>
      <c r="AMF83" s="0"/>
      <c r="AMG83" s="0"/>
      <c r="AMH83" s="0"/>
      <c r="AMI83" s="0"/>
      <c r="AMJ83" s="0"/>
    </row>
    <row r="84" s="1" customFormat="true" ht="18.95" hidden="false" customHeight="true" outlineLevel="0" collapsed="false">
      <c r="A84" s="0" t="n">
        <v>31</v>
      </c>
      <c r="B84" s="31" t="n">
        <v>27820</v>
      </c>
      <c r="C84" s="56" t="n">
        <v>249000</v>
      </c>
      <c r="D84" s="260" t="s">
        <v>41</v>
      </c>
      <c r="E84" s="33" t="n">
        <f aca="false">IF(D84="totale",(C84/(A84*24))/F84,IF(D84="marché libre",(C84/(A84*24))/G84,"spécifier histo"))</f>
        <v>0.334677419354839</v>
      </c>
      <c r="F84" s="59" t="n">
        <v>1000</v>
      </c>
      <c r="G84" s="59" t="n">
        <f aca="false">F84-H84</f>
        <v>1000</v>
      </c>
      <c r="H84" s="59" t="n">
        <f aca="false">0</f>
        <v>0</v>
      </c>
      <c r="I84" s="9"/>
      <c r="AMA84" s="0"/>
      <c r="AMB84" s="0"/>
      <c r="AMC84" s="0"/>
      <c r="AMD84" s="0"/>
      <c r="AME84" s="0"/>
      <c r="AMF84" s="0"/>
      <c r="AMG84" s="0"/>
      <c r="AMH84" s="0"/>
      <c r="AMI84" s="0"/>
      <c r="AMJ84" s="0"/>
    </row>
    <row r="85" s="1" customFormat="true" ht="18.95" hidden="false" customHeight="true" outlineLevel="0" collapsed="false">
      <c r="A85" s="0" t="n">
        <v>30</v>
      </c>
      <c r="B85" s="34" t="n">
        <v>27851</v>
      </c>
      <c r="C85" s="56" t="n">
        <v>241000</v>
      </c>
      <c r="D85" s="260" t="s">
        <v>41</v>
      </c>
      <c r="E85" s="33" t="n">
        <f aca="false">IF(D85="totale",(C85/(A85*24))/F85,IF(D85="marché libre",(C85/(A85*24))/G85,"spécifier histo"))</f>
        <v>0.334722222222222</v>
      </c>
      <c r="F85" s="59" t="n">
        <v>1000</v>
      </c>
      <c r="G85" s="59" t="n">
        <f aca="false">F85-H85</f>
        <v>1000</v>
      </c>
      <c r="H85" s="59" t="n">
        <f aca="false">0</f>
        <v>0</v>
      </c>
      <c r="I85" s="9"/>
      <c r="AMA85" s="0"/>
      <c r="AMB85" s="0"/>
      <c r="AMC85" s="0"/>
      <c r="AMD85" s="0"/>
      <c r="AME85" s="0"/>
      <c r="AMF85" s="0"/>
      <c r="AMG85" s="0"/>
      <c r="AMH85" s="0"/>
      <c r="AMI85" s="0"/>
      <c r="AMJ85" s="0"/>
    </row>
    <row r="86" s="1" customFormat="true" ht="18.95" hidden="false" customHeight="true" outlineLevel="0" collapsed="false">
      <c r="A86" s="0" t="n">
        <v>31</v>
      </c>
      <c r="B86" s="31" t="n">
        <v>27881</v>
      </c>
      <c r="C86" s="56" t="n">
        <v>259000</v>
      </c>
      <c r="D86" s="260" t="s">
        <v>41</v>
      </c>
      <c r="E86" s="33" t="n">
        <f aca="false">IF(D86="totale",(C86/(A86*24))/F86,IF(D86="marché libre",(C86/(A86*24))/G86,"spécifier histo"))</f>
        <v>0.348118279569892</v>
      </c>
      <c r="F86" s="59" t="n">
        <v>1000</v>
      </c>
      <c r="G86" s="59" t="n">
        <f aca="false">F86-H86</f>
        <v>1000</v>
      </c>
      <c r="H86" s="59" t="n">
        <f aca="false">0</f>
        <v>0</v>
      </c>
      <c r="I86" s="9"/>
      <c r="AMA86" s="0"/>
      <c r="AMB86" s="0"/>
      <c r="AMC86" s="0"/>
      <c r="AMD86" s="0"/>
      <c r="AME86" s="0"/>
      <c r="AMF86" s="0"/>
      <c r="AMG86" s="0"/>
      <c r="AMH86" s="0"/>
      <c r="AMI86" s="0"/>
      <c r="AMJ86" s="0"/>
    </row>
    <row r="87" s="1" customFormat="true" ht="18.95" hidden="false" customHeight="true" outlineLevel="0" collapsed="false">
      <c r="A87" s="0" t="n">
        <v>30</v>
      </c>
      <c r="B87" s="34" t="n">
        <v>27912</v>
      </c>
      <c r="C87" s="56" t="n">
        <v>298000</v>
      </c>
      <c r="D87" s="260" t="s">
        <v>41</v>
      </c>
      <c r="E87" s="33" t="n">
        <f aca="false">IF(D87="totale",(C87/(A87*24))/F87,IF(D87="marché libre",(C87/(A87*24))/G87,"spécifier histo"))</f>
        <v>0.413888888888889</v>
      </c>
      <c r="F87" s="59" t="n">
        <v>1000</v>
      </c>
      <c r="G87" s="59" t="n">
        <f aca="false">F87-H87</f>
        <v>1000</v>
      </c>
      <c r="H87" s="59" t="n">
        <f aca="false">0</f>
        <v>0</v>
      </c>
      <c r="I87" s="9"/>
      <c r="AMA87" s="0"/>
      <c r="AMB87" s="0"/>
      <c r="AMC87" s="0"/>
      <c r="AMD87" s="0"/>
      <c r="AME87" s="0"/>
      <c r="AMF87" s="0"/>
      <c r="AMG87" s="0"/>
      <c r="AMH87" s="0"/>
      <c r="AMI87" s="0"/>
      <c r="AMJ87" s="0"/>
    </row>
    <row r="88" s="1" customFormat="true" ht="18.95" hidden="false" customHeight="true" outlineLevel="0" collapsed="false">
      <c r="A88" s="0" t="n">
        <v>31</v>
      </c>
      <c r="B88" s="31" t="n">
        <v>27942</v>
      </c>
      <c r="C88" s="56" t="n">
        <v>335000</v>
      </c>
      <c r="D88" s="260" t="s">
        <v>41</v>
      </c>
      <c r="E88" s="33" t="n">
        <f aca="false">IF(D88="totale",(C88/(A88*24))/F88,IF(D88="marché libre",(C88/(A88*24))/G88,"spécifier histo"))</f>
        <v>0.450268817204301</v>
      </c>
      <c r="F88" s="59" t="n">
        <v>1000</v>
      </c>
      <c r="G88" s="59" t="n">
        <f aca="false">F88-H88</f>
        <v>1000</v>
      </c>
      <c r="H88" s="59" t="n">
        <f aca="false">0</f>
        <v>0</v>
      </c>
      <c r="I88" s="9"/>
      <c r="AMA88" s="0"/>
      <c r="AMB88" s="0"/>
      <c r="AMC88" s="0"/>
      <c r="AMD88" s="0"/>
      <c r="AME88" s="0"/>
      <c r="AMF88" s="0"/>
      <c r="AMG88" s="0"/>
      <c r="AMH88" s="0"/>
      <c r="AMI88" s="0"/>
      <c r="AMJ88" s="0"/>
    </row>
    <row r="89" s="1" customFormat="true" ht="18.95" hidden="false" customHeight="true" outlineLevel="0" collapsed="false">
      <c r="A89" s="0" t="n">
        <v>31</v>
      </c>
      <c r="B89" s="34" t="n">
        <v>27973</v>
      </c>
      <c r="C89" s="56" t="n">
        <v>345000</v>
      </c>
      <c r="D89" s="260" t="s">
        <v>41</v>
      </c>
      <c r="E89" s="33" t="n">
        <f aca="false">IF(D89="totale",(C89/(A89*24))/F89,IF(D89="marché libre",(C89/(A89*24))/G89,"spécifier histo"))</f>
        <v>0.463709677419355</v>
      </c>
      <c r="F89" s="59" t="n">
        <v>1000</v>
      </c>
      <c r="G89" s="59" t="n">
        <f aca="false">F89-H89</f>
        <v>1000</v>
      </c>
      <c r="H89" s="59" t="n">
        <f aca="false">0</f>
        <v>0</v>
      </c>
      <c r="I89" s="9"/>
      <c r="AMA89" s="0"/>
      <c r="AMB89" s="0"/>
      <c r="AMC89" s="0"/>
      <c r="AMD89" s="0"/>
      <c r="AME89" s="0"/>
      <c r="AMF89" s="0"/>
      <c r="AMG89" s="0"/>
      <c r="AMH89" s="0"/>
      <c r="AMI89" s="0"/>
      <c r="AMJ89" s="0"/>
    </row>
    <row r="90" s="1" customFormat="true" ht="18.95" hidden="false" customHeight="true" outlineLevel="0" collapsed="false">
      <c r="A90" s="0" t="n">
        <v>30</v>
      </c>
      <c r="B90" s="31" t="n">
        <v>28004</v>
      </c>
      <c r="C90" s="56" t="n">
        <v>347000</v>
      </c>
      <c r="D90" s="260" t="s">
        <v>41</v>
      </c>
      <c r="E90" s="33" t="n">
        <f aca="false">IF(D90="totale",(C90/(A90*24))/F90,IF(D90="marché libre",(C90/(A90*24))/G90,"spécifier histo"))</f>
        <v>0.481944444444444</v>
      </c>
      <c r="F90" s="59" t="n">
        <v>1000</v>
      </c>
      <c r="G90" s="59" t="n">
        <f aca="false">F90-H90</f>
        <v>1000</v>
      </c>
      <c r="H90" s="59" t="n">
        <f aca="false">0</f>
        <v>0</v>
      </c>
      <c r="I90" s="9"/>
      <c r="AMA90" s="0"/>
      <c r="AMB90" s="0"/>
      <c r="AMC90" s="0"/>
      <c r="AMD90" s="0"/>
      <c r="AME90" s="0"/>
      <c r="AMF90" s="0"/>
      <c r="AMG90" s="0"/>
      <c r="AMH90" s="0"/>
      <c r="AMI90" s="0"/>
      <c r="AMJ90" s="0"/>
    </row>
    <row r="91" s="1" customFormat="true" ht="18.95" hidden="false" customHeight="true" outlineLevel="0" collapsed="false">
      <c r="A91" s="0" t="n">
        <v>31</v>
      </c>
      <c r="B91" s="34" t="n">
        <v>28034</v>
      </c>
      <c r="C91" s="56" t="n">
        <v>360000</v>
      </c>
      <c r="D91" s="260" t="s">
        <v>41</v>
      </c>
      <c r="E91" s="33" t="n">
        <f aca="false">IF(D91="totale",(C91/(A91*24))/F91,IF(D91="marché libre",(C91/(A91*24))/G91,"spécifier histo"))</f>
        <v>0.483870967741936</v>
      </c>
      <c r="F91" s="59" t="n">
        <v>1000</v>
      </c>
      <c r="G91" s="59" t="n">
        <f aca="false">F91-H91</f>
        <v>1000</v>
      </c>
      <c r="H91" s="59" t="n">
        <f aca="false">0</f>
        <v>0</v>
      </c>
      <c r="I91" s="9"/>
      <c r="AMA91" s="0"/>
      <c r="AMB91" s="0"/>
      <c r="AMC91" s="0"/>
      <c r="AMD91" s="0"/>
      <c r="AME91" s="0"/>
      <c r="AMF91" s="0"/>
      <c r="AMG91" s="0"/>
      <c r="AMH91" s="0"/>
      <c r="AMI91" s="0"/>
      <c r="AMJ91" s="0"/>
    </row>
    <row r="92" s="1" customFormat="true" ht="18.95" hidden="false" customHeight="true" outlineLevel="0" collapsed="false">
      <c r="A92" s="0" t="n">
        <v>30</v>
      </c>
      <c r="B92" s="31" t="n">
        <v>28065</v>
      </c>
      <c r="C92" s="56" t="n">
        <v>349000</v>
      </c>
      <c r="D92" s="260" t="s">
        <v>41</v>
      </c>
      <c r="E92" s="33" t="n">
        <f aca="false">IF(D92="totale",(C92/(A92*24))/F92,IF(D92="marché libre",(C92/(A92*24))/G92,"spécifier histo"))</f>
        <v>0.484722222222222</v>
      </c>
      <c r="F92" s="59" t="n">
        <v>1000</v>
      </c>
      <c r="G92" s="59" t="n">
        <f aca="false">F92-H92</f>
        <v>1000</v>
      </c>
      <c r="H92" s="59" t="n">
        <f aca="false">0</f>
        <v>0</v>
      </c>
      <c r="I92" s="9"/>
      <c r="AMA92" s="0"/>
      <c r="AMB92" s="0"/>
      <c r="AMC92" s="0"/>
      <c r="AMD92" s="0"/>
      <c r="AME92" s="0"/>
      <c r="AMF92" s="0"/>
      <c r="AMG92" s="0"/>
      <c r="AMH92" s="0"/>
      <c r="AMI92" s="0"/>
      <c r="AMJ92" s="0"/>
    </row>
    <row r="93" s="1" customFormat="true" ht="18.95" hidden="false" customHeight="true" outlineLevel="0" collapsed="false">
      <c r="A93" s="0" t="n">
        <v>31</v>
      </c>
      <c r="B93" s="34" t="n">
        <v>28095</v>
      </c>
      <c r="C93" s="56" t="n">
        <v>371000</v>
      </c>
      <c r="D93" s="260" t="s">
        <v>41</v>
      </c>
      <c r="E93" s="33" t="n">
        <f aca="false">IF(D93="totale",(C93/(A93*24))/F93,IF(D93="marché libre",(C93/(A93*24))/G93,"spécifier histo"))</f>
        <v>0.498655913978495</v>
      </c>
      <c r="F93" s="59" t="n">
        <v>1000</v>
      </c>
      <c r="G93" s="59" t="n">
        <f aca="false">F93-H93</f>
        <v>1000</v>
      </c>
      <c r="H93" s="59" t="n">
        <f aca="false">0</f>
        <v>0</v>
      </c>
      <c r="I93" s="9"/>
      <c r="AMA93" s="0"/>
      <c r="AMB93" s="0"/>
      <c r="AMC93" s="0"/>
      <c r="AMD93" s="0"/>
      <c r="AME93" s="0"/>
      <c r="AMF93" s="0"/>
      <c r="AMG93" s="0"/>
      <c r="AMH93" s="0"/>
      <c r="AMI93" s="0"/>
      <c r="AMJ93" s="0"/>
    </row>
    <row r="94" s="1" customFormat="true" ht="18.95" hidden="false" customHeight="true" outlineLevel="0" collapsed="false">
      <c r="A94" s="0" t="n">
        <v>31</v>
      </c>
      <c r="B94" s="31" t="n">
        <v>28126</v>
      </c>
      <c r="C94" s="56" t="n">
        <v>336000</v>
      </c>
      <c r="D94" s="260" t="s">
        <v>41</v>
      </c>
      <c r="E94" s="33" t="n">
        <f aca="false">IF(D94="totale",(C94/(A94*24))/F94,IF(D94="marché libre",(C94/(A94*24))/G94,"spécifier histo"))</f>
        <v>0.451612903225806</v>
      </c>
      <c r="F94" s="59" t="n">
        <v>1000</v>
      </c>
      <c r="G94" s="59" t="n">
        <f aca="false">F94-H94</f>
        <v>1000</v>
      </c>
      <c r="H94" s="59" t="n">
        <f aca="false">0</f>
        <v>0</v>
      </c>
      <c r="I94" s="9"/>
      <c r="AMA94" s="0"/>
      <c r="AMB94" s="0"/>
      <c r="AMC94" s="0"/>
      <c r="AMD94" s="0"/>
      <c r="AME94" s="0"/>
      <c r="AMF94" s="0"/>
      <c r="AMG94" s="0"/>
      <c r="AMH94" s="0"/>
      <c r="AMI94" s="0"/>
      <c r="AMJ94" s="0"/>
    </row>
    <row r="95" customFormat="false" ht="18.95" hidden="false" customHeight="true" outlineLevel="0" collapsed="false">
      <c r="A95" s="0" t="n">
        <v>28</v>
      </c>
      <c r="B95" s="34" t="n">
        <v>28157</v>
      </c>
      <c r="C95" s="56" t="n">
        <v>385000</v>
      </c>
      <c r="D95" s="260" t="s">
        <v>41</v>
      </c>
      <c r="E95" s="33" t="n">
        <f aca="false">IF(D95="totale",(C95/(A95*24))/F95,IF(D95="marché libre",(C95/(A95*24))/G95,"spécifier histo"))</f>
        <v>0.572916666666667</v>
      </c>
      <c r="F95" s="59" t="n">
        <v>1000</v>
      </c>
      <c r="G95" s="59" t="n">
        <f aca="false">F95-H95</f>
        <v>1000</v>
      </c>
      <c r="H95" s="59" t="n">
        <f aca="false">0</f>
        <v>0</v>
      </c>
      <c r="I95" s="9"/>
      <c r="J95" s="205"/>
      <c r="K95" s="1"/>
      <c r="L95" s="1"/>
      <c r="M95" s="1"/>
      <c r="N95" s="1"/>
      <c r="O95" s="1"/>
      <c r="P95" s="1"/>
      <c r="Q95" s="1"/>
      <c r="R95" s="1"/>
      <c r="S95" s="1"/>
      <c r="T95" s="1"/>
    </row>
    <row r="96" customFormat="false" ht="18.95" hidden="false" customHeight="true" outlineLevel="0" collapsed="false">
      <c r="A96" s="0" t="n">
        <v>31</v>
      </c>
      <c r="B96" s="31" t="n">
        <v>28185</v>
      </c>
      <c r="C96" s="56" t="n">
        <v>388000</v>
      </c>
      <c r="D96" s="260" t="s">
        <v>41</v>
      </c>
      <c r="E96" s="33" t="n">
        <f aca="false">IF(D96="totale",(C96/(A96*24))/F96,IF(D96="marché libre",(C96/(A96*24))/G96,"spécifier histo"))</f>
        <v>0.521505376344086</v>
      </c>
      <c r="F96" s="59" t="n">
        <v>1000</v>
      </c>
      <c r="G96" s="59" t="n">
        <f aca="false">F96-H96</f>
        <v>1000</v>
      </c>
      <c r="H96" s="59" t="n">
        <f aca="false">0</f>
        <v>0</v>
      </c>
      <c r="I96" s="9"/>
      <c r="J96" s="205"/>
      <c r="K96" s="1"/>
      <c r="L96" s="1"/>
      <c r="M96" s="1"/>
      <c r="N96" s="1"/>
      <c r="O96" s="1"/>
      <c r="P96" s="1"/>
      <c r="Q96" s="1"/>
      <c r="R96" s="1"/>
      <c r="S96" s="1"/>
      <c r="T96" s="1"/>
    </row>
    <row r="97" customFormat="false" ht="18.95" hidden="false" customHeight="true" outlineLevel="0" collapsed="false">
      <c r="A97" s="0" t="n">
        <v>30</v>
      </c>
      <c r="B97" s="34" t="n">
        <v>28216</v>
      </c>
      <c r="C97" s="56" t="n">
        <v>367000</v>
      </c>
      <c r="D97" s="260" t="s">
        <v>41</v>
      </c>
      <c r="E97" s="33" t="n">
        <f aca="false">IF(D97="totale",(C97/(A97*24))/F97,IF(D97="marché libre",(C97/(A97*24))/G97,"spécifier histo"))</f>
        <v>0.509722222222222</v>
      </c>
      <c r="F97" s="59" t="n">
        <v>1000</v>
      </c>
      <c r="G97" s="59" t="n">
        <f aca="false">F97-H97</f>
        <v>1000</v>
      </c>
      <c r="H97" s="59" t="n">
        <f aca="false">0</f>
        <v>0</v>
      </c>
      <c r="I97" s="9"/>
      <c r="J97" s="205"/>
      <c r="K97" s="1"/>
      <c r="L97" s="1"/>
      <c r="M97" s="1"/>
      <c r="N97" s="1"/>
      <c r="O97" s="1"/>
      <c r="P97" s="1"/>
      <c r="Q97" s="1"/>
      <c r="R97" s="1"/>
      <c r="S97" s="1"/>
      <c r="T97" s="1"/>
    </row>
    <row r="98" customFormat="false" ht="18.95" hidden="false" customHeight="true" outlineLevel="0" collapsed="false">
      <c r="A98" s="0" t="n">
        <v>31</v>
      </c>
      <c r="B98" s="31" t="n">
        <v>28246</v>
      </c>
      <c r="C98" s="56" t="n">
        <v>545000</v>
      </c>
      <c r="D98" s="260" t="s">
        <v>41</v>
      </c>
      <c r="E98" s="33" t="n">
        <f aca="false">IF(D98="totale",(C98/(A98*24))/F98,IF(D98="marché libre",(C98/(A98*24))/G98,"spécifier histo"))</f>
        <v>0.73252688172043</v>
      </c>
      <c r="F98" s="59" t="n">
        <v>1000</v>
      </c>
      <c r="G98" s="59" t="n">
        <f aca="false">F98-H98</f>
        <v>1000</v>
      </c>
      <c r="H98" s="59" t="n">
        <f aca="false">0</f>
        <v>0</v>
      </c>
      <c r="I98" s="9"/>
      <c r="J98" s="205"/>
      <c r="K98" s="1"/>
      <c r="L98" s="1"/>
      <c r="M98" s="1"/>
      <c r="N98" s="1"/>
      <c r="O98" s="1"/>
      <c r="P98" s="1"/>
      <c r="Q98" s="1"/>
      <c r="R98" s="1"/>
      <c r="S98" s="1"/>
      <c r="T98" s="1"/>
    </row>
    <row r="99" customFormat="false" ht="18.95" hidden="false" customHeight="true" outlineLevel="0" collapsed="false">
      <c r="A99" s="0" t="n">
        <v>30</v>
      </c>
      <c r="B99" s="34" t="n">
        <v>28277</v>
      </c>
      <c r="C99" s="56" t="n">
        <v>394000</v>
      </c>
      <c r="D99" s="260" t="s">
        <v>41</v>
      </c>
      <c r="E99" s="33" t="n">
        <f aca="false">IF(D99="totale",(C99/(A99*24))/F99,IF(D99="marché libre",(C99/(A99*24))/G99,"spécifier histo"))</f>
        <v>0.547222222222222</v>
      </c>
      <c r="F99" s="59" t="n">
        <v>1000</v>
      </c>
      <c r="G99" s="59" t="n">
        <f aca="false">F99-H99</f>
        <v>1000</v>
      </c>
      <c r="H99" s="59" t="n">
        <f aca="false">0</f>
        <v>0</v>
      </c>
      <c r="I99" s="9"/>
      <c r="J99" s="205"/>
      <c r="K99" s="1"/>
      <c r="L99" s="1"/>
      <c r="M99" s="1"/>
      <c r="N99" s="1"/>
      <c r="O99" s="1"/>
      <c r="P99" s="1"/>
      <c r="Q99" s="1"/>
      <c r="R99" s="1"/>
      <c r="S99" s="1"/>
      <c r="T99" s="1"/>
    </row>
    <row r="100" customFormat="false" ht="18.95" hidden="false" customHeight="true" outlineLevel="0" collapsed="false">
      <c r="A100" s="0" t="n">
        <v>31</v>
      </c>
      <c r="B100" s="31" t="n">
        <v>28307</v>
      </c>
      <c r="C100" s="56" t="n">
        <v>673000</v>
      </c>
      <c r="D100" s="260" t="s">
        <v>41</v>
      </c>
      <c r="E100" s="33" t="n">
        <f aca="false">IF(D100="totale",(C100/(A100*24))/F100,IF(D100="marché libre",(C100/(A100*24))/G100,"spécifier histo"))</f>
        <v>0.904569892473118</v>
      </c>
      <c r="F100" s="59" t="n">
        <v>1000</v>
      </c>
      <c r="G100" s="59" t="n">
        <f aca="false">F100-H100</f>
        <v>1000</v>
      </c>
      <c r="H100" s="59" t="n">
        <f aca="false">0</f>
        <v>0</v>
      </c>
      <c r="I100" s="9"/>
      <c r="J100" s="205"/>
      <c r="K100" s="1"/>
      <c r="L100" s="1"/>
      <c r="M100" s="1"/>
      <c r="N100" s="1"/>
      <c r="O100" s="1"/>
      <c r="P100" s="1"/>
      <c r="Q100" s="1"/>
      <c r="R100" s="1"/>
      <c r="S100" s="1"/>
      <c r="T100" s="1"/>
    </row>
    <row r="101" customFormat="false" ht="18.95" hidden="false" customHeight="true" outlineLevel="0" collapsed="false">
      <c r="A101" s="0" t="n">
        <v>31</v>
      </c>
      <c r="B101" s="34" t="n">
        <v>28338</v>
      </c>
      <c r="C101" s="56" t="n">
        <v>608000</v>
      </c>
      <c r="D101" s="260" t="s">
        <v>41</v>
      </c>
      <c r="E101" s="33" t="n">
        <f aca="false">IF(D101="totale",(C101/(A101*24))/F101,IF(D101="marché libre",(C101/(A101*24))/G101,"spécifier histo"))</f>
        <v>0.817204301075269</v>
      </c>
      <c r="F101" s="59" t="n">
        <v>1000</v>
      </c>
      <c r="G101" s="59" t="n">
        <f aca="false">F101-H101</f>
        <v>1000</v>
      </c>
      <c r="H101" s="59" t="n">
        <f aca="false">0</f>
        <v>0</v>
      </c>
      <c r="I101" s="9"/>
      <c r="J101" s="205"/>
      <c r="K101" s="1"/>
      <c r="L101" s="1"/>
      <c r="M101" s="1"/>
      <c r="N101" s="1"/>
      <c r="O101" s="1"/>
      <c r="P101" s="1"/>
      <c r="Q101" s="1"/>
      <c r="R101" s="1"/>
      <c r="S101" s="1"/>
      <c r="T101" s="1"/>
    </row>
    <row r="102" customFormat="false" ht="18.95" hidden="false" customHeight="true" outlineLevel="0" collapsed="false">
      <c r="A102" s="0" t="n">
        <v>30</v>
      </c>
      <c r="B102" s="31" t="n">
        <v>28369</v>
      </c>
      <c r="C102" s="56" t="n">
        <v>464000</v>
      </c>
      <c r="D102" s="260" t="s">
        <v>41</v>
      </c>
      <c r="E102" s="33" t="n">
        <f aca="false">IF(D102="totale",(C102/(A102*24))/F102,IF(D102="marché libre",(C102/(A102*24))/G102,"spécifier histo"))</f>
        <v>0.644444444444444</v>
      </c>
      <c r="F102" s="59" t="n">
        <v>1000</v>
      </c>
      <c r="G102" s="59" t="n">
        <f aca="false">F102-H102</f>
        <v>1000</v>
      </c>
      <c r="H102" s="59" t="n">
        <f aca="false">0</f>
        <v>0</v>
      </c>
      <c r="I102" s="9"/>
      <c r="J102" s="205"/>
      <c r="K102" s="1"/>
      <c r="L102" s="1"/>
      <c r="M102" s="1"/>
      <c r="N102" s="1"/>
      <c r="O102" s="1"/>
      <c r="P102" s="1"/>
      <c r="Q102" s="1"/>
      <c r="R102" s="1"/>
      <c r="S102" s="1"/>
      <c r="T102" s="1"/>
    </row>
    <row r="103" customFormat="false" ht="18.95" hidden="false" customHeight="true" outlineLevel="0" collapsed="false">
      <c r="A103" s="0" t="n">
        <v>31</v>
      </c>
      <c r="B103" s="34" t="n">
        <v>28399</v>
      </c>
      <c r="C103" s="56" t="n">
        <v>409000</v>
      </c>
      <c r="D103" s="260" t="s">
        <v>41</v>
      </c>
      <c r="E103" s="33" t="n">
        <f aca="false">IF(D103="totale",(C103/(A103*24))/F103,IF(D103="marché libre",(C103/(A103*24))/G103,"spécifier histo"))</f>
        <v>0.549731182795699</v>
      </c>
      <c r="F103" s="59" t="n">
        <v>1000</v>
      </c>
      <c r="G103" s="59" t="n">
        <f aca="false">F103-H103</f>
        <v>1000</v>
      </c>
      <c r="H103" s="59" t="n">
        <f aca="false">0</f>
        <v>0</v>
      </c>
      <c r="I103" s="9"/>
      <c r="J103" s="205"/>
      <c r="K103" s="1"/>
      <c r="L103" s="1"/>
      <c r="M103" s="1"/>
      <c r="N103" s="1"/>
      <c r="O103" s="1"/>
      <c r="P103" s="1"/>
      <c r="Q103" s="1"/>
      <c r="R103" s="1"/>
      <c r="S103" s="1"/>
      <c r="T103" s="1"/>
    </row>
    <row r="104" customFormat="false" ht="18.95" hidden="false" customHeight="true" outlineLevel="0" collapsed="false">
      <c r="A104" s="0" t="n">
        <v>30</v>
      </c>
      <c r="B104" s="31" t="n">
        <v>28430</v>
      </c>
      <c r="C104" s="56" t="n">
        <v>398000</v>
      </c>
      <c r="D104" s="260" t="s">
        <v>41</v>
      </c>
      <c r="E104" s="33" t="n">
        <f aca="false">IF(D104="totale",(C104/(A104*24))/F104,IF(D104="marché libre",(C104/(A104*24))/G104,"spécifier histo"))</f>
        <v>0.552777777777778</v>
      </c>
      <c r="F104" s="59" t="n">
        <v>1000</v>
      </c>
      <c r="G104" s="59" t="n">
        <f aca="false">F104-H104</f>
        <v>1000</v>
      </c>
      <c r="H104" s="59" t="n">
        <f aca="false">0</f>
        <v>0</v>
      </c>
      <c r="I104" s="9"/>
      <c r="J104" s="205"/>
      <c r="K104" s="1"/>
      <c r="L104" s="1"/>
      <c r="M104" s="1"/>
      <c r="N104" s="1"/>
      <c r="O104" s="1"/>
      <c r="P104" s="1"/>
      <c r="Q104" s="1"/>
      <c r="R104" s="1"/>
      <c r="S104" s="1"/>
      <c r="T104" s="1"/>
    </row>
    <row r="105" customFormat="false" ht="18.95" hidden="false" customHeight="true" outlineLevel="0" collapsed="false">
      <c r="A105" s="0" t="n">
        <v>31</v>
      </c>
      <c r="B105" s="34" t="n">
        <v>28460</v>
      </c>
      <c r="C105" s="56" t="n">
        <v>404000</v>
      </c>
      <c r="D105" s="260" t="s">
        <v>41</v>
      </c>
      <c r="E105" s="33" t="n">
        <f aca="false">IF(D105="totale",(C105/(A105*24))/F105,IF(D105="marché libre",(C105/(A105*24))/G105,"spécifier histo"))</f>
        <v>0.543010752688172</v>
      </c>
      <c r="F105" s="59" t="n">
        <v>1000</v>
      </c>
      <c r="G105" s="59" t="n">
        <f aca="false">F105-H105</f>
        <v>1000</v>
      </c>
      <c r="H105" s="59" t="n">
        <f aca="false">0</f>
        <v>0</v>
      </c>
      <c r="I105" s="9"/>
      <c r="J105" s="205"/>
      <c r="K105" s="1"/>
      <c r="L105" s="1"/>
      <c r="M105" s="1"/>
      <c r="N105" s="1"/>
      <c r="O105" s="1"/>
      <c r="P105" s="1"/>
      <c r="Q105" s="1"/>
      <c r="R105" s="1"/>
      <c r="S105" s="1"/>
      <c r="T105" s="1"/>
    </row>
    <row r="106" customFormat="false" ht="18.95" hidden="false" customHeight="true" outlineLevel="0" collapsed="false">
      <c r="A106" s="0" t="n">
        <v>31</v>
      </c>
      <c r="B106" s="31" t="n">
        <v>28491</v>
      </c>
      <c r="C106" s="56" t="n">
        <v>385000</v>
      </c>
      <c r="D106" s="260" t="s">
        <v>41</v>
      </c>
      <c r="E106" s="33" t="n">
        <f aca="false">IF(D106="totale",(C106/(A106*24))/F106,IF(D106="marché libre",(C106/(A106*24))/G106,"spécifier histo"))</f>
        <v>0.51747311827957</v>
      </c>
      <c r="F106" s="59" t="n">
        <v>1000</v>
      </c>
      <c r="G106" s="59" t="n">
        <f aca="false">F106-H106</f>
        <v>1000</v>
      </c>
      <c r="H106" s="59" t="n">
        <f aca="false">0</f>
        <v>0</v>
      </c>
      <c r="I106" s="9"/>
      <c r="J106" s="205"/>
      <c r="K106" s="1"/>
      <c r="L106" s="1"/>
      <c r="M106" s="1"/>
      <c r="N106" s="1"/>
      <c r="O106" s="1"/>
      <c r="P106" s="1"/>
      <c r="Q106" s="1"/>
      <c r="R106" s="1"/>
      <c r="S106" s="1"/>
      <c r="T106" s="1"/>
    </row>
    <row r="107" customFormat="false" ht="18.95" hidden="false" customHeight="true" outlineLevel="0" collapsed="false">
      <c r="A107" s="0" t="n">
        <v>28</v>
      </c>
      <c r="B107" s="34" t="n">
        <v>28522</v>
      </c>
      <c r="C107" s="56" t="n">
        <v>313000</v>
      </c>
      <c r="D107" s="260" t="s">
        <v>41</v>
      </c>
      <c r="E107" s="33" t="n">
        <f aca="false">IF(D107="totale",(C107/(A107*24))/F107,IF(D107="marché libre",(C107/(A107*24))/G107,"spécifier histo"))</f>
        <v>0.46577380952381</v>
      </c>
      <c r="F107" s="59" t="n">
        <v>1000</v>
      </c>
      <c r="G107" s="59" t="n">
        <f aca="false">F107-H107</f>
        <v>1000</v>
      </c>
      <c r="H107" s="59" t="n">
        <f aca="false">0</f>
        <v>0</v>
      </c>
      <c r="I107" s="9"/>
      <c r="J107" s="205"/>
      <c r="K107" s="1"/>
      <c r="L107" s="1"/>
      <c r="M107" s="1"/>
      <c r="N107" s="1"/>
      <c r="O107" s="1"/>
      <c r="P107" s="1"/>
      <c r="Q107" s="1"/>
      <c r="R107" s="1"/>
      <c r="S107" s="1"/>
      <c r="T107" s="1"/>
    </row>
    <row r="108" customFormat="false" ht="18.95" hidden="false" customHeight="true" outlineLevel="0" collapsed="false">
      <c r="A108" s="0" t="n">
        <v>31</v>
      </c>
      <c r="B108" s="31" t="n">
        <v>28550</v>
      </c>
      <c r="C108" s="56" t="n">
        <v>392000</v>
      </c>
      <c r="D108" s="260" t="s">
        <v>41</v>
      </c>
      <c r="E108" s="33" t="n">
        <f aca="false">IF(D108="totale",(C108/(A108*24))/F108,IF(D108="marché libre",(C108/(A108*24))/G108,"spécifier histo"))</f>
        <v>0.526881720430108</v>
      </c>
      <c r="F108" s="59" t="n">
        <v>1000</v>
      </c>
      <c r="G108" s="59" t="n">
        <f aca="false">F108-H108</f>
        <v>1000</v>
      </c>
      <c r="H108" s="59" t="n">
        <f aca="false">0</f>
        <v>0</v>
      </c>
      <c r="I108" s="9"/>
      <c r="J108" s="205"/>
      <c r="K108" s="1"/>
      <c r="L108" s="1"/>
      <c r="M108" s="1"/>
      <c r="N108" s="1"/>
      <c r="O108" s="1"/>
      <c r="P108" s="1"/>
      <c r="Q108" s="1"/>
      <c r="R108" s="1"/>
      <c r="S108" s="1"/>
      <c r="T108" s="1"/>
    </row>
    <row r="109" customFormat="false" ht="18.95" hidden="false" customHeight="true" outlineLevel="0" collapsed="false">
      <c r="A109" s="0" t="n">
        <v>30</v>
      </c>
      <c r="B109" s="34" t="n">
        <v>28581</v>
      </c>
      <c r="C109" s="56" t="n">
        <v>350000</v>
      </c>
      <c r="D109" s="260" t="s">
        <v>41</v>
      </c>
      <c r="E109" s="33" t="n">
        <f aca="false">IF(D109="totale",(C109/(A109*24))/F109,IF(D109="marché libre",(C109/(A109*24))/G109,"spécifier histo"))</f>
        <v>0.486111111111111</v>
      </c>
      <c r="F109" s="59" t="n">
        <v>1000</v>
      </c>
      <c r="G109" s="59" t="n">
        <f aca="false">F109-H109</f>
        <v>1000</v>
      </c>
      <c r="H109" s="59" t="n">
        <f aca="false">0</f>
        <v>0</v>
      </c>
      <c r="I109" s="9"/>
      <c r="J109" s="205"/>
      <c r="K109" s="1"/>
      <c r="L109" s="1"/>
      <c r="M109" s="1"/>
      <c r="N109" s="1"/>
      <c r="O109" s="1"/>
      <c r="P109" s="1"/>
      <c r="Q109" s="1"/>
      <c r="R109" s="1"/>
      <c r="S109" s="1"/>
      <c r="T109" s="1"/>
    </row>
    <row r="110" customFormat="false" ht="18.95" hidden="false" customHeight="true" outlineLevel="0" collapsed="false">
      <c r="A110" s="0" t="n">
        <v>31</v>
      </c>
      <c r="B110" s="31" t="n">
        <v>28611</v>
      </c>
      <c r="C110" s="56" t="n">
        <v>443000</v>
      </c>
      <c r="D110" s="260" t="s">
        <v>41</v>
      </c>
      <c r="E110" s="33" t="n">
        <f aca="false">IF(D110="totale",(C110/(A110*24))/F110,IF(D110="marché libre",(C110/(A110*24))/G110,"spécifier histo"))</f>
        <v>0.595430107526882</v>
      </c>
      <c r="F110" s="59" t="n">
        <v>1000</v>
      </c>
      <c r="G110" s="59" t="n">
        <f aca="false">F110-H110</f>
        <v>1000</v>
      </c>
      <c r="H110" s="59" t="n">
        <f aca="false">0</f>
        <v>0</v>
      </c>
      <c r="I110" s="9"/>
      <c r="J110" s="205"/>
      <c r="K110" s="1"/>
      <c r="L110" s="1"/>
      <c r="M110" s="1"/>
      <c r="N110" s="1"/>
      <c r="O110" s="1"/>
      <c r="P110" s="1"/>
      <c r="Q110" s="1"/>
      <c r="R110" s="1"/>
      <c r="S110" s="1"/>
      <c r="T110" s="1"/>
    </row>
    <row r="111" customFormat="false" ht="18.95" hidden="false" customHeight="true" outlineLevel="0" collapsed="false">
      <c r="A111" s="0" t="n">
        <v>30</v>
      </c>
      <c r="B111" s="34" t="n">
        <v>28642</v>
      </c>
      <c r="C111" s="56" t="n">
        <v>632000</v>
      </c>
      <c r="D111" s="260" t="s">
        <v>41</v>
      </c>
      <c r="E111" s="33" t="n">
        <f aca="false">IF(D111="totale",(C111/(A111*24))/F111,IF(D111="marché libre",(C111/(A111*24))/G111,"spécifier histo"))</f>
        <v>0.877777777777778</v>
      </c>
      <c r="F111" s="59" t="n">
        <v>1000</v>
      </c>
      <c r="G111" s="59" t="n">
        <f aca="false">F111-H111</f>
        <v>1000</v>
      </c>
      <c r="H111" s="59" t="n">
        <f aca="false">0</f>
        <v>0</v>
      </c>
      <c r="I111" s="9"/>
      <c r="J111" s="205"/>
      <c r="K111" s="1"/>
      <c r="L111" s="1"/>
      <c r="M111" s="1"/>
      <c r="N111" s="1"/>
      <c r="O111" s="1"/>
      <c r="P111" s="1"/>
      <c r="Q111" s="1"/>
      <c r="R111" s="1"/>
      <c r="S111" s="1"/>
      <c r="T111" s="1"/>
    </row>
    <row r="112" customFormat="false" ht="18.95" hidden="false" customHeight="true" outlineLevel="0" collapsed="false">
      <c r="A112" s="0" t="n">
        <v>31</v>
      </c>
      <c r="B112" s="31" t="n">
        <v>28672</v>
      </c>
      <c r="C112" s="56" t="n">
        <v>588000</v>
      </c>
      <c r="D112" s="260" t="s">
        <v>41</v>
      </c>
      <c r="E112" s="33" t="n">
        <f aca="false">IF(D112="totale",(C112/(A112*24))/F112,IF(D112="marché libre",(C112/(A112*24))/G112,"spécifier histo"))</f>
        <v>0.790322580645161</v>
      </c>
      <c r="F112" s="59" t="n">
        <v>1000</v>
      </c>
      <c r="G112" s="59" t="n">
        <f aca="false">F112-H112</f>
        <v>1000</v>
      </c>
      <c r="H112" s="59" t="n">
        <f aca="false">0</f>
        <v>0</v>
      </c>
      <c r="I112" s="9"/>
      <c r="J112" s="205"/>
      <c r="K112" s="1"/>
      <c r="L112" s="1"/>
      <c r="M112" s="1"/>
      <c r="N112" s="1"/>
      <c r="O112" s="1"/>
      <c r="P112" s="1"/>
      <c r="Q112" s="1"/>
      <c r="R112" s="1"/>
      <c r="S112" s="1"/>
      <c r="T112" s="1"/>
    </row>
    <row r="113" customFormat="false" ht="18.95" hidden="false" customHeight="true" outlineLevel="0" collapsed="false">
      <c r="A113" s="0" t="n">
        <v>31</v>
      </c>
      <c r="B113" s="34" t="n">
        <v>28703</v>
      </c>
      <c r="C113" s="56" t="n">
        <v>646000</v>
      </c>
      <c r="D113" s="260" t="s">
        <v>41</v>
      </c>
      <c r="E113" s="33" t="n">
        <f aca="false">IF(D113="totale",(C113/(A113*24))/F113,IF(D113="marché libre",(C113/(A113*24))/G113,"spécifier histo"))</f>
        <v>0.868279569892473</v>
      </c>
      <c r="F113" s="59" t="n">
        <v>1000</v>
      </c>
      <c r="G113" s="59" t="n">
        <f aca="false">F113-H113</f>
        <v>1000</v>
      </c>
      <c r="H113" s="59" t="n">
        <f aca="false">0</f>
        <v>0</v>
      </c>
      <c r="I113" s="9"/>
      <c r="J113" s="205"/>
      <c r="K113" s="1"/>
      <c r="L113" s="1"/>
      <c r="M113" s="1"/>
      <c r="N113" s="1"/>
      <c r="O113" s="1"/>
      <c r="P113" s="1"/>
      <c r="Q113" s="1"/>
      <c r="R113" s="1"/>
      <c r="S113" s="1"/>
      <c r="T113" s="1"/>
    </row>
    <row r="114" customFormat="false" ht="18.95" hidden="false" customHeight="true" outlineLevel="0" collapsed="false">
      <c r="A114" s="0" t="n">
        <v>30</v>
      </c>
      <c r="B114" s="31" t="n">
        <v>28734</v>
      </c>
      <c r="C114" s="56" t="n">
        <v>467000</v>
      </c>
      <c r="D114" s="260" t="s">
        <v>41</v>
      </c>
      <c r="E114" s="33" t="n">
        <f aca="false">IF(D114="totale",(C114/(A114*24))/F114,IF(D114="marché libre",(C114/(A114*24))/G114,"spécifier histo"))</f>
        <v>0.648611111111111</v>
      </c>
      <c r="F114" s="59" t="n">
        <v>1000</v>
      </c>
      <c r="G114" s="59" t="n">
        <f aca="false">F114-H114</f>
        <v>1000</v>
      </c>
      <c r="H114" s="59" t="n">
        <f aca="false">0</f>
        <v>0</v>
      </c>
      <c r="I114" s="9"/>
      <c r="J114" s="205"/>
      <c r="K114" s="1"/>
      <c r="L114" s="1"/>
      <c r="M114" s="1"/>
      <c r="N114" s="1"/>
      <c r="O114" s="1"/>
      <c r="P114" s="1"/>
      <c r="Q114" s="1"/>
      <c r="R114" s="1"/>
      <c r="S114" s="1"/>
      <c r="T114" s="1"/>
    </row>
    <row r="115" customFormat="false" ht="18.95" hidden="false" customHeight="true" outlineLevel="0" collapsed="false">
      <c r="A115" s="0" t="n">
        <v>31</v>
      </c>
      <c r="B115" s="34" t="n">
        <v>28764</v>
      </c>
      <c r="C115" s="56" t="n">
        <v>437000</v>
      </c>
      <c r="D115" s="260" t="s">
        <v>41</v>
      </c>
      <c r="E115" s="33" t="n">
        <f aca="false">IF(D115="totale",(C115/(A115*24))/F115,IF(D115="marché libre",(C115/(A115*24))/G115,"spécifier histo"))</f>
        <v>0.58736559139785</v>
      </c>
      <c r="F115" s="59" t="n">
        <v>1000</v>
      </c>
      <c r="G115" s="59" t="n">
        <f aca="false">F115-H115</f>
        <v>1000</v>
      </c>
      <c r="H115" s="59" t="n">
        <f aca="false">0</f>
        <v>0</v>
      </c>
      <c r="I115" s="9"/>
      <c r="J115" s="205"/>
      <c r="K115" s="1"/>
      <c r="L115" s="1"/>
      <c r="M115" s="1"/>
      <c r="N115" s="1"/>
      <c r="O115" s="1"/>
      <c r="P115" s="1"/>
      <c r="Q115" s="1"/>
      <c r="R115" s="1"/>
      <c r="S115" s="1"/>
      <c r="T115" s="1"/>
    </row>
    <row r="116" customFormat="false" ht="18.95" hidden="false" customHeight="true" outlineLevel="0" collapsed="false">
      <c r="A116" s="0" t="n">
        <v>30</v>
      </c>
      <c r="B116" s="31" t="n">
        <v>28795</v>
      </c>
      <c r="C116" s="56" t="n">
        <v>360000</v>
      </c>
      <c r="D116" s="260" t="s">
        <v>41</v>
      </c>
      <c r="E116" s="33" t="n">
        <f aca="false">IF(D116="totale",(C116/(A116*24))/F116,IF(D116="marché libre",(C116/(A116*24))/G116,"spécifier histo"))</f>
        <v>0.5</v>
      </c>
      <c r="F116" s="59" t="n">
        <v>1000</v>
      </c>
      <c r="G116" s="59" t="n">
        <f aca="false">F116-H116</f>
        <v>1000</v>
      </c>
      <c r="H116" s="59" t="n">
        <f aca="false">0</f>
        <v>0</v>
      </c>
      <c r="I116" s="9"/>
      <c r="J116" s="205"/>
      <c r="K116" s="1"/>
      <c r="L116" s="1"/>
      <c r="M116" s="1"/>
      <c r="N116" s="1"/>
      <c r="O116" s="1"/>
      <c r="P116" s="1"/>
      <c r="Q116" s="1"/>
      <c r="R116" s="1"/>
      <c r="S116" s="1"/>
      <c r="T116" s="1"/>
    </row>
    <row r="117" customFormat="false" ht="18.95" hidden="false" customHeight="true" outlineLevel="0" collapsed="false">
      <c r="A117" s="0" t="n">
        <v>31</v>
      </c>
      <c r="B117" s="34" t="n">
        <v>28825</v>
      </c>
      <c r="C117" s="56" t="n">
        <v>340000</v>
      </c>
      <c r="D117" s="260" t="s">
        <v>41</v>
      </c>
      <c r="E117" s="33" t="n">
        <f aca="false">IF(D117="totale",(C117/(A117*24))/F117,IF(D117="marché libre",(C117/(A117*24))/G117,"spécifier histo"))</f>
        <v>0.456989247311828</v>
      </c>
      <c r="F117" s="59" t="n">
        <v>1000</v>
      </c>
      <c r="G117" s="59" t="n">
        <f aca="false">F117-H117</f>
        <v>1000</v>
      </c>
      <c r="H117" s="59" t="n">
        <f aca="false">0</f>
        <v>0</v>
      </c>
      <c r="I117" s="9"/>
      <c r="J117" s="205"/>
      <c r="K117" s="1"/>
      <c r="L117" s="1"/>
      <c r="M117" s="1"/>
      <c r="N117" s="1"/>
      <c r="O117" s="1"/>
      <c r="P117" s="1"/>
      <c r="Q117" s="1"/>
      <c r="R117" s="1"/>
      <c r="S117" s="1"/>
      <c r="T117" s="1"/>
    </row>
    <row r="118" customFormat="false" ht="18.95" hidden="false" customHeight="true" outlineLevel="0" collapsed="false">
      <c r="A118" s="0" t="n">
        <v>31</v>
      </c>
      <c r="B118" s="31" t="n">
        <v>28856</v>
      </c>
      <c r="C118" s="56" t="n">
        <v>335000</v>
      </c>
      <c r="D118" s="260" t="s">
        <v>41</v>
      </c>
      <c r="E118" s="33" t="n">
        <f aca="false">IF(D118="totale",(C118/(A118*24))/F118,IF(D118="marché libre",(C118/(A118*24))/G118,"spécifier histo"))</f>
        <v>0.450268817204301</v>
      </c>
      <c r="F118" s="59" t="n">
        <v>1000</v>
      </c>
      <c r="G118" s="59" t="n">
        <f aca="false">F118-H118</f>
        <v>1000</v>
      </c>
      <c r="H118" s="59" t="n">
        <f aca="false">0</f>
        <v>0</v>
      </c>
      <c r="I118" s="9"/>
      <c r="J118" s="205"/>
      <c r="K118" s="1"/>
      <c r="L118" s="1"/>
      <c r="M118" s="1"/>
      <c r="N118" s="1"/>
      <c r="O118" s="1"/>
      <c r="P118" s="1"/>
      <c r="Q118" s="1"/>
      <c r="R118" s="1"/>
      <c r="S118" s="1"/>
      <c r="T118" s="1"/>
    </row>
    <row r="119" customFormat="false" ht="18.95" hidden="false" customHeight="true" outlineLevel="0" collapsed="false">
      <c r="A119" s="0" t="n">
        <v>28</v>
      </c>
      <c r="B119" s="34" t="n">
        <v>28887</v>
      </c>
      <c r="C119" s="56" t="n">
        <v>339000</v>
      </c>
      <c r="D119" s="260" t="s">
        <v>41</v>
      </c>
      <c r="E119" s="33" t="n">
        <f aca="false">IF(D119="totale",(C119/(A119*24))/F119,IF(D119="marché libre",(C119/(A119*24))/G119,"spécifier histo"))</f>
        <v>0.504464285714286</v>
      </c>
      <c r="F119" s="59" t="n">
        <v>1000</v>
      </c>
      <c r="G119" s="59" t="n">
        <f aca="false">F119-H119</f>
        <v>1000</v>
      </c>
      <c r="H119" s="59" t="n">
        <f aca="false">0</f>
        <v>0</v>
      </c>
      <c r="I119" s="9"/>
      <c r="J119" s="205"/>
      <c r="K119" s="1"/>
      <c r="L119" s="1"/>
      <c r="M119" s="1"/>
      <c r="N119" s="1"/>
      <c r="O119" s="1"/>
      <c r="P119" s="1"/>
      <c r="Q119" s="1"/>
      <c r="R119" s="1"/>
      <c r="S119" s="1"/>
      <c r="T119" s="1"/>
    </row>
    <row r="120" customFormat="false" ht="18.95" hidden="false" customHeight="true" outlineLevel="0" collapsed="false">
      <c r="A120" s="0" t="n">
        <v>31</v>
      </c>
      <c r="B120" s="31" t="n">
        <v>28915</v>
      </c>
      <c r="C120" s="56" t="n">
        <v>304000</v>
      </c>
      <c r="D120" s="260" t="s">
        <v>41</v>
      </c>
      <c r="E120" s="33" t="n">
        <f aca="false">IF(D120="totale",(C120/(A120*24))/F120,IF(D120="marché libre",(C120/(A120*24))/G120,"spécifier histo"))</f>
        <v>0.408602150537634</v>
      </c>
      <c r="F120" s="59" t="n">
        <v>1000</v>
      </c>
      <c r="G120" s="59" t="n">
        <f aca="false">F120-H120</f>
        <v>1000</v>
      </c>
      <c r="H120" s="59" t="n">
        <f aca="false">0</f>
        <v>0</v>
      </c>
      <c r="I120" s="9"/>
      <c r="J120" s="205"/>
      <c r="K120" s="1"/>
      <c r="L120" s="1"/>
      <c r="M120" s="1"/>
      <c r="N120" s="1"/>
      <c r="O120" s="1"/>
      <c r="P120" s="1"/>
      <c r="Q120" s="1"/>
      <c r="R120" s="1"/>
      <c r="S120" s="1"/>
      <c r="T120" s="1"/>
    </row>
    <row r="121" customFormat="false" ht="18.95" hidden="false" customHeight="true" outlineLevel="0" collapsed="false">
      <c r="A121" s="0" t="n">
        <v>30</v>
      </c>
      <c r="B121" s="34" t="n">
        <v>28946</v>
      </c>
      <c r="C121" s="56" t="n">
        <v>304000</v>
      </c>
      <c r="D121" s="260" t="s">
        <v>41</v>
      </c>
      <c r="E121" s="33" t="n">
        <f aca="false">IF(D121="totale",(C121/(A121*24))/F121,IF(D121="marché libre",(C121/(A121*24))/G121,"spécifier histo"))</f>
        <v>0.422222222222222</v>
      </c>
      <c r="F121" s="59" t="n">
        <v>1000</v>
      </c>
      <c r="G121" s="59" t="n">
        <f aca="false">F121-H121</f>
        <v>1000</v>
      </c>
      <c r="H121" s="59" t="n">
        <f aca="false">0</f>
        <v>0</v>
      </c>
      <c r="I121" s="9"/>
      <c r="J121" s="205"/>
      <c r="K121" s="1"/>
      <c r="L121" s="1"/>
      <c r="M121" s="1"/>
      <c r="N121" s="1"/>
      <c r="O121" s="1"/>
      <c r="P121" s="1"/>
      <c r="Q121" s="1"/>
      <c r="R121" s="1"/>
      <c r="S121" s="1"/>
      <c r="T121" s="1"/>
    </row>
    <row r="122" customFormat="false" ht="18.95" hidden="false" customHeight="true" outlineLevel="0" collapsed="false">
      <c r="A122" s="0" t="n">
        <v>31</v>
      </c>
      <c r="B122" s="31" t="n">
        <v>28976</v>
      </c>
      <c r="C122" s="56" t="n">
        <v>429000</v>
      </c>
      <c r="D122" s="260" t="s">
        <v>41</v>
      </c>
      <c r="E122" s="33" t="n">
        <f aca="false">IF(D122="totale",(C122/(A122*24))/F122,IF(D122="marché libre",(C122/(A122*24))/G122,"spécifier histo"))</f>
        <v>0.576612903225807</v>
      </c>
      <c r="F122" s="59" t="n">
        <v>1000</v>
      </c>
      <c r="G122" s="59" t="n">
        <f aca="false">F122-H122</f>
        <v>1000</v>
      </c>
      <c r="H122" s="59" t="n">
        <f aca="false">0</f>
        <v>0</v>
      </c>
      <c r="I122" s="9"/>
      <c r="J122" s="205"/>
      <c r="K122" s="1"/>
      <c r="L122" s="1"/>
      <c r="M122" s="1"/>
      <c r="N122" s="1"/>
      <c r="O122" s="1"/>
      <c r="P122" s="1"/>
      <c r="Q122" s="1"/>
      <c r="R122" s="1"/>
      <c r="S122" s="1"/>
      <c r="T122" s="1"/>
    </row>
    <row r="123" customFormat="false" ht="18.95" hidden="false" customHeight="true" outlineLevel="0" collapsed="false">
      <c r="A123" s="0" t="n">
        <v>30</v>
      </c>
      <c r="B123" s="34" t="n">
        <v>29007</v>
      </c>
      <c r="C123" s="56" t="n">
        <v>639000</v>
      </c>
      <c r="D123" s="260" t="s">
        <v>41</v>
      </c>
      <c r="E123" s="33" t="n">
        <f aca="false">IF(D123="totale",(C123/(A123*24))/F123,IF(D123="marché libre",(C123/(A123*24))/G123,"spécifier histo"))</f>
        <v>0.8875</v>
      </c>
      <c r="F123" s="59" t="n">
        <v>1000</v>
      </c>
      <c r="G123" s="59" t="n">
        <f aca="false">F123-H123</f>
        <v>1000</v>
      </c>
      <c r="H123" s="59" t="n">
        <f aca="false">0</f>
        <v>0</v>
      </c>
      <c r="I123" s="9"/>
      <c r="J123" s="205"/>
      <c r="K123" s="1"/>
      <c r="L123" s="1"/>
      <c r="M123" s="1"/>
      <c r="N123" s="1"/>
      <c r="O123" s="1"/>
      <c r="P123" s="1"/>
      <c r="Q123" s="1"/>
      <c r="R123" s="1"/>
      <c r="S123" s="1"/>
      <c r="T123" s="1"/>
    </row>
    <row r="124" customFormat="false" ht="18.95" hidden="false" customHeight="true" outlineLevel="0" collapsed="false">
      <c r="A124" s="0" t="n">
        <v>31</v>
      </c>
      <c r="B124" s="31" t="n">
        <v>29037</v>
      </c>
      <c r="C124" s="56" t="n">
        <v>635000</v>
      </c>
      <c r="D124" s="260" t="s">
        <v>41</v>
      </c>
      <c r="E124" s="33" t="n">
        <f aca="false">IF(D124="totale",(C124/(A124*24))/F124,IF(D124="marché libre",(C124/(A124*24))/G124,"spécifier histo"))</f>
        <v>0.853494623655914</v>
      </c>
      <c r="F124" s="59" t="n">
        <v>1000</v>
      </c>
      <c r="G124" s="59" t="n">
        <f aca="false">F124-H124</f>
        <v>1000</v>
      </c>
      <c r="H124" s="59" t="n">
        <f aca="false">0</f>
        <v>0</v>
      </c>
      <c r="I124" s="9"/>
      <c r="J124" s="205"/>
      <c r="K124" s="1"/>
      <c r="L124" s="1"/>
      <c r="M124" s="1"/>
      <c r="N124" s="1"/>
      <c r="O124" s="1"/>
      <c r="P124" s="1"/>
      <c r="Q124" s="1"/>
      <c r="R124" s="1"/>
      <c r="S124" s="1"/>
      <c r="T124" s="1"/>
    </row>
    <row r="125" customFormat="false" ht="18.95" hidden="false" customHeight="true" outlineLevel="0" collapsed="false">
      <c r="A125" s="0" t="n">
        <v>31</v>
      </c>
      <c r="B125" s="34" t="n">
        <v>29068</v>
      </c>
      <c r="C125" s="56" t="n">
        <v>513000</v>
      </c>
      <c r="D125" s="260" t="s">
        <v>41</v>
      </c>
      <c r="E125" s="33" t="n">
        <f aca="false">IF(D125="totale",(C125/(A125*24))/F125,IF(D125="marché libre",(C125/(A125*24))/G125,"spécifier histo"))</f>
        <v>0.689516129032258</v>
      </c>
      <c r="F125" s="59" t="n">
        <v>1000</v>
      </c>
      <c r="G125" s="59" t="n">
        <f aca="false">F125-H125</f>
        <v>1000</v>
      </c>
      <c r="H125" s="59" t="n">
        <f aca="false">0</f>
        <v>0</v>
      </c>
      <c r="I125" s="9"/>
      <c r="J125" s="205"/>
      <c r="K125" s="1"/>
      <c r="L125" s="1"/>
      <c r="M125" s="1"/>
      <c r="N125" s="1"/>
      <c r="O125" s="1"/>
      <c r="P125" s="1"/>
      <c r="Q125" s="1"/>
      <c r="R125" s="1"/>
      <c r="S125" s="1"/>
      <c r="T125" s="1"/>
    </row>
    <row r="126" customFormat="false" ht="18.95" hidden="false" customHeight="true" outlineLevel="0" collapsed="false">
      <c r="A126" s="0" t="n">
        <v>30</v>
      </c>
      <c r="B126" s="31" t="n">
        <v>29099</v>
      </c>
      <c r="C126" s="56" t="n">
        <v>470000</v>
      </c>
      <c r="D126" s="260" t="s">
        <v>41</v>
      </c>
      <c r="E126" s="33" t="n">
        <f aca="false">IF(D126="totale",(C126/(A126*24))/F126,IF(D126="marché libre",(C126/(A126*24))/G126,"spécifier histo"))</f>
        <v>0.652777777777778</v>
      </c>
      <c r="F126" s="59" t="n">
        <v>1000</v>
      </c>
      <c r="G126" s="59" t="n">
        <f aca="false">F126-H126</f>
        <v>1000</v>
      </c>
      <c r="H126" s="59" t="n">
        <f aca="false">0</f>
        <v>0</v>
      </c>
      <c r="I126" s="9"/>
      <c r="J126" s="205"/>
      <c r="K126" s="1"/>
      <c r="L126" s="1"/>
      <c r="M126" s="1"/>
      <c r="N126" s="1"/>
      <c r="O126" s="1"/>
      <c r="P126" s="1"/>
      <c r="Q126" s="1"/>
      <c r="R126" s="1"/>
      <c r="S126" s="1"/>
      <c r="T126" s="1"/>
    </row>
    <row r="127" customFormat="false" ht="18.95" hidden="false" customHeight="true" outlineLevel="0" collapsed="false">
      <c r="A127" s="0" t="n">
        <v>31</v>
      </c>
      <c r="B127" s="34" t="n">
        <v>29129</v>
      </c>
      <c r="C127" s="56" t="n">
        <v>407000</v>
      </c>
      <c r="D127" s="260" t="s">
        <v>41</v>
      </c>
      <c r="E127" s="33" t="n">
        <f aca="false">IF(D127="totale",(C127/(A127*24))/F127,IF(D127="marché libre",(C127/(A127*24))/G127,"spécifier histo"))</f>
        <v>0.547043010752688</v>
      </c>
      <c r="F127" s="59" t="n">
        <v>1000</v>
      </c>
      <c r="G127" s="59" t="n">
        <f aca="false">F127-H127</f>
        <v>1000</v>
      </c>
      <c r="H127" s="59" t="n">
        <f aca="false">0</f>
        <v>0</v>
      </c>
      <c r="I127" s="9"/>
      <c r="J127" s="205"/>
      <c r="K127" s="1"/>
      <c r="L127" s="1"/>
      <c r="M127" s="1"/>
      <c r="N127" s="1"/>
      <c r="O127" s="1"/>
      <c r="P127" s="1"/>
      <c r="Q127" s="1"/>
      <c r="R127" s="1"/>
      <c r="S127" s="1"/>
      <c r="T127" s="1"/>
    </row>
    <row r="128" customFormat="false" ht="18.95" hidden="false" customHeight="true" outlineLevel="0" collapsed="false">
      <c r="A128" s="0" t="n">
        <v>30</v>
      </c>
      <c r="B128" s="31" t="n">
        <v>29160</v>
      </c>
      <c r="C128" s="56" t="n">
        <v>431000</v>
      </c>
      <c r="D128" s="260" t="s">
        <v>41</v>
      </c>
      <c r="E128" s="33" t="n">
        <f aca="false">IF(D128="totale",(C128/(A128*24))/F128,IF(D128="marché libre",(C128/(A128*24))/G128,"spécifier histo"))</f>
        <v>0.598611111111111</v>
      </c>
      <c r="F128" s="59" t="n">
        <v>1000</v>
      </c>
      <c r="G128" s="59" t="n">
        <f aca="false">F128-H128</f>
        <v>1000</v>
      </c>
      <c r="H128" s="59" t="n">
        <f aca="false">0</f>
        <v>0</v>
      </c>
      <c r="I128" s="9"/>
      <c r="J128" s="205"/>
      <c r="K128" s="1"/>
      <c r="L128" s="1"/>
      <c r="M128" s="1"/>
      <c r="N128" s="1"/>
      <c r="O128" s="1"/>
      <c r="P128" s="1"/>
      <c r="Q128" s="1"/>
      <c r="R128" s="1"/>
      <c r="S128" s="1"/>
      <c r="T128" s="1"/>
    </row>
    <row r="129" customFormat="false" ht="18.95" hidden="false" customHeight="true" outlineLevel="0" collapsed="false">
      <c r="A129" s="0" t="n">
        <v>31</v>
      </c>
      <c r="B129" s="34" t="n">
        <v>29190</v>
      </c>
      <c r="C129" s="56" t="n">
        <v>464000</v>
      </c>
      <c r="D129" s="260" t="s">
        <v>41</v>
      </c>
      <c r="E129" s="33" t="n">
        <f aca="false">IF(D129="totale",(C129/(A129*24))/F129,IF(D129="marché libre",(C129/(A129*24))/G129,"spécifier histo"))</f>
        <v>0.623655913978495</v>
      </c>
      <c r="F129" s="59" t="n">
        <v>1000</v>
      </c>
      <c r="G129" s="59" t="n">
        <f aca="false">F129-H129</f>
        <v>1000</v>
      </c>
      <c r="H129" s="59" t="n">
        <f aca="false">0</f>
        <v>0</v>
      </c>
      <c r="I129" s="9"/>
      <c r="J129" s="205"/>
      <c r="K129" s="1"/>
      <c r="L129" s="1"/>
      <c r="M129" s="1"/>
      <c r="N129" s="1"/>
      <c r="O129" s="1"/>
      <c r="P129" s="1"/>
      <c r="Q129" s="1"/>
      <c r="R129" s="1"/>
      <c r="S129" s="1"/>
      <c r="T129" s="1"/>
    </row>
    <row r="130" customFormat="false" ht="18.95" hidden="false" customHeight="true" outlineLevel="0" collapsed="false">
      <c r="A130" s="0" t="n">
        <v>31</v>
      </c>
      <c r="B130" s="31" t="n">
        <v>29221</v>
      </c>
      <c r="C130" s="56" t="n">
        <v>412000</v>
      </c>
      <c r="D130" s="260" t="s">
        <v>41</v>
      </c>
      <c r="E130" s="33" t="n">
        <f aca="false">IF(D130="totale",(C130/(A130*24))/F130,IF(D130="marché libre",(C130/(A130*24))/G130,"spécifier histo"))</f>
        <v>0.553763440860215</v>
      </c>
      <c r="F130" s="59" t="n">
        <v>1000</v>
      </c>
      <c r="G130" s="59" t="n">
        <f aca="false">F130-H130</f>
        <v>1000</v>
      </c>
      <c r="H130" s="59" t="n">
        <f aca="false">0</f>
        <v>0</v>
      </c>
      <c r="I130" s="9"/>
      <c r="J130" s="205"/>
      <c r="K130" s="1"/>
      <c r="L130" s="1"/>
      <c r="M130" s="1"/>
      <c r="N130" s="1"/>
      <c r="O130" s="1"/>
      <c r="P130" s="1"/>
      <c r="Q130" s="1"/>
      <c r="R130" s="1"/>
      <c r="S130" s="1"/>
      <c r="T130" s="1"/>
    </row>
    <row r="131" customFormat="false" ht="18.95" hidden="false" customHeight="true" outlineLevel="0" collapsed="false">
      <c r="A131" s="0" t="n">
        <v>28</v>
      </c>
      <c r="B131" s="34" t="n">
        <v>29252</v>
      </c>
      <c r="C131" s="56" t="n">
        <v>392000</v>
      </c>
      <c r="D131" s="260" t="s">
        <v>41</v>
      </c>
      <c r="E131" s="33" t="n">
        <f aca="false">IF(D131="totale",(C131/(A131*24))/F131,IF(D131="marché libre",(C131/(A131*24))/G131,"spécifier histo"))</f>
        <v>0.583333333333333</v>
      </c>
      <c r="F131" s="59" t="n">
        <v>1000</v>
      </c>
      <c r="G131" s="59" t="n">
        <f aca="false">F131-H131</f>
        <v>1000</v>
      </c>
      <c r="H131" s="59" t="n">
        <f aca="false">0</f>
        <v>0</v>
      </c>
      <c r="I131" s="9"/>
      <c r="J131" s="205"/>
      <c r="K131" s="1"/>
      <c r="L131" s="1"/>
      <c r="M131" s="1"/>
      <c r="N131" s="1"/>
      <c r="O131" s="1"/>
      <c r="P131" s="1"/>
      <c r="Q131" s="1"/>
      <c r="R131" s="1"/>
      <c r="S131" s="1"/>
      <c r="T131" s="1"/>
    </row>
    <row r="132" customFormat="false" ht="18.95" hidden="false" customHeight="true" outlineLevel="0" collapsed="false">
      <c r="A132" s="0" t="n">
        <v>31</v>
      </c>
      <c r="B132" s="31" t="n">
        <v>29281</v>
      </c>
      <c r="C132" s="56" t="n">
        <v>341000</v>
      </c>
      <c r="D132" s="260" t="s">
        <v>41</v>
      </c>
      <c r="E132" s="33" t="n">
        <f aca="false">IF(D132="totale",(C132/(A132*24))/F132,IF(D132="marché libre",(C132/(A132*24))/G132,"spécifier histo"))</f>
        <v>0.458333333333333</v>
      </c>
      <c r="F132" s="59" t="n">
        <v>1000</v>
      </c>
      <c r="G132" s="59" t="n">
        <f aca="false">F132-H132</f>
        <v>1000</v>
      </c>
      <c r="H132" s="59" t="n">
        <f aca="false">0</f>
        <v>0</v>
      </c>
      <c r="I132" s="9"/>
      <c r="J132" s="205"/>
      <c r="K132" s="1"/>
      <c r="L132" s="1"/>
      <c r="M132" s="1"/>
      <c r="N132" s="1"/>
      <c r="O132" s="1"/>
      <c r="P132" s="1"/>
      <c r="Q132" s="1"/>
      <c r="R132" s="1"/>
      <c r="S132" s="1"/>
      <c r="T132" s="1"/>
    </row>
    <row r="133" customFormat="false" ht="18.95" hidden="false" customHeight="true" outlineLevel="0" collapsed="false">
      <c r="A133" s="0" t="n">
        <v>30</v>
      </c>
      <c r="B133" s="34" t="n">
        <v>29312</v>
      </c>
      <c r="C133" s="56" t="n">
        <v>331000</v>
      </c>
      <c r="D133" s="260" t="s">
        <v>41</v>
      </c>
      <c r="E133" s="33" t="n">
        <f aca="false">IF(D133="totale",(C133/(A133*24))/F133,IF(D133="marché libre",(C133/(A133*24))/G133,"spécifier histo"))</f>
        <v>0.459722222222222</v>
      </c>
      <c r="F133" s="59" t="n">
        <v>1000</v>
      </c>
      <c r="G133" s="59" t="n">
        <f aca="false">F133-H133</f>
        <v>1000</v>
      </c>
      <c r="H133" s="59" t="n">
        <f aca="false">0</f>
        <v>0</v>
      </c>
      <c r="I133" s="9"/>
      <c r="J133" s="205"/>
      <c r="K133" s="1"/>
      <c r="L133" s="1"/>
      <c r="M133" s="1"/>
      <c r="N133" s="1"/>
      <c r="O133" s="1"/>
      <c r="P133" s="1"/>
      <c r="Q133" s="1"/>
      <c r="R133" s="1"/>
      <c r="S133" s="1"/>
      <c r="T133" s="1"/>
    </row>
    <row r="134" customFormat="false" ht="18.95" hidden="false" customHeight="true" outlineLevel="0" collapsed="false">
      <c r="A134" s="0" t="n">
        <v>31</v>
      </c>
      <c r="B134" s="31" t="n">
        <v>29342</v>
      </c>
      <c r="C134" s="56" t="n">
        <v>469000</v>
      </c>
      <c r="D134" s="260" t="s">
        <v>41</v>
      </c>
      <c r="E134" s="33" t="n">
        <f aca="false">IF(D134="totale",(C134/(A134*24))/F134,IF(D134="marché libre",(C134/(A134*24))/G134,"spécifier histo"))</f>
        <v>0.630376344086022</v>
      </c>
      <c r="F134" s="59" t="n">
        <v>1000</v>
      </c>
      <c r="G134" s="59" t="n">
        <f aca="false">F134-H134</f>
        <v>1000</v>
      </c>
      <c r="H134" s="59" t="n">
        <f aca="false">0</f>
        <v>0</v>
      </c>
      <c r="I134" s="9"/>
      <c r="J134" s="205"/>
      <c r="K134" s="1"/>
      <c r="L134" s="1"/>
      <c r="M134" s="1"/>
      <c r="N134" s="1"/>
      <c r="O134" s="1"/>
      <c r="P134" s="1"/>
      <c r="Q134" s="1"/>
      <c r="R134" s="1"/>
      <c r="S134" s="1"/>
      <c r="T134" s="1"/>
    </row>
    <row r="135" customFormat="false" ht="18.95" hidden="false" customHeight="true" outlineLevel="0" collapsed="false">
      <c r="A135" s="0" t="n">
        <v>30</v>
      </c>
      <c r="B135" s="34" t="n">
        <v>29373</v>
      </c>
      <c r="C135" s="56" t="n">
        <v>644000</v>
      </c>
      <c r="D135" s="260" t="s">
        <v>41</v>
      </c>
      <c r="E135" s="33" t="n">
        <f aca="false">IF(D135="totale",(C135/(A135*24))/F135,IF(D135="marché libre",(C135/(A135*24))/G135,"spécifier histo"))</f>
        <v>0.894444444444444</v>
      </c>
      <c r="F135" s="59" t="n">
        <v>1000</v>
      </c>
      <c r="G135" s="59" t="n">
        <f aca="false">F135-H135</f>
        <v>1000</v>
      </c>
      <c r="H135" s="59" t="n">
        <f aca="false">0</f>
        <v>0</v>
      </c>
      <c r="I135" s="9"/>
      <c r="J135" s="205"/>
      <c r="K135" s="1"/>
      <c r="L135" s="1"/>
      <c r="M135" s="1"/>
      <c r="N135" s="1"/>
      <c r="O135" s="1"/>
      <c r="P135" s="1"/>
      <c r="Q135" s="1"/>
      <c r="R135" s="1"/>
      <c r="S135" s="1"/>
      <c r="T135" s="1"/>
    </row>
    <row r="136" customFormat="false" ht="18.95" hidden="false" customHeight="true" outlineLevel="0" collapsed="false">
      <c r="A136" s="0" t="n">
        <v>31</v>
      </c>
      <c r="B136" s="31" t="n">
        <v>29403</v>
      </c>
      <c r="C136" s="56" t="n">
        <v>647000</v>
      </c>
      <c r="D136" s="260" t="s">
        <v>41</v>
      </c>
      <c r="E136" s="33" t="n">
        <f aca="false">IF(D136="totale",(C136/(A136*24))/F136,IF(D136="marché libre",(C136/(A136*24))/G136,"spécifier histo"))</f>
        <v>0.869623655913978</v>
      </c>
      <c r="F136" s="59" t="n">
        <v>1000</v>
      </c>
      <c r="G136" s="59" t="n">
        <f aca="false">F136-H136</f>
        <v>1000</v>
      </c>
      <c r="H136" s="59" t="n">
        <f aca="false">0</f>
        <v>0</v>
      </c>
      <c r="I136" s="9"/>
      <c r="J136" s="205"/>
      <c r="K136" s="1"/>
      <c r="L136" s="1"/>
      <c r="M136" s="1"/>
      <c r="N136" s="1"/>
      <c r="O136" s="1"/>
      <c r="P136" s="1"/>
      <c r="Q136" s="1"/>
      <c r="R136" s="1"/>
      <c r="S136" s="1"/>
      <c r="T136" s="1"/>
    </row>
    <row r="137" customFormat="false" ht="18.95" hidden="false" customHeight="true" outlineLevel="0" collapsed="false">
      <c r="A137" s="0" t="n">
        <v>31</v>
      </c>
      <c r="B137" s="34" t="n">
        <v>29434</v>
      </c>
      <c r="C137" s="56" t="n">
        <v>648000</v>
      </c>
      <c r="D137" s="260" t="s">
        <v>41</v>
      </c>
      <c r="E137" s="33" t="n">
        <f aca="false">IF(D137="totale",(C137/(A137*24))/F137,IF(D137="marché libre",(C137/(A137*24))/G137,"spécifier histo"))</f>
        <v>0.870967741935484</v>
      </c>
      <c r="F137" s="59" t="n">
        <v>1000</v>
      </c>
      <c r="G137" s="59" t="n">
        <f aca="false">F137-H137</f>
        <v>1000</v>
      </c>
      <c r="H137" s="59" t="n">
        <f aca="false">0</f>
        <v>0</v>
      </c>
      <c r="I137" s="9"/>
      <c r="J137" s="205"/>
      <c r="K137" s="1"/>
      <c r="L137" s="1"/>
      <c r="M137" s="1"/>
      <c r="N137" s="1"/>
      <c r="O137" s="1"/>
      <c r="P137" s="1"/>
      <c r="Q137" s="1"/>
      <c r="R137" s="1"/>
      <c r="S137" s="1"/>
      <c r="T137" s="1"/>
    </row>
    <row r="138" customFormat="false" ht="18.95" hidden="false" customHeight="true" outlineLevel="0" collapsed="false">
      <c r="A138" s="0" t="n">
        <v>30</v>
      </c>
      <c r="B138" s="31" t="n">
        <v>29465</v>
      </c>
      <c r="C138" s="56" t="n">
        <v>506000</v>
      </c>
      <c r="D138" s="260" t="s">
        <v>41</v>
      </c>
      <c r="E138" s="33" t="n">
        <f aca="false">IF(D138="totale",(C138/(A138*24))/F138,IF(D138="marché libre",(C138/(A138*24))/G138,"spécifier histo"))</f>
        <v>0.702777777777778</v>
      </c>
      <c r="F138" s="59" t="n">
        <v>1000</v>
      </c>
      <c r="G138" s="59" t="n">
        <f aca="false">F138-H138</f>
        <v>1000</v>
      </c>
      <c r="H138" s="59" t="n">
        <f aca="false">0</f>
        <v>0</v>
      </c>
      <c r="I138" s="9"/>
      <c r="J138" s="205"/>
      <c r="K138" s="1"/>
      <c r="L138" s="1"/>
      <c r="M138" s="1"/>
      <c r="N138" s="1"/>
      <c r="O138" s="1"/>
      <c r="P138" s="1"/>
      <c r="Q138" s="1"/>
      <c r="R138" s="1"/>
      <c r="S138" s="1"/>
      <c r="T138" s="1"/>
    </row>
    <row r="139" customFormat="false" ht="18.95" hidden="false" customHeight="true" outlineLevel="0" collapsed="false">
      <c r="A139" s="0" t="n">
        <v>31</v>
      </c>
      <c r="B139" s="34" t="n">
        <v>29495</v>
      </c>
      <c r="C139" s="56" t="n">
        <v>491000</v>
      </c>
      <c r="D139" s="260" t="s">
        <v>41</v>
      </c>
      <c r="E139" s="33" t="n">
        <f aca="false">IF(D139="totale",(C139/(A139*24))/F139,IF(D139="marché libre",(C139/(A139*24))/G139,"spécifier histo"))</f>
        <v>0.65994623655914</v>
      </c>
      <c r="F139" s="59" t="n">
        <v>1000</v>
      </c>
      <c r="G139" s="59" t="n">
        <f aca="false">F139-H139</f>
        <v>1000</v>
      </c>
      <c r="H139" s="59" t="n">
        <f aca="false">0</f>
        <v>0</v>
      </c>
      <c r="I139" s="9"/>
      <c r="J139" s="205"/>
      <c r="K139" s="1"/>
      <c r="L139" s="1"/>
      <c r="M139" s="1"/>
      <c r="N139" s="1"/>
      <c r="O139" s="1"/>
      <c r="P139" s="1"/>
      <c r="Q139" s="1"/>
      <c r="R139" s="1"/>
      <c r="S139" s="1"/>
      <c r="T139" s="1"/>
    </row>
    <row r="140" customFormat="false" ht="18.95" hidden="false" customHeight="true" outlineLevel="0" collapsed="false">
      <c r="A140" s="0" t="n">
        <v>30</v>
      </c>
      <c r="B140" s="31" t="n">
        <v>29526</v>
      </c>
      <c r="C140" s="56" t="n">
        <v>487000</v>
      </c>
      <c r="D140" s="260" t="s">
        <v>41</v>
      </c>
      <c r="E140" s="33" t="n">
        <f aca="false">IF(D140="totale",(C140/(A140*24))/F140,IF(D140="marché libre",(C140/(A140*24))/G140,"spécifier histo"))</f>
        <v>0.676388888888889</v>
      </c>
      <c r="F140" s="59" t="n">
        <v>1000</v>
      </c>
      <c r="G140" s="59" t="n">
        <f aca="false">F140-H140</f>
        <v>1000</v>
      </c>
      <c r="H140" s="59" t="n">
        <f aca="false">0</f>
        <v>0</v>
      </c>
      <c r="I140" s="9"/>
      <c r="J140" s="205"/>
      <c r="K140" s="1"/>
      <c r="L140" s="1"/>
      <c r="M140" s="1"/>
      <c r="N140" s="1"/>
      <c r="O140" s="1"/>
      <c r="P140" s="1"/>
      <c r="Q140" s="1"/>
      <c r="R140" s="1"/>
      <c r="S140" s="1"/>
      <c r="T140" s="1"/>
    </row>
    <row r="141" customFormat="false" ht="18.95" hidden="false" customHeight="true" outlineLevel="0" collapsed="false">
      <c r="A141" s="0" t="n">
        <v>31</v>
      </c>
      <c r="B141" s="34" t="n">
        <v>29556</v>
      </c>
      <c r="C141" s="56" t="n">
        <v>430000</v>
      </c>
      <c r="D141" s="260" t="s">
        <v>41</v>
      </c>
      <c r="E141" s="33" t="n">
        <f aca="false">IF(D141="totale",(C141/(A141*24))/F141,IF(D141="marché libre",(C141/(A141*24))/G141,"spécifier histo"))</f>
        <v>0.577956989247312</v>
      </c>
      <c r="F141" s="59" t="n">
        <v>1000</v>
      </c>
      <c r="G141" s="59" t="n">
        <f aca="false">F141-H141</f>
        <v>1000</v>
      </c>
      <c r="H141" s="59" t="n">
        <f aca="false">0</f>
        <v>0</v>
      </c>
      <c r="I141" s="9"/>
      <c r="J141" s="205"/>
      <c r="K141" s="1"/>
      <c r="L141" s="1"/>
      <c r="M141" s="1"/>
      <c r="N141" s="1"/>
      <c r="O141" s="1"/>
      <c r="P141" s="1"/>
      <c r="Q141" s="1"/>
      <c r="R141" s="1"/>
      <c r="S141" s="1"/>
      <c r="T141" s="1"/>
    </row>
    <row r="142" customFormat="false" ht="18.95" hidden="false" customHeight="true" outlineLevel="0" collapsed="false">
      <c r="A142" s="0" t="n">
        <v>31</v>
      </c>
      <c r="B142" s="31" t="n">
        <v>29587</v>
      </c>
      <c r="C142" s="56" t="n">
        <v>373000</v>
      </c>
      <c r="D142" s="260" t="s">
        <v>41</v>
      </c>
      <c r="E142" s="33" t="n">
        <f aca="false">IF(D142="totale",(C142/(A142*24))/F142,IF(D142="marché libre",(C142/(A142*24))/G142,"spécifier histo"))</f>
        <v>0.501344086021505</v>
      </c>
      <c r="F142" s="59" t="n">
        <v>1000</v>
      </c>
      <c r="G142" s="59" t="n">
        <f aca="false">F142-H142</f>
        <v>1000</v>
      </c>
      <c r="H142" s="59" t="n">
        <f aca="false">0</f>
        <v>0</v>
      </c>
      <c r="I142" s="9"/>
      <c r="J142" s="205"/>
      <c r="K142" s="1"/>
      <c r="L142" s="1"/>
      <c r="M142" s="1"/>
      <c r="N142" s="1"/>
      <c r="O142" s="1"/>
      <c r="P142" s="1"/>
      <c r="Q142" s="1"/>
      <c r="R142" s="1"/>
      <c r="S142" s="1"/>
      <c r="T142" s="1"/>
    </row>
    <row r="143" customFormat="false" ht="18.95" hidden="false" customHeight="true" outlineLevel="0" collapsed="false">
      <c r="A143" s="0" t="n">
        <v>28</v>
      </c>
      <c r="B143" s="34" t="n">
        <v>29618</v>
      </c>
      <c r="C143" s="56" t="n">
        <v>298000</v>
      </c>
      <c r="D143" s="260" t="s">
        <v>41</v>
      </c>
      <c r="E143" s="33" t="n">
        <f aca="false">IF(D143="totale",(C143/(A143*24))/F143,IF(D143="marché libre",(C143/(A143*24))/G143,"spécifier histo"))</f>
        <v>0.443452380952381</v>
      </c>
      <c r="F143" s="59" t="n">
        <v>1000</v>
      </c>
      <c r="G143" s="59" t="n">
        <f aca="false">F143-H143</f>
        <v>1000</v>
      </c>
      <c r="H143" s="59" t="n">
        <f aca="false">0</f>
        <v>0</v>
      </c>
      <c r="I143" s="9"/>
      <c r="J143" s="205"/>
      <c r="K143" s="1"/>
      <c r="L143" s="1"/>
      <c r="M143" s="1"/>
      <c r="N143" s="1"/>
      <c r="O143" s="1"/>
      <c r="P143" s="1"/>
      <c r="Q143" s="1"/>
      <c r="R143" s="1"/>
      <c r="S143" s="1"/>
      <c r="T143" s="1"/>
    </row>
    <row r="144" customFormat="false" ht="18.95" hidden="false" customHeight="true" outlineLevel="0" collapsed="false">
      <c r="A144" s="0" t="n">
        <v>31</v>
      </c>
      <c r="B144" s="31" t="n">
        <v>29646</v>
      </c>
      <c r="C144" s="56" t="n">
        <v>320000</v>
      </c>
      <c r="D144" s="260" t="s">
        <v>41</v>
      </c>
      <c r="E144" s="33" t="n">
        <f aca="false">IF(D144="totale",(C144/(A144*24))/F144,IF(D144="marché libre",(C144/(A144*24))/G144,"spécifier histo"))</f>
        <v>0.43010752688172</v>
      </c>
      <c r="F144" s="59" t="n">
        <v>1000</v>
      </c>
      <c r="G144" s="59" t="n">
        <f aca="false">F144-H144</f>
        <v>1000</v>
      </c>
      <c r="H144" s="59" t="n">
        <f aca="false">0</f>
        <v>0</v>
      </c>
      <c r="I144" s="9"/>
      <c r="J144" s="205"/>
      <c r="K144" s="1"/>
      <c r="L144" s="1"/>
      <c r="M144" s="1"/>
      <c r="N144" s="1"/>
      <c r="O144" s="1"/>
      <c r="P144" s="1"/>
      <c r="Q144" s="1"/>
      <c r="R144" s="1"/>
      <c r="S144" s="1"/>
      <c r="T144" s="1"/>
    </row>
    <row r="145" customFormat="false" ht="18.95" hidden="false" customHeight="true" outlineLevel="0" collapsed="false">
      <c r="A145" s="0" t="n">
        <v>30</v>
      </c>
      <c r="B145" s="34" t="n">
        <v>29677</v>
      </c>
      <c r="C145" s="56" t="n">
        <v>356000</v>
      </c>
      <c r="D145" s="260" t="s">
        <v>41</v>
      </c>
      <c r="E145" s="33" t="n">
        <f aca="false">IF(D145="totale",(C145/(A145*24))/F145,IF(D145="marché libre",(C145/(A145*24))/G145,"spécifier histo"))</f>
        <v>0.494444444444444</v>
      </c>
      <c r="F145" s="59" t="n">
        <v>1000</v>
      </c>
      <c r="G145" s="59" t="n">
        <f aca="false">F145-H145</f>
        <v>1000</v>
      </c>
      <c r="H145" s="59" t="n">
        <f aca="false">0</f>
        <v>0</v>
      </c>
      <c r="I145" s="9"/>
      <c r="J145" s="205"/>
      <c r="K145" s="1"/>
      <c r="L145" s="1"/>
      <c r="M145" s="1"/>
      <c r="N145" s="1"/>
      <c r="O145" s="1"/>
      <c r="P145" s="1"/>
      <c r="Q145" s="1"/>
      <c r="R145" s="1"/>
      <c r="S145" s="1"/>
      <c r="T145" s="1"/>
    </row>
    <row r="146" customFormat="false" ht="18.95" hidden="false" customHeight="true" outlineLevel="0" collapsed="false">
      <c r="A146" s="0" t="n">
        <v>31</v>
      </c>
      <c r="B146" s="31" t="n">
        <v>29707</v>
      </c>
      <c r="C146" s="56" t="n">
        <v>581000</v>
      </c>
      <c r="D146" s="260" t="s">
        <v>41</v>
      </c>
      <c r="E146" s="33" t="n">
        <f aca="false">IF(D146="totale",(C146/(A146*24))/F146,IF(D146="marché libre",(C146/(A146*24))/G146,"spécifier histo"))</f>
        <v>0.780913978494624</v>
      </c>
      <c r="F146" s="59" t="n">
        <v>1000</v>
      </c>
      <c r="G146" s="59" t="n">
        <f aca="false">F146-H146</f>
        <v>1000</v>
      </c>
      <c r="H146" s="59" t="n">
        <f aca="false">0</f>
        <v>0</v>
      </c>
      <c r="I146" s="9"/>
      <c r="J146" s="205"/>
      <c r="K146" s="1"/>
      <c r="L146" s="1"/>
      <c r="M146" s="1"/>
      <c r="N146" s="1"/>
      <c r="O146" s="1"/>
      <c r="P146" s="1"/>
      <c r="Q146" s="1"/>
      <c r="R146" s="1"/>
      <c r="S146" s="1"/>
      <c r="T146" s="1"/>
    </row>
    <row r="147" customFormat="false" ht="18.95" hidden="false" customHeight="true" outlineLevel="0" collapsed="false">
      <c r="A147" s="0" t="n">
        <v>30</v>
      </c>
      <c r="B147" s="34" t="n">
        <v>29738</v>
      </c>
      <c r="C147" s="56" t="n">
        <v>556000</v>
      </c>
      <c r="D147" s="260" t="s">
        <v>41</v>
      </c>
      <c r="E147" s="33" t="n">
        <f aca="false">IF(D147="totale",(C147/(A147*24))/F147,IF(D147="marché libre",(C147/(A147*24))/G147,"spécifier histo"))</f>
        <v>0.772222222222222</v>
      </c>
      <c r="F147" s="59" t="n">
        <v>1000</v>
      </c>
      <c r="G147" s="59" t="n">
        <f aca="false">F147-H147</f>
        <v>1000</v>
      </c>
      <c r="H147" s="59" t="n">
        <f aca="false">0</f>
        <v>0</v>
      </c>
      <c r="I147" s="9"/>
      <c r="J147" s="205"/>
      <c r="K147" s="1"/>
      <c r="L147" s="1"/>
      <c r="M147" s="1"/>
      <c r="N147" s="1"/>
      <c r="O147" s="1"/>
      <c r="P147" s="1"/>
      <c r="Q147" s="1"/>
      <c r="R147" s="1"/>
      <c r="S147" s="1"/>
      <c r="T147" s="1"/>
    </row>
    <row r="148" customFormat="false" ht="18.95" hidden="false" customHeight="true" outlineLevel="0" collapsed="false">
      <c r="A148" s="0" t="n">
        <v>31</v>
      </c>
      <c r="B148" s="31" t="n">
        <v>29768</v>
      </c>
      <c r="C148" s="56" t="n">
        <v>614000</v>
      </c>
      <c r="D148" s="260" t="s">
        <v>41</v>
      </c>
      <c r="E148" s="33" t="n">
        <f aca="false">IF(D148="totale",(C148/(A148*24))/F148,IF(D148="marché libre",(C148/(A148*24))/G148,"spécifier histo"))</f>
        <v>0.825268817204301</v>
      </c>
      <c r="F148" s="59" t="n">
        <v>1000</v>
      </c>
      <c r="G148" s="59" t="n">
        <f aca="false">F148-H148</f>
        <v>1000</v>
      </c>
      <c r="H148" s="59" t="n">
        <f aca="false">0</f>
        <v>0</v>
      </c>
      <c r="I148" s="9"/>
      <c r="J148" s="205"/>
      <c r="K148" s="1"/>
      <c r="L148" s="1"/>
      <c r="M148" s="1"/>
      <c r="N148" s="1"/>
      <c r="O148" s="1"/>
      <c r="P148" s="1"/>
      <c r="Q148" s="1"/>
      <c r="R148" s="1"/>
      <c r="S148" s="1"/>
      <c r="T148" s="1"/>
    </row>
    <row r="149" customFormat="false" ht="18.95" hidden="false" customHeight="true" outlineLevel="0" collapsed="false">
      <c r="A149" s="0" t="n">
        <v>31</v>
      </c>
      <c r="B149" s="34" t="n">
        <v>29799</v>
      </c>
      <c r="C149" s="56" t="n">
        <v>581000</v>
      </c>
      <c r="D149" s="260" t="s">
        <v>41</v>
      </c>
      <c r="E149" s="33" t="n">
        <f aca="false">IF(D149="totale",(C149/(A149*24))/F149,IF(D149="marché libre",(C149/(A149*24))/G149,"spécifier histo"))</f>
        <v>0.780913978494624</v>
      </c>
      <c r="F149" s="59" t="n">
        <v>1000</v>
      </c>
      <c r="G149" s="59" t="n">
        <f aca="false">F149-H149</f>
        <v>1000</v>
      </c>
      <c r="H149" s="59" t="n">
        <f aca="false">0</f>
        <v>0</v>
      </c>
      <c r="I149" s="9"/>
      <c r="J149" s="205"/>
      <c r="K149" s="1"/>
      <c r="L149" s="1"/>
      <c r="M149" s="1"/>
      <c r="N149" s="1"/>
      <c r="O149" s="1"/>
      <c r="P149" s="1"/>
      <c r="Q149" s="1"/>
      <c r="R149" s="1"/>
      <c r="S149" s="1"/>
      <c r="T149" s="1"/>
    </row>
    <row r="150" customFormat="false" ht="18.95" hidden="false" customHeight="true" outlineLevel="0" collapsed="false">
      <c r="A150" s="0" t="n">
        <v>30</v>
      </c>
      <c r="B150" s="31" t="n">
        <v>29830</v>
      </c>
      <c r="C150" s="56" t="n">
        <v>445000</v>
      </c>
      <c r="D150" s="260" t="s">
        <v>41</v>
      </c>
      <c r="E150" s="33" t="n">
        <f aca="false">IF(D150="totale",(C150/(A150*24))/F150,IF(D150="marché libre",(C150/(A150*24))/G150,"spécifier histo"))</f>
        <v>0.618055555555556</v>
      </c>
      <c r="F150" s="59" t="n">
        <v>1000</v>
      </c>
      <c r="G150" s="59" t="n">
        <f aca="false">F150-H150</f>
        <v>1000</v>
      </c>
      <c r="H150" s="59" t="n">
        <f aca="false">0</f>
        <v>0</v>
      </c>
      <c r="I150" s="9"/>
      <c r="J150" s="205"/>
      <c r="K150" s="1"/>
      <c r="L150" s="1"/>
      <c r="M150" s="1"/>
      <c r="N150" s="1"/>
      <c r="O150" s="1"/>
      <c r="P150" s="1"/>
      <c r="Q150" s="1"/>
      <c r="R150" s="1"/>
      <c r="S150" s="1"/>
      <c r="T150" s="1"/>
    </row>
    <row r="151" customFormat="false" ht="18.95" hidden="false" customHeight="true" outlineLevel="0" collapsed="false">
      <c r="A151" s="0" t="n">
        <v>31</v>
      </c>
      <c r="B151" s="34" t="n">
        <v>29860</v>
      </c>
      <c r="C151" s="56" t="n">
        <v>553000</v>
      </c>
      <c r="D151" s="260" t="s">
        <v>41</v>
      </c>
      <c r="E151" s="33" t="n">
        <f aca="false">IF(D151="totale",(C151/(A151*24))/F151,IF(D151="marché libre",(C151/(A151*24))/G151,"spécifier histo"))</f>
        <v>0.743279569892473</v>
      </c>
      <c r="F151" s="59" t="n">
        <v>1000</v>
      </c>
      <c r="G151" s="59" t="n">
        <f aca="false">F151-H151</f>
        <v>1000</v>
      </c>
      <c r="H151" s="59" t="n">
        <f aca="false">0</f>
        <v>0</v>
      </c>
      <c r="I151" s="9"/>
      <c r="J151" s="205"/>
      <c r="K151" s="1"/>
      <c r="L151" s="1"/>
      <c r="M151" s="1"/>
      <c r="N151" s="1"/>
      <c r="O151" s="1"/>
      <c r="P151" s="1"/>
      <c r="Q151" s="1"/>
      <c r="R151" s="1"/>
      <c r="S151" s="1"/>
      <c r="T151" s="1"/>
    </row>
    <row r="152" customFormat="false" ht="18.95" hidden="false" customHeight="true" outlineLevel="0" collapsed="false">
      <c r="A152" s="0" t="n">
        <v>30</v>
      </c>
      <c r="B152" s="31" t="n">
        <v>29891</v>
      </c>
      <c r="C152" s="56" t="n">
        <v>525000</v>
      </c>
      <c r="D152" s="260" t="s">
        <v>41</v>
      </c>
      <c r="E152" s="33" t="n">
        <f aca="false">IF(D152="totale",(C152/(A152*24))/F152,IF(D152="marché libre",(C152/(A152*24))/G152,"spécifier histo"))</f>
        <v>0.729166666666667</v>
      </c>
      <c r="F152" s="59" t="n">
        <v>1000</v>
      </c>
      <c r="G152" s="59" t="n">
        <f aca="false">F152-H152</f>
        <v>1000</v>
      </c>
      <c r="H152" s="59" t="n">
        <f aca="false">0</f>
        <v>0</v>
      </c>
      <c r="I152" s="9"/>
      <c r="J152" s="205"/>
      <c r="K152" s="1"/>
      <c r="L152" s="1"/>
      <c r="M152" s="1"/>
      <c r="N152" s="1"/>
      <c r="O152" s="1"/>
      <c r="P152" s="1"/>
      <c r="Q152" s="1"/>
      <c r="R152" s="1"/>
      <c r="S152" s="1"/>
      <c r="T152" s="1"/>
    </row>
    <row r="153" customFormat="false" ht="18.95" hidden="false" customHeight="true" outlineLevel="0" collapsed="false">
      <c r="A153" s="0" t="n">
        <v>31</v>
      </c>
      <c r="B153" s="34" t="n">
        <v>29921</v>
      </c>
      <c r="C153" s="56" t="n">
        <v>446000</v>
      </c>
      <c r="D153" s="260" t="s">
        <v>41</v>
      </c>
      <c r="E153" s="33" t="n">
        <f aca="false">IF(D153="totale",(C153/(A153*24))/F153,IF(D153="marché libre",(C153/(A153*24))/G153,"spécifier histo"))</f>
        <v>0.599462365591398</v>
      </c>
      <c r="F153" s="59" t="n">
        <v>1000</v>
      </c>
      <c r="G153" s="59" t="n">
        <f aca="false">F153-H153</f>
        <v>1000</v>
      </c>
      <c r="H153" s="59" t="n">
        <f aca="false">0</f>
        <v>0</v>
      </c>
      <c r="I153" s="9"/>
      <c r="J153" s="205"/>
      <c r="K153" s="1"/>
      <c r="L153" s="1"/>
      <c r="M153" s="1"/>
      <c r="N153" s="1"/>
      <c r="O153" s="1"/>
      <c r="P153" s="1"/>
      <c r="Q153" s="1"/>
      <c r="R153" s="1"/>
      <c r="S153" s="1"/>
      <c r="T153" s="1"/>
    </row>
    <row r="154" customFormat="false" ht="18.95" hidden="false" customHeight="true" outlineLevel="0" collapsed="false">
      <c r="A154" s="0" t="n">
        <v>31</v>
      </c>
      <c r="B154" s="31" t="n">
        <v>29952</v>
      </c>
      <c r="C154" s="56" t="n">
        <v>441000</v>
      </c>
      <c r="D154" s="260" t="s">
        <v>41</v>
      </c>
      <c r="E154" s="33" t="n">
        <f aca="false">IF(D154="totale",(C154/(A154*24))/F154,IF(D154="marché libre",(C154/(A154*24))/G154,"spécifier histo"))</f>
        <v>0.592741935483871</v>
      </c>
      <c r="F154" s="59" t="n">
        <v>1000</v>
      </c>
      <c r="G154" s="59" t="n">
        <f aca="false">F154-H154</f>
        <v>1000</v>
      </c>
      <c r="H154" s="59" t="n">
        <f aca="false">0</f>
        <v>0</v>
      </c>
      <c r="I154" s="9"/>
      <c r="J154" s="205"/>
      <c r="K154" s="1"/>
      <c r="L154" s="1"/>
      <c r="M154" s="1"/>
      <c r="N154" s="1"/>
      <c r="O154" s="1"/>
      <c r="P154" s="1"/>
      <c r="Q154" s="1"/>
      <c r="R154" s="1"/>
      <c r="S154" s="1"/>
      <c r="T154" s="1"/>
    </row>
    <row r="155" customFormat="false" ht="18.95" hidden="false" customHeight="true" outlineLevel="0" collapsed="false">
      <c r="A155" s="0" t="n">
        <v>28</v>
      </c>
      <c r="B155" s="34" t="n">
        <v>29983</v>
      </c>
      <c r="C155" s="56" t="n">
        <v>339000</v>
      </c>
      <c r="D155" s="260" t="s">
        <v>41</v>
      </c>
      <c r="E155" s="33" t="n">
        <f aca="false">IF(D155="totale",(C155/(A155*24))/F155,IF(D155="marché libre",(C155/(A155*24))/G155,"spécifier histo"))</f>
        <v>0.504464285714286</v>
      </c>
      <c r="F155" s="59" t="n">
        <v>1000</v>
      </c>
      <c r="G155" s="59" t="n">
        <f aca="false">F155-H155</f>
        <v>1000</v>
      </c>
      <c r="H155" s="59" t="n">
        <f aca="false">0</f>
        <v>0</v>
      </c>
      <c r="I155" s="9"/>
      <c r="J155" s="205"/>
      <c r="K155" s="1"/>
      <c r="L155" s="1"/>
      <c r="M155" s="1"/>
      <c r="N155" s="1"/>
      <c r="O155" s="1"/>
      <c r="P155" s="1"/>
      <c r="Q155" s="1"/>
      <c r="R155" s="1"/>
      <c r="S155" s="1"/>
      <c r="T155" s="1"/>
    </row>
    <row r="156" customFormat="false" ht="18.95" hidden="false" customHeight="true" outlineLevel="0" collapsed="false">
      <c r="A156" s="0" t="n">
        <v>31</v>
      </c>
      <c r="B156" s="31" t="n">
        <v>30011</v>
      </c>
      <c r="C156" s="56" t="n">
        <v>330000</v>
      </c>
      <c r="D156" s="260" t="s">
        <v>41</v>
      </c>
      <c r="E156" s="33" t="n">
        <f aca="false">IF(D156="totale",(C156/(A156*24))/F156,IF(D156="marché libre",(C156/(A156*24))/G156,"spécifier histo"))</f>
        <v>0.443548387096774</v>
      </c>
      <c r="F156" s="59" t="n">
        <v>1000</v>
      </c>
      <c r="G156" s="59" t="n">
        <f aca="false">F156-H156</f>
        <v>1000</v>
      </c>
      <c r="H156" s="59" t="n">
        <f aca="false">0</f>
        <v>0</v>
      </c>
      <c r="I156" s="9"/>
      <c r="J156" s="205"/>
      <c r="K156" s="1"/>
      <c r="L156" s="1"/>
      <c r="M156" s="1"/>
      <c r="N156" s="1"/>
      <c r="O156" s="1"/>
      <c r="P156" s="1"/>
      <c r="Q156" s="1"/>
      <c r="R156" s="1"/>
      <c r="S156" s="1"/>
      <c r="T156" s="1"/>
    </row>
    <row r="157" customFormat="false" ht="18.95" hidden="false" customHeight="true" outlineLevel="0" collapsed="false">
      <c r="A157" s="0" t="n">
        <v>30</v>
      </c>
      <c r="B157" s="34" t="n">
        <v>30042</v>
      </c>
      <c r="C157" s="56" t="n">
        <v>384000</v>
      </c>
      <c r="D157" s="260" t="s">
        <v>41</v>
      </c>
      <c r="E157" s="33" t="n">
        <f aca="false">IF(D157="totale",(C157/(A157*24))/F157,IF(D157="marché libre",(C157/(A157*24))/G157,"spécifier histo"))</f>
        <v>0.533333333333333</v>
      </c>
      <c r="F157" s="59" t="n">
        <v>1000</v>
      </c>
      <c r="G157" s="59" t="n">
        <f aca="false">F157-H157</f>
        <v>1000</v>
      </c>
      <c r="H157" s="59" t="n">
        <f aca="false">0</f>
        <v>0</v>
      </c>
      <c r="I157" s="9"/>
      <c r="J157" s="205"/>
      <c r="K157" s="1"/>
      <c r="L157" s="1"/>
      <c r="M157" s="1"/>
      <c r="N157" s="1"/>
      <c r="O157" s="1"/>
      <c r="P157" s="1"/>
      <c r="Q157" s="1"/>
      <c r="R157" s="1"/>
      <c r="S157" s="1"/>
      <c r="T157" s="1"/>
    </row>
    <row r="158" customFormat="false" ht="18.95" hidden="false" customHeight="true" outlineLevel="0" collapsed="false">
      <c r="A158" s="0" t="n">
        <v>31</v>
      </c>
      <c r="B158" s="31" t="n">
        <v>30072</v>
      </c>
      <c r="C158" s="56" t="n">
        <v>519000</v>
      </c>
      <c r="D158" s="260" t="s">
        <v>41</v>
      </c>
      <c r="E158" s="33" t="n">
        <f aca="false">IF(D158="totale",(C158/(A158*24))/F158,IF(D158="marché libre",(C158/(A158*24))/G158,"spécifier histo"))</f>
        <v>0.69758064516129</v>
      </c>
      <c r="F158" s="59" t="n">
        <v>1000</v>
      </c>
      <c r="G158" s="59" t="n">
        <f aca="false">F158-H158</f>
        <v>1000</v>
      </c>
      <c r="H158" s="59" t="n">
        <f aca="false">0</f>
        <v>0</v>
      </c>
      <c r="I158" s="9"/>
      <c r="J158" s="205"/>
      <c r="K158" s="1"/>
      <c r="L158" s="1"/>
      <c r="M158" s="1"/>
      <c r="N158" s="1"/>
      <c r="O158" s="1"/>
      <c r="P158" s="1"/>
      <c r="Q158" s="1"/>
      <c r="R158" s="1"/>
      <c r="S158" s="1"/>
      <c r="T158" s="1"/>
    </row>
    <row r="159" customFormat="false" ht="18.95" hidden="false" customHeight="true" outlineLevel="0" collapsed="false">
      <c r="A159" s="0" t="n">
        <v>30</v>
      </c>
      <c r="B159" s="34" t="n">
        <v>30103</v>
      </c>
      <c r="C159" s="56" t="n">
        <v>626000</v>
      </c>
      <c r="D159" s="260" t="s">
        <v>41</v>
      </c>
      <c r="E159" s="33" t="n">
        <f aca="false">IF(D159="totale",(C159/(A159*24))/F159,IF(D159="marché libre",(C159/(A159*24))/G159,"spécifier histo"))</f>
        <v>0.869444444444444</v>
      </c>
      <c r="F159" s="59" t="n">
        <v>1000</v>
      </c>
      <c r="G159" s="59" t="n">
        <f aca="false">F159-H159</f>
        <v>1000</v>
      </c>
      <c r="H159" s="59" t="n">
        <f aca="false">0</f>
        <v>0</v>
      </c>
      <c r="I159" s="9"/>
      <c r="J159" s="205"/>
      <c r="K159" s="1"/>
      <c r="L159" s="1"/>
      <c r="M159" s="1"/>
      <c r="N159" s="1"/>
      <c r="O159" s="1"/>
      <c r="P159" s="1"/>
      <c r="Q159" s="1"/>
      <c r="R159" s="1"/>
      <c r="S159" s="1"/>
      <c r="T159" s="1"/>
    </row>
    <row r="160" customFormat="false" ht="18.95" hidden="false" customHeight="true" outlineLevel="0" collapsed="false">
      <c r="A160" s="0" t="n">
        <v>31</v>
      </c>
      <c r="B160" s="31" t="n">
        <v>30133</v>
      </c>
      <c r="C160" s="56" t="n">
        <v>637000</v>
      </c>
      <c r="D160" s="260" t="s">
        <v>41</v>
      </c>
      <c r="E160" s="33" t="n">
        <f aca="false">IF(D160="totale",(C160/(A160*24))/F160,IF(D160="marché libre",(C160/(A160*24))/G160,"spécifier histo"))</f>
        <v>0.856182795698925</v>
      </c>
      <c r="F160" s="59" t="n">
        <v>1000</v>
      </c>
      <c r="G160" s="59" t="n">
        <f aca="false">F160-H160</f>
        <v>1000</v>
      </c>
      <c r="H160" s="59" t="n">
        <f aca="false">0</f>
        <v>0</v>
      </c>
      <c r="I160" s="9"/>
      <c r="J160" s="205"/>
      <c r="K160" s="1"/>
      <c r="L160" s="261"/>
      <c r="M160" s="261"/>
      <c r="N160" s="261"/>
      <c r="O160" s="261"/>
      <c r="P160" s="261"/>
      <c r="Q160" s="261"/>
      <c r="R160" s="261"/>
      <c r="S160" s="261"/>
      <c r="T160" s="261"/>
      <c r="U160" s="261"/>
      <c r="V160" s="261"/>
      <c r="W160" s="0"/>
      <c r="X160" s="261"/>
      <c r="Y160" s="261"/>
    </row>
    <row r="161" customFormat="false" ht="18.95" hidden="false" customHeight="true" outlineLevel="0" collapsed="false">
      <c r="A161" s="0" t="n">
        <v>31</v>
      </c>
      <c r="B161" s="34" t="n">
        <v>30164</v>
      </c>
      <c r="C161" s="56" t="n">
        <v>572000</v>
      </c>
      <c r="D161" s="260" t="s">
        <v>41</v>
      </c>
      <c r="E161" s="33" t="n">
        <f aca="false">IF(D161="totale",(C161/(A161*24))/F161,IF(D161="marché libre",(C161/(A161*24))/G161,"spécifier histo"))</f>
        <v>0.768817204301075</v>
      </c>
      <c r="F161" s="59" t="n">
        <v>1000</v>
      </c>
      <c r="G161" s="59" t="n">
        <f aca="false">F161-H161</f>
        <v>1000</v>
      </c>
      <c r="H161" s="59" t="n">
        <f aca="false">0</f>
        <v>0</v>
      </c>
      <c r="I161" s="9"/>
      <c r="J161" s="205"/>
      <c r="K161" s="1"/>
      <c r="L161" s="1"/>
      <c r="M161" s="1"/>
      <c r="N161" s="1"/>
      <c r="O161" s="1"/>
      <c r="P161" s="1"/>
      <c r="Q161" s="1"/>
      <c r="R161" s="1"/>
      <c r="S161" s="1"/>
      <c r="T161" s="1"/>
    </row>
    <row r="162" customFormat="false" ht="18.95" hidden="false" customHeight="true" outlineLevel="0" collapsed="false">
      <c r="A162" s="0" t="n">
        <v>30</v>
      </c>
      <c r="B162" s="31" t="n">
        <v>30195</v>
      </c>
      <c r="C162" s="56" t="n">
        <v>487000</v>
      </c>
      <c r="D162" s="260" t="s">
        <v>41</v>
      </c>
      <c r="E162" s="33" t="n">
        <f aca="false">IF(D162="totale",(C162/(A162*24))/F162,IF(D162="marché libre",(C162/(A162*24))/G162,"spécifier histo"))</f>
        <v>0.676388888888889</v>
      </c>
      <c r="F162" s="59" t="n">
        <v>1000</v>
      </c>
      <c r="G162" s="59" t="n">
        <f aca="false">F162-H162</f>
        <v>1000</v>
      </c>
      <c r="H162" s="59" t="n">
        <f aca="false">0</f>
        <v>0</v>
      </c>
      <c r="I162" s="9"/>
      <c r="J162" s="205"/>
      <c r="K162" s="1"/>
      <c r="L162" s="1"/>
      <c r="M162" s="1"/>
      <c r="N162" s="1"/>
      <c r="O162" s="1"/>
      <c r="P162" s="1"/>
      <c r="Q162" s="1"/>
      <c r="R162" s="1"/>
      <c r="S162" s="1"/>
      <c r="T162" s="1"/>
    </row>
    <row r="163" customFormat="false" ht="18.95" hidden="false" customHeight="true" outlineLevel="0" collapsed="false">
      <c r="A163" s="0" t="n">
        <v>31</v>
      </c>
      <c r="B163" s="34" t="n">
        <v>30225</v>
      </c>
      <c r="C163" s="56" t="n">
        <v>515000</v>
      </c>
      <c r="D163" s="260" t="s">
        <v>41</v>
      </c>
      <c r="E163" s="33" t="n">
        <f aca="false">IF(D163="totale",(C163/(A163*24))/F163,IF(D163="marché libre",(C163/(A163*24))/G163,"spécifier histo"))</f>
        <v>0.692204301075269</v>
      </c>
      <c r="F163" s="59" t="n">
        <v>1000</v>
      </c>
      <c r="G163" s="59" t="n">
        <f aca="false">F163-H163</f>
        <v>1000</v>
      </c>
      <c r="H163" s="59" t="n">
        <f aca="false">0</f>
        <v>0</v>
      </c>
      <c r="I163" s="9"/>
      <c r="J163" s="205"/>
      <c r="K163" s="1"/>
      <c r="L163" s="1"/>
      <c r="M163" s="1"/>
      <c r="N163" s="1"/>
      <c r="O163" s="1"/>
      <c r="P163" s="1"/>
      <c r="Q163" s="1"/>
      <c r="R163" s="1"/>
      <c r="S163" s="1"/>
      <c r="T163" s="1"/>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row>
    <row r="164" customFormat="false" ht="18.95" hidden="false" customHeight="true" outlineLevel="0" collapsed="false">
      <c r="A164" s="0" t="n">
        <v>30</v>
      </c>
      <c r="B164" s="31" t="n">
        <v>30256</v>
      </c>
      <c r="C164" s="56" t="n">
        <v>486000</v>
      </c>
      <c r="D164" s="260" t="s">
        <v>41</v>
      </c>
      <c r="E164" s="33" t="n">
        <f aca="false">IF(D164="totale",(C164/(A164*24))/F164,IF(D164="marché libre",(C164/(A164*24))/G164,"spécifier histo"))</f>
        <v>0.675</v>
      </c>
      <c r="F164" s="59" t="n">
        <v>1000</v>
      </c>
      <c r="G164" s="59" t="n">
        <f aca="false">F164-H164</f>
        <v>1000</v>
      </c>
      <c r="H164" s="59" t="n">
        <f aca="false">0</f>
        <v>0</v>
      </c>
      <c r="I164" s="9"/>
      <c r="J164" s="205"/>
      <c r="K164" s="1"/>
      <c r="L164" s="1"/>
      <c r="M164" s="1"/>
      <c r="N164" s="1"/>
      <c r="O164" s="1"/>
      <c r="P164" s="1"/>
      <c r="Q164" s="1"/>
      <c r="R164" s="1"/>
      <c r="S164" s="1"/>
      <c r="T164" s="1"/>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row>
    <row r="165" customFormat="false" ht="18.95" hidden="false" customHeight="true" outlineLevel="0" collapsed="false">
      <c r="A165" s="0" t="n">
        <v>31</v>
      </c>
      <c r="B165" s="34" t="n">
        <v>30286</v>
      </c>
      <c r="C165" s="56" t="n">
        <v>506000</v>
      </c>
      <c r="D165" s="260" t="s">
        <v>41</v>
      </c>
      <c r="E165" s="33" t="n">
        <f aca="false">IF(D165="totale",(C165/(A165*24))/F165,IF(D165="marché libre",(C165/(A165*24))/G165,"spécifier histo"))</f>
        <v>0.680107526881721</v>
      </c>
      <c r="F165" s="59" t="n">
        <v>1000</v>
      </c>
      <c r="G165" s="59" t="n">
        <f aca="false">F165-H165</f>
        <v>1000</v>
      </c>
      <c r="H165" s="59" t="n">
        <f aca="false">0</f>
        <v>0</v>
      </c>
      <c r="I165" s="9"/>
      <c r="J165" s="205"/>
      <c r="K165" s="1"/>
      <c r="L165" s="1"/>
      <c r="M165" s="1"/>
      <c r="N165" s="1"/>
      <c r="O165" s="1"/>
      <c r="P165" s="1"/>
      <c r="Q165" s="1"/>
      <c r="R165" s="1"/>
      <c r="S165" s="1"/>
      <c r="T165" s="1"/>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row>
    <row r="166" customFormat="false" ht="18.95" hidden="false" customHeight="true" outlineLevel="0" collapsed="false">
      <c r="A166" s="0" t="n">
        <v>31</v>
      </c>
      <c r="B166" s="31" t="n">
        <v>30317</v>
      </c>
      <c r="C166" s="56" t="n">
        <v>425000</v>
      </c>
      <c r="D166" s="260" t="s">
        <v>41</v>
      </c>
      <c r="E166" s="33" t="n">
        <f aca="false">IF(D166="totale",(C166/(A166*24))/F166,IF(D166="marché libre",(C166/(A166*24))/G166,"spécifier histo"))</f>
        <v>0.571236559139785</v>
      </c>
      <c r="F166" s="59" t="n">
        <v>1000</v>
      </c>
      <c r="G166" s="59" t="n">
        <f aca="false">F166-H166</f>
        <v>1000</v>
      </c>
      <c r="H166" s="59" t="n">
        <f aca="false">0</f>
        <v>0</v>
      </c>
      <c r="I166" s="9"/>
      <c r="J166" s="205"/>
      <c r="K166" s="1"/>
      <c r="L166" s="1"/>
      <c r="M166" s="1"/>
      <c r="N166" s="1"/>
      <c r="O166" s="1"/>
      <c r="P166" s="1"/>
      <c r="Q166" s="1"/>
      <c r="R166" s="1"/>
      <c r="S166" s="1"/>
      <c r="T166" s="1"/>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row>
    <row r="167" customFormat="false" ht="18.95" hidden="false" customHeight="true" outlineLevel="0" collapsed="false">
      <c r="A167" s="0" t="n">
        <v>28</v>
      </c>
      <c r="B167" s="34" t="n">
        <v>30348</v>
      </c>
      <c r="C167" s="56" t="n">
        <v>345000</v>
      </c>
      <c r="D167" s="260" t="s">
        <v>41</v>
      </c>
      <c r="E167" s="33" t="n">
        <f aca="false">IF(D167="totale",(C167/(A167*24))/F167,IF(D167="marché libre",(C167/(A167*24))/G167,"spécifier histo"))</f>
        <v>0.513392857142857</v>
      </c>
      <c r="F167" s="59" t="n">
        <v>1000</v>
      </c>
      <c r="G167" s="59" t="n">
        <f aca="false">F167-H167</f>
        <v>1000</v>
      </c>
      <c r="H167" s="59" t="n">
        <f aca="false">0</f>
        <v>0</v>
      </c>
      <c r="I167" s="9"/>
      <c r="J167" s="205"/>
      <c r="K167" s="1"/>
      <c r="L167" s="1"/>
      <c r="M167" s="1"/>
      <c r="N167" s="1"/>
      <c r="O167" s="1"/>
      <c r="P167" s="1"/>
      <c r="Q167" s="1"/>
      <c r="R167" s="1"/>
      <c r="S167" s="1"/>
      <c r="T167" s="1"/>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row>
    <row r="168" customFormat="false" ht="18.95" hidden="false" customHeight="true" outlineLevel="0" collapsed="false">
      <c r="A168" s="0" t="n">
        <v>31</v>
      </c>
      <c r="B168" s="31" t="n">
        <v>30376</v>
      </c>
      <c r="C168" s="56" t="n">
        <v>344000</v>
      </c>
      <c r="D168" s="260" t="s">
        <v>41</v>
      </c>
      <c r="E168" s="33" t="n">
        <f aca="false">IF(D168="totale",(C168/(A168*24))/F168,IF(D168="marché libre",(C168/(A168*24))/G168,"spécifier histo"))</f>
        <v>0.46236559139785</v>
      </c>
      <c r="F168" s="59" t="n">
        <v>1000</v>
      </c>
      <c r="G168" s="59" t="n">
        <f aca="false">F168-H168</f>
        <v>1000</v>
      </c>
      <c r="H168" s="59" t="n">
        <f aca="false">0</f>
        <v>0</v>
      </c>
      <c r="I168" s="9"/>
      <c r="J168" s="205"/>
      <c r="K168" s="1"/>
      <c r="L168" s="1"/>
      <c r="M168" s="1"/>
      <c r="N168" s="1"/>
      <c r="O168" s="1"/>
      <c r="P168" s="1"/>
      <c r="Q168" s="1"/>
      <c r="R168" s="1"/>
      <c r="S168" s="1"/>
      <c r="T168" s="1"/>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row>
    <row r="169" customFormat="false" ht="18.95" hidden="false" customHeight="true" outlineLevel="0" collapsed="false">
      <c r="A169" s="0" t="n">
        <v>30</v>
      </c>
      <c r="B169" s="34" t="n">
        <v>30407</v>
      </c>
      <c r="C169" s="56" t="n">
        <v>443000</v>
      </c>
      <c r="D169" s="260" t="s">
        <v>41</v>
      </c>
      <c r="E169" s="33" t="n">
        <f aca="false">IF(D169="totale",(C169/(A169*24))/F169,IF(D169="marché libre",(C169/(A169*24))/G169,"spécifier histo"))</f>
        <v>0.615277777777778</v>
      </c>
      <c r="F169" s="59" t="n">
        <v>1000</v>
      </c>
      <c r="G169" s="59" t="n">
        <f aca="false">F169-H169</f>
        <v>1000</v>
      </c>
      <c r="H169" s="59" t="n">
        <f aca="false">0</f>
        <v>0</v>
      </c>
      <c r="I169" s="9"/>
      <c r="J169" s="205"/>
      <c r="K169" s="1"/>
      <c r="L169" s="1"/>
      <c r="M169" s="1"/>
      <c r="N169" s="1"/>
      <c r="O169" s="1"/>
      <c r="P169" s="1"/>
      <c r="Q169" s="1"/>
      <c r="R169" s="1"/>
      <c r="S169" s="1"/>
      <c r="T169" s="1"/>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row>
    <row r="170" customFormat="false" ht="18.95" hidden="false" customHeight="true" outlineLevel="0" collapsed="false">
      <c r="A170" s="0" t="n">
        <v>31</v>
      </c>
      <c r="B170" s="31" t="n">
        <v>30437</v>
      </c>
      <c r="C170" s="56" t="n">
        <v>607000</v>
      </c>
      <c r="D170" s="260" t="s">
        <v>41</v>
      </c>
      <c r="E170" s="33" t="n">
        <f aca="false">IF(D170="totale",(C170/(A170*24))/F170,IF(D170="marché libre",(C170/(A170*24))/G170,"spécifier histo"))</f>
        <v>0.815860215053763</v>
      </c>
      <c r="F170" s="59" t="n">
        <v>1000</v>
      </c>
      <c r="G170" s="59" t="n">
        <f aca="false">F170-H170</f>
        <v>1000</v>
      </c>
      <c r="H170" s="59" t="n">
        <f aca="false">0</f>
        <v>0</v>
      </c>
      <c r="I170" s="9"/>
      <c r="J170" s="205"/>
      <c r="K170" s="1"/>
      <c r="L170" s="1"/>
      <c r="M170" s="1"/>
      <c r="N170" s="1"/>
      <c r="O170" s="1"/>
      <c r="P170" s="1"/>
      <c r="Q170" s="1"/>
      <c r="R170" s="1"/>
      <c r="S170" s="1"/>
      <c r="T170" s="1"/>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row>
    <row r="171" customFormat="false" ht="18.95" hidden="false" customHeight="true" outlineLevel="0" collapsed="false">
      <c r="A171" s="0" t="n">
        <v>30</v>
      </c>
      <c r="B171" s="34" t="n">
        <v>30468</v>
      </c>
      <c r="C171" s="56" t="n">
        <v>618000</v>
      </c>
      <c r="D171" s="260" t="s">
        <v>41</v>
      </c>
      <c r="E171" s="33" t="n">
        <f aca="false">IF(D171="totale",(C171/(A171*24))/F171,IF(D171="marché libre",(C171/(A171*24))/G171,"spécifier histo"))</f>
        <v>0.858333333333333</v>
      </c>
      <c r="F171" s="59" t="n">
        <v>1000</v>
      </c>
      <c r="G171" s="59" t="n">
        <f aca="false">F171-H171</f>
        <v>1000</v>
      </c>
      <c r="H171" s="59" t="n">
        <f aca="false">0</f>
        <v>0</v>
      </c>
      <c r="I171" s="9"/>
      <c r="J171" s="205"/>
      <c r="K171" s="1"/>
      <c r="L171" s="1"/>
      <c r="M171" s="1"/>
      <c r="N171" s="1"/>
      <c r="O171" s="1"/>
      <c r="P171" s="1"/>
      <c r="Q171" s="1"/>
      <c r="R171" s="1"/>
      <c r="S171" s="1"/>
      <c r="T171" s="1"/>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row>
    <row r="172" customFormat="false" ht="18.95" hidden="false" customHeight="true" outlineLevel="0" collapsed="false">
      <c r="A172" s="0" t="n">
        <v>31</v>
      </c>
      <c r="B172" s="31" t="n">
        <v>30498</v>
      </c>
      <c r="C172" s="56" t="n">
        <v>637000</v>
      </c>
      <c r="D172" s="260" t="s">
        <v>41</v>
      </c>
      <c r="E172" s="33" t="n">
        <f aca="false">IF(D172="totale",(C172/(A172*24))/F172,IF(D172="marché libre",(C172/(A172*24))/G172,"spécifier histo"))</f>
        <v>0.856182795698925</v>
      </c>
      <c r="F172" s="59" t="n">
        <v>1000</v>
      </c>
      <c r="G172" s="59" t="n">
        <f aca="false">F172-H172</f>
        <v>1000</v>
      </c>
      <c r="H172" s="59" t="n">
        <f aca="false">0</f>
        <v>0</v>
      </c>
      <c r="I172" s="9"/>
      <c r="J172" s="205"/>
      <c r="K172" s="1"/>
      <c r="L172" s="1"/>
      <c r="M172" s="1"/>
      <c r="N172" s="1"/>
      <c r="O172" s="1"/>
      <c r="P172" s="1"/>
      <c r="Q172" s="1"/>
      <c r="R172" s="1"/>
      <c r="S172" s="1"/>
      <c r="T172" s="1"/>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row>
    <row r="173" customFormat="false" ht="18.95" hidden="false" customHeight="true" outlineLevel="0" collapsed="false">
      <c r="A173" s="0" t="n">
        <v>31</v>
      </c>
      <c r="B173" s="34" t="n">
        <v>30529</v>
      </c>
      <c r="C173" s="56" t="n">
        <v>530000</v>
      </c>
      <c r="D173" s="260" t="s">
        <v>41</v>
      </c>
      <c r="E173" s="33" t="n">
        <f aca="false">IF(D173="totale",(C173/(A173*24))/F173,IF(D173="marché libre",(C173/(A173*24))/G173,"spécifier histo"))</f>
        <v>0.71236559139785</v>
      </c>
      <c r="F173" s="59" t="n">
        <v>1000</v>
      </c>
      <c r="G173" s="59" t="n">
        <f aca="false">F173-H173</f>
        <v>1000</v>
      </c>
      <c r="H173" s="59" t="n">
        <f aca="false">0</f>
        <v>0</v>
      </c>
      <c r="I173" s="9"/>
      <c r="J173" s="205"/>
      <c r="K173" s="1"/>
      <c r="L173" s="1"/>
      <c r="M173" s="1"/>
      <c r="N173" s="1"/>
      <c r="O173" s="1"/>
      <c r="P173" s="1"/>
      <c r="Q173" s="1"/>
      <c r="R173" s="1"/>
      <c r="S173" s="1"/>
      <c r="T173" s="1"/>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row>
    <row r="174" customFormat="false" ht="18.95" hidden="false" customHeight="true" outlineLevel="0" collapsed="false">
      <c r="A174" s="0" t="n">
        <v>30</v>
      </c>
      <c r="B174" s="31" t="n">
        <v>30560</v>
      </c>
      <c r="C174" s="56" t="n">
        <v>410000</v>
      </c>
      <c r="D174" s="260" t="s">
        <v>41</v>
      </c>
      <c r="E174" s="33" t="n">
        <f aca="false">IF(D174="totale",(C174/(A174*24))/F174,IF(D174="marché libre",(C174/(A174*24))/G174,"spécifier histo"))</f>
        <v>0.569444444444444</v>
      </c>
      <c r="F174" s="59" t="n">
        <v>1000</v>
      </c>
      <c r="G174" s="59" t="n">
        <f aca="false">F174-H174</f>
        <v>1000</v>
      </c>
      <c r="H174" s="59" t="n">
        <f aca="false">0</f>
        <v>0</v>
      </c>
      <c r="I174" s="9"/>
      <c r="J174" s="205"/>
      <c r="K174" s="1"/>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row>
    <row r="175" customFormat="false" ht="18.95" hidden="false" customHeight="true" outlineLevel="0" collapsed="false">
      <c r="A175" s="0" t="n">
        <v>31</v>
      </c>
      <c r="B175" s="34" t="n">
        <v>30590</v>
      </c>
      <c r="C175" s="56" t="n">
        <v>405000</v>
      </c>
      <c r="D175" s="260" t="s">
        <v>41</v>
      </c>
      <c r="E175" s="33" t="n">
        <f aca="false">IF(D175="totale",(C175/(A175*24))/F175,IF(D175="marché libre",(C175/(A175*24))/G175,"spécifier histo"))</f>
        <v>0.544354838709678</v>
      </c>
      <c r="F175" s="59" t="n">
        <v>1000</v>
      </c>
      <c r="G175" s="59" t="n">
        <f aca="false">F175-H175</f>
        <v>1000</v>
      </c>
      <c r="H175" s="59" t="n">
        <f aca="false">0</f>
        <v>0</v>
      </c>
      <c r="I175" s="9"/>
      <c r="J175" s="205"/>
      <c r="K175" s="1"/>
      <c r="L175" s="0"/>
      <c r="M175" s="0"/>
      <c r="N175" s="0"/>
      <c r="O175" s="0"/>
      <c r="P175" s="0"/>
      <c r="Q175" s="0"/>
      <c r="R175" s="0"/>
      <c r="S175" s="0"/>
      <c r="T175" s="0"/>
      <c r="U175" s="0"/>
      <c r="V175" s="0"/>
      <c r="W175" s="0"/>
      <c r="X175" s="0"/>
      <c r="Y175" s="0"/>
      <c r="Z175" s="0"/>
      <c r="AA175" s="0"/>
      <c r="AC175" s="0"/>
      <c r="AD175" s="0"/>
      <c r="AE175" s="0"/>
      <c r="AF175" s="0"/>
      <c r="AG175" s="0"/>
      <c r="AH175" s="0"/>
      <c r="AI175" s="0"/>
      <c r="AJ175" s="0"/>
      <c r="AK175" s="0"/>
      <c r="AL175" s="0"/>
      <c r="AM175" s="0"/>
      <c r="AN175" s="0"/>
      <c r="AO175" s="0"/>
      <c r="AP175" s="0"/>
      <c r="AQ175" s="0"/>
      <c r="AR175" s="0"/>
      <c r="AS175" s="0"/>
      <c r="AT175" s="0"/>
      <c r="AU175" s="0"/>
      <c r="AV175" s="0"/>
      <c r="AW175" s="0"/>
      <c r="AX175" s="0"/>
      <c r="AZ175" s="0"/>
      <c r="BA175" s="0"/>
      <c r="BB175" s="0"/>
      <c r="BC175" s="0"/>
      <c r="BD175" s="0"/>
      <c r="BE175" s="0"/>
      <c r="BF175" s="0"/>
      <c r="BG175" s="0"/>
      <c r="BH175" s="0"/>
      <c r="BI175" s="0"/>
      <c r="BJ175" s="0"/>
      <c r="BK175" s="0"/>
    </row>
    <row r="176" customFormat="false" ht="18.95" hidden="false" customHeight="true" outlineLevel="0" collapsed="false">
      <c r="A176" s="0" t="n">
        <v>30</v>
      </c>
      <c r="B176" s="31" t="n">
        <v>30621</v>
      </c>
      <c r="C176" s="56" t="n">
        <v>310000</v>
      </c>
      <c r="D176" s="260" t="s">
        <v>41</v>
      </c>
      <c r="E176" s="33" t="n">
        <f aca="false">IF(D176="totale",(C176/(A176*24))/F176,IF(D176="marché libre",(C176/(A176*24))/G176,"spécifier histo"))</f>
        <v>0.430555555555556</v>
      </c>
      <c r="F176" s="59" t="n">
        <v>1000</v>
      </c>
      <c r="G176" s="59" t="n">
        <f aca="false">F176-H176</f>
        <v>1000</v>
      </c>
      <c r="H176" s="59" t="n">
        <f aca="false">0</f>
        <v>0</v>
      </c>
      <c r="I176" s="9"/>
      <c r="J176" s="205"/>
      <c r="K176" s="1"/>
      <c r="L176" s="0"/>
      <c r="M176" s="0"/>
      <c r="N176" s="0"/>
      <c r="O176" s="0"/>
      <c r="P176" s="0"/>
      <c r="Q176" s="0"/>
      <c r="R176" s="0"/>
      <c r="S176" s="0"/>
      <c r="T176" s="0"/>
      <c r="U176" s="0"/>
      <c r="V176" s="0"/>
      <c r="W176" s="0"/>
      <c r="X176" s="0"/>
      <c r="Y176" s="0"/>
      <c r="Z176" s="0"/>
      <c r="AA176" s="0"/>
      <c r="AC176" s="0"/>
      <c r="AS176" s="0"/>
    </row>
    <row r="177" customFormat="false" ht="18.95" hidden="false" customHeight="true" outlineLevel="0" collapsed="false">
      <c r="A177" s="0" t="n">
        <v>31</v>
      </c>
      <c r="B177" s="34" t="n">
        <v>30651</v>
      </c>
      <c r="C177" s="56" t="n">
        <v>312000</v>
      </c>
      <c r="D177" s="260" t="s">
        <v>41</v>
      </c>
      <c r="E177" s="33" t="n">
        <f aca="false">IF(D177="totale",(C177/(A177*24))/F177,IF(D177="marché libre",(C177/(A177*24))/G177,"spécifier histo"))</f>
        <v>0.419354838709677</v>
      </c>
      <c r="F177" s="59" t="n">
        <v>1000</v>
      </c>
      <c r="G177" s="59" t="n">
        <f aca="false">F177-H177</f>
        <v>1000</v>
      </c>
      <c r="H177" s="59" t="n">
        <f aca="false">0</f>
        <v>0</v>
      </c>
      <c r="I177" s="9"/>
      <c r="J177" s="205"/>
      <c r="K177" s="1"/>
      <c r="L177" s="0"/>
      <c r="M177" s="0"/>
      <c r="N177" s="0"/>
      <c r="O177" s="0"/>
      <c r="P177" s="0"/>
      <c r="Q177" s="0"/>
      <c r="R177" s="0"/>
      <c r="S177" s="0"/>
      <c r="T177" s="0"/>
      <c r="U177" s="0"/>
      <c r="V177" s="0"/>
      <c r="W177" s="0"/>
      <c r="X177" s="0"/>
      <c r="Y177" s="0"/>
      <c r="Z177" s="0"/>
      <c r="AA177" s="0"/>
      <c r="AC177" s="0"/>
      <c r="AS177" s="0"/>
    </row>
    <row r="178" customFormat="false" ht="18.95" hidden="false" customHeight="true" outlineLevel="0" collapsed="false">
      <c r="A178" s="0" t="n">
        <v>31</v>
      </c>
      <c r="B178" s="31" t="n">
        <v>30682</v>
      </c>
      <c r="C178" s="56" t="n">
        <v>331000</v>
      </c>
      <c r="D178" s="260" t="s">
        <v>41</v>
      </c>
      <c r="E178" s="33" t="n">
        <f aca="false">IF(D178="totale",(C178/(A178*24))/F178,IF(D178="marché libre",(C178/(A178*24))/G178,"spécifier histo"))</f>
        <v>0.44489247311828</v>
      </c>
      <c r="F178" s="59" t="n">
        <v>1000</v>
      </c>
      <c r="G178" s="59" t="n">
        <f aca="false">F178-H178</f>
        <v>1000</v>
      </c>
      <c r="H178" s="59" t="n">
        <f aca="false">0</f>
        <v>0</v>
      </c>
      <c r="I178" s="9"/>
      <c r="J178" s="205"/>
      <c r="K178" s="1"/>
      <c r="L178" s="0"/>
      <c r="M178" s="0"/>
      <c r="N178" s="0"/>
      <c r="O178" s="0"/>
      <c r="P178" s="0"/>
      <c r="Q178" s="0"/>
      <c r="R178" s="0"/>
      <c r="S178" s="0"/>
      <c r="T178" s="0"/>
      <c r="U178" s="0"/>
      <c r="V178" s="0"/>
      <c r="W178" s="0"/>
      <c r="X178" s="0"/>
      <c r="Y178" s="0"/>
      <c r="Z178" s="0"/>
      <c r="AA178" s="0"/>
      <c r="AC178" s="0"/>
      <c r="AS178" s="0"/>
    </row>
    <row r="179" customFormat="false" ht="18.95" hidden="false" customHeight="true" outlineLevel="0" collapsed="false">
      <c r="A179" s="0" t="n">
        <v>28</v>
      </c>
      <c r="B179" s="34" t="n">
        <v>30713</v>
      </c>
      <c r="C179" s="56" t="n">
        <v>343000</v>
      </c>
      <c r="D179" s="260" t="s">
        <v>41</v>
      </c>
      <c r="E179" s="33" t="n">
        <f aca="false">IF(D179="totale",(C179/(A179*24))/F179,IF(D179="marché libre",(C179/(A179*24))/G179,"spécifier histo"))</f>
        <v>0.510416666666667</v>
      </c>
      <c r="F179" s="59" t="n">
        <v>1000</v>
      </c>
      <c r="G179" s="59" t="n">
        <f aca="false">F179-H179</f>
        <v>1000</v>
      </c>
      <c r="H179" s="59" t="n">
        <f aca="false">0</f>
        <v>0</v>
      </c>
      <c r="I179" s="9"/>
      <c r="J179" s="205"/>
      <c r="K179" s="1"/>
      <c r="L179" s="0"/>
      <c r="M179" s="0"/>
      <c r="N179" s="0"/>
      <c r="O179" s="0"/>
      <c r="P179" s="0"/>
      <c r="Q179" s="0"/>
      <c r="R179" s="0"/>
      <c r="S179" s="0"/>
      <c r="T179" s="0"/>
      <c r="U179" s="0"/>
      <c r="V179" s="0"/>
      <c r="W179" s="0"/>
      <c r="X179" s="0"/>
      <c r="Y179" s="0"/>
      <c r="Z179" s="0"/>
      <c r="AA179" s="0"/>
      <c r="AC179" s="0"/>
      <c r="AS179" s="0"/>
    </row>
    <row r="180" customFormat="false" ht="18.95" hidden="false" customHeight="true" outlineLevel="0" collapsed="false">
      <c r="A180" s="0" t="n">
        <v>31</v>
      </c>
      <c r="B180" s="31" t="n">
        <v>30742</v>
      </c>
      <c r="C180" s="56" t="n">
        <v>317000</v>
      </c>
      <c r="D180" s="260" t="s">
        <v>41</v>
      </c>
      <c r="E180" s="33" t="n">
        <f aca="false">IF(D180="totale",(C180/(A180*24))/F180,IF(D180="marché libre",(C180/(A180*24))/G180,"spécifier histo"))</f>
        <v>0.426075268817204</v>
      </c>
      <c r="F180" s="59" t="n">
        <v>1000</v>
      </c>
      <c r="G180" s="59" t="n">
        <f aca="false">F180-H180</f>
        <v>1000</v>
      </c>
      <c r="H180" s="59" t="n">
        <f aca="false">0</f>
        <v>0</v>
      </c>
      <c r="I180" s="9"/>
      <c r="J180" s="205"/>
      <c r="K180" s="1"/>
      <c r="L180" s="0"/>
      <c r="M180" s="0"/>
      <c r="N180" s="0"/>
      <c r="O180" s="0"/>
      <c r="P180" s="0"/>
      <c r="Q180" s="0"/>
      <c r="R180" s="0"/>
      <c r="S180" s="0"/>
      <c r="T180" s="0"/>
      <c r="U180" s="0"/>
      <c r="V180" s="0"/>
      <c r="W180" s="0"/>
      <c r="X180" s="0"/>
      <c r="Y180" s="0"/>
      <c r="Z180" s="0"/>
      <c r="AA180" s="0"/>
      <c r="AC180" s="0"/>
      <c r="AS180" s="0"/>
    </row>
    <row r="181" customFormat="false" ht="18.95" hidden="false" customHeight="true" outlineLevel="0" collapsed="false">
      <c r="A181" s="0" t="n">
        <v>30</v>
      </c>
      <c r="B181" s="34" t="n">
        <v>30773</v>
      </c>
      <c r="C181" s="56" t="n">
        <v>368000</v>
      </c>
      <c r="D181" s="260" t="s">
        <v>41</v>
      </c>
      <c r="E181" s="33" t="n">
        <f aca="false">IF(D181="totale",(C181/(A181*24))/F181,IF(D181="marché libre",(C181/(A181*24))/G181,"spécifier histo"))</f>
        <v>0.511111111111111</v>
      </c>
      <c r="F181" s="59" t="n">
        <v>1000</v>
      </c>
      <c r="G181" s="59" t="n">
        <f aca="false">F181-H181</f>
        <v>1000</v>
      </c>
      <c r="H181" s="59" t="n">
        <f aca="false">0</f>
        <v>0</v>
      </c>
      <c r="I181" s="9"/>
      <c r="J181" s="205"/>
      <c r="K181" s="1"/>
      <c r="L181" s="0"/>
      <c r="M181" s="0"/>
      <c r="N181" s="0"/>
      <c r="O181" s="0"/>
      <c r="P181" s="0"/>
      <c r="Q181" s="0"/>
      <c r="R181" s="0"/>
      <c r="S181" s="0"/>
      <c r="T181" s="0"/>
      <c r="U181" s="0"/>
      <c r="V181" s="0"/>
      <c r="W181" s="0"/>
      <c r="X181" s="0"/>
      <c r="Y181" s="0"/>
      <c r="Z181" s="0"/>
      <c r="AA181" s="0"/>
      <c r="AC181" s="0"/>
      <c r="AS181" s="0"/>
    </row>
    <row r="182" customFormat="false" ht="18.95" hidden="false" customHeight="true" outlineLevel="0" collapsed="false">
      <c r="A182" s="0" t="n">
        <v>31</v>
      </c>
      <c r="B182" s="31" t="n">
        <v>30803</v>
      </c>
      <c r="C182" s="56" t="n">
        <v>542000</v>
      </c>
      <c r="D182" s="260" t="s">
        <v>41</v>
      </c>
      <c r="E182" s="33" t="n">
        <f aca="false">IF(D182="totale",(C182/(A182*24))/F182,IF(D182="marché libre",(C182/(A182*24))/G182,"spécifier histo"))</f>
        <v>0.728494623655914</v>
      </c>
      <c r="F182" s="59" t="n">
        <v>1000</v>
      </c>
      <c r="G182" s="59" t="n">
        <f aca="false">F182-H182</f>
        <v>1000</v>
      </c>
      <c r="H182" s="59" t="n">
        <f aca="false">0</f>
        <v>0</v>
      </c>
      <c r="I182" s="9"/>
      <c r="J182" s="205"/>
      <c r="K182" s="1"/>
      <c r="L182" s="0"/>
      <c r="M182" s="0"/>
      <c r="N182" s="0"/>
      <c r="O182" s="0"/>
      <c r="P182" s="0"/>
      <c r="Q182" s="0"/>
      <c r="R182" s="0"/>
      <c r="S182" s="0"/>
      <c r="T182" s="0"/>
      <c r="U182" s="0"/>
      <c r="V182" s="0"/>
      <c r="W182" s="0"/>
      <c r="X182" s="0"/>
      <c r="Y182" s="0"/>
      <c r="Z182" s="0"/>
      <c r="AA182" s="0"/>
      <c r="AC182" s="0"/>
      <c r="AS182" s="0"/>
    </row>
    <row r="183" customFormat="false" ht="18.95" hidden="false" customHeight="true" outlineLevel="0" collapsed="false">
      <c r="A183" s="0" t="n">
        <v>30</v>
      </c>
      <c r="B183" s="34" t="n">
        <v>30834</v>
      </c>
      <c r="C183" s="56" t="n">
        <v>576000</v>
      </c>
      <c r="D183" s="260" t="s">
        <v>41</v>
      </c>
      <c r="E183" s="33" t="n">
        <f aca="false">IF(D183="totale",(C183/(A183*24))/F183,IF(D183="marché libre",(C183/(A183*24))/G183,"spécifier histo"))</f>
        <v>0.8</v>
      </c>
      <c r="F183" s="59" t="n">
        <v>1000</v>
      </c>
      <c r="G183" s="59" t="n">
        <f aca="false">F183-H183</f>
        <v>1000</v>
      </c>
      <c r="H183" s="59" t="n">
        <f aca="false">0</f>
        <v>0</v>
      </c>
      <c r="I183" s="9"/>
      <c r="J183" s="205"/>
      <c r="K183" s="1"/>
      <c r="L183" s="0"/>
      <c r="M183" s="0"/>
      <c r="N183" s="0"/>
      <c r="O183" s="0"/>
      <c r="P183" s="0"/>
      <c r="Q183" s="0"/>
      <c r="R183" s="0"/>
      <c r="S183" s="0"/>
      <c r="T183" s="0"/>
      <c r="U183" s="0"/>
      <c r="V183" s="0"/>
      <c r="W183" s="0"/>
      <c r="X183" s="0"/>
      <c r="Y183" s="0"/>
      <c r="Z183" s="0"/>
      <c r="AA183" s="0"/>
      <c r="AC183" s="0"/>
      <c r="AS183" s="0"/>
    </row>
    <row r="184" customFormat="false" ht="18.95" hidden="false" customHeight="true" outlineLevel="0" collapsed="false">
      <c r="A184" s="0" t="n">
        <v>31</v>
      </c>
      <c r="B184" s="31" t="n">
        <v>30864</v>
      </c>
      <c r="C184" s="56" t="n">
        <v>641000</v>
      </c>
      <c r="D184" s="260" t="s">
        <v>41</v>
      </c>
      <c r="E184" s="33" t="n">
        <f aca="false">IF(D184="totale",(C184/(A184*24))/F184,IF(D184="marché libre",(C184/(A184*24))/G184,"spécifier histo"))</f>
        <v>0.861559139784946</v>
      </c>
      <c r="F184" s="59" t="n">
        <v>1000</v>
      </c>
      <c r="G184" s="59" t="n">
        <f aca="false">F184-H184</f>
        <v>1000</v>
      </c>
      <c r="H184" s="59" t="n">
        <f aca="false">0</f>
        <v>0</v>
      </c>
      <c r="I184" s="9"/>
      <c r="J184" s="205"/>
      <c r="K184" s="1"/>
      <c r="L184" s="0"/>
      <c r="M184" s="0"/>
      <c r="N184" s="0"/>
      <c r="O184" s="0"/>
      <c r="P184" s="0"/>
      <c r="Q184" s="0"/>
      <c r="R184" s="0"/>
      <c r="S184" s="0"/>
      <c r="T184" s="0"/>
      <c r="U184" s="0"/>
      <c r="V184" s="0"/>
      <c r="W184" s="0"/>
      <c r="X184" s="0"/>
      <c r="Y184" s="0"/>
      <c r="Z184" s="0"/>
      <c r="AA184" s="0"/>
      <c r="AC184" s="0"/>
      <c r="AS184" s="0"/>
    </row>
    <row r="185" customFormat="false" ht="18.95" hidden="false" customHeight="true" outlineLevel="0" collapsed="false">
      <c r="A185" s="0" t="n">
        <v>31</v>
      </c>
      <c r="B185" s="34" t="n">
        <v>30895</v>
      </c>
      <c r="C185" s="56" t="n">
        <v>549000</v>
      </c>
      <c r="D185" s="260" t="s">
        <v>41</v>
      </c>
      <c r="E185" s="33" t="n">
        <f aca="false">IF(D185="totale",(C185/(A185*24))/F185,IF(D185="marché libre",(C185/(A185*24))/G185,"spécifier histo"))</f>
        <v>0.737903225806452</v>
      </c>
      <c r="F185" s="59" t="n">
        <v>1000</v>
      </c>
      <c r="G185" s="59" t="n">
        <f aca="false">F185-H185</f>
        <v>1000</v>
      </c>
      <c r="H185" s="59" t="n">
        <f aca="false">0</f>
        <v>0</v>
      </c>
      <c r="I185" s="9"/>
      <c r="J185" s="205"/>
      <c r="K185" s="1"/>
      <c r="L185" s="0"/>
      <c r="M185" s="0"/>
      <c r="N185" s="0"/>
      <c r="O185" s="0"/>
      <c r="P185" s="0"/>
      <c r="Q185" s="0"/>
      <c r="R185" s="0"/>
      <c r="S185" s="0"/>
      <c r="T185" s="0"/>
      <c r="U185" s="0"/>
      <c r="V185" s="0"/>
      <c r="W185" s="0"/>
      <c r="X185" s="0"/>
      <c r="Y185" s="0"/>
      <c r="Z185" s="0"/>
      <c r="AA185" s="0"/>
      <c r="AC185" s="0"/>
      <c r="AS185" s="0"/>
    </row>
    <row r="186" customFormat="false" ht="18.95" hidden="false" customHeight="true" outlineLevel="0" collapsed="false">
      <c r="A186" s="0" t="n">
        <v>30</v>
      </c>
      <c r="B186" s="31" t="n">
        <v>30926</v>
      </c>
      <c r="C186" s="56" t="n">
        <v>456000</v>
      </c>
      <c r="D186" s="260" t="s">
        <v>41</v>
      </c>
      <c r="E186" s="33" t="n">
        <f aca="false">IF(D186="totale",(C186/(A186*24))/F186,IF(D186="marché libre",(C186/(A186*24))/G186,"spécifier histo"))</f>
        <v>0.633333333333333</v>
      </c>
      <c r="F186" s="59" t="n">
        <v>1000</v>
      </c>
      <c r="G186" s="59" t="n">
        <f aca="false">F186-H186</f>
        <v>1000</v>
      </c>
      <c r="H186" s="59" t="n">
        <f aca="false">0</f>
        <v>0</v>
      </c>
      <c r="I186" s="9"/>
      <c r="J186" s="205"/>
      <c r="K186" s="1"/>
      <c r="L186" s="0"/>
      <c r="M186" s="0"/>
      <c r="N186" s="0"/>
      <c r="O186" s="0"/>
      <c r="P186" s="0"/>
      <c r="Q186" s="0"/>
      <c r="R186" s="0"/>
      <c r="S186" s="0"/>
      <c r="T186" s="0"/>
      <c r="U186" s="0"/>
      <c r="V186" s="0"/>
      <c r="W186" s="0"/>
      <c r="X186" s="0"/>
      <c r="Y186" s="0"/>
      <c r="Z186" s="0"/>
      <c r="AA186" s="0"/>
      <c r="AC186" s="0"/>
      <c r="AS186" s="0"/>
    </row>
    <row r="187" customFormat="false" ht="18.95" hidden="false" customHeight="true" outlineLevel="0" collapsed="false">
      <c r="A187" s="0" t="n">
        <v>31</v>
      </c>
      <c r="B187" s="34" t="n">
        <v>30956</v>
      </c>
      <c r="C187" s="56" t="n">
        <v>568000</v>
      </c>
      <c r="D187" s="260" t="s">
        <v>41</v>
      </c>
      <c r="E187" s="33" t="n">
        <f aca="false">IF(D187="totale",(C187/(A187*24))/F187,IF(D187="marché libre",(C187/(A187*24))/G187,"spécifier histo"))</f>
        <v>0.763440860215054</v>
      </c>
      <c r="F187" s="59" t="n">
        <v>1000</v>
      </c>
      <c r="G187" s="59" t="n">
        <f aca="false">F187-H187</f>
        <v>1000</v>
      </c>
      <c r="H187" s="59" t="n">
        <f aca="false">0</f>
        <v>0</v>
      </c>
      <c r="I187" s="0"/>
      <c r="J187" s="205"/>
      <c r="K187" s="1"/>
      <c r="L187" s="0"/>
      <c r="M187" s="0"/>
      <c r="N187" s="0"/>
      <c r="O187" s="0"/>
      <c r="P187" s="0"/>
      <c r="Q187" s="0"/>
      <c r="R187" s="0"/>
      <c r="S187" s="0"/>
      <c r="T187" s="0"/>
      <c r="U187" s="0"/>
      <c r="V187" s="0"/>
      <c r="W187" s="0"/>
      <c r="X187" s="0"/>
      <c r="Y187" s="0"/>
      <c r="Z187" s="0"/>
      <c r="AA187" s="0"/>
      <c r="AC187" s="0"/>
      <c r="AS187" s="0"/>
    </row>
    <row r="188" customFormat="false" ht="18.95" hidden="false" customHeight="true" outlineLevel="0" collapsed="false">
      <c r="A188" s="0" t="n">
        <v>30</v>
      </c>
      <c r="B188" s="31" t="n">
        <v>30987</v>
      </c>
      <c r="C188" s="56" t="n">
        <v>444000</v>
      </c>
      <c r="D188" s="260" t="s">
        <v>41</v>
      </c>
      <c r="E188" s="33" t="n">
        <f aca="false">IF(D188="totale",(C188/(A188*24))/F188,IF(D188="marché libre",(C188/(A188*24))/G188,"spécifier histo"))</f>
        <v>0.616666666666667</v>
      </c>
      <c r="F188" s="59" t="n">
        <v>1000</v>
      </c>
      <c r="G188" s="59" t="n">
        <f aca="false">F188-H188</f>
        <v>1000</v>
      </c>
      <c r="H188" s="59" t="n">
        <f aca="false">0</f>
        <v>0</v>
      </c>
      <c r="I188" s="0"/>
      <c r="J188" s="205"/>
      <c r="K188" s="1"/>
      <c r="L188" s="0"/>
      <c r="M188" s="0"/>
      <c r="N188" s="0"/>
      <c r="O188" s="0"/>
      <c r="P188" s="0"/>
      <c r="Q188" s="0"/>
      <c r="R188" s="0"/>
      <c r="S188" s="0"/>
      <c r="T188" s="0"/>
      <c r="U188" s="0"/>
      <c r="V188" s="0"/>
      <c r="W188" s="0"/>
      <c r="X188" s="0"/>
      <c r="Y188" s="0"/>
      <c r="Z188" s="0"/>
      <c r="AA188" s="0"/>
      <c r="AC188" s="0"/>
      <c r="AS188" s="0"/>
    </row>
    <row r="189" customFormat="false" ht="18.95" hidden="false" customHeight="true" outlineLevel="0" collapsed="false">
      <c r="A189" s="0" t="n">
        <v>31</v>
      </c>
      <c r="B189" s="34" t="n">
        <v>31017</v>
      </c>
      <c r="C189" s="56" t="n">
        <v>415000</v>
      </c>
      <c r="D189" s="260" t="s">
        <v>41</v>
      </c>
      <c r="E189" s="33" t="n">
        <f aca="false">IF(D189="totale",(C189/(A189*24))/F189,IF(D189="marché libre",(C189/(A189*24))/G189,"spécifier histo"))</f>
        <v>0.557795698924731</v>
      </c>
      <c r="F189" s="59" t="n">
        <v>1000</v>
      </c>
      <c r="G189" s="59" t="n">
        <f aca="false">F189-H189</f>
        <v>1000</v>
      </c>
      <c r="H189" s="59" t="n">
        <f aca="false">0</f>
        <v>0</v>
      </c>
      <c r="I189" s="0"/>
      <c r="J189" s="205"/>
      <c r="K189" s="1"/>
      <c r="L189" s="0"/>
      <c r="M189" s="0"/>
      <c r="N189" s="0"/>
      <c r="O189" s="0"/>
      <c r="P189" s="0"/>
      <c r="Q189" s="0"/>
      <c r="R189" s="0"/>
      <c r="S189" s="0"/>
      <c r="T189" s="0"/>
      <c r="U189" s="0"/>
      <c r="V189" s="0"/>
      <c r="W189" s="0"/>
      <c r="X189" s="0"/>
      <c r="Y189" s="0"/>
      <c r="Z189" s="0"/>
      <c r="AA189" s="0"/>
      <c r="AC189" s="0"/>
      <c r="AS189" s="0"/>
    </row>
    <row r="190" customFormat="false" ht="18.95" hidden="false" customHeight="true" outlineLevel="0" collapsed="false">
      <c r="A190" s="0" t="n">
        <v>31</v>
      </c>
      <c r="B190" s="31" t="n">
        <v>31048</v>
      </c>
      <c r="C190" s="56" t="n">
        <v>361000</v>
      </c>
      <c r="D190" s="260" t="s">
        <v>41</v>
      </c>
      <c r="E190" s="33" t="n">
        <f aca="false">IF(D190="totale",(C190/(A190*24))/F190,IF(D190="marché libre",(C190/(A190*24))/G190,"spécifier histo"))</f>
        <v>0.485215053763441</v>
      </c>
      <c r="F190" s="59" t="n">
        <v>1000</v>
      </c>
      <c r="G190" s="59" t="n">
        <f aca="false">F190-H190</f>
        <v>1000</v>
      </c>
      <c r="H190" s="59" t="n">
        <f aca="false">0</f>
        <v>0</v>
      </c>
      <c r="I190" s="0"/>
      <c r="J190" s="205"/>
      <c r="K190" s="1"/>
      <c r="L190" s="0"/>
      <c r="M190" s="0"/>
      <c r="N190" s="0"/>
      <c r="O190" s="0"/>
      <c r="P190" s="0"/>
      <c r="Q190" s="0"/>
      <c r="R190" s="0"/>
      <c r="S190" s="0"/>
      <c r="T190" s="0"/>
      <c r="U190" s="0"/>
      <c r="V190" s="0"/>
      <c r="W190" s="0"/>
      <c r="X190" s="0"/>
      <c r="Y190" s="0"/>
      <c r="Z190" s="0"/>
      <c r="AA190" s="0"/>
      <c r="AC190" s="0"/>
      <c r="AS190" s="0"/>
    </row>
    <row r="191" customFormat="false" ht="18.95" hidden="false" customHeight="true" outlineLevel="0" collapsed="false">
      <c r="A191" s="0" t="n">
        <v>28</v>
      </c>
      <c r="B191" s="34" t="n">
        <v>31079</v>
      </c>
      <c r="C191" s="56" t="n">
        <v>322000</v>
      </c>
      <c r="D191" s="260" t="s">
        <v>41</v>
      </c>
      <c r="E191" s="33" t="n">
        <f aca="false">IF(D191="totale",(C191/(A191*24))/F191,IF(D191="marché libre",(C191/(A191*24))/G191,"spécifier histo"))</f>
        <v>0.479166666666667</v>
      </c>
      <c r="F191" s="59" t="n">
        <v>1000</v>
      </c>
      <c r="G191" s="59" t="n">
        <f aca="false">F191-H191</f>
        <v>1000</v>
      </c>
      <c r="H191" s="59" t="n">
        <f aca="false">0</f>
        <v>0</v>
      </c>
      <c r="I191" s="0"/>
      <c r="J191" s="205"/>
      <c r="K191" s="1"/>
      <c r="L191" s="0"/>
      <c r="M191" s="0"/>
      <c r="N191" s="0"/>
      <c r="O191" s="0"/>
      <c r="P191" s="0"/>
      <c r="Q191" s="0"/>
      <c r="R191" s="0"/>
      <c r="S191" s="0"/>
      <c r="T191" s="0"/>
      <c r="U191" s="0"/>
      <c r="V191" s="0"/>
      <c r="W191" s="0"/>
      <c r="X191" s="0"/>
      <c r="Y191" s="0"/>
      <c r="Z191" s="0"/>
      <c r="AA191" s="0"/>
      <c r="AC191" s="0"/>
      <c r="AS191" s="0"/>
    </row>
    <row r="192" customFormat="false" ht="18.95" hidden="false" customHeight="true" outlineLevel="0" collapsed="false">
      <c r="A192" s="0" t="n">
        <v>31</v>
      </c>
      <c r="B192" s="31" t="n">
        <v>31107</v>
      </c>
      <c r="C192" s="56" t="n">
        <v>289000</v>
      </c>
      <c r="D192" s="260" t="s">
        <v>41</v>
      </c>
      <c r="E192" s="33" t="n">
        <f aca="false">IF(D192="totale",(C192/(A192*24))/F192,IF(D192="marché libre",(C192/(A192*24))/G192,"spécifier histo"))</f>
        <v>0.388440860215054</v>
      </c>
      <c r="F192" s="59" t="n">
        <v>1000</v>
      </c>
      <c r="G192" s="59" t="n">
        <f aca="false">F192-H192</f>
        <v>1000</v>
      </c>
      <c r="H192" s="59" t="n">
        <f aca="false">0</f>
        <v>0</v>
      </c>
      <c r="I192" s="0"/>
      <c r="J192" s="205"/>
      <c r="K192" s="1"/>
      <c r="L192" s="0"/>
      <c r="M192" s="0"/>
      <c r="N192" s="0"/>
      <c r="O192" s="0"/>
      <c r="P192" s="0"/>
      <c r="Q192" s="0"/>
      <c r="R192" s="0"/>
      <c r="S192" s="0"/>
      <c r="T192" s="0"/>
      <c r="U192" s="0"/>
      <c r="V192" s="0"/>
      <c r="W192" s="0"/>
      <c r="X192" s="0"/>
      <c r="Y192" s="0"/>
      <c r="Z192" s="0"/>
      <c r="AA192" s="0"/>
      <c r="AC192" s="0"/>
      <c r="AS192" s="0"/>
    </row>
    <row r="193" customFormat="false" ht="18.95" hidden="false" customHeight="true" outlineLevel="0" collapsed="false">
      <c r="A193" s="0" t="n">
        <v>30</v>
      </c>
      <c r="B193" s="34" t="n">
        <v>31138</v>
      </c>
      <c r="C193" s="56" t="n">
        <v>346000</v>
      </c>
      <c r="D193" s="260" t="s">
        <v>41</v>
      </c>
      <c r="E193" s="33" t="n">
        <f aca="false">IF(D193="totale",(C193/(A193*24))/F193,IF(D193="marché libre",(C193/(A193*24))/G193,"spécifier histo"))</f>
        <v>0.480555555555556</v>
      </c>
      <c r="F193" s="59" t="n">
        <v>1000</v>
      </c>
      <c r="G193" s="59" t="n">
        <f aca="false">F193-H193</f>
        <v>1000</v>
      </c>
      <c r="H193" s="59" t="n">
        <f aca="false">0</f>
        <v>0</v>
      </c>
      <c r="I193" s="0"/>
      <c r="J193" s="205"/>
      <c r="K193" s="1"/>
      <c r="L193" s="0"/>
      <c r="M193" s="0"/>
      <c r="N193" s="0"/>
      <c r="O193" s="0"/>
      <c r="P193" s="0"/>
      <c r="Q193" s="0"/>
      <c r="R193" s="0"/>
      <c r="S193" s="0"/>
      <c r="T193" s="0"/>
      <c r="U193" s="0"/>
      <c r="V193" s="0"/>
      <c r="W193" s="0"/>
      <c r="X193" s="0"/>
      <c r="Y193" s="0"/>
      <c r="Z193" s="0"/>
      <c r="AA193" s="0"/>
      <c r="AC193" s="0"/>
      <c r="AS193" s="0"/>
    </row>
    <row r="194" customFormat="false" ht="18.95" hidden="false" customHeight="true" outlineLevel="0" collapsed="false">
      <c r="A194" s="0" t="n">
        <v>31</v>
      </c>
      <c r="B194" s="31" t="n">
        <v>31168</v>
      </c>
      <c r="C194" s="56" t="n">
        <v>477000</v>
      </c>
      <c r="D194" s="260" t="s">
        <v>41</v>
      </c>
      <c r="E194" s="33" t="n">
        <f aca="false">IF(D194="totale",(C194/(A194*24))/F194,IF(D194="marché libre",(C194/(A194*24))/G194,"spécifier histo"))</f>
        <v>0.641129032258065</v>
      </c>
      <c r="F194" s="59" t="n">
        <v>1000</v>
      </c>
      <c r="G194" s="59" t="n">
        <f aca="false">F194-H194</f>
        <v>1000</v>
      </c>
      <c r="H194" s="59" t="n">
        <f aca="false">0</f>
        <v>0</v>
      </c>
      <c r="I194" s="0"/>
      <c r="J194" s="205"/>
      <c r="K194" s="1"/>
      <c r="L194" s="0"/>
      <c r="M194" s="0"/>
      <c r="N194" s="0"/>
      <c r="O194" s="0"/>
      <c r="P194" s="0"/>
      <c r="Q194" s="0"/>
      <c r="R194" s="0"/>
      <c r="S194" s="0"/>
      <c r="T194" s="0"/>
      <c r="U194" s="0"/>
      <c r="V194" s="0"/>
      <c r="W194" s="0"/>
      <c r="X194" s="0"/>
      <c r="Y194" s="0"/>
      <c r="Z194" s="0"/>
      <c r="AA194" s="0"/>
      <c r="AC194" s="0"/>
      <c r="AS194" s="0"/>
    </row>
    <row r="195" customFormat="false" ht="18.95" hidden="false" customHeight="true" outlineLevel="0" collapsed="false">
      <c r="A195" s="0" t="n">
        <v>30</v>
      </c>
      <c r="B195" s="34" t="n">
        <v>31199</v>
      </c>
      <c r="C195" s="56" t="n">
        <v>660000</v>
      </c>
      <c r="D195" s="260" t="s">
        <v>41</v>
      </c>
      <c r="E195" s="33" t="n">
        <f aca="false">IF(D195="totale",(C195/(A195*24))/F195,IF(D195="marché libre",(C195/(A195*24))/G195,"spécifier histo"))</f>
        <v>0.916666666666667</v>
      </c>
      <c r="F195" s="59" t="n">
        <v>1000</v>
      </c>
      <c r="G195" s="59" t="n">
        <f aca="false">F195-H195</f>
        <v>1000</v>
      </c>
      <c r="H195" s="59" t="n">
        <f aca="false">0</f>
        <v>0</v>
      </c>
      <c r="I195" s="0"/>
      <c r="J195" s="205"/>
      <c r="K195" s="1"/>
      <c r="L195" s="0"/>
      <c r="M195" s="0"/>
      <c r="N195" s="0"/>
      <c r="O195" s="0"/>
      <c r="P195" s="0"/>
      <c r="Q195" s="0"/>
      <c r="R195" s="0"/>
      <c r="S195" s="0"/>
      <c r="T195" s="0"/>
      <c r="U195" s="0"/>
      <c r="V195" s="0"/>
      <c r="W195" s="0"/>
      <c r="X195" s="0"/>
      <c r="Y195" s="0"/>
      <c r="Z195" s="0"/>
      <c r="AA195" s="0"/>
      <c r="AC195" s="0"/>
      <c r="AS195" s="0"/>
    </row>
    <row r="196" customFormat="false" ht="18.95" hidden="false" customHeight="true" outlineLevel="0" collapsed="false">
      <c r="A196" s="0" t="n">
        <v>31</v>
      </c>
      <c r="B196" s="31" t="n">
        <v>31229</v>
      </c>
      <c r="C196" s="56" t="n">
        <v>594000</v>
      </c>
      <c r="D196" s="260" t="s">
        <v>41</v>
      </c>
      <c r="E196" s="33" t="n">
        <f aca="false">IF(D196="totale",(C196/(A196*24))/F196,IF(D196="marché libre",(C196/(A196*24))/G196,"spécifier histo"))</f>
        <v>0.798387096774194</v>
      </c>
      <c r="F196" s="59" t="n">
        <v>1000</v>
      </c>
      <c r="G196" s="59" t="n">
        <f aca="false">F196-H196</f>
        <v>1000</v>
      </c>
      <c r="H196" s="59" t="n">
        <f aca="false">0</f>
        <v>0</v>
      </c>
      <c r="I196" s="0"/>
      <c r="J196" s="205"/>
      <c r="K196" s="1"/>
      <c r="L196" s="0"/>
      <c r="M196" s="0"/>
      <c r="N196" s="0"/>
      <c r="O196" s="0"/>
      <c r="P196" s="0"/>
      <c r="Q196" s="0"/>
      <c r="R196" s="0"/>
      <c r="S196" s="0"/>
      <c r="T196" s="0"/>
      <c r="U196" s="0"/>
      <c r="V196" s="0"/>
      <c r="W196" s="0"/>
      <c r="X196" s="0"/>
      <c r="Y196" s="0"/>
      <c r="Z196" s="0"/>
      <c r="AA196" s="0"/>
      <c r="AC196" s="0"/>
      <c r="AS196" s="0"/>
    </row>
    <row r="197" customFormat="false" ht="18.95" hidden="false" customHeight="true" outlineLevel="0" collapsed="false">
      <c r="A197" s="0" t="n">
        <v>31</v>
      </c>
      <c r="B197" s="34" t="n">
        <v>31260</v>
      </c>
      <c r="C197" s="56" t="n">
        <v>528000</v>
      </c>
      <c r="D197" s="260" t="s">
        <v>41</v>
      </c>
      <c r="E197" s="33" t="n">
        <f aca="false">IF(D197="totale",(C197/(A197*24))/F197,IF(D197="marché libre",(C197/(A197*24))/G197,"spécifier histo"))</f>
        <v>0.709677419354839</v>
      </c>
      <c r="F197" s="59" t="n">
        <v>1000</v>
      </c>
      <c r="G197" s="59" t="n">
        <f aca="false">F197-H197</f>
        <v>1000</v>
      </c>
      <c r="H197" s="59" t="n">
        <f aca="false">0</f>
        <v>0</v>
      </c>
      <c r="I197" s="0"/>
      <c r="J197" s="205"/>
      <c r="K197" s="1"/>
      <c r="L197" s="0"/>
      <c r="M197" s="0"/>
      <c r="N197" s="0"/>
      <c r="O197" s="0"/>
      <c r="P197" s="0"/>
      <c r="Q197" s="0"/>
      <c r="R197" s="0"/>
      <c r="S197" s="0"/>
      <c r="T197" s="0"/>
      <c r="U197" s="0"/>
      <c r="V197" s="0"/>
      <c r="W197" s="0"/>
      <c r="X197" s="0"/>
      <c r="Y197" s="0"/>
      <c r="Z197" s="0"/>
      <c r="AA197" s="0"/>
      <c r="AC197" s="0"/>
      <c r="AS197" s="0"/>
    </row>
    <row r="198" customFormat="false" ht="18.95" hidden="false" customHeight="true" outlineLevel="0" collapsed="false">
      <c r="A198" s="0" t="n">
        <v>30</v>
      </c>
      <c r="B198" s="31" t="n">
        <v>31291</v>
      </c>
      <c r="C198" s="56" t="n">
        <v>466000</v>
      </c>
      <c r="D198" s="260" t="s">
        <v>41</v>
      </c>
      <c r="E198" s="33" t="n">
        <f aca="false">IF(D198="totale",(C198/(A198*24))/F198,IF(D198="marché libre",(C198/(A198*24))/G198,"spécifier histo"))</f>
        <v>0.647222222222222</v>
      </c>
      <c r="F198" s="59" t="n">
        <v>1000</v>
      </c>
      <c r="G198" s="59" t="n">
        <f aca="false">F198-H198</f>
        <v>1000</v>
      </c>
      <c r="H198" s="59" t="n">
        <f aca="false">0</f>
        <v>0</v>
      </c>
      <c r="I198" s="0"/>
      <c r="J198" s="205"/>
      <c r="K198" s="1"/>
      <c r="L198" s="0"/>
      <c r="M198" s="0"/>
      <c r="N198" s="0"/>
      <c r="O198" s="0"/>
      <c r="P198" s="0"/>
      <c r="Q198" s="0"/>
      <c r="R198" s="0"/>
      <c r="S198" s="0"/>
      <c r="T198" s="0"/>
      <c r="U198" s="0"/>
      <c r="V198" s="0"/>
      <c r="W198" s="0"/>
      <c r="X198" s="0"/>
      <c r="Y198" s="0"/>
      <c r="Z198" s="0"/>
      <c r="AA198" s="0"/>
      <c r="AC198" s="0"/>
      <c r="AS198" s="0"/>
    </row>
    <row r="199" customFormat="false" ht="18.95" hidden="false" customHeight="true" outlineLevel="0" collapsed="false">
      <c r="A199" s="0" t="n">
        <v>31</v>
      </c>
      <c r="B199" s="34" t="n">
        <v>31321</v>
      </c>
      <c r="C199" s="56" t="n">
        <v>392000</v>
      </c>
      <c r="D199" s="260" t="s">
        <v>41</v>
      </c>
      <c r="E199" s="33" t="n">
        <f aca="false">IF(D199="totale",(C199/(A199*24))/F199,IF(D199="marché libre",(C199/(A199*24))/G199,"spécifier histo"))</f>
        <v>0.526881720430108</v>
      </c>
      <c r="F199" s="59" t="n">
        <v>1000</v>
      </c>
      <c r="G199" s="59" t="n">
        <f aca="false">F199-H199</f>
        <v>1000</v>
      </c>
      <c r="H199" s="59" t="n">
        <f aca="false">0</f>
        <v>0</v>
      </c>
      <c r="I199" s="9"/>
      <c r="J199" s="205"/>
      <c r="K199" s="1"/>
      <c r="L199" s="0"/>
      <c r="M199" s="0"/>
      <c r="N199" s="0"/>
      <c r="O199" s="0"/>
      <c r="P199" s="0"/>
      <c r="Q199" s="0"/>
      <c r="R199" s="0"/>
      <c r="S199" s="0"/>
      <c r="T199" s="0"/>
      <c r="U199" s="0"/>
      <c r="V199" s="0"/>
      <c r="W199" s="0"/>
      <c r="X199" s="0"/>
      <c r="Y199" s="0"/>
      <c r="Z199" s="0"/>
      <c r="AA199" s="0"/>
      <c r="AC199" s="0"/>
      <c r="AS199" s="0"/>
    </row>
    <row r="200" customFormat="false" ht="18.95" hidden="false" customHeight="true" outlineLevel="0" collapsed="false">
      <c r="A200" s="0" t="n">
        <v>30</v>
      </c>
      <c r="B200" s="31" t="n">
        <v>31352</v>
      </c>
      <c r="C200" s="56" t="n">
        <v>312000</v>
      </c>
      <c r="D200" s="260" t="s">
        <v>41</v>
      </c>
      <c r="E200" s="33" t="n">
        <f aca="false">IF(D200="totale",(C200/(A200*24))/F200,IF(D200="marché libre",(C200/(A200*24))/G200,"spécifier histo"))</f>
        <v>0.433333333333333</v>
      </c>
      <c r="F200" s="59" t="n">
        <v>1000</v>
      </c>
      <c r="G200" s="59" t="n">
        <f aca="false">F200-H200</f>
        <v>1000</v>
      </c>
      <c r="H200" s="59" t="n">
        <f aca="false">0</f>
        <v>0</v>
      </c>
      <c r="I200" s="9"/>
      <c r="J200" s="205"/>
      <c r="K200" s="1"/>
      <c r="L200" s="0"/>
      <c r="M200" s="0"/>
      <c r="N200" s="0"/>
      <c r="O200" s="0"/>
      <c r="P200" s="0"/>
      <c r="Q200" s="0"/>
      <c r="R200" s="0"/>
      <c r="S200" s="0"/>
      <c r="T200" s="0"/>
      <c r="U200" s="0"/>
      <c r="V200" s="0"/>
      <c r="W200" s="0"/>
      <c r="X200" s="0"/>
      <c r="Y200" s="0"/>
      <c r="Z200" s="0"/>
      <c r="AA200" s="0"/>
      <c r="AC200" s="0"/>
      <c r="AS200" s="0"/>
    </row>
    <row r="201" customFormat="false" ht="18.95" hidden="false" customHeight="true" outlineLevel="0" collapsed="false">
      <c r="A201" s="0" t="n">
        <v>31</v>
      </c>
      <c r="B201" s="34" t="n">
        <v>31382</v>
      </c>
      <c r="C201" s="56" t="n">
        <v>323000</v>
      </c>
      <c r="D201" s="260" t="s">
        <v>41</v>
      </c>
      <c r="E201" s="33" t="n">
        <f aca="false">IF(D201="totale",(C201/(A201*24))/F201,IF(D201="marché libre",(C201/(A201*24))/G201,"spécifier histo"))</f>
        <v>0.434139784946237</v>
      </c>
      <c r="F201" s="59" t="n">
        <v>1000</v>
      </c>
      <c r="G201" s="59" t="n">
        <f aca="false">F201-H201</f>
        <v>1000</v>
      </c>
      <c r="H201" s="59" t="n">
        <f aca="false">0</f>
        <v>0</v>
      </c>
      <c r="I201" s="9"/>
      <c r="J201" s="205"/>
      <c r="K201" s="1"/>
      <c r="L201" s="0"/>
      <c r="M201" s="0"/>
      <c r="N201" s="0"/>
      <c r="O201" s="0"/>
      <c r="P201" s="0"/>
      <c r="Q201" s="0"/>
      <c r="R201" s="0"/>
      <c r="S201" s="0"/>
      <c r="T201" s="0"/>
      <c r="U201" s="0"/>
      <c r="V201" s="0"/>
      <c r="W201" s="0"/>
      <c r="X201" s="0"/>
      <c r="Y201" s="0"/>
      <c r="Z201" s="0"/>
      <c r="AA201" s="0"/>
      <c r="AC201" s="0"/>
      <c r="AS201" s="0"/>
    </row>
    <row r="202" customFormat="false" ht="18.95" hidden="false" customHeight="true" outlineLevel="0" collapsed="false">
      <c r="A202" s="0" t="n">
        <v>31</v>
      </c>
      <c r="B202" s="31" t="n">
        <v>31413</v>
      </c>
      <c r="C202" s="56" t="n">
        <v>285000</v>
      </c>
      <c r="D202" s="260" t="s">
        <v>41</v>
      </c>
      <c r="E202" s="33" t="n">
        <f aca="false">IF(D202="totale",(C202/(A202*24))/F202,IF(D202="marché libre",(C202/(A202*24))/G202,"spécifier histo"))</f>
        <v>0.383064516129032</v>
      </c>
      <c r="F202" s="59" t="n">
        <v>1000</v>
      </c>
      <c r="G202" s="59" t="n">
        <f aca="false">F202-H202</f>
        <v>1000</v>
      </c>
      <c r="H202" s="59" t="n">
        <f aca="false">0</f>
        <v>0</v>
      </c>
      <c r="I202" s="9"/>
      <c r="J202" s="205"/>
      <c r="K202" s="1"/>
      <c r="L202" s="0"/>
      <c r="M202" s="0"/>
      <c r="N202" s="0"/>
      <c r="O202" s="0"/>
      <c r="P202" s="0"/>
      <c r="Q202" s="0"/>
      <c r="R202" s="0"/>
      <c r="S202" s="0"/>
      <c r="T202" s="0"/>
      <c r="U202" s="0"/>
      <c r="V202" s="0"/>
      <c r="W202" s="0"/>
      <c r="X202" s="0"/>
      <c r="Y202" s="0"/>
      <c r="Z202" s="0"/>
      <c r="AA202" s="0"/>
      <c r="AC202" s="0"/>
      <c r="AS202" s="0"/>
    </row>
    <row r="203" customFormat="false" ht="18.95" hidden="false" customHeight="true" outlineLevel="0" collapsed="false">
      <c r="A203" s="0" t="n">
        <v>28</v>
      </c>
      <c r="B203" s="34" t="n">
        <v>31444</v>
      </c>
      <c r="C203" s="56" t="n">
        <v>248000</v>
      </c>
      <c r="D203" s="260" t="s">
        <v>41</v>
      </c>
      <c r="E203" s="33" t="n">
        <f aca="false">IF(D203="totale",(C203/(A203*24))/F203,IF(D203="marché libre",(C203/(A203*24))/G203,"spécifier histo"))</f>
        <v>0.369047619047619</v>
      </c>
      <c r="F203" s="59" t="n">
        <v>1000</v>
      </c>
      <c r="G203" s="59" t="n">
        <f aca="false">F203-H203</f>
        <v>1000</v>
      </c>
      <c r="H203" s="59" t="n">
        <f aca="false">0</f>
        <v>0</v>
      </c>
      <c r="I203" s="9"/>
      <c r="J203" s="205"/>
      <c r="K203" s="1"/>
      <c r="L203" s="0"/>
      <c r="M203" s="0"/>
      <c r="N203" s="0"/>
      <c r="O203" s="0"/>
      <c r="P203" s="0"/>
      <c r="Q203" s="0"/>
      <c r="R203" s="0"/>
      <c r="S203" s="0"/>
      <c r="T203" s="0"/>
      <c r="U203" s="0"/>
      <c r="V203" s="0"/>
      <c r="W203" s="0"/>
      <c r="X203" s="0"/>
      <c r="Y203" s="0"/>
      <c r="Z203" s="0"/>
      <c r="AA203" s="0"/>
      <c r="AC203" s="0"/>
      <c r="AS203" s="0"/>
    </row>
    <row r="204" customFormat="false" ht="18.95" hidden="false" customHeight="true" outlineLevel="0" collapsed="false">
      <c r="A204" s="0" t="n">
        <v>31</v>
      </c>
      <c r="B204" s="31" t="n">
        <v>31472</v>
      </c>
      <c r="C204" s="56" t="n">
        <v>279000</v>
      </c>
      <c r="D204" s="260" t="s">
        <v>41</v>
      </c>
      <c r="E204" s="33" t="n">
        <f aca="false">IF(D204="totale",(C204/(A204*24))/F204,IF(D204="marché libre",(C204/(A204*24))/G204,"spécifier histo"))</f>
        <v>0.375</v>
      </c>
      <c r="F204" s="59" t="n">
        <v>1000</v>
      </c>
      <c r="G204" s="59" t="n">
        <f aca="false">F204-H204</f>
        <v>1000</v>
      </c>
      <c r="H204" s="59" t="n">
        <f aca="false">0</f>
        <v>0</v>
      </c>
      <c r="I204" s="9"/>
      <c r="J204" s="205"/>
      <c r="K204" s="1"/>
      <c r="L204" s="0"/>
      <c r="M204" s="0"/>
      <c r="N204" s="0"/>
      <c r="O204" s="0"/>
      <c r="P204" s="0"/>
      <c r="Q204" s="0"/>
      <c r="R204" s="0"/>
      <c r="S204" s="0"/>
      <c r="T204" s="0"/>
      <c r="U204" s="0"/>
      <c r="V204" s="0"/>
      <c r="W204" s="0"/>
      <c r="X204" s="0"/>
      <c r="Y204" s="0"/>
      <c r="Z204" s="0"/>
      <c r="AA204" s="0"/>
      <c r="AC204" s="0"/>
      <c r="AS204" s="0"/>
    </row>
    <row r="205" customFormat="false" ht="18.95" hidden="false" customHeight="true" outlineLevel="0" collapsed="false">
      <c r="A205" s="0" t="n">
        <v>30</v>
      </c>
      <c r="B205" s="34" t="n">
        <v>31503</v>
      </c>
      <c r="C205" s="56" t="n">
        <v>363000</v>
      </c>
      <c r="D205" s="260" t="s">
        <v>41</v>
      </c>
      <c r="E205" s="33" t="n">
        <f aca="false">IF(D205="totale",(C205/(A205*24))/F205,IF(D205="marché libre",(C205/(A205*24))/G205,"spécifier histo"))</f>
        <v>0.504166666666667</v>
      </c>
      <c r="F205" s="59" t="n">
        <v>1000</v>
      </c>
      <c r="G205" s="59" t="n">
        <f aca="false">F205-H205</f>
        <v>1000</v>
      </c>
      <c r="H205" s="59" t="n">
        <f aca="false">0</f>
        <v>0</v>
      </c>
      <c r="I205" s="9"/>
      <c r="J205" s="205"/>
      <c r="K205" s="1"/>
      <c r="L205" s="0"/>
      <c r="M205" s="0"/>
      <c r="N205" s="0"/>
      <c r="O205" s="0"/>
      <c r="P205" s="0"/>
      <c r="Q205" s="0"/>
      <c r="R205" s="0"/>
      <c r="S205" s="0"/>
      <c r="T205" s="0"/>
      <c r="U205" s="0"/>
      <c r="V205" s="0"/>
      <c r="W205" s="0"/>
      <c r="X205" s="0"/>
      <c r="Y205" s="0"/>
      <c r="Z205" s="0"/>
      <c r="AA205" s="0"/>
      <c r="AC205" s="0"/>
      <c r="AS205" s="0"/>
    </row>
    <row r="206" customFormat="false" ht="18.95" hidden="false" customHeight="true" outlineLevel="0" collapsed="false">
      <c r="A206" s="0" t="n">
        <v>31</v>
      </c>
      <c r="B206" s="31" t="n">
        <v>31533</v>
      </c>
      <c r="C206" s="56" t="n">
        <v>500000</v>
      </c>
      <c r="D206" s="260" t="s">
        <v>41</v>
      </c>
      <c r="E206" s="33" t="n">
        <f aca="false">IF(D206="totale",(C206/(A206*24))/F206,IF(D206="marché libre",(C206/(A206*24))/G206,"spécifier histo"))</f>
        <v>0.672043010752688</v>
      </c>
      <c r="F206" s="59" t="n">
        <v>1000</v>
      </c>
      <c r="G206" s="59" t="n">
        <f aca="false">F206-H206</f>
        <v>1000</v>
      </c>
      <c r="H206" s="59" t="n">
        <f aca="false">0</f>
        <v>0</v>
      </c>
      <c r="I206" s="9"/>
      <c r="J206" s="205"/>
      <c r="K206" s="1"/>
      <c r="L206" s="0"/>
      <c r="M206" s="0"/>
      <c r="N206" s="0"/>
      <c r="O206" s="0"/>
      <c r="P206" s="0"/>
      <c r="Q206" s="0"/>
      <c r="R206" s="0"/>
      <c r="S206" s="0"/>
      <c r="T206" s="0"/>
      <c r="U206" s="0"/>
      <c r="V206" s="0"/>
      <c r="W206" s="0"/>
      <c r="X206" s="0"/>
      <c r="Y206" s="0"/>
      <c r="Z206" s="0"/>
      <c r="AA206" s="0"/>
      <c r="AC206" s="0"/>
      <c r="AS206" s="0"/>
    </row>
    <row r="207" customFormat="false" ht="18.95" hidden="false" customHeight="true" outlineLevel="0" collapsed="false">
      <c r="A207" s="0" t="n">
        <v>30</v>
      </c>
      <c r="B207" s="34" t="n">
        <v>31564</v>
      </c>
      <c r="C207" s="56" t="n">
        <v>609000</v>
      </c>
      <c r="D207" s="260" t="s">
        <v>41</v>
      </c>
      <c r="E207" s="33" t="n">
        <f aca="false">IF(D207="totale",(C207/(A207*24))/F207,IF(D207="marché libre",(C207/(A207*24))/G207,"spécifier histo"))</f>
        <v>0.845833333333333</v>
      </c>
      <c r="F207" s="59" t="n">
        <v>1000</v>
      </c>
      <c r="G207" s="59" t="n">
        <f aca="false">F207-H207</f>
        <v>1000</v>
      </c>
      <c r="H207" s="59" t="n">
        <f aca="false">0</f>
        <v>0</v>
      </c>
      <c r="I207" s="9"/>
      <c r="J207" s="205"/>
      <c r="K207" s="1"/>
      <c r="L207" s="0"/>
      <c r="M207" s="0"/>
      <c r="N207" s="0"/>
      <c r="O207" s="0"/>
      <c r="P207" s="0"/>
      <c r="Q207" s="0"/>
      <c r="R207" s="0"/>
      <c r="S207" s="0"/>
      <c r="T207" s="0"/>
      <c r="U207" s="0"/>
      <c r="V207" s="0"/>
      <c r="W207" s="0"/>
      <c r="X207" s="0"/>
      <c r="Y207" s="0"/>
      <c r="Z207" s="0"/>
      <c r="AA207" s="0"/>
      <c r="AC207" s="0"/>
      <c r="AS207" s="0"/>
    </row>
    <row r="208" customFormat="false" ht="18.95" hidden="false" customHeight="true" outlineLevel="0" collapsed="false">
      <c r="A208" s="0" t="n">
        <v>31</v>
      </c>
      <c r="B208" s="31" t="n">
        <v>31594</v>
      </c>
      <c r="C208" s="56" t="n">
        <v>635000</v>
      </c>
      <c r="D208" s="260" t="s">
        <v>41</v>
      </c>
      <c r="E208" s="33" t="n">
        <f aca="false">IF(D208="totale",(C208/(A208*24))/F208,IF(D208="marché libre",(C208/(A208*24))/G208,"spécifier histo"))</f>
        <v>0.853494623655914</v>
      </c>
      <c r="F208" s="59" t="n">
        <v>1000</v>
      </c>
      <c r="G208" s="59" t="n">
        <f aca="false">F208-H208</f>
        <v>1000</v>
      </c>
      <c r="H208" s="59" t="n">
        <f aca="false">0</f>
        <v>0</v>
      </c>
      <c r="I208" s="9"/>
      <c r="J208" s="205"/>
      <c r="K208" s="1"/>
      <c r="L208" s="0"/>
      <c r="M208" s="0"/>
      <c r="N208" s="0"/>
      <c r="O208" s="0"/>
      <c r="P208" s="0"/>
      <c r="Q208" s="0"/>
      <c r="R208" s="0"/>
      <c r="S208" s="0"/>
      <c r="T208" s="0"/>
      <c r="U208" s="0"/>
      <c r="V208" s="0"/>
      <c r="W208" s="0"/>
      <c r="X208" s="0"/>
      <c r="Y208" s="0"/>
      <c r="Z208" s="0"/>
      <c r="AC208" s="0"/>
      <c r="AS208" s="0"/>
    </row>
    <row r="209" customFormat="false" ht="18.95" hidden="false" customHeight="true" outlineLevel="0" collapsed="false">
      <c r="A209" s="0" t="n">
        <v>31</v>
      </c>
      <c r="B209" s="34" t="n">
        <v>31625</v>
      </c>
      <c r="C209" s="56" t="n">
        <v>480000</v>
      </c>
      <c r="D209" s="260" t="s">
        <v>41</v>
      </c>
      <c r="E209" s="33" t="n">
        <f aca="false">IF(D209="totale",(C209/(A209*24))/F209,IF(D209="marché libre",(C209/(A209*24))/G209,"spécifier histo"))</f>
        <v>0.645161290322581</v>
      </c>
      <c r="F209" s="59" t="n">
        <v>1000</v>
      </c>
      <c r="G209" s="59" t="n">
        <f aca="false">F209-H209</f>
        <v>1000</v>
      </c>
      <c r="H209" s="59" t="n">
        <f aca="false">0</f>
        <v>0</v>
      </c>
      <c r="I209" s="9"/>
      <c r="J209" s="205"/>
      <c r="K209" s="1"/>
      <c r="L209" s="0"/>
      <c r="M209" s="0"/>
      <c r="N209" s="0"/>
      <c r="O209" s="0"/>
      <c r="P209" s="0"/>
      <c r="Q209" s="0"/>
      <c r="R209" s="0"/>
      <c r="S209" s="0"/>
      <c r="T209" s="0"/>
      <c r="U209" s="0"/>
      <c r="V209" s="0"/>
      <c r="W209" s="0"/>
      <c r="X209" s="0"/>
      <c r="Y209" s="0"/>
      <c r="Z209" s="0"/>
      <c r="AC209" s="0"/>
      <c r="AS209" s="0"/>
    </row>
    <row r="210" customFormat="false" ht="18.95" hidden="false" customHeight="true" outlineLevel="0" collapsed="false">
      <c r="A210" s="0" t="n">
        <v>30</v>
      </c>
      <c r="B210" s="31" t="n">
        <v>31656</v>
      </c>
      <c r="C210" s="56" t="n">
        <v>441000</v>
      </c>
      <c r="D210" s="260" t="s">
        <v>41</v>
      </c>
      <c r="E210" s="33" t="n">
        <f aca="false">IF(D210="totale",(C210/(A210*24))/F210,IF(D210="marché libre",(C210/(A210*24))/G210,"spécifier histo"))</f>
        <v>0.6125</v>
      </c>
      <c r="F210" s="59" t="n">
        <v>1000</v>
      </c>
      <c r="G210" s="59" t="n">
        <f aca="false">F210-H210</f>
        <v>1000</v>
      </c>
      <c r="H210" s="59" t="n">
        <f aca="false">0</f>
        <v>0</v>
      </c>
      <c r="I210" s="9"/>
      <c r="J210" s="205"/>
      <c r="K210" s="1"/>
      <c r="L210" s="0"/>
      <c r="M210" s="0"/>
      <c r="N210" s="0"/>
      <c r="O210" s="0"/>
      <c r="P210" s="0"/>
      <c r="Q210" s="0"/>
      <c r="R210" s="0"/>
      <c r="S210" s="0"/>
      <c r="T210" s="0"/>
      <c r="U210" s="0"/>
      <c r="V210" s="0"/>
      <c r="W210" s="0"/>
      <c r="X210" s="0"/>
      <c r="Y210" s="0"/>
      <c r="Z210" s="0"/>
      <c r="AC210" s="0"/>
      <c r="AS210" s="0"/>
    </row>
    <row r="211" customFormat="false" ht="18.95" hidden="false" customHeight="true" outlineLevel="0" collapsed="false">
      <c r="A211" s="0" t="n">
        <v>31</v>
      </c>
      <c r="B211" s="34" t="n">
        <v>31686</v>
      </c>
      <c r="C211" s="56" t="n">
        <v>415000</v>
      </c>
      <c r="D211" s="260" t="s">
        <v>41</v>
      </c>
      <c r="E211" s="33" t="n">
        <f aca="false">IF(D211="totale",(C211/(A211*24))/F211,IF(D211="marché libre",(C211/(A211*24))/G211,"spécifier histo"))</f>
        <v>0.557795698924731</v>
      </c>
      <c r="F211" s="59" t="n">
        <v>1000</v>
      </c>
      <c r="G211" s="59" t="n">
        <f aca="false">F211-H211</f>
        <v>1000</v>
      </c>
      <c r="H211" s="59" t="n">
        <f aca="false">0</f>
        <v>0</v>
      </c>
      <c r="I211" s="9"/>
      <c r="J211" s="205"/>
      <c r="K211" s="1"/>
      <c r="L211" s="0"/>
      <c r="M211" s="0"/>
      <c r="N211" s="0"/>
      <c r="O211" s="0"/>
      <c r="P211" s="0"/>
      <c r="Q211" s="0"/>
      <c r="R211" s="0"/>
      <c r="S211" s="0"/>
      <c r="T211" s="0"/>
      <c r="U211" s="0"/>
      <c r="V211" s="0"/>
      <c r="W211" s="0"/>
      <c r="X211" s="0"/>
      <c r="Y211" s="0"/>
      <c r="Z211" s="0"/>
      <c r="AC211" s="0"/>
      <c r="AS211" s="0"/>
    </row>
    <row r="212" customFormat="false" ht="18.95" hidden="false" customHeight="true" outlineLevel="0" collapsed="false">
      <c r="A212" s="0" t="n">
        <v>30</v>
      </c>
      <c r="B212" s="31" t="n">
        <v>31717</v>
      </c>
      <c r="C212" s="56" t="n">
        <v>379000</v>
      </c>
      <c r="D212" s="260" t="s">
        <v>41</v>
      </c>
      <c r="E212" s="33" t="n">
        <f aca="false">IF(D212="totale",(C212/(A212*24))/F212,IF(D212="marché libre",(C212/(A212*24))/G212,"spécifier histo"))</f>
        <v>0.526388888888889</v>
      </c>
      <c r="F212" s="59" t="n">
        <v>1000</v>
      </c>
      <c r="G212" s="59" t="n">
        <f aca="false">F212-H212</f>
        <v>1000</v>
      </c>
      <c r="H212" s="59" t="n">
        <f aca="false">0</f>
        <v>0</v>
      </c>
      <c r="I212" s="9"/>
      <c r="J212" s="205"/>
      <c r="K212" s="1"/>
      <c r="L212" s="0"/>
      <c r="M212" s="0"/>
      <c r="N212" s="0"/>
      <c r="O212" s="0"/>
      <c r="P212" s="0"/>
      <c r="Q212" s="0"/>
      <c r="R212" s="0"/>
      <c r="S212" s="0"/>
      <c r="T212" s="0"/>
      <c r="U212" s="0"/>
      <c r="V212" s="0"/>
      <c r="W212" s="0"/>
      <c r="X212" s="0"/>
      <c r="Y212" s="0"/>
      <c r="Z212" s="0"/>
      <c r="AC212" s="0"/>
      <c r="AS212" s="0"/>
    </row>
    <row r="213" customFormat="false" ht="18.95" hidden="false" customHeight="true" outlineLevel="0" collapsed="false">
      <c r="A213" s="0" t="n">
        <v>31</v>
      </c>
      <c r="B213" s="34" t="n">
        <v>31747</v>
      </c>
      <c r="C213" s="56" t="n">
        <v>365000</v>
      </c>
      <c r="D213" s="260" t="s">
        <v>41</v>
      </c>
      <c r="E213" s="33" t="n">
        <f aca="false">IF(D213="totale",(C213/(A213*24))/F213,IF(D213="marché libre",(C213/(A213*24))/G213,"spécifier histo"))</f>
        <v>0.490591397849462</v>
      </c>
      <c r="F213" s="59" t="n">
        <v>1000</v>
      </c>
      <c r="G213" s="59" t="n">
        <f aca="false">F213-H213</f>
        <v>1000</v>
      </c>
      <c r="H213" s="59" t="n">
        <f aca="false">0</f>
        <v>0</v>
      </c>
      <c r="I213" s="9"/>
      <c r="J213" s="205"/>
      <c r="K213" s="1"/>
      <c r="L213" s="1"/>
      <c r="M213" s="1"/>
      <c r="N213" s="1"/>
      <c r="O213" s="1"/>
      <c r="P213" s="1"/>
      <c r="Q213" s="1"/>
      <c r="R213" s="1"/>
      <c r="S213" s="1"/>
      <c r="T213" s="1"/>
      <c r="AC213" s="0"/>
      <c r="AS213" s="0"/>
    </row>
    <row r="214" customFormat="false" ht="18.95" hidden="false" customHeight="true" outlineLevel="0" collapsed="false">
      <c r="A214" s="0" t="n">
        <v>31</v>
      </c>
      <c r="B214" s="31" t="n">
        <v>31778</v>
      </c>
      <c r="C214" s="56" t="n">
        <v>351000</v>
      </c>
      <c r="D214" s="260" t="s">
        <v>41</v>
      </c>
      <c r="E214" s="33" t="n">
        <f aca="false">IF(D214="totale",(C214/(A214*24))/F214,IF(D214="marché libre",(C214/(A214*24))/G214,"spécifier histo"))</f>
        <v>0.471774193548387</v>
      </c>
      <c r="F214" s="59" t="n">
        <v>1000</v>
      </c>
      <c r="G214" s="59" t="n">
        <f aca="false">F214-H214</f>
        <v>1000</v>
      </c>
      <c r="H214" s="59" t="n">
        <f aca="false">0</f>
        <v>0</v>
      </c>
      <c r="I214" s="9"/>
      <c r="J214" s="205"/>
      <c r="K214" s="1"/>
      <c r="L214" s="1"/>
      <c r="M214" s="1"/>
      <c r="N214" s="1"/>
      <c r="O214" s="1"/>
      <c r="P214" s="1"/>
      <c r="Q214" s="1"/>
      <c r="R214" s="1"/>
      <c r="S214" s="1"/>
      <c r="T214" s="1"/>
      <c r="AC214" s="0"/>
      <c r="AS214" s="0"/>
    </row>
    <row r="215" customFormat="false" ht="18.95" hidden="false" customHeight="true" outlineLevel="0" collapsed="false">
      <c r="A215" s="0" t="n">
        <v>28</v>
      </c>
      <c r="B215" s="34" t="n">
        <v>31809</v>
      </c>
      <c r="C215" s="56" t="n">
        <v>318000</v>
      </c>
      <c r="D215" s="260" t="s">
        <v>41</v>
      </c>
      <c r="E215" s="33" t="n">
        <f aca="false">IF(D215="totale",(C215/(A215*24))/F215,IF(D215="marché libre",(C215/(A215*24))/G215,"spécifier histo"))</f>
        <v>0.473214285714286</v>
      </c>
      <c r="F215" s="59" t="n">
        <v>1000</v>
      </c>
      <c r="G215" s="59" t="n">
        <f aca="false">F215-H215</f>
        <v>1000</v>
      </c>
      <c r="H215" s="59" t="n">
        <f aca="false">0</f>
        <v>0</v>
      </c>
      <c r="I215" s="9"/>
      <c r="J215" s="205"/>
      <c r="K215" s="1"/>
      <c r="L215" s="1"/>
      <c r="M215" s="1"/>
      <c r="N215" s="1"/>
      <c r="O215" s="1"/>
      <c r="P215" s="1"/>
      <c r="Q215" s="1"/>
      <c r="R215" s="1"/>
      <c r="S215" s="1"/>
      <c r="T215" s="1"/>
      <c r="AC215" s="0"/>
      <c r="AS215" s="0"/>
    </row>
    <row r="216" customFormat="false" ht="18.95" hidden="false" customHeight="true" outlineLevel="0" collapsed="false">
      <c r="A216" s="0" t="n">
        <v>31</v>
      </c>
      <c r="B216" s="31" t="n">
        <v>31837</v>
      </c>
      <c r="C216" s="56" t="n">
        <v>322000</v>
      </c>
      <c r="D216" s="260" t="s">
        <v>41</v>
      </c>
      <c r="E216" s="33" t="n">
        <f aca="false">IF(D216="totale",(C216/(A216*24))/F216,IF(D216="marché libre",(C216/(A216*24))/G216,"spécifier histo"))</f>
        <v>0.432795698924731</v>
      </c>
      <c r="F216" s="59" t="n">
        <v>1000</v>
      </c>
      <c r="G216" s="59" t="n">
        <f aca="false">F216-H216</f>
        <v>1000</v>
      </c>
      <c r="H216" s="59" t="n">
        <f aca="false">0</f>
        <v>0</v>
      </c>
      <c r="I216" s="9"/>
      <c r="J216" s="205"/>
      <c r="K216" s="1"/>
      <c r="L216" s="1"/>
      <c r="M216" s="1"/>
      <c r="N216" s="1"/>
      <c r="O216" s="1"/>
      <c r="P216" s="1"/>
      <c r="Q216" s="1"/>
      <c r="R216" s="1"/>
      <c r="S216" s="1"/>
      <c r="T216" s="1"/>
      <c r="AC216" s="0"/>
      <c r="AS216" s="0"/>
    </row>
    <row r="217" customFormat="false" ht="18.95" hidden="false" customHeight="true" outlineLevel="0" collapsed="false">
      <c r="A217" s="0" t="n">
        <v>30</v>
      </c>
      <c r="B217" s="34" t="n">
        <v>31868</v>
      </c>
      <c r="C217" s="56" t="n">
        <v>348000</v>
      </c>
      <c r="D217" s="260" t="s">
        <v>41</v>
      </c>
      <c r="E217" s="33" t="n">
        <f aca="false">IF(D217="totale",(C217/(A217*24))/F217,IF(D217="marché libre",(C217/(A217*24))/G217,"spécifier histo"))</f>
        <v>0.483333333333333</v>
      </c>
      <c r="F217" s="59" t="n">
        <v>1000</v>
      </c>
      <c r="G217" s="59" t="n">
        <f aca="false">F217-H217</f>
        <v>1000</v>
      </c>
      <c r="H217" s="59" t="n">
        <f aca="false">0</f>
        <v>0</v>
      </c>
      <c r="I217" s="9"/>
      <c r="J217" s="205"/>
      <c r="K217" s="1"/>
      <c r="L217" s="1"/>
      <c r="M217" s="1"/>
      <c r="N217" s="1"/>
      <c r="O217" s="1"/>
      <c r="P217" s="1"/>
      <c r="Q217" s="1"/>
      <c r="R217" s="1"/>
      <c r="S217" s="1"/>
      <c r="T217" s="1"/>
      <c r="AC217" s="0"/>
      <c r="AS217" s="0"/>
    </row>
    <row r="218" customFormat="false" ht="18.95" hidden="false" customHeight="true" outlineLevel="0" collapsed="false">
      <c r="A218" s="0" t="n">
        <v>31</v>
      </c>
      <c r="B218" s="31" t="n">
        <v>31898</v>
      </c>
      <c r="C218" s="56" t="n">
        <v>389000</v>
      </c>
      <c r="D218" s="260" t="s">
        <v>41</v>
      </c>
      <c r="E218" s="33" t="n">
        <f aca="false">IF(D218="totale",(C218/(A218*24))/F218,IF(D218="marché libre",(C218/(A218*24))/G218,"spécifier histo"))</f>
        <v>0.522849462365591</v>
      </c>
      <c r="F218" s="59" t="n">
        <v>1000</v>
      </c>
      <c r="G218" s="59" t="n">
        <f aca="false">F218-H218</f>
        <v>1000</v>
      </c>
      <c r="H218" s="59" t="n">
        <f aca="false">0</f>
        <v>0</v>
      </c>
      <c r="I218" s="9"/>
      <c r="J218" s="205"/>
      <c r="K218" s="1"/>
      <c r="L218" s="1"/>
      <c r="M218" s="1"/>
      <c r="N218" s="1"/>
      <c r="O218" s="1"/>
      <c r="P218" s="1"/>
      <c r="Q218" s="1"/>
      <c r="R218" s="1"/>
      <c r="S218" s="1"/>
      <c r="T218" s="1"/>
      <c r="AC218" s="0"/>
      <c r="AS218" s="0"/>
    </row>
    <row r="219" customFormat="false" ht="18.95" hidden="false" customHeight="true" outlineLevel="0" collapsed="false">
      <c r="A219" s="0" t="n">
        <v>30</v>
      </c>
      <c r="B219" s="34" t="n">
        <v>31929</v>
      </c>
      <c r="C219" s="56" t="n">
        <v>594000</v>
      </c>
      <c r="D219" s="260" t="s">
        <v>41</v>
      </c>
      <c r="E219" s="33" t="n">
        <f aca="false">IF(D219="totale",(C219/(A219*24))/F219,IF(D219="marché libre",(C219/(A219*24))/G219,"spécifier histo"))</f>
        <v>0.825</v>
      </c>
      <c r="F219" s="59" t="n">
        <v>1000</v>
      </c>
      <c r="G219" s="59" t="n">
        <f aca="false">F219-H219</f>
        <v>1000</v>
      </c>
      <c r="H219" s="59" t="n">
        <f aca="false">0</f>
        <v>0</v>
      </c>
      <c r="I219" s="9"/>
      <c r="J219" s="205"/>
      <c r="K219" s="1"/>
      <c r="L219" s="1"/>
      <c r="M219" s="1"/>
      <c r="N219" s="1"/>
      <c r="O219" s="1"/>
      <c r="P219" s="1"/>
      <c r="Q219" s="1"/>
      <c r="R219" s="1"/>
      <c r="S219" s="1"/>
      <c r="T219" s="1"/>
      <c r="AC219" s="0"/>
      <c r="AS219" s="0"/>
    </row>
    <row r="220" customFormat="false" ht="18.95" hidden="false" customHeight="true" outlineLevel="0" collapsed="false">
      <c r="A220" s="0" t="n">
        <v>31</v>
      </c>
      <c r="B220" s="31" t="n">
        <v>31959</v>
      </c>
      <c r="C220" s="56" t="n">
        <v>580000</v>
      </c>
      <c r="D220" s="260" t="s">
        <v>41</v>
      </c>
      <c r="E220" s="33" t="n">
        <f aca="false">IF(D220="totale",(C220/(A220*24))/F220,IF(D220="marché libre",(C220/(A220*24))/G220,"spécifier histo"))</f>
        <v>0.779569892473118</v>
      </c>
      <c r="F220" s="59" t="n">
        <v>1000</v>
      </c>
      <c r="G220" s="59" t="n">
        <f aca="false">F220-H220</f>
        <v>1000</v>
      </c>
      <c r="H220" s="59" t="n">
        <f aca="false">0</f>
        <v>0</v>
      </c>
      <c r="I220" s="9"/>
      <c r="J220" s="205"/>
      <c r="K220" s="1"/>
      <c r="L220" s="1"/>
      <c r="M220" s="1"/>
      <c r="N220" s="1"/>
      <c r="O220" s="1"/>
      <c r="P220" s="1"/>
      <c r="Q220" s="1"/>
      <c r="R220" s="1"/>
      <c r="S220" s="1"/>
      <c r="T220" s="1"/>
      <c r="AC220" s="0"/>
      <c r="AS220" s="0"/>
    </row>
    <row r="221" customFormat="false" ht="18.95" hidden="false" customHeight="true" outlineLevel="0" collapsed="false">
      <c r="A221" s="0" t="n">
        <v>31</v>
      </c>
      <c r="B221" s="34" t="n">
        <v>31990</v>
      </c>
      <c r="C221" s="56" t="n">
        <v>511000</v>
      </c>
      <c r="D221" s="260" t="s">
        <v>41</v>
      </c>
      <c r="E221" s="33" t="n">
        <f aca="false">IF(D221="totale",(C221/(A221*24))/F221,IF(D221="marché libre",(C221/(A221*24))/G221,"spécifier histo"))</f>
        <v>0.686827956989247</v>
      </c>
      <c r="F221" s="59" t="n">
        <v>1000</v>
      </c>
      <c r="G221" s="59" t="n">
        <f aca="false">F221-H221</f>
        <v>1000</v>
      </c>
      <c r="H221" s="59" t="n">
        <f aca="false">0</f>
        <v>0</v>
      </c>
      <c r="I221" s="9"/>
      <c r="J221" s="205"/>
      <c r="K221" s="1"/>
      <c r="L221" s="1"/>
      <c r="M221" s="1"/>
      <c r="N221" s="1"/>
      <c r="O221" s="1"/>
      <c r="P221" s="1"/>
      <c r="Q221" s="1"/>
      <c r="R221" s="1"/>
      <c r="S221" s="1"/>
      <c r="T221" s="1"/>
      <c r="AC221" s="0"/>
      <c r="AS221" s="0"/>
    </row>
    <row r="222" customFormat="false" ht="18.95" hidden="false" customHeight="true" outlineLevel="0" collapsed="false">
      <c r="A222" s="0" t="n">
        <v>30</v>
      </c>
      <c r="B222" s="31" t="n">
        <v>32021</v>
      </c>
      <c r="C222" s="56" t="n">
        <v>520000</v>
      </c>
      <c r="D222" s="260" t="s">
        <v>41</v>
      </c>
      <c r="E222" s="33" t="n">
        <f aca="false">IF(D222="totale",(C222/(A222*24))/F222,IF(D222="marché libre",(C222/(A222*24))/G222,"spécifier histo"))</f>
        <v>0.722222222222222</v>
      </c>
      <c r="F222" s="59" t="n">
        <v>1000</v>
      </c>
      <c r="G222" s="59" t="n">
        <f aca="false">F222-H222</f>
        <v>1000</v>
      </c>
      <c r="H222" s="59" t="n">
        <f aca="false">0</f>
        <v>0</v>
      </c>
      <c r="I222" s="9"/>
      <c r="J222" s="205"/>
      <c r="K222" s="1"/>
      <c r="L222" s="1"/>
      <c r="M222" s="1"/>
      <c r="N222" s="1"/>
      <c r="O222" s="1"/>
      <c r="P222" s="1"/>
      <c r="Q222" s="1"/>
      <c r="R222" s="1"/>
      <c r="S222" s="1"/>
      <c r="T222" s="1"/>
      <c r="AC222" s="0"/>
      <c r="AS222" s="0"/>
    </row>
    <row r="223" customFormat="false" ht="18.95" hidden="false" customHeight="true" outlineLevel="0" collapsed="false">
      <c r="A223" s="0" t="n">
        <v>31</v>
      </c>
      <c r="B223" s="34" t="n">
        <v>32051</v>
      </c>
      <c r="C223" s="56" t="n">
        <v>470000</v>
      </c>
      <c r="D223" s="260" t="s">
        <v>41</v>
      </c>
      <c r="E223" s="33" t="n">
        <f aca="false">IF(D223="totale",(C223/(A223*24))/F223,IF(D223="marché libre",(C223/(A223*24))/G223,"spécifier histo"))</f>
        <v>0.631720430107527</v>
      </c>
      <c r="F223" s="59" t="n">
        <v>1000</v>
      </c>
      <c r="G223" s="59" t="n">
        <f aca="false">F223-H223</f>
        <v>1000</v>
      </c>
      <c r="H223" s="59" t="n">
        <f aca="false">0</f>
        <v>0</v>
      </c>
      <c r="I223" s="9"/>
      <c r="J223" s="205"/>
      <c r="K223" s="1"/>
      <c r="L223" s="1"/>
      <c r="M223" s="1"/>
      <c r="N223" s="1"/>
      <c r="O223" s="1"/>
      <c r="P223" s="1"/>
      <c r="Q223" s="1"/>
      <c r="R223" s="1"/>
      <c r="S223" s="1"/>
      <c r="T223" s="1"/>
      <c r="AC223" s="0"/>
      <c r="AS223" s="0"/>
    </row>
    <row r="224" customFormat="false" ht="18.95" hidden="false" customHeight="true" outlineLevel="0" collapsed="false">
      <c r="A224" s="0" t="n">
        <v>30</v>
      </c>
      <c r="B224" s="31" t="n">
        <v>32082</v>
      </c>
      <c r="C224" s="56" t="n">
        <v>450000</v>
      </c>
      <c r="D224" s="260" t="s">
        <v>41</v>
      </c>
      <c r="E224" s="33" t="n">
        <f aca="false">IF(D224="totale",(C224/(A224*24))/F224,IF(D224="marché libre",(C224/(A224*24))/G224,"spécifier histo"))</f>
        <v>0.625</v>
      </c>
      <c r="F224" s="59" t="n">
        <v>1000</v>
      </c>
      <c r="G224" s="59" t="n">
        <f aca="false">F224-H224</f>
        <v>1000</v>
      </c>
      <c r="H224" s="59" t="n">
        <f aca="false">0</f>
        <v>0</v>
      </c>
      <c r="I224" s="9"/>
      <c r="J224" s="205"/>
      <c r="K224" s="1"/>
      <c r="L224" s="1"/>
      <c r="M224" s="1"/>
      <c r="N224" s="1"/>
      <c r="O224" s="1"/>
      <c r="P224" s="1"/>
      <c r="Q224" s="1"/>
      <c r="R224" s="1"/>
      <c r="S224" s="1"/>
      <c r="T224" s="1"/>
      <c r="AC224" s="0"/>
      <c r="AD224" s="0"/>
      <c r="AS224" s="0"/>
    </row>
    <row r="225" customFormat="false" ht="18.95" hidden="false" customHeight="true" outlineLevel="0" collapsed="false">
      <c r="A225" s="0" t="n">
        <v>31</v>
      </c>
      <c r="B225" s="34" t="n">
        <v>32112</v>
      </c>
      <c r="C225" s="56" t="n">
        <v>420000</v>
      </c>
      <c r="D225" s="260" t="s">
        <v>41</v>
      </c>
      <c r="E225" s="33" t="n">
        <f aca="false">IF(D225="totale",(C225/(A225*24))/F225,IF(D225="marché libre",(C225/(A225*24))/G225,"spécifier histo"))</f>
        <v>0.564516129032258</v>
      </c>
      <c r="F225" s="59" t="n">
        <v>1000</v>
      </c>
      <c r="G225" s="59" t="n">
        <f aca="false">F225-H225</f>
        <v>1000</v>
      </c>
      <c r="H225" s="59" t="n">
        <f aca="false">0</f>
        <v>0</v>
      </c>
      <c r="I225" s="9"/>
      <c r="J225" s="205"/>
      <c r="K225" s="1"/>
      <c r="L225" s="1"/>
      <c r="M225" s="1"/>
      <c r="N225" s="1"/>
      <c r="O225" s="1"/>
      <c r="P225" s="1"/>
      <c r="Q225" s="1"/>
      <c r="R225" s="1"/>
      <c r="S225" s="1"/>
      <c r="T225" s="1"/>
      <c r="AC225" s="0"/>
      <c r="AD225" s="0"/>
      <c r="AS225" s="0"/>
    </row>
    <row r="226" customFormat="false" ht="18.95" hidden="false" customHeight="true" outlineLevel="0" collapsed="false">
      <c r="A226" s="0" t="n">
        <v>31</v>
      </c>
      <c r="B226" s="31" t="n">
        <v>32143</v>
      </c>
      <c r="C226" s="56" t="n">
        <v>430000</v>
      </c>
      <c r="D226" s="260" t="s">
        <v>41</v>
      </c>
      <c r="E226" s="33" t="n">
        <f aca="false">IF(D226="totale",(C226/(A226*24))/F226,IF(D226="marché libre",(C226/(A226*24))/G226,"spécifier histo"))</f>
        <v>0.577956989247312</v>
      </c>
      <c r="F226" s="59" t="n">
        <v>1000</v>
      </c>
      <c r="G226" s="59" t="n">
        <f aca="false">F226-H226</f>
        <v>1000</v>
      </c>
      <c r="H226" s="59" t="n">
        <f aca="false">0</f>
        <v>0</v>
      </c>
      <c r="I226" s="9"/>
      <c r="J226" s="205"/>
      <c r="K226" s="1"/>
      <c r="L226" s="1"/>
      <c r="M226" s="1"/>
      <c r="N226" s="1"/>
      <c r="O226" s="1"/>
      <c r="P226" s="1"/>
      <c r="Q226" s="1"/>
      <c r="R226" s="1"/>
      <c r="S226" s="1"/>
      <c r="T226" s="1"/>
      <c r="AC226" s="0"/>
      <c r="AD226" s="0"/>
      <c r="AS226" s="0"/>
    </row>
    <row r="227" customFormat="false" ht="18.95" hidden="false" customHeight="true" outlineLevel="0" collapsed="false">
      <c r="A227" s="0" t="n">
        <v>28</v>
      </c>
      <c r="B227" s="34" t="n">
        <v>32174</v>
      </c>
      <c r="C227" s="56" t="n">
        <v>360000</v>
      </c>
      <c r="D227" s="260" t="s">
        <v>41</v>
      </c>
      <c r="E227" s="33" t="n">
        <f aca="false">IF(D227="totale",(C227/(A227*24))/F227,IF(D227="marché libre",(C227/(A227*24))/G227,"spécifier histo"))</f>
        <v>0.535714285714286</v>
      </c>
      <c r="F227" s="59" t="n">
        <v>1000</v>
      </c>
      <c r="G227" s="59" t="n">
        <f aca="false">F227-H227</f>
        <v>1000</v>
      </c>
      <c r="H227" s="59" t="n">
        <f aca="false">0</f>
        <v>0</v>
      </c>
      <c r="I227" s="9"/>
      <c r="J227" s="205"/>
      <c r="K227" s="1"/>
      <c r="L227" s="1"/>
      <c r="M227" s="1"/>
      <c r="N227" s="1"/>
      <c r="O227" s="1"/>
      <c r="P227" s="1"/>
      <c r="Q227" s="1"/>
      <c r="R227" s="1"/>
      <c r="S227" s="1"/>
      <c r="T227" s="1"/>
      <c r="AC227" s="0"/>
      <c r="AD227" s="0"/>
      <c r="AS227" s="0"/>
    </row>
    <row r="228" customFormat="false" ht="18.95" hidden="false" customHeight="true" outlineLevel="0" collapsed="false">
      <c r="A228" s="0" t="n">
        <v>31</v>
      </c>
      <c r="B228" s="31" t="n">
        <v>32203</v>
      </c>
      <c r="C228" s="56" t="n">
        <v>375000</v>
      </c>
      <c r="D228" s="260" t="s">
        <v>41</v>
      </c>
      <c r="E228" s="33" t="n">
        <f aca="false">IF(D228="totale",(C228/(A228*24))/F228,IF(D228="marché libre",(C228/(A228*24))/G228,"spécifier histo"))</f>
        <v>0.504032258064516</v>
      </c>
      <c r="F228" s="59" t="n">
        <v>1000</v>
      </c>
      <c r="G228" s="59" t="n">
        <f aca="false">F228-H228</f>
        <v>1000</v>
      </c>
      <c r="H228" s="59" t="n">
        <f aca="false">0</f>
        <v>0</v>
      </c>
      <c r="I228" s="9"/>
      <c r="J228" s="205"/>
      <c r="K228" s="1"/>
      <c r="L228" s="1"/>
      <c r="M228" s="1"/>
      <c r="N228" s="1"/>
      <c r="O228" s="1"/>
      <c r="P228" s="1"/>
      <c r="Q228" s="1"/>
      <c r="R228" s="1"/>
      <c r="S228" s="1"/>
      <c r="T228" s="1"/>
      <c r="AC228" s="0"/>
      <c r="AD228" s="0"/>
      <c r="AS228" s="0"/>
    </row>
    <row r="229" customFormat="false" ht="18.95" hidden="false" customHeight="true" outlineLevel="0" collapsed="false">
      <c r="A229" s="0" t="n">
        <v>30</v>
      </c>
      <c r="B229" s="34" t="n">
        <v>32234</v>
      </c>
      <c r="C229" s="56" t="n">
        <v>455000</v>
      </c>
      <c r="D229" s="260" t="s">
        <v>41</v>
      </c>
      <c r="E229" s="33" t="n">
        <f aca="false">IF(D229="totale",(C229/(A229*24))/F229,IF(D229="marché libre",(C229/(A229*24))/G229,"spécifier histo"))</f>
        <v>0.631944444444444</v>
      </c>
      <c r="F229" s="59" t="n">
        <v>1000</v>
      </c>
      <c r="G229" s="59" t="n">
        <f aca="false">F229-H229</f>
        <v>1000</v>
      </c>
      <c r="H229" s="59" t="n">
        <f aca="false">0</f>
        <v>0</v>
      </c>
      <c r="I229" s="9"/>
      <c r="J229" s="205"/>
      <c r="K229" s="1"/>
      <c r="L229" s="1"/>
      <c r="M229" s="1"/>
      <c r="N229" s="1"/>
      <c r="O229" s="1"/>
      <c r="P229" s="1"/>
      <c r="Q229" s="1"/>
      <c r="R229" s="1"/>
      <c r="S229" s="1"/>
      <c r="T229" s="1"/>
      <c r="AC229" s="0"/>
      <c r="AD229" s="0"/>
      <c r="AS229" s="0"/>
    </row>
    <row r="230" customFormat="false" ht="18.95" hidden="false" customHeight="true" outlineLevel="0" collapsed="false">
      <c r="A230" s="0" t="n">
        <v>31</v>
      </c>
      <c r="B230" s="31" t="n">
        <v>32264</v>
      </c>
      <c r="C230" s="56" t="n">
        <v>560000</v>
      </c>
      <c r="D230" s="260" t="s">
        <v>41</v>
      </c>
      <c r="E230" s="33" t="n">
        <f aca="false">IF(D230="totale",(C230/(A230*24))/F230,IF(D230="marché libre",(C230/(A230*24))/G230,"spécifier histo"))</f>
        <v>0.752688172043011</v>
      </c>
      <c r="F230" s="59" t="n">
        <v>1000</v>
      </c>
      <c r="G230" s="59" t="n">
        <f aca="false">F230-H230</f>
        <v>1000</v>
      </c>
      <c r="H230" s="59" t="n">
        <f aca="false">0</f>
        <v>0</v>
      </c>
      <c r="I230" s="9"/>
      <c r="J230" s="205"/>
      <c r="K230" s="1"/>
      <c r="L230" s="1"/>
      <c r="M230" s="1"/>
      <c r="N230" s="1"/>
      <c r="O230" s="1"/>
      <c r="P230" s="1"/>
      <c r="Q230" s="1"/>
      <c r="R230" s="1"/>
      <c r="S230" s="1"/>
      <c r="T230" s="1"/>
      <c r="AC230" s="0"/>
      <c r="AD230" s="0"/>
      <c r="AS230" s="0"/>
    </row>
    <row r="231" customFormat="false" ht="18.95" hidden="false" customHeight="true" outlineLevel="0" collapsed="false">
      <c r="A231" s="0" t="n">
        <v>30</v>
      </c>
      <c r="B231" s="34" t="n">
        <v>32295</v>
      </c>
      <c r="C231" s="56" t="n">
        <v>575000</v>
      </c>
      <c r="D231" s="260" t="s">
        <v>41</v>
      </c>
      <c r="E231" s="33" t="n">
        <f aca="false">IF(D231="totale",(C231/(A231*24))/F231,IF(D231="marché libre",(C231/(A231*24))/G231,"spécifier histo"))</f>
        <v>0.798611111111111</v>
      </c>
      <c r="F231" s="59" t="n">
        <v>1000</v>
      </c>
      <c r="G231" s="59" t="n">
        <f aca="false">F231-H231</f>
        <v>1000</v>
      </c>
      <c r="H231" s="59" t="n">
        <f aca="false">0</f>
        <v>0</v>
      </c>
      <c r="I231" s="9"/>
      <c r="J231" s="205"/>
      <c r="K231" s="1"/>
      <c r="L231" s="1"/>
      <c r="M231" s="1"/>
      <c r="N231" s="1"/>
      <c r="O231" s="1"/>
      <c r="P231" s="1"/>
      <c r="Q231" s="1"/>
      <c r="R231" s="1"/>
      <c r="S231" s="1"/>
      <c r="T231" s="1"/>
      <c r="AC231" s="0"/>
      <c r="AD231" s="0"/>
      <c r="AS231" s="0"/>
    </row>
    <row r="232" customFormat="false" ht="18.95" hidden="false" customHeight="true" outlineLevel="0" collapsed="false">
      <c r="A232" s="0" t="n">
        <v>31</v>
      </c>
      <c r="B232" s="31" t="n">
        <v>32325</v>
      </c>
      <c r="C232" s="56" t="n">
        <v>605000</v>
      </c>
      <c r="D232" s="260" t="s">
        <v>41</v>
      </c>
      <c r="E232" s="33" t="n">
        <f aca="false">IF(D232="totale",(C232/(A232*24))/F232,IF(D232="marché libre",(C232/(A232*24))/G232,"spécifier histo"))</f>
        <v>0.813172043010753</v>
      </c>
      <c r="F232" s="59" t="n">
        <v>1000</v>
      </c>
      <c r="G232" s="59" t="n">
        <f aca="false">F232-H232</f>
        <v>1000</v>
      </c>
      <c r="H232" s="59" t="n">
        <f aca="false">0</f>
        <v>0</v>
      </c>
      <c r="I232" s="9"/>
      <c r="J232" s="205"/>
      <c r="K232" s="1"/>
      <c r="L232" s="1"/>
      <c r="M232" s="1"/>
      <c r="N232" s="1"/>
      <c r="O232" s="1"/>
      <c r="P232" s="1"/>
      <c r="Q232" s="1"/>
      <c r="R232" s="1"/>
      <c r="S232" s="1"/>
      <c r="T232" s="1"/>
      <c r="AC232" s="0"/>
      <c r="AD232" s="0"/>
      <c r="AS232" s="0"/>
    </row>
    <row r="233" customFormat="false" ht="18.95" hidden="false" customHeight="true" outlineLevel="0" collapsed="false">
      <c r="A233" s="0" t="n">
        <v>31</v>
      </c>
      <c r="B233" s="34" t="n">
        <v>32356</v>
      </c>
      <c r="C233" s="56" t="n">
        <v>450000</v>
      </c>
      <c r="D233" s="260" t="s">
        <v>41</v>
      </c>
      <c r="E233" s="33" t="n">
        <f aca="false">IF(D233="totale",(C233/(A233*24))/F233,IF(D233="marché libre",(C233/(A233*24))/G233,"spécifier histo"))</f>
        <v>0.604838709677419</v>
      </c>
      <c r="F233" s="59" t="n">
        <v>1000</v>
      </c>
      <c r="G233" s="59" t="n">
        <f aca="false">F233-H233</f>
        <v>1000</v>
      </c>
      <c r="H233" s="59" t="n">
        <f aca="false">0</f>
        <v>0</v>
      </c>
      <c r="I233" s="9"/>
      <c r="J233" s="205"/>
      <c r="K233" s="1"/>
      <c r="L233" s="1"/>
      <c r="M233" s="1"/>
      <c r="N233" s="1"/>
      <c r="O233" s="1"/>
      <c r="P233" s="1"/>
      <c r="Q233" s="1"/>
      <c r="R233" s="1"/>
      <c r="S233" s="1"/>
      <c r="T233" s="1"/>
      <c r="AC233" s="0"/>
      <c r="AD233" s="0"/>
      <c r="AS233" s="0"/>
    </row>
    <row r="234" customFormat="false" ht="18.95" hidden="false" customHeight="true" outlineLevel="0" collapsed="false">
      <c r="A234" s="0" t="n">
        <v>30</v>
      </c>
      <c r="B234" s="31" t="n">
        <v>32387</v>
      </c>
      <c r="C234" s="56" t="n">
        <v>360000</v>
      </c>
      <c r="D234" s="260" t="s">
        <v>41</v>
      </c>
      <c r="E234" s="33" t="n">
        <f aca="false">IF(D234="totale",(C234/(A234*24))/F234,IF(D234="marché libre",(C234/(A234*24))/G234,"spécifier histo"))</f>
        <v>0.5</v>
      </c>
      <c r="F234" s="59" t="n">
        <v>1000</v>
      </c>
      <c r="G234" s="59" t="n">
        <f aca="false">F234-H234</f>
        <v>1000</v>
      </c>
      <c r="H234" s="59" t="n">
        <f aca="false">0</f>
        <v>0</v>
      </c>
      <c r="I234" s="9"/>
      <c r="J234" s="205"/>
      <c r="K234" s="1"/>
      <c r="L234" s="1"/>
      <c r="M234" s="1"/>
      <c r="N234" s="1"/>
      <c r="O234" s="1"/>
      <c r="P234" s="1"/>
      <c r="Q234" s="1"/>
      <c r="R234" s="1"/>
      <c r="S234" s="1"/>
      <c r="T234" s="1"/>
      <c r="AC234" s="0"/>
      <c r="AD234" s="0"/>
      <c r="AS234" s="0"/>
    </row>
    <row r="235" customFormat="false" ht="18.95" hidden="false" customHeight="true" outlineLevel="0" collapsed="false">
      <c r="A235" s="0" t="n">
        <v>31</v>
      </c>
      <c r="B235" s="34" t="n">
        <v>32417</v>
      </c>
      <c r="C235" s="56" t="n">
        <v>430000</v>
      </c>
      <c r="D235" s="260" t="s">
        <v>41</v>
      </c>
      <c r="E235" s="33" t="n">
        <f aca="false">IF(D235="totale",(C235/(A235*24))/F235,IF(D235="marché libre",(C235/(A235*24))/G235,"spécifier histo"))</f>
        <v>0.577956989247312</v>
      </c>
      <c r="F235" s="59" t="n">
        <v>1000</v>
      </c>
      <c r="G235" s="59" t="n">
        <f aca="false">F235-H235</f>
        <v>1000</v>
      </c>
      <c r="H235" s="59" t="n">
        <f aca="false">0</f>
        <v>0</v>
      </c>
      <c r="I235" s="9"/>
      <c r="J235" s="205"/>
      <c r="K235" s="1"/>
      <c r="L235" s="1"/>
      <c r="M235" s="1"/>
      <c r="N235" s="1"/>
      <c r="O235" s="1"/>
      <c r="P235" s="1"/>
      <c r="Q235" s="1"/>
      <c r="R235" s="1"/>
      <c r="S235" s="1"/>
      <c r="T235" s="1"/>
      <c r="AC235" s="0"/>
      <c r="AD235" s="0"/>
      <c r="AS235" s="0"/>
    </row>
    <row r="236" customFormat="false" ht="18.95" hidden="false" customHeight="true" outlineLevel="0" collapsed="false">
      <c r="A236" s="0" t="n">
        <v>30</v>
      </c>
      <c r="B236" s="31" t="n">
        <v>32448</v>
      </c>
      <c r="C236" s="56" t="n">
        <v>420000</v>
      </c>
      <c r="D236" s="260" t="s">
        <v>41</v>
      </c>
      <c r="E236" s="33" t="n">
        <f aca="false">IF(D236="totale",(C236/(A236*24))/F236,IF(D236="marché libre",(C236/(A236*24))/G236,"spécifier histo"))</f>
        <v>0.583333333333333</v>
      </c>
      <c r="F236" s="59" t="n">
        <v>1000</v>
      </c>
      <c r="G236" s="59" t="n">
        <f aca="false">F236-H236</f>
        <v>1000</v>
      </c>
      <c r="H236" s="59" t="n">
        <f aca="false">0</f>
        <v>0</v>
      </c>
      <c r="I236" s="9"/>
      <c r="J236" s="205"/>
      <c r="K236" s="1"/>
      <c r="L236" s="1"/>
      <c r="M236" s="1"/>
      <c r="N236" s="1"/>
      <c r="O236" s="1"/>
      <c r="P236" s="1"/>
      <c r="Q236" s="1"/>
      <c r="R236" s="1"/>
      <c r="S236" s="1"/>
      <c r="T236" s="1"/>
      <c r="AC236" s="0"/>
      <c r="AS236" s="0"/>
    </row>
    <row r="237" customFormat="false" ht="18.95" hidden="false" customHeight="true" outlineLevel="0" collapsed="false">
      <c r="A237" s="0" t="n">
        <v>31</v>
      </c>
      <c r="B237" s="34" t="n">
        <v>32478</v>
      </c>
      <c r="C237" s="56" t="n">
        <v>450000</v>
      </c>
      <c r="D237" s="260" t="s">
        <v>41</v>
      </c>
      <c r="E237" s="33" t="n">
        <f aca="false">IF(D237="totale",(C237/(A237*24))/F237,IF(D237="marché libre",(C237/(A237*24))/G237,"spécifier histo"))</f>
        <v>0.604838709677419</v>
      </c>
      <c r="F237" s="59" t="n">
        <v>1000</v>
      </c>
      <c r="G237" s="59" t="n">
        <f aca="false">F237-H237</f>
        <v>1000</v>
      </c>
      <c r="H237" s="59" t="n">
        <f aca="false">0</f>
        <v>0</v>
      </c>
      <c r="I237" s="9"/>
      <c r="J237" s="205"/>
      <c r="K237" s="1"/>
      <c r="L237" s="1"/>
      <c r="M237" s="1"/>
      <c r="N237" s="1"/>
      <c r="O237" s="1"/>
      <c r="P237" s="1"/>
      <c r="Q237" s="1"/>
      <c r="R237" s="1"/>
      <c r="S237" s="1"/>
      <c r="T237" s="1"/>
      <c r="AC237" s="0"/>
      <c r="AS237" s="0"/>
    </row>
    <row r="238" customFormat="false" ht="18.95" hidden="false" customHeight="true" outlineLevel="0" collapsed="false">
      <c r="A238" s="0" t="n">
        <v>31</v>
      </c>
      <c r="B238" s="31" t="n">
        <v>32509</v>
      </c>
      <c r="C238" s="56" t="n">
        <v>340000</v>
      </c>
      <c r="D238" s="260" t="s">
        <v>41</v>
      </c>
      <c r="E238" s="33" t="n">
        <f aca="false">IF(D238="totale",(C238/(A238*24))/F238,IF(D238="marché libre",(C238/(A238*24))/G238,"spécifier histo"))</f>
        <v>0.456989247311828</v>
      </c>
      <c r="F238" s="59" t="n">
        <v>1000</v>
      </c>
      <c r="G238" s="59" t="n">
        <f aca="false">F238-H238</f>
        <v>1000</v>
      </c>
      <c r="H238" s="59" t="n">
        <f aca="false">0</f>
        <v>0</v>
      </c>
      <c r="I238" s="9"/>
      <c r="J238" s="205"/>
      <c r="K238" s="1"/>
      <c r="L238" s="1"/>
      <c r="M238" s="1"/>
      <c r="N238" s="1"/>
      <c r="O238" s="1"/>
      <c r="P238" s="1"/>
      <c r="Q238" s="1"/>
      <c r="R238" s="1"/>
      <c r="S238" s="1"/>
      <c r="T238" s="1"/>
      <c r="AC238" s="0"/>
      <c r="AS238" s="0"/>
    </row>
    <row r="239" customFormat="false" ht="18.95" hidden="false" customHeight="true" outlineLevel="0" collapsed="false">
      <c r="A239" s="0" t="n">
        <v>28</v>
      </c>
      <c r="B239" s="34" t="n">
        <v>32540</v>
      </c>
      <c r="C239" s="56" t="n">
        <v>290000</v>
      </c>
      <c r="D239" s="260" t="s">
        <v>41</v>
      </c>
      <c r="E239" s="33" t="n">
        <f aca="false">IF(D239="totale",(C239/(A239*24))/F239,IF(D239="marché libre",(C239/(A239*24))/G239,"spécifier histo"))</f>
        <v>0.431547619047619</v>
      </c>
      <c r="F239" s="59" t="n">
        <v>1000</v>
      </c>
      <c r="G239" s="59" t="n">
        <f aca="false">F239-H239</f>
        <v>1000</v>
      </c>
      <c r="H239" s="59" t="n">
        <f aca="false">0</f>
        <v>0</v>
      </c>
      <c r="I239" s="9"/>
      <c r="J239" s="205"/>
      <c r="K239" s="1"/>
      <c r="L239" s="1"/>
      <c r="M239" s="1"/>
      <c r="N239" s="1"/>
      <c r="O239" s="1"/>
      <c r="P239" s="1"/>
      <c r="Q239" s="1"/>
      <c r="R239" s="1"/>
      <c r="S239" s="1"/>
      <c r="T239" s="1"/>
      <c r="AC239" s="0"/>
      <c r="AS239" s="0"/>
    </row>
    <row r="240" customFormat="false" ht="18.95" hidden="false" customHeight="true" outlineLevel="0" collapsed="false">
      <c r="A240" s="0" t="n">
        <v>31</v>
      </c>
      <c r="B240" s="31" t="n">
        <v>32568</v>
      </c>
      <c r="C240" s="56" t="n">
        <v>340000</v>
      </c>
      <c r="D240" s="260" t="s">
        <v>41</v>
      </c>
      <c r="E240" s="33" t="n">
        <f aca="false">IF(D240="totale",(C240/(A240*24))/F240,IF(D240="marché libre",(C240/(A240*24))/G240,"spécifier histo"))</f>
        <v>0.456989247311828</v>
      </c>
      <c r="F240" s="59" t="n">
        <v>1000</v>
      </c>
      <c r="G240" s="59" t="n">
        <f aca="false">F240-H240</f>
        <v>1000</v>
      </c>
      <c r="H240" s="59" t="n">
        <f aca="false">0</f>
        <v>0</v>
      </c>
      <c r="I240" s="9"/>
      <c r="J240" s="205"/>
      <c r="K240" s="1"/>
      <c r="L240" s="1"/>
      <c r="M240" s="1"/>
      <c r="N240" s="1"/>
      <c r="O240" s="1"/>
      <c r="P240" s="1"/>
      <c r="Q240" s="1"/>
      <c r="R240" s="1"/>
      <c r="S240" s="1"/>
      <c r="T240" s="1"/>
      <c r="AC240" s="0"/>
      <c r="AS240" s="0"/>
    </row>
    <row r="241" customFormat="false" ht="18.95" hidden="false" customHeight="true" outlineLevel="0" collapsed="false">
      <c r="A241" s="0" t="n">
        <v>30</v>
      </c>
      <c r="B241" s="34" t="n">
        <v>32599</v>
      </c>
      <c r="C241" s="56" t="n">
        <v>300000</v>
      </c>
      <c r="D241" s="260" t="s">
        <v>41</v>
      </c>
      <c r="E241" s="33" t="n">
        <f aca="false">IF(D241="totale",(C241/(A241*24))/F241,IF(D241="marché libre",(C241/(A241*24))/G241,"spécifier histo"))</f>
        <v>0.416666666666667</v>
      </c>
      <c r="F241" s="59" t="n">
        <v>1000</v>
      </c>
      <c r="G241" s="59" t="n">
        <f aca="false">F241-H241</f>
        <v>1000</v>
      </c>
      <c r="H241" s="59" t="n">
        <f aca="false">0</f>
        <v>0</v>
      </c>
      <c r="I241" s="9"/>
      <c r="J241" s="205"/>
      <c r="K241" s="1"/>
      <c r="L241" s="1"/>
      <c r="M241" s="1"/>
      <c r="N241" s="1"/>
      <c r="O241" s="1"/>
      <c r="P241" s="1"/>
      <c r="Q241" s="1"/>
      <c r="R241" s="1"/>
      <c r="S241" s="1"/>
      <c r="T241" s="1"/>
      <c r="AC241" s="0"/>
      <c r="AS241" s="0"/>
    </row>
    <row r="242" customFormat="false" ht="18.95" hidden="false" customHeight="true" outlineLevel="0" collapsed="false">
      <c r="A242" s="0" t="n">
        <v>31</v>
      </c>
      <c r="B242" s="31" t="n">
        <v>32629</v>
      </c>
      <c r="C242" s="56" t="n">
        <v>360000</v>
      </c>
      <c r="D242" s="260" t="s">
        <v>41</v>
      </c>
      <c r="E242" s="33" t="n">
        <f aca="false">IF(D242="totale",(C242/(A242*24))/F242,IF(D242="marché libre",(C242/(A242*24))/G242,"spécifier histo"))</f>
        <v>0.483870967741936</v>
      </c>
      <c r="F242" s="59" t="n">
        <v>1000</v>
      </c>
      <c r="G242" s="59" t="n">
        <f aca="false">F242-H242</f>
        <v>1000</v>
      </c>
      <c r="H242" s="59" t="n">
        <f aca="false">0</f>
        <v>0</v>
      </c>
      <c r="I242" s="9"/>
      <c r="J242" s="205"/>
      <c r="K242" s="1"/>
      <c r="L242" s="1"/>
      <c r="M242" s="1"/>
      <c r="N242" s="1"/>
      <c r="O242" s="1"/>
      <c r="P242" s="1"/>
      <c r="Q242" s="1"/>
      <c r="R242" s="1"/>
      <c r="S242" s="1"/>
      <c r="T242" s="1"/>
      <c r="AC242" s="0"/>
      <c r="AS242" s="0"/>
    </row>
    <row r="243" customFormat="false" ht="18.95" hidden="false" customHeight="true" outlineLevel="0" collapsed="false">
      <c r="A243" s="0" t="n">
        <v>30</v>
      </c>
      <c r="B243" s="34" t="n">
        <v>32660</v>
      </c>
      <c r="C243" s="56" t="n">
        <v>483000</v>
      </c>
      <c r="D243" s="260" t="s">
        <v>41</v>
      </c>
      <c r="E243" s="33" t="n">
        <f aca="false">IF(D243="totale",(C243/(A243*24))/F243,IF(D243="marché libre",(C243/(A243*24))/G243,"spécifier histo"))</f>
        <v>0.670833333333333</v>
      </c>
      <c r="F243" s="59" t="n">
        <v>1000</v>
      </c>
      <c r="G243" s="59" t="n">
        <f aca="false">F243-H243</f>
        <v>1000</v>
      </c>
      <c r="H243" s="59" t="n">
        <f aca="false">0</f>
        <v>0</v>
      </c>
      <c r="I243" s="9"/>
      <c r="J243" s="205"/>
      <c r="K243" s="1"/>
      <c r="L243" s="1"/>
      <c r="M243" s="1"/>
      <c r="N243" s="1"/>
      <c r="O243" s="1"/>
      <c r="P243" s="1"/>
      <c r="Q243" s="1"/>
      <c r="R243" s="1"/>
      <c r="S243" s="1"/>
      <c r="T243" s="1"/>
      <c r="AC243" s="0"/>
      <c r="AS243" s="0"/>
    </row>
    <row r="244" customFormat="false" ht="18.95" hidden="false" customHeight="true" outlineLevel="0" collapsed="false">
      <c r="A244" s="0" t="n">
        <v>31</v>
      </c>
      <c r="B244" s="31" t="n">
        <v>32690</v>
      </c>
      <c r="C244" s="56" t="n">
        <v>477000</v>
      </c>
      <c r="D244" s="260" t="s">
        <v>41</v>
      </c>
      <c r="E244" s="33" t="n">
        <f aca="false">IF(D244="totale",(C244/(A244*24))/F244,IF(D244="marché libre",(C244/(A244*24))/G244,"spécifier histo"))</f>
        <v>0.641129032258065</v>
      </c>
      <c r="F244" s="59" t="n">
        <v>1000</v>
      </c>
      <c r="G244" s="59" t="n">
        <f aca="false">F244-H244</f>
        <v>1000</v>
      </c>
      <c r="H244" s="59" t="n">
        <f aca="false">0</f>
        <v>0</v>
      </c>
      <c r="I244" s="9"/>
      <c r="J244" s="205"/>
      <c r="K244" s="1"/>
      <c r="L244" s="1"/>
      <c r="M244" s="1"/>
      <c r="N244" s="1"/>
      <c r="O244" s="1"/>
      <c r="P244" s="1"/>
      <c r="Q244" s="1"/>
      <c r="R244" s="1"/>
      <c r="S244" s="1"/>
      <c r="T244" s="1"/>
      <c r="AC244" s="0"/>
      <c r="AS244" s="0"/>
    </row>
    <row r="245" customFormat="false" ht="18.95" hidden="false" customHeight="true" outlineLevel="0" collapsed="false">
      <c r="A245" s="0" t="n">
        <v>31</v>
      </c>
      <c r="B245" s="34" t="n">
        <v>32721</v>
      </c>
      <c r="C245" s="56" t="n">
        <v>411000</v>
      </c>
      <c r="D245" s="260" t="s">
        <v>41</v>
      </c>
      <c r="E245" s="33" t="n">
        <f aca="false">IF(D245="totale",(C245/(A245*24))/F245,IF(D245="marché libre",(C245/(A245*24))/G245,"spécifier histo"))</f>
        <v>0.55241935483871</v>
      </c>
      <c r="F245" s="59" t="n">
        <v>1000</v>
      </c>
      <c r="G245" s="59" t="n">
        <f aca="false">F245-H245</f>
        <v>1000</v>
      </c>
      <c r="H245" s="59" t="n">
        <f aca="false">0</f>
        <v>0</v>
      </c>
      <c r="I245" s="9"/>
      <c r="J245" s="205"/>
      <c r="K245" s="1"/>
      <c r="L245" s="1"/>
      <c r="M245" s="1"/>
      <c r="N245" s="1"/>
      <c r="O245" s="1"/>
      <c r="P245" s="1"/>
      <c r="Q245" s="1"/>
      <c r="R245" s="1"/>
      <c r="S245" s="1"/>
      <c r="T245" s="1"/>
      <c r="AC245" s="0"/>
      <c r="AS245" s="0"/>
    </row>
    <row r="246" customFormat="false" ht="18.95" hidden="false" customHeight="true" outlineLevel="0" collapsed="false">
      <c r="A246" s="0" t="n">
        <v>30</v>
      </c>
      <c r="B246" s="31" t="n">
        <v>32752</v>
      </c>
      <c r="C246" s="56" t="n">
        <v>324000</v>
      </c>
      <c r="D246" s="260" t="s">
        <v>41</v>
      </c>
      <c r="E246" s="33" t="n">
        <f aca="false">IF(D246="totale",(C246/(A246*24))/F246,IF(D246="marché libre",(C246/(A246*24))/G246,"spécifier histo"))</f>
        <v>0.45</v>
      </c>
      <c r="F246" s="59" t="n">
        <v>1000</v>
      </c>
      <c r="G246" s="59" t="n">
        <f aca="false">F246-H246</f>
        <v>1000</v>
      </c>
      <c r="H246" s="59" t="n">
        <f aca="false">0</f>
        <v>0</v>
      </c>
      <c r="I246" s="9"/>
      <c r="J246" s="205"/>
      <c r="K246" s="1"/>
      <c r="L246" s="1"/>
      <c r="M246" s="1"/>
      <c r="N246" s="1"/>
      <c r="O246" s="1"/>
      <c r="P246" s="1"/>
      <c r="Q246" s="1"/>
      <c r="R246" s="1"/>
      <c r="S246" s="1"/>
      <c r="T246" s="1"/>
      <c r="AC246" s="0"/>
    </row>
    <row r="247" customFormat="false" ht="18.95" hidden="false" customHeight="true" outlineLevel="0" collapsed="false">
      <c r="A247" s="0" t="n">
        <v>31</v>
      </c>
      <c r="B247" s="34" t="n">
        <v>32782</v>
      </c>
      <c r="C247" s="56" t="n">
        <v>310000</v>
      </c>
      <c r="D247" s="260" t="s">
        <v>41</v>
      </c>
      <c r="E247" s="33" t="n">
        <f aca="false">IF(D247="totale",(C247/(A247*24))/F247,IF(D247="marché libre",(C247/(A247*24))/G247,"spécifier histo"))</f>
        <v>0.416666666666667</v>
      </c>
      <c r="F247" s="59" t="n">
        <v>1000</v>
      </c>
      <c r="G247" s="59" t="n">
        <f aca="false">F247-H247</f>
        <v>1000</v>
      </c>
      <c r="H247" s="59" t="n">
        <f aca="false">0</f>
        <v>0</v>
      </c>
      <c r="I247" s="9"/>
      <c r="J247" s="205"/>
      <c r="K247" s="1"/>
      <c r="L247" s="1"/>
      <c r="M247" s="1"/>
      <c r="N247" s="1"/>
      <c r="O247" s="1"/>
      <c r="P247" s="1"/>
      <c r="Q247" s="1"/>
      <c r="R247" s="1"/>
      <c r="S247" s="1"/>
      <c r="T247" s="1"/>
      <c r="AC247" s="0"/>
    </row>
    <row r="248" customFormat="false" ht="18.95" hidden="false" customHeight="true" outlineLevel="0" collapsed="false">
      <c r="A248" s="0" t="n">
        <v>30</v>
      </c>
      <c r="B248" s="31" t="n">
        <v>32813</v>
      </c>
      <c r="C248" s="56" t="n">
        <v>230000</v>
      </c>
      <c r="D248" s="260" t="s">
        <v>41</v>
      </c>
      <c r="E248" s="33" t="n">
        <f aca="false">IF(D248="totale",(C248/(A248*24))/F248,IF(D248="marché libre",(C248/(A248*24))/G248,"spécifier histo"))</f>
        <v>0.319444444444444</v>
      </c>
      <c r="F248" s="59" t="n">
        <v>1000</v>
      </c>
      <c r="G248" s="59" t="n">
        <f aca="false">F248-H248</f>
        <v>1000</v>
      </c>
      <c r="H248" s="59" t="n">
        <f aca="false">0</f>
        <v>0</v>
      </c>
      <c r="I248" s="9"/>
      <c r="J248" s="205"/>
      <c r="K248" s="1"/>
      <c r="L248" s="1"/>
      <c r="M248" s="1"/>
      <c r="N248" s="1"/>
      <c r="O248" s="1"/>
      <c r="P248" s="1"/>
      <c r="Q248" s="1"/>
      <c r="R248" s="1"/>
      <c r="S248" s="1"/>
      <c r="T248" s="1"/>
      <c r="AC248" s="0"/>
    </row>
    <row r="249" customFormat="false" ht="18.95" hidden="false" customHeight="true" outlineLevel="0" collapsed="false">
      <c r="A249" s="0" t="n">
        <v>31</v>
      </c>
      <c r="B249" s="34" t="n">
        <v>32843</v>
      </c>
      <c r="C249" s="9" t="n">
        <v>245000</v>
      </c>
      <c r="D249" s="260" t="s">
        <v>41</v>
      </c>
      <c r="E249" s="33" t="n">
        <f aca="false">IF(D249="totale",(C249/(A249*24))/F249,IF(D249="marché libre",(C249/(A249*24))/G249,"spécifier histo"))</f>
        <v>0.329301075268817</v>
      </c>
      <c r="F249" s="59" t="n">
        <v>1000</v>
      </c>
      <c r="G249" s="59" t="n">
        <f aca="false">F249-H249</f>
        <v>1000</v>
      </c>
      <c r="H249" s="59" t="n">
        <f aca="false">0</f>
        <v>0</v>
      </c>
      <c r="I249" s="9"/>
      <c r="J249" s="205"/>
      <c r="K249" s="1"/>
      <c r="L249" s="1"/>
      <c r="M249" s="1"/>
      <c r="N249" s="1"/>
      <c r="O249" s="1"/>
      <c r="P249" s="1"/>
      <c r="Q249" s="1"/>
      <c r="R249" s="1"/>
      <c r="S249" s="1"/>
      <c r="T249" s="1"/>
      <c r="AC249" s="0"/>
    </row>
    <row r="250" customFormat="false" ht="18.95" hidden="false" customHeight="true" outlineLevel="0" collapsed="false">
      <c r="A250" s="0" t="n">
        <v>31</v>
      </c>
      <c r="B250" s="31" t="n">
        <v>32874</v>
      </c>
      <c r="C250" s="56" t="n">
        <v>220000</v>
      </c>
      <c r="D250" s="260" t="s">
        <v>41</v>
      </c>
      <c r="E250" s="33" t="n">
        <f aca="false">IF(D250="totale",(C250/(A250*24))/F250,IF(D250="marché libre",(C250/(A250*24))/G250,"spécifier histo"))</f>
        <v>0.295698924731183</v>
      </c>
      <c r="F250" s="59" t="n">
        <v>1000</v>
      </c>
      <c r="G250" s="59" t="n">
        <f aca="false">F250-H250</f>
        <v>1000</v>
      </c>
      <c r="H250" s="59" t="n">
        <f aca="false">0</f>
        <v>0</v>
      </c>
      <c r="I250" s="9"/>
      <c r="J250" s="205"/>
      <c r="K250" s="1"/>
      <c r="L250" s="1"/>
      <c r="M250" s="1"/>
      <c r="N250" s="1"/>
      <c r="O250" s="1"/>
      <c r="P250" s="1"/>
      <c r="Q250" s="1"/>
      <c r="R250" s="1"/>
      <c r="S250" s="1"/>
      <c r="T250" s="1"/>
      <c r="AC250" s="0"/>
    </row>
    <row r="251" customFormat="false" ht="18.95" hidden="false" customHeight="true" outlineLevel="0" collapsed="false">
      <c r="A251" s="0" t="n">
        <v>28</v>
      </c>
      <c r="B251" s="34" t="n">
        <v>32905</v>
      </c>
      <c r="C251" s="56" t="n">
        <v>270000</v>
      </c>
      <c r="D251" s="260" t="s">
        <v>41</v>
      </c>
      <c r="E251" s="33" t="n">
        <f aca="false">IF(D251="totale",(C251/(A251*24))/F251,IF(D251="marché libre",(C251/(A251*24))/G251,"spécifier histo"))</f>
        <v>0.401785714285714</v>
      </c>
      <c r="F251" s="59" t="n">
        <v>1000</v>
      </c>
      <c r="G251" s="59" t="n">
        <f aca="false">F251-H251</f>
        <v>1000</v>
      </c>
      <c r="H251" s="59" t="n">
        <f aca="false">0</f>
        <v>0</v>
      </c>
      <c r="I251" s="9"/>
      <c r="J251" s="205"/>
      <c r="K251" s="1"/>
      <c r="L251" s="1"/>
      <c r="M251" s="1"/>
      <c r="N251" s="1"/>
      <c r="O251" s="1"/>
      <c r="P251" s="1"/>
      <c r="Q251" s="1"/>
      <c r="R251" s="1"/>
      <c r="S251" s="1"/>
      <c r="T251" s="1"/>
      <c r="AC251" s="0"/>
    </row>
    <row r="252" customFormat="false" ht="18.95" hidden="false" customHeight="true" outlineLevel="0" collapsed="false">
      <c r="A252" s="0" t="n">
        <v>31</v>
      </c>
      <c r="B252" s="31" t="n">
        <v>32933</v>
      </c>
      <c r="C252" s="56" t="n">
        <v>370000</v>
      </c>
      <c r="D252" s="260" t="s">
        <v>41</v>
      </c>
      <c r="E252" s="33" t="n">
        <f aca="false">IF(D252="totale",(C252/(A252*24))/F252,IF(D252="marché libre",(C252/(A252*24))/G252,"spécifier histo"))</f>
        <v>0.497311827956989</v>
      </c>
      <c r="F252" s="59" t="n">
        <v>1000</v>
      </c>
      <c r="G252" s="59" t="n">
        <f aca="false">F252-H252</f>
        <v>1000</v>
      </c>
      <c r="H252" s="59" t="n">
        <f aca="false">0</f>
        <v>0</v>
      </c>
      <c r="I252" s="9"/>
      <c r="J252" s="205"/>
      <c r="K252" s="1"/>
      <c r="L252" s="1"/>
      <c r="M252" s="1"/>
      <c r="N252" s="1"/>
      <c r="O252" s="1"/>
      <c r="P252" s="1"/>
      <c r="Q252" s="1"/>
      <c r="R252" s="1"/>
      <c r="S252" s="1"/>
      <c r="T252" s="1"/>
      <c r="AC252" s="0"/>
    </row>
    <row r="253" customFormat="false" ht="18.95" hidden="false" customHeight="true" outlineLevel="0" collapsed="false">
      <c r="A253" s="0" t="n">
        <v>30</v>
      </c>
      <c r="B253" s="34" t="n">
        <v>32964</v>
      </c>
      <c r="C253" s="56" t="n">
        <v>290000</v>
      </c>
      <c r="D253" s="260" t="s">
        <v>41</v>
      </c>
      <c r="E253" s="33" t="n">
        <f aca="false">IF(D253="totale",(C253/(A253*24))/F253,IF(D253="marché libre",(C253/(A253*24))/G253,"spécifier histo"))</f>
        <v>0.402777777777778</v>
      </c>
      <c r="F253" s="59" t="n">
        <v>1000</v>
      </c>
      <c r="G253" s="59" t="n">
        <f aca="false">F253-H253</f>
        <v>1000</v>
      </c>
      <c r="H253" s="59" t="n">
        <f aca="false">0</f>
        <v>0</v>
      </c>
      <c r="I253" s="9"/>
      <c r="J253" s="205"/>
      <c r="K253" s="1"/>
      <c r="L253" s="1"/>
      <c r="M253" s="1"/>
      <c r="N253" s="1"/>
      <c r="O253" s="1"/>
      <c r="P253" s="1"/>
      <c r="Q253" s="1"/>
      <c r="R253" s="1"/>
      <c r="S253" s="1"/>
      <c r="T253" s="1"/>
      <c r="AC253" s="0"/>
    </row>
    <row r="254" customFormat="false" ht="18.95" hidden="false" customHeight="true" outlineLevel="0" collapsed="false">
      <c r="A254" s="0" t="n">
        <v>31</v>
      </c>
      <c r="B254" s="31" t="n">
        <v>32994</v>
      </c>
      <c r="C254" s="56" t="n">
        <v>355000</v>
      </c>
      <c r="D254" s="260" t="s">
        <v>41</v>
      </c>
      <c r="E254" s="33" t="n">
        <f aca="false">IF(D254="totale",(C254/(A254*24))/F254,IF(D254="marché libre",(C254/(A254*24))/G254,"spécifier histo"))</f>
        <v>0.477150537634409</v>
      </c>
      <c r="F254" s="59" t="n">
        <v>1000</v>
      </c>
      <c r="G254" s="59" t="n">
        <f aca="false">F254-H254</f>
        <v>1000</v>
      </c>
      <c r="H254" s="59" t="n">
        <f aca="false">0</f>
        <v>0</v>
      </c>
      <c r="I254" s="9"/>
      <c r="J254" s="205"/>
      <c r="K254" s="1"/>
      <c r="L254" s="1"/>
      <c r="M254" s="1"/>
      <c r="N254" s="1"/>
      <c r="O254" s="1"/>
      <c r="P254" s="1"/>
      <c r="Q254" s="1"/>
      <c r="R254" s="1"/>
      <c r="S254" s="1"/>
      <c r="T254" s="1"/>
      <c r="AC254" s="0"/>
    </row>
    <row r="255" customFormat="false" ht="18.95" hidden="false" customHeight="true" outlineLevel="0" collapsed="false">
      <c r="A255" s="0" t="n">
        <v>30</v>
      </c>
      <c r="B255" s="34" t="n">
        <v>33025</v>
      </c>
      <c r="C255" s="56" t="n">
        <v>593000</v>
      </c>
      <c r="D255" s="260" t="s">
        <v>41</v>
      </c>
      <c r="E255" s="33" t="n">
        <f aca="false">IF(D255="totale",(C255/(A255*24))/F255,IF(D255="marché libre",(C255/(A255*24))/G255,"spécifier histo"))</f>
        <v>0.823611111111111</v>
      </c>
      <c r="F255" s="59" t="n">
        <v>1000</v>
      </c>
      <c r="G255" s="59" t="n">
        <f aca="false">F255-H255</f>
        <v>1000</v>
      </c>
      <c r="H255" s="59" t="n">
        <f aca="false">0</f>
        <v>0</v>
      </c>
      <c r="I255" s="9"/>
      <c r="J255" s="205"/>
      <c r="K255" s="1"/>
      <c r="L255" s="1"/>
      <c r="M255" s="1"/>
      <c r="N255" s="1"/>
      <c r="O255" s="1"/>
      <c r="P255" s="1"/>
      <c r="Q255" s="1"/>
      <c r="R255" s="1"/>
      <c r="S255" s="1"/>
      <c r="T255" s="1"/>
      <c r="AC255" s="0"/>
    </row>
    <row r="256" customFormat="false" ht="18.95" hidden="false" customHeight="true" outlineLevel="0" collapsed="false">
      <c r="A256" s="0" t="n">
        <v>31</v>
      </c>
      <c r="B256" s="31" t="n">
        <v>33055</v>
      </c>
      <c r="C256" s="56" t="n">
        <v>512000</v>
      </c>
      <c r="D256" s="260" t="s">
        <v>41</v>
      </c>
      <c r="E256" s="33" t="n">
        <f aca="false">IF(D256="totale",(C256/(A256*24))/F256,IF(D256="marché libre",(C256/(A256*24))/G256,"spécifier histo"))</f>
        <v>0.688172043010753</v>
      </c>
      <c r="F256" s="59" t="n">
        <v>1000</v>
      </c>
      <c r="G256" s="59" t="n">
        <f aca="false">F256-H256</f>
        <v>1000</v>
      </c>
      <c r="H256" s="59" t="n">
        <f aca="false">0</f>
        <v>0</v>
      </c>
      <c r="I256" s="9"/>
      <c r="J256" s="205"/>
      <c r="K256" s="1"/>
      <c r="L256" s="1"/>
      <c r="M256" s="1"/>
      <c r="N256" s="1"/>
      <c r="O256" s="1"/>
      <c r="P256" s="1"/>
      <c r="Q256" s="1"/>
      <c r="R256" s="1"/>
      <c r="S256" s="1"/>
      <c r="T256" s="1"/>
      <c r="AC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row>
    <row r="257" customFormat="false" ht="18.95" hidden="false" customHeight="true" outlineLevel="0" collapsed="false">
      <c r="A257" s="0" t="n">
        <v>31</v>
      </c>
      <c r="B257" s="34" t="n">
        <v>33086</v>
      </c>
      <c r="C257" s="56" t="n">
        <v>470000</v>
      </c>
      <c r="D257" s="260" t="s">
        <v>41</v>
      </c>
      <c r="E257" s="33" t="n">
        <f aca="false">IF(D257="totale",(C257/(A257*24))/F257,IF(D257="marché libre",(C257/(A257*24))/G257,"spécifier histo"))</f>
        <v>0.631720430107527</v>
      </c>
      <c r="F257" s="59" t="n">
        <v>1000</v>
      </c>
      <c r="G257" s="59" t="n">
        <f aca="false">F257-H257</f>
        <v>1000</v>
      </c>
      <c r="H257" s="59" t="n">
        <f aca="false">0</f>
        <v>0</v>
      </c>
      <c r="I257" s="9"/>
      <c r="J257" s="205"/>
      <c r="K257" s="1"/>
      <c r="L257" s="1"/>
      <c r="M257" s="1"/>
      <c r="N257" s="1"/>
      <c r="O257" s="1"/>
      <c r="P257" s="1"/>
      <c r="Q257" s="1"/>
      <c r="R257" s="1"/>
      <c r="S257" s="1"/>
      <c r="T257" s="1"/>
      <c r="AC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row>
    <row r="258" customFormat="false" ht="18.95" hidden="false" customHeight="true" outlineLevel="0" collapsed="false">
      <c r="A258" s="0" t="n">
        <v>30</v>
      </c>
      <c r="B258" s="31" t="n">
        <v>33117</v>
      </c>
      <c r="C258" s="56" t="n">
        <v>369000</v>
      </c>
      <c r="D258" s="260" t="s">
        <v>41</v>
      </c>
      <c r="E258" s="33" t="n">
        <f aca="false">IF(D258="totale",(C258/(A258*24))/F258,IF(D258="marché libre",(C258/(A258*24))/G258,"spécifier histo"))</f>
        <v>0.5125</v>
      </c>
      <c r="F258" s="59" t="n">
        <v>1000</v>
      </c>
      <c r="G258" s="59" t="n">
        <f aca="false">F258-H258</f>
        <v>1000</v>
      </c>
      <c r="H258" s="59" t="n">
        <f aca="false">0</f>
        <v>0</v>
      </c>
      <c r="I258" s="9"/>
      <c r="J258" s="205"/>
      <c r="K258" s="1"/>
      <c r="L258" s="1"/>
      <c r="M258" s="1"/>
      <c r="N258" s="1"/>
      <c r="O258" s="1"/>
      <c r="P258" s="1"/>
      <c r="Q258" s="1"/>
      <c r="R258" s="1"/>
      <c r="S258" s="1"/>
      <c r="T258" s="1"/>
      <c r="AC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row>
    <row r="259" customFormat="false" ht="18.95" hidden="false" customHeight="true" outlineLevel="0" collapsed="false">
      <c r="A259" s="0" t="n">
        <v>31</v>
      </c>
      <c r="B259" s="34" t="n">
        <v>33147</v>
      </c>
      <c r="C259" s="56" t="n">
        <v>350000</v>
      </c>
      <c r="D259" s="260" t="s">
        <v>41</v>
      </c>
      <c r="E259" s="33" t="n">
        <f aca="false">IF(D259="totale",(C259/(A259*24))/F259,IF(D259="marché libre",(C259/(A259*24))/G259,"spécifier histo"))</f>
        <v>0.470430107526882</v>
      </c>
      <c r="F259" s="59" t="n">
        <v>1000</v>
      </c>
      <c r="G259" s="59" t="n">
        <f aca="false">F259-H259</f>
        <v>1000</v>
      </c>
      <c r="H259" s="59" t="n">
        <f aca="false">0</f>
        <v>0</v>
      </c>
      <c r="I259" s="9"/>
      <c r="J259" s="205"/>
      <c r="K259" s="1"/>
      <c r="L259" s="1"/>
      <c r="M259" s="1"/>
      <c r="N259" s="1"/>
      <c r="O259" s="1"/>
      <c r="P259" s="1"/>
      <c r="Q259" s="1"/>
      <c r="R259" s="1"/>
      <c r="S259" s="1"/>
      <c r="T259" s="1"/>
      <c r="AC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row>
    <row r="260" customFormat="false" ht="18.95" hidden="false" customHeight="true" outlineLevel="0" collapsed="false">
      <c r="A260" s="0" t="n">
        <v>30</v>
      </c>
      <c r="B260" s="31" t="n">
        <v>33178</v>
      </c>
      <c r="C260" s="56" t="n">
        <v>391000</v>
      </c>
      <c r="D260" s="260" t="s">
        <v>41</v>
      </c>
      <c r="E260" s="33" t="n">
        <f aca="false">IF(D260="totale",(C260/(A260*24))/F260,IF(D260="marché libre",(C260/(A260*24))/G260,"spécifier histo"))</f>
        <v>0.543055555555555</v>
      </c>
      <c r="F260" s="59" t="n">
        <v>1000</v>
      </c>
      <c r="G260" s="59" t="n">
        <f aca="false">F260-H260</f>
        <v>1000</v>
      </c>
      <c r="H260" s="59" t="n">
        <f aca="false">0</f>
        <v>0</v>
      </c>
      <c r="I260" s="9"/>
      <c r="J260" s="205"/>
      <c r="K260" s="1"/>
      <c r="L260" s="1"/>
      <c r="M260" s="1"/>
      <c r="N260" s="1"/>
      <c r="O260" s="1"/>
      <c r="P260" s="1"/>
      <c r="Q260" s="1"/>
      <c r="R260" s="1"/>
      <c r="S260" s="1"/>
      <c r="T260" s="1"/>
      <c r="AC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row>
    <row r="261" customFormat="false" ht="18.95" hidden="false" customHeight="true" outlineLevel="0" collapsed="false">
      <c r="A261" s="0" t="n">
        <v>31</v>
      </c>
      <c r="B261" s="34" t="n">
        <v>33208</v>
      </c>
      <c r="C261" s="56" t="n">
        <v>430000</v>
      </c>
      <c r="D261" s="260" t="s">
        <v>41</v>
      </c>
      <c r="E261" s="33" t="n">
        <f aca="false">IF(D261="totale",(C261/(A261*24))/F261,IF(D261="marché libre",(C261/(A261*24))/G261,"spécifier histo"))</f>
        <v>0.577956989247312</v>
      </c>
      <c r="F261" s="59" t="n">
        <v>1000</v>
      </c>
      <c r="G261" s="59" t="n">
        <f aca="false">F261-H261</f>
        <v>1000</v>
      </c>
      <c r="H261" s="59" t="n">
        <f aca="false">0</f>
        <v>0</v>
      </c>
      <c r="I261" s="9"/>
      <c r="J261" s="205"/>
      <c r="K261" s="1"/>
      <c r="L261" s="1"/>
      <c r="M261" s="1"/>
      <c r="N261" s="1"/>
      <c r="O261" s="1"/>
      <c r="P261" s="1"/>
      <c r="Q261" s="1"/>
      <c r="R261" s="1"/>
      <c r="S261" s="1"/>
      <c r="T261" s="1"/>
      <c r="AC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row>
    <row r="262" customFormat="false" ht="18.95" hidden="false" customHeight="true" outlineLevel="0" collapsed="false">
      <c r="A262" s="0" t="n">
        <v>31</v>
      </c>
      <c r="B262" s="31" t="n">
        <v>33239</v>
      </c>
      <c r="C262" s="56" t="n">
        <v>407000</v>
      </c>
      <c r="D262" s="260" t="s">
        <v>41</v>
      </c>
      <c r="E262" s="33" t="n">
        <f aca="false">IF(D262="totale",(C262/(A262*24))/F262,IF(D262="marché libre",(C262/(A262*24))/G262,"spécifier histo"))</f>
        <v>0.547043010752688</v>
      </c>
      <c r="F262" s="59" t="n">
        <v>1000</v>
      </c>
      <c r="G262" s="59" t="n">
        <f aca="false">F262-H262</f>
        <v>1000</v>
      </c>
      <c r="H262" s="59" t="n">
        <f aca="false">0</f>
        <v>0</v>
      </c>
      <c r="I262" s="9"/>
      <c r="J262" s="205"/>
      <c r="K262" s="1"/>
      <c r="L262" s="1"/>
      <c r="M262" s="1"/>
      <c r="N262" s="1"/>
      <c r="O262" s="1"/>
      <c r="P262" s="1"/>
      <c r="Q262" s="1"/>
      <c r="R262" s="1"/>
      <c r="S262" s="1"/>
      <c r="T262" s="1"/>
      <c r="AC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row>
    <row r="263" customFormat="false" ht="18.95" hidden="false" customHeight="true" outlineLevel="0" collapsed="false">
      <c r="A263" s="0" t="n">
        <v>28</v>
      </c>
      <c r="B263" s="34" t="n">
        <v>33270</v>
      </c>
      <c r="C263" s="56" t="n">
        <v>270000</v>
      </c>
      <c r="D263" s="260" t="s">
        <v>41</v>
      </c>
      <c r="E263" s="33" t="n">
        <f aca="false">IF(D263="totale",(C263/(A263*24))/F263,IF(D263="marché libre",(C263/(A263*24))/G263,"spécifier histo"))</f>
        <v>0.401785714285714</v>
      </c>
      <c r="F263" s="59" t="n">
        <v>1000</v>
      </c>
      <c r="G263" s="59" t="n">
        <f aca="false">F263-H263</f>
        <v>1000</v>
      </c>
      <c r="H263" s="59" t="n">
        <f aca="false">0</f>
        <v>0</v>
      </c>
      <c r="I263" s="9"/>
      <c r="J263" s="205"/>
      <c r="K263" s="1"/>
      <c r="L263" s="1"/>
      <c r="M263" s="1"/>
      <c r="N263" s="1"/>
      <c r="O263" s="1"/>
      <c r="P263" s="1"/>
      <c r="Q263" s="1"/>
      <c r="R263" s="1"/>
      <c r="S263" s="1"/>
      <c r="T263" s="1"/>
      <c r="AC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row>
    <row r="264" customFormat="false" ht="18.95" hidden="false" customHeight="true" outlineLevel="0" collapsed="false">
      <c r="A264" s="0" t="n">
        <v>31</v>
      </c>
      <c r="B264" s="31" t="n">
        <v>33298</v>
      </c>
      <c r="C264" s="56" t="n">
        <v>270000</v>
      </c>
      <c r="D264" s="260" t="s">
        <v>41</v>
      </c>
      <c r="E264" s="33" t="n">
        <f aca="false">IF(D264="totale",(C264/(A264*24))/F264,IF(D264="marché libre",(C264/(A264*24))/G264,"spécifier histo"))</f>
        <v>0.362903225806452</v>
      </c>
      <c r="F264" s="59" t="n">
        <v>1000</v>
      </c>
      <c r="G264" s="59" t="n">
        <f aca="false">F264-H264</f>
        <v>1000</v>
      </c>
      <c r="H264" s="59" t="n">
        <f aca="false">0</f>
        <v>0</v>
      </c>
      <c r="I264" s="9"/>
      <c r="J264" s="205"/>
      <c r="K264" s="1"/>
      <c r="L264" s="1"/>
      <c r="M264" s="1"/>
      <c r="N264" s="1"/>
      <c r="O264" s="1"/>
      <c r="P264" s="1"/>
      <c r="Q264" s="1"/>
      <c r="R264" s="1"/>
      <c r="S264" s="1"/>
      <c r="T264" s="1"/>
      <c r="AC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row>
    <row r="265" customFormat="false" ht="18.95" hidden="false" customHeight="true" outlineLevel="0" collapsed="false">
      <c r="A265" s="0" t="n">
        <v>30</v>
      </c>
      <c r="B265" s="34" t="n">
        <v>33329</v>
      </c>
      <c r="C265" s="56" t="n">
        <v>313000</v>
      </c>
      <c r="D265" s="260" t="s">
        <v>41</v>
      </c>
      <c r="E265" s="33" t="n">
        <f aca="false">IF(D265="totale",(C265/(A265*24))/F265,IF(D265="marché libre",(C265/(A265*24))/G265,"spécifier histo"))</f>
        <v>0.434722222222222</v>
      </c>
      <c r="F265" s="59" t="n">
        <v>1000</v>
      </c>
      <c r="G265" s="59" t="n">
        <f aca="false">F265-H265</f>
        <v>1000</v>
      </c>
      <c r="H265" s="59" t="n">
        <f aca="false">0</f>
        <v>0</v>
      </c>
      <c r="I265" s="9"/>
      <c r="J265" s="205"/>
      <c r="K265" s="1"/>
      <c r="L265" s="1"/>
      <c r="M265" s="1"/>
      <c r="N265" s="1"/>
      <c r="O265" s="1"/>
      <c r="P265" s="1"/>
      <c r="Q265" s="1"/>
      <c r="R265" s="1"/>
      <c r="S265" s="1"/>
      <c r="T265" s="1"/>
      <c r="AC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row>
    <row r="266" customFormat="false" ht="18.95" hidden="false" customHeight="true" outlineLevel="0" collapsed="false">
      <c r="A266" s="0" t="n">
        <v>31</v>
      </c>
      <c r="B266" s="31" t="n">
        <v>33359</v>
      </c>
      <c r="C266" s="56" t="n">
        <v>260000</v>
      </c>
      <c r="D266" s="260" t="s">
        <v>41</v>
      </c>
      <c r="E266" s="33" t="n">
        <f aca="false">IF(D266="totale",(C266/(A266*24))/F266,IF(D266="marché libre",(C266/(A266*24))/G266,"spécifier histo"))</f>
        <v>0.349462365591398</v>
      </c>
      <c r="F266" s="59" t="n">
        <v>1000</v>
      </c>
      <c r="G266" s="59" t="n">
        <f aca="false">F266-H266</f>
        <v>1000</v>
      </c>
      <c r="H266" s="59" t="n">
        <f aca="false">0</f>
        <v>0</v>
      </c>
      <c r="I266" s="9"/>
      <c r="J266" s="205"/>
      <c r="K266" s="1"/>
      <c r="L266" s="1"/>
      <c r="M266" s="1"/>
      <c r="N266" s="1"/>
      <c r="O266" s="1"/>
      <c r="P266" s="1"/>
      <c r="Q266" s="1"/>
      <c r="R266" s="1"/>
      <c r="S266" s="1"/>
      <c r="T266" s="1"/>
      <c r="AC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row>
    <row r="267" customFormat="false" ht="18.95" hidden="false" customHeight="true" outlineLevel="0" collapsed="false">
      <c r="A267" s="0" t="n">
        <v>30</v>
      </c>
      <c r="B267" s="34" t="n">
        <v>33390</v>
      </c>
      <c r="C267" s="56" t="n">
        <v>370000</v>
      </c>
      <c r="D267" s="260" t="s">
        <v>41</v>
      </c>
      <c r="E267" s="33" t="n">
        <f aca="false">IF(D267="totale",(C267/(A267*24))/F267,IF(D267="marché libre",(C267/(A267*24))/G267,"spécifier histo"))</f>
        <v>0.513888888888889</v>
      </c>
      <c r="F267" s="59" t="n">
        <v>1000</v>
      </c>
      <c r="G267" s="59" t="n">
        <f aca="false">F267-H267</f>
        <v>1000</v>
      </c>
      <c r="H267" s="59" t="n">
        <f aca="false">0</f>
        <v>0</v>
      </c>
      <c r="I267" s="9"/>
      <c r="J267" s="205"/>
      <c r="K267" s="1"/>
      <c r="L267" s="1"/>
      <c r="M267" s="1"/>
      <c r="N267" s="1"/>
      <c r="O267" s="1"/>
      <c r="P267" s="1"/>
      <c r="Q267" s="1"/>
      <c r="R267" s="1"/>
      <c r="S267" s="1"/>
      <c r="T267" s="1"/>
      <c r="AC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row>
    <row r="268" customFormat="false" ht="18.95" hidden="false" customHeight="true" outlineLevel="0" collapsed="false">
      <c r="A268" s="0" t="n">
        <v>31</v>
      </c>
      <c r="B268" s="31" t="n">
        <v>33420</v>
      </c>
      <c r="C268" s="56" t="n">
        <v>560000</v>
      </c>
      <c r="D268" s="260" t="s">
        <v>41</v>
      </c>
      <c r="E268" s="33" t="n">
        <f aca="false">IF(D268="totale",(C268/(A268*24))/F268,IF(D268="marché libre",(C268/(A268*24))/G268,"spécifier histo"))</f>
        <v>0.752688172043011</v>
      </c>
      <c r="F268" s="59" t="n">
        <v>1000</v>
      </c>
      <c r="G268" s="59" t="n">
        <f aca="false">F268-H268</f>
        <v>1000</v>
      </c>
      <c r="H268" s="59" t="n">
        <f aca="false">0</f>
        <v>0</v>
      </c>
      <c r="I268" s="9"/>
      <c r="J268" s="205"/>
      <c r="K268" s="1"/>
      <c r="L268" s="1"/>
      <c r="M268" s="1"/>
      <c r="N268" s="1"/>
      <c r="O268" s="1"/>
      <c r="P268" s="1"/>
      <c r="Q268" s="1"/>
      <c r="R268" s="1"/>
      <c r="S268" s="1"/>
      <c r="T268" s="1"/>
      <c r="AC268" s="0"/>
      <c r="AJ268" s="0"/>
      <c r="AM268" s="0"/>
    </row>
    <row r="269" customFormat="false" ht="18.95" hidden="false" customHeight="true" outlineLevel="0" collapsed="false">
      <c r="A269" s="0" t="n">
        <v>31</v>
      </c>
      <c r="B269" s="34" t="n">
        <v>33451</v>
      </c>
      <c r="C269" s="56" t="n">
        <v>450000</v>
      </c>
      <c r="D269" s="260" t="s">
        <v>41</v>
      </c>
      <c r="E269" s="33" t="n">
        <f aca="false">IF(D269="totale",(C269/(A269*24))/F269,IF(D269="marché libre",(C269/(A269*24))/G269,"spécifier histo"))</f>
        <v>0.604838709677419</v>
      </c>
      <c r="F269" s="59" t="n">
        <v>1000</v>
      </c>
      <c r="G269" s="59" t="n">
        <f aca="false">F269-H269</f>
        <v>1000</v>
      </c>
      <c r="H269" s="59" t="n">
        <f aca="false">0</f>
        <v>0</v>
      </c>
      <c r="I269" s="9"/>
      <c r="J269" s="205"/>
      <c r="K269" s="1"/>
      <c r="L269" s="1"/>
      <c r="M269" s="1"/>
      <c r="N269" s="1"/>
      <c r="O269" s="1"/>
      <c r="P269" s="1"/>
      <c r="Q269" s="1"/>
      <c r="R269" s="1"/>
      <c r="S269" s="1"/>
      <c r="T269" s="1"/>
      <c r="AC269" s="0"/>
      <c r="AJ269" s="0"/>
      <c r="AM269" s="0"/>
    </row>
    <row r="270" customFormat="false" ht="18.95" hidden="false" customHeight="true" outlineLevel="0" collapsed="false">
      <c r="A270" s="0" t="n">
        <v>30</v>
      </c>
      <c r="B270" s="31" t="n">
        <v>33482</v>
      </c>
      <c r="C270" s="56" t="n">
        <v>340000</v>
      </c>
      <c r="D270" s="260" t="s">
        <v>41</v>
      </c>
      <c r="E270" s="33" t="n">
        <f aca="false">IF(D270="totale",(C270/(A270*24))/F270,IF(D270="marché libre",(C270/(A270*24))/G270,"spécifier histo"))</f>
        <v>0.472222222222222</v>
      </c>
      <c r="F270" s="59" t="n">
        <v>1000</v>
      </c>
      <c r="G270" s="59" t="n">
        <f aca="false">F270-H270</f>
        <v>1000</v>
      </c>
      <c r="H270" s="59" t="n">
        <f aca="false">0</f>
        <v>0</v>
      </c>
      <c r="I270" s="9"/>
      <c r="J270" s="205"/>
      <c r="K270" s="1"/>
      <c r="L270" s="1"/>
      <c r="M270" s="1"/>
      <c r="N270" s="1"/>
      <c r="O270" s="1"/>
      <c r="P270" s="1"/>
      <c r="Q270" s="1"/>
      <c r="R270" s="1"/>
      <c r="S270" s="1"/>
      <c r="T270" s="1"/>
      <c r="AC270" s="0"/>
      <c r="AJ270" s="0"/>
      <c r="AM270" s="0"/>
    </row>
    <row r="271" customFormat="false" ht="18.95" hidden="false" customHeight="true" outlineLevel="0" collapsed="false">
      <c r="A271" s="0" t="n">
        <v>31</v>
      </c>
      <c r="B271" s="34" t="n">
        <v>33512</v>
      </c>
      <c r="C271" s="56" t="n">
        <v>330000</v>
      </c>
      <c r="D271" s="260" t="s">
        <v>41</v>
      </c>
      <c r="E271" s="33" t="n">
        <f aca="false">IF(D271="totale",(C271/(A271*24))/F271,IF(D271="marché libre",(C271/(A271*24))/G271,"spécifier histo"))</f>
        <v>0.443548387096774</v>
      </c>
      <c r="F271" s="59" t="n">
        <v>1000</v>
      </c>
      <c r="G271" s="59" t="n">
        <f aca="false">F271-H271</f>
        <v>1000</v>
      </c>
      <c r="H271" s="59" t="n">
        <f aca="false">0</f>
        <v>0</v>
      </c>
      <c r="I271" s="9"/>
      <c r="J271" s="205"/>
      <c r="K271" s="1"/>
      <c r="L271" s="1"/>
      <c r="M271" s="1"/>
      <c r="N271" s="1"/>
      <c r="O271" s="1"/>
      <c r="P271" s="1"/>
      <c r="Q271" s="1"/>
      <c r="R271" s="1"/>
      <c r="S271" s="1"/>
      <c r="T271" s="1"/>
      <c r="AC271" s="0"/>
      <c r="AJ271" s="0"/>
      <c r="AM271" s="0"/>
    </row>
    <row r="272" customFormat="false" ht="18.95" hidden="false" customHeight="true" outlineLevel="0" collapsed="false">
      <c r="A272" s="0" t="n">
        <v>30</v>
      </c>
      <c r="B272" s="31" t="n">
        <v>33543</v>
      </c>
      <c r="C272" s="56" t="n">
        <v>472000</v>
      </c>
      <c r="D272" s="260" t="s">
        <v>41</v>
      </c>
      <c r="E272" s="33" t="n">
        <f aca="false">IF(D272="totale",(C272/(A272*24))/F272,IF(D272="marché libre",(C272/(A272*24))/G272,"spécifier histo"))</f>
        <v>0.655555555555556</v>
      </c>
      <c r="F272" s="59" t="n">
        <v>1000</v>
      </c>
      <c r="G272" s="59" t="n">
        <f aca="false">F272-H272</f>
        <v>1000</v>
      </c>
      <c r="H272" s="59" t="n">
        <f aca="false">0</f>
        <v>0</v>
      </c>
      <c r="I272" s="9"/>
      <c r="J272" s="205"/>
      <c r="K272" s="1"/>
      <c r="L272" s="1"/>
      <c r="M272" s="1"/>
      <c r="N272" s="1"/>
      <c r="O272" s="1"/>
      <c r="P272" s="1"/>
      <c r="Q272" s="1"/>
      <c r="R272" s="1"/>
      <c r="S272" s="1"/>
      <c r="T272" s="1"/>
      <c r="AC272" s="0"/>
      <c r="AJ272" s="0"/>
      <c r="AM272" s="0"/>
    </row>
    <row r="273" customFormat="false" ht="18.95" hidden="false" customHeight="true" outlineLevel="0" collapsed="false">
      <c r="A273" s="0" t="n">
        <v>31</v>
      </c>
      <c r="B273" s="34" t="n">
        <v>33573</v>
      </c>
      <c r="C273" s="56" t="n">
        <v>380000</v>
      </c>
      <c r="D273" s="260" t="s">
        <v>41</v>
      </c>
      <c r="E273" s="33" t="n">
        <f aca="false">IF(D273="totale",(C273/(A273*24))/F273,IF(D273="marché libre",(C273/(A273*24))/G273,"spécifier histo"))</f>
        <v>0.510752688172043</v>
      </c>
      <c r="F273" s="59" t="n">
        <v>1000</v>
      </c>
      <c r="G273" s="59" t="n">
        <f aca="false">F273-H273</f>
        <v>1000</v>
      </c>
      <c r="H273" s="59" t="n">
        <f aca="false">0</f>
        <v>0</v>
      </c>
      <c r="I273" s="9"/>
      <c r="J273" s="205"/>
      <c r="K273" s="1"/>
      <c r="L273" s="1"/>
      <c r="M273" s="1"/>
      <c r="N273" s="1"/>
      <c r="O273" s="1"/>
      <c r="P273" s="1"/>
      <c r="Q273" s="1"/>
      <c r="R273" s="1"/>
      <c r="S273" s="1"/>
      <c r="T273" s="1"/>
      <c r="AC273" s="0"/>
      <c r="AJ273" s="0"/>
      <c r="AM273" s="0"/>
    </row>
    <row r="274" customFormat="false" ht="18.95" hidden="false" customHeight="true" outlineLevel="0" collapsed="false">
      <c r="A274" s="0" t="n">
        <v>31</v>
      </c>
      <c r="B274" s="31" t="n">
        <v>33604</v>
      </c>
      <c r="C274" s="56" t="n">
        <v>330000</v>
      </c>
      <c r="D274" s="260" t="s">
        <v>41</v>
      </c>
      <c r="E274" s="33" t="n">
        <f aca="false">IF(D274="totale",(C274/(A274*24))/F274,IF(D274="marché libre",(C274/(A274*24))/G274,"spécifier histo"))</f>
        <v>0.443548387096774</v>
      </c>
      <c r="F274" s="59" t="n">
        <v>1000</v>
      </c>
      <c r="G274" s="59" t="n">
        <f aca="false">F274-H274</f>
        <v>1000</v>
      </c>
      <c r="H274" s="59" t="n">
        <f aca="false">0</f>
        <v>0</v>
      </c>
      <c r="I274" s="9"/>
      <c r="J274" s="205"/>
      <c r="K274" s="1"/>
      <c r="L274" s="1"/>
      <c r="M274" s="1"/>
      <c r="N274" s="1"/>
      <c r="O274" s="1"/>
      <c r="P274" s="1"/>
      <c r="Q274" s="1"/>
      <c r="R274" s="1"/>
      <c r="S274" s="1"/>
      <c r="T274" s="1"/>
      <c r="AC274" s="0"/>
      <c r="AJ274" s="0"/>
      <c r="AM274" s="0"/>
    </row>
    <row r="275" customFormat="false" ht="18.95" hidden="false" customHeight="true" outlineLevel="0" collapsed="false">
      <c r="A275" s="0" t="n">
        <v>28</v>
      </c>
      <c r="B275" s="34" t="n">
        <v>33635</v>
      </c>
      <c r="C275" s="56" t="n">
        <v>290000</v>
      </c>
      <c r="D275" s="260" t="s">
        <v>41</v>
      </c>
      <c r="E275" s="33" t="n">
        <f aca="false">IF(D275="totale",(C275/(A275*24))/F275,IF(D275="marché libre",(C275/(A275*24))/G275,"spécifier histo"))</f>
        <v>0.431547619047619</v>
      </c>
      <c r="F275" s="59" t="n">
        <v>1000</v>
      </c>
      <c r="G275" s="59" t="n">
        <f aca="false">F275-H275</f>
        <v>1000</v>
      </c>
      <c r="H275" s="59" t="n">
        <f aca="false">0</f>
        <v>0</v>
      </c>
      <c r="I275" s="9"/>
      <c r="J275" s="205"/>
      <c r="K275" s="1"/>
      <c r="L275" s="1"/>
      <c r="M275" s="1"/>
      <c r="N275" s="1"/>
      <c r="O275" s="1"/>
      <c r="P275" s="1"/>
      <c r="Q275" s="1"/>
      <c r="R275" s="1"/>
      <c r="S275" s="1"/>
      <c r="T275" s="1"/>
      <c r="AC275" s="0"/>
      <c r="AJ275" s="0"/>
      <c r="AM275" s="0"/>
    </row>
    <row r="276" customFormat="false" ht="18.95" hidden="false" customHeight="true" outlineLevel="0" collapsed="false">
      <c r="A276" s="0" t="n">
        <v>31</v>
      </c>
      <c r="B276" s="31" t="n">
        <v>33664</v>
      </c>
      <c r="C276" s="56" t="n">
        <v>310000</v>
      </c>
      <c r="D276" s="260" t="s">
        <v>41</v>
      </c>
      <c r="E276" s="33" t="n">
        <f aca="false">IF(D276="totale",(C276/(A276*24))/F276,IF(D276="marché libre",(C276/(A276*24))/G276,"spécifier histo"))</f>
        <v>0.416666666666667</v>
      </c>
      <c r="F276" s="59" t="n">
        <v>1000</v>
      </c>
      <c r="G276" s="59" t="n">
        <f aca="false">F276-H276</f>
        <v>1000</v>
      </c>
      <c r="H276" s="59" t="n">
        <f aca="false">0</f>
        <v>0</v>
      </c>
      <c r="I276" s="9"/>
      <c r="J276" s="205"/>
      <c r="K276" s="1"/>
      <c r="L276" s="1"/>
      <c r="M276" s="1"/>
      <c r="N276" s="1"/>
      <c r="O276" s="1"/>
      <c r="P276" s="1"/>
      <c r="Q276" s="1"/>
      <c r="R276" s="1"/>
      <c r="S276" s="1"/>
      <c r="T276" s="1"/>
      <c r="AC276" s="0"/>
      <c r="AJ276" s="0"/>
      <c r="AM276" s="0"/>
    </row>
    <row r="277" customFormat="false" ht="18.95" hidden="false" customHeight="true" outlineLevel="0" collapsed="false">
      <c r="A277" s="0" t="n">
        <v>30</v>
      </c>
      <c r="B277" s="34" t="n">
        <v>33695</v>
      </c>
      <c r="C277" s="56" t="n">
        <v>320000</v>
      </c>
      <c r="D277" s="260" t="s">
        <v>41</v>
      </c>
      <c r="E277" s="33" t="n">
        <f aca="false">IF(D277="totale",(C277/(A277*24))/F277,IF(D277="marché libre",(C277/(A277*24))/G277,"spécifier histo"))</f>
        <v>0.444444444444444</v>
      </c>
      <c r="F277" s="59" t="n">
        <v>1000</v>
      </c>
      <c r="G277" s="59" t="n">
        <f aca="false">F277-H277</f>
        <v>1000</v>
      </c>
      <c r="H277" s="59" t="n">
        <f aca="false">0</f>
        <v>0</v>
      </c>
      <c r="I277" s="9"/>
      <c r="J277" s="205"/>
      <c r="K277" s="1"/>
      <c r="L277" s="1"/>
      <c r="M277" s="1"/>
      <c r="N277" s="1"/>
      <c r="O277" s="1"/>
      <c r="P277" s="1"/>
      <c r="Q277" s="1"/>
      <c r="R277" s="1"/>
      <c r="S277" s="1"/>
      <c r="T277" s="1"/>
      <c r="AC277" s="0"/>
      <c r="AJ277" s="0"/>
      <c r="AM277" s="0"/>
    </row>
    <row r="278" customFormat="false" ht="18.95" hidden="false" customHeight="true" outlineLevel="0" collapsed="false">
      <c r="A278" s="0" t="n">
        <v>31</v>
      </c>
      <c r="B278" s="31" t="n">
        <v>33725</v>
      </c>
      <c r="C278" s="56" t="n">
        <v>465000</v>
      </c>
      <c r="D278" s="260" t="s">
        <v>41</v>
      </c>
      <c r="E278" s="33" t="n">
        <f aca="false">IF(D278="totale",(C278/(A278*24))/F278,IF(D278="marché libre",(C278/(A278*24))/G278,"spécifier histo"))</f>
        <v>0.625</v>
      </c>
      <c r="F278" s="59" t="n">
        <v>1000</v>
      </c>
      <c r="G278" s="59" t="n">
        <f aca="false">F278-H278</f>
        <v>1000</v>
      </c>
      <c r="H278" s="59" t="n">
        <f aca="false">0</f>
        <v>0</v>
      </c>
      <c r="I278" s="9"/>
      <c r="J278" s="205"/>
      <c r="K278" s="1"/>
      <c r="L278" s="1"/>
      <c r="M278" s="1"/>
      <c r="N278" s="1"/>
      <c r="O278" s="1"/>
      <c r="P278" s="1"/>
      <c r="Q278" s="1"/>
      <c r="R278" s="1"/>
      <c r="S278" s="1"/>
      <c r="T278" s="1"/>
      <c r="AC278" s="0"/>
      <c r="AJ278" s="0"/>
      <c r="AM278" s="0"/>
    </row>
    <row r="279" customFormat="false" ht="18.95" hidden="false" customHeight="true" outlineLevel="0" collapsed="false">
      <c r="A279" s="0" t="n">
        <v>30</v>
      </c>
      <c r="B279" s="34" t="n">
        <v>33756</v>
      </c>
      <c r="C279" s="56" t="n">
        <v>575000</v>
      </c>
      <c r="D279" s="260" t="s">
        <v>41</v>
      </c>
      <c r="E279" s="33" t="n">
        <f aca="false">IF(D279="totale",(C279/(A279*24))/F279,IF(D279="marché libre",(C279/(A279*24))/G279,"spécifier histo"))</f>
        <v>0.798611111111111</v>
      </c>
      <c r="F279" s="59" t="n">
        <v>1000</v>
      </c>
      <c r="G279" s="59" t="n">
        <f aca="false">F279-H279</f>
        <v>1000</v>
      </c>
      <c r="H279" s="59" t="n">
        <f aca="false">0</f>
        <v>0</v>
      </c>
      <c r="I279" s="9"/>
      <c r="J279" s="205"/>
      <c r="K279" s="1"/>
      <c r="L279" s="1"/>
      <c r="M279" s="1"/>
      <c r="N279" s="1"/>
      <c r="O279" s="1"/>
      <c r="P279" s="1"/>
      <c r="Q279" s="1"/>
      <c r="R279" s="1"/>
      <c r="S279" s="1"/>
      <c r="T279" s="1"/>
      <c r="AC279" s="0"/>
      <c r="AJ279" s="0"/>
      <c r="AM279" s="0"/>
    </row>
    <row r="280" customFormat="false" ht="18.95" hidden="false" customHeight="true" outlineLevel="0" collapsed="false">
      <c r="A280" s="0" t="n">
        <v>31</v>
      </c>
      <c r="B280" s="31" t="n">
        <v>33786</v>
      </c>
      <c r="C280" s="56" t="n">
        <v>610000</v>
      </c>
      <c r="D280" s="260" t="s">
        <v>41</v>
      </c>
      <c r="E280" s="33" t="n">
        <f aca="false">IF(D280="totale",(C280/(A280*24))/F280,IF(D280="marché libre",(C280/(A280*24))/G280,"spécifier histo"))</f>
        <v>0.819892473118279</v>
      </c>
      <c r="F280" s="59" t="n">
        <v>1000</v>
      </c>
      <c r="G280" s="59" t="n">
        <f aca="false">F280-H280</f>
        <v>1000</v>
      </c>
      <c r="H280" s="59" t="n">
        <f aca="false">0</f>
        <v>0</v>
      </c>
      <c r="I280" s="9"/>
      <c r="J280" s="205"/>
      <c r="K280" s="1"/>
      <c r="L280" s="1"/>
      <c r="M280" s="1"/>
      <c r="N280" s="1"/>
      <c r="O280" s="1"/>
      <c r="P280" s="1"/>
      <c r="Q280" s="1"/>
      <c r="R280" s="1"/>
      <c r="S280" s="1"/>
      <c r="T280" s="1"/>
      <c r="AC280" s="0"/>
      <c r="AJ280" s="0"/>
      <c r="AM280" s="0"/>
    </row>
    <row r="281" customFormat="false" ht="18.95" hidden="false" customHeight="true" outlineLevel="0" collapsed="false">
      <c r="A281" s="0" t="n">
        <v>31</v>
      </c>
      <c r="B281" s="34" t="n">
        <v>33817</v>
      </c>
      <c r="C281" s="56" t="n">
        <v>490000</v>
      </c>
      <c r="D281" s="260" t="s">
        <v>41</v>
      </c>
      <c r="E281" s="33" t="n">
        <f aca="false">IF(D281="totale",(C281/(A281*24))/F281,IF(D281="marché libre",(C281/(A281*24))/G281,"spécifier histo"))</f>
        <v>0.658602150537634</v>
      </c>
      <c r="F281" s="59" t="n">
        <v>1000</v>
      </c>
      <c r="G281" s="59" t="n">
        <f aca="false">F281-H281</f>
        <v>1000</v>
      </c>
      <c r="H281" s="59" t="n">
        <f aca="false">0</f>
        <v>0</v>
      </c>
      <c r="I281" s="9"/>
      <c r="J281" s="205"/>
      <c r="K281" s="1"/>
      <c r="L281" s="1"/>
      <c r="M281" s="1"/>
      <c r="N281" s="1"/>
      <c r="O281" s="1"/>
      <c r="P281" s="1"/>
      <c r="Q281" s="1"/>
      <c r="R281" s="1"/>
      <c r="S281" s="1"/>
      <c r="T281" s="1"/>
      <c r="AC281" s="0"/>
      <c r="AJ281" s="0"/>
      <c r="AM281" s="0"/>
    </row>
    <row r="282" customFormat="false" ht="18.95" hidden="false" customHeight="true" outlineLevel="0" collapsed="false">
      <c r="A282" s="0" t="n">
        <v>30</v>
      </c>
      <c r="B282" s="31" t="n">
        <v>33848</v>
      </c>
      <c r="C282" s="56" t="n">
        <v>400000</v>
      </c>
      <c r="D282" s="260" t="s">
        <v>41</v>
      </c>
      <c r="E282" s="33" t="n">
        <f aca="false">IF(D282="totale",(C282/(A282*24))/F282,IF(D282="marché libre",(C282/(A282*24))/G282,"spécifier histo"))</f>
        <v>0.555555555555556</v>
      </c>
      <c r="F282" s="59" t="n">
        <v>1000</v>
      </c>
      <c r="G282" s="59" t="n">
        <f aca="false">F282-H282</f>
        <v>1000</v>
      </c>
      <c r="H282" s="59" t="n">
        <f aca="false">0</f>
        <v>0</v>
      </c>
      <c r="I282" s="9"/>
      <c r="J282" s="205"/>
      <c r="K282" s="1"/>
      <c r="L282" s="1"/>
      <c r="M282" s="1"/>
      <c r="N282" s="1"/>
      <c r="O282" s="1"/>
      <c r="P282" s="1"/>
      <c r="Q282" s="1"/>
      <c r="R282" s="1"/>
      <c r="S282" s="1"/>
      <c r="T282" s="1"/>
      <c r="AC282" s="0"/>
      <c r="AJ282" s="0"/>
      <c r="AM282" s="0"/>
    </row>
    <row r="283" customFormat="false" ht="18.95" hidden="false" customHeight="true" outlineLevel="0" collapsed="false">
      <c r="A283" s="0" t="n">
        <v>31</v>
      </c>
      <c r="B283" s="34" t="n">
        <v>33878</v>
      </c>
      <c r="C283" s="56" t="n">
        <v>430000</v>
      </c>
      <c r="D283" s="260" t="s">
        <v>41</v>
      </c>
      <c r="E283" s="33" t="n">
        <f aca="false">IF(D283="totale",(C283/(A283*24))/F283,IF(D283="marché libre",(C283/(A283*24))/G283,"spécifier histo"))</f>
        <v>0.577956989247312</v>
      </c>
      <c r="F283" s="59" t="n">
        <v>1000</v>
      </c>
      <c r="G283" s="59" t="n">
        <f aca="false">F283-H283</f>
        <v>1000</v>
      </c>
      <c r="H283" s="59" t="n">
        <f aca="false">0</f>
        <v>0</v>
      </c>
      <c r="I283" s="9"/>
      <c r="J283" s="205"/>
      <c r="K283" s="1"/>
      <c r="L283" s="1"/>
      <c r="M283" s="1"/>
      <c r="N283" s="1"/>
      <c r="O283" s="1"/>
      <c r="P283" s="1"/>
      <c r="Q283" s="1"/>
      <c r="R283" s="1"/>
      <c r="S283" s="1"/>
      <c r="T283" s="1"/>
      <c r="AC283" s="0"/>
      <c r="AJ283" s="0"/>
      <c r="AM283" s="0"/>
    </row>
    <row r="284" customFormat="false" ht="18.95" hidden="false" customHeight="true" outlineLevel="0" collapsed="false">
      <c r="A284" s="0" t="n">
        <v>30</v>
      </c>
      <c r="B284" s="31" t="n">
        <v>33909</v>
      </c>
      <c r="C284" s="56" t="n">
        <v>530000</v>
      </c>
      <c r="D284" s="260" t="s">
        <v>41</v>
      </c>
      <c r="E284" s="33" t="n">
        <f aca="false">IF(D284="totale",(C284/(A284*24))/F284,IF(D284="marché libre",(C284/(A284*24))/G284,"spécifier histo"))</f>
        <v>0.736111111111111</v>
      </c>
      <c r="F284" s="59" t="n">
        <v>1000</v>
      </c>
      <c r="G284" s="59" t="n">
        <f aca="false">F284-H284</f>
        <v>1000</v>
      </c>
      <c r="H284" s="59" t="n">
        <f aca="false">0</f>
        <v>0</v>
      </c>
      <c r="I284" s="9"/>
      <c r="J284" s="205"/>
      <c r="K284" s="1"/>
      <c r="L284" s="1"/>
      <c r="M284" s="1"/>
      <c r="N284" s="1"/>
      <c r="O284" s="1"/>
      <c r="P284" s="1"/>
      <c r="Q284" s="1"/>
      <c r="R284" s="1"/>
      <c r="S284" s="1"/>
      <c r="T284" s="1"/>
      <c r="AC284" s="0"/>
      <c r="AJ284" s="0"/>
      <c r="AM284" s="0"/>
    </row>
    <row r="285" customFormat="false" ht="18.95" hidden="false" customHeight="true" outlineLevel="0" collapsed="false">
      <c r="A285" s="0" t="n">
        <v>31</v>
      </c>
      <c r="B285" s="34" t="n">
        <v>33939</v>
      </c>
      <c r="C285" s="56" t="n">
        <v>570000</v>
      </c>
      <c r="D285" s="260" t="s">
        <v>41</v>
      </c>
      <c r="E285" s="33" t="n">
        <f aca="false">IF(D285="totale",(C285/(A285*24))/F285,IF(D285="marché libre",(C285/(A285*24))/G285,"spécifier histo"))</f>
        <v>0.766129032258065</v>
      </c>
      <c r="F285" s="59" t="n">
        <v>1000</v>
      </c>
      <c r="G285" s="59" t="n">
        <f aca="false">F285-H285</f>
        <v>1000</v>
      </c>
      <c r="H285" s="59" t="n">
        <f aca="false">0</f>
        <v>0</v>
      </c>
      <c r="I285" s="9"/>
      <c r="J285" s="205"/>
      <c r="K285" s="1"/>
      <c r="L285" s="1"/>
      <c r="M285" s="1"/>
      <c r="N285" s="1"/>
      <c r="O285" s="1"/>
      <c r="P285" s="1"/>
      <c r="Q285" s="1"/>
      <c r="R285" s="1"/>
      <c r="S285" s="1"/>
      <c r="T285" s="1"/>
      <c r="AC285" s="0"/>
      <c r="AJ285" s="0"/>
      <c r="AM285" s="0"/>
    </row>
    <row r="286" customFormat="false" ht="18.95" hidden="false" customHeight="true" outlineLevel="0" collapsed="false">
      <c r="A286" s="0" t="n">
        <v>31</v>
      </c>
      <c r="B286" s="31" t="n">
        <v>33970</v>
      </c>
      <c r="C286" s="56" t="n">
        <v>460000</v>
      </c>
      <c r="D286" s="260" t="s">
        <v>41</v>
      </c>
      <c r="E286" s="33" t="n">
        <f aca="false">IF(D286="totale",(C286/(A286*24))/F286,IF(D286="marché libre",(C286/(A286*24))/G286,"spécifier histo"))</f>
        <v>0.618279569892473</v>
      </c>
      <c r="F286" s="59" t="n">
        <v>1000</v>
      </c>
      <c r="G286" s="59" t="n">
        <f aca="false">F286-H286</f>
        <v>1000</v>
      </c>
      <c r="H286" s="59" t="n">
        <f aca="false">0</f>
        <v>0</v>
      </c>
      <c r="I286" s="9"/>
      <c r="J286" s="205"/>
      <c r="K286" s="1"/>
      <c r="L286" s="1"/>
      <c r="M286" s="1"/>
      <c r="N286" s="1"/>
      <c r="O286" s="1"/>
      <c r="P286" s="1"/>
      <c r="Q286" s="1"/>
      <c r="R286" s="1"/>
      <c r="S286" s="1"/>
      <c r="T286" s="1"/>
      <c r="AC286" s="0"/>
      <c r="AJ286" s="0"/>
      <c r="AM286" s="0"/>
    </row>
    <row r="287" customFormat="false" ht="18.95" hidden="false" customHeight="true" outlineLevel="0" collapsed="false">
      <c r="A287" s="0" t="n">
        <v>28</v>
      </c>
      <c r="B287" s="34" t="n">
        <v>34001</v>
      </c>
      <c r="C287" s="56" t="n">
        <v>340000</v>
      </c>
      <c r="D287" s="260" t="s">
        <v>41</v>
      </c>
      <c r="E287" s="33" t="n">
        <f aca="false">IF(D287="totale",(C287/(A287*24))/F287,IF(D287="marché libre",(C287/(A287*24))/G287,"spécifier histo"))</f>
        <v>0.505952380952381</v>
      </c>
      <c r="F287" s="59" t="n">
        <v>1000</v>
      </c>
      <c r="G287" s="59" t="n">
        <f aca="false">F287-H287</f>
        <v>1000</v>
      </c>
      <c r="H287" s="59" t="n">
        <f aca="false">0</f>
        <v>0</v>
      </c>
      <c r="I287" s="9"/>
      <c r="J287" s="205"/>
      <c r="K287" s="1"/>
      <c r="L287" s="1"/>
      <c r="M287" s="1"/>
      <c r="N287" s="1"/>
      <c r="O287" s="1"/>
      <c r="P287" s="1"/>
      <c r="Q287" s="1"/>
      <c r="R287" s="1"/>
      <c r="S287" s="1"/>
      <c r="T287" s="1"/>
      <c r="AC287" s="0"/>
      <c r="AJ287" s="0"/>
      <c r="AM287" s="0"/>
    </row>
    <row r="288" customFormat="false" ht="18.95" hidden="false" customHeight="true" outlineLevel="0" collapsed="false">
      <c r="A288" s="0" t="n">
        <v>31</v>
      </c>
      <c r="B288" s="31" t="n">
        <v>34029</v>
      </c>
      <c r="C288" s="56" t="n">
        <v>350000</v>
      </c>
      <c r="D288" s="260" t="s">
        <v>41</v>
      </c>
      <c r="E288" s="33" t="n">
        <f aca="false">IF(D288="totale",(C288/(A288*24))/F288,IF(D288="marché libre",(C288/(A288*24))/G288,"spécifier histo"))</f>
        <v>0.470430107526882</v>
      </c>
      <c r="F288" s="59" t="n">
        <v>1000</v>
      </c>
      <c r="G288" s="59" t="n">
        <f aca="false">F288-H288</f>
        <v>1000</v>
      </c>
      <c r="H288" s="59" t="n">
        <f aca="false">0</f>
        <v>0</v>
      </c>
      <c r="I288" s="9"/>
      <c r="J288" s="205"/>
      <c r="K288" s="1"/>
      <c r="L288" s="1"/>
      <c r="M288" s="1"/>
      <c r="N288" s="1"/>
      <c r="O288" s="1"/>
      <c r="P288" s="1"/>
      <c r="Q288" s="1"/>
      <c r="R288" s="1"/>
      <c r="S288" s="1"/>
      <c r="T288" s="1"/>
      <c r="AC288" s="0"/>
      <c r="AJ288" s="0"/>
      <c r="AM288" s="0"/>
    </row>
    <row r="289" customFormat="false" ht="18.95" hidden="false" customHeight="true" outlineLevel="0" collapsed="false">
      <c r="A289" s="0" t="n">
        <v>30</v>
      </c>
      <c r="B289" s="34" t="n">
        <v>34060</v>
      </c>
      <c r="C289" s="56" t="n">
        <v>380000</v>
      </c>
      <c r="D289" s="260" t="s">
        <v>41</v>
      </c>
      <c r="E289" s="33" t="n">
        <f aca="false">IF(D289="totale",(C289/(A289*24))/F289,IF(D289="marché libre",(C289/(A289*24))/G289,"spécifier histo"))</f>
        <v>0.527777777777778</v>
      </c>
      <c r="F289" s="59" t="n">
        <v>1000</v>
      </c>
      <c r="G289" s="59" t="n">
        <f aca="false">F289-H289</f>
        <v>1000</v>
      </c>
      <c r="H289" s="59" t="n">
        <f aca="false">0</f>
        <v>0</v>
      </c>
      <c r="I289" s="9"/>
      <c r="J289" s="205"/>
      <c r="K289" s="1"/>
      <c r="L289" s="1"/>
      <c r="M289" s="1"/>
      <c r="N289" s="1"/>
      <c r="O289" s="1"/>
      <c r="P289" s="1"/>
      <c r="Q289" s="1"/>
      <c r="R289" s="1"/>
      <c r="S289" s="1"/>
      <c r="T289" s="1"/>
      <c r="AC289" s="0"/>
      <c r="AJ289" s="0"/>
      <c r="AM289" s="0"/>
    </row>
    <row r="290" customFormat="false" ht="18.95" hidden="false" customHeight="true" outlineLevel="0" collapsed="false">
      <c r="A290" s="0" t="n">
        <v>31</v>
      </c>
      <c r="B290" s="31" t="n">
        <v>34090</v>
      </c>
      <c r="C290" s="56" t="n">
        <v>410000</v>
      </c>
      <c r="D290" s="260" t="s">
        <v>41</v>
      </c>
      <c r="E290" s="33" t="n">
        <f aca="false">IF(D290="totale",(C290/(A290*24))/F290,IF(D290="marché libre",(C290/(A290*24))/G290,"spécifier histo"))</f>
        <v>0.551075268817204</v>
      </c>
      <c r="F290" s="59" t="n">
        <v>1000</v>
      </c>
      <c r="G290" s="59" t="n">
        <f aca="false">F290-H290</f>
        <v>1000</v>
      </c>
      <c r="H290" s="59" t="n">
        <f aca="false">0</f>
        <v>0</v>
      </c>
      <c r="I290" s="9"/>
      <c r="J290" s="205"/>
      <c r="K290" s="1"/>
      <c r="L290" s="1"/>
      <c r="M290" s="1"/>
      <c r="N290" s="1"/>
      <c r="O290" s="1"/>
      <c r="P290" s="1"/>
      <c r="Q290" s="1"/>
      <c r="R290" s="1"/>
      <c r="S290" s="1"/>
      <c r="T290" s="1"/>
      <c r="AC290" s="0"/>
      <c r="AJ290" s="0"/>
      <c r="AM290" s="0"/>
    </row>
    <row r="291" customFormat="false" ht="18.95" hidden="false" customHeight="true" outlineLevel="0" collapsed="false">
      <c r="A291" s="0" t="n">
        <v>30</v>
      </c>
      <c r="B291" s="34" t="n">
        <v>34121</v>
      </c>
      <c r="C291" s="56" t="n">
        <v>520000</v>
      </c>
      <c r="D291" s="260" t="s">
        <v>41</v>
      </c>
      <c r="E291" s="33" t="n">
        <f aca="false">IF(D291="totale",(C291/(A291*24))/F291,IF(D291="marché libre",(C291/(A291*24))/G291,"spécifier histo"))</f>
        <v>0.722222222222222</v>
      </c>
      <c r="F291" s="59" t="n">
        <v>1000</v>
      </c>
      <c r="G291" s="59" t="n">
        <f aca="false">F291-H291</f>
        <v>1000</v>
      </c>
      <c r="H291" s="59" t="n">
        <f aca="false">0</f>
        <v>0</v>
      </c>
      <c r="I291" s="9"/>
      <c r="J291" s="205"/>
      <c r="K291" s="1"/>
      <c r="L291" s="1"/>
      <c r="M291" s="1"/>
      <c r="N291" s="1"/>
      <c r="O291" s="1"/>
      <c r="P291" s="1"/>
      <c r="Q291" s="1"/>
      <c r="R291" s="1"/>
      <c r="S291" s="1"/>
      <c r="T291" s="1"/>
      <c r="AC291" s="0"/>
      <c r="AJ291" s="0"/>
      <c r="AM291" s="0"/>
    </row>
    <row r="292" customFormat="false" ht="18.95" hidden="false" customHeight="true" outlineLevel="0" collapsed="false">
      <c r="A292" s="0" t="n">
        <v>31</v>
      </c>
      <c r="B292" s="31" t="n">
        <v>34151</v>
      </c>
      <c r="C292" s="56" t="n">
        <v>583000</v>
      </c>
      <c r="D292" s="260" t="s">
        <v>41</v>
      </c>
      <c r="E292" s="33" t="n">
        <f aca="false">IF(D292="totale",(C292/(A292*24))/F292,IF(D292="marché libre",(C292/(A292*24))/G292,"spécifier histo"))</f>
        <v>0.783602150537634</v>
      </c>
      <c r="F292" s="59" t="n">
        <v>1000</v>
      </c>
      <c r="G292" s="59" t="n">
        <f aca="false">F292-H292</f>
        <v>1000</v>
      </c>
      <c r="H292" s="59" t="n">
        <f aca="false">0</f>
        <v>0</v>
      </c>
      <c r="I292" s="9"/>
      <c r="J292" s="205"/>
      <c r="K292" s="1"/>
      <c r="L292" s="1"/>
      <c r="M292" s="1"/>
      <c r="N292" s="1"/>
      <c r="O292" s="1"/>
      <c r="P292" s="1"/>
      <c r="Q292" s="1"/>
      <c r="R292" s="1"/>
      <c r="S292" s="1"/>
      <c r="T292" s="1"/>
      <c r="AC292" s="0"/>
      <c r="AM292" s="0"/>
    </row>
    <row r="293" customFormat="false" ht="18.95" hidden="false" customHeight="true" outlineLevel="0" collapsed="false">
      <c r="A293" s="0" t="n">
        <v>31</v>
      </c>
      <c r="B293" s="34" t="n">
        <v>34182</v>
      </c>
      <c r="C293" s="56" t="n">
        <v>477000</v>
      </c>
      <c r="D293" s="260" t="s">
        <v>41</v>
      </c>
      <c r="E293" s="33" t="n">
        <f aca="false">IF(D293="totale",(C293/(A293*24))/F293,IF(D293="marché libre",(C293/(A293*24))/G293,"spécifier histo"))</f>
        <v>0.641129032258065</v>
      </c>
      <c r="F293" s="59" t="n">
        <v>1000</v>
      </c>
      <c r="G293" s="59" t="n">
        <f aca="false">F293-H293</f>
        <v>1000</v>
      </c>
      <c r="H293" s="59" t="n">
        <f aca="false">0</f>
        <v>0</v>
      </c>
      <c r="I293" s="9"/>
      <c r="J293" s="205"/>
      <c r="K293" s="1"/>
      <c r="L293" s="1"/>
      <c r="M293" s="1"/>
      <c r="N293" s="1"/>
      <c r="O293" s="1"/>
      <c r="P293" s="1"/>
      <c r="Q293" s="1"/>
      <c r="R293" s="1"/>
      <c r="S293" s="1"/>
      <c r="T293" s="1"/>
      <c r="AC293" s="0"/>
      <c r="AM293" s="0"/>
    </row>
    <row r="294" customFormat="false" ht="18.95" hidden="false" customHeight="true" outlineLevel="0" collapsed="false">
      <c r="A294" s="0" t="n">
        <v>30</v>
      </c>
      <c r="B294" s="31" t="n">
        <v>34213</v>
      </c>
      <c r="C294" s="56" t="n">
        <v>380000</v>
      </c>
      <c r="D294" s="260" t="s">
        <v>41</v>
      </c>
      <c r="E294" s="33" t="n">
        <f aca="false">IF(D294="totale",(C294/(A294*24))/F294,IF(D294="marché libre",(C294/(A294*24))/G294,"spécifier histo"))</f>
        <v>0.527777777777778</v>
      </c>
      <c r="F294" s="59" t="n">
        <v>1000</v>
      </c>
      <c r="G294" s="59" t="n">
        <f aca="false">F294-H294</f>
        <v>1000</v>
      </c>
      <c r="H294" s="59" t="n">
        <f aca="false">0</f>
        <v>0</v>
      </c>
      <c r="I294" s="9"/>
      <c r="J294" s="205"/>
      <c r="K294" s="1"/>
      <c r="L294" s="1"/>
      <c r="M294" s="1"/>
      <c r="N294" s="1"/>
      <c r="O294" s="1"/>
      <c r="P294" s="1"/>
      <c r="Q294" s="1"/>
      <c r="R294" s="1"/>
      <c r="S294" s="1"/>
      <c r="T294" s="1"/>
      <c r="AC294" s="0"/>
      <c r="AM294" s="0"/>
    </row>
    <row r="295" customFormat="false" ht="18.95" hidden="false" customHeight="true" outlineLevel="0" collapsed="false">
      <c r="A295" s="0" t="n">
        <v>31</v>
      </c>
      <c r="B295" s="34" t="n">
        <v>34243</v>
      </c>
      <c r="C295" s="56" t="n">
        <v>410000</v>
      </c>
      <c r="D295" s="260" t="s">
        <v>41</v>
      </c>
      <c r="E295" s="33" t="n">
        <f aca="false">IF(D295="totale",(C295/(A295*24))/F295,IF(D295="marché libre",(C295/(A295*24))/G295,"spécifier histo"))</f>
        <v>0.551075268817204</v>
      </c>
      <c r="F295" s="59" t="n">
        <v>1000</v>
      </c>
      <c r="G295" s="59" t="n">
        <f aca="false">F295-H295</f>
        <v>1000</v>
      </c>
      <c r="H295" s="59" t="n">
        <f aca="false">0</f>
        <v>0</v>
      </c>
      <c r="I295" s="9"/>
      <c r="J295" s="205"/>
      <c r="K295" s="1"/>
      <c r="L295" s="1"/>
      <c r="M295" s="1"/>
      <c r="N295" s="1"/>
      <c r="O295" s="1"/>
      <c r="P295" s="1"/>
      <c r="Q295" s="1"/>
      <c r="R295" s="1"/>
      <c r="S295" s="1"/>
      <c r="T295" s="1"/>
      <c r="AC295" s="0"/>
      <c r="AM295" s="0"/>
    </row>
    <row r="296" customFormat="false" ht="18.95" hidden="false" customHeight="true" outlineLevel="0" collapsed="false">
      <c r="A296" s="0" t="n">
        <v>30</v>
      </c>
      <c r="B296" s="31" t="n">
        <v>34274</v>
      </c>
      <c r="C296" s="56" t="n">
        <v>383000</v>
      </c>
      <c r="D296" s="260" t="s">
        <v>41</v>
      </c>
      <c r="E296" s="33" t="n">
        <f aca="false">IF(D296="totale",(C296/(A296*24))/F296,IF(D296="marché libre",(C296/(A296*24))/G296,"spécifier histo"))</f>
        <v>0.531944444444444</v>
      </c>
      <c r="F296" s="59" t="n">
        <v>1000</v>
      </c>
      <c r="G296" s="59" t="n">
        <f aca="false">F296-H296</f>
        <v>1000</v>
      </c>
      <c r="H296" s="59" t="n">
        <f aca="false">0</f>
        <v>0</v>
      </c>
      <c r="I296" s="9"/>
      <c r="J296" s="205"/>
      <c r="K296" s="1"/>
      <c r="L296" s="1"/>
      <c r="M296" s="1"/>
      <c r="N296" s="1"/>
      <c r="O296" s="1"/>
      <c r="P296" s="1"/>
      <c r="Q296" s="1"/>
      <c r="R296" s="1"/>
      <c r="S296" s="1"/>
      <c r="T296" s="1"/>
      <c r="AC296" s="0"/>
      <c r="AM296" s="0"/>
    </row>
    <row r="297" customFormat="false" ht="18.95" hidden="false" customHeight="true" outlineLevel="0" collapsed="false">
      <c r="A297" s="0" t="n">
        <v>31</v>
      </c>
      <c r="B297" s="34" t="n">
        <v>34304</v>
      </c>
      <c r="C297" s="56" t="n">
        <v>288000</v>
      </c>
      <c r="D297" s="260" t="s">
        <v>41</v>
      </c>
      <c r="E297" s="33" t="n">
        <f aca="false">IF(D297="totale",(C297/(A297*24))/F297,IF(D297="marché libre",(C297/(A297*24))/G297,"spécifier histo"))</f>
        <v>0.387096774193548</v>
      </c>
      <c r="F297" s="59" t="n">
        <v>1000</v>
      </c>
      <c r="G297" s="59" t="n">
        <f aca="false">F297-H297</f>
        <v>1000</v>
      </c>
      <c r="H297" s="59" t="n">
        <f aca="false">0</f>
        <v>0</v>
      </c>
      <c r="I297" s="9"/>
      <c r="J297" s="205"/>
      <c r="K297" s="1"/>
      <c r="L297" s="1"/>
      <c r="M297" s="1"/>
      <c r="N297" s="1"/>
      <c r="O297" s="1"/>
      <c r="P297" s="1"/>
      <c r="Q297" s="1"/>
      <c r="R297" s="1"/>
      <c r="S297" s="1"/>
      <c r="T297" s="1"/>
      <c r="AC297" s="0"/>
      <c r="AM297" s="0"/>
    </row>
    <row r="298" customFormat="false" ht="18.95" hidden="false" customHeight="true" outlineLevel="0" collapsed="false">
      <c r="A298" s="0" t="n">
        <v>31</v>
      </c>
      <c r="B298" s="31" t="n">
        <v>34335</v>
      </c>
      <c r="C298" s="56" t="n">
        <v>408000</v>
      </c>
      <c r="D298" s="260" t="s">
        <v>41</v>
      </c>
      <c r="E298" s="33" t="n">
        <f aca="false">IF(D298="totale",(C298/(A298*24))/F298,IF(D298="marché libre",(C298/(A298*24))/G298,"spécifier histo"))</f>
        <v>0.548387096774194</v>
      </c>
      <c r="F298" s="59" t="n">
        <v>1000</v>
      </c>
      <c r="G298" s="59" t="n">
        <f aca="false">F298-H298</f>
        <v>1000</v>
      </c>
      <c r="H298" s="59" t="n">
        <f aca="false">0</f>
        <v>0</v>
      </c>
      <c r="I298" s="9"/>
      <c r="J298" s="205"/>
      <c r="K298" s="1"/>
      <c r="L298" s="1"/>
      <c r="M298" s="1"/>
      <c r="N298" s="1"/>
      <c r="O298" s="1"/>
      <c r="P298" s="1"/>
      <c r="Q298" s="1"/>
      <c r="R298" s="1"/>
      <c r="S298" s="1"/>
      <c r="T298" s="1"/>
      <c r="AC298" s="0"/>
      <c r="AM298" s="0"/>
    </row>
    <row r="299" customFormat="false" ht="18.95" hidden="false" customHeight="true" outlineLevel="0" collapsed="false">
      <c r="A299" s="0" t="n">
        <v>28</v>
      </c>
      <c r="B299" s="34" t="n">
        <v>34366</v>
      </c>
      <c r="C299" s="56" t="n">
        <v>321000</v>
      </c>
      <c r="D299" s="260" t="s">
        <v>41</v>
      </c>
      <c r="E299" s="33" t="n">
        <f aca="false">IF(D299="totale",(C299/(A299*24))/F299,IF(D299="marché libre",(C299/(A299*24))/G299,"spécifier histo"))</f>
        <v>0.477678571428571</v>
      </c>
      <c r="F299" s="59" t="n">
        <v>1000</v>
      </c>
      <c r="G299" s="59" t="n">
        <f aca="false">F299-H299</f>
        <v>1000</v>
      </c>
      <c r="H299" s="59" t="n">
        <f aca="false">0</f>
        <v>0</v>
      </c>
      <c r="I299" s="9"/>
      <c r="J299" s="205"/>
      <c r="K299" s="1"/>
      <c r="L299" s="1"/>
      <c r="M299" s="1"/>
      <c r="N299" s="1"/>
      <c r="O299" s="1"/>
      <c r="P299" s="1"/>
      <c r="Q299" s="1"/>
      <c r="R299" s="1"/>
      <c r="S299" s="1"/>
      <c r="T299" s="1"/>
      <c r="AC299" s="0"/>
      <c r="AG299" s="0"/>
      <c r="AM299" s="0"/>
    </row>
    <row r="300" customFormat="false" ht="18.95" hidden="false" customHeight="true" outlineLevel="0" collapsed="false">
      <c r="A300" s="0" t="n">
        <v>31</v>
      </c>
      <c r="B300" s="31" t="n">
        <v>34394</v>
      </c>
      <c r="C300" s="56" t="n">
        <v>357000</v>
      </c>
      <c r="D300" s="260" t="s">
        <v>41</v>
      </c>
      <c r="E300" s="33" t="n">
        <f aca="false">IF(D300="totale",(C300/(A300*24))/F300,IF(D300="marché libre",(C300/(A300*24))/G300,"spécifier histo"))</f>
        <v>0.479838709677419</v>
      </c>
      <c r="F300" s="59" t="n">
        <v>1000</v>
      </c>
      <c r="G300" s="59" t="n">
        <f aca="false">F300-H300</f>
        <v>1000</v>
      </c>
      <c r="H300" s="59" t="n">
        <f aca="false">0</f>
        <v>0</v>
      </c>
      <c r="I300" s="9"/>
      <c r="J300" s="205"/>
      <c r="K300" s="1"/>
      <c r="L300" s="1"/>
      <c r="M300" s="1"/>
      <c r="N300" s="1"/>
      <c r="O300" s="1"/>
      <c r="P300" s="1"/>
      <c r="Q300" s="1"/>
      <c r="R300" s="1"/>
      <c r="S300" s="1"/>
      <c r="T300" s="1"/>
      <c r="AC300" s="0"/>
      <c r="AG300" s="0"/>
      <c r="AM300" s="0"/>
    </row>
    <row r="301" customFormat="false" ht="18.95" hidden="false" customHeight="true" outlineLevel="0" collapsed="false">
      <c r="A301" s="0" t="n">
        <v>30</v>
      </c>
      <c r="B301" s="34" t="n">
        <v>34425</v>
      </c>
      <c r="C301" s="56" t="n">
        <v>423000</v>
      </c>
      <c r="D301" s="260" t="s">
        <v>41</v>
      </c>
      <c r="E301" s="33" t="n">
        <f aca="false">IF(D301="totale",(C301/(A301*24))/F301,IF(D301="marché libre",(C301/(A301*24))/G301,"spécifier histo"))</f>
        <v>0.5875</v>
      </c>
      <c r="F301" s="59" t="n">
        <v>1000</v>
      </c>
      <c r="G301" s="59" t="n">
        <f aca="false">F301-H301</f>
        <v>1000</v>
      </c>
      <c r="H301" s="59" t="n">
        <f aca="false">0</f>
        <v>0</v>
      </c>
      <c r="I301" s="9"/>
      <c r="J301" s="205"/>
      <c r="K301" s="1"/>
      <c r="L301" s="1"/>
      <c r="M301" s="1"/>
      <c r="N301" s="1"/>
      <c r="O301" s="1"/>
      <c r="P301" s="1"/>
      <c r="Q301" s="1"/>
      <c r="R301" s="1"/>
      <c r="S301" s="1"/>
      <c r="T301" s="1"/>
      <c r="AC301" s="0"/>
      <c r="AG301" s="0"/>
      <c r="AM301" s="0"/>
    </row>
    <row r="302" customFormat="false" ht="18.95" hidden="false" customHeight="true" outlineLevel="0" collapsed="false">
      <c r="A302" s="0" t="n">
        <v>31</v>
      </c>
      <c r="B302" s="31" t="n">
        <v>34455</v>
      </c>
      <c r="C302" s="56" t="n">
        <v>592000</v>
      </c>
      <c r="D302" s="260" t="s">
        <v>41</v>
      </c>
      <c r="E302" s="33" t="n">
        <f aca="false">IF(D302="totale",(C302/(A302*24))/F302,IF(D302="marché libre",(C302/(A302*24))/G302,"spécifier histo"))</f>
        <v>0.795698924731183</v>
      </c>
      <c r="F302" s="59" t="n">
        <v>1000</v>
      </c>
      <c r="G302" s="59" t="n">
        <f aca="false">F302-H302</f>
        <v>1000</v>
      </c>
      <c r="H302" s="59" t="n">
        <f aca="false">0</f>
        <v>0</v>
      </c>
      <c r="I302" s="9"/>
      <c r="J302" s="205"/>
      <c r="K302" s="1"/>
      <c r="L302" s="1"/>
      <c r="M302" s="1"/>
      <c r="N302" s="1"/>
      <c r="O302" s="1"/>
      <c r="P302" s="1"/>
      <c r="Q302" s="1"/>
      <c r="R302" s="1"/>
      <c r="S302" s="1"/>
      <c r="T302" s="1"/>
      <c r="AC302" s="0"/>
      <c r="AG302" s="0"/>
      <c r="AM302" s="0"/>
    </row>
    <row r="303" customFormat="false" ht="18.95" hidden="false" customHeight="true" outlineLevel="0" collapsed="false">
      <c r="A303" s="0" t="n">
        <v>30</v>
      </c>
      <c r="B303" s="34" t="n">
        <v>34486</v>
      </c>
      <c r="C303" s="56" t="n">
        <v>626000</v>
      </c>
      <c r="D303" s="260" t="s">
        <v>41</v>
      </c>
      <c r="E303" s="33" t="n">
        <f aca="false">IF(D303="totale",(C303/(A303*24))/F303,IF(D303="marché libre",(C303/(A303*24))/G303,"spécifier histo"))</f>
        <v>0.869444444444444</v>
      </c>
      <c r="F303" s="59" t="n">
        <v>1000</v>
      </c>
      <c r="G303" s="59" t="n">
        <f aca="false">F303-H303</f>
        <v>1000</v>
      </c>
      <c r="H303" s="59" t="n">
        <f aca="false">0</f>
        <v>0</v>
      </c>
      <c r="I303" s="9"/>
      <c r="J303" s="205"/>
      <c r="K303" s="1"/>
      <c r="L303" s="1"/>
      <c r="M303" s="1"/>
      <c r="N303" s="1"/>
      <c r="O303" s="1"/>
      <c r="P303" s="1"/>
      <c r="Q303" s="1"/>
      <c r="R303" s="1"/>
      <c r="S303" s="1"/>
      <c r="T303" s="1"/>
      <c r="AC303" s="0"/>
      <c r="AG303" s="0"/>
      <c r="AM303" s="0"/>
    </row>
    <row r="304" customFormat="false" ht="18.95" hidden="false" customHeight="true" outlineLevel="0" collapsed="false">
      <c r="A304" s="0" t="n">
        <v>31</v>
      </c>
      <c r="B304" s="31" t="n">
        <v>34516</v>
      </c>
      <c r="C304" s="56" t="n">
        <v>595000</v>
      </c>
      <c r="D304" s="260" t="s">
        <v>41</v>
      </c>
      <c r="E304" s="33" t="n">
        <f aca="false">IF(D304="totale",(C304/(A304*24))/F304,IF(D304="marché libre",(C304/(A304*24))/G304,"spécifier histo"))</f>
        <v>0.799731182795699</v>
      </c>
      <c r="F304" s="59" t="n">
        <v>1000</v>
      </c>
      <c r="G304" s="59" t="n">
        <f aca="false">F304-H304</f>
        <v>1000</v>
      </c>
      <c r="H304" s="59" t="n">
        <f aca="false">0</f>
        <v>0</v>
      </c>
      <c r="I304" s="9"/>
      <c r="J304" s="205"/>
      <c r="K304" s="1"/>
      <c r="L304" s="1"/>
      <c r="M304" s="1"/>
      <c r="N304" s="1"/>
      <c r="O304" s="1"/>
      <c r="P304" s="1"/>
      <c r="Q304" s="1"/>
      <c r="R304" s="1"/>
      <c r="S304" s="1"/>
      <c r="T304" s="1"/>
      <c r="AC304" s="0"/>
      <c r="AG304" s="0"/>
    </row>
    <row r="305" customFormat="false" ht="18.95" hidden="false" customHeight="true" outlineLevel="0" collapsed="false">
      <c r="A305" s="0" t="n">
        <v>31</v>
      </c>
      <c r="B305" s="34" t="n">
        <v>34547</v>
      </c>
      <c r="C305" s="56" t="n">
        <v>202000</v>
      </c>
      <c r="D305" s="260" t="s">
        <v>41</v>
      </c>
      <c r="E305" s="33" t="n">
        <f aca="false">IF(D305="totale",(C305/(A305*24))/F305,IF(D305="marché libre",(C305/(A305*24))/G305,"spécifier histo"))</f>
        <v>0.271505376344086</v>
      </c>
      <c r="F305" s="59" t="n">
        <v>1000</v>
      </c>
      <c r="G305" s="59" t="n">
        <f aca="false">F305-H305</f>
        <v>1000</v>
      </c>
      <c r="H305" s="59" t="n">
        <f aca="false">0</f>
        <v>0</v>
      </c>
      <c r="I305" s="9"/>
      <c r="J305" s="205"/>
      <c r="K305" s="1"/>
      <c r="L305" s="1"/>
      <c r="M305" s="1"/>
      <c r="N305" s="1"/>
      <c r="O305" s="1"/>
      <c r="P305" s="1"/>
      <c r="Q305" s="1"/>
      <c r="R305" s="1"/>
      <c r="S305" s="1"/>
      <c r="T305" s="1"/>
      <c r="AC305" s="0"/>
      <c r="AG305" s="0"/>
    </row>
    <row r="306" customFormat="false" ht="18.95" hidden="false" customHeight="true" outlineLevel="0" collapsed="false">
      <c r="A306" s="0" t="n">
        <v>30</v>
      </c>
      <c r="B306" s="31" t="n">
        <v>34578</v>
      </c>
      <c r="C306" s="56" t="n">
        <v>0</v>
      </c>
      <c r="D306" s="260" t="s">
        <v>41</v>
      </c>
      <c r="E306" s="33" t="n">
        <f aca="false">IF(D306="totale",(C306/(A306*24))/F306,IF(D306="marché libre",(C306/(A306*24))/G306,"spécifier histo"))</f>
        <v>0</v>
      </c>
      <c r="F306" s="59" t="n">
        <v>1000</v>
      </c>
      <c r="G306" s="59" t="n">
        <f aca="false">F306-H306</f>
        <v>1000</v>
      </c>
      <c r="H306" s="59" t="n">
        <f aca="false">0</f>
        <v>0</v>
      </c>
      <c r="I306" s="9"/>
      <c r="J306" s="205"/>
      <c r="K306" s="1"/>
      <c r="L306" s="1"/>
      <c r="M306" s="1"/>
      <c r="N306" s="1"/>
      <c r="O306" s="1"/>
      <c r="P306" s="1"/>
      <c r="Q306" s="1"/>
      <c r="R306" s="1"/>
      <c r="S306" s="1"/>
      <c r="T306" s="1"/>
      <c r="AC306" s="0"/>
      <c r="AG306" s="0"/>
    </row>
    <row r="307" customFormat="false" ht="18.95" hidden="false" customHeight="true" outlineLevel="0" collapsed="false">
      <c r="A307" s="0" t="n">
        <v>31</v>
      </c>
      <c r="B307" s="34" t="n">
        <v>34608</v>
      </c>
      <c r="C307" s="56" t="n">
        <v>369000</v>
      </c>
      <c r="D307" s="260" t="s">
        <v>41</v>
      </c>
      <c r="E307" s="33" t="n">
        <f aca="false">IF(D307="totale",(C307/(A307*24))/F307,IF(D307="marché libre",(C307/(A307*24))/G307,"spécifier histo"))</f>
        <v>0.495967741935484</v>
      </c>
      <c r="F307" s="59" t="n">
        <v>1000</v>
      </c>
      <c r="G307" s="59" t="n">
        <f aca="false">F307-H307</f>
        <v>1000</v>
      </c>
      <c r="H307" s="59" t="n">
        <f aca="false">0</f>
        <v>0</v>
      </c>
      <c r="I307" s="9"/>
      <c r="J307" s="205"/>
      <c r="K307" s="1"/>
      <c r="L307" s="1"/>
      <c r="M307" s="1"/>
      <c r="N307" s="1"/>
      <c r="O307" s="1"/>
      <c r="P307" s="1"/>
      <c r="Q307" s="1"/>
      <c r="R307" s="1"/>
      <c r="S307" s="1"/>
      <c r="T307" s="1"/>
      <c r="AC307" s="0"/>
      <c r="AG307" s="0"/>
    </row>
    <row r="308" customFormat="false" ht="18.95" hidden="false" customHeight="true" outlineLevel="0" collapsed="false">
      <c r="A308" s="0" t="n">
        <v>30</v>
      </c>
      <c r="B308" s="31" t="n">
        <v>34639</v>
      </c>
      <c r="C308" s="56" t="n">
        <v>547000</v>
      </c>
      <c r="D308" s="260" t="s">
        <v>41</v>
      </c>
      <c r="E308" s="33" t="n">
        <f aca="false">IF(D308="totale",(C308/(A308*24))/F308,IF(D308="marché libre",(C308/(A308*24))/G308,"spécifier histo"))</f>
        <v>0.759722222222222</v>
      </c>
      <c r="F308" s="59" t="n">
        <v>1000</v>
      </c>
      <c r="G308" s="59" t="n">
        <f aca="false">F308-H308</f>
        <v>1000</v>
      </c>
      <c r="H308" s="59" t="n">
        <f aca="false">0</f>
        <v>0</v>
      </c>
      <c r="I308" s="9"/>
      <c r="J308" s="205"/>
      <c r="K308" s="1"/>
      <c r="L308" s="1"/>
      <c r="M308" s="1"/>
      <c r="N308" s="1"/>
      <c r="O308" s="1"/>
      <c r="P308" s="1"/>
      <c r="Q308" s="1"/>
      <c r="R308" s="1"/>
      <c r="S308" s="1"/>
      <c r="T308" s="1"/>
      <c r="AC308" s="0"/>
      <c r="AG308" s="0"/>
    </row>
    <row r="309" customFormat="false" ht="18.95" hidden="false" customHeight="true" outlineLevel="0" collapsed="false">
      <c r="A309" s="0" t="n">
        <v>31</v>
      </c>
      <c r="B309" s="34" t="n">
        <v>34669</v>
      </c>
      <c r="C309" s="56" t="n">
        <v>451000</v>
      </c>
      <c r="D309" s="260" t="s">
        <v>41</v>
      </c>
      <c r="E309" s="33" t="n">
        <f aca="false">IF(D309="totale",(C309/(A309*24))/F309,IF(D309="marché libre",(C309/(A309*24))/G309,"spécifier histo"))</f>
        <v>0.606182795698925</v>
      </c>
      <c r="F309" s="59" t="n">
        <v>1000</v>
      </c>
      <c r="G309" s="59" t="n">
        <f aca="false">F309-H309</f>
        <v>1000</v>
      </c>
      <c r="H309" s="59" t="n">
        <f aca="false">0</f>
        <v>0</v>
      </c>
      <c r="I309" s="9"/>
      <c r="J309" s="205"/>
      <c r="K309" s="1"/>
      <c r="L309" s="1"/>
      <c r="M309" s="1"/>
      <c r="N309" s="1"/>
      <c r="O309" s="1"/>
      <c r="P309" s="1"/>
      <c r="Q309" s="1"/>
      <c r="R309" s="1"/>
      <c r="S309" s="1"/>
      <c r="T309" s="1"/>
      <c r="AC309" s="0"/>
      <c r="AG309" s="0"/>
    </row>
    <row r="310" customFormat="false" ht="18.95" hidden="false" customHeight="true" outlineLevel="0" collapsed="false">
      <c r="A310" s="0" t="n">
        <v>31</v>
      </c>
      <c r="B310" s="31" t="n">
        <v>34700</v>
      </c>
      <c r="C310" s="56" t="n">
        <v>425000</v>
      </c>
      <c r="D310" s="260" t="s">
        <v>41</v>
      </c>
      <c r="E310" s="33" t="n">
        <f aca="false">IF(D310="totale",(C310/(A310*24))/F310,IF(D310="marché libre",(C310/(A310*24))/G310,"spécifier histo"))</f>
        <v>0.571236559139785</v>
      </c>
      <c r="F310" s="59" t="n">
        <v>1000</v>
      </c>
      <c r="G310" s="59" t="n">
        <f aca="false">F310-H310</f>
        <v>1000</v>
      </c>
      <c r="H310" s="59" t="n">
        <f aca="false">0</f>
        <v>0</v>
      </c>
      <c r="I310" s="9"/>
      <c r="J310" s="205"/>
      <c r="K310" s="1"/>
      <c r="L310" s="1"/>
      <c r="M310" s="1"/>
      <c r="N310" s="1"/>
      <c r="O310" s="1"/>
      <c r="P310" s="1"/>
      <c r="Q310" s="1"/>
      <c r="R310" s="1"/>
      <c r="S310" s="1"/>
      <c r="T310" s="1"/>
      <c r="AC310" s="0"/>
      <c r="AG310" s="0"/>
    </row>
    <row r="311" customFormat="false" ht="18.95" hidden="false" customHeight="true" outlineLevel="0" collapsed="false">
      <c r="A311" s="0" t="n">
        <v>28</v>
      </c>
      <c r="B311" s="34" t="n">
        <v>34731</v>
      </c>
      <c r="C311" s="56" t="n">
        <v>420000</v>
      </c>
      <c r="D311" s="260" t="s">
        <v>41</v>
      </c>
      <c r="E311" s="33" t="n">
        <f aca="false">IF(D311="totale",(C311/(A311*24))/F311,IF(D311="marché libre",(C311/(A311*24))/G311,"spécifier histo"))</f>
        <v>0.625</v>
      </c>
      <c r="F311" s="59" t="n">
        <v>1000</v>
      </c>
      <c r="G311" s="59" t="n">
        <f aca="false">F311-H311</f>
        <v>1000</v>
      </c>
      <c r="H311" s="59" t="n">
        <f aca="false">0</f>
        <v>0</v>
      </c>
      <c r="I311" s="9"/>
      <c r="J311" s="205"/>
      <c r="K311" s="1"/>
      <c r="L311" s="1"/>
      <c r="M311" s="1"/>
      <c r="N311" s="1"/>
      <c r="O311" s="1"/>
      <c r="P311" s="1"/>
      <c r="Q311" s="1"/>
      <c r="R311" s="1"/>
      <c r="S311" s="1"/>
      <c r="T311" s="1"/>
      <c r="AC311" s="0"/>
      <c r="AG311" s="0"/>
    </row>
    <row r="312" customFormat="false" ht="18.95" hidden="false" customHeight="true" outlineLevel="0" collapsed="false">
      <c r="A312" s="0" t="n">
        <v>31</v>
      </c>
      <c r="B312" s="31" t="n">
        <v>34759</v>
      </c>
      <c r="C312" s="56" t="n">
        <v>393000</v>
      </c>
      <c r="D312" s="260" t="s">
        <v>41</v>
      </c>
      <c r="E312" s="33" t="n">
        <f aca="false">IF(D312="totale",(C312/(A312*24))/F312,IF(D312="marché libre",(C312/(A312*24))/G312,"spécifier histo"))</f>
        <v>0.528225806451613</v>
      </c>
      <c r="F312" s="59" t="n">
        <v>1000</v>
      </c>
      <c r="G312" s="59" t="n">
        <f aca="false">F312-H312</f>
        <v>1000</v>
      </c>
      <c r="H312" s="59" t="n">
        <f aca="false">0</f>
        <v>0</v>
      </c>
      <c r="I312" s="9"/>
      <c r="J312" s="205"/>
      <c r="K312" s="1"/>
      <c r="L312" s="1"/>
      <c r="M312" s="1"/>
      <c r="N312" s="1"/>
      <c r="O312" s="1"/>
      <c r="P312" s="1"/>
      <c r="Q312" s="1"/>
      <c r="R312" s="1"/>
      <c r="S312" s="1"/>
      <c r="T312" s="1"/>
      <c r="AC312" s="0"/>
      <c r="AG312" s="0"/>
    </row>
    <row r="313" customFormat="false" ht="18.95" hidden="false" customHeight="true" outlineLevel="0" collapsed="false">
      <c r="A313" s="0" t="n">
        <v>30</v>
      </c>
      <c r="B313" s="34" t="n">
        <v>34790</v>
      </c>
      <c r="C313" s="56" t="n">
        <v>445000</v>
      </c>
      <c r="D313" s="260" t="s">
        <v>41</v>
      </c>
      <c r="E313" s="33" t="n">
        <f aca="false">IF(D313="totale",(C313/(A313*24))/F313,IF(D313="marché libre",(C313/(A313*24))/G313,"spécifier histo"))</f>
        <v>0.618055555555556</v>
      </c>
      <c r="F313" s="59" t="n">
        <v>1000</v>
      </c>
      <c r="G313" s="59" t="n">
        <f aca="false">F313-H313</f>
        <v>1000</v>
      </c>
      <c r="H313" s="59" t="n">
        <f aca="false">0</f>
        <v>0</v>
      </c>
      <c r="I313" s="9"/>
      <c r="J313" s="205"/>
      <c r="K313" s="1"/>
      <c r="L313" s="1"/>
      <c r="M313" s="1"/>
      <c r="N313" s="1"/>
      <c r="O313" s="1"/>
      <c r="P313" s="1"/>
      <c r="Q313" s="1"/>
      <c r="R313" s="1"/>
      <c r="S313" s="1"/>
      <c r="T313" s="1"/>
      <c r="AC313" s="0"/>
      <c r="AG313" s="0"/>
    </row>
    <row r="314" customFormat="false" ht="18.95" hidden="false" customHeight="true" outlineLevel="0" collapsed="false">
      <c r="A314" s="0" t="n">
        <v>31</v>
      </c>
      <c r="B314" s="31" t="n">
        <v>34820</v>
      </c>
      <c r="C314" s="56" t="n">
        <v>600000</v>
      </c>
      <c r="D314" s="260" t="s">
        <v>41</v>
      </c>
      <c r="E314" s="33" t="n">
        <f aca="false">IF(D314="totale",(C314/(A314*24))/F314,IF(D314="marché libre",(C314/(A314*24))/G314,"spécifier histo"))</f>
        <v>0.806451612903226</v>
      </c>
      <c r="F314" s="59" t="n">
        <v>1000</v>
      </c>
      <c r="G314" s="59" t="n">
        <f aca="false">F314-H314</f>
        <v>1000</v>
      </c>
      <c r="H314" s="59" t="n">
        <f aca="false">0</f>
        <v>0</v>
      </c>
      <c r="I314" s="9"/>
      <c r="J314" s="205"/>
      <c r="K314" s="1"/>
      <c r="L314" s="1"/>
      <c r="M314" s="1"/>
      <c r="N314" s="1"/>
      <c r="O314" s="1"/>
      <c r="P314" s="1"/>
      <c r="Q314" s="1"/>
      <c r="R314" s="1"/>
      <c r="S314" s="1"/>
      <c r="T314" s="1"/>
      <c r="AC314" s="0"/>
      <c r="AG314" s="0"/>
    </row>
    <row r="315" customFormat="false" ht="18.95" hidden="false" customHeight="true" outlineLevel="0" collapsed="false">
      <c r="A315" s="0" t="n">
        <v>30</v>
      </c>
      <c r="B315" s="34" t="n">
        <v>34851</v>
      </c>
      <c r="C315" s="56" t="n">
        <v>567000</v>
      </c>
      <c r="D315" s="260" t="s">
        <v>41</v>
      </c>
      <c r="E315" s="33" t="n">
        <f aca="false">IF(D315="totale",(C315/(A315*24))/F315,IF(D315="marché libre",(C315/(A315*24))/G315,"spécifier histo"))</f>
        <v>0.7875</v>
      </c>
      <c r="F315" s="59" t="n">
        <v>1000</v>
      </c>
      <c r="G315" s="59" t="n">
        <f aca="false">F315-H315</f>
        <v>1000</v>
      </c>
      <c r="H315" s="59" t="n">
        <f aca="false">0</f>
        <v>0</v>
      </c>
      <c r="I315" s="0"/>
      <c r="J315" s="0"/>
      <c r="K315" s="1"/>
      <c r="L315" s="1"/>
      <c r="M315" s="1"/>
      <c r="N315" s="1"/>
      <c r="O315" s="1"/>
      <c r="P315" s="1"/>
      <c r="Q315" s="1"/>
      <c r="R315" s="1"/>
      <c r="S315" s="1"/>
      <c r="T315" s="1"/>
      <c r="AC315" s="0"/>
      <c r="AG315" s="0"/>
    </row>
    <row r="316" customFormat="false" ht="18.95" hidden="false" customHeight="true" outlineLevel="0" collapsed="false">
      <c r="A316" s="0" t="n">
        <v>31</v>
      </c>
      <c r="B316" s="31" t="n">
        <v>34881</v>
      </c>
      <c r="C316" s="56" t="n">
        <v>562000</v>
      </c>
      <c r="D316" s="260" t="s">
        <v>41</v>
      </c>
      <c r="E316" s="33" t="n">
        <f aca="false">IF(D316="totale",(C316/(A316*24))/F316,IF(D316="marché libre",(C316/(A316*24))/G316,"spécifier histo"))</f>
        <v>0.755376344086022</v>
      </c>
      <c r="F316" s="59" t="n">
        <v>1000</v>
      </c>
      <c r="G316" s="59" t="n">
        <f aca="false">F316-H316</f>
        <v>1000</v>
      </c>
      <c r="H316" s="59" t="n">
        <f aca="false">0</f>
        <v>0</v>
      </c>
      <c r="I316" s="0"/>
      <c r="J316" s="0"/>
      <c r="K316" s="1"/>
      <c r="L316" s="1"/>
      <c r="M316" s="1"/>
      <c r="N316" s="1"/>
      <c r="O316" s="1"/>
      <c r="P316" s="1"/>
      <c r="Q316" s="1"/>
      <c r="R316" s="1"/>
      <c r="S316" s="1"/>
      <c r="T316" s="1"/>
      <c r="AC316" s="0"/>
      <c r="AG316" s="0"/>
    </row>
    <row r="317" customFormat="false" ht="18.95" hidden="false" customHeight="true" outlineLevel="0" collapsed="false">
      <c r="A317" s="0" t="n">
        <v>31</v>
      </c>
      <c r="B317" s="34" t="n">
        <v>34912</v>
      </c>
      <c r="C317" s="56" t="n">
        <v>526000</v>
      </c>
      <c r="D317" s="260" t="s">
        <v>41</v>
      </c>
      <c r="E317" s="33" t="n">
        <f aca="false">IF(D317="totale",(C317/(A317*24))/F317,IF(D317="marché libre",(C317/(A317*24))/G317,"spécifier histo"))</f>
        <v>0.706989247311828</v>
      </c>
      <c r="F317" s="59" t="n">
        <v>1000</v>
      </c>
      <c r="G317" s="59" t="n">
        <f aca="false">F317-H317</f>
        <v>1000</v>
      </c>
      <c r="H317" s="59" t="n">
        <f aca="false">0</f>
        <v>0</v>
      </c>
      <c r="I317" s="0"/>
      <c r="J317" s="0"/>
      <c r="K317" s="1"/>
      <c r="L317" s="1"/>
      <c r="M317" s="1"/>
      <c r="N317" s="1"/>
      <c r="O317" s="1"/>
      <c r="P317" s="1"/>
      <c r="Q317" s="1"/>
      <c r="R317" s="1"/>
      <c r="S317" s="1"/>
      <c r="T317" s="1"/>
      <c r="AC317" s="0"/>
      <c r="AG317" s="0"/>
    </row>
    <row r="318" customFormat="false" ht="18.95" hidden="false" customHeight="true" outlineLevel="0" collapsed="false">
      <c r="A318" s="0" t="n">
        <v>30</v>
      </c>
      <c r="B318" s="31" t="n">
        <v>34943</v>
      </c>
      <c r="C318" s="56" t="n">
        <v>456000</v>
      </c>
      <c r="D318" s="260" t="s">
        <v>41</v>
      </c>
      <c r="E318" s="33" t="n">
        <f aca="false">IF(D318="totale",(C318/(A318*24))/F318,IF(D318="marché libre",(C318/(A318*24))/G318,"spécifier histo"))</f>
        <v>0.633333333333333</v>
      </c>
      <c r="F318" s="59" t="n">
        <v>1000</v>
      </c>
      <c r="G318" s="59" t="n">
        <f aca="false">F318-H318</f>
        <v>1000</v>
      </c>
      <c r="H318" s="59" t="n">
        <f aca="false">0</f>
        <v>0</v>
      </c>
      <c r="I318" s="0"/>
      <c r="J318" s="0"/>
      <c r="K318" s="1"/>
      <c r="L318" s="1"/>
      <c r="M318" s="1"/>
      <c r="N318" s="1"/>
      <c r="O318" s="1"/>
      <c r="P318" s="1"/>
      <c r="Q318" s="1"/>
      <c r="R318" s="1"/>
      <c r="S318" s="1"/>
      <c r="T318" s="1"/>
      <c r="AC318" s="0"/>
      <c r="AG318" s="0"/>
    </row>
    <row r="319" customFormat="false" ht="18.95" hidden="false" customHeight="true" outlineLevel="0" collapsed="false">
      <c r="A319" s="0" t="n">
        <v>31</v>
      </c>
      <c r="B319" s="34" t="n">
        <v>34973</v>
      </c>
      <c r="C319" s="56" t="n">
        <v>435000</v>
      </c>
      <c r="D319" s="260" t="s">
        <v>41</v>
      </c>
      <c r="E319" s="33" t="n">
        <f aca="false">IF(D319="totale",(C319/(A319*24))/F319,IF(D319="marché libre",(C319/(A319*24))/G319,"spécifier histo"))</f>
        <v>0.584677419354839</v>
      </c>
      <c r="F319" s="59" t="n">
        <v>1000</v>
      </c>
      <c r="G319" s="59" t="n">
        <f aca="false">F319-H319</f>
        <v>1000</v>
      </c>
      <c r="H319" s="59" t="n">
        <f aca="false">0</f>
        <v>0</v>
      </c>
      <c r="I319" s="0"/>
      <c r="J319" s="0"/>
      <c r="K319" s="1"/>
      <c r="L319" s="1"/>
      <c r="M319" s="1"/>
      <c r="N319" s="1"/>
      <c r="O319" s="1"/>
      <c r="P319" s="1"/>
      <c r="Q319" s="1"/>
      <c r="R319" s="1"/>
      <c r="S319" s="1"/>
      <c r="T319" s="1"/>
      <c r="AC319" s="0"/>
      <c r="AG319" s="0"/>
    </row>
    <row r="320" customFormat="false" ht="18.95" hidden="false" customHeight="true" outlineLevel="0" collapsed="false">
      <c r="A320" s="0" t="n">
        <v>30</v>
      </c>
      <c r="B320" s="31" t="n">
        <v>35004</v>
      </c>
      <c r="C320" s="56" t="n">
        <v>335000</v>
      </c>
      <c r="D320" s="260" t="s">
        <v>41</v>
      </c>
      <c r="E320" s="33" t="n">
        <f aca="false">IF(D320="totale",(C320/(A320*24))/F320,IF(D320="marché libre",(C320/(A320*24))/G320,"spécifier histo"))</f>
        <v>0.465277777777778</v>
      </c>
      <c r="F320" s="59" t="n">
        <v>1000</v>
      </c>
      <c r="G320" s="59" t="n">
        <f aca="false">F320-H320</f>
        <v>1000</v>
      </c>
      <c r="H320" s="59" t="n">
        <f aca="false">0</f>
        <v>0</v>
      </c>
      <c r="I320" s="0"/>
      <c r="J320" s="0"/>
      <c r="K320" s="1"/>
      <c r="L320" s="1"/>
      <c r="M320" s="1"/>
      <c r="N320" s="1"/>
      <c r="O320" s="1"/>
      <c r="P320" s="1"/>
      <c r="Q320" s="1"/>
      <c r="R320" s="1"/>
      <c r="S320" s="1"/>
      <c r="T320" s="1"/>
      <c r="AC320" s="0"/>
      <c r="AG320" s="0"/>
    </row>
    <row r="321" customFormat="false" ht="18.95" hidden="false" customHeight="true" outlineLevel="0" collapsed="false">
      <c r="A321" s="0" t="n">
        <v>31</v>
      </c>
      <c r="B321" s="34" t="n">
        <v>35034</v>
      </c>
      <c r="C321" s="56" t="n">
        <v>356000</v>
      </c>
      <c r="D321" s="260" t="s">
        <v>41</v>
      </c>
      <c r="E321" s="33" t="n">
        <f aca="false">IF(D321="totale",(C321/(A321*24))/F321,IF(D321="marché libre",(C321/(A321*24))/G321,"spécifier histo"))</f>
        <v>0.478494623655914</v>
      </c>
      <c r="F321" s="59" t="n">
        <v>1000</v>
      </c>
      <c r="G321" s="59" t="n">
        <f aca="false">F321-H321</f>
        <v>1000</v>
      </c>
      <c r="H321" s="59" t="n">
        <f aca="false">0</f>
        <v>0</v>
      </c>
      <c r="I321" s="9"/>
      <c r="J321" s="0"/>
      <c r="K321" s="1"/>
      <c r="L321" s="1"/>
      <c r="M321" s="1"/>
      <c r="N321" s="1"/>
      <c r="O321" s="1"/>
      <c r="P321" s="1"/>
      <c r="Q321" s="1"/>
      <c r="R321" s="1"/>
      <c r="S321" s="1"/>
      <c r="T321" s="1"/>
      <c r="AC321" s="0"/>
      <c r="AG321" s="0"/>
    </row>
    <row r="322" customFormat="false" ht="18.95" hidden="false" customHeight="true" outlineLevel="0" collapsed="false">
      <c r="A322" s="0" t="n">
        <v>31</v>
      </c>
      <c r="B322" s="31" t="n">
        <v>35065</v>
      </c>
      <c r="C322" s="56" t="n">
        <v>365000</v>
      </c>
      <c r="D322" s="260" t="s">
        <v>41</v>
      </c>
      <c r="E322" s="33" t="n">
        <f aca="false">IF(D322="totale",(C322/(A322*24))/F322,IF(D322="marché libre",(C322/(A322*24))/G322,"spécifier histo"))</f>
        <v>0.490591397849462</v>
      </c>
      <c r="F322" s="59" t="n">
        <v>1000</v>
      </c>
      <c r="G322" s="59" t="n">
        <f aca="false">F322-H322</f>
        <v>1000</v>
      </c>
      <c r="H322" s="59" t="n">
        <f aca="false">0</f>
        <v>0</v>
      </c>
      <c r="I322" s="9"/>
      <c r="J322" s="0"/>
      <c r="K322" s="1"/>
      <c r="L322" s="1"/>
      <c r="M322" s="1"/>
      <c r="N322" s="1"/>
      <c r="O322" s="1"/>
      <c r="P322" s="1"/>
      <c r="Q322" s="1"/>
      <c r="R322" s="1"/>
      <c r="S322" s="1"/>
      <c r="T322" s="1"/>
      <c r="AC322" s="0"/>
      <c r="AG322" s="0"/>
    </row>
    <row r="323" customFormat="false" ht="18.95" hidden="false" customHeight="true" outlineLevel="0" collapsed="false">
      <c r="A323" s="0" t="n">
        <v>28</v>
      </c>
      <c r="B323" s="34" t="n">
        <v>35096</v>
      </c>
      <c r="C323" s="56" t="n">
        <v>286000</v>
      </c>
      <c r="D323" s="260" t="s">
        <v>41</v>
      </c>
      <c r="E323" s="33" t="n">
        <f aca="false">IF(D323="totale",(C323/(A323*24))/F323,IF(D323="marché libre",(C323/(A323*24))/G323,"spécifier histo"))</f>
        <v>0.425595238095238</v>
      </c>
      <c r="F323" s="59" t="n">
        <v>1000</v>
      </c>
      <c r="G323" s="59" t="n">
        <f aca="false">F323-H323</f>
        <v>1000</v>
      </c>
      <c r="H323" s="59" t="n">
        <f aca="false">0</f>
        <v>0</v>
      </c>
      <c r="I323" s="9"/>
      <c r="J323" s="0"/>
      <c r="K323" s="1"/>
      <c r="L323" s="1"/>
      <c r="M323" s="1"/>
      <c r="N323" s="1"/>
      <c r="O323" s="1"/>
      <c r="P323" s="1"/>
      <c r="Q323" s="1"/>
      <c r="R323" s="1"/>
      <c r="S323" s="1"/>
      <c r="T323" s="1"/>
      <c r="AC323" s="0"/>
      <c r="AG323" s="0"/>
    </row>
    <row r="324" customFormat="false" ht="18.95" hidden="false" customHeight="true" outlineLevel="0" collapsed="false">
      <c r="A324" s="0" t="n">
        <v>31</v>
      </c>
      <c r="B324" s="31" t="n">
        <v>35125</v>
      </c>
      <c r="C324" s="56" t="n">
        <v>279000</v>
      </c>
      <c r="D324" s="260" t="s">
        <v>41</v>
      </c>
      <c r="E324" s="33" t="n">
        <f aca="false">IF(D324="totale",(C324/(A324*24))/F324,IF(D324="marché libre",(C324/(A324*24))/G324,"spécifier histo"))</f>
        <v>0.375</v>
      </c>
      <c r="F324" s="59" t="n">
        <v>1000</v>
      </c>
      <c r="G324" s="59" t="n">
        <f aca="false">F324-H324</f>
        <v>1000</v>
      </c>
      <c r="H324" s="59" t="n">
        <f aca="false">0</f>
        <v>0</v>
      </c>
      <c r="I324" s="9"/>
      <c r="J324" s="0"/>
      <c r="K324" s="1"/>
      <c r="L324" s="1"/>
      <c r="M324" s="1"/>
      <c r="N324" s="1"/>
      <c r="O324" s="1"/>
      <c r="P324" s="1"/>
      <c r="Q324" s="1"/>
      <c r="R324" s="1"/>
      <c r="S324" s="1"/>
      <c r="T324" s="1"/>
      <c r="AC324" s="0"/>
      <c r="AG324" s="0"/>
    </row>
    <row r="325" s="1" customFormat="true" ht="18.95" hidden="false" customHeight="true" outlineLevel="0" collapsed="false">
      <c r="A325" s="0" t="n">
        <v>30</v>
      </c>
      <c r="B325" s="34" t="n">
        <v>35156</v>
      </c>
      <c r="C325" s="56" t="n">
        <v>269000</v>
      </c>
      <c r="D325" s="260" t="s">
        <v>41</v>
      </c>
      <c r="E325" s="33" t="n">
        <f aca="false">IF(D325="totale",(C325/(A325*24))/F325,IF(D325="marché libre",(C325/(A325*24))/G325,"spécifier histo"))</f>
        <v>0.373611111111111</v>
      </c>
      <c r="F325" s="59" t="n">
        <v>1000</v>
      </c>
      <c r="G325" s="59" t="n">
        <f aca="false">F325-H325</f>
        <v>1000</v>
      </c>
      <c r="H325" s="59" t="n">
        <f aca="false">0</f>
        <v>0</v>
      </c>
      <c r="I325" s="9"/>
      <c r="AC325" s="0"/>
      <c r="AG325" s="0"/>
      <c r="AMA325" s="0"/>
      <c r="AMB325" s="0"/>
      <c r="AMC325" s="0"/>
      <c r="AMD325" s="0"/>
      <c r="AME325" s="0"/>
      <c r="AMF325" s="0"/>
      <c r="AMG325" s="0"/>
      <c r="AMH325" s="0"/>
      <c r="AMI325" s="0"/>
      <c r="AMJ325" s="0"/>
    </row>
    <row r="326" s="1" customFormat="true" ht="18.95" hidden="false" customHeight="true" outlineLevel="0" collapsed="false">
      <c r="A326" s="0" t="n">
        <v>31</v>
      </c>
      <c r="B326" s="31" t="n">
        <v>35186</v>
      </c>
      <c r="C326" s="56" t="n">
        <v>333000</v>
      </c>
      <c r="D326" s="260" t="s">
        <v>41</v>
      </c>
      <c r="E326" s="33" t="n">
        <f aca="false">IF(D326="totale",(C326/(A326*24))/F326,IF(D326="marché libre",(C326/(A326*24))/G326,"spécifier histo"))</f>
        <v>0.44758064516129</v>
      </c>
      <c r="F326" s="59" t="n">
        <v>1000</v>
      </c>
      <c r="G326" s="59" t="n">
        <f aca="false">F326-H326</f>
        <v>1000</v>
      </c>
      <c r="H326" s="59" t="n">
        <f aca="false">0</f>
        <v>0</v>
      </c>
      <c r="I326" s="9"/>
      <c r="AC326" s="0"/>
      <c r="AG326" s="0"/>
      <c r="AMA326" s="0"/>
      <c r="AMB326" s="0"/>
      <c r="AMC326" s="0"/>
      <c r="AMD326" s="0"/>
      <c r="AME326" s="0"/>
      <c r="AMF326" s="0"/>
      <c r="AMG326" s="0"/>
      <c r="AMH326" s="0"/>
      <c r="AMI326" s="0"/>
      <c r="AMJ326" s="0"/>
    </row>
    <row r="327" s="1" customFormat="true" ht="18.95" hidden="false" customHeight="true" outlineLevel="0" collapsed="false">
      <c r="A327" s="0" t="n">
        <v>30</v>
      </c>
      <c r="B327" s="34" t="n">
        <v>35217</v>
      </c>
      <c r="C327" s="56" t="n">
        <v>458000</v>
      </c>
      <c r="D327" s="260" t="s">
        <v>41</v>
      </c>
      <c r="E327" s="33" t="n">
        <f aca="false">IF(D327="totale",(C327/(A327*24))/F327,IF(D327="marché libre",(C327/(A327*24))/G327,"spécifier histo"))</f>
        <v>0.636111111111111</v>
      </c>
      <c r="F327" s="59" t="n">
        <v>1000</v>
      </c>
      <c r="G327" s="59" t="n">
        <f aca="false">F327-H327</f>
        <v>1000</v>
      </c>
      <c r="H327" s="59" t="n">
        <f aca="false">0</f>
        <v>0</v>
      </c>
      <c r="I327" s="9"/>
      <c r="AC327" s="0"/>
      <c r="AG327" s="0"/>
      <c r="AMA327" s="0"/>
      <c r="AMB327" s="0"/>
      <c r="AMC327" s="0"/>
      <c r="AMD327" s="0"/>
      <c r="AME327" s="0"/>
      <c r="AMF327" s="0"/>
      <c r="AMG327" s="0"/>
      <c r="AMH327" s="0"/>
      <c r="AMI327" s="0"/>
      <c r="AMJ327" s="0"/>
    </row>
    <row r="328" customFormat="false" ht="18.95" hidden="false" customHeight="true" outlineLevel="0" collapsed="false">
      <c r="A328" s="0" t="n">
        <v>31</v>
      </c>
      <c r="B328" s="31" t="n">
        <v>35247</v>
      </c>
      <c r="C328" s="56" t="n">
        <v>548000</v>
      </c>
      <c r="D328" s="260" t="s">
        <v>41</v>
      </c>
      <c r="E328" s="33" t="n">
        <f aca="false">IF(D328="totale",(C328/(A328*24))/F328,IF(D328="marché libre",(C328/(A328*24))/G328,"spécifier histo"))</f>
        <v>0.736559139784946</v>
      </c>
      <c r="F328" s="59" t="n">
        <v>1000</v>
      </c>
      <c r="G328" s="59" t="n">
        <f aca="false">F328-H328</f>
        <v>1000</v>
      </c>
      <c r="H328" s="59" t="n">
        <f aca="false">0</f>
        <v>0</v>
      </c>
      <c r="I328" s="9"/>
      <c r="J328" s="205"/>
      <c r="K328" s="1"/>
      <c r="L328" s="1"/>
      <c r="M328" s="1"/>
      <c r="N328" s="1"/>
      <c r="O328" s="1"/>
      <c r="P328" s="1"/>
      <c r="Q328" s="1"/>
      <c r="R328" s="1"/>
      <c r="S328" s="1"/>
      <c r="T328" s="1"/>
      <c r="AC328" s="0"/>
      <c r="AG328" s="0"/>
    </row>
    <row r="329" customFormat="false" ht="18.95" hidden="false" customHeight="true" outlineLevel="0" collapsed="false">
      <c r="A329" s="0" t="n">
        <v>31</v>
      </c>
      <c r="B329" s="34" t="n">
        <v>35278</v>
      </c>
      <c r="C329" s="56" t="n">
        <v>480000</v>
      </c>
      <c r="D329" s="260" t="s">
        <v>41</v>
      </c>
      <c r="E329" s="33" t="n">
        <f aca="false">IF(D329="totale",(C329/(A329*24))/F329,IF(D329="marché libre",(C329/(A329*24))/G329,"spécifier histo"))</f>
        <v>0.645161290322581</v>
      </c>
      <c r="F329" s="59" t="n">
        <v>1000</v>
      </c>
      <c r="G329" s="59" t="n">
        <f aca="false">F329-H329</f>
        <v>1000</v>
      </c>
      <c r="H329" s="59" t="n">
        <f aca="false">0</f>
        <v>0</v>
      </c>
      <c r="I329" s="9"/>
      <c r="J329" s="205"/>
      <c r="K329" s="1"/>
      <c r="L329" s="1"/>
      <c r="M329" s="1"/>
      <c r="N329" s="1"/>
      <c r="O329" s="1"/>
      <c r="P329" s="1"/>
      <c r="Q329" s="1"/>
      <c r="R329" s="1"/>
      <c r="S329" s="1"/>
      <c r="T329" s="1"/>
      <c r="AC329" s="0"/>
      <c r="AG329" s="0"/>
    </row>
    <row r="330" customFormat="false" ht="18.95" hidden="false" customHeight="true" outlineLevel="0" collapsed="false">
      <c r="A330" s="0" t="n">
        <v>30</v>
      </c>
      <c r="B330" s="31" t="n">
        <v>35309</v>
      </c>
      <c r="C330" s="56" t="n">
        <v>401000</v>
      </c>
      <c r="D330" s="260" t="s">
        <v>41</v>
      </c>
      <c r="E330" s="33" t="n">
        <f aca="false">IF(D330="totale",(C330/(A330*24))/F330,IF(D330="marché libre",(C330/(A330*24))/G330,"spécifier histo"))</f>
        <v>0.556944444444444</v>
      </c>
      <c r="F330" s="59" t="n">
        <v>1000</v>
      </c>
      <c r="G330" s="59" t="n">
        <f aca="false">F330-H330</f>
        <v>1000</v>
      </c>
      <c r="H330" s="59" t="n">
        <f aca="false">0</f>
        <v>0</v>
      </c>
      <c r="I330" s="9"/>
      <c r="J330" s="205"/>
      <c r="K330" s="1"/>
      <c r="L330" s="1"/>
      <c r="M330" s="1"/>
      <c r="N330" s="1"/>
      <c r="O330" s="1"/>
      <c r="P330" s="1"/>
      <c r="Q330" s="1"/>
      <c r="R330" s="1"/>
      <c r="S330" s="1"/>
      <c r="T330" s="1"/>
      <c r="AC330" s="0"/>
      <c r="AG330" s="0"/>
    </row>
    <row r="331" customFormat="false" ht="18.95" hidden="false" customHeight="true" outlineLevel="0" collapsed="false">
      <c r="A331" s="0" t="n">
        <v>31</v>
      </c>
      <c r="B331" s="34" t="n">
        <v>35339</v>
      </c>
      <c r="C331" s="56" t="n">
        <v>350000</v>
      </c>
      <c r="D331" s="260" t="s">
        <v>41</v>
      </c>
      <c r="E331" s="33" t="n">
        <f aca="false">IF(D331="totale",(C331/(A331*24))/F331,IF(D331="marché libre",(C331/(A331*24))/G331,"spécifier histo"))</f>
        <v>0.470430107526882</v>
      </c>
      <c r="F331" s="59" t="n">
        <v>1000</v>
      </c>
      <c r="G331" s="59" t="n">
        <f aca="false">F331-H331</f>
        <v>1000</v>
      </c>
      <c r="H331" s="59" t="n">
        <f aca="false">0</f>
        <v>0</v>
      </c>
      <c r="I331" s="9"/>
      <c r="J331" s="205"/>
      <c r="K331" s="1"/>
      <c r="L331" s="1"/>
      <c r="M331" s="1"/>
      <c r="N331" s="1"/>
      <c r="O331" s="1"/>
      <c r="P331" s="1"/>
      <c r="Q331" s="1"/>
      <c r="R331" s="1"/>
      <c r="S331" s="1"/>
      <c r="T331" s="1"/>
      <c r="AC331" s="0"/>
      <c r="AG331" s="0"/>
    </row>
    <row r="332" customFormat="false" ht="18.95" hidden="false" customHeight="true" outlineLevel="0" collapsed="false">
      <c r="A332" s="0" t="n">
        <v>30</v>
      </c>
      <c r="B332" s="31" t="n">
        <v>35370</v>
      </c>
      <c r="C332" s="56" t="n">
        <v>346000</v>
      </c>
      <c r="D332" s="260" t="s">
        <v>41</v>
      </c>
      <c r="E332" s="33" t="n">
        <f aca="false">IF(D332="totale",(C332/(A332*24))/F332,IF(D332="marché libre",(C332/(A332*24))/G332,"spécifier histo"))</f>
        <v>0.480555555555556</v>
      </c>
      <c r="F332" s="59" t="n">
        <v>1000</v>
      </c>
      <c r="G332" s="59" t="n">
        <f aca="false">F332-H332</f>
        <v>1000</v>
      </c>
      <c r="H332" s="59" t="n">
        <f aca="false">0</f>
        <v>0</v>
      </c>
      <c r="I332" s="9"/>
      <c r="J332" s="205"/>
      <c r="K332" s="1"/>
      <c r="L332" s="1"/>
      <c r="M332" s="1"/>
      <c r="N332" s="1"/>
      <c r="O332" s="1"/>
      <c r="P332" s="1"/>
      <c r="Q332" s="1"/>
      <c r="R332" s="1"/>
      <c r="S332" s="1"/>
      <c r="T332" s="1"/>
      <c r="AC332" s="0"/>
      <c r="AG332" s="0"/>
    </row>
    <row r="333" customFormat="false" ht="18.95" hidden="false" customHeight="true" outlineLevel="0" collapsed="false">
      <c r="A333" s="0" t="n">
        <v>31</v>
      </c>
      <c r="B333" s="34" t="n">
        <v>35400</v>
      </c>
      <c r="C333" s="56" t="n">
        <v>457000</v>
      </c>
      <c r="D333" s="260" t="s">
        <v>41</v>
      </c>
      <c r="E333" s="33" t="n">
        <f aca="false">IF(D333="totale",(C333/(A333*24))/F333,IF(D333="marché libre",(C333/(A333*24))/G333,"spécifier histo"))</f>
        <v>0.614247311827957</v>
      </c>
      <c r="F333" s="59" t="n">
        <v>1000</v>
      </c>
      <c r="G333" s="59" t="n">
        <f aca="false">F333-H333</f>
        <v>1000</v>
      </c>
      <c r="H333" s="59" t="n">
        <f aca="false">0</f>
        <v>0</v>
      </c>
      <c r="I333" s="9"/>
      <c r="J333" s="205"/>
      <c r="K333" s="1"/>
      <c r="L333" s="1"/>
      <c r="M333" s="1"/>
      <c r="N333" s="1"/>
      <c r="O333" s="1"/>
      <c r="P333" s="1"/>
      <c r="Q333" s="1"/>
      <c r="R333" s="1"/>
      <c r="S333" s="1"/>
      <c r="T333" s="1"/>
      <c r="AC333" s="0"/>
      <c r="AG333" s="0"/>
    </row>
    <row r="334" customFormat="false" ht="18.95" hidden="false" customHeight="true" outlineLevel="0" collapsed="false">
      <c r="A334" s="0" t="n">
        <v>31</v>
      </c>
      <c r="B334" s="31" t="n">
        <v>35431</v>
      </c>
      <c r="C334" s="56" t="n">
        <v>361000</v>
      </c>
      <c r="D334" s="260" t="s">
        <v>41</v>
      </c>
      <c r="E334" s="33" t="n">
        <f aca="false">IF(D334="totale",(C334/(A334*24))/F334,IF(D334="marché libre",(C334/(A334*24))/G334,"spécifier histo"))</f>
        <v>0.485215053763441</v>
      </c>
      <c r="F334" s="59" t="n">
        <v>1000</v>
      </c>
      <c r="G334" s="59" t="n">
        <f aca="false">F334-H334</f>
        <v>1000</v>
      </c>
      <c r="H334" s="59" t="n">
        <f aca="false">0</f>
        <v>0</v>
      </c>
      <c r="I334" s="9"/>
      <c r="J334" s="205"/>
      <c r="K334" s="1"/>
      <c r="L334" s="1"/>
      <c r="M334" s="1"/>
      <c r="N334" s="1"/>
      <c r="O334" s="1"/>
      <c r="P334" s="1"/>
      <c r="Q334" s="1"/>
      <c r="R334" s="1"/>
      <c r="S334" s="1"/>
      <c r="T334" s="1"/>
      <c r="AC334" s="0"/>
      <c r="AG334" s="0"/>
    </row>
    <row r="335" customFormat="false" ht="18.95" hidden="false" customHeight="true" outlineLevel="0" collapsed="false">
      <c r="A335" s="0" t="n">
        <v>28</v>
      </c>
      <c r="B335" s="34" t="n">
        <v>35462</v>
      </c>
      <c r="C335" s="56" t="n">
        <v>281000</v>
      </c>
      <c r="D335" s="260" t="s">
        <v>41</v>
      </c>
      <c r="E335" s="33" t="n">
        <f aca="false">IF(D335="totale",(C335/(A335*24))/F335,IF(D335="marché libre",(C335/(A335*24))/G335,"spécifier histo"))</f>
        <v>0.418154761904762</v>
      </c>
      <c r="F335" s="59" t="n">
        <v>1000</v>
      </c>
      <c r="G335" s="59" t="n">
        <f aca="false">F335-H335</f>
        <v>1000</v>
      </c>
      <c r="H335" s="59" t="n">
        <f aca="false">0</f>
        <v>0</v>
      </c>
      <c r="I335" s="9"/>
      <c r="J335" s="205"/>
      <c r="K335" s="1"/>
      <c r="L335" s="1"/>
      <c r="M335" s="1"/>
      <c r="N335" s="1"/>
      <c r="O335" s="1"/>
      <c r="P335" s="1"/>
      <c r="Q335" s="1"/>
      <c r="R335" s="1"/>
      <c r="S335" s="1"/>
      <c r="T335" s="1"/>
      <c r="AC335" s="0"/>
      <c r="AG335" s="0"/>
    </row>
    <row r="336" customFormat="false" ht="18.95" hidden="false" customHeight="true" outlineLevel="0" collapsed="false">
      <c r="A336" s="0" t="n">
        <v>31</v>
      </c>
      <c r="B336" s="31" t="n">
        <v>35490</v>
      </c>
      <c r="C336" s="56" t="n">
        <v>325000</v>
      </c>
      <c r="D336" s="260" t="s">
        <v>41</v>
      </c>
      <c r="E336" s="33" t="n">
        <f aca="false">IF(D336="totale",(C336/(A336*24))/F336,IF(D336="marché libre",(C336/(A336*24))/G336,"spécifier histo"))</f>
        <v>0.436827956989247</v>
      </c>
      <c r="F336" s="59" t="n">
        <v>1000</v>
      </c>
      <c r="G336" s="59" t="n">
        <f aca="false">F336-H336</f>
        <v>1000</v>
      </c>
      <c r="H336" s="59" t="n">
        <f aca="false">0</f>
        <v>0</v>
      </c>
      <c r="I336" s="9"/>
      <c r="J336" s="205"/>
      <c r="K336" s="1"/>
      <c r="L336" s="1"/>
      <c r="M336" s="1"/>
      <c r="N336" s="1"/>
      <c r="O336" s="1"/>
      <c r="P336" s="1"/>
      <c r="Q336" s="1"/>
      <c r="R336" s="1"/>
      <c r="S336" s="1"/>
      <c r="T336" s="1"/>
      <c r="AC336" s="0"/>
      <c r="AG336" s="0"/>
    </row>
    <row r="337" customFormat="false" ht="18.95" hidden="false" customHeight="true" outlineLevel="0" collapsed="false">
      <c r="A337" s="0" t="n">
        <v>30</v>
      </c>
      <c r="B337" s="34" t="n">
        <v>35521</v>
      </c>
      <c r="C337" s="56" t="n">
        <v>330000</v>
      </c>
      <c r="D337" s="260" t="s">
        <v>41</v>
      </c>
      <c r="E337" s="33" t="n">
        <f aca="false">IF(D337="totale",(C337/(A337*24))/F337,IF(D337="marché libre",(C337/(A337*24))/G337,"spécifier histo"))</f>
        <v>0.458333333333333</v>
      </c>
      <c r="F337" s="59" t="n">
        <v>1000</v>
      </c>
      <c r="G337" s="59" t="n">
        <f aca="false">F337-H337</f>
        <v>1000</v>
      </c>
      <c r="H337" s="59" t="n">
        <f aca="false">0</f>
        <v>0</v>
      </c>
      <c r="I337" s="9"/>
      <c r="J337" s="205"/>
      <c r="K337" s="1"/>
      <c r="L337" s="1"/>
      <c r="M337" s="1"/>
      <c r="N337" s="1"/>
      <c r="O337" s="1"/>
      <c r="P337" s="1"/>
      <c r="Q337" s="1"/>
      <c r="R337" s="1"/>
      <c r="S337" s="1"/>
      <c r="T337" s="1"/>
      <c r="AC337" s="0"/>
      <c r="AG337" s="0"/>
    </row>
    <row r="338" customFormat="false" ht="18.95" hidden="false" customHeight="true" outlineLevel="0" collapsed="false">
      <c r="A338" s="0" t="n">
        <v>31</v>
      </c>
      <c r="B338" s="31" t="n">
        <v>35551</v>
      </c>
      <c r="C338" s="56" t="n">
        <v>511000</v>
      </c>
      <c r="D338" s="260" t="s">
        <v>41</v>
      </c>
      <c r="E338" s="33" t="n">
        <f aca="false">IF(D338="totale",(C338/(A338*24))/F338,IF(D338="marché libre",(C338/(A338*24))/G338,"spécifier histo"))</f>
        <v>0.686827956989247</v>
      </c>
      <c r="F338" s="59" t="n">
        <v>1000</v>
      </c>
      <c r="G338" s="59" t="n">
        <f aca="false">F338-H338</f>
        <v>1000</v>
      </c>
      <c r="H338" s="59" t="n">
        <f aca="false">0</f>
        <v>0</v>
      </c>
      <c r="I338" s="9"/>
      <c r="J338" s="205"/>
      <c r="K338" s="1"/>
      <c r="L338" s="1"/>
      <c r="M338" s="1"/>
      <c r="N338" s="1"/>
      <c r="O338" s="1"/>
      <c r="P338" s="1"/>
      <c r="Q338" s="1"/>
      <c r="R338" s="1"/>
      <c r="S338" s="1"/>
      <c r="T338" s="1"/>
      <c r="AC338" s="0"/>
      <c r="AG338" s="0"/>
    </row>
    <row r="339" customFormat="false" ht="18.95" hidden="false" customHeight="true" outlineLevel="0" collapsed="false">
      <c r="A339" s="0" t="n">
        <v>30</v>
      </c>
      <c r="B339" s="34" t="n">
        <v>35582</v>
      </c>
      <c r="C339" s="56" t="n">
        <v>559000</v>
      </c>
      <c r="D339" s="260" t="s">
        <v>41</v>
      </c>
      <c r="E339" s="33" t="n">
        <f aca="false">IF(D339="totale",(C339/(A339*24))/F339,IF(D339="marché libre",(C339/(A339*24))/G339,"spécifier histo"))</f>
        <v>0.776388888888889</v>
      </c>
      <c r="F339" s="59" t="n">
        <v>1000</v>
      </c>
      <c r="G339" s="59" t="n">
        <f aca="false">F339-H339</f>
        <v>1000</v>
      </c>
      <c r="H339" s="59" t="n">
        <f aca="false">0</f>
        <v>0</v>
      </c>
      <c r="I339" s="9"/>
      <c r="J339" s="205"/>
      <c r="K339" s="1"/>
      <c r="L339" s="1"/>
      <c r="M339" s="1"/>
      <c r="N339" s="1"/>
      <c r="O339" s="1"/>
      <c r="P339" s="1"/>
      <c r="Q339" s="1"/>
      <c r="R339" s="1"/>
      <c r="S339" s="1"/>
      <c r="T339" s="1"/>
      <c r="AC339" s="0"/>
      <c r="AG339" s="0"/>
    </row>
    <row r="340" customFormat="false" ht="18.95" hidden="false" customHeight="true" outlineLevel="0" collapsed="false">
      <c r="A340" s="0" t="n">
        <v>31</v>
      </c>
      <c r="B340" s="31" t="n">
        <v>35612</v>
      </c>
      <c r="C340" s="56" t="n">
        <v>523000</v>
      </c>
      <c r="D340" s="260" t="s">
        <v>41</v>
      </c>
      <c r="E340" s="33" t="n">
        <f aca="false">IF(D340="totale",(C340/(A340*24))/F340,IF(D340="marché libre",(C340/(A340*24))/G340,"spécifier histo"))</f>
        <v>0.702956989247312</v>
      </c>
      <c r="F340" s="59" t="n">
        <v>1000</v>
      </c>
      <c r="G340" s="59" t="n">
        <f aca="false">F340-H340</f>
        <v>1000</v>
      </c>
      <c r="H340" s="59" t="n">
        <f aca="false">0</f>
        <v>0</v>
      </c>
      <c r="I340" s="9"/>
      <c r="J340" s="205"/>
      <c r="K340" s="1"/>
      <c r="L340" s="1"/>
      <c r="M340" s="1"/>
      <c r="N340" s="1"/>
      <c r="O340" s="1"/>
      <c r="P340" s="1"/>
      <c r="Q340" s="1"/>
      <c r="R340" s="1"/>
      <c r="S340" s="1"/>
      <c r="T340" s="1"/>
      <c r="AC340" s="0"/>
      <c r="AG340" s="0"/>
    </row>
    <row r="341" customFormat="false" ht="18.95" hidden="false" customHeight="true" outlineLevel="0" collapsed="false">
      <c r="A341" s="0" t="n">
        <v>31</v>
      </c>
      <c r="B341" s="34" t="n">
        <v>35643</v>
      </c>
      <c r="C341" s="56" t="n">
        <v>519000</v>
      </c>
      <c r="D341" s="260" t="s">
        <v>41</v>
      </c>
      <c r="E341" s="33" t="n">
        <f aca="false">IF(D341="totale",(C341/(A341*24))/F341,IF(D341="marché libre",(C341/(A341*24))/G341,"spécifier histo"))</f>
        <v>0.69758064516129</v>
      </c>
      <c r="F341" s="59" t="n">
        <v>1000</v>
      </c>
      <c r="G341" s="59" t="n">
        <f aca="false">F341-H341</f>
        <v>1000</v>
      </c>
      <c r="H341" s="59" t="n">
        <f aca="false">0</f>
        <v>0</v>
      </c>
      <c r="I341" s="9"/>
      <c r="J341" s="205"/>
      <c r="K341" s="1"/>
      <c r="L341" s="1"/>
      <c r="M341" s="1"/>
      <c r="N341" s="1"/>
      <c r="O341" s="1"/>
      <c r="P341" s="1"/>
      <c r="Q341" s="1"/>
      <c r="R341" s="1"/>
      <c r="S341" s="1"/>
      <c r="T341" s="1"/>
      <c r="AC341" s="0"/>
      <c r="AG341" s="0"/>
    </row>
    <row r="342" customFormat="false" ht="18.95" hidden="false" customHeight="true" outlineLevel="0" collapsed="false">
      <c r="A342" s="0" t="n">
        <v>30</v>
      </c>
      <c r="B342" s="31" t="n">
        <v>35674</v>
      </c>
      <c r="C342" s="56" t="n">
        <v>382000</v>
      </c>
      <c r="D342" s="260" t="s">
        <v>41</v>
      </c>
      <c r="E342" s="33" t="n">
        <f aca="false">IF(D342="totale",(C342/(A342*24))/F342,IF(D342="marché libre",(C342/(A342*24))/G342,"spécifier histo"))</f>
        <v>0.530555555555556</v>
      </c>
      <c r="F342" s="59" t="n">
        <v>1000</v>
      </c>
      <c r="G342" s="59" t="n">
        <f aca="false">F342-H342</f>
        <v>1000</v>
      </c>
      <c r="H342" s="59" t="n">
        <f aca="false">0</f>
        <v>0</v>
      </c>
      <c r="I342" s="9"/>
      <c r="J342" s="205"/>
      <c r="K342" s="1"/>
      <c r="L342" s="1"/>
      <c r="M342" s="1"/>
      <c r="N342" s="1"/>
      <c r="O342" s="1"/>
      <c r="P342" s="1"/>
      <c r="Q342" s="1"/>
      <c r="R342" s="1"/>
      <c r="S342" s="1"/>
      <c r="T342" s="1"/>
      <c r="AC342" s="0"/>
      <c r="AG342" s="0"/>
    </row>
    <row r="343" customFormat="false" ht="18.95" hidden="false" customHeight="true" outlineLevel="0" collapsed="false">
      <c r="A343" s="0" t="n">
        <v>31</v>
      </c>
      <c r="B343" s="34" t="n">
        <v>35704</v>
      </c>
      <c r="C343" s="56" t="n">
        <v>385000</v>
      </c>
      <c r="D343" s="260" t="s">
        <v>41</v>
      </c>
      <c r="E343" s="33" t="n">
        <f aca="false">IF(D343="totale",(C343/(A343*24))/F343,IF(D343="marché libre",(C343/(A343*24))/G343,"spécifier histo"))</f>
        <v>0.51747311827957</v>
      </c>
      <c r="F343" s="59" t="n">
        <v>1000</v>
      </c>
      <c r="G343" s="59" t="n">
        <f aca="false">F343-H343</f>
        <v>1000</v>
      </c>
      <c r="H343" s="59" t="n">
        <f aca="false">0</f>
        <v>0</v>
      </c>
      <c r="I343" s="9"/>
      <c r="J343" s="205"/>
      <c r="K343" s="1"/>
      <c r="L343" s="1"/>
      <c r="M343" s="1"/>
      <c r="N343" s="1"/>
      <c r="O343" s="1"/>
      <c r="P343" s="1"/>
      <c r="Q343" s="1"/>
      <c r="R343" s="1"/>
      <c r="S343" s="1"/>
      <c r="T343" s="1"/>
      <c r="AC343" s="0"/>
      <c r="AG343" s="0"/>
    </row>
    <row r="344" customFormat="false" ht="18.95" hidden="false" customHeight="true" outlineLevel="0" collapsed="false">
      <c r="A344" s="0" t="n">
        <v>30</v>
      </c>
      <c r="B344" s="31" t="n">
        <v>35735</v>
      </c>
      <c r="C344" s="56" t="n">
        <v>353000</v>
      </c>
      <c r="D344" s="260" t="s">
        <v>41</v>
      </c>
      <c r="E344" s="33" t="n">
        <f aca="false">IF(D344="totale",(C344/(A344*24))/F344,IF(D344="marché libre",(C344/(A344*24))/G344,"spécifier histo"))</f>
        <v>0.490277777777778</v>
      </c>
      <c r="F344" s="59" t="n">
        <v>1000</v>
      </c>
      <c r="G344" s="59" t="n">
        <f aca="false">F344-H344</f>
        <v>1000</v>
      </c>
      <c r="H344" s="59" t="n">
        <f aca="false">0</f>
        <v>0</v>
      </c>
      <c r="I344" s="9"/>
      <c r="J344" s="205"/>
      <c r="K344" s="1"/>
      <c r="L344" s="1"/>
      <c r="M344" s="1"/>
      <c r="N344" s="1"/>
      <c r="O344" s="1"/>
      <c r="P344" s="1"/>
      <c r="Q344" s="1"/>
      <c r="R344" s="1"/>
      <c r="S344" s="1"/>
      <c r="T344" s="1"/>
      <c r="AC344" s="0"/>
      <c r="AG344" s="0"/>
    </row>
    <row r="345" customFormat="false" ht="18.95" hidden="false" customHeight="true" outlineLevel="0" collapsed="false">
      <c r="A345" s="0" t="n">
        <v>31</v>
      </c>
      <c r="B345" s="34" t="n">
        <v>35765</v>
      </c>
      <c r="C345" s="56" t="n">
        <v>390000</v>
      </c>
      <c r="D345" s="260" t="s">
        <v>41</v>
      </c>
      <c r="E345" s="33" t="n">
        <f aca="false">IF(D345="totale",(C345/(A345*24))/F345,IF(D345="marché libre",(C345/(A345*24))/G345,"spécifier histo"))</f>
        <v>0.524193548387097</v>
      </c>
      <c r="F345" s="59" t="n">
        <v>1000</v>
      </c>
      <c r="G345" s="59" t="n">
        <f aca="false">F345-H345</f>
        <v>1000</v>
      </c>
      <c r="H345" s="59" t="n">
        <f aca="false">0</f>
        <v>0</v>
      </c>
      <c r="I345" s="9"/>
      <c r="J345" s="205"/>
      <c r="K345" s="1"/>
      <c r="L345" s="1"/>
      <c r="M345" s="1"/>
      <c r="N345" s="1"/>
      <c r="O345" s="1"/>
      <c r="P345" s="1"/>
      <c r="Q345" s="1"/>
      <c r="R345" s="1"/>
      <c r="S345" s="1"/>
      <c r="T345" s="1"/>
      <c r="AC345" s="0"/>
      <c r="AG345" s="0"/>
    </row>
    <row r="346" customFormat="false" ht="18.95" hidden="false" customHeight="true" outlineLevel="0" collapsed="false">
      <c r="A346" s="0" t="n">
        <v>31</v>
      </c>
      <c r="B346" s="31" t="n">
        <v>35796</v>
      </c>
      <c r="C346" s="56" t="n">
        <v>400000</v>
      </c>
      <c r="D346" s="260" t="s">
        <v>41</v>
      </c>
      <c r="E346" s="33" t="n">
        <f aca="false">IF(D346="totale",(C346/(A346*24))/F346,IF(D346="marché libre",(C346/(A346*24))/G346,"spécifier histo"))</f>
        <v>0.537634408602151</v>
      </c>
      <c r="F346" s="59" t="n">
        <v>1000</v>
      </c>
      <c r="G346" s="59" t="n">
        <f aca="false">F346-H346</f>
        <v>1000</v>
      </c>
      <c r="H346" s="59" t="n">
        <f aca="false">0</f>
        <v>0</v>
      </c>
      <c r="I346" s="9"/>
      <c r="J346" s="205"/>
      <c r="K346" s="1"/>
      <c r="L346" s="1"/>
      <c r="M346" s="1"/>
      <c r="N346" s="1"/>
      <c r="O346" s="1"/>
      <c r="P346" s="1"/>
      <c r="Q346" s="1"/>
      <c r="R346" s="1"/>
      <c r="S346" s="1"/>
      <c r="T346" s="1"/>
      <c r="AC346" s="0"/>
      <c r="AG346" s="0"/>
    </row>
    <row r="347" customFormat="false" ht="18.95" hidden="false" customHeight="true" outlineLevel="0" collapsed="false">
      <c r="A347" s="0" t="n">
        <v>28</v>
      </c>
      <c r="B347" s="34" t="n">
        <v>35827</v>
      </c>
      <c r="C347" s="56" t="n">
        <v>308000</v>
      </c>
      <c r="D347" s="260" t="s">
        <v>41</v>
      </c>
      <c r="E347" s="33" t="n">
        <f aca="false">IF(D347="totale",(C347/(A347*24))/F347,IF(D347="marché libre",(C347/(A347*24))/G347,"spécifier histo"))</f>
        <v>0.458333333333333</v>
      </c>
      <c r="F347" s="59" t="n">
        <v>1000</v>
      </c>
      <c r="G347" s="59" t="n">
        <f aca="false">F347-H347</f>
        <v>1000</v>
      </c>
      <c r="H347" s="59" t="n">
        <f aca="false">0</f>
        <v>0</v>
      </c>
      <c r="I347" s="9"/>
      <c r="J347" s="205"/>
      <c r="K347" s="1"/>
      <c r="L347" s="1"/>
      <c r="M347" s="1"/>
      <c r="N347" s="1"/>
      <c r="O347" s="1"/>
      <c r="P347" s="1"/>
      <c r="Q347" s="1"/>
      <c r="R347" s="1"/>
      <c r="S347" s="1"/>
      <c r="T347" s="1"/>
      <c r="AC347" s="0"/>
      <c r="AG347" s="0"/>
    </row>
    <row r="348" customFormat="false" ht="18.95" hidden="false" customHeight="true" outlineLevel="0" collapsed="false">
      <c r="A348" s="0" t="n">
        <v>31</v>
      </c>
      <c r="B348" s="31" t="n">
        <v>35855</v>
      </c>
      <c r="C348" s="56" t="n">
        <v>330000</v>
      </c>
      <c r="D348" s="260" t="s">
        <v>41</v>
      </c>
      <c r="E348" s="33" t="n">
        <f aca="false">IF(D348="totale",(C348/(A348*24))/F348,IF(D348="marché libre",(C348/(A348*24))/G348,"spécifier histo"))</f>
        <v>0.443548387096774</v>
      </c>
      <c r="F348" s="59" t="n">
        <v>1000</v>
      </c>
      <c r="G348" s="59" t="n">
        <f aca="false">F348-H348</f>
        <v>1000</v>
      </c>
      <c r="H348" s="59" t="n">
        <f aca="false">0</f>
        <v>0</v>
      </c>
      <c r="I348" s="9"/>
      <c r="J348" s="205"/>
      <c r="K348" s="1"/>
      <c r="L348" s="1"/>
      <c r="M348" s="1"/>
      <c r="N348" s="1"/>
      <c r="O348" s="1"/>
      <c r="P348" s="1"/>
      <c r="Q348" s="1"/>
      <c r="R348" s="1"/>
      <c r="S348" s="1"/>
      <c r="T348" s="1"/>
      <c r="AC348" s="0"/>
      <c r="AG348" s="0"/>
    </row>
    <row r="349" customFormat="false" ht="18.95" hidden="false" customHeight="true" outlineLevel="0" collapsed="false">
      <c r="A349" s="0" t="n">
        <v>30</v>
      </c>
      <c r="B349" s="34" t="n">
        <v>35886</v>
      </c>
      <c r="C349" s="56" t="n">
        <v>347000</v>
      </c>
      <c r="D349" s="260" t="s">
        <v>41</v>
      </c>
      <c r="E349" s="33" t="n">
        <f aca="false">IF(D349="totale",(C349/(A349*24))/F349,IF(D349="marché libre",(C349/(A349*24))/G349,"spécifier histo"))</f>
        <v>0.481944444444444</v>
      </c>
      <c r="F349" s="59" t="n">
        <v>1000</v>
      </c>
      <c r="G349" s="59" t="n">
        <f aca="false">F349-H349</f>
        <v>1000</v>
      </c>
      <c r="H349" s="59" t="n">
        <f aca="false">0</f>
        <v>0</v>
      </c>
      <c r="I349" s="9"/>
      <c r="J349" s="205"/>
      <c r="K349" s="1"/>
      <c r="L349" s="1"/>
      <c r="M349" s="1"/>
      <c r="N349" s="1"/>
      <c r="O349" s="1"/>
      <c r="P349" s="1"/>
      <c r="Q349" s="1"/>
      <c r="R349" s="1"/>
      <c r="S349" s="1"/>
      <c r="T349" s="1"/>
      <c r="AC349" s="0"/>
      <c r="AG349" s="0"/>
    </row>
    <row r="350" customFormat="false" ht="18.95" hidden="false" customHeight="true" outlineLevel="0" collapsed="false">
      <c r="A350" s="0" t="n">
        <v>31</v>
      </c>
      <c r="B350" s="31" t="n">
        <v>35916</v>
      </c>
      <c r="C350" s="56" t="n">
        <v>465000</v>
      </c>
      <c r="D350" s="260" t="s">
        <v>41</v>
      </c>
      <c r="E350" s="33" t="n">
        <f aca="false">IF(D350="totale",(C350/(A350*24))/F350,IF(D350="marché libre",(C350/(A350*24))/G350,"spécifier histo"))</f>
        <v>0.625</v>
      </c>
      <c r="F350" s="59" t="n">
        <v>1000</v>
      </c>
      <c r="G350" s="59" t="n">
        <f aca="false">F350-H350</f>
        <v>1000</v>
      </c>
      <c r="H350" s="59" t="n">
        <f aca="false">0</f>
        <v>0</v>
      </c>
      <c r="I350" s="9"/>
      <c r="J350" s="205"/>
      <c r="K350" s="1"/>
      <c r="L350" s="1"/>
      <c r="M350" s="1"/>
      <c r="N350" s="1"/>
      <c r="O350" s="1"/>
      <c r="P350" s="1"/>
      <c r="Q350" s="1"/>
      <c r="R350" s="1"/>
      <c r="S350" s="1"/>
      <c r="T350" s="1"/>
      <c r="AC350" s="0"/>
      <c r="AG350" s="0"/>
    </row>
    <row r="351" customFormat="false" ht="18.95" hidden="false" customHeight="true" outlineLevel="0" collapsed="false">
      <c r="A351" s="0" t="n">
        <v>30</v>
      </c>
      <c r="B351" s="34" t="n">
        <v>35947</v>
      </c>
      <c r="C351" s="56" t="n">
        <v>564000</v>
      </c>
      <c r="D351" s="260" t="s">
        <v>41</v>
      </c>
      <c r="E351" s="33" t="n">
        <f aca="false">IF(D351="totale",(C351/(A351*24))/F351,IF(D351="marché libre",(C351/(A351*24))/G351,"spécifier histo"))</f>
        <v>0.783333333333333</v>
      </c>
      <c r="F351" s="59" t="n">
        <v>1000</v>
      </c>
      <c r="G351" s="59" t="n">
        <f aca="false">F351-H351</f>
        <v>1000</v>
      </c>
      <c r="H351" s="59" t="n">
        <f aca="false">0</f>
        <v>0</v>
      </c>
      <c r="I351" s="9"/>
      <c r="J351" s="205"/>
      <c r="K351" s="1"/>
      <c r="L351" s="1"/>
      <c r="M351" s="1"/>
      <c r="N351" s="1"/>
      <c r="O351" s="1"/>
      <c r="P351" s="1"/>
      <c r="Q351" s="1"/>
      <c r="R351" s="1"/>
      <c r="S351" s="0"/>
      <c r="T351" s="0"/>
      <c r="U351" s="0"/>
      <c r="V351" s="0"/>
      <c r="W351" s="0"/>
      <c r="X351" s="0"/>
      <c r="Y351" s="0"/>
      <c r="Z351" s="0"/>
      <c r="AA351" s="0"/>
      <c r="AB351" s="0"/>
      <c r="AC351" s="0"/>
      <c r="AD351" s="0"/>
      <c r="AE351" s="0"/>
      <c r="AF351" s="0"/>
      <c r="AG351" s="0"/>
    </row>
    <row r="352" customFormat="false" ht="18.95" hidden="false" customHeight="true" outlineLevel="0" collapsed="false">
      <c r="A352" s="0" t="n">
        <v>31</v>
      </c>
      <c r="B352" s="31" t="n">
        <v>35977</v>
      </c>
      <c r="C352" s="56" t="n">
        <v>561000</v>
      </c>
      <c r="D352" s="260" t="s">
        <v>41</v>
      </c>
      <c r="E352" s="33" t="n">
        <f aca="false">IF(D352="totale",(C352/(A352*24))/F352,IF(D352="marché libre",(C352/(A352*24))/G352,"spécifier histo"))</f>
        <v>0.754032258064516</v>
      </c>
      <c r="F352" s="59" t="n">
        <v>1000</v>
      </c>
      <c r="G352" s="59" t="n">
        <f aca="false">F352-H352</f>
        <v>1000</v>
      </c>
      <c r="H352" s="59" t="n">
        <f aca="false">0</f>
        <v>0</v>
      </c>
      <c r="I352" s="9"/>
      <c r="J352" s="205"/>
      <c r="K352" s="1"/>
      <c r="L352" s="1"/>
      <c r="M352" s="1"/>
      <c r="N352" s="1"/>
      <c r="O352" s="1"/>
      <c r="P352" s="1"/>
      <c r="Q352" s="1"/>
      <c r="R352" s="1"/>
      <c r="S352" s="0"/>
      <c r="T352" s="0"/>
    </row>
    <row r="353" customFormat="false" ht="18.95" hidden="false" customHeight="true" outlineLevel="0" collapsed="false">
      <c r="A353" s="0" t="n">
        <v>31</v>
      </c>
      <c r="B353" s="34" t="n">
        <v>36008</v>
      </c>
      <c r="C353" s="56" t="n">
        <v>480000</v>
      </c>
      <c r="D353" s="260" t="s">
        <v>41</v>
      </c>
      <c r="E353" s="33" t="n">
        <f aca="false">IF(D353="totale",(C353/(A353*24))/F353,IF(D353="marché libre",(C353/(A353*24))/G353,"spécifier histo"))</f>
        <v>0.645161290322581</v>
      </c>
      <c r="F353" s="59" t="n">
        <v>1000</v>
      </c>
      <c r="G353" s="59" t="n">
        <f aca="false">F353-H353</f>
        <v>1000</v>
      </c>
      <c r="H353" s="59" t="n">
        <f aca="false">0</f>
        <v>0</v>
      </c>
      <c r="I353" s="9"/>
      <c r="J353" s="205"/>
      <c r="K353" s="1"/>
      <c r="L353" s="1"/>
      <c r="M353" s="1"/>
      <c r="N353" s="1"/>
      <c r="O353" s="1"/>
      <c r="P353" s="1"/>
      <c r="Q353" s="1"/>
      <c r="R353" s="1"/>
      <c r="S353" s="0"/>
      <c r="T353" s="0"/>
    </row>
    <row r="354" customFormat="false" ht="18.95" hidden="false" customHeight="true" outlineLevel="0" collapsed="false">
      <c r="A354" s="0" t="n">
        <v>30</v>
      </c>
      <c r="B354" s="31" t="n">
        <v>36039</v>
      </c>
      <c r="C354" s="56" t="n">
        <v>440000</v>
      </c>
      <c r="D354" s="260" t="s">
        <v>41</v>
      </c>
      <c r="E354" s="33" t="n">
        <f aca="false">IF(D354="totale",(C354/(A354*24))/F354,IF(D354="marché libre",(C354/(A354*24))/G354,"spécifier histo"))</f>
        <v>0.611111111111111</v>
      </c>
      <c r="F354" s="59" t="n">
        <v>1000</v>
      </c>
      <c r="G354" s="59" t="n">
        <f aca="false">F354-H354</f>
        <v>1000</v>
      </c>
      <c r="H354" s="59" t="n">
        <f aca="false">0</f>
        <v>0</v>
      </c>
      <c r="I354" s="9"/>
      <c r="J354" s="205"/>
      <c r="K354" s="1"/>
      <c r="L354" s="1"/>
      <c r="M354" s="1"/>
      <c r="N354" s="1"/>
      <c r="O354" s="1"/>
      <c r="P354" s="1"/>
      <c r="Q354" s="1"/>
      <c r="R354" s="1"/>
      <c r="S354" s="0"/>
      <c r="T354" s="0"/>
    </row>
    <row r="355" customFormat="false" ht="18.95" hidden="false" customHeight="true" outlineLevel="0" collapsed="false">
      <c r="A355" s="0" t="n">
        <v>31</v>
      </c>
      <c r="B355" s="34" t="n">
        <v>36069</v>
      </c>
      <c r="C355" s="56" t="n">
        <v>512000</v>
      </c>
      <c r="D355" s="260" t="s">
        <v>41</v>
      </c>
      <c r="E355" s="33" t="n">
        <f aca="false">IF(D355="totale",(C355/(A355*24))/F355,IF(D355="marché libre",(C355/(A355*24))/G355,"spécifier histo"))</f>
        <v>0.688172043010753</v>
      </c>
      <c r="F355" s="59" t="n">
        <v>1000</v>
      </c>
      <c r="G355" s="59" t="n">
        <f aca="false">F355-H355</f>
        <v>1000</v>
      </c>
      <c r="H355" s="59" t="n">
        <f aca="false">0</f>
        <v>0</v>
      </c>
      <c r="I355" s="9"/>
      <c r="J355" s="205"/>
      <c r="K355" s="1"/>
      <c r="L355" s="1"/>
      <c r="M355" s="1"/>
      <c r="N355" s="1"/>
      <c r="O355" s="1"/>
      <c r="P355" s="1"/>
      <c r="Q355" s="1"/>
      <c r="R355" s="1"/>
      <c r="S355" s="0"/>
      <c r="T355" s="0"/>
    </row>
    <row r="356" customFormat="false" ht="18.95" hidden="false" customHeight="true" outlineLevel="0" collapsed="false">
      <c r="A356" s="0" t="n">
        <v>30</v>
      </c>
      <c r="B356" s="31" t="n">
        <v>36100</v>
      </c>
      <c r="C356" s="56" t="n">
        <v>566000</v>
      </c>
      <c r="D356" s="260" t="s">
        <v>41</v>
      </c>
      <c r="E356" s="33" t="n">
        <f aca="false">IF(D356="totale",(C356/(A356*24))/F356,IF(D356="marché libre",(C356/(A356*24))/G356,"spécifier histo"))</f>
        <v>0.786111111111111</v>
      </c>
      <c r="F356" s="59" t="n">
        <v>1000</v>
      </c>
      <c r="G356" s="59" t="n">
        <f aca="false">F356-H356</f>
        <v>1000</v>
      </c>
      <c r="H356" s="59" t="n">
        <f aca="false">0</f>
        <v>0</v>
      </c>
      <c r="I356" s="9"/>
      <c r="J356" s="205"/>
      <c r="K356" s="1"/>
      <c r="L356" s="1"/>
      <c r="M356" s="1"/>
      <c r="N356" s="1"/>
      <c r="O356" s="1"/>
      <c r="P356" s="1"/>
      <c r="Q356" s="1"/>
      <c r="R356" s="1"/>
      <c r="S356" s="0"/>
      <c r="T356" s="0"/>
    </row>
    <row r="357" customFormat="false" ht="18.95" hidden="false" customHeight="true" outlineLevel="0" collapsed="false">
      <c r="A357" s="0" t="n">
        <v>31</v>
      </c>
      <c r="B357" s="34" t="n">
        <v>36130</v>
      </c>
      <c r="C357" s="56" t="n">
        <v>448700</v>
      </c>
      <c r="D357" s="260" t="s">
        <v>41</v>
      </c>
      <c r="E357" s="33" t="n">
        <f aca="false">IF(D357="totale",(C357/(A357*24))/F357,IF(D357="marché libre",(C357/(A357*24))/G357,"spécifier histo"))</f>
        <v>0.603091397849462</v>
      </c>
      <c r="F357" s="59" t="n">
        <v>1000</v>
      </c>
      <c r="G357" s="59" t="n">
        <f aca="false">F357-H357</f>
        <v>1000</v>
      </c>
      <c r="H357" s="59" t="n">
        <f aca="false">0</f>
        <v>0</v>
      </c>
      <c r="I357" s="9"/>
      <c r="J357" s="205"/>
      <c r="K357" s="262"/>
      <c r="L357" s="262"/>
      <c r="M357" s="262"/>
      <c r="N357" s="262"/>
      <c r="O357" s="262"/>
      <c r="P357" s="262"/>
      <c r="Q357" s="262"/>
      <c r="R357" s="262"/>
      <c r="S357" s="263"/>
      <c r="T357" s="263"/>
      <c r="U357" s="262"/>
      <c r="V357" s="262"/>
      <c r="W357" s="262"/>
      <c r="X357" s="262"/>
      <c r="Y357" s="262"/>
      <c r="Z357" s="262"/>
    </row>
    <row r="358" customFormat="false" ht="18.95" hidden="false" customHeight="true" outlineLevel="0" collapsed="false">
      <c r="A358" s="0" t="n">
        <v>31</v>
      </c>
      <c r="B358" s="31" t="n">
        <v>36161</v>
      </c>
      <c r="C358" s="56" t="n">
        <v>368088</v>
      </c>
      <c r="D358" s="260" t="s">
        <v>41</v>
      </c>
      <c r="E358" s="33" t="n">
        <f aca="false">IF(D358="totale",(C358/(A358*24))/F358,IF(D358="marché libre",(C358/(A358*24))/G358,"spécifier histo"))</f>
        <v>0.494741935483871</v>
      </c>
      <c r="F358" s="59" t="n">
        <v>1000</v>
      </c>
      <c r="G358" s="59" t="n">
        <f aca="false">F358-H358</f>
        <v>1000</v>
      </c>
      <c r="H358" s="59" t="n">
        <f aca="false">0</f>
        <v>0</v>
      </c>
      <c r="I358" s="9"/>
      <c r="J358" s="0"/>
      <c r="K358" s="264"/>
      <c r="L358" s="264"/>
      <c r="M358" s="0"/>
      <c r="N358" s="0"/>
      <c r="O358" s="0"/>
      <c r="P358" s="0"/>
      <c r="Q358" s="0"/>
      <c r="R358" s="0"/>
      <c r="S358" s="0"/>
      <c r="T358" s="0"/>
      <c r="U358" s="0"/>
      <c r="V358" s="0"/>
      <c r="W358" s="0"/>
      <c r="X358" s="0"/>
      <c r="Y358" s="0"/>
      <c r="Z358" s="0"/>
    </row>
    <row r="359" customFormat="false" ht="18.95" hidden="false" customHeight="true" outlineLevel="0" collapsed="false">
      <c r="A359" s="0" t="n">
        <v>28</v>
      </c>
      <c r="B359" s="34" t="n">
        <v>36192</v>
      </c>
      <c r="C359" s="56" t="n">
        <v>294521</v>
      </c>
      <c r="D359" s="260" t="s">
        <v>41</v>
      </c>
      <c r="E359" s="33" t="n">
        <f aca="false">IF(D359="totale",(C359/(A359*24))/F359,IF(D359="marché libre",(C359/(A359*24))/G359,"spécifier histo"))</f>
        <v>0.438275297619048</v>
      </c>
      <c r="F359" s="59" t="n">
        <v>1000</v>
      </c>
      <c r="G359" s="59" t="n">
        <f aca="false">F359-H359</f>
        <v>1000</v>
      </c>
      <c r="H359" s="59" t="n">
        <f aca="false">0</f>
        <v>0</v>
      </c>
      <c r="I359" s="9"/>
      <c r="J359" s="0"/>
      <c r="K359" s="264"/>
      <c r="L359" s="264"/>
      <c r="M359" s="0"/>
      <c r="N359" s="0"/>
      <c r="O359" s="0"/>
      <c r="P359" s="0"/>
      <c r="Q359" s="0"/>
      <c r="R359" s="0"/>
      <c r="S359" s="0"/>
      <c r="T359" s="0"/>
      <c r="U359" s="0"/>
      <c r="V359" s="0"/>
      <c r="W359" s="0"/>
      <c r="X359" s="0"/>
      <c r="Y359" s="0"/>
      <c r="Z359" s="0"/>
    </row>
    <row r="360" customFormat="false" ht="18.95" hidden="false" customHeight="true" outlineLevel="0" collapsed="false">
      <c r="A360" s="0" t="n">
        <v>31</v>
      </c>
      <c r="B360" s="31" t="n">
        <v>36220</v>
      </c>
      <c r="C360" s="56" t="n">
        <v>368176</v>
      </c>
      <c r="D360" s="260" t="s">
        <v>41</v>
      </c>
      <c r="E360" s="33" t="n">
        <f aca="false">IF(D360="totale",(C360/(A360*24))/F360,IF(D360="marché libre",(C360/(A360*24))/G360,"spécifier histo"))</f>
        <v>0.494860215053763</v>
      </c>
      <c r="F360" s="59" t="n">
        <v>1000</v>
      </c>
      <c r="G360" s="59" t="n">
        <f aca="false">F360-H360</f>
        <v>1000</v>
      </c>
      <c r="H360" s="59" t="n">
        <f aca="false">0</f>
        <v>0</v>
      </c>
      <c r="I360" s="9"/>
      <c r="J360" s="0"/>
      <c r="K360" s="264"/>
      <c r="L360" s="264"/>
      <c r="M360" s="0"/>
      <c r="N360" s="0"/>
      <c r="O360" s="0"/>
      <c r="P360" s="0"/>
      <c r="Q360" s="0"/>
      <c r="R360" s="0"/>
      <c r="S360" s="0"/>
      <c r="T360" s="0"/>
      <c r="U360" s="0"/>
      <c r="V360" s="0"/>
      <c r="W360" s="0"/>
      <c r="X360" s="0"/>
      <c r="Y360" s="0"/>
      <c r="Z360" s="0"/>
    </row>
    <row r="361" customFormat="false" ht="18.95" hidden="false" customHeight="true" outlineLevel="0" collapsed="false">
      <c r="A361" s="0" t="n">
        <v>30</v>
      </c>
      <c r="B361" s="34" t="n">
        <v>36251</v>
      </c>
      <c r="C361" s="56" t="n">
        <v>408004</v>
      </c>
      <c r="D361" s="260" t="s">
        <v>41</v>
      </c>
      <c r="E361" s="33" t="n">
        <f aca="false">IF(D361="totale",(C361/(A361*24))/F361,IF(D361="marché libre",(C361/(A361*24))/G361,"spécifier histo"))</f>
        <v>0.566672222222222</v>
      </c>
      <c r="F361" s="59" t="n">
        <v>1000</v>
      </c>
      <c r="G361" s="59" t="n">
        <f aca="false">F361-H361</f>
        <v>1000</v>
      </c>
      <c r="H361" s="59" t="n">
        <f aca="false">0</f>
        <v>0</v>
      </c>
      <c r="I361" s="9"/>
      <c r="J361" s="0"/>
      <c r="K361" s="264"/>
      <c r="L361" s="264"/>
      <c r="M361" s="0"/>
      <c r="N361" s="0"/>
      <c r="O361" s="0"/>
      <c r="P361" s="0"/>
      <c r="Q361" s="0"/>
      <c r="R361" s="0"/>
      <c r="S361" s="0"/>
      <c r="T361" s="0"/>
      <c r="U361" s="0"/>
      <c r="V361" s="0"/>
      <c r="W361" s="0"/>
      <c r="X361" s="0"/>
      <c r="Y361" s="0"/>
      <c r="Z361" s="0"/>
    </row>
    <row r="362" customFormat="false" ht="18.95" hidden="false" customHeight="true" outlineLevel="0" collapsed="false">
      <c r="A362" s="0" t="n">
        <v>31</v>
      </c>
      <c r="B362" s="31" t="n">
        <v>36281</v>
      </c>
      <c r="C362" s="56" t="n">
        <v>606849</v>
      </c>
      <c r="D362" s="260" t="s">
        <v>41</v>
      </c>
      <c r="E362" s="33" t="n">
        <f aca="false">IF(D362="totale",(C362/(A362*24))/F362,IF(D362="marché libre",(C362/(A362*24))/G362,"spécifier histo"))</f>
        <v>0.815657258064516</v>
      </c>
      <c r="F362" s="59" t="n">
        <v>1000</v>
      </c>
      <c r="G362" s="59" t="n">
        <f aca="false">F362-H362</f>
        <v>1000</v>
      </c>
      <c r="H362" s="59" t="n">
        <f aca="false">0</f>
        <v>0</v>
      </c>
      <c r="I362" s="9"/>
      <c r="J362" s="0"/>
      <c r="K362" s="264"/>
      <c r="L362" s="264"/>
      <c r="M362" s="0"/>
      <c r="N362" s="0"/>
      <c r="O362" s="0"/>
      <c r="P362" s="0"/>
      <c r="Q362" s="0"/>
      <c r="R362" s="0"/>
      <c r="S362" s="0"/>
      <c r="T362" s="0"/>
      <c r="U362" s="0"/>
      <c r="V362" s="0"/>
      <c r="W362" s="0"/>
      <c r="X362" s="0"/>
      <c r="Y362" s="0"/>
      <c r="Z362" s="0"/>
    </row>
    <row r="363" customFormat="false" ht="18.95" hidden="false" customHeight="true" outlineLevel="0" collapsed="false">
      <c r="A363" s="0" t="n">
        <v>30</v>
      </c>
      <c r="B363" s="34" t="n">
        <v>36312</v>
      </c>
      <c r="C363" s="56" t="n">
        <v>604064</v>
      </c>
      <c r="D363" s="260" t="s">
        <v>41</v>
      </c>
      <c r="E363" s="33" t="n">
        <f aca="false">IF(D363="totale",(C363/(A363*24))/F363,IF(D363="marché libre",(C363/(A363*24))/G363,"spécifier histo"))</f>
        <v>0.838977777777778</v>
      </c>
      <c r="F363" s="59" t="n">
        <v>1000</v>
      </c>
      <c r="G363" s="59" t="n">
        <f aca="false">F363-H363</f>
        <v>1000</v>
      </c>
      <c r="H363" s="59" t="n">
        <f aca="false">0</f>
        <v>0</v>
      </c>
      <c r="I363" s="9"/>
      <c r="J363" s="0"/>
      <c r="K363" s="264"/>
      <c r="L363" s="264"/>
      <c r="M363" s="0"/>
      <c r="N363" s="0"/>
      <c r="O363" s="0"/>
      <c r="P363" s="0"/>
      <c r="Q363" s="0"/>
      <c r="R363" s="0"/>
      <c r="S363" s="0"/>
      <c r="T363" s="0"/>
      <c r="U363" s="0"/>
      <c r="V363" s="0"/>
      <c r="W363" s="0"/>
      <c r="X363" s="0"/>
      <c r="Y363" s="0"/>
      <c r="Z363" s="0"/>
      <c r="AC363" s="0"/>
      <c r="AG363" s="0"/>
    </row>
    <row r="364" customFormat="false" ht="18.95" hidden="false" customHeight="true" outlineLevel="0" collapsed="false">
      <c r="A364" s="0" t="n">
        <v>31</v>
      </c>
      <c r="B364" s="31" t="n">
        <v>36342</v>
      </c>
      <c r="C364" s="56" t="n">
        <v>589658</v>
      </c>
      <c r="D364" s="260" t="s">
        <v>41</v>
      </c>
      <c r="E364" s="33" t="n">
        <f aca="false">IF(D364="totale",(C364/(A364*24))/F364,IF(D364="marché libre",(C364/(A364*24))/G364,"spécifier histo"))</f>
        <v>0.792551075268817</v>
      </c>
      <c r="F364" s="59" t="n">
        <v>1000</v>
      </c>
      <c r="G364" s="59" t="n">
        <f aca="false">F364-H364</f>
        <v>1000</v>
      </c>
      <c r="H364" s="59" t="n">
        <f aca="false">0</f>
        <v>0</v>
      </c>
      <c r="I364" s="9"/>
      <c r="J364" s="0"/>
      <c r="K364" s="264"/>
      <c r="L364" s="264"/>
      <c r="M364" s="0"/>
      <c r="N364" s="0"/>
      <c r="O364" s="0"/>
      <c r="P364" s="0"/>
      <c r="Q364" s="0"/>
      <c r="R364" s="0"/>
      <c r="S364" s="0"/>
      <c r="T364" s="0"/>
      <c r="U364" s="0"/>
      <c r="V364" s="0"/>
      <c r="W364" s="0"/>
      <c r="X364" s="0"/>
      <c r="Y364" s="0"/>
      <c r="Z364" s="0"/>
      <c r="AC364" s="0"/>
      <c r="AG364" s="0"/>
    </row>
    <row r="365" customFormat="false" ht="18.95" hidden="false" customHeight="true" outlineLevel="0" collapsed="false">
      <c r="A365" s="0" t="n">
        <v>31</v>
      </c>
      <c r="B365" s="34" t="n">
        <v>36373</v>
      </c>
      <c r="C365" s="56" t="n">
        <v>486191</v>
      </c>
      <c r="D365" s="260" t="s">
        <v>41</v>
      </c>
      <c r="E365" s="33" t="n">
        <f aca="false">IF(D365="totale",(C365/(A365*24))/F365,IF(D365="marché libre",(C365/(A365*24))/G365,"spécifier histo"))</f>
        <v>0.65348252688172</v>
      </c>
      <c r="F365" s="59" t="n">
        <v>1000</v>
      </c>
      <c r="G365" s="59" t="n">
        <f aca="false">F365-H365</f>
        <v>1000</v>
      </c>
      <c r="H365" s="59" t="n">
        <f aca="false">0</f>
        <v>0</v>
      </c>
      <c r="I365" s="9"/>
      <c r="J365" s="0"/>
      <c r="K365" s="264"/>
      <c r="L365" s="264"/>
      <c r="M365" s="0"/>
      <c r="N365" s="0"/>
      <c r="O365" s="0"/>
      <c r="P365" s="0"/>
      <c r="Q365" s="0"/>
      <c r="R365" s="0"/>
      <c r="S365" s="0"/>
      <c r="T365" s="0"/>
      <c r="U365" s="0"/>
      <c r="V365" s="0"/>
      <c r="W365" s="0"/>
      <c r="X365" s="0"/>
      <c r="Y365" s="0"/>
      <c r="Z365" s="0"/>
      <c r="AC365" s="0"/>
      <c r="AG365" s="0"/>
    </row>
    <row r="366" customFormat="false" ht="18.95" hidden="false" customHeight="true" outlineLevel="0" collapsed="false">
      <c r="A366" s="0" t="n">
        <v>30</v>
      </c>
      <c r="B366" s="31" t="n">
        <v>36404</v>
      </c>
      <c r="C366" s="56" t="n">
        <v>397781</v>
      </c>
      <c r="D366" s="260" t="s">
        <v>41</v>
      </c>
      <c r="E366" s="33" t="n">
        <f aca="false">IF(D366="totale",(C366/(A366*24))/F366,IF(D366="marché libre",(C366/(A366*24))/G366,"spécifier histo"))</f>
        <v>0.552473611111111</v>
      </c>
      <c r="F366" s="59" t="n">
        <v>1000</v>
      </c>
      <c r="G366" s="59" t="n">
        <f aca="false">F366-H366</f>
        <v>1000</v>
      </c>
      <c r="H366" s="59" t="n">
        <f aca="false">0</f>
        <v>0</v>
      </c>
      <c r="I366" s="9"/>
      <c r="J366" s="9"/>
      <c r="K366" s="134"/>
      <c r="L366" s="134"/>
      <c r="M366" s="0"/>
      <c r="N366" s="0"/>
      <c r="O366" s="0"/>
      <c r="P366" s="0"/>
      <c r="Q366" s="0"/>
      <c r="R366" s="0"/>
      <c r="S366" s="0"/>
      <c r="T366" s="0"/>
      <c r="U366" s="0"/>
      <c r="V366" s="0"/>
      <c r="W366" s="0"/>
      <c r="X366" s="0"/>
      <c r="Y366" s="0"/>
      <c r="Z366" s="0"/>
      <c r="AC366" s="0"/>
      <c r="AG366" s="0"/>
    </row>
    <row r="367" customFormat="false" ht="18.95" hidden="false" customHeight="true" outlineLevel="0" collapsed="false">
      <c r="A367" s="0" t="n">
        <v>31</v>
      </c>
      <c r="B367" s="34" t="n">
        <v>36434</v>
      </c>
      <c r="C367" s="56" t="n">
        <v>416305</v>
      </c>
      <c r="D367" s="260" t="s">
        <v>41</v>
      </c>
      <c r="E367" s="33" t="n">
        <f aca="false">IF(D367="totale",(C367/(A367*24))/F367,IF(D367="marché libre",(C367/(A367*24))/G367,"spécifier histo"))</f>
        <v>0.559549731182796</v>
      </c>
      <c r="F367" s="59" t="n">
        <v>1000</v>
      </c>
      <c r="G367" s="59" t="n">
        <f aca="false">F367-H367</f>
        <v>1000</v>
      </c>
      <c r="H367" s="59" t="n">
        <f aca="false">0</f>
        <v>0</v>
      </c>
      <c r="I367" s="9"/>
      <c r="J367" s="9"/>
      <c r="K367" s="134"/>
      <c r="L367" s="134"/>
      <c r="M367" s="0"/>
      <c r="N367" s="0"/>
      <c r="O367" s="0"/>
      <c r="P367" s="0"/>
      <c r="Q367" s="0"/>
      <c r="R367" s="0"/>
      <c r="S367" s="0"/>
      <c r="T367" s="0"/>
      <c r="U367" s="0"/>
      <c r="V367" s="0"/>
      <c r="W367" s="0"/>
      <c r="X367" s="0"/>
      <c r="Y367" s="0"/>
      <c r="Z367" s="0"/>
      <c r="AC367" s="0"/>
      <c r="AG367" s="0"/>
    </row>
    <row r="368" customFormat="false" ht="18.95" hidden="false" customHeight="true" outlineLevel="0" collapsed="false">
      <c r="A368" s="0" t="n">
        <v>30</v>
      </c>
      <c r="B368" s="31" t="n">
        <v>36465</v>
      </c>
      <c r="C368" s="56" t="n">
        <v>362904</v>
      </c>
      <c r="D368" s="260" t="s">
        <v>41</v>
      </c>
      <c r="E368" s="33" t="n">
        <f aca="false">IF(D368="totale",(C368/(A368*24))/F368,IF(D368="marché libre",(C368/(A368*24))/G368,"spécifier histo"))</f>
        <v>0.504033333333333</v>
      </c>
      <c r="F368" s="59" t="n">
        <v>1000</v>
      </c>
      <c r="G368" s="59" t="n">
        <f aca="false">F368-H368</f>
        <v>1000</v>
      </c>
      <c r="H368" s="59" t="n">
        <f aca="false">0</f>
        <v>0</v>
      </c>
      <c r="I368" s="9"/>
      <c r="J368" s="9"/>
      <c r="K368" s="134"/>
      <c r="L368" s="134"/>
      <c r="M368" s="0"/>
      <c r="N368" s="0"/>
      <c r="O368" s="0"/>
      <c r="P368" s="0"/>
      <c r="Q368" s="0"/>
      <c r="R368" s="0"/>
      <c r="S368" s="0"/>
      <c r="T368" s="0"/>
      <c r="U368" s="0"/>
      <c r="V368" s="0"/>
      <c r="W368" s="0"/>
      <c r="X368" s="0"/>
      <c r="Y368" s="0"/>
      <c r="Z368" s="0"/>
      <c r="AC368" s="0"/>
      <c r="AG368" s="0"/>
    </row>
    <row r="369" customFormat="false" ht="18.95" hidden="false" customHeight="true" outlineLevel="0" collapsed="false">
      <c r="A369" s="0" t="n">
        <v>31</v>
      </c>
      <c r="B369" s="34" t="n">
        <v>36495</v>
      </c>
      <c r="C369" s="56" t="n">
        <v>347699</v>
      </c>
      <c r="D369" s="260" t="s">
        <v>41</v>
      </c>
      <c r="E369" s="33" t="n">
        <f aca="false">IF(D369="totale",(C369/(A369*24))/F369,IF(D369="marché libre",(C369/(A369*24))/G369,"spécifier histo"))</f>
        <v>0.467337365591398</v>
      </c>
      <c r="F369" s="59" t="n">
        <v>1000</v>
      </c>
      <c r="G369" s="59" t="n">
        <f aca="false">F369-H369</f>
        <v>1000</v>
      </c>
      <c r="H369" s="59" t="n">
        <f aca="false">0</f>
        <v>0</v>
      </c>
      <c r="I369" s="9"/>
      <c r="J369" s="9"/>
      <c r="K369" s="134"/>
      <c r="L369" s="134"/>
      <c r="M369" s="0"/>
      <c r="N369" s="0"/>
      <c r="O369" s="0"/>
      <c r="P369" s="0"/>
      <c r="Q369" s="0"/>
      <c r="R369" s="0"/>
      <c r="S369" s="0"/>
      <c r="T369" s="0"/>
      <c r="U369" s="0"/>
      <c r="V369" s="0"/>
      <c r="W369" s="0"/>
      <c r="X369" s="0"/>
      <c r="Y369" s="0"/>
      <c r="Z369" s="0"/>
      <c r="AC369" s="0"/>
      <c r="AG369" s="0"/>
    </row>
    <row r="370" customFormat="false" ht="18.95" hidden="false" customHeight="true" outlineLevel="0" collapsed="false">
      <c r="A370" s="0" t="n">
        <v>31</v>
      </c>
      <c r="B370" s="31" t="n">
        <v>36526</v>
      </c>
      <c r="C370" s="9" t="n">
        <v>375825</v>
      </c>
      <c r="D370" s="260" t="s">
        <v>41</v>
      </c>
      <c r="E370" s="33" t="n">
        <f aca="false">IF(D370="totale",(C370/(A370*24))/F370,IF(D370="marché libre",(C370/(A370*24))/G370,"spécifier histo"))</f>
        <v>0.505141129032258</v>
      </c>
      <c r="F370" s="59" t="n">
        <v>1000</v>
      </c>
      <c r="G370" s="59" t="n">
        <f aca="false">F370-H370</f>
        <v>1000</v>
      </c>
      <c r="H370" s="59" t="n">
        <f aca="false">0</f>
        <v>0</v>
      </c>
      <c r="I370" s="9"/>
      <c r="J370" s="9"/>
      <c r="K370" s="9"/>
      <c r="L370" s="9"/>
      <c r="M370" s="9"/>
      <c r="N370" s="9"/>
      <c r="O370" s="9"/>
      <c r="P370" s="9"/>
      <c r="Q370" s="9"/>
      <c r="R370" s="9"/>
      <c r="S370" s="9"/>
      <c r="T370" s="9"/>
      <c r="U370" s="9"/>
      <c r="V370" s="9"/>
      <c r="W370" s="9"/>
      <c r="X370" s="9"/>
      <c r="AC370" s="0"/>
      <c r="AG370" s="0"/>
    </row>
    <row r="371" customFormat="false" ht="18.95" hidden="false" customHeight="true" outlineLevel="0" collapsed="false">
      <c r="A371" s="0" t="n">
        <v>28</v>
      </c>
      <c r="B371" s="34" t="n">
        <v>36557</v>
      </c>
      <c r="C371" s="9" t="n">
        <v>305532</v>
      </c>
      <c r="D371" s="260" t="s">
        <v>41</v>
      </c>
      <c r="E371" s="33" t="n">
        <f aca="false">IF(D371="totale",(C371/(A371*24))/F371,IF(D371="marché libre",(C371/(A371*24))/G371,"spécifier histo"))</f>
        <v>0.454660714285714</v>
      </c>
      <c r="F371" s="59" t="n">
        <v>1000</v>
      </c>
      <c r="G371" s="59" t="n">
        <f aca="false">F371-H371</f>
        <v>1000</v>
      </c>
      <c r="H371" s="59" t="n">
        <f aca="false">0</f>
        <v>0</v>
      </c>
      <c r="I371" s="9"/>
      <c r="J371" s="9"/>
      <c r="K371" s="9"/>
      <c r="L371" s="9"/>
      <c r="M371" s="9"/>
      <c r="N371" s="9"/>
      <c r="O371" s="9"/>
      <c r="P371" s="9"/>
      <c r="Q371" s="9"/>
      <c r="R371" s="9"/>
      <c r="S371" s="9"/>
      <c r="T371" s="9"/>
      <c r="U371" s="9"/>
      <c r="V371" s="9"/>
      <c r="W371" s="9"/>
      <c r="X371" s="9"/>
      <c r="AC371" s="0"/>
      <c r="AG371" s="0"/>
    </row>
    <row r="372" customFormat="false" ht="18.95" hidden="false" customHeight="true" outlineLevel="0" collapsed="false">
      <c r="A372" s="0" t="n">
        <v>31</v>
      </c>
      <c r="B372" s="31" t="n">
        <v>36586</v>
      </c>
      <c r="C372" s="9" t="n">
        <v>355436</v>
      </c>
      <c r="D372" s="260" t="s">
        <v>41</v>
      </c>
      <c r="E372" s="33" t="n">
        <f aca="false">IF(D372="totale",(C372/(A372*24))/F372,IF(D372="marché libre",(C372/(A372*24))/G372,"spécifier histo"))</f>
        <v>0.477736559139785</v>
      </c>
      <c r="F372" s="59" t="n">
        <v>1000</v>
      </c>
      <c r="G372" s="59" t="n">
        <f aca="false">F372-H372</f>
        <v>1000</v>
      </c>
      <c r="H372" s="59" t="n">
        <f aca="false">0</f>
        <v>0</v>
      </c>
      <c r="I372" s="9"/>
      <c r="J372" s="205"/>
      <c r="K372" s="1"/>
      <c r="L372" s="1"/>
      <c r="M372" s="1"/>
      <c r="N372" s="1"/>
      <c r="O372" s="1"/>
      <c r="P372" s="1"/>
      <c r="Q372" s="1"/>
      <c r="R372" s="1"/>
      <c r="S372" s="1"/>
      <c r="T372" s="1"/>
      <c r="AC372" s="0"/>
      <c r="AG372" s="0"/>
    </row>
    <row r="373" customFormat="false" ht="18.95" hidden="false" customHeight="true" outlineLevel="0" collapsed="false">
      <c r="A373" s="0" t="n">
        <v>30</v>
      </c>
      <c r="B373" s="34" t="n">
        <v>36617</v>
      </c>
      <c r="C373" s="9" t="n">
        <v>213653</v>
      </c>
      <c r="D373" s="260" t="s">
        <v>41</v>
      </c>
      <c r="E373" s="33" t="n">
        <f aca="false">IF(D373="totale",(C373/(A373*24))/F373,IF(D373="marché libre",(C373/(A373*24))/G373,"spécifier histo"))</f>
        <v>0.296740277777778</v>
      </c>
      <c r="F373" s="59" t="n">
        <v>1000</v>
      </c>
      <c r="G373" s="59" t="n">
        <f aca="false">F373-H373</f>
        <v>1000</v>
      </c>
      <c r="H373" s="59" t="n">
        <f aca="false">0</f>
        <v>0</v>
      </c>
      <c r="I373" s="9"/>
      <c r="J373" s="205"/>
      <c r="K373" s="1"/>
      <c r="L373" s="1"/>
      <c r="M373" s="1"/>
      <c r="N373" s="1"/>
      <c r="O373" s="1"/>
      <c r="P373" s="1"/>
      <c r="Q373" s="1"/>
      <c r="R373" s="1"/>
      <c r="S373" s="1"/>
      <c r="T373" s="1"/>
      <c r="AC373" s="0"/>
      <c r="AG373" s="0"/>
    </row>
    <row r="374" customFormat="false" ht="18.95" hidden="false" customHeight="true" outlineLevel="0" collapsed="false">
      <c r="A374" s="0" t="n">
        <v>31</v>
      </c>
      <c r="B374" s="31" t="n">
        <v>36647</v>
      </c>
      <c r="C374" s="9" t="n">
        <v>567355</v>
      </c>
      <c r="D374" s="260" t="s">
        <v>41</v>
      </c>
      <c r="E374" s="33" t="n">
        <f aca="false">IF(D374="totale",(C374/(A374*24))/F374,IF(D374="marché libre",(C374/(A374*24))/G374,"spécifier histo"))</f>
        <v>0.762573924731183</v>
      </c>
      <c r="F374" s="59" t="n">
        <v>1000</v>
      </c>
      <c r="G374" s="59" t="n">
        <f aca="false">F374-H374</f>
        <v>1000</v>
      </c>
      <c r="H374" s="59" t="n">
        <f aca="false">0</f>
        <v>0</v>
      </c>
      <c r="I374" s="9"/>
      <c r="J374" s="205"/>
      <c r="K374" s="1"/>
      <c r="L374" s="1"/>
      <c r="M374" s="1"/>
      <c r="N374" s="1"/>
      <c r="O374" s="1"/>
      <c r="P374" s="1"/>
      <c r="Q374" s="1"/>
      <c r="R374" s="1"/>
      <c r="S374" s="1"/>
      <c r="T374" s="1"/>
      <c r="AC374" s="0"/>
      <c r="AG374" s="0"/>
    </row>
    <row r="375" customFormat="false" ht="18.95" hidden="false" customHeight="true" outlineLevel="0" collapsed="false">
      <c r="A375" s="0" t="n">
        <v>30</v>
      </c>
      <c r="B375" s="34" t="n">
        <v>36678</v>
      </c>
      <c r="C375" s="9" t="n">
        <v>601362</v>
      </c>
      <c r="D375" s="260" t="s">
        <v>41</v>
      </c>
      <c r="E375" s="33" t="n">
        <f aca="false">IF(D375="totale",(C375/(A375*24))/F375,IF(D375="marché libre",(C375/(A375*24))/G375,"spécifier histo"))</f>
        <v>0.835225</v>
      </c>
      <c r="F375" s="59" t="n">
        <v>1000</v>
      </c>
      <c r="G375" s="59" t="n">
        <f aca="false">F375-H375</f>
        <v>1000</v>
      </c>
      <c r="H375" s="59" t="n">
        <f aca="false">0</f>
        <v>0</v>
      </c>
      <c r="I375" s="9"/>
      <c r="J375" s="205"/>
      <c r="K375" s="1"/>
      <c r="L375" s="1"/>
      <c r="M375" s="1"/>
      <c r="N375" s="1"/>
      <c r="O375" s="1"/>
      <c r="P375" s="1"/>
      <c r="Q375" s="1"/>
      <c r="R375" s="1"/>
      <c r="S375" s="1"/>
      <c r="T375" s="1"/>
      <c r="AC375" s="0"/>
      <c r="AG375" s="0"/>
    </row>
    <row r="376" customFormat="false" ht="18.95" hidden="false" customHeight="true" outlineLevel="0" collapsed="false">
      <c r="A376" s="0" t="n">
        <v>31</v>
      </c>
      <c r="B376" s="31" t="n">
        <v>36708</v>
      </c>
      <c r="C376" s="9" t="n">
        <v>561404</v>
      </c>
      <c r="D376" s="260" t="s">
        <v>41</v>
      </c>
      <c r="E376" s="33" t="n">
        <f aca="false">IF(D376="totale",(C376/(A376*24))/F376,IF(D376="marché libre",(C376/(A376*24))/G376,"spécifier histo"))</f>
        <v>0.754575268817204</v>
      </c>
      <c r="F376" s="59" t="n">
        <v>1000</v>
      </c>
      <c r="G376" s="59" t="n">
        <f aca="false">F376-H376</f>
        <v>1000</v>
      </c>
      <c r="H376" s="59" t="n">
        <f aca="false">0</f>
        <v>0</v>
      </c>
      <c r="I376" s="9"/>
      <c r="J376" s="205"/>
      <c r="K376" s="1"/>
      <c r="L376" s="1"/>
      <c r="M376" s="1"/>
      <c r="N376" s="1"/>
      <c r="O376" s="1"/>
      <c r="P376" s="1"/>
      <c r="Q376" s="1"/>
      <c r="R376" s="1"/>
      <c r="S376" s="1"/>
      <c r="T376" s="1"/>
      <c r="AC376" s="0"/>
      <c r="AG376" s="0"/>
    </row>
    <row r="377" customFormat="false" ht="18.95" hidden="false" customHeight="true" outlineLevel="0" collapsed="false">
      <c r="A377" s="0" t="n">
        <v>31</v>
      </c>
      <c r="B377" s="34" t="n">
        <v>36739</v>
      </c>
      <c r="C377" s="9" t="n">
        <v>525010</v>
      </c>
      <c r="D377" s="260" t="s">
        <v>41</v>
      </c>
      <c r="E377" s="33" t="n">
        <f aca="false">IF(D377="totale",(C377/(A377*24))/F377,IF(D377="marché libre",(C377/(A377*24))/G377,"spécifier histo"))</f>
        <v>0.705658602150538</v>
      </c>
      <c r="F377" s="59" t="n">
        <v>1000</v>
      </c>
      <c r="G377" s="59" t="n">
        <f aca="false">F377-H377</f>
        <v>1000</v>
      </c>
      <c r="H377" s="59" t="n">
        <f aca="false">0</f>
        <v>0</v>
      </c>
      <c r="I377" s="9"/>
      <c r="J377" s="205"/>
      <c r="K377" s="1"/>
      <c r="L377" s="1"/>
      <c r="M377" s="1"/>
      <c r="N377" s="1"/>
      <c r="O377" s="1"/>
      <c r="P377" s="1"/>
      <c r="Q377" s="1"/>
      <c r="R377" s="1"/>
      <c r="S377" s="1"/>
      <c r="T377" s="1"/>
      <c r="AC377" s="0"/>
      <c r="AG377" s="0"/>
    </row>
    <row r="378" customFormat="false" ht="18.95" hidden="false" customHeight="true" outlineLevel="0" collapsed="false">
      <c r="A378" s="0" t="n">
        <v>30</v>
      </c>
      <c r="B378" s="31" t="n">
        <v>36770</v>
      </c>
      <c r="C378" s="9" t="n">
        <v>435769</v>
      </c>
      <c r="D378" s="260" t="s">
        <v>41</v>
      </c>
      <c r="E378" s="33" t="n">
        <f aca="false">IF(D378="totale",(C378/(A378*24))/F378,IF(D378="marché libre",(C378/(A378*24))/G378,"spécifier histo"))</f>
        <v>0.605234722222222</v>
      </c>
      <c r="F378" s="59" t="n">
        <v>1000</v>
      </c>
      <c r="G378" s="59" t="n">
        <f aca="false">F378-H378</f>
        <v>1000</v>
      </c>
      <c r="H378" s="59" t="n">
        <f aca="false">0</f>
        <v>0</v>
      </c>
      <c r="I378" s="9"/>
      <c r="J378" s="205"/>
      <c r="K378" s="1"/>
      <c r="L378" s="1"/>
      <c r="M378" s="1"/>
      <c r="N378" s="1"/>
      <c r="O378" s="1"/>
      <c r="P378" s="1"/>
      <c r="Q378" s="1"/>
      <c r="R378" s="1"/>
      <c r="S378" s="1"/>
      <c r="T378" s="1"/>
      <c r="AC378" s="0"/>
      <c r="AG378" s="0"/>
    </row>
    <row r="379" customFormat="false" ht="18.95" hidden="false" customHeight="true" outlineLevel="0" collapsed="false">
      <c r="A379" s="0" t="n">
        <v>31</v>
      </c>
      <c r="B379" s="34" t="n">
        <v>36800</v>
      </c>
      <c r="C379" s="9" t="n">
        <v>420501</v>
      </c>
      <c r="D379" s="260" t="s">
        <v>41</v>
      </c>
      <c r="E379" s="33" t="n">
        <f aca="false">IF(D379="totale",(C379/(A379*24))/F379,IF(D379="marché libre",(C379/(A379*24))/G379,"spécifier histo"))</f>
        <v>0.565189516129032</v>
      </c>
      <c r="F379" s="59" t="n">
        <v>1000</v>
      </c>
      <c r="G379" s="59" t="n">
        <f aca="false">F379-H379</f>
        <v>1000</v>
      </c>
      <c r="H379" s="59" t="n">
        <f aca="false">0</f>
        <v>0</v>
      </c>
      <c r="I379" s="9"/>
      <c r="J379" s="205"/>
      <c r="K379" s="1"/>
      <c r="L379" s="1"/>
      <c r="M379" s="1"/>
      <c r="N379" s="1"/>
      <c r="O379" s="1"/>
      <c r="P379" s="1"/>
      <c r="Q379" s="1"/>
      <c r="R379" s="1"/>
      <c r="S379" s="1"/>
      <c r="T379" s="1"/>
      <c r="AC379" s="0"/>
      <c r="AG379" s="0"/>
    </row>
    <row r="380" customFormat="false" ht="18.95" hidden="false" customHeight="true" outlineLevel="0" collapsed="false">
      <c r="A380" s="0" t="n">
        <v>30</v>
      </c>
      <c r="B380" s="31" t="n">
        <v>36831</v>
      </c>
      <c r="C380" s="9" t="n">
        <v>434860</v>
      </c>
      <c r="D380" s="260" t="s">
        <v>41</v>
      </c>
      <c r="E380" s="33" t="n">
        <f aca="false">IF(D380="totale",(C380/(A380*24))/F380,IF(D380="marché libre",(C380/(A380*24))/G380,"spécifier histo"))</f>
        <v>0.603972222222222</v>
      </c>
      <c r="F380" s="59" t="n">
        <v>1000</v>
      </c>
      <c r="G380" s="59" t="n">
        <f aca="false">F380-H380</f>
        <v>1000</v>
      </c>
      <c r="H380" s="59" t="n">
        <f aca="false">0</f>
        <v>0</v>
      </c>
      <c r="I380" s="9"/>
      <c r="J380" s="205"/>
      <c r="K380" s="1"/>
      <c r="L380" s="1"/>
      <c r="M380" s="1"/>
      <c r="N380" s="1"/>
      <c r="O380" s="1"/>
      <c r="P380" s="1"/>
      <c r="Q380" s="1"/>
      <c r="R380" s="1"/>
      <c r="S380" s="1"/>
      <c r="T380" s="1"/>
      <c r="AC380" s="0"/>
      <c r="AG380" s="0"/>
    </row>
    <row r="381" customFormat="false" ht="18.95" hidden="false" customHeight="true" outlineLevel="0" collapsed="false">
      <c r="A381" s="0" t="n">
        <v>31</v>
      </c>
      <c r="B381" s="34" t="n">
        <v>36861</v>
      </c>
      <c r="C381" s="9" t="n">
        <v>432612</v>
      </c>
      <c r="D381" s="260" t="s">
        <v>41</v>
      </c>
      <c r="E381" s="33" t="n">
        <f aca="false">IF(D381="totale",(C381/(A381*24))/F381,IF(D381="marché libre",(C381/(A381*24))/G381,"spécifier histo"))</f>
        <v>0.581467741935484</v>
      </c>
      <c r="F381" s="59" t="n">
        <v>1000</v>
      </c>
      <c r="G381" s="59" t="n">
        <f aca="false">F381-H381</f>
        <v>1000</v>
      </c>
      <c r="H381" s="59" t="n">
        <f aca="false">0</f>
        <v>0</v>
      </c>
      <c r="I381" s="9"/>
      <c r="J381" s="205"/>
      <c r="K381" s="1"/>
      <c r="L381" s="1"/>
      <c r="M381" s="1"/>
      <c r="N381" s="1"/>
      <c r="O381" s="1"/>
      <c r="P381" s="1"/>
      <c r="Q381" s="1"/>
      <c r="R381" s="1"/>
      <c r="S381" s="1"/>
      <c r="T381" s="1"/>
      <c r="AC381" s="0"/>
    </row>
    <row r="382" customFormat="false" ht="18.95" hidden="false" customHeight="true" outlineLevel="0" collapsed="false">
      <c r="A382" s="0" t="n">
        <v>31</v>
      </c>
      <c r="B382" s="31" t="n">
        <v>36892</v>
      </c>
      <c r="C382" s="56" t="n">
        <v>399602</v>
      </c>
      <c r="D382" s="260" t="s">
        <v>41</v>
      </c>
      <c r="E382" s="33" t="n">
        <f aca="false">IF(D382="totale",(C382/(A382*24))/F382,IF(D382="marché libre",(C382/(A382*24))/G382,"spécifier histo"))</f>
        <v>0.537099462365591</v>
      </c>
      <c r="F382" s="59" t="n">
        <v>1000</v>
      </c>
      <c r="G382" s="59" t="n">
        <f aca="false">F382-H382</f>
        <v>1000</v>
      </c>
      <c r="H382" s="59" t="n">
        <f aca="false">0</f>
        <v>0</v>
      </c>
      <c r="I382" s="9"/>
      <c r="J382" s="205"/>
      <c r="K382" s="1"/>
      <c r="L382" s="1"/>
      <c r="M382" s="1"/>
      <c r="N382" s="1"/>
      <c r="O382" s="1"/>
      <c r="P382" s="1"/>
      <c r="Q382" s="1"/>
      <c r="R382" s="1"/>
      <c r="S382" s="1"/>
      <c r="T382" s="1"/>
      <c r="AC382" s="0"/>
    </row>
    <row r="383" customFormat="false" ht="18.95" hidden="false" customHeight="true" outlineLevel="0" collapsed="false">
      <c r="A383" s="0" t="n">
        <v>28</v>
      </c>
      <c r="B383" s="34" t="n">
        <v>36923</v>
      </c>
      <c r="C383" s="56" t="n">
        <v>324700</v>
      </c>
      <c r="D383" s="260" t="s">
        <v>41</v>
      </c>
      <c r="E383" s="33" t="n">
        <f aca="false">IF(D383="totale",(C383/(A383*24))/F383,IF(D383="marché libre",(C383/(A383*24))/G383,"spécifier histo"))</f>
        <v>0.483184523809524</v>
      </c>
      <c r="F383" s="59" t="n">
        <v>1000</v>
      </c>
      <c r="G383" s="59" t="n">
        <f aca="false">F383-H383</f>
        <v>1000</v>
      </c>
      <c r="H383" s="59" t="n">
        <f aca="false">0</f>
        <v>0</v>
      </c>
      <c r="I383" s="9"/>
      <c r="J383" s="205"/>
      <c r="K383" s="1"/>
      <c r="L383" s="1"/>
      <c r="M383" s="1"/>
      <c r="N383" s="1"/>
      <c r="O383" s="1"/>
      <c r="P383" s="1"/>
      <c r="Q383" s="1"/>
      <c r="R383" s="1"/>
      <c r="S383" s="1"/>
      <c r="T383" s="1"/>
      <c r="AC383" s="0"/>
    </row>
    <row r="384" customFormat="false" ht="18.95" hidden="false" customHeight="true" outlineLevel="0" collapsed="false">
      <c r="A384" s="0" t="n">
        <v>31</v>
      </c>
      <c r="B384" s="31" t="n">
        <v>36951</v>
      </c>
      <c r="C384" s="56" t="n">
        <v>457788</v>
      </c>
      <c r="D384" s="260" t="s">
        <v>41</v>
      </c>
      <c r="E384" s="33" t="n">
        <f aca="false">IF(D384="totale",(C384/(A384*24))/F384,IF(D384="marché libre",(C384/(A384*24))/G384,"spécifier histo"))</f>
        <v>0.615306451612903</v>
      </c>
      <c r="F384" s="59" t="n">
        <v>1000</v>
      </c>
      <c r="G384" s="59" t="n">
        <f aca="false">F384-H384</f>
        <v>1000</v>
      </c>
      <c r="H384" s="59" t="n">
        <f aca="false">0</f>
        <v>0</v>
      </c>
      <c r="I384" s="9"/>
      <c r="J384" s="205"/>
      <c r="K384" s="1"/>
      <c r="L384" s="1"/>
      <c r="M384" s="1"/>
      <c r="N384" s="1"/>
      <c r="O384" s="1"/>
      <c r="P384" s="1"/>
      <c r="Q384" s="1"/>
      <c r="R384" s="1"/>
      <c r="S384" s="1"/>
      <c r="T384" s="1"/>
      <c r="AC384" s="0"/>
    </row>
    <row r="385" customFormat="false" ht="18.95" hidden="false" customHeight="true" outlineLevel="0" collapsed="false">
      <c r="A385" s="0" t="n">
        <v>30</v>
      </c>
      <c r="B385" s="34" t="n">
        <v>36982</v>
      </c>
      <c r="C385" s="56" t="n">
        <v>555934</v>
      </c>
      <c r="D385" s="260" t="s">
        <v>41</v>
      </c>
      <c r="E385" s="33" t="n">
        <f aca="false">IF(D385="totale",(C385/(A385*24))/F385,IF(D385="marché libre",(C385/(A385*24))/G385,"spécifier histo"))</f>
        <v>0.772130555555556</v>
      </c>
      <c r="F385" s="59" t="n">
        <v>1000</v>
      </c>
      <c r="G385" s="59" t="n">
        <f aca="false">F385-H385</f>
        <v>1000</v>
      </c>
      <c r="H385" s="59" t="n">
        <f aca="false">0</f>
        <v>0</v>
      </c>
      <c r="I385" s="9"/>
      <c r="J385" s="205"/>
      <c r="K385" s="1"/>
      <c r="L385" s="1"/>
      <c r="M385" s="1"/>
      <c r="N385" s="1"/>
      <c r="O385" s="1"/>
      <c r="P385" s="1"/>
      <c r="Q385" s="1"/>
      <c r="R385" s="1"/>
      <c r="S385" s="1"/>
      <c r="T385" s="1"/>
      <c r="AC385" s="0"/>
    </row>
    <row r="386" customFormat="false" ht="18.95" hidden="false" customHeight="true" outlineLevel="0" collapsed="false">
      <c r="A386" s="0" t="n">
        <v>31</v>
      </c>
      <c r="B386" s="31" t="n">
        <v>37012</v>
      </c>
      <c r="C386" s="56" t="n">
        <v>622379</v>
      </c>
      <c r="D386" s="260" t="s">
        <v>41</v>
      </c>
      <c r="E386" s="33" t="n">
        <f aca="false">IF(D386="totale",(C386/(A386*24))/F386,IF(D386="marché libre",(C386/(A386*24))/G386,"spécifier histo"))</f>
        <v>0.836530913978494</v>
      </c>
      <c r="F386" s="59" t="n">
        <v>1000</v>
      </c>
      <c r="G386" s="59" t="n">
        <f aca="false">F386-H386</f>
        <v>1000</v>
      </c>
      <c r="H386" s="59" t="n">
        <f aca="false">0</f>
        <v>0</v>
      </c>
      <c r="I386" s="9"/>
      <c r="J386" s="205"/>
      <c r="K386" s="1"/>
      <c r="L386" s="1"/>
      <c r="M386" s="1"/>
      <c r="N386" s="1"/>
      <c r="O386" s="1"/>
      <c r="P386" s="1"/>
      <c r="Q386" s="1"/>
      <c r="R386" s="1"/>
      <c r="S386" s="1"/>
      <c r="T386" s="1"/>
      <c r="AC386" s="0"/>
    </row>
    <row r="387" customFormat="false" ht="18.95" hidden="false" customHeight="true" outlineLevel="0" collapsed="false">
      <c r="A387" s="0" t="n">
        <v>30</v>
      </c>
      <c r="B387" s="34" t="n">
        <v>37043</v>
      </c>
      <c r="C387" s="56" t="n">
        <v>640624</v>
      </c>
      <c r="D387" s="260" t="s">
        <v>41</v>
      </c>
      <c r="E387" s="33" t="n">
        <f aca="false">IF(D387="totale",(C387/(A387*24))/F387,IF(D387="marché libre",(C387/(A387*24))/G387,"spécifier histo"))</f>
        <v>0.889755555555556</v>
      </c>
      <c r="F387" s="59" t="n">
        <v>1000</v>
      </c>
      <c r="G387" s="59" t="n">
        <f aca="false">F387-H387</f>
        <v>1000</v>
      </c>
      <c r="H387" s="59" t="n">
        <f aca="false">0</f>
        <v>0</v>
      </c>
      <c r="I387" s="9"/>
      <c r="J387" s="205"/>
      <c r="K387" s="1"/>
      <c r="L387" s="1"/>
      <c r="M387" s="1"/>
      <c r="N387" s="1"/>
      <c r="O387" s="1"/>
      <c r="P387" s="1"/>
      <c r="Q387" s="1"/>
      <c r="R387" s="1"/>
      <c r="S387" s="1"/>
      <c r="T387" s="1"/>
      <c r="AC387" s="0"/>
    </row>
    <row r="388" customFormat="false" ht="18.95" hidden="false" customHeight="true" outlineLevel="0" collapsed="false">
      <c r="A388" s="0" t="n">
        <v>31</v>
      </c>
      <c r="B388" s="31" t="n">
        <v>37073</v>
      </c>
      <c r="C388" s="56" t="n">
        <v>629023</v>
      </c>
      <c r="D388" s="260" t="s">
        <v>41</v>
      </c>
      <c r="E388" s="33" t="n">
        <f aca="false">IF(D388="totale",(C388/(A388*24))/F388,IF(D388="marché libre",(C388/(A388*24))/G388,"spécifier histo"))</f>
        <v>0.845461021505376</v>
      </c>
      <c r="F388" s="59" t="n">
        <v>1000</v>
      </c>
      <c r="G388" s="59" t="n">
        <f aca="false">F388-H388</f>
        <v>1000</v>
      </c>
      <c r="H388" s="59" t="n">
        <f aca="false">0</f>
        <v>0</v>
      </c>
      <c r="I388" s="9"/>
      <c r="J388" s="205"/>
      <c r="K388" s="1"/>
      <c r="L388" s="1"/>
      <c r="M388" s="1"/>
      <c r="N388" s="1"/>
      <c r="O388" s="1"/>
      <c r="P388" s="1"/>
      <c r="Q388" s="1"/>
      <c r="R388" s="1"/>
      <c r="S388" s="1"/>
      <c r="T388" s="1"/>
      <c r="AC388" s="0"/>
    </row>
    <row r="389" customFormat="false" ht="18.95" hidden="false" customHeight="true" outlineLevel="0" collapsed="false">
      <c r="A389" s="0" t="n">
        <v>31</v>
      </c>
      <c r="B389" s="34" t="n">
        <v>37104</v>
      </c>
      <c r="C389" s="56" t="n">
        <v>533483</v>
      </c>
      <c r="D389" s="260" t="s">
        <v>41</v>
      </c>
      <c r="E389" s="33" t="n">
        <f aca="false">IF(D389="totale",(C389/(A389*24))/F389,IF(D389="marché libre",(C389/(A389*24))/G389,"spécifier histo"))</f>
        <v>0.717047043010753</v>
      </c>
      <c r="F389" s="59" t="n">
        <v>1000</v>
      </c>
      <c r="G389" s="59" t="n">
        <f aca="false">F389-H389</f>
        <v>1000</v>
      </c>
      <c r="H389" s="59" t="n">
        <f aca="false">0</f>
        <v>0</v>
      </c>
      <c r="I389" s="9"/>
      <c r="J389" s="205"/>
      <c r="K389" s="1"/>
      <c r="L389" s="1"/>
      <c r="M389" s="1"/>
      <c r="N389" s="1"/>
      <c r="O389" s="1"/>
      <c r="P389" s="1"/>
      <c r="Q389" s="1"/>
      <c r="R389" s="1"/>
      <c r="S389" s="1"/>
      <c r="T389" s="1"/>
      <c r="AC389" s="0"/>
    </row>
    <row r="390" customFormat="false" ht="18.95" hidden="false" customHeight="true" outlineLevel="0" collapsed="false">
      <c r="A390" s="0" t="n">
        <v>30</v>
      </c>
      <c r="B390" s="31" t="n">
        <v>37135</v>
      </c>
      <c r="C390" s="9" t="n">
        <v>464514</v>
      </c>
      <c r="D390" s="260" t="s">
        <v>41</v>
      </c>
      <c r="E390" s="33" t="n">
        <f aca="false">IF(D390="totale",(C390/(A390*24))/F390,IF(D390="marché libre",(C390/(A390*24))/G390,"spécifier histo"))</f>
        <v>0.645158333333333</v>
      </c>
      <c r="F390" s="59" t="n">
        <v>1000</v>
      </c>
      <c r="G390" s="59" t="n">
        <f aca="false">F390-H390</f>
        <v>1000</v>
      </c>
      <c r="H390" s="59" t="n">
        <f aca="false">0</f>
        <v>0</v>
      </c>
      <c r="I390" s="9"/>
      <c r="J390" s="205"/>
      <c r="K390" s="1"/>
      <c r="L390" s="1"/>
      <c r="M390" s="1"/>
      <c r="N390" s="1"/>
      <c r="O390" s="1"/>
      <c r="P390" s="1"/>
      <c r="Q390" s="1"/>
      <c r="R390" s="1"/>
      <c r="S390" s="1"/>
      <c r="T390" s="1"/>
      <c r="AC390" s="0"/>
    </row>
    <row r="391" customFormat="false" ht="18.95" hidden="false" customHeight="true" outlineLevel="0" collapsed="false">
      <c r="A391" s="0" t="n">
        <v>31</v>
      </c>
      <c r="B391" s="34" t="n">
        <v>37165</v>
      </c>
      <c r="C391" s="9" t="n">
        <v>483664</v>
      </c>
      <c r="D391" s="260" t="s">
        <v>41</v>
      </c>
      <c r="E391" s="33" t="n">
        <f aca="false">IF(D391="totale",(C391/(A391*24))/F391,IF(D391="marché libre",(C391/(A391*24))/G391,"spécifier histo"))</f>
        <v>0.650086021505376</v>
      </c>
      <c r="F391" s="59" t="n">
        <v>1000</v>
      </c>
      <c r="G391" s="59" t="n">
        <f aca="false">F391-H391</f>
        <v>1000</v>
      </c>
      <c r="H391" s="59" t="n">
        <f aca="false">0</f>
        <v>0</v>
      </c>
      <c r="I391" s="9"/>
      <c r="J391" s="205"/>
      <c r="K391" s="1"/>
      <c r="L391" s="1"/>
      <c r="M391" s="1"/>
      <c r="N391" s="1"/>
      <c r="O391" s="1"/>
      <c r="P391" s="1"/>
      <c r="Q391" s="1"/>
      <c r="R391" s="1"/>
      <c r="S391" s="1"/>
      <c r="T391" s="1"/>
      <c r="AC391" s="0"/>
    </row>
    <row r="392" customFormat="false" ht="18.95" hidden="false" customHeight="true" outlineLevel="0" collapsed="false">
      <c r="A392" s="0" t="n">
        <v>30</v>
      </c>
      <c r="B392" s="31" t="n">
        <v>37196</v>
      </c>
      <c r="C392" s="9" t="n">
        <v>419358</v>
      </c>
      <c r="D392" s="260" t="s">
        <v>41</v>
      </c>
      <c r="E392" s="33" t="n">
        <f aca="false">IF(D392="totale",(C392/(A392*24))/F392,IF(D392="marché libre",(C392/(A392*24))/G392,"spécifier histo"))</f>
        <v>0.582441666666667</v>
      </c>
      <c r="F392" s="59" t="n">
        <v>1000</v>
      </c>
      <c r="G392" s="59" t="n">
        <f aca="false">F392-H392</f>
        <v>1000</v>
      </c>
      <c r="H392" s="59" t="n">
        <f aca="false">0</f>
        <v>0</v>
      </c>
      <c r="I392" s="9"/>
      <c r="J392" s="205"/>
      <c r="K392" s="1"/>
      <c r="L392" s="1"/>
      <c r="M392" s="1"/>
      <c r="N392" s="1"/>
      <c r="O392" s="1"/>
      <c r="P392" s="1"/>
      <c r="Q392" s="1"/>
      <c r="R392" s="1"/>
      <c r="S392" s="1"/>
      <c r="T392" s="1"/>
      <c r="AC392" s="0"/>
    </row>
    <row r="393" customFormat="false" ht="18.95" hidden="false" customHeight="true" outlineLevel="0" collapsed="false">
      <c r="A393" s="0" t="n">
        <v>31</v>
      </c>
      <c r="B393" s="34" t="n">
        <v>37226</v>
      </c>
      <c r="C393" s="9" t="n">
        <v>378071</v>
      </c>
      <c r="D393" s="260" t="s">
        <v>41</v>
      </c>
      <c r="E393" s="33" t="n">
        <f aca="false">IF(D393="totale",(C393/(A393*24))/F393,IF(D393="marché libre",(C393/(A393*24))/G393,"spécifier histo"))</f>
        <v>0.508159946236559</v>
      </c>
      <c r="F393" s="59" t="n">
        <v>1000</v>
      </c>
      <c r="G393" s="59" t="n">
        <f aca="false">F393-H393</f>
        <v>1000</v>
      </c>
      <c r="H393" s="59" t="n">
        <f aca="false">0</f>
        <v>0</v>
      </c>
      <c r="I393" s="9"/>
      <c r="J393" s="205"/>
      <c r="K393" s="1"/>
      <c r="L393" s="1"/>
      <c r="M393" s="1"/>
      <c r="N393" s="1"/>
      <c r="O393" s="1"/>
      <c r="P393" s="1"/>
      <c r="Q393" s="1"/>
      <c r="R393" s="1"/>
      <c r="S393" s="1"/>
      <c r="T393" s="1"/>
      <c r="AC393" s="0"/>
    </row>
    <row r="394" customFormat="false" ht="18.95" hidden="false" customHeight="true" outlineLevel="0" collapsed="false">
      <c r="A394" s="0" t="n">
        <v>31</v>
      </c>
      <c r="B394" s="31" t="n">
        <v>37257</v>
      </c>
      <c r="C394" s="56" t="n">
        <v>333352</v>
      </c>
      <c r="D394" s="260" t="s">
        <v>41</v>
      </c>
      <c r="E394" s="33" t="n">
        <f aca="false">IF(D394="totale",(C394/(A394*24))/F394,IF(D394="marché libre",(C394/(A394*24))/G394,"spécifier histo"))</f>
        <v>0.44805376344086</v>
      </c>
      <c r="F394" s="59" t="n">
        <v>1000</v>
      </c>
      <c r="G394" s="59" t="n">
        <f aca="false">F394-H394</f>
        <v>1000</v>
      </c>
      <c r="H394" s="59" t="n">
        <f aca="false">0</f>
        <v>0</v>
      </c>
      <c r="I394" s="9"/>
      <c r="J394" s="205"/>
      <c r="K394" s="1"/>
      <c r="L394" s="1"/>
      <c r="M394" s="1"/>
      <c r="N394" s="1"/>
      <c r="O394" s="1"/>
      <c r="P394" s="1"/>
      <c r="Q394" s="1"/>
      <c r="R394" s="1"/>
      <c r="S394" s="1"/>
      <c r="T394" s="1"/>
      <c r="AC394" s="0"/>
    </row>
    <row r="395" customFormat="false" ht="18.95" hidden="false" customHeight="true" outlineLevel="0" collapsed="false">
      <c r="A395" s="0" t="n">
        <v>28</v>
      </c>
      <c r="B395" s="34" t="n">
        <v>37288</v>
      </c>
      <c r="C395" s="56" t="n">
        <v>274086</v>
      </c>
      <c r="D395" s="260" t="s">
        <v>41</v>
      </c>
      <c r="E395" s="33" t="n">
        <f aca="false">IF(D395="totale",(C395/(A395*24))/F395,IF(D395="marché libre",(C395/(A395*24))/G395,"spécifier histo"))</f>
        <v>0.407866071428571</v>
      </c>
      <c r="F395" s="59" t="n">
        <v>1000</v>
      </c>
      <c r="G395" s="59" t="n">
        <f aca="false">F395-H395</f>
        <v>1000</v>
      </c>
      <c r="H395" s="59" t="n">
        <f aca="false">0</f>
        <v>0</v>
      </c>
      <c r="I395" s="9"/>
      <c r="J395" s="205"/>
      <c r="K395" s="1"/>
      <c r="L395" s="1"/>
      <c r="M395" s="1"/>
      <c r="N395" s="1"/>
      <c r="O395" s="1"/>
      <c r="P395" s="1"/>
      <c r="Q395" s="1"/>
      <c r="R395" s="1"/>
      <c r="S395" s="1"/>
      <c r="T395" s="1"/>
      <c r="AC395" s="0"/>
    </row>
    <row r="396" customFormat="false" ht="18.95" hidden="false" customHeight="true" outlineLevel="0" collapsed="false">
      <c r="A396" s="0" t="n">
        <v>31</v>
      </c>
      <c r="B396" s="31" t="n">
        <v>37316</v>
      </c>
      <c r="C396" s="56" t="n">
        <v>343346</v>
      </c>
      <c r="D396" s="260" t="s">
        <v>41</v>
      </c>
      <c r="E396" s="33" t="n">
        <f aca="false">IF(D396="totale",(C396/(A396*24))/F396,IF(D396="marché libre",(C396/(A396*24))/G396,"spécifier histo"))</f>
        <v>0.461486559139785</v>
      </c>
      <c r="F396" s="59" t="n">
        <v>1000</v>
      </c>
      <c r="G396" s="59" t="n">
        <f aca="false">F396-H396</f>
        <v>1000</v>
      </c>
      <c r="H396" s="59" t="n">
        <f aca="false">0</f>
        <v>0</v>
      </c>
      <c r="I396" s="9"/>
      <c r="J396" s="205"/>
      <c r="K396" s="1"/>
      <c r="L396" s="1"/>
      <c r="M396" s="1"/>
      <c r="N396" s="1"/>
      <c r="O396" s="1"/>
      <c r="P396" s="1"/>
      <c r="Q396" s="1"/>
      <c r="R396" s="1"/>
      <c r="S396" s="1"/>
      <c r="T396" s="1"/>
      <c r="AC396" s="0"/>
    </row>
    <row r="397" customFormat="false" ht="18.95" hidden="false" customHeight="true" outlineLevel="0" collapsed="false">
      <c r="A397" s="0" t="n">
        <v>30</v>
      </c>
      <c r="B397" s="34" t="n">
        <v>37347</v>
      </c>
      <c r="C397" s="56" t="n">
        <v>324511</v>
      </c>
      <c r="D397" s="260" t="s">
        <v>41</v>
      </c>
      <c r="E397" s="33" t="n">
        <f aca="false">IF(D397="totale",(C397/(A397*24))/F397,IF(D397="marché libre",(C397/(A397*24))/G397,"spécifier histo"))</f>
        <v>0.450709722222222</v>
      </c>
      <c r="F397" s="59" t="n">
        <v>1000</v>
      </c>
      <c r="G397" s="59" t="n">
        <f aca="false">F397-H397</f>
        <v>1000</v>
      </c>
      <c r="H397" s="59" t="n">
        <f aca="false">0</f>
        <v>0</v>
      </c>
      <c r="I397" s="0"/>
      <c r="J397" s="0"/>
      <c r="K397" s="0"/>
      <c r="L397" s="0"/>
      <c r="M397" s="0"/>
      <c r="N397" s="0"/>
      <c r="O397" s="0"/>
      <c r="P397" s="0"/>
      <c r="Q397" s="0"/>
      <c r="R397" s="0"/>
      <c r="S397" s="0"/>
      <c r="T397" s="0"/>
      <c r="U397" s="0"/>
      <c r="V397" s="0"/>
      <c r="AC397" s="0"/>
    </row>
    <row r="398" customFormat="false" ht="18.95" hidden="false" customHeight="true" outlineLevel="0" collapsed="false">
      <c r="A398" s="0" t="n">
        <v>31</v>
      </c>
      <c r="B398" s="31" t="n">
        <v>37377</v>
      </c>
      <c r="C398" s="56" t="n">
        <v>404986</v>
      </c>
      <c r="D398" s="260" t="s">
        <v>41</v>
      </c>
      <c r="E398" s="33" t="n">
        <f aca="false">IF(D398="totale",(C398/(A398*24))/F398,IF(D398="marché libre",(C398/(A398*24))/G398,"spécifier histo"))</f>
        <v>0.544336021505376</v>
      </c>
      <c r="F398" s="59" t="n">
        <v>1000</v>
      </c>
      <c r="G398" s="59" t="n">
        <f aca="false">F398-H398</f>
        <v>1000</v>
      </c>
      <c r="H398" s="59" t="n">
        <f aca="false">0</f>
        <v>0</v>
      </c>
      <c r="I398" s="0"/>
      <c r="J398" s="0"/>
      <c r="K398" s="0"/>
      <c r="L398" s="0"/>
      <c r="M398" s="0"/>
      <c r="N398" s="0"/>
      <c r="O398" s="0"/>
      <c r="P398" s="0"/>
      <c r="Q398" s="0"/>
      <c r="R398" s="0"/>
      <c r="S398" s="0"/>
      <c r="T398" s="0"/>
      <c r="U398" s="0"/>
      <c r="V398" s="0"/>
      <c r="AC398" s="0"/>
    </row>
    <row r="399" customFormat="false" ht="18.95" hidden="false" customHeight="true" outlineLevel="0" collapsed="false">
      <c r="A399" s="0" t="n">
        <v>30</v>
      </c>
      <c r="B399" s="34" t="n">
        <v>37408</v>
      </c>
      <c r="C399" s="56" t="n">
        <v>494877</v>
      </c>
      <c r="D399" s="260" t="s">
        <v>41</v>
      </c>
      <c r="E399" s="33" t="n">
        <f aca="false">IF(D399="totale",(C399/(A399*24))/F399,IF(D399="marché libre",(C399/(A399*24))/G399,"spécifier histo"))</f>
        <v>0.687329166666667</v>
      </c>
      <c r="F399" s="59" t="n">
        <v>1000</v>
      </c>
      <c r="G399" s="59" t="n">
        <f aca="false">F399-H399</f>
        <v>1000</v>
      </c>
      <c r="H399" s="59" t="n">
        <f aca="false">0</f>
        <v>0</v>
      </c>
      <c r="I399" s="0"/>
      <c r="J399" s="0"/>
      <c r="K399" s="0"/>
      <c r="L399" s="0"/>
      <c r="M399" s="0"/>
      <c r="N399" s="0"/>
      <c r="O399" s="0"/>
      <c r="P399" s="0"/>
      <c r="Q399" s="0"/>
      <c r="R399" s="0"/>
      <c r="S399" s="0"/>
      <c r="T399" s="0"/>
      <c r="U399" s="0"/>
      <c r="V399" s="0"/>
      <c r="AC399" s="0"/>
    </row>
    <row r="400" customFormat="false" ht="18.95" hidden="false" customHeight="true" outlineLevel="0" collapsed="false">
      <c r="A400" s="0" t="n">
        <v>31</v>
      </c>
      <c r="B400" s="31" t="n">
        <v>37438</v>
      </c>
      <c r="C400" s="56" t="n">
        <v>505798</v>
      </c>
      <c r="D400" s="260" t="s">
        <v>41</v>
      </c>
      <c r="E400" s="33" t="n">
        <f aca="false">IF(D400="totale",(C400/(A400*24))/F400,IF(D400="marché libre",(C400/(A400*24))/G400,"spécifier histo"))</f>
        <v>0.679836021505376</v>
      </c>
      <c r="F400" s="59" t="n">
        <v>1000</v>
      </c>
      <c r="G400" s="59" t="n">
        <f aca="false">F400-H400</f>
        <v>1000</v>
      </c>
      <c r="H400" s="59" t="n">
        <f aca="false">0</f>
        <v>0</v>
      </c>
      <c r="I400" s="0"/>
      <c r="J400" s="0"/>
      <c r="K400" s="0"/>
      <c r="L400" s="0"/>
      <c r="M400" s="0"/>
      <c r="N400" s="0"/>
      <c r="O400" s="0"/>
      <c r="P400" s="0"/>
      <c r="Q400" s="0"/>
      <c r="R400" s="0"/>
      <c r="S400" s="0"/>
      <c r="T400" s="0"/>
      <c r="U400" s="0"/>
      <c r="V400" s="0"/>
      <c r="AC400" s="0"/>
    </row>
    <row r="401" customFormat="false" ht="18.95" hidden="false" customHeight="true" outlineLevel="0" collapsed="false">
      <c r="A401" s="0" t="n">
        <v>31</v>
      </c>
      <c r="B401" s="34" t="n">
        <v>37469</v>
      </c>
      <c r="C401" s="56" t="n">
        <v>459643</v>
      </c>
      <c r="D401" s="260" t="s">
        <v>41</v>
      </c>
      <c r="E401" s="33" t="n">
        <f aca="false">IF(D401="totale",(C401/(A401*24))/F401,IF(D401="marché libre",(C401/(A401*24))/G401,"spécifier histo"))</f>
        <v>0.617799731182796</v>
      </c>
      <c r="F401" s="59" t="n">
        <v>1000</v>
      </c>
      <c r="G401" s="59" t="n">
        <f aca="false">F401-H401</f>
        <v>1000</v>
      </c>
      <c r="H401" s="59" t="n">
        <f aca="false">0</f>
        <v>0</v>
      </c>
      <c r="I401" s="0"/>
      <c r="J401" s="0"/>
      <c r="K401" s="0"/>
      <c r="L401" s="0"/>
      <c r="M401" s="0"/>
      <c r="N401" s="0"/>
      <c r="O401" s="0"/>
      <c r="P401" s="0"/>
      <c r="Q401" s="0"/>
      <c r="R401" s="0"/>
      <c r="S401" s="0"/>
      <c r="T401" s="0"/>
      <c r="U401" s="0"/>
      <c r="V401" s="0"/>
      <c r="AC401" s="0"/>
    </row>
    <row r="402" customFormat="false" ht="18.95" hidden="false" customHeight="true" outlineLevel="0" collapsed="false">
      <c r="A402" s="0" t="n">
        <v>30</v>
      </c>
      <c r="B402" s="31" t="n">
        <v>37500</v>
      </c>
      <c r="C402" s="9" t="n">
        <v>427488</v>
      </c>
      <c r="D402" s="260" t="s">
        <v>41</v>
      </c>
      <c r="E402" s="33" t="n">
        <f aca="false">IF(D402="totale",(C402/(A402*24))/F402,IF(D402="marché libre",(C402/(A402*24))/G402,"spécifier histo"))</f>
        <v>0.593733333333333</v>
      </c>
      <c r="F402" s="59" t="n">
        <v>1000</v>
      </c>
      <c r="G402" s="59" t="n">
        <f aca="false">F402-H402</f>
        <v>1000</v>
      </c>
      <c r="H402" s="59" t="n">
        <f aca="false">0</f>
        <v>0</v>
      </c>
      <c r="I402" s="9"/>
      <c r="J402" s="205"/>
      <c r="K402" s="1"/>
      <c r="L402" s="1"/>
      <c r="M402" s="1"/>
      <c r="N402" s="1"/>
      <c r="O402" s="1"/>
      <c r="P402" s="1"/>
      <c r="Q402" s="1"/>
      <c r="R402" s="1"/>
      <c r="S402" s="1"/>
      <c r="T402" s="1"/>
      <c r="AC402" s="0"/>
    </row>
    <row r="403" customFormat="false" ht="18.95" hidden="false" customHeight="true" outlineLevel="0" collapsed="false">
      <c r="A403" s="0" t="n">
        <v>31</v>
      </c>
      <c r="B403" s="34" t="n">
        <v>37530</v>
      </c>
      <c r="C403" s="9" t="n">
        <v>443676</v>
      </c>
      <c r="D403" s="260" t="s">
        <v>41</v>
      </c>
      <c r="E403" s="33" t="n">
        <f aca="false">IF(D403="totale",(C403/(A403*24))/F403,IF(D403="marché libre",(C403/(A403*24))/G403,"spécifier histo"))</f>
        <v>0.596338709677419</v>
      </c>
      <c r="F403" s="59" t="n">
        <v>1000</v>
      </c>
      <c r="G403" s="59" t="n">
        <f aca="false">F403-H403</f>
        <v>1000</v>
      </c>
      <c r="H403" s="59" t="n">
        <f aca="false">0</f>
        <v>0</v>
      </c>
      <c r="I403" s="9"/>
      <c r="J403" s="205"/>
      <c r="K403" s="1"/>
      <c r="L403" s="1"/>
      <c r="M403" s="1"/>
      <c r="N403" s="1"/>
      <c r="O403" s="1"/>
      <c r="P403" s="1"/>
      <c r="Q403" s="1"/>
      <c r="R403" s="1"/>
      <c r="S403" s="1"/>
      <c r="T403" s="1"/>
      <c r="AC403" s="0"/>
    </row>
    <row r="404" customFormat="false" ht="18.95" hidden="false" customHeight="true" outlineLevel="0" collapsed="false">
      <c r="A404" s="0" t="n">
        <v>30</v>
      </c>
      <c r="B404" s="31" t="n">
        <v>37561</v>
      </c>
      <c r="C404" s="9" t="n">
        <v>572272</v>
      </c>
      <c r="D404" s="260" t="s">
        <v>41</v>
      </c>
      <c r="E404" s="33" t="n">
        <f aca="false">IF(D404="totale",(C404/(A404*24))/F404,IF(D404="marché libre",(C404/(A404*24))/G404,"spécifier histo"))</f>
        <v>0.794822222222222</v>
      </c>
      <c r="F404" s="59" t="n">
        <v>1000</v>
      </c>
      <c r="G404" s="59" t="n">
        <f aca="false">F404-H404</f>
        <v>1000</v>
      </c>
      <c r="H404" s="59" t="n">
        <f aca="false">0</f>
        <v>0</v>
      </c>
      <c r="I404" s="9"/>
      <c r="J404" s="205"/>
      <c r="K404" s="1"/>
      <c r="L404" s="1"/>
      <c r="M404" s="1"/>
      <c r="N404" s="1"/>
      <c r="O404" s="1"/>
      <c r="P404" s="1"/>
      <c r="Q404" s="1"/>
      <c r="R404" s="1"/>
      <c r="S404" s="1"/>
      <c r="T404" s="1"/>
      <c r="AC404" s="0"/>
    </row>
    <row r="405" customFormat="false" ht="18.95" hidden="false" customHeight="true" outlineLevel="0" collapsed="false">
      <c r="A405" s="0" t="n">
        <v>31</v>
      </c>
      <c r="B405" s="34" t="n">
        <v>37591</v>
      </c>
      <c r="C405" s="9" t="n">
        <v>508027</v>
      </c>
      <c r="D405" s="260" t="s">
        <v>41</v>
      </c>
      <c r="E405" s="33" t="n">
        <f aca="false">IF(D405="totale",(C405/(A405*24))/F405,IF(D405="marché libre",(C405/(A405*24))/G405,"spécifier histo"))</f>
        <v>0.682831989247312</v>
      </c>
      <c r="F405" s="59" t="n">
        <v>1000</v>
      </c>
      <c r="G405" s="59" t="n">
        <f aca="false">F405-H405</f>
        <v>1000</v>
      </c>
      <c r="H405" s="59" t="n">
        <f aca="false">0</f>
        <v>0</v>
      </c>
      <c r="I405" s="9"/>
      <c r="J405" s="205"/>
      <c r="K405" s="1"/>
      <c r="L405" s="1"/>
      <c r="M405" s="1"/>
      <c r="N405" s="1"/>
      <c r="O405" s="1"/>
      <c r="P405" s="1"/>
      <c r="Q405" s="1"/>
      <c r="R405" s="1"/>
      <c r="S405" s="1"/>
      <c r="T405" s="1"/>
      <c r="AC405" s="0"/>
    </row>
    <row r="406" customFormat="false" ht="18.95" hidden="false" customHeight="true" outlineLevel="0" collapsed="false">
      <c r="A406" s="0" t="n">
        <v>31</v>
      </c>
      <c r="B406" s="31" t="n">
        <v>37622</v>
      </c>
      <c r="C406" s="56" t="n">
        <v>458821</v>
      </c>
      <c r="D406" s="260" t="s">
        <v>41</v>
      </c>
      <c r="E406" s="33" t="n">
        <f aca="false">IF(D406="totale",(C406/(A406*24))/F406,IF(D406="marché libre",(C406/(A406*24))/G406,"spécifier histo"))</f>
        <v>0.616694892473118</v>
      </c>
      <c r="F406" s="59" t="n">
        <v>1000</v>
      </c>
      <c r="G406" s="59" t="n">
        <f aca="false">F406-H406</f>
        <v>1000</v>
      </c>
      <c r="H406" s="59" t="n">
        <f aca="false">0</f>
        <v>0</v>
      </c>
      <c r="I406" s="9"/>
      <c r="J406" s="205"/>
      <c r="K406" s="1"/>
      <c r="L406" s="1"/>
      <c r="M406" s="1"/>
      <c r="N406" s="1"/>
      <c r="O406" s="1"/>
      <c r="P406" s="1"/>
      <c r="Q406" s="1"/>
      <c r="R406" s="1"/>
      <c r="S406" s="1"/>
      <c r="T406" s="1"/>
      <c r="AC406" s="0"/>
    </row>
    <row r="407" customFormat="false" ht="18.95" hidden="false" customHeight="true" outlineLevel="0" collapsed="false">
      <c r="A407" s="0" t="n">
        <v>28</v>
      </c>
      <c r="B407" s="34" t="n">
        <v>37653</v>
      </c>
      <c r="C407" s="56" t="n">
        <v>332550</v>
      </c>
      <c r="D407" s="260" t="s">
        <v>41</v>
      </c>
      <c r="E407" s="33" t="n">
        <f aca="false">IF(D407="totale",(C407/(A407*24))/F407,IF(D407="marché libre",(C407/(A407*24))/G407,"spécifier histo"))</f>
        <v>0.494866071428571</v>
      </c>
      <c r="F407" s="59" t="n">
        <v>1000</v>
      </c>
      <c r="G407" s="59" t="n">
        <f aca="false">F407-H407</f>
        <v>1000</v>
      </c>
      <c r="H407" s="59" t="n">
        <f aca="false">0</f>
        <v>0</v>
      </c>
      <c r="I407" s="0"/>
      <c r="J407" s="0"/>
      <c r="K407" s="0"/>
      <c r="L407" s="0"/>
      <c r="M407" s="0"/>
      <c r="N407" s="0"/>
      <c r="O407" s="0"/>
      <c r="P407" s="0"/>
      <c r="Q407" s="0"/>
      <c r="R407" s="0"/>
      <c r="S407" s="0"/>
      <c r="T407" s="0"/>
      <c r="U407" s="0"/>
      <c r="V407" s="0"/>
      <c r="AC407" s="0"/>
    </row>
    <row r="408" customFormat="false" ht="18.95" hidden="false" customHeight="true" outlineLevel="0" collapsed="false">
      <c r="A408" s="0" t="n">
        <v>31</v>
      </c>
      <c r="B408" s="31" t="n">
        <v>37681</v>
      </c>
      <c r="C408" s="56" t="n">
        <v>342361</v>
      </c>
      <c r="D408" s="260" t="s">
        <v>41</v>
      </c>
      <c r="E408" s="33" t="n">
        <f aca="false">IF(D408="totale",(C408/(A408*24))/F408,IF(D408="marché libre",(C408/(A408*24))/G408,"spécifier histo"))</f>
        <v>0.460162634408602</v>
      </c>
      <c r="F408" s="59" t="n">
        <v>1000</v>
      </c>
      <c r="G408" s="59" t="n">
        <f aca="false">F408-H408</f>
        <v>1000</v>
      </c>
      <c r="H408" s="59" t="n">
        <f aca="false">0</f>
        <v>0</v>
      </c>
      <c r="I408" s="0"/>
      <c r="J408" s="0"/>
      <c r="K408" s="0"/>
      <c r="L408" s="0"/>
      <c r="M408" s="0"/>
      <c r="N408" s="0"/>
      <c r="O408" s="0"/>
      <c r="P408" s="0"/>
      <c r="Q408" s="0"/>
      <c r="R408" s="0"/>
      <c r="S408" s="0"/>
      <c r="T408" s="0"/>
      <c r="U408" s="0"/>
      <c r="V408" s="0"/>
      <c r="AC408" s="0"/>
    </row>
    <row r="409" customFormat="false" ht="18.95" hidden="false" customHeight="true" outlineLevel="0" collapsed="false">
      <c r="A409" s="0" t="n">
        <v>30</v>
      </c>
      <c r="B409" s="34" t="n">
        <v>37712</v>
      </c>
      <c r="C409" s="56" t="n">
        <v>376167</v>
      </c>
      <c r="D409" s="260" t="s">
        <v>41</v>
      </c>
      <c r="E409" s="33" t="n">
        <f aca="false">IF(D409="totale",(C409/(A409*24))/F409,IF(D409="marché libre",(C409/(A409*24))/G409,"spécifier histo"))</f>
        <v>0.522454166666667</v>
      </c>
      <c r="F409" s="59" t="n">
        <v>1000</v>
      </c>
      <c r="G409" s="59" t="n">
        <f aca="false">F409-H409</f>
        <v>1000</v>
      </c>
      <c r="H409" s="59" t="n">
        <f aca="false">0</f>
        <v>0</v>
      </c>
      <c r="I409" s="0"/>
      <c r="J409" s="0"/>
      <c r="K409" s="0"/>
      <c r="L409" s="0"/>
      <c r="M409" s="0"/>
      <c r="N409" s="0"/>
      <c r="O409" s="0"/>
      <c r="P409" s="0"/>
      <c r="Q409" s="0"/>
      <c r="R409" s="0"/>
      <c r="S409" s="0"/>
      <c r="T409" s="0"/>
      <c r="U409" s="0"/>
      <c r="V409" s="0"/>
      <c r="AC409" s="0"/>
    </row>
    <row r="410" customFormat="false" ht="18.95" hidden="false" customHeight="true" outlineLevel="0" collapsed="false">
      <c r="A410" s="0" t="n">
        <v>31</v>
      </c>
      <c r="B410" s="31" t="n">
        <v>37742</v>
      </c>
      <c r="C410" s="56" t="n">
        <v>549431</v>
      </c>
      <c r="D410" s="260" t="s">
        <v>41</v>
      </c>
      <c r="E410" s="33" t="n">
        <f aca="false">IF(D410="totale",(C410/(A410*24))/F410,IF(D410="marché libre",(C410/(A410*24))/G410,"spécifier histo"))</f>
        <v>0.73848252688172</v>
      </c>
      <c r="F410" s="59" t="n">
        <v>1000</v>
      </c>
      <c r="G410" s="59" t="n">
        <f aca="false">F410-H410</f>
        <v>1000</v>
      </c>
      <c r="H410" s="59" t="n">
        <f aca="false">0</f>
        <v>0</v>
      </c>
      <c r="I410" s="0"/>
      <c r="J410" s="0"/>
      <c r="K410" s="0"/>
      <c r="L410" s="0"/>
      <c r="M410" s="0"/>
      <c r="N410" s="0"/>
      <c r="O410" s="0"/>
      <c r="P410" s="0"/>
      <c r="Q410" s="0"/>
      <c r="R410" s="0"/>
      <c r="S410" s="0"/>
      <c r="T410" s="0"/>
      <c r="U410" s="0"/>
      <c r="V410" s="0"/>
      <c r="AC410" s="0"/>
    </row>
    <row r="411" customFormat="false" ht="18.95" hidden="false" customHeight="true" outlineLevel="0" collapsed="false">
      <c r="A411" s="0" t="n">
        <v>30</v>
      </c>
      <c r="B411" s="34" t="n">
        <v>37773</v>
      </c>
      <c r="C411" s="56" t="n">
        <v>566013</v>
      </c>
      <c r="D411" s="260" t="s">
        <v>41</v>
      </c>
      <c r="E411" s="33" t="n">
        <f aca="false">IF(D411="totale",(C411/(A411*24))/F411,IF(D411="marché libre",(C411/(A411*24))/G411,"spécifier histo"))</f>
        <v>0.786129166666667</v>
      </c>
      <c r="F411" s="59" t="n">
        <v>1000</v>
      </c>
      <c r="G411" s="59" t="n">
        <f aca="false">F411-H411</f>
        <v>1000</v>
      </c>
      <c r="H411" s="59" t="n">
        <f aca="false">0</f>
        <v>0</v>
      </c>
      <c r="I411" s="0"/>
      <c r="J411" s="0"/>
      <c r="K411" s="0"/>
      <c r="L411" s="0"/>
      <c r="M411" s="0"/>
      <c r="N411" s="0"/>
      <c r="O411" s="0"/>
      <c r="P411" s="0"/>
      <c r="Q411" s="0"/>
      <c r="R411" s="0"/>
      <c r="S411" s="0"/>
      <c r="T411" s="0"/>
      <c r="U411" s="0"/>
      <c r="V411" s="0"/>
      <c r="AC411" s="0"/>
    </row>
    <row r="412" customFormat="false" ht="18.95" hidden="false" customHeight="true" outlineLevel="0" collapsed="false">
      <c r="A412" s="0" t="n">
        <v>31</v>
      </c>
      <c r="B412" s="31" t="n">
        <v>37803</v>
      </c>
      <c r="C412" s="56" t="n">
        <v>490926</v>
      </c>
      <c r="D412" s="260" t="s">
        <v>41</v>
      </c>
      <c r="E412" s="33" t="n">
        <f aca="false">IF(D412="totale",(C412/(A412*24))/F412,IF(D412="marché libre",(C412/(A412*24))/G412,"spécifier histo"))</f>
        <v>0.659846774193548</v>
      </c>
      <c r="F412" s="59" t="n">
        <v>1000</v>
      </c>
      <c r="G412" s="59" t="n">
        <f aca="false">F412-H412</f>
        <v>1000</v>
      </c>
      <c r="H412" s="59" t="n">
        <f aca="false">0</f>
        <v>0</v>
      </c>
      <c r="I412" s="9"/>
      <c r="J412" s="205"/>
      <c r="K412" s="1"/>
      <c r="L412" s="1"/>
      <c r="M412" s="1"/>
      <c r="N412" s="1"/>
      <c r="O412" s="1"/>
      <c r="P412" s="1"/>
      <c r="Q412" s="1"/>
      <c r="R412" s="1"/>
      <c r="S412" s="1"/>
      <c r="T412" s="1"/>
      <c r="AC412" s="0"/>
    </row>
    <row r="413" customFormat="false" ht="18.95" hidden="false" customHeight="true" outlineLevel="0" collapsed="false">
      <c r="A413" s="0" t="n">
        <v>31</v>
      </c>
      <c r="B413" s="34" t="n">
        <v>37834</v>
      </c>
      <c r="C413" s="56" t="n">
        <v>398040</v>
      </c>
      <c r="D413" s="260" t="s">
        <v>41</v>
      </c>
      <c r="E413" s="33" t="n">
        <f aca="false">IF(D413="totale",(C413/(A413*24))/F413,IF(D413="marché libre",(C413/(A413*24))/G413,"spécifier histo"))</f>
        <v>0.535</v>
      </c>
      <c r="F413" s="59" t="n">
        <v>1000</v>
      </c>
      <c r="G413" s="59" t="n">
        <f aca="false">F413-H413</f>
        <v>1000</v>
      </c>
      <c r="H413" s="59" t="n">
        <f aca="false">0</f>
        <v>0</v>
      </c>
      <c r="I413" s="0"/>
      <c r="J413" s="0"/>
      <c r="K413" s="0"/>
      <c r="L413" s="0"/>
      <c r="M413" s="0"/>
      <c r="N413" s="0"/>
      <c r="O413" s="0"/>
      <c r="P413" s="0"/>
      <c r="Q413" s="0"/>
      <c r="R413" s="0"/>
      <c r="S413" s="0"/>
      <c r="T413" s="0"/>
      <c r="U413" s="0"/>
      <c r="V413" s="0"/>
      <c r="AC413" s="0"/>
    </row>
    <row r="414" customFormat="false" ht="18.95" hidden="false" customHeight="true" outlineLevel="0" collapsed="false">
      <c r="A414" s="0" t="n">
        <v>30</v>
      </c>
      <c r="B414" s="31" t="n">
        <v>37865</v>
      </c>
      <c r="C414" s="9" t="n">
        <v>329849</v>
      </c>
      <c r="D414" s="260" t="s">
        <v>41</v>
      </c>
      <c r="E414" s="33" t="n">
        <f aca="false">IF(D414="totale",(C414/(A414*24))/F414,IF(D414="marché libre",(C414/(A414*24))/G414,"spécifier histo"))</f>
        <v>0.458123611111111</v>
      </c>
      <c r="F414" s="59" t="n">
        <v>1000</v>
      </c>
      <c r="G414" s="59" t="n">
        <f aca="false">F414-H414</f>
        <v>1000</v>
      </c>
      <c r="H414" s="59" t="n">
        <f aca="false">0</f>
        <v>0</v>
      </c>
      <c r="I414" s="0"/>
      <c r="J414" s="0"/>
      <c r="K414" s="0"/>
      <c r="L414" s="0"/>
      <c r="M414" s="0"/>
      <c r="N414" s="0"/>
      <c r="O414" s="0"/>
      <c r="P414" s="0"/>
      <c r="Q414" s="0"/>
      <c r="R414" s="0"/>
      <c r="S414" s="0"/>
      <c r="T414" s="0"/>
      <c r="U414" s="0"/>
      <c r="V414" s="0"/>
      <c r="AC414" s="0"/>
    </row>
    <row r="415" customFormat="false" ht="18.95" hidden="false" customHeight="true" outlineLevel="0" collapsed="false">
      <c r="A415" s="0" t="n">
        <v>31</v>
      </c>
      <c r="B415" s="34" t="n">
        <v>37895</v>
      </c>
      <c r="C415" s="9" t="n">
        <v>344154</v>
      </c>
      <c r="D415" s="260" t="s">
        <v>41</v>
      </c>
      <c r="E415" s="33" t="n">
        <f aca="false">IF(D415="totale",(C415/(A415*24))/F415,IF(D415="marché libre",(C415/(A415*24))/G415,"spécifier histo"))</f>
        <v>0.462572580645161</v>
      </c>
      <c r="F415" s="59" t="n">
        <v>1000</v>
      </c>
      <c r="G415" s="59" t="n">
        <f aca="false">F415-H415</f>
        <v>1000</v>
      </c>
      <c r="H415" s="59" t="n">
        <f aca="false">0</f>
        <v>0</v>
      </c>
      <c r="I415" s="0"/>
      <c r="J415" s="0"/>
      <c r="K415" s="0"/>
      <c r="L415" s="0"/>
      <c r="M415" s="0"/>
      <c r="N415" s="0"/>
      <c r="O415" s="0"/>
      <c r="P415" s="0"/>
      <c r="Q415" s="0"/>
      <c r="R415" s="0"/>
      <c r="S415" s="0"/>
      <c r="T415" s="0"/>
      <c r="U415" s="0"/>
      <c r="V415" s="0"/>
      <c r="AC415" s="0"/>
    </row>
    <row r="416" customFormat="false" ht="18.95" hidden="false" customHeight="true" outlineLevel="0" collapsed="false">
      <c r="A416" s="0" t="n">
        <v>30</v>
      </c>
      <c r="B416" s="31" t="n">
        <v>37926</v>
      </c>
      <c r="C416" s="9" t="n">
        <v>382105</v>
      </c>
      <c r="D416" s="260" t="s">
        <v>41</v>
      </c>
      <c r="E416" s="33" t="n">
        <f aca="false">IF(D416="totale",(C416/(A416*24))/F416,IF(D416="marché libre",(C416/(A416*24))/G416,"spécifier histo"))</f>
        <v>0.530701388888889</v>
      </c>
      <c r="F416" s="59" t="n">
        <v>1000</v>
      </c>
      <c r="G416" s="59" t="n">
        <f aca="false">F416-H416</f>
        <v>1000</v>
      </c>
      <c r="H416" s="59" t="n">
        <f aca="false">0</f>
        <v>0</v>
      </c>
      <c r="I416" s="0"/>
      <c r="J416" s="0"/>
      <c r="K416" s="0"/>
      <c r="L416" s="0"/>
      <c r="M416" s="0"/>
      <c r="N416" s="0"/>
      <c r="O416" s="0"/>
      <c r="P416" s="0"/>
      <c r="Q416" s="0"/>
      <c r="R416" s="0"/>
      <c r="S416" s="0"/>
      <c r="T416" s="0"/>
      <c r="U416" s="0"/>
      <c r="V416" s="0"/>
      <c r="AC416" s="0"/>
    </row>
    <row r="417" customFormat="false" ht="18.95" hidden="false" customHeight="true" outlineLevel="0" collapsed="false">
      <c r="A417" s="0" t="n">
        <v>31</v>
      </c>
      <c r="B417" s="34" t="n">
        <v>37956</v>
      </c>
      <c r="C417" s="9" t="n">
        <v>364418</v>
      </c>
      <c r="D417" s="260" t="s">
        <v>41</v>
      </c>
      <c r="E417" s="33" t="n">
        <f aca="false">IF(D417="totale",(C417/(A417*24))/F417,IF(D417="marché libre",(C417/(A417*24))/G417,"spécifier histo"))</f>
        <v>0.489809139784946</v>
      </c>
      <c r="F417" s="59" t="n">
        <v>1000</v>
      </c>
      <c r="G417" s="59" t="n">
        <f aca="false">F417-H417</f>
        <v>1000</v>
      </c>
      <c r="H417" s="59" t="n">
        <f aca="false">0</f>
        <v>0</v>
      </c>
      <c r="I417" s="0"/>
      <c r="J417" s="0"/>
      <c r="K417" s="0"/>
      <c r="L417" s="0"/>
      <c r="M417" s="0"/>
      <c r="N417" s="0"/>
      <c r="O417" s="0"/>
      <c r="P417" s="0"/>
      <c r="Q417" s="0"/>
      <c r="R417" s="0"/>
      <c r="S417" s="0"/>
      <c r="T417" s="0"/>
      <c r="U417" s="0"/>
      <c r="V417" s="0"/>
      <c r="AC417" s="0"/>
    </row>
    <row r="418" customFormat="false" ht="18.95" hidden="false" customHeight="true" outlineLevel="0" collapsed="false">
      <c r="A418" s="0" t="n">
        <v>31</v>
      </c>
      <c r="B418" s="31" t="n">
        <v>37987</v>
      </c>
      <c r="C418" s="56" t="n">
        <v>428232</v>
      </c>
      <c r="D418" s="260" t="s">
        <v>41</v>
      </c>
      <c r="E418" s="33" t="n">
        <f aca="false">IF(D418="totale",(C418/(A418*24))/F418,IF(D418="marché libre",(C418/(A418*24))/G418,"spécifier histo"))</f>
        <v>0.57558064516129</v>
      </c>
      <c r="F418" s="59" t="n">
        <v>1000</v>
      </c>
      <c r="G418" s="59" t="n">
        <f aca="false">F418-H418</f>
        <v>1000</v>
      </c>
      <c r="H418" s="59" t="n">
        <f aca="false">0</f>
        <v>0</v>
      </c>
      <c r="I418" s="9"/>
      <c r="J418" s="205"/>
      <c r="K418" s="1"/>
      <c r="L418" s="1"/>
      <c r="M418" s="1"/>
      <c r="N418" s="1"/>
      <c r="O418" s="1"/>
      <c r="P418" s="1"/>
      <c r="Q418" s="1"/>
      <c r="R418" s="1"/>
      <c r="S418" s="1"/>
      <c r="T418" s="1"/>
      <c r="AC418" s="0"/>
    </row>
    <row r="419" customFormat="false" ht="18.95" hidden="false" customHeight="true" outlineLevel="0" collapsed="false">
      <c r="A419" s="0" t="n">
        <v>28</v>
      </c>
      <c r="B419" s="34" t="n">
        <v>38018</v>
      </c>
      <c r="C419" s="56" t="n">
        <v>355288</v>
      </c>
      <c r="D419" s="260" t="s">
        <v>41</v>
      </c>
      <c r="E419" s="33" t="n">
        <f aca="false">IF(D419="totale",(C419/(A419*24))/F419,IF(D419="marché libre",(C419/(A419*24))/G419,"spécifier histo"))</f>
        <v>0.528702380952381</v>
      </c>
      <c r="F419" s="59" t="n">
        <v>1000</v>
      </c>
      <c r="G419" s="59" t="n">
        <f aca="false">F419-H419</f>
        <v>1000</v>
      </c>
      <c r="H419" s="59" t="n">
        <f aca="false">0</f>
        <v>0</v>
      </c>
      <c r="I419" s="9"/>
      <c r="J419" s="205"/>
      <c r="K419" s="1"/>
      <c r="L419" s="1"/>
      <c r="M419" s="1"/>
      <c r="N419" s="1"/>
      <c r="O419" s="1"/>
      <c r="P419" s="1"/>
      <c r="Q419" s="1"/>
      <c r="R419" s="1"/>
      <c r="S419" s="1"/>
      <c r="T419" s="1"/>
      <c r="AC419" s="0"/>
    </row>
    <row r="420" customFormat="false" ht="18.95" hidden="false" customHeight="true" outlineLevel="0" collapsed="false">
      <c r="A420" s="0" t="n">
        <v>31</v>
      </c>
      <c r="B420" s="31" t="n">
        <v>38047</v>
      </c>
      <c r="C420" s="56" t="n">
        <v>335755</v>
      </c>
      <c r="D420" s="260" t="s">
        <v>41</v>
      </c>
      <c r="E420" s="33" t="n">
        <f aca="false">IF(D420="totale",(C420/(A420*24))/F420,IF(D420="marché libre",(C420/(A420*24))/G420,"spécifier histo"))</f>
        <v>0.451283602150538</v>
      </c>
      <c r="F420" s="59" t="n">
        <v>1000</v>
      </c>
      <c r="G420" s="59" t="n">
        <f aca="false">F420-H420</f>
        <v>1000</v>
      </c>
      <c r="H420" s="59" t="n">
        <f aca="false">0</f>
        <v>0</v>
      </c>
      <c r="I420" s="9"/>
      <c r="J420" s="205"/>
      <c r="K420" s="1"/>
      <c r="L420" s="1"/>
      <c r="M420" s="1"/>
      <c r="N420" s="1"/>
      <c r="O420" s="1"/>
      <c r="P420" s="1"/>
      <c r="Q420" s="1"/>
      <c r="R420" s="1"/>
      <c r="S420" s="1"/>
      <c r="T420" s="1"/>
      <c r="AC420" s="0"/>
    </row>
    <row r="421" customFormat="false" ht="18.95" hidden="false" customHeight="true" outlineLevel="0" collapsed="false">
      <c r="A421" s="0" t="n">
        <v>30</v>
      </c>
      <c r="B421" s="34" t="n">
        <v>38078</v>
      </c>
      <c r="C421" s="56" t="n">
        <v>339981</v>
      </c>
      <c r="D421" s="260" t="s">
        <v>41</v>
      </c>
      <c r="E421" s="33" t="n">
        <f aca="false">IF(D421="totale",(C421/(A421*24))/F421,IF(D421="marché libre",(C421/(A421*24))/G421,"spécifier histo"))</f>
        <v>0.472195833333333</v>
      </c>
      <c r="F421" s="59" t="n">
        <v>1000</v>
      </c>
      <c r="G421" s="59" t="n">
        <f aca="false">F421-H421</f>
        <v>1000</v>
      </c>
      <c r="H421" s="59" t="n">
        <f aca="false">0</f>
        <v>0</v>
      </c>
      <c r="I421" s="9"/>
      <c r="J421" s="205"/>
      <c r="K421" s="1"/>
      <c r="L421" s="1"/>
      <c r="M421" s="1"/>
      <c r="N421" s="1"/>
      <c r="O421" s="1"/>
      <c r="P421" s="1"/>
      <c r="Q421" s="1"/>
      <c r="R421" s="1"/>
      <c r="S421" s="1"/>
      <c r="T421" s="1"/>
      <c r="AC421" s="0"/>
    </row>
    <row r="422" customFormat="false" ht="18.95" hidden="false" customHeight="true" outlineLevel="0" collapsed="false">
      <c r="A422" s="0" t="n">
        <v>31</v>
      </c>
      <c r="B422" s="31" t="n">
        <v>38108</v>
      </c>
      <c r="C422" s="56" t="n">
        <v>474058</v>
      </c>
      <c r="D422" s="260" t="s">
        <v>41</v>
      </c>
      <c r="E422" s="33" t="n">
        <f aca="false">IF(D422="totale",(C422/(A422*24))/F422,IF(D422="marché libre",(C422/(A422*24))/G422,"spécifier histo"))</f>
        <v>0.637174731182796</v>
      </c>
      <c r="F422" s="59" t="n">
        <v>1000</v>
      </c>
      <c r="G422" s="59" t="n">
        <f aca="false">F422-H422</f>
        <v>1000</v>
      </c>
      <c r="H422" s="59" t="n">
        <f aca="false">0</f>
        <v>0</v>
      </c>
      <c r="I422" s="9"/>
      <c r="J422" s="205"/>
      <c r="K422" s="1"/>
      <c r="L422" s="1"/>
      <c r="M422" s="1"/>
      <c r="N422" s="1"/>
      <c r="O422" s="1"/>
      <c r="P422" s="1"/>
      <c r="Q422" s="1"/>
      <c r="R422" s="1"/>
      <c r="S422" s="1"/>
      <c r="T422" s="1"/>
      <c r="AC422" s="0"/>
    </row>
    <row r="423" customFormat="false" ht="18.95" hidden="false" customHeight="true" outlineLevel="0" collapsed="false">
      <c r="A423" s="0" t="n">
        <v>30</v>
      </c>
      <c r="B423" s="34" t="n">
        <v>38139</v>
      </c>
      <c r="C423" s="56" t="n">
        <v>607321</v>
      </c>
      <c r="D423" s="260" t="s">
        <v>41</v>
      </c>
      <c r="E423" s="33" t="n">
        <f aca="false">IF(D423="totale",(C423/(A423*24))/F423,IF(D423="marché libre",(C423/(A423*24))/G423,"spécifier histo"))</f>
        <v>0.843501388888889</v>
      </c>
      <c r="F423" s="59" t="n">
        <v>1000</v>
      </c>
      <c r="G423" s="59" t="n">
        <f aca="false">F423-H423</f>
        <v>1000</v>
      </c>
      <c r="H423" s="59" t="n">
        <f aca="false">0</f>
        <v>0</v>
      </c>
      <c r="I423" s="9"/>
      <c r="J423" s="205"/>
      <c r="K423" s="1"/>
      <c r="L423" s="1"/>
      <c r="M423" s="1"/>
      <c r="N423" s="1"/>
      <c r="O423" s="1"/>
      <c r="P423" s="1"/>
      <c r="Q423" s="1"/>
      <c r="R423" s="1"/>
      <c r="S423" s="1"/>
      <c r="T423" s="1"/>
      <c r="AC423" s="0"/>
    </row>
    <row r="424" customFormat="false" ht="18.95" hidden="false" customHeight="true" outlineLevel="0" collapsed="false">
      <c r="A424" s="0" t="n">
        <v>31</v>
      </c>
      <c r="B424" s="31" t="n">
        <v>38169</v>
      </c>
      <c r="C424" s="56" t="n">
        <v>558210</v>
      </c>
      <c r="D424" s="260" t="s">
        <v>41</v>
      </c>
      <c r="E424" s="33" t="n">
        <f aca="false">IF(D424="totale",(C424/(A424*24))/F424,IF(D424="marché libre",(C424/(A424*24))/G424,"spécifier histo"))</f>
        <v>0.750282258064516</v>
      </c>
      <c r="F424" s="59" t="n">
        <v>1000</v>
      </c>
      <c r="G424" s="59" t="n">
        <f aca="false">F424-H424</f>
        <v>1000</v>
      </c>
      <c r="H424" s="59" t="n">
        <f aca="false">0</f>
        <v>0</v>
      </c>
      <c r="I424" s="9"/>
      <c r="J424" s="205"/>
      <c r="K424" s="1"/>
      <c r="L424" s="1"/>
      <c r="M424" s="1"/>
      <c r="N424" s="1"/>
      <c r="O424" s="1"/>
      <c r="P424" s="1"/>
      <c r="Q424" s="1"/>
      <c r="R424" s="1"/>
      <c r="S424" s="1"/>
      <c r="T424" s="1"/>
      <c r="AC424" s="0"/>
    </row>
    <row r="425" customFormat="false" ht="18.95" hidden="false" customHeight="true" outlineLevel="0" collapsed="false">
      <c r="A425" s="0" t="n">
        <v>31</v>
      </c>
      <c r="B425" s="34" t="n">
        <v>38200</v>
      </c>
      <c r="C425" s="56" t="n">
        <v>455507</v>
      </c>
      <c r="D425" s="260" t="s">
        <v>41</v>
      </c>
      <c r="E425" s="33" t="n">
        <f aca="false">IF(D425="totale",(C425/(A425*24))/F425,IF(D425="marché libre",(C425/(A425*24))/G425,"spécifier histo"))</f>
        <v>0.612240591397849</v>
      </c>
      <c r="F425" s="59" t="n">
        <v>1000</v>
      </c>
      <c r="G425" s="59" t="n">
        <f aca="false">F425-H425</f>
        <v>1000</v>
      </c>
      <c r="H425" s="59" t="n">
        <f aca="false">0</f>
        <v>0</v>
      </c>
      <c r="I425" s="9"/>
      <c r="J425" s="205"/>
      <c r="K425" s="1"/>
      <c r="L425" s="1"/>
      <c r="M425" s="1"/>
      <c r="N425" s="1"/>
      <c r="O425" s="1"/>
      <c r="P425" s="1"/>
      <c r="Q425" s="1"/>
      <c r="R425" s="1"/>
      <c r="S425" s="1"/>
      <c r="T425" s="1"/>
      <c r="AC425" s="0"/>
    </row>
    <row r="426" customFormat="false" ht="18.95" hidden="false" customHeight="true" outlineLevel="0" collapsed="false">
      <c r="A426" s="0" t="n">
        <v>30</v>
      </c>
      <c r="B426" s="31" t="n">
        <v>38231</v>
      </c>
      <c r="C426" s="9" t="n">
        <v>416700</v>
      </c>
      <c r="D426" s="260" t="s">
        <v>41</v>
      </c>
      <c r="E426" s="33" t="n">
        <f aca="false">IF(D426="totale",(C426/(A426*24))/F426,IF(D426="marché libre",(C426/(A426*24))/G426,"spécifier histo"))</f>
        <v>0.57875</v>
      </c>
      <c r="F426" s="59" t="n">
        <v>1000</v>
      </c>
      <c r="G426" s="59" t="n">
        <f aca="false">F426-H426</f>
        <v>1000</v>
      </c>
      <c r="H426" s="59" t="n">
        <f aca="false">0</f>
        <v>0</v>
      </c>
      <c r="I426" s="9"/>
      <c r="J426" s="205"/>
      <c r="K426" s="1"/>
      <c r="L426" s="1"/>
      <c r="M426" s="1"/>
      <c r="N426" s="1"/>
      <c r="O426" s="1"/>
      <c r="P426" s="1"/>
      <c r="Q426" s="1"/>
      <c r="R426" s="1"/>
      <c r="S426" s="1"/>
      <c r="T426" s="1"/>
    </row>
    <row r="427" customFormat="false" ht="18.95" hidden="false" customHeight="true" outlineLevel="0" collapsed="false">
      <c r="A427" s="0" t="n">
        <v>31</v>
      </c>
      <c r="B427" s="34" t="n">
        <v>38261</v>
      </c>
      <c r="C427" s="9" t="n">
        <v>402794</v>
      </c>
      <c r="D427" s="260" t="s">
        <v>41</v>
      </c>
      <c r="E427" s="33" t="n">
        <f aca="false">IF(D427="totale",(C427/(A427*24))/F427,IF(D427="marché libre",(C427/(A427*24))/G427,"spécifier histo"))</f>
        <v>0.541389784946237</v>
      </c>
      <c r="F427" s="59" t="n">
        <v>1000</v>
      </c>
      <c r="G427" s="59" t="n">
        <f aca="false">F427-H427</f>
        <v>1000</v>
      </c>
      <c r="H427" s="59" t="n">
        <f aca="false">0</f>
        <v>0</v>
      </c>
      <c r="I427" s="9"/>
      <c r="J427" s="205"/>
      <c r="K427" s="1"/>
      <c r="L427" s="1"/>
      <c r="M427" s="1"/>
      <c r="N427" s="1"/>
      <c r="O427" s="1"/>
      <c r="P427" s="1"/>
      <c r="Q427" s="1"/>
      <c r="R427" s="1"/>
      <c r="S427" s="1"/>
      <c r="T427" s="1"/>
    </row>
    <row r="428" customFormat="false" ht="18.95" hidden="false" customHeight="true" outlineLevel="0" collapsed="false">
      <c r="A428" s="0" t="n">
        <v>30</v>
      </c>
      <c r="B428" s="31" t="n">
        <v>38292</v>
      </c>
      <c r="C428" s="9" t="n">
        <v>368553</v>
      </c>
      <c r="D428" s="260" t="s">
        <v>41</v>
      </c>
      <c r="E428" s="33" t="n">
        <f aca="false">IF(D428="totale",(C428/(A428*24))/F428,IF(D428="marché libre",(C428/(A428*24))/G428,"spécifier histo"))</f>
        <v>0.511879166666667</v>
      </c>
      <c r="F428" s="59" t="n">
        <v>1000</v>
      </c>
      <c r="G428" s="59" t="n">
        <f aca="false">F428-H428</f>
        <v>1000</v>
      </c>
      <c r="H428" s="59" t="n">
        <f aca="false">0</f>
        <v>0</v>
      </c>
      <c r="I428" s="9"/>
      <c r="J428" s="205"/>
      <c r="K428" s="1"/>
      <c r="L428" s="1"/>
      <c r="M428" s="1"/>
      <c r="N428" s="1"/>
      <c r="O428" s="1"/>
      <c r="P428" s="1"/>
      <c r="Q428" s="1"/>
      <c r="R428" s="1"/>
      <c r="S428" s="1"/>
      <c r="T428" s="1"/>
    </row>
    <row r="429" customFormat="false" ht="18.95" hidden="false" customHeight="true" outlineLevel="0" collapsed="false">
      <c r="A429" s="0" t="n">
        <v>31</v>
      </c>
      <c r="B429" s="34" t="n">
        <v>38322</v>
      </c>
      <c r="C429" s="9" t="n">
        <v>355832</v>
      </c>
      <c r="D429" s="260" t="s">
        <v>41</v>
      </c>
      <c r="E429" s="33" t="n">
        <f aca="false">IF(D429="totale",(C429/(A429*24))/F429,IF(D429="marché libre",(C429/(A429*24))/G429,"spécifier histo"))</f>
        <v>0.478268817204301</v>
      </c>
      <c r="F429" s="59" t="n">
        <v>1000</v>
      </c>
      <c r="G429" s="59" t="n">
        <f aca="false">F429-H429</f>
        <v>1000</v>
      </c>
      <c r="H429" s="59" t="n">
        <f aca="false">0</f>
        <v>0</v>
      </c>
      <c r="I429" s="9"/>
      <c r="J429" s="205"/>
      <c r="K429" s="1"/>
      <c r="L429" s="1"/>
      <c r="M429" s="1"/>
      <c r="N429" s="1"/>
      <c r="O429" s="1"/>
      <c r="P429" s="1"/>
      <c r="Q429" s="1"/>
      <c r="R429" s="1"/>
      <c r="S429" s="1"/>
      <c r="T429" s="1"/>
    </row>
    <row r="430" customFormat="false" ht="19.85" hidden="false" customHeight="true" outlineLevel="0" collapsed="false">
      <c r="A430" s="0" t="n">
        <v>31</v>
      </c>
      <c r="B430" s="31" t="n">
        <v>38353</v>
      </c>
      <c r="C430" s="56" t="n">
        <v>320440</v>
      </c>
      <c r="D430" s="260" t="s">
        <v>41</v>
      </c>
      <c r="E430" s="33" t="n">
        <f aca="false">IF(D430="totale",(C430/(A430*24))/F430,IF(D430="marché libre",(C430/(A430*24))/G430,"spécifier histo"))</f>
        <v>0.430698924731183</v>
      </c>
      <c r="F430" s="59" t="n">
        <v>1000</v>
      </c>
      <c r="G430" s="59" t="n">
        <f aca="false">F430-H430</f>
        <v>1000</v>
      </c>
      <c r="H430" s="59" t="n">
        <f aca="false">0</f>
        <v>0</v>
      </c>
      <c r="J430" s="70"/>
      <c r="K430" s="0"/>
      <c r="L430" s="0"/>
    </row>
    <row r="431" customFormat="false" ht="19.85" hidden="false" customHeight="true" outlineLevel="0" collapsed="false">
      <c r="A431" s="0" t="n">
        <v>28</v>
      </c>
      <c r="B431" s="34" t="n">
        <v>38384</v>
      </c>
      <c r="C431" s="56" t="n">
        <v>255539</v>
      </c>
      <c r="D431" s="260" t="s">
        <v>41</v>
      </c>
      <c r="E431" s="33" t="n">
        <f aca="false">IF(D431="totale",(C431/(A431*24))/F431,IF(D431="marché libre",(C431/(A431*24))/G431,"spécifier histo"))</f>
        <v>0.380266369047619</v>
      </c>
      <c r="F431" s="59" t="n">
        <v>1000</v>
      </c>
      <c r="G431" s="59" t="n">
        <f aca="false">F431-H431</f>
        <v>1000</v>
      </c>
      <c r="H431" s="59" t="n">
        <f aca="false">0</f>
        <v>0</v>
      </c>
      <c r="J431" s="70"/>
      <c r="K431" s="0"/>
      <c r="L431" s="0"/>
    </row>
    <row r="432" customFormat="false" ht="19.85" hidden="false" customHeight="true" outlineLevel="0" collapsed="false">
      <c r="A432" s="0" t="n">
        <v>31</v>
      </c>
      <c r="B432" s="31" t="n">
        <v>38412</v>
      </c>
      <c r="C432" s="56" t="n">
        <v>283334</v>
      </c>
      <c r="D432" s="260" t="s">
        <v>41</v>
      </c>
      <c r="E432" s="33" t="n">
        <f aca="false">IF(D432="totale",(C432/(A432*24))/F432,IF(D432="marché libre",(C432/(A432*24))/G432,"spécifier histo"))</f>
        <v>0.380825268817204</v>
      </c>
      <c r="F432" s="59" t="n">
        <v>1000</v>
      </c>
      <c r="G432" s="59" t="n">
        <f aca="false">F432-H432</f>
        <v>1000</v>
      </c>
      <c r="H432" s="59" t="n">
        <f aca="false">0</f>
        <v>0</v>
      </c>
      <c r="J432" s="70"/>
      <c r="K432" s="0"/>
      <c r="L432" s="0"/>
    </row>
    <row r="433" customFormat="false" ht="19.85" hidden="false" customHeight="true" outlineLevel="0" collapsed="false">
      <c r="A433" s="0" t="n">
        <v>30</v>
      </c>
      <c r="B433" s="34" t="n">
        <v>38443</v>
      </c>
      <c r="C433" s="56" t="n">
        <v>331293</v>
      </c>
      <c r="D433" s="260" t="s">
        <v>41</v>
      </c>
      <c r="E433" s="33" t="n">
        <f aca="false">IF(D433="totale",(C433/(A433*24))/F433,IF(D433="marché libre",(C433/(A433*24))/G433,"spécifier histo"))</f>
        <v>0.460129166666667</v>
      </c>
      <c r="F433" s="59" t="n">
        <v>1000</v>
      </c>
      <c r="G433" s="59" t="n">
        <f aca="false">F433-H433</f>
        <v>1000</v>
      </c>
      <c r="H433" s="59" t="n">
        <f aca="false">0</f>
        <v>0</v>
      </c>
      <c r="J433" s="70"/>
      <c r="K433" s="0"/>
      <c r="L433" s="0"/>
    </row>
    <row r="434" customFormat="false" ht="19.85" hidden="false" customHeight="true" outlineLevel="0" collapsed="false">
      <c r="A434" s="0" t="n">
        <v>31</v>
      </c>
      <c r="B434" s="31" t="n">
        <v>38473</v>
      </c>
      <c r="C434" s="56" t="n">
        <v>410645</v>
      </c>
      <c r="D434" s="260" t="s">
        <v>41</v>
      </c>
      <c r="E434" s="33" t="n">
        <f aca="false">IF(D434="totale",(C434/(A434*24))/F434,IF(D434="marché libre",(C434/(A434*24))/G434,"spécifier histo"))</f>
        <v>0.551942204301075</v>
      </c>
      <c r="F434" s="59" t="n">
        <v>1000</v>
      </c>
      <c r="G434" s="59" t="n">
        <f aca="false">F434-H434</f>
        <v>1000</v>
      </c>
      <c r="H434" s="59" t="n">
        <f aca="false">0</f>
        <v>0</v>
      </c>
      <c r="J434" s="70"/>
    </row>
    <row r="435" customFormat="false" ht="19.85" hidden="false" customHeight="true" outlineLevel="0" collapsed="false">
      <c r="A435" s="0" t="n">
        <v>30</v>
      </c>
      <c r="B435" s="34" t="n">
        <v>38504</v>
      </c>
      <c r="C435" s="56" t="n">
        <v>521692</v>
      </c>
      <c r="D435" s="260" t="s">
        <v>41</v>
      </c>
      <c r="E435" s="33" t="n">
        <f aca="false">IF(D435="totale",(C435/(A435*24))/F435,IF(D435="marché libre",(C435/(A435*24))/G435,"spécifier histo"))</f>
        <v>0.724572222222222</v>
      </c>
      <c r="F435" s="59" t="n">
        <v>1000</v>
      </c>
      <c r="G435" s="59" t="n">
        <f aca="false">F435-H435</f>
        <v>1000</v>
      </c>
      <c r="H435" s="59" t="n">
        <f aca="false">0</f>
        <v>0</v>
      </c>
      <c r="J435" s="70"/>
    </row>
    <row r="436" customFormat="false" ht="19.85" hidden="false" customHeight="true" outlineLevel="0" collapsed="false">
      <c r="A436" s="0" t="n">
        <v>31</v>
      </c>
      <c r="B436" s="31" t="n">
        <v>38534</v>
      </c>
      <c r="C436" s="56" t="n">
        <v>501878</v>
      </c>
      <c r="D436" s="260" t="s">
        <v>41</v>
      </c>
      <c r="E436" s="33" t="n">
        <f aca="false">IF(D436="totale",(C436/(A436*24))/F436,IF(D436="marché libre",(C436/(A436*24))/G436,"spécifier histo"))</f>
        <v>0.674567204301075</v>
      </c>
      <c r="F436" s="59" t="n">
        <v>1000</v>
      </c>
      <c r="G436" s="59" t="n">
        <f aca="false">F436-H436</f>
        <v>1000</v>
      </c>
      <c r="H436" s="59" t="n">
        <f aca="false">0</f>
        <v>0</v>
      </c>
      <c r="J436" s="70"/>
    </row>
    <row r="437" customFormat="false" ht="19.85" hidden="false" customHeight="true" outlineLevel="0" collapsed="false">
      <c r="A437" s="0" t="n">
        <v>31</v>
      </c>
      <c r="B437" s="34" t="n">
        <v>38565</v>
      </c>
      <c r="C437" s="56" t="n">
        <v>440618</v>
      </c>
      <c r="D437" s="260" t="s">
        <v>41</v>
      </c>
      <c r="E437" s="33" t="n">
        <f aca="false">IF(D437="totale",(C437/(A437*24))/F437,IF(D437="marché libre",(C437/(A437*24))/G437,"spécifier histo"))</f>
        <v>0.592228494623656</v>
      </c>
      <c r="F437" s="59" t="n">
        <v>1000</v>
      </c>
      <c r="G437" s="59" t="n">
        <f aca="false">F437-H437</f>
        <v>1000</v>
      </c>
      <c r="H437" s="59" t="n">
        <f aca="false">0</f>
        <v>0</v>
      </c>
      <c r="J437" s="70"/>
    </row>
    <row r="438" customFormat="false" ht="19.85" hidden="false" customHeight="true" outlineLevel="0" collapsed="false">
      <c r="A438" s="0" t="n">
        <v>30</v>
      </c>
      <c r="B438" s="31" t="n">
        <v>38596</v>
      </c>
      <c r="C438" s="9" t="n">
        <v>374305</v>
      </c>
      <c r="D438" s="260" t="s">
        <v>41</v>
      </c>
      <c r="E438" s="33" t="n">
        <f aca="false">IF(D438="totale",(C438/(A438*24))/F438,IF(D438="marché libre",(C438/(A438*24))/G438,"spécifier histo"))</f>
        <v>0.519868055555556</v>
      </c>
      <c r="F438" s="59" t="n">
        <v>1000</v>
      </c>
      <c r="G438" s="59" t="n">
        <f aca="false">F438-H438</f>
        <v>1000</v>
      </c>
      <c r="H438" s="59" t="n">
        <f aca="false">0</f>
        <v>0</v>
      </c>
      <c r="J438" s="70"/>
    </row>
    <row r="439" customFormat="false" ht="19.85" hidden="false" customHeight="true" outlineLevel="0" collapsed="false">
      <c r="A439" s="0" t="n">
        <v>31</v>
      </c>
      <c r="B439" s="34" t="n">
        <v>38626</v>
      </c>
      <c r="C439" s="9" t="n">
        <v>355087</v>
      </c>
      <c r="D439" s="260" t="s">
        <v>41</v>
      </c>
      <c r="E439" s="33" t="n">
        <f aca="false">IF(D439="totale",(C439/(A439*24))/F439,IF(D439="marché libre",(C439/(A439*24))/G439,"spécifier histo"))</f>
        <v>0.47726747311828</v>
      </c>
      <c r="F439" s="59" t="n">
        <v>1000</v>
      </c>
      <c r="G439" s="59" t="n">
        <f aca="false">F439-H439</f>
        <v>1000</v>
      </c>
      <c r="H439" s="59" t="n">
        <f aca="false">0</f>
        <v>0</v>
      </c>
      <c r="J439" s="70"/>
    </row>
    <row r="440" customFormat="false" ht="19.85" hidden="false" customHeight="true" outlineLevel="0" collapsed="false">
      <c r="A440" s="0" t="n">
        <v>30</v>
      </c>
      <c r="B440" s="31" t="n">
        <v>38657</v>
      </c>
      <c r="C440" s="9" t="n">
        <v>322809</v>
      </c>
      <c r="D440" s="260" t="s">
        <v>41</v>
      </c>
      <c r="E440" s="33" t="n">
        <f aca="false">IF(D440="totale",(C440/(A440*24))/F440,IF(D440="marché libre",(C440/(A440*24))/G440,"spécifier histo"))</f>
        <v>0.448345833333333</v>
      </c>
      <c r="F440" s="59" t="n">
        <v>1000</v>
      </c>
      <c r="G440" s="59" t="n">
        <f aca="false">F440-H440</f>
        <v>1000</v>
      </c>
      <c r="H440" s="59" t="n">
        <f aca="false">0</f>
        <v>0</v>
      </c>
      <c r="J440" s="70"/>
    </row>
    <row r="441" customFormat="false" ht="19.85" hidden="false" customHeight="true" outlineLevel="0" collapsed="false">
      <c r="A441" s="0" t="n">
        <v>31</v>
      </c>
      <c r="B441" s="34" t="n">
        <v>38687</v>
      </c>
      <c r="C441" s="9" t="n">
        <v>317504</v>
      </c>
      <c r="D441" s="260" t="s">
        <v>41</v>
      </c>
      <c r="E441" s="33" t="n">
        <f aca="false">IF(D441="totale",(C441/(A441*24))/F441,IF(D441="marché libre",(C441/(A441*24))/G441,"spécifier histo"))</f>
        <v>0.426752688172043</v>
      </c>
      <c r="F441" s="59" t="n">
        <v>1000</v>
      </c>
      <c r="G441" s="59" t="n">
        <f aca="false">F441-H441</f>
        <v>1000</v>
      </c>
      <c r="H441" s="59" t="n">
        <f aca="false">0</f>
        <v>0</v>
      </c>
      <c r="J441" s="70"/>
    </row>
    <row r="442" customFormat="false" ht="19.85" hidden="false" customHeight="true" outlineLevel="0" collapsed="false">
      <c r="A442" s="0" t="n">
        <v>31</v>
      </c>
      <c r="B442" s="31" t="n">
        <v>38718</v>
      </c>
      <c r="C442" s="56" t="n">
        <v>295747</v>
      </c>
      <c r="D442" s="260" t="s">
        <v>41</v>
      </c>
      <c r="E442" s="33" t="n">
        <f aca="false">IF(D442="totale",(C442/(A442*24))/F442,IF(D442="marché libre",(C442/(A442*24))/G442,"spécifier histo"))</f>
        <v>0.39750940860215</v>
      </c>
      <c r="F442" s="59" t="n">
        <v>1000</v>
      </c>
      <c r="G442" s="59" t="n">
        <f aca="false">F442-H442</f>
        <v>1000</v>
      </c>
      <c r="H442" s="59" t="n">
        <f aca="false">0</f>
        <v>0</v>
      </c>
      <c r="J442" s="55"/>
    </row>
    <row r="443" customFormat="false" ht="19.85" hidden="false" customHeight="true" outlineLevel="0" collapsed="false">
      <c r="A443" s="0" t="n">
        <v>28</v>
      </c>
      <c r="B443" s="34" t="n">
        <v>38749</v>
      </c>
      <c r="C443" s="56" t="n">
        <v>248748</v>
      </c>
      <c r="D443" s="260" t="s">
        <v>41</v>
      </c>
      <c r="E443" s="33" t="n">
        <f aca="false">IF(D443="totale",(C443/(A443*24))/F443,IF(D443="marché libre",(C443/(A443*24))/G443,"spécifier histo"))</f>
        <v>0.370160714285714</v>
      </c>
      <c r="F443" s="59" t="n">
        <v>1000</v>
      </c>
      <c r="G443" s="59" t="n">
        <f aca="false">F443-H443</f>
        <v>1000</v>
      </c>
      <c r="H443" s="59" t="n">
        <f aca="false">0</f>
        <v>0</v>
      </c>
      <c r="J443" s="55"/>
    </row>
    <row r="444" customFormat="false" ht="19.85" hidden="false" customHeight="true" outlineLevel="0" collapsed="false">
      <c r="A444" s="0" t="n">
        <v>31</v>
      </c>
      <c r="B444" s="31" t="n">
        <v>38777</v>
      </c>
      <c r="C444" s="56" t="n">
        <v>291855</v>
      </c>
      <c r="D444" s="260" t="s">
        <v>41</v>
      </c>
      <c r="E444" s="33" t="n">
        <f aca="false">IF(D444="totale",(C444/(A444*24))/F444,IF(D444="marché libre",(C444/(A444*24))/G444,"spécifier histo"))</f>
        <v>0.392278225806452</v>
      </c>
      <c r="F444" s="59" t="n">
        <v>1000</v>
      </c>
      <c r="G444" s="59" t="n">
        <f aca="false">F444-H444</f>
        <v>1000</v>
      </c>
      <c r="H444" s="59" t="n">
        <f aca="false">0</f>
        <v>0</v>
      </c>
      <c r="J444" s="55"/>
    </row>
    <row r="445" customFormat="false" ht="19.85" hidden="false" customHeight="true" outlineLevel="0" collapsed="false">
      <c r="A445" s="0" t="n">
        <v>30</v>
      </c>
      <c r="B445" s="34" t="n">
        <v>38808</v>
      </c>
      <c r="C445" s="56" t="n">
        <v>393947</v>
      </c>
      <c r="D445" s="260" t="s">
        <v>41</v>
      </c>
      <c r="E445" s="33" t="n">
        <f aca="false">IF(D445="totale",(C445/(A445*24))/F445,IF(D445="marché libre",(C445/(A445*24))/G445,"spécifier histo"))</f>
        <v>0.547148611111111</v>
      </c>
      <c r="F445" s="59" t="n">
        <v>1000</v>
      </c>
      <c r="G445" s="59" t="n">
        <f aca="false">F445-H445</f>
        <v>1000</v>
      </c>
      <c r="H445" s="59" t="n">
        <f aca="false">0</f>
        <v>0</v>
      </c>
      <c r="J445" s="55"/>
    </row>
    <row r="446" customFormat="false" ht="19.85" hidden="false" customHeight="true" outlineLevel="0" collapsed="false">
      <c r="A446" s="0" t="n">
        <v>31</v>
      </c>
      <c r="B446" s="31" t="n">
        <v>38838</v>
      </c>
      <c r="C446" s="56" t="n">
        <v>529325</v>
      </c>
      <c r="D446" s="260" t="s">
        <v>41</v>
      </c>
      <c r="E446" s="33" t="n">
        <f aca="false">IF(D446="totale",(C446/(A446*24))/F446,IF(D446="marché libre",(C446/(A446*24))/G446,"spécifier histo"))</f>
        <v>0.711458333333333</v>
      </c>
      <c r="F446" s="59" t="n">
        <v>1000</v>
      </c>
      <c r="G446" s="59" t="n">
        <f aca="false">F446-H446</f>
        <v>1000</v>
      </c>
      <c r="H446" s="59" t="n">
        <f aca="false">0</f>
        <v>0</v>
      </c>
      <c r="J446" s="55"/>
    </row>
    <row r="447" customFormat="false" ht="19.85" hidden="false" customHeight="true" outlineLevel="0" collapsed="false">
      <c r="A447" s="0" t="n">
        <v>30</v>
      </c>
      <c r="B447" s="34" t="n">
        <v>38869</v>
      </c>
      <c r="C447" s="56" t="n">
        <v>594503</v>
      </c>
      <c r="D447" s="260" t="s">
        <v>41</v>
      </c>
      <c r="E447" s="33" t="n">
        <f aca="false">IF(D447="totale",(C447/(A447*24))/F447,IF(D447="marché libre",(C447/(A447*24))/G447,"spécifier histo"))</f>
        <v>0.825698611111111</v>
      </c>
      <c r="F447" s="59" t="n">
        <v>1000</v>
      </c>
      <c r="G447" s="59" t="n">
        <f aca="false">F447-H447</f>
        <v>1000</v>
      </c>
      <c r="H447" s="59" t="n">
        <f aca="false">0</f>
        <v>0</v>
      </c>
      <c r="J447" s="55"/>
      <c r="K447" s="0"/>
    </row>
    <row r="448" customFormat="false" ht="19.85" hidden="false" customHeight="true" outlineLevel="0" collapsed="false">
      <c r="A448" s="0" t="n">
        <v>31</v>
      </c>
      <c r="B448" s="31" t="n">
        <v>38899</v>
      </c>
      <c r="C448" s="56" t="n">
        <v>520363</v>
      </c>
      <c r="D448" s="260" t="s">
        <v>41</v>
      </c>
      <c r="E448" s="33" t="n">
        <f aca="false">IF(D448="totale",(C448/(A448*24))/F448,IF(D448="marché libre",(C448/(A448*24))/G448,"spécifier histo"))</f>
        <v>0.699412634408602</v>
      </c>
      <c r="F448" s="59" t="n">
        <v>1000</v>
      </c>
      <c r="G448" s="59" t="n">
        <f aca="false">F448-H448</f>
        <v>1000</v>
      </c>
      <c r="H448" s="59" t="n">
        <f aca="false">0</f>
        <v>0</v>
      </c>
      <c r="J448" s="55"/>
      <c r="K448" s="0"/>
    </row>
    <row r="449" customFormat="false" ht="19.85" hidden="false" customHeight="true" outlineLevel="0" collapsed="false">
      <c r="A449" s="0" t="n">
        <v>31</v>
      </c>
      <c r="B449" s="34" t="n">
        <v>38930</v>
      </c>
      <c r="C449" s="56" t="n">
        <v>451487</v>
      </c>
      <c r="D449" s="260" t="s">
        <v>41</v>
      </c>
      <c r="E449" s="33" t="n">
        <f aca="false">IF(D449="totale",(C449/(A449*24))/F449,IF(D449="marché libre",(C449/(A449*24))/G449,"spécifier histo"))</f>
        <v>0.606837365591398</v>
      </c>
      <c r="F449" s="59" t="n">
        <v>1000</v>
      </c>
      <c r="G449" s="59" t="n">
        <f aca="false">F449-H449</f>
        <v>1000</v>
      </c>
      <c r="H449" s="59" t="n">
        <f aca="false">0</f>
        <v>0</v>
      </c>
      <c r="J449" s="55"/>
    </row>
    <row r="450" customFormat="false" ht="19.85" hidden="false" customHeight="true" outlineLevel="0" collapsed="false">
      <c r="A450" s="0" t="n">
        <v>30</v>
      </c>
      <c r="B450" s="31" t="n">
        <v>38961</v>
      </c>
      <c r="C450" s="9" t="n">
        <v>315072</v>
      </c>
      <c r="D450" s="260" t="s">
        <v>41</v>
      </c>
      <c r="E450" s="33" t="n">
        <f aca="false">IF(D450="totale",(C450/(A450*24))/F450,IF(D450="marché libre",(C450/(A450*24))/G450,"spécifier histo"))</f>
        <v>0.4376</v>
      </c>
      <c r="F450" s="59" t="n">
        <v>1000</v>
      </c>
      <c r="G450" s="59" t="n">
        <f aca="false">F450-H450</f>
        <v>1000</v>
      </c>
      <c r="H450" s="59" t="n">
        <f aca="false">0</f>
        <v>0</v>
      </c>
      <c r="J450" s="55"/>
    </row>
    <row r="451" customFormat="false" ht="19.85" hidden="false" customHeight="true" outlineLevel="0" collapsed="false">
      <c r="A451" s="0" t="n">
        <v>31</v>
      </c>
      <c r="B451" s="34" t="n">
        <v>38991</v>
      </c>
      <c r="C451" s="9" t="n">
        <v>412628</v>
      </c>
      <c r="D451" s="260" t="s">
        <v>41</v>
      </c>
      <c r="E451" s="33" t="n">
        <f aca="false">IF(D451="totale",(C451/(A451*24))/F451,IF(D451="marché libre",(C451/(A451*24))/G451,"spécifier histo"))</f>
        <v>0.55460752688172</v>
      </c>
      <c r="F451" s="59" t="n">
        <v>1000</v>
      </c>
      <c r="G451" s="59" t="n">
        <f aca="false">F451-H451</f>
        <v>1000</v>
      </c>
      <c r="H451" s="59" t="n">
        <f aca="false">0</f>
        <v>0</v>
      </c>
      <c r="J451" s="55"/>
    </row>
    <row r="452" customFormat="false" ht="19.85" hidden="false" customHeight="true" outlineLevel="0" collapsed="false">
      <c r="A452" s="0" t="n">
        <v>30</v>
      </c>
      <c r="B452" s="31" t="n">
        <v>39022</v>
      </c>
      <c r="C452" s="9" t="n">
        <v>360623</v>
      </c>
      <c r="D452" s="260" t="s">
        <v>41</v>
      </c>
      <c r="E452" s="33" t="n">
        <f aca="false">IF(D452="totale",(C452/(A452*24))/F452,IF(D452="marché libre",(C452/(A452*24))/G452,"spécifier histo"))</f>
        <v>0.500865277777778</v>
      </c>
      <c r="F452" s="59" t="n">
        <v>1000</v>
      </c>
      <c r="G452" s="59" t="n">
        <f aca="false">F452-H452</f>
        <v>1000</v>
      </c>
      <c r="H452" s="59" t="n">
        <f aca="false">0</f>
        <v>0</v>
      </c>
      <c r="J452" s="55"/>
    </row>
    <row r="453" customFormat="false" ht="19.85" hidden="false" customHeight="true" outlineLevel="0" collapsed="false">
      <c r="A453" s="0" t="n">
        <v>31</v>
      </c>
      <c r="B453" s="34" t="n">
        <v>39052</v>
      </c>
      <c r="C453" s="9" t="n">
        <v>355338</v>
      </c>
      <c r="D453" s="260" t="s">
        <v>41</v>
      </c>
      <c r="E453" s="33" t="n">
        <f aca="false">IF(D453="totale",(C453/(A453*24))/F453,IF(D453="marché libre",(C453/(A453*24))/G453,"spécifier histo"))</f>
        <v>0.477604838709677</v>
      </c>
      <c r="F453" s="59" t="n">
        <v>1000</v>
      </c>
      <c r="G453" s="59" t="n">
        <f aca="false">F453-H453</f>
        <v>1000</v>
      </c>
      <c r="H453" s="59" t="n">
        <f aca="false">0</f>
        <v>0</v>
      </c>
      <c r="J453" s="55"/>
    </row>
    <row r="454" customFormat="false" ht="19.85" hidden="false" customHeight="true" outlineLevel="0" collapsed="false">
      <c r="A454" s="0" t="n">
        <v>31</v>
      </c>
      <c r="B454" s="31" t="n">
        <v>39083</v>
      </c>
      <c r="C454" s="56" t="n">
        <v>364410</v>
      </c>
      <c r="D454" s="260" t="s">
        <v>41</v>
      </c>
      <c r="E454" s="33" t="n">
        <f aca="false">IF(D454="totale",(C454/(A454*24))/F454,IF(D454="marché libre",(C454/(A454*24))/G454,"spécifier histo"))</f>
        <v>0.489798387096774</v>
      </c>
      <c r="F454" s="59" t="n">
        <v>1000</v>
      </c>
      <c r="G454" s="59" t="n">
        <f aca="false">F454-H454</f>
        <v>1000</v>
      </c>
      <c r="H454" s="59" t="n">
        <f aca="false">0</f>
        <v>0</v>
      </c>
      <c r="J454" s="55"/>
    </row>
    <row r="455" customFormat="false" ht="19.85" hidden="false" customHeight="true" outlineLevel="0" collapsed="false">
      <c r="A455" s="0" t="n">
        <v>28</v>
      </c>
      <c r="B455" s="34" t="n">
        <v>39114</v>
      </c>
      <c r="C455" s="56" t="n">
        <v>318509</v>
      </c>
      <c r="D455" s="260" t="s">
        <v>41</v>
      </c>
      <c r="E455" s="33" t="n">
        <f aca="false">IF(D455="totale",(C455/(A455*24))/F455,IF(D455="marché libre",(C455/(A455*24))/G455,"spécifier histo"))</f>
        <v>0.473971726190476</v>
      </c>
      <c r="F455" s="59" t="n">
        <v>1000</v>
      </c>
      <c r="G455" s="59" t="n">
        <f aca="false">F455-H455</f>
        <v>1000</v>
      </c>
      <c r="H455" s="59" t="n">
        <f aca="false">0</f>
        <v>0</v>
      </c>
      <c r="J455" s="55"/>
    </row>
    <row r="456" customFormat="false" ht="19.85" hidden="false" customHeight="true" outlineLevel="0" collapsed="false">
      <c r="A456" s="0" t="n">
        <v>31</v>
      </c>
      <c r="B456" s="31" t="n">
        <v>39142</v>
      </c>
      <c r="C456" s="56" t="n">
        <v>431490</v>
      </c>
      <c r="D456" s="260" t="s">
        <v>41</v>
      </c>
      <c r="E456" s="33" t="n">
        <f aca="false">IF(D456="totale",(C456/(A456*24))/F456,IF(D456="marché libre",(C456/(A456*24))/G456,"spécifier histo"))</f>
        <v>0.579959677419355</v>
      </c>
      <c r="F456" s="59" t="n">
        <v>1000</v>
      </c>
      <c r="G456" s="59" t="n">
        <f aca="false">F456-H456</f>
        <v>1000</v>
      </c>
      <c r="H456" s="59" t="n">
        <f aca="false">0</f>
        <v>0</v>
      </c>
      <c r="J456" s="55"/>
    </row>
    <row r="457" customFormat="false" ht="19.85" hidden="false" customHeight="true" outlineLevel="0" collapsed="false">
      <c r="A457" s="0" t="n">
        <v>30</v>
      </c>
      <c r="B457" s="34" t="n">
        <v>39173</v>
      </c>
      <c r="C457" s="56" t="n">
        <v>366945</v>
      </c>
      <c r="D457" s="260" t="s">
        <v>41</v>
      </c>
      <c r="E457" s="33" t="n">
        <f aca="false">IF(D457="totale",(C457/(A457*24))/F457,IF(D457="marché libre",(C457/(A457*24))/G457,"spécifier histo"))</f>
        <v>0.509645833333333</v>
      </c>
      <c r="F457" s="59" t="n">
        <v>1000</v>
      </c>
      <c r="G457" s="59" t="n">
        <f aca="false">F457-H457</f>
        <v>1000</v>
      </c>
      <c r="H457" s="59" t="n">
        <f aca="false">0</f>
        <v>0</v>
      </c>
      <c r="J457" s="55"/>
    </row>
    <row r="458" customFormat="false" ht="19.85" hidden="false" customHeight="true" outlineLevel="0" collapsed="false">
      <c r="A458" s="0" t="n">
        <v>31</v>
      </c>
      <c r="B458" s="31" t="n">
        <v>39203</v>
      </c>
      <c r="C458" s="56" t="n">
        <v>531531</v>
      </c>
      <c r="D458" s="260" t="s">
        <v>41</v>
      </c>
      <c r="E458" s="33" t="n">
        <f aca="false">IF(D458="totale",(C458/(A458*24))/F458,IF(D458="marché libre",(C458/(A458*24))/G458,"spécifier histo"))</f>
        <v>0.714423387096774</v>
      </c>
      <c r="F458" s="59" t="n">
        <v>1000</v>
      </c>
      <c r="G458" s="59" t="n">
        <f aca="false">F458-H458</f>
        <v>1000</v>
      </c>
      <c r="H458" s="59" t="n">
        <f aca="false">0</f>
        <v>0</v>
      </c>
      <c r="J458" s="55"/>
    </row>
    <row r="459" customFormat="false" ht="19.85" hidden="false" customHeight="true" outlineLevel="0" collapsed="false">
      <c r="A459" s="0" t="n">
        <v>30</v>
      </c>
      <c r="B459" s="34" t="n">
        <v>39234</v>
      </c>
      <c r="C459" s="56" t="n">
        <v>586878</v>
      </c>
      <c r="D459" s="260" t="s">
        <v>41</v>
      </c>
      <c r="E459" s="33" t="n">
        <f aca="false">IF(D459="totale",(C459/(A459*24))/F459,IF(D459="marché libre",(C459/(A459*24))/G459,"spécifier histo"))</f>
        <v>0.815108333333333</v>
      </c>
      <c r="F459" s="59" t="n">
        <v>1000</v>
      </c>
      <c r="G459" s="59" t="n">
        <f aca="false">F459-H459</f>
        <v>1000</v>
      </c>
      <c r="H459" s="59" t="n">
        <f aca="false">0</f>
        <v>0</v>
      </c>
      <c r="J459" s="55"/>
    </row>
    <row r="460" customFormat="false" ht="19.85" hidden="false" customHeight="true" outlineLevel="0" collapsed="false">
      <c r="A460" s="0" t="n">
        <v>31</v>
      </c>
      <c r="B460" s="31" t="n">
        <v>39264</v>
      </c>
      <c r="C460" s="56" t="n">
        <v>664690</v>
      </c>
      <c r="D460" s="260" t="s">
        <v>41</v>
      </c>
      <c r="E460" s="33" t="n">
        <f aca="false">IF(D460="totale",(C460/(A460*24))/F460,IF(D460="marché libre",(C460/(A460*24))/G460,"spécifier histo"))</f>
        <v>0.893400537634409</v>
      </c>
      <c r="F460" s="59" t="n">
        <v>1000</v>
      </c>
      <c r="G460" s="59" t="n">
        <f aca="false">F460-H460</f>
        <v>1000</v>
      </c>
      <c r="H460" s="59" t="n">
        <f aca="false">0</f>
        <v>0</v>
      </c>
      <c r="J460" s="55"/>
    </row>
    <row r="461" customFormat="false" ht="19.85" hidden="false" customHeight="true" outlineLevel="0" collapsed="false">
      <c r="A461" s="0" t="n">
        <v>31</v>
      </c>
      <c r="B461" s="34" t="n">
        <v>39295</v>
      </c>
      <c r="C461" s="56" t="n">
        <v>552310</v>
      </c>
      <c r="D461" s="260" t="s">
        <v>41</v>
      </c>
      <c r="E461" s="33" t="n">
        <f aca="false">IF(D461="totale",(C461/(A461*24))/F461,IF(D461="marché libre",(C461/(A461*24))/G461,"spécifier histo"))</f>
        <v>0.742352150537634</v>
      </c>
      <c r="F461" s="59" t="n">
        <v>1000</v>
      </c>
      <c r="G461" s="59" t="n">
        <f aca="false">F461-H461</f>
        <v>1000</v>
      </c>
      <c r="H461" s="59" t="n">
        <f aca="false">0</f>
        <v>0</v>
      </c>
      <c r="J461" s="55"/>
    </row>
    <row r="462" customFormat="false" ht="19.85" hidden="false" customHeight="true" outlineLevel="0" collapsed="false">
      <c r="A462" s="0" t="n">
        <v>30</v>
      </c>
      <c r="B462" s="31" t="n">
        <v>39326</v>
      </c>
      <c r="C462" s="9" t="n">
        <v>449940</v>
      </c>
      <c r="D462" s="260" t="s">
        <v>41</v>
      </c>
      <c r="E462" s="33" t="n">
        <f aca="false">IF(D462="totale",(C462/(A462*24))/F462,IF(D462="marché libre",(C462/(A462*24))/G462,"spécifier histo"))</f>
        <v>0.624916666666667</v>
      </c>
      <c r="F462" s="59" t="n">
        <v>1000</v>
      </c>
      <c r="G462" s="59" t="n">
        <f aca="false">F462-H462</f>
        <v>1000</v>
      </c>
      <c r="H462" s="59" t="n">
        <f aca="false">0</f>
        <v>0</v>
      </c>
      <c r="J462" s="55"/>
    </row>
    <row r="463" customFormat="false" ht="19.85" hidden="false" customHeight="true" outlineLevel="0" collapsed="false">
      <c r="A463" s="0" t="n">
        <v>31</v>
      </c>
      <c r="B463" s="34" t="n">
        <v>39356</v>
      </c>
      <c r="C463" s="9" t="n">
        <v>398410</v>
      </c>
      <c r="D463" s="260" t="s">
        <v>41</v>
      </c>
      <c r="E463" s="33" t="n">
        <f aca="false">IF(D463="totale",(C463/(A463*24))/F463,IF(D463="marché libre",(C463/(A463*24))/G463,"spécifier histo"))</f>
        <v>0.535497311827957</v>
      </c>
      <c r="F463" s="59" t="n">
        <v>1000</v>
      </c>
      <c r="G463" s="59" t="n">
        <f aca="false">F463-H463</f>
        <v>1000</v>
      </c>
      <c r="H463" s="59" t="n">
        <f aca="false">0</f>
        <v>0</v>
      </c>
      <c r="J463" s="55"/>
    </row>
    <row r="464" customFormat="false" ht="19.85" hidden="false" customHeight="true" outlineLevel="0" collapsed="false">
      <c r="A464" s="0" t="n">
        <v>30</v>
      </c>
      <c r="B464" s="31" t="n">
        <v>39387</v>
      </c>
      <c r="C464" s="9" t="n">
        <v>361580</v>
      </c>
      <c r="D464" s="260" t="s">
        <v>41</v>
      </c>
      <c r="E464" s="33" t="n">
        <f aca="false">IF(D464="totale",(C464/(A464*24))/F464,IF(D464="marché libre",(C464/(A464*24))/G464,"spécifier histo"))</f>
        <v>0.502194444444444</v>
      </c>
      <c r="F464" s="59" t="n">
        <v>1000</v>
      </c>
      <c r="G464" s="59" t="n">
        <f aca="false">F464-H464</f>
        <v>1000</v>
      </c>
      <c r="H464" s="59" t="n">
        <f aca="false">0</f>
        <v>0</v>
      </c>
      <c r="J464" s="55"/>
    </row>
    <row r="465" customFormat="false" ht="19.85" hidden="false" customHeight="true" outlineLevel="0" collapsed="false">
      <c r="A465" s="0" t="n">
        <v>31</v>
      </c>
      <c r="B465" s="34" t="n">
        <v>39417</v>
      </c>
      <c r="C465" s="9" t="n">
        <v>315820</v>
      </c>
      <c r="D465" s="260" t="s">
        <v>41</v>
      </c>
      <c r="E465" s="33" t="n">
        <f aca="false">IF(D465="totale",(C465/(A465*24))/F465,IF(D465="marché libre",(C465/(A465*24))/G465,"spécifier histo"))</f>
        <v>0.424489247311828</v>
      </c>
      <c r="F465" s="59" t="n">
        <v>1000</v>
      </c>
      <c r="G465" s="59" t="n">
        <f aca="false">F465-H465</f>
        <v>1000</v>
      </c>
      <c r="H465" s="59" t="n">
        <f aca="false">0</f>
        <v>0</v>
      </c>
      <c r="J465" s="55"/>
    </row>
    <row r="466" customFormat="false" ht="19.85" hidden="false" customHeight="true" outlineLevel="0" collapsed="false">
      <c r="A466" s="0" t="n">
        <v>31</v>
      </c>
      <c r="B466" s="31" t="n">
        <v>39448</v>
      </c>
      <c r="C466" s="56" t="n">
        <v>306330</v>
      </c>
      <c r="D466" s="260" t="s">
        <v>41</v>
      </c>
      <c r="E466" s="33" t="n">
        <f aca="false">IF(D466="totale",(C466/(A466*24))/F466,IF(D466="marché libre",(C466/(A466*24))/G466,"spécifier histo"))</f>
        <v>0.411733870967742</v>
      </c>
      <c r="F466" s="59" t="n">
        <v>1000</v>
      </c>
      <c r="G466" s="59" t="n">
        <f aca="false">F466-H466</f>
        <v>1000</v>
      </c>
      <c r="H466" s="59" t="n">
        <f aca="false">0</f>
        <v>0</v>
      </c>
      <c r="J466" s="55"/>
    </row>
    <row r="467" customFormat="false" ht="19.85" hidden="false" customHeight="true" outlineLevel="0" collapsed="false">
      <c r="A467" s="0" t="n">
        <v>28</v>
      </c>
      <c r="B467" s="34" t="n">
        <v>39479</v>
      </c>
      <c r="C467" s="56" t="n">
        <v>289330</v>
      </c>
      <c r="D467" s="260" t="s">
        <v>41</v>
      </c>
      <c r="E467" s="33" t="n">
        <f aca="false">IF(D467="totale",(C467/(A467*24))/F467,IF(D467="marché libre",(C467/(A467*24))/G467,"spécifier histo"))</f>
        <v>0.430550595238095</v>
      </c>
      <c r="F467" s="59" t="n">
        <v>1000</v>
      </c>
      <c r="G467" s="59" t="n">
        <f aca="false">F467-H467</f>
        <v>1000</v>
      </c>
      <c r="H467" s="59" t="n">
        <f aca="false">0</f>
        <v>0</v>
      </c>
      <c r="J467" s="55"/>
    </row>
    <row r="468" customFormat="false" ht="19.85" hidden="false" customHeight="true" outlineLevel="0" collapsed="false">
      <c r="A468" s="0" t="n">
        <v>31</v>
      </c>
      <c r="B468" s="31" t="n">
        <v>39508</v>
      </c>
      <c r="C468" s="56" t="n">
        <v>306980</v>
      </c>
      <c r="D468" s="260" t="s">
        <v>41</v>
      </c>
      <c r="E468" s="33" t="n">
        <f aca="false">IF(D468="totale",(C468/(A468*24))/F468,IF(D468="marché libre",(C468/(A468*24))/G468,"spécifier histo"))</f>
        <v>0.41260752688172</v>
      </c>
      <c r="F468" s="59" t="n">
        <v>1000</v>
      </c>
      <c r="G468" s="59" t="n">
        <f aca="false">F468-H468</f>
        <v>1000</v>
      </c>
      <c r="H468" s="59" t="n">
        <f aca="false">0</f>
        <v>0</v>
      </c>
      <c r="J468" s="55"/>
    </row>
    <row r="469" customFormat="false" ht="19.85" hidden="false" customHeight="true" outlineLevel="0" collapsed="false">
      <c r="A469" s="0" t="n">
        <v>30</v>
      </c>
      <c r="B469" s="34" t="n">
        <v>39539</v>
      </c>
      <c r="C469" s="56" t="n">
        <v>375550</v>
      </c>
      <c r="D469" s="260" t="s">
        <v>41</v>
      </c>
      <c r="E469" s="33" t="n">
        <f aca="false">IF(D469="totale",(C469/(A469*24))/F469,IF(D469="marché libre",(C469/(A469*24))/G469,"spécifier histo"))</f>
        <v>0.521597222222222</v>
      </c>
      <c r="F469" s="59" t="n">
        <v>1000</v>
      </c>
      <c r="G469" s="59" t="n">
        <f aca="false">F469-H469</f>
        <v>1000</v>
      </c>
      <c r="H469" s="59" t="n">
        <f aca="false">0</f>
        <v>0</v>
      </c>
      <c r="J469" s="55"/>
    </row>
    <row r="470" customFormat="false" ht="19.85" hidden="false" customHeight="true" outlineLevel="0" collapsed="false">
      <c r="A470" s="0" t="n">
        <v>31</v>
      </c>
      <c r="B470" s="31" t="n">
        <v>39569</v>
      </c>
      <c r="C470" s="56" t="n">
        <v>530040</v>
      </c>
      <c r="D470" s="260" t="s">
        <v>41</v>
      </c>
      <c r="E470" s="33" t="n">
        <f aca="false">IF(D470="totale",(C470/(A470*24))/F470,IF(D470="marché libre",(C470/(A470*24))/G470,"spécifier histo"))</f>
        <v>0.71241935483871</v>
      </c>
      <c r="F470" s="59" t="n">
        <v>1000</v>
      </c>
      <c r="G470" s="59" t="n">
        <f aca="false">F470-H470</f>
        <v>1000</v>
      </c>
      <c r="H470" s="59" t="n">
        <f aca="false">0</f>
        <v>0</v>
      </c>
      <c r="J470" s="55"/>
    </row>
    <row r="471" customFormat="false" ht="19.85" hidden="false" customHeight="true" outlineLevel="0" collapsed="false">
      <c r="A471" s="0" t="n">
        <v>30</v>
      </c>
      <c r="B471" s="34" t="n">
        <v>39600</v>
      </c>
      <c r="C471" s="56" t="n">
        <v>617980</v>
      </c>
      <c r="D471" s="260" t="s">
        <v>41</v>
      </c>
      <c r="E471" s="33" t="n">
        <f aca="false">IF(D471="totale",(C471/(A471*24))/F471,IF(D471="marché libre",(C471/(A471*24))/G471,"spécifier histo"))</f>
        <v>0.858305555555556</v>
      </c>
      <c r="F471" s="59" t="n">
        <v>1000</v>
      </c>
      <c r="G471" s="59" t="n">
        <f aca="false">F471-H471</f>
        <v>1000</v>
      </c>
      <c r="H471" s="59" t="n">
        <f aca="false">0</f>
        <v>0</v>
      </c>
      <c r="J471" s="55"/>
    </row>
    <row r="472" customFormat="false" ht="19.85" hidden="false" customHeight="true" outlineLevel="0" collapsed="false">
      <c r="A472" s="0" t="n">
        <v>31</v>
      </c>
      <c r="B472" s="31" t="n">
        <v>39630</v>
      </c>
      <c r="C472" s="56" t="n">
        <v>602480</v>
      </c>
      <c r="D472" s="260" t="s">
        <v>41</v>
      </c>
      <c r="E472" s="33" t="n">
        <f aca="false">IF(D472="totale",(C472/(A472*24))/F472,IF(D472="marché libre",(C472/(A472*24))/G472,"spécifier histo"))</f>
        <v>0.809784946236559</v>
      </c>
      <c r="F472" s="59" t="n">
        <v>1000</v>
      </c>
      <c r="G472" s="59" t="n">
        <f aca="false">F472-H472</f>
        <v>1000</v>
      </c>
      <c r="H472" s="59" t="n">
        <f aca="false">0</f>
        <v>0</v>
      </c>
      <c r="J472" s="55"/>
    </row>
    <row r="473" customFormat="false" ht="19.85" hidden="false" customHeight="true" outlineLevel="0" collapsed="false">
      <c r="A473" s="0" t="n">
        <v>31</v>
      </c>
      <c r="B473" s="34" t="n">
        <v>39661</v>
      </c>
      <c r="C473" s="56" t="n">
        <v>304600</v>
      </c>
      <c r="D473" s="260" t="s">
        <v>41</v>
      </c>
      <c r="E473" s="33" t="n">
        <f aca="false">IF(D473="totale",(C473/(A473*24))/F473,IF(D473="marché libre",(C473/(A473*24))/G473,"spécifier histo"))</f>
        <v>0.409408602150538</v>
      </c>
      <c r="F473" s="59" t="n">
        <v>1000</v>
      </c>
      <c r="G473" s="59" t="n">
        <f aca="false">F473-H473</f>
        <v>1000</v>
      </c>
      <c r="H473" s="59" t="n">
        <f aca="false">0</f>
        <v>0</v>
      </c>
      <c r="J473" s="55"/>
    </row>
    <row r="474" customFormat="false" ht="19.85" hidden="false" customHeight="true" outlineLevel="0" collapsed="false">
      <c r="A474" s="0" t="n">
        <v>30</v>
      </c>
      <c r="B474" s="31" t="n">
        <v>39692</v>
      </c>
      <c r="C474" s="9" t="n">
        <v>459570</v>
      </c>
      <c r="D474" s="260" t="s">
        <v>41</v>
      </c>
      <c r="E474" s="33" t="n">
        <f aca="false">IF(D474="totale",(C474/(A474*24))/F474,IF(D474="marché libre",(C474/(A474*24))/G474,"spécifier histo"))</f>
        <v>0.638291666666667</v>
      </c>
      <c r="F474" s="59" t="n">
        <v>1000</v>
      </c>
      <c r="G474" s="59" t="n">
        <f aca="false">F474-H474</f>
        <v>1000</v>
      </c>
      <c r="H474" s="59" t="n">
        <f aca="false">0</f>
        <v>0</v>
      </c>
      <c r="J474" s="55"/>
    </row>
    <row r="475" customFormat="false" ht="19.85" hidden="false" customHeight="true" outlineLevel="0" collapsed="false">
      <c r="A475" s="0" t="n">
        <v>31</v>
      </c>
      <c r="B475" s="34" t="n">
        <v>39722</v>
      </c>
      <c r="C475" s="9" t="n">
        <v>453500</v>
      </c>
      <c r="D475" s="260" t="s">
        <v>41</v>
      </c>
      <c r="E475" s="33" t="n">
        <f aca="false">IF(D475="totale",(C475/(A475*24))/F475,IF(D475="marché libre",(C475/(A475*24))/G475,"spécifier histo"))</f>
        <v>0.609543010752688</v>
      </c>
      <c r="F475" s="59" t="n">
        <v>1000</v>
      </c>
      <c r="G475" s="59" t="n">
        <f aca="false">F475-H475</f>
        <v>1000</v>
      </c>
      <c r="H475" s="59" t="n">
        <f aca="false">0</f>
        <v>0</v>
      </c>
      <c r="I475" s="256"/>
      <c r="U475" s="256"/>
      <c r="V475" s="256"/>
      <c r="W475" s="256"/>
    </row>
    <row r="476" customFormat="false" ht="19.85" hidden="false" customHeight="true" outlineLevel="0" collapsed="false">
      <c r="A476" s="0" t="n">
        <v>30</v>
      </c>
      <c r="B476" s="31" t="n">
        <v>39753</v>
      </c>
      <c r="C476" s="9" t="n">
        <v>393690</v>
      </c>
      <c r="D476" s="260" t="s">
        <v>41</v>
      </c>
      <c r="E476" s="33" t="n">
        <f aca="false">IF(D476="totale",(C476/(A476*24))/F476,IF(D476="marché libre",(C476/(A476*24))/G476,"spécifier histo"))</f>
        <v>0.546791666666667</v>
      </c>
      <c r="F476" s="59" t="n">
        <v>1000</v>
      </c>
      <c r="G476" s="59" t="n">
        <f aca="false">F476-H476</f>
        <v>1000</v>
      </c>
      <c r="H476" s="59" t="n">
        <f aca="false">0</f>
        <v>0</v>
      </c>
      <c r="I476" s="256"/>
      <c r="U476" s="256"/>
      <c r="V476" s="256"/>
      <c r="W476" s="256"/>
    </row>
    <row r="477" customFormat="false" ht="19.85" hidden="false" customHeight="true" outlineLevel="0" collapsed="false">
      <c r="A477" s="0" t="n">
        <v>31</v>
      </c>
      <c r="B477" s="34" t="n">
        <v>39783</v>
      </c>
      <c r="C477" s="9" t="n">
        <v>372570</v>
      </c>
      <c r="D477" s="260" t="s">
        <v>41</v>
      </c>
      <c r="E477" s="33" t="n">
        <f aca="false">IF(D477="totale",(C477/(A477*24))/F477,IF(D477="marché libre",(C477/(A477*24))/G477,"spécifier histo"))</f>
        <v>0.500766129032258</v>
      </c>
      <c r="F477" s="59" t="n">
        <v>1000</v>
      </c>
      <c r="G477" s="59" t="n">
        <f aca="false">F477-H477</f>
        <v>1000</v>
      </c>
      <c r="H477" s="59" t="n">
        <f aca="false">0</f>
        <v>0</v>
      </c>
      <c r="I477" s="256"/>
      <c r="U477" s="256"/>
      <c r="V477" s="256"/>
      <c r="W477" s="256"/>
    </row>
    <row r="478" customFormat="false" ht="19.85" hidden="false" customHeight="true" outlineLevel="0" collapsed="false">
      <c r="A478" s="0" t="n">
        <v>31</v>
      </c>
      <c r="B478" s="31" t="n">
        <v>39814</v>
      </c>
      <c r="C478" s="9" t="n">
        <v>335950</v>
      </c>
      <c r="D478" s="260" t="s">
        <v>41</v>
      </c>
      <c r="E478" s="33" t="n">
        <f aca="false">IF(D478="totale",(C478/(A478*24))/F478,IF(D478="marché libre",(C478/(A478*24))/G478,"spécifier histo"))</f>
        <v>0.451545698924731</v>
      </c>
      <c r="F478" s="59" t="n">
        <v>1000</v>
      </c>
      <c r="G478" s="59" t="n">
        <f aca="false">F478-H478</f>
        <v>1000</v>
      </c>
      <c r="H478" s="59" t="n">
        <f aca="false">0</f>
        <v>0</v>
      </c>
      <c r="I478" s="256"/>
      <c r="U478" s="256"/>
      <c r="V478" s="256"/>
      <c r="W478" s="256"/>
    </row>
    <row r="479" customFormat="false" ht="19.85" hidden="false" customHeight="true" outlineLevel="0" collapsed="false">
      <c r="A479" s="0" t="n">
        <v>28</v>
      </c>
      <c r="B479" s="34" t="n">
        <v>39845</v>
      </c>
      <c r="C479" s="9" t="n">
        <v>270920</v>
      </c>
      <c r="D479" s="260" t="s">
        <v>41</v>
      </c>
      <c r="E479" s="33" t="n">
        <f aca="false">IF(D479="totale",(C479/(A479*24))/F479,IF(D479="marché libre",(C479/(A479*24))/G479,"spécifier histo"))</f>
        <v>0.403154761904762</v>
      </c>
      <c r="F479" s="59" t="n">
        <v>1000</v>
      </c>
      <c r="G479" s="59" t="n">
        <f aca="false">F479-H479</f>
        <v>1000</v>
      </c>
      <c r="H479" s="59" t="n">
        <f aca="false">0</f>
        <v>0</v>
      </c>
      <c r="I479" s="256"/>
      <c r="U479" s="256"/>
      <c r="V479" s="256"/>
      <c r="W479" s="256"/>
    </row>
    <row r="480" customFormat="false" ht="19.85" hidden="false" customHeight="true" outlineLevel="0" collapsed="false">
      <c r="A480" s="0" t="n">
        <v>31</v>
      </c>
      <c r="B480" s="31" t="n">
        <v>39873</v>
      </c>
      <c r="C480" s="9" t="n">
        <v>274480</v>
      </c>
      <c r="D480" s="260" t="s">
        <v>41</v>
      </c>
      <c r="E480" s="33" t="n">
        <f aca="false">IF(D480="totale",(C480/(A480*24))/F480,IF(D480="marché libre",(C480/(A480*24))/G480,"spécifier histo"))</f>
        <v>0.368924731182796</v>
      </c>
      <c r="F480" s="59" t="n">
        <v>1000</v>
      </c>
      <c r="G480" s="59" t="n">
        <f aca="false">F480-H480</f>
        <v>1000</v>
      </c>
      <c r="H480" s="59" t="n">
        <f aca="false">0</f>
        <v>0</v>
      </c>
      <c r="I480" s="256"/>
      <c r="U480" s="256"/>
      <c r="V480" s="256"/>
      <c r="W480" s="256"/>
    </row>
    <row r="481" customFormat="false" ht="19.85" hidden="false" customHeight="true" outlineLevel="0" collapsed="false">
      <c r="A481" s="0" t="n">
        <v>30</v>
      </c>
      <c r="B481" s="34" t="n">
        <v>39904</v>
      </c>
      <c r="C481" s="9" t="n">
        <v>315590</v>
      </c>
      <c r="D481" s="260" t="s">
        <v>41</v>
      </c>
      <c r="E481" s="33" t="n">
        <f aca="false">IF(D481="totale",(C481/(A481*24))/F481,IF(D481="marché libre",(C481/(A481*24))/G481,"spécifier histo"))</f>
        <v>0.438319444444444</v>
      </c>
      <c r="F481" s="59" t="n">
        <v>1000</v>
      </c>
      <c r="G481" s="59" t="n">
        <f aca="false">F481-H481</f>
        <v>1000</v>
      </c>
      <c r="H481" s="59" t="n">
        <f aca="false">0</f>
        <v>0</v>
      </c>
      <c r="I481" s="256"/>
      <c r="U481" s="256"/>
      <c r="V481" s="256"/>
      <c r="W481" s="256"/>
    </row>
    <row r="482" customFormat="false" ht="19.85" hidden="false" customHeight="true" outlineLevel="0" collapsed="false">
      <c r="A482" s="0" t="n">
        <v>31</v>
      </c>
      <c r="B482" s="31" t="n">
        <v>39934</v>
      </c>
      <c r="C482" s="9" t="n">
        <v>376610</v>
      </c>
      <c r="D482" s="260" t="s">
        <v>41</v>
      </c>
      <c r="E482" s="33" t="n">
        <f aca="false">IF(D482="totale",(C482/(A482*24))/F482,IF(D482="marché libre",(C482/(A482*24))/G482,"spécifier histo"))</f>
        <v>0.50619623655914</v>
      </c>
      <c r="F482" s="59" t="n">
        <v>1000</v>
      </c>
      <c r="G482" s="59" t="n">
        <f aca="false">F482-H482</f>
        <v>1000</v>
      </c>
      <c r="H482" s="59" t="n">
        <f aca="false">0</f>
        <v>0</v>
      </c>
      <c r="I482" s="256"/>
      <c r="U482" s="256"/>
      <c r="V482" s="256"/>
      <c r="W482" s="256"/>
    </row>
    <row r="483" customFormat="false" ht="19.85" hidden="false" customHeight="true" outlineLevel="0" collapsed="false">
      <c r="A483" s="0" t="n">
        <v>30</v>
      </c>
      <c r="B483" s="34" t="n">
        <v>39965</v>
      </c>
      <c r="C483" s="56" t="n">
        <v>457260</v>
      </c>
      <c r="D483" s="260" t="s">
        <v>41</v>
      </c>
      <c r="E483" s="33" t="n">
        <f aca="false">IF(D483="totale",(C483/(A483*24))/F483,IF(D483="marché libre",(C483/(A483*24))/G483,"spécifier histo"))</f>
        <v>0.635083333333333</v>
      </c>
      <c r="F483" s="59" t="n">
        <v>1000</v>
      </c>
      <c r="G483" s="59" t="n">
        <f aca="false">F483-H483</f>
        <v>1000</v>
      </c>
      <c r="H483" s="59" t="n">
        <f aca="false">0</f>
        <v>0</v>
      </c>
      <c r="I483" s="256"/>
      <c r="U483" s="256"/>
      <c r="V483" s="256"/>
      <c r="W483" s="256"/>
    </row>
    <row r="484" customFormat="false" ht="19.85" hidden="false" customHeight="true" outlineLevel="0" collapsed="false">
      <c r="A484" s="0" t="n">
        <v>31</v>
      </c>
      <c r="B484" s="31" t="n">
        <v>39995</v>
      </c>
      <c r="C484" s="56" t="n">
        <v>466920</v>
      </c>
      <c r="D484" s="260" t="s">
        <v>41</v>
      </c>
      <c r="E484" s="33" t="n">
        <f aca="false">IF(D484="totale",(C484/(A484*24))/F484,IF(D484="marché libre",(C484/(A484*24))/G484,"spécifier histo"))</f>
        <v>0.62758064516129</v>
      </c>
      <c r="F484" s="59" t="n">
        <v>1000</v>
      </c>
      <c r="G484" s="59" t="n">
        <f aca="false">F484-H484</f>
        <v>1000</v>
      </c>
      <c r="H484" s="59" t="n">
        <f aca="false">0</f>
        <v>0</v>
      </c>
      <c r="I484" s="256"/>
      <c r="U484" s="256"/>
      <c r="V484" s="256"/>
      <c r="W484" s="256"/>
    </row>
    <row r="485" customFormat="false" ht="19.85" hidden="false" customHeight="true" outlineLevel="0" collapsed="false">
      <c r="A485" s="0" t="n">
        <v>31</v>
      </c>
      <c r="B485" s="34" t="n">
        <v>40026</v>
      </c>
      <c r="C485" s="56" t="n">
        <v>414960</v>
      </c>
      <c r="D485" s="260" t="s">
        <v>41</v>
      </c>
      <c r="E485" s="33" t="n">
        <f aca="false">IF(D485="totale",(C485/(A485*24))/F485,IF(D485="marché libre",(C485/(A485*24))/G485,"spécifier histo"))</f>
        <v>0.557741935483871</v>
      </c>
      <c r="F485" s="59" t="n">
        <v>1000</v>
      </c>
      <c r="G485" s="59" t="n">
        <f aca="false">F485-H485</f>
        <v>1000</v>
      </c>
      <c r="H485" s="59" t="n">
        <f aca="false">0</f>
        <v>0</v>
      </c>
      <c r="I485" s="256"/>
      <c r="U485" s="256"/>
      <c r="V485" s="256"/>
      <c r="W485" s="256"/>
    </row>
    <row r="486" customFormat="false" ht="19.85" hidden="false" customHeight="true" outlineLevel="0" collapsed="false">
      <c r="A486" s="0" t="n">
        <v>30</v>
      </c>
      <c r="B486" s="31" t="n">
        <v>40057</v>
      </c>
      <c r="C486" s="9" t="n">
        <v>350420</v>
      </c>
      <c r="D486" s="260" t="s">
        <v>41</v>
      </c>
      <c r="E486" s="33" t="n">
        <f aca="false">IF(D486="totale",(C486/(A486*24))/F486,IF(D486="marché libre",(C486/(A486*24))/G486,"spécifier histo"))</f>
        <v>0.486694444444444</v>
      </c>
      <c r="F486" s="59" t="n">
        <v>1000</v>
      </c>
      <c r="G486" s="59" t="n">
        <f aca="false">F486-H486</f>
        <v>1000</v>
      </c>
      <c r="H486" s="59" t="n">
        <f aca="false">0</f>
        <v>0</v>
      </c>
      <c r="I486" s="256"/>
      <c r="U486" s="256"/>
      <c r="V486" s="256"/>
      <c r="W486" s="256"/>
    </row>
    <row r="487" customFormat="false" ht="19.85" hidden="false" customHeight="true" outlineLevel="0" collapsed="false">
      <c r="A487" s="0" t="n">
        <v>31</v>
      </c>
      <c r="B487" s="34" t="n">
        <v>40087</v>
      </c>
      <c r="C487" s="9" t="n">
        <v>322570</v>
      </c>
      <c r="D487" s="260" t="s">
        <v>41</v>
      </c>
      <c r="E487" s="33" t="n">
        <f aca="false">IF(D487="totale",(C487/(A487*24))/F487,IF(D487="marché libre",(C487/(A487*24))/G487,"spécifier histo"))</f>
        <v>0.433561827956989</v>
      </c>
      <c r="F487" s="59" t="n">
        <v>1000</v>
      </c>
      <c r="G487" s="59" t="n">
        <f aca="false">F487-H487</f>
        <v>1000</v>
      </c>
      <c r="H487" s="59" t="n">
        <f aca="false">0</f>
        <v>0</v>
      </c>
      <c r="I487" s="256"/>
      <c r="U487" s="256"/>
      <c r="V487" s="256"/>
      <c r="W487" s="256"/>
    </row>
    <row r="488" customFormat="false" ht="19.85" hidden="false" customHeight="true" outlineLevel="0" collapsed="false">
      <c r="A488" s="0" t="n">
        <v>30</v>
      </c>
      <c r="B488" s="31" t="n">
        <v>40118</v>
      </c>
      <c r="C488" s="9" t="n">
        <v>294420</v>
      </c>
      <c r="D488" s="260" t="s">
        <v>41</v>
      </c>
      <c r="E488" s="33" t="n">
        <f aca="false">IF(D488="totale",(C488/(A488*24))/F488,IF(D488="marché libre",(C488/(A488*24))/G488,"spécifier histo"))</f>
        <v>0.408916666666667</v>
      </c>
      <c r="F488" s="59" t="n">
        <v>1000</v>
      </c>
      <c r="G488" s="59" t="n">
        <f aca="false">F488-H488</f>
        <v>1000</v>
      </c>
      <c r="H488" s="59" t="n">
        <f aca="false">0</f>
        <v>0</v>
      </c>
      <c r="I488" s="256"/>
      <c r="U488" s="256"/>
      <c r="V488" s="256"/>
      <c r="W488" s="256"/>
    </row>
    <row r="489" customFormat="false" ht="19.85" hidden="false" customHeight="true" outlineLevel="0" collapsed="false">
      <c r="A489" s="0" t="n">
        <v>31</v>
      </c>
      <c r="B489" s="34" t="n">
        <v>40148</v>
      </c>
      <c r="C489" s="9" t="n">
        <v>349730</v>
      </c>
      <c r="D489" s="260" t="s">
        <v>41</v>
      </c>
      <c r="E489" s="33" t="n">
        <f aca="false">IF(D489="totale",(C489/(A489*24))/F489,IF(D489="marché libre",(C489/(A489*24))/G489,"spécifier histo"))</f>
        <v>0.470067204301075</v>
      </c>
      <c r="F489" s="59" t="n">
        <v>1000</v>
      </c>
      <c r="G489" s="59" t="n">
        <f aca="false">F489-H489</f>
        <v>1000</v>
      </c>
      <c r="H489" s="59" t="n">
        <f aca="false">0</f>
        <v>0</v>
      </c>
      <c r="I489" s="256"/>
      <c r="U489" s="256"/>
      <c r="V489" s="256"/>
      <c r="W489" s="256"/>
    </row>
    <row r="490" customFormat="false" ht="19.85" hidden="false" customHeight="true" outlineLevel="0" collapsed="false">
      <c r="A490" s="0" t="n">
        <v>31</v>
      </c>
      <c r="B490" s="31" t="n">
        <v>40179</v>
      </c>
      <c r="C490" s="9" t="n">
        <v>363370</v>
      </c>
      <c r="D490" s="260" t="s">
        <v>41</v>
      </c>
      <c r="E490" s="33" t="n">
        <f aca="false">IF(D490="totale",(C490/(A490*24))/F490,IF(D490="marché libre",(C490/(A490*24))/G490,"spécifier histo"))</f>
        <v>0.488400537634409</v>
      </c>
      <c r="F490" s="59" t="n">
        <v>1000</v>
      </c>
      <c r="G490" s="59" t="n">
        <f aca="false">F490-H490</f>
        <v>1000</v>
      </c>
      <c r="H490" s="59" t="n">
        <f aca="false">0</f>
        <v>0</v>
      </c>
      <c r="J490" s="55"/>
    </row>
    <row r="491" customFormat="false" ht="19.85" hidden="false" customHeight="true" outlineLevel="0" collapsed="false">
      <c r="A491" s="0" t="n">
        <v>28</v>
      </c>
      <c r="B491" s="34" t="n">
        <v>40210</v>
      </c>
      <c r="C491" s="9" t="n">
        <v>278540</v>
      </c>
      <c r="D491" s="260" t="s">
        <v>41</v>
      </c>
      <c r="E491" s="33" t="n">
        <f aca="false">IF(D491="totale",(C491/(A491*24))/F491,IF(D491="marché libre",(C491/(A491*24))/G491,"spécifier histo"))</f>
        <v>0.414494047619048</v>
      </c>
      <c r="F491" s="59" t="n">
        <v>1000</v>
      </c>
      <c r="G491" s="59" t="n">
        <f aca="false">F491-H491</f>
        <v>1000</v>
      </c>
      <c r="H491" s="59" t="n">
        <f aca="false">0</f>
        <v>0</v>
      </c>
      <c r="J491" s="55"/>
    </row>
    <row r="492" s="1" customFormat="true" ht="19.85" hidden="false" customHeight="true" outlineLevel="0" collapsed="false">
      <c r="A492" s="0" t="n">
        <v>31</v>
      </c>
      <c r="B492" s="31" t="n">
        <v>40238</v>
      </c>
      <c r="C492" s="9" t="n">
        <v>294240</v>
      </c>
      <c r="D492" s="260" t="s">
        <v>41</v>
      </c>
      <c r="E492" s="33" t="n">
        <f aca="false">IF(D492="totale",(C492/(A492*24))/F492,IF(D492="marché libre",(C492/(A492*24))/G492,"spécifier histo"))</f>
        <v>0.395483870967742</v>
      </c>
      <c r="F492" s="59" t="n">
        <v>1000</v>
      </c>
      <c r="G492" s="59" t="n">
        <f aca="false">F492-H492</f>
        <v>1000</v>
      </c>
      <c r="H492" s="59" t="n">
        <f aca="false">0</f>
        <v>0</v>
      </c>
      <c r="AMA492" s="0"/>
      <c r="AMB492" s="0"/>
      <c r="AMC492" s="0"/>
      <c r="AMD492" s="0"/>
      <c r="AME492" s="0"/>
      <c r="AMF492" s="0"/>
      <c r="AMG492" s="0"/>
      <c r="AMH492" s="0"/>
      <c r="AMI492" s="0"/>
      <c r="AMJ492" s="0"/>
    </row>
    <row r="493" s="1" customFormat="true" ht="19.85" hidden="false" customHeight="true" outlineLevel="0" collapsed="false">
      <c r="A493" s="0" t="n">
        <v>30</v>
      </c>
      <c r="B493" s="34" t="n">
        <v>40269</v>
      </c>
      <c r="C493" s="9" t="n">
        <v>326500</v>
      </c>
      <c r="D493" s="260" t="s">
        <v>41</v>
      </c>
      <c r="E493" s="33" t="n">
        <f aca="false">IF(D493="totale",(C493/(A493*24))/F493,IF(D493="marché libre",(C493/(A493*24))/G493,"spécifier histo"))</f>
        <v>0.453472222222222</v>
      </c>
      <c r="F493" s="59" t="n">
        <v>1000</v>
      </c>
      <c r="G493" s="59" t="n">
        <f aca="false">F493-H493</f>
        <v>1000</v>
      </c>
      <c r="H493" s="59" t="n">
        <f aca="false">0</f>
        <v>0</v>
      </c>
      <c r="AMA493" s="0"/>
      <c r="AMB493" s="0"/>
      <c r="AMC493" s="0"/>
      <c r="AMD493" s="0"/>
      <c r="AME493" s="0"/>
      <c r="AMF493" s="0"/>
      <c r="AMG493" s="0"/>
      <c r="AMH493" s="0"/>
      <c r="AMI493" s="0"/>
      <c r="AMJ493" s="0"/>
    </row>
    <row r="494" s="1" customFormat="true" ht="19.85" hidden="false" customHeight="true" outlineLevel="0" collapsed="false">
      <c r="A494" s="0" t="n">
        <v>31</v>
      </c>
      <c r="B494" s="31" t="n">
        <v>40299</v>
      </c>
      <c r="C494" s="9" t="n">
        <v>466850</v>
      </c>
      <c r="D494" s="260" t="s">
        <v>41</v>
      </c>
      <c r="E494" s="33" t="n">
        <f aca="false">IF(D494="totale",(C494/(A494*24))/F494,IF(D494="marché libre",(C494/(A494*24))/G494,"spécifier histo"))</f>
        <v>0.627486559139785</v>
      </c>
      <c r="F494" s="59" t="n">
        <v>1000</v>
      </c>
      <c r="G494" s="59" t="n">
        <f aca="false">F494-H494</f>
        <v>1000</v>
      </c>
      <c r="H494" s="59" t="n">
        <f aca="false">0</f>
        <v>0</v>
      </c>
      <c r="AMA494" s="0"/>
      <c r="AMB494" s="0"/>
      <c r="AMC494" s="0"/>
      <c r="AMD494" s="0"/>
      <c r="AME494" s="0"/>
      <c r="AMF494" s="0"/>
      <c r="AMG494" s="0"/>
      <c r="AMH494" s="0"/>
      <c r="AMI494" s="0"/>
      <c r="AMJ494" s="0"/>
    </row>
    <row r="495" customFormat="false" ht="19.85" hidden="false" customHeight="true" outlineLevel="0" collapsed="false">
      <c r="A495" s="0" t="n">
        <v>30</v>
      </c>
      <c r="B495" s="34" t="n">
        <v>40330</v>
      </c>
      <c r="C495" s="56" t="n">
        <v>541710</v>
      </c>
      <c r="D495" s="260" t="s">
        <v>41</v>
      </c>
      <c r="E495" s="33" t="n">
        <f aca="false">IF(D495="totale",(C495/(A495*24))/F495,IF(D495="marché libre",(C495/(A495*24))/G495,"spécifier histo"))</f>
        <v>0.752375</v>
      </c>
      <c r="F495" s="59" t="n">
        <v>1000</v>
      </c>
      <c r="G495" s="59" t="n">
        <f aca="false">F495-H495</f>
        <v>1000</v>
      </c>
      <c r="H495" s="59" t="n">
        <f aca="false">0</f>
        <v>0</v>
      </c>
      <c r="J495" s="55"/>
    </row>
    <row r="496" customFormat="false" ht="19.85" hidden="false" customHeight="true" outlineLevel="0" collapsed="false">
      <c r="A496" s="0" t="n">
        <v>31</v>
      </c>
      <c r="B496" s="31" t="n">
        <v>40360</v>
      </c>
      <c r="C496" s="56" t="n">
        <v>564720</v>
      </c>
      <c r="D496" s="260" t="s">
        <v>41</v>
      </c>
      <c r="E496" s="33" t="n">
        <f aca="false">IF(D496="totale",(C496/(A496*24))/F496,IF(D496="marché libre",(C496/(A496*24))/G496,"spécifier histo"))</f>
        <v>0.759032258064516</v>
      </c>
      <c r="F496" s="59" t="n">
        <v>1000</v>
      </c>
      <c r="G496" s="59" t="n">
        <f aca="false">F496-H496</f>
        <v>1000</v>
      </c>
      <c r="H496" s="59" t="n">
        <f aca="false">0</f>
        <v>0</v>
      </c>
      <c r="J496" s="55"/>
    </row>
    <row r="497" customFormat="false" ht="19.85" hidden="false" customHeight="true" outlineLevel="0" collapsed="false">
      <c r="A497" s="0" t="n">
        <v>31</v>
      </c>
      <c r="B497" s="34" t="n">
        <v>40391</v>
      </c>
      <c r="C497" s="56" t="n">
        <v>466280</v>
      </c>
      <c r="D497" s="260" t="s">
        <v>41</v>
      </c>
      <c r="E497" s="33" t="n">
        <f aca="false">IF(D497="totale",(C497/(A497*24))/F497,IF(D497="marché libre",(C497/(A497*24))/G497,"spécifier histo"))</f>
        <v>0.626720430107527</v>
      </c>
      <c r="F497" s="59" t="n">
        <v>1000</v>
      </c>
      <c r="G497" s="59" t="n">
        <f aca="false">F497-H497</f>
        <v>1000</v>
      </c>
      <c r="H497" s="59" t="n">
        <f aca="false">0</f>
        <v>0</v>
      </c>
      <c r="J497" s="55"/>
    </row>
    <row r="498" customFormat="false" ht="19.85" hidden="false" customHeight="true" outlineLevel="0" collapsed="false">
      <c r="A498" s="0" t="n">
        <v>30</v>
      </c>
      <c r="B498" s="31" t="n">
        <v>40422</v>
      </c>
      <c r="C498" s="9" t="n">
        <v>395670</v>
      </c>
      <c r="D498" s="260" t="s">
        <v>41</v>
      </c>
      <c r="E498" s="33" t="n">
        <f aca="false">IF(D498="totale",(C498/(A498*24))/F498,IF(D498="marché libre",(C498/(A498*24))/G498,"spécifier histo"))</f>
        <v>0.549541666666667</v>
      </c>
      <c r="F498" s="59" t="n">
        <v>1000</v>
      </c>
      <c r="G498" s="59" t="n">
        <f aca="false">F498-H498</f>
        <v>1000</v>
      </c>
      <c r="H498" s="59" t="n">
        <f aca="false">0</f>
        <v>0</v>
      </c>
      <c r="J498" s="55"/>
    </row>
    <row r="499" customFormat="false" ht="19.85" hidden="false" customHeight="true" outlineLevel="0" collapsed="false">
      <c r="A499" s="0" t="n">
        <v>31</v>
      </c>
      <c r="B499" s="34" t="n">
        <v>40452</v>
      </c>
      <c r="C499" s="9" t="n">
        <v>326500</v>
      </c>
      <c r="D499" s="260" t="s">
        <v>41</v>
      </c>
      <c r="E499" s="33" t="n">
        <f aca="false">IF(D499="totale",(C499/(A499*24))/F499,IF(D499="marché libre",(C499/(A499*24))/G499,"spécifier histo"))</f>
        <v>0.438844086021505</v>
      </c>
      <c r="F499" s="59" t="n">
        <v>1000</v>
      </c>
      <c r="G499" s="59" t="n">
        <f aca="false">F499-H499</f>
        <v>1000</v>
      </c>
      <c r="H499" s="59" t="n">
        <f aca="false">0</f>
        <v>0</v>
      </c>
      <c r="J499" s="55"/>
    </row>
    <row r="500" customFormat="false" ht="19.85" hidden="false" customHeight="true" outlineLevel="0" collapsed="false">
      <c r="A500" s="0" t="n">
        <v>30</v>
      </c>
      <c r="B500" s="31" t="n">
        <v>40483</v>
      </c>
      <c r="C500" s="9" t="n">
        <v>335310</v>
      </c>
      <c r="D500" s="260" t="s">
        <v>41</v>
      </c>
      <c r="E500" s="33" t="n">
        <f aca="false">IF(D500="totale",(C500/(A500*24))/F500,IF(D500="marché libre",(C500/(A500*24))/G500,"spécifier histo"))</f>
        <v>0.465708333333333</v>
      </c>
      <c r="F500" s="59" t="n">
        <v>1000</v>
      </c>
      <c r="G500" s="59" t="n">
        <f aca="false">F500-H500</f>
        <v>1000</v>
      </c>
      <c r="H500" s="59" t="n">
        <f aca="false">0</f>
        <v>0</v>
      </c>
      <c r="J500" s="55"/>
    </row>
    <row r="501" customFormat="false" ht="19.85" hidden="false" customHeight="true" outlineLevel="0" collapsed="false">
      <c r="A501" s="0" t="n">
        <v>31</v>
      </c>
      <c r="B501" s="34" t="n">
        <v>40513</v>
      </c>
      <c r="C501" s="9" t="n">
        <v>388630</v>
      </c>
      <c r="D501" s="260" t="s">
        <v>41</v>
      </c>
      <c r="E501" s="33" t="n">
        <f aca="false">IF(D501="totale",(C501/(A501*24))/F501,IF(D501="marché libre",(C501/(A501*24))/G501,"spécifier histo"))</f>
        <v>0.522352150537634</v>
      </c>
      <c r="F501" s="59" t="n">
        <v>1000</v>
      </c>
      <c r="G501" s="59" t="n">
        <f aca="false">F501-H501</f>
        <v>1000</v>
      </c>
      <c r="H501" s="59" t="n">
        <f aca="false">0</f>
        <v>0</v>
      </c>
      <c r="J501" s="55"/>
    </row>
    <row r="502" customFormat="false" ht="19.85" hidden="false" customHeight="true" outlineLevel="0" collapsed="false">
      <c r="A502" s="0" t="n">
        <v>31</v>
      </c>
      <c r="B502" s="31" t="n">
        <v>40544</v>
      </c>
      <c r="C502" s="9" t="n">
        <v>361060</v>
      </c>
      <c r="D502" s="260" t="s">
        <v>41</v>
      </c>
      <c r="E502" s="33" t="n">
        <f aca="false">IF(D502="totale",(C502/(A502*24))/F502,IF(D502="marché libre",(C502/(A502*24))/G502,"spécifier histo"))</f>
        <v>0.485295698924731</v>
      </c>
      <c r="F502" s="59" t="n">
        <v>1000</v>
      </c>
      <c r="G502" s="59" t="n">
        <f aca="false">F502-H502</f>
        <v>1000</v>
      </c>
      <c r="H502" s="59" t="n">
        <f aca="false">0</f>
        <v>0</v>
      </c>
      <c r="J502" s="55"/>
    </row>
    <row r="503" customFormat="false" ht="19.85" hidden="false" customHeight="true" outlineLevel="0" collapsed="false">
      <c r="A503" s="0" t="n">
        <v>28</v>
      </c>
      <c r="B503" s="34" t="n">
        <v>40575</v>
      </c>
      <c r="C503" s="9" t="n">
        <v>292620</v>
      </c>
      <c r="D503" s="260" t="s">
        <v>41</v>
      </c>
      <c r="E503" s="33" t="n">
        <f aca="false">IF(D503="totale",(C503/(A503*24))/F503,IF(D503="marché libre",(C503/(A503*24))/G503,"spécifier histo"))</f>
        <v>0.435446428571429</v>
      </c>
      <c r="F503" s="59" t="n">
        <v>1000</v>
      </c>
      <c r="G503" s="59" t="n">
        <f aca="false">F503-H503</f>
        <v>1000</v>
      </c>
      <c r="H503" s="59" t="n">
        <f aca="false">0</f>
        <v>0</v>
      </c>
      <c r="J503" s="55"/>
    </row>
    <row r="504" customFormat="false" ht="19.85" hidden="false" customHeight="true" outlineLevel="0" collapsed="false">
      <c r="A504" s="0" t="n">
        <v>31</v>
      </c>
      <c r="B504" s="31" t="n">
        <v>40603</v>
      </c>
      <c r="C504" s="9" t="n">
        <v>290540</v>
      </c>
      <c r="D504" s="260" t="s">
        <v>41</v>
      </c>
      <c r="E504" s="33" t="n">
        <f aca="false">IF(D504="totale",(C504/(A504*24))/F504,IF(D504="marché libre",(C504/(A504*24))/G504,"spécifier histo"))</f>
        <v>0.390510752688172</v>
      </c>
      <c r="F504" s="59" t="n">
        <v>1000</v>
      </c>
      <c r="G504" s="59" t="n">
        <f aca="false">F504-H504</f>
        <v>1000</v>
      </c>
      <c r="H504" s="59" t="n">
        <f aca="false">0</f>
        <v>0</v>
      </c>
      <c r="J504" s="55"/>
    </row>
    <row r="505" customFormat="false" ht="19.85" hidden="false" customHeight="true" outlineLevel="0" collapsed="false">
      <c r="A505" s="0" t="n">
        <v>30</v>
      </c>
      <c r="B505" s="34" t="n">
        <v>40634</v>
      </c>
      <c r="C505" s="9" t="n">
        <v>278970</v>
      </c>
      <c r="D505" s="260" t="s">
        <v>41</v>
      </c>
      <c r="E505" s="33" t="n">
        <f aca="false">IF(D505="totale",(C505/(A505*24))/F505,IF(D505="marché libre",(C505/(A505*24))/G505,"spécifier histo"))</f>
        <v>0.387458333333333</v>
      </c>
      <c r="F505" s="59" t="n">
        <v>1000</v>
      </c>
      <c r="G505" s="59" t="n">
        <f aca="false">F505-H505</f>
        <v>1000</v>
      </c>
      <c r="H505" s="59" t="n">
        <f aca="false">0</f>
        <v>0</v>
      </c>
      <c r="J505" s="55"/>
    </row>
    <row r="506" customFormat="false" ht="19.85" hidden="false" customHeight="true" outlineLevel="0" collapsed="false">
      <c r="A506" s="0" t="n">
        <v>31</v>
      </c>
      <c r="B506" s="31" t="n">
        <v>40664</v>
      </c>
      <c r="C506" s="9" t="n">
        <v>328270</v>
      </c>
      <c r="D506" s="260" t="s">
        <v>41</v>
      </c>
      <c r="E506" s="33" t="n">
        <f aca="false">IF(D506="totale",(C506/(A506*24))/F506,IF(D506="marché libre",(C506/(A506*24))/G506,"spécifier histo"))</f>
        <v>0.44122311827957</v>
      </c>
      <c r="F506" s="59" t="n">
        <v>1000</v>
      </c>
      <c r="G506" s="59" t="n">
        <f aca="false">F506-H506</f>
        <v>1000</v>
      </c>
      <c r="H506" s="59" t="n">
        <f aca="false">0</f>
        <v>0</v>
      </c>
      <c r="J506" s="55"/>
    </row>
    <row r="507" customFormat="false" ht="19.85" hidden="false" customHeight="true" outlineLevel="0" collapsed="false">
      <c r="A507" s="0" t="n">
        <v>30</v>
      </c>
      <c r="B507" s="34" t="n">
        <v>40695</v>
      </c>
      <c r="C507" s="56" t="n">
        <v>432930</v>
      </c>
      <c r="D507" s="260" t="s">
        <v>41</v>
      </c>
      <c r="E507" s="33" t="n">
        <f aca="false">IF(D507="totale",(C507/(A507*24))/F507,IF(D507="marché libre",(C507/(A507*24))/G507,"spécifier histo"))</f>
        <v>0.601291666666667</v>
      </c>
      <c r="F507" s="59" t="n">
        <v>1000</v>
      </c>
      <c r="G507" s="59" t="n">
        <f aca="false">F507-H507</f>
        <v>1000</v>
      </c>
      <c r="H507" s="59" t="n">
        <f aca="false">0</f>
        <v>0</v>
      </c>
      <c r="J507" s="55"/>
    </row>
    <row r="508" customFormat="false" ht="19.85" hidden="false" customHeight="true" outlineLevel="0" collapsed="false">
      <c r="A508" s="0" t="n">
        <v>31</v>
      </c>
      <c r="B508" s="31" t="n">
        <v>40725</v>
      </c>
      <c r="C508" s="56" t="n">
        <v>446750</v>
      </c>
      <c r="D508" s="260" t="s">
        <v>41</v>
      </c>
      <c r="E508" s="33" t="n">
        <f aca="false">IF(D508="totale",(C508/(A508*24))/F508,IF(D508="marché libre",(C508/(A508*24))/G508,"spécifier histo"))</f>
        <v>0.600470430107527</v>
      </c>
      <c r="F508" s="59" t="n">
        <v>1000</v>
      </c>
      <c r="G508" s="59" t="n">
        <f aca="false">F508-H508</f>
        <v>1000</v>
      </c>
      <c r="H508" s="59" t="n">
        <f aca="false">0</f>
        <v>0</v>
      </c>
      <c r="J508" s="55"/>
    </row>
    <row r="509" customFormat="false" ht="19.85" hidden="false" customHeight="true" outlineLevel="0" collapsed="false">
      <c r="A509" s="0" t="n">
        <v>31</v>
      </c>
      <c r="B509" s="34" t="n">
        <v>40756</v>
      </c>
      <c r="C509" s="56" t="n">
        <v>491410</v>
      </c>
      <c r="D509" s="260" t="s">
        <v>41</v>
      </c>
      <c r="E509" s="33" t="n">
        <f aca="false">IF(D509="totale",(C509/(A509*24))/F509,IF(D509="marché libre",(C509/(A509*24))/G509,"spécifier histo"))</f>
        <v>0.660497311827957</v>
      </c>
      <c r="F509" s="59" t="n">
        <v>1000</v>
      </c>
      <c r="G509" s="59" t="n">
        <f aca="false">F509-H509</f>
        <v>1000</v>
      </c>
      <c r="H509" s="59" t="n">
        <f aca="false">0</f>
        <v>0</v>
      </c>
      <c r="J509" s="55"/>
    </row>
    <row r="510" customFormat="false" ht="19.85" hidden="false" customHeight="true" outlineLevel="0" collapsed="false">
      <c r="A510" s="0" t="n">
        <v>30</v>
      </c>
      <c r="B510" s="31" t="n">
        <v>40787</v>
      </c>
      <c r="C510" s="9" t="n">
        <v>394770</v>
      </c>
      <c r="D510" s="260" t="s">
        <v>41</v>
      </c>
      <c r="E510" s="33" t="n">
        <f aca="false">IF(D510="totale",(C510/(A510*24))/F510,IF(D510="marché libre",(C510/(A510*24))/G510,"spécifier histo"))</f>
        <v>0.548291666666667</v>
      </c>
      <c r="F510" s="59" t="n">
        <v>1000</v>
      </c>
      <c r="G510" s="59" t="n">
        <f aca="false">F510-H510</f>
        <v>1000</v>
      </c>
      <c r="H510" s="59" t="n">
        <f aca="false">0</f>
        <v>0</v>
      </c>
      <c r="J510" s="55"/>
    </row>
    <row r="511" customFormat="false" ht="19.85" hidden="false" customHeight="true" outlineLevel="0" collapsed="false">
      <c r="A511" s="0" t="n">
        <v>31</v>
      </c>
      <c r="B511" s="34" t="n">
        <v>40817</v>
      </c>
      <c r="C511" s="9" t="n">
        <v>382490</v>
      </c>
      <c r="D511" s="260" t="s">
        <v>41</v>
      </c>
      <c r="E511" s="33" t="n">
        <f aca="false">IF(D511="totale",(C511/(A511*24))/F511,IF(D511="marché libre",(C511/(A511*24))/G511,"spécifier histo"))</f>
        <v>0.514099462365591</v>
      </c>
      <c r="F511" s="59" t="n">
        <v>1000</v>
      </c>
      <c r="G511" s="59" t="n">
        <f aca="false">F511-H511</f>
        <v>1000</v>
      </c>
      <c r="H511" s="59" t="n">
        <f aca="false">0</f>
        <v>0</v>
      </c>
      <c r="J511" s="55"/>
    </row>
    <row r="512" customFormat="false" ht="19.85" hidden="false" customHeight="true" outlineLevel="0" collapsed="false">
      <c r="A512" s="0" t="n">
        <v>30</v>
      </c>
      <c r="B512" s="31" t="n">
        <v>40848</v>
      </c>
      <c r="C512" s="9" t="n">
        <v>349420</v>
      </c>
      <c r="D512" s="260" t="s">
        <v>41</v>
      </c>
      <c r="E512" s="33" t="n">
        <f aca="false">IF(D512="totale",(C512/(A512*24))/F512,IF(D512="marché libre",(C512/(A512*24))/G512,"spécifier histo"))</f>
        <v>0.485305555555556</v>
      </c>
      <c r="F512" s="59" t="n">
        <v>1000</v>
      </c>
      <c r="G512" s="59" t="n">
        <f aca="false">F512-H512</f>
        <v>1000</v>
      </c>
      <c r="H512" s="59" t="n">
        <f aca="false">0</f>
        <v>0</v>
      </c>
      <c r="J512" s="55"/>
    </row>
    <row r="513" customFormat="false" ht="19.85" hidden="false" customHeight="true" outlineLevel="0" collapsed="false">
      <c r="A513" s="0" t="n">
        <v>31</v>
      </c>
      <c r="B513" s="34" t="n">
        <v>40878</v>
      </c>
      <c r="C513" s="9" t="n">
        <v>358410</v>
      </c>
      <c r="D513" s="260" t="s">
        <v>41</v>
      </c>
      <c r="E513" s="33" t="n">
        <f aca="false">IF(D513="totale",(C513/(A513*24))/F513,IF(D513="marché libre",(C513/(A513*24))/G513,"spécifier histo"))</f>
        <v>0.481733870967742</v>
      </c>
      <c r="F513" s="59" t="n">
        <v>1000</v>
      </c>
      <c r="G513" s="59" t="n">
        <f aca="false">F513-H513</f>
        <v>1000</v>
      </c>
      <c r="H513" s="59" t="n">
        <f aca="false">0</f>
        <v>0</v>
      </c>
      <c r="J513" s="55"/>
    </row>
    <row r="514" customFormat="false" ht="19.85" hidden="false" customHeight="true" outlineLevel="0" collapsed="false">
      <c r="A514" s="0" t="n">
        <v>31</v>
      </c>
      <c r="B514" s="31" t="n">
        <v>40909</v>
      </c>
      <c r="C514" s="9" t="n">
        <v>364810</v>
      </c>
      <c r="D514" s="260" t="s">
        <v>41</v>
      </c>
      <c r="E514" s="33" t="n">
        <f aca="false">IF(D514="totale",(C514/(A514*24))/F514,IF(D514="marché libre",(C514/(A514*24))/G514,"spécifier histo"))</f>
        <v>0.490336021505376</v>
      </c>
      <c r="F514" s="59" t="n">
        <v>1000</v>
      </c>
      <c r="G514" s="59" t="n">
        <f aca="false">F514-H514</f>
        <v>1000</v>
      </c>
      <c r="H514" s="59" t="n">
        <f aca="false">0</f>
        <v>0</v>
      </c>
      <c r="J514" s="55"/>
    </row>
    <row r="515" customFormat="false" ht="19.85" hidden="false" customHeight="true" outlineLevel="0" collapsed="false">
      <c r="A515" s="0" t="n">
        <v>28</v>
      </c>
      <c r="B515" s="34" t="n">
        <v>40940</v>
      </c>
      <c r="C515" s="9" t="n">
        <v>278190</v>
      </c>
      <c r="D515" s="260" t="s">
        <v>41</v>
      </c>
      <c r="E515" s="33" t="n">
        <f aca="false">IF(D515="totale",(C515/(A515*24))/F515,IF(D515="marché libre",(C515/(A515*24))/G515,"spécifier histo"))</f>
        <v>0.413973214285714</v>
      </c>
      <c r="F515" s="59" t="n">
        <v>1000</v>
      </c>
      <c r="G515" s="59" t="n">
        <f aca="false">F515-H515</f>
        <v>1000</v>
      </c>
      <c r="H515" s="59" t="n">
        <f aca="false">0</f>
        <v>0</v>
      </c>
      <c r="J515" s="55"/>
    </row>
    <row r="516" customFormat="false" ht="19.85" hidden="false" customHeight="true" outlineLevel="0" collapsed="false">
      <c r="A516" s="0" t="n">
        <v>31</v>
      </c>
      <c r="B516" s="31" t="n">
        <v>40969</v>
      </c>
      <c r="C516" s="9" t="n">
        <v>304510</v>
      </c>
      <c r="D516" s="260" t="s">
        <v>41</v>
      </c>
      <c r="E516" s="33" t="n">
        <f aca="false">IF(D516="totale",(C516/(A516*24))/F516,IF(D516="marché libre",(C516/(A516*24))/G516,"spécifier histo"))</f>
        <v>0.409287634408602</v>
      </c>
      <c r="F516" s="59" t="n">
        <v>1000</v>
      </c>
      <c r="G516" s="59" t="n">
        <f aca="false">F516-H516</f>
        <v>1000</v>
      </c>
      <c r="H516" s="59" t="n">
        <f aca="false">0</f>
        <v>0</v>
      </c>
      <c r="J516" s="55"/>
    </row>
    <row r="517" s="1" customFormat="true" ht="19.85" hidden="false" customHeight="true" outlineLevel="0" collapsed="false">
      <c r="A517" s="0" t="n">
        <v>30</v>
      </c>
      <c r="B517" s="34" t="n">
        <v>41000</v>
      </c>
      <c r="C517" s="9" t="n">
        <v>373620</v>
      </c>
      <c r="D517" s="260" t="s">
        <v>41</v>
      </c>
      <c r="E517" s="33" t="n">
        <f aca="false">IF(D517="totale",(C517/(A517*24))/F517,IF(D517="marché libre",(C517/(A517*24))/G517,"spécifier histo"))</f>
        <v>0.518916666666667</v>
      </c>
      <c r="F517" s="59" t="n">
        <v>1000</v>
      </c>
      <c r="G517" s="59" t="n">
        <f aca="false">F517-H517</f>
        <v>1000</v>
      </c>
      <c r="H517" s="59" t="n">
        <f aca="false">0</f>
        <v>0</v>
      </c>
      <c r="AMA517" s="0"/>
      <c r="AMB517" s="0"/>
      <c r="AMC517" s="0"/>
      <c r="AMD517" s="0"/>
      <c r="AME517" s="0"/>
      <c r="AMF517" s="0"/>
      <c r="AMG517" s="0"/>
      <c r="AMH517" s="0"/>
      <c r="AMI517" s="0"/>
      <c r="AMJ517" s="0"/>
    </row>
    <row r="518" s="1" customFormat="true" ht="19.85" hidden="false" customHeight="true" outlineLevel="0" collapsed="false">
      <c r="A518" s="0" t="n">
        <v>31</v>
      </c>
      <c r="B518" s="31" t="n">
        <v>41030</v>
      </c>
      <c r="C518" s="9" t="n">
        <v>544720</v>
      </c>
      <c r="D518" s="260" t="s">
        <v>41</v>
      </c>
      <c r="E518" s="33" t="n">
        <f aca="false">IF(D518="totale",(C518/(A518*24))/F518,IF(D518="marché libre",(C518/(A518*24))/G518,"spécifier histo"))</f>
        <v>0.732150537634409</v>
      </c>
      <c r="F518" s="59" t="n">
        <v>1000</v>
      </c>
      <c r="G518" s="59" t="n">
        <f aca="false">F518-H518</f>
        <v>1000</v>
      </c>
      <c r="H518" s="59" t="n">
        <f aca="false">0</f>
        <v>0</v>
      </c>
      <c r="AMA518" s="0"/>
      <c r="AMB518" s="0"/>
      <c r="AMC518" s="0"/>
      <c r="AMD518" s="0"/>
      <c r="AME518" s="0"/>
      <c r="AMF518" s="0"/>
      <c r="AMG518" s="0"/>
      <c r="AMH518" s="0"/>
      <c r="AMI518" s="0"/>
      <c r="AMJ518" s="0"/>
    </row>
    <row r="519" s="1" customFormat="true" ht="19.85" hidden="false" customHeight="true" outlineLevel="0" collapsed="false">
      <c r="A519" s="0" t="n">
        <v>30</v>
      </c>
      <c r="B519" s="34" t="n">
        <v>41061</v>
      </c>
      <c r="C519" s="9" t="n">
        <v>624640</v>
      </c>
      <c r="D519" s="260" t="s">
        <v>41</v>
      </c>
      <c r="E519" s="33" t="n">
        <f aca="false">IF(D519="totale",(C519/(A519*24))/F519,IF(D519="marché libre",(C519/(A519*24))/G519,"spécifier histo"))</f>
        <v>0.867555555555555</v>
      </c>
      <c r="F519" s="59" t="n">
        <v>1000</v>
      </c>
      <c r="G519" s="59" t="n">
        <f aca="false">F519-H519</f>
        <v>1000</v>
      </c>
      <c r="H519" s="59" t="n">
        <f aca="false">0</f>
        <v>0</v>
      </c>
      <c r="AMA519" s="0"/>
      <c r="AMB519" s="0"/>
      <c r="AMC519" s="0"/>
      <c r="AMD519" s="0"/>
      <c r="AME519" s="0"/>
      <c r="AMF519" s="0"/>
      <c r="AMG519" s="0"/>
      <c r="AMH519" s="0"/>
      <c r="AMI519" s="0"/>
      <c r="AMJ519" s="0"/>
    </row>
    <row r="520" customFormat="false" ht="19.85" hidden="false" customHeight="true" outlineLevel="0" collapsed="false">
      <c r="A520" s="0" t="n">
        <v>31</v>
      </c>
      <c r="B520" s="31" t="n">
        <v>41091</v>
      </c>
      <c r="C520" s="9" t="n">
        <v>551520</v>
      </c>
      <c r="D520" s="260" t="s">
        <v>41</v>
      </c>
      <c r="E520" s="33" t="n">
        <f aca="false">IF(D520="totale",(C520/(A520*24))/F520,IF(D520="marché libre",(C520/(A520*24))/G520,"spécifier histo"))</f>
        <v>0.741290322580645</v>
      </c>
      <c r="F520" s="59" t="n">
        <v>1000</v>
      </c>
      <c r="G520" s="59" t="n">
        <f aca="false">F520-H520</f>
        <v>1000</v>
      </c>
      <c r="H520" s="59" t="n">
        <f aca="false">0</f>
        <v>0</v>
      </c>
      <c r="J520" s="55"/>
    </row>
    <row r="521" customFormat="false" ht="19.85" hidden="false" customHeight="true" outlineLevel="0" collapsed="false">
      <c r="A521" s="0" t="n">
        <v>31</v>
      </c>
      <c r="B521" s="34" t="n">
        <v>41122</v>
      </c>
      <c r="C521" s="9" t="n">
        <v>434320</v>
      </c>
      <c r="D521" s="260" t="s">
        <v>41</v>
      </c>
      <c r="E521" s="33" t="n">
        <f aca="false">IF(D521="totale",(C521/(A521*24))/F521,IF(D521="marché libre",(C521/(A521*24))/G521,"spécifier histo"))</f>
        <v>0.583763440860215</v>
      </c>
      <c r="F521" s="59" t="n">
        <v>1000</v>
      </c>
      <c r="G521" s="59" t="n">
        <f aca="false">F521-H521</f>
        <v>1000</v>
      </c>
      <c r="H521" s="59" t="n">
        <f aca="false">0</f>
        <v>0</v>
      </c>
      <c r="I521" s="0"/>
      <c r="J521" s="0"/>
      <c r="K521" s="0"/>
      <c r="L521" s="0"/>
      <c r="M521" s="0"/>
      <c r="N521" s="0"/>
      <c r="O521" s="0"/>
      <c r="P521" s="0"/>
      <c r="Q521" s="0"/>
      <c r="R521" s="0"/>
      <c r="S521" s="0"/>
      <c r="T521" s="0"/>
      <c r="U521" s="0"/>
      <c r="V521" s="0"/>
    </row>
    <row r="522" customFormat="false" ht="19.85" hidden="false" customHeight="true" outlineLevel="0" collapsed="false">
      <c r="A522" s="0" t="n">
        <v>30</v>
      </c>
      <c r="B522" s="31" t="n">
        <v>41153</v>
      </c>
      <c r="C522" s="9" t="n">
        <v>364450</v>
      </c>
      <c r="D522" s="260" t="s">
        <v>41</v>
      </c>
      <c r="E522" s="33" t="n">
        <f aca="false">IF(D522="totale",(C522/(A522*24))/F522,IF(D522="marché libre",(C522/(A522*24))/G522,"spécifier histo"))</f>
        <v>0.506180555555556</v>
      </c>
      <c r="F522" s="59" t="n">
        <v>1000</v>
      </c>
      <c r="G522" s="59" t="n">
        <f aca="false">F522-H522</f>
        <v>1000</v>
      </c>
      <c r="H522" s="59" t="n">
        <f aca="false">0</f>
        <v>0</v>
      </c>
      <c r="J522" s="55"/>
    </row>
    <row r="523" customFormat="false" ht="19.85" hidden="false" customHeight="true" outlineLevel="0" collapsed="false">
      <c r="A523" s="0" t="n">
        <v>31</v>
      </c>
      <c r="B523" s="34" t="n">
        <v>41183</v>
      </c>
      <c r="C523" s="9" t="n">
        <v>415870</v>
      </c>
      <c r="D523" s="260" t="s">
        <v>41</v>
      </c>
      <c r="E523" s="33" t="n">
        <f aca="false">IF(D523="totale",(C523/(A523*24))/F523,IF(D523="marché libre",(C523/(A523*24))/G523,"spécifier histo"))</f>
        <v>0.558965053763441</v>
      </c>
      <c r="F523" s="59" t="n">
        <v>1000</v>
      </c>
      <c r="G523" s="59" t="n">
        <f aca="false">F523-H523</f>
        <v>1000</v>
      </c>
      <c r="H523" s="59" t="n">
        <f aca="false">0</f>
        <v>0</v>
      </c>
      <c r="J523" s="55"/>
    </row>
    <row r="524" customFormat="false" ht="19.85" hidden="false" customHeight="true" outlineLevel="0" collapsed="false">
      <c r="A524" s="0" t="n">
        <v>30</v>
      </c>
      <c r="B524" s="31" t="n">
        <v>41214</v>
      </c>
      <c r="C524" s="9" t="n">
        <v>373400</v>
      </c>
      <c r="D524" s="260" t="s">
        <v>41</v>
      </c>
      <c r="E524" s="33" t="n">
        <f aca="false">IF(D524="totale",(C524/(A524*24))/F524,IF(D524="marché libre",(C524/(A524*24))/G524,"spécifier histo"))</f>
        <v>0.518611111111111</v>
      </c>
      <c r="F524" s="59" t="n">
        <v>1000</v>
      </c>
      <c r="G524" s="59" t="n">
        <f aca="false">F524-H524</f>
        <v>1000</v>
      </c>
      <c r="H524" s="59" t="n">
        <f aca="false">0</f>
        <v>0</v>
      </c>
      <c r="J524" s="55"/>
    </row>
    <row r="525" customFormat="false" ht="19.85" hidden="false" customHeight="true" outlineLevel="0" collapsed="false">
      <c r="A525" s="0" t="n">
        <v>31</v>
      </c>
      <c r="B525" s="34" t="n">
        <v>41244</v>
      </c>
      <c r="C525" s="9" t="n">
        <v>485020</v>
      </c>
      <c r="D525" s="260" t="s">
        <v>41</v>
      </c>
      <c r="E525" s="33" t="n">
        <f aca="false">IF(D525="totale",(C525/(A525*24))/F525,IF(D525="marché libre",(C525/(A525*24))/G525,"spécifier histo"))</f>
        <v>0.651908602150538</v>
      </c>
      <c r="F525" s="59" t="n">
        <v>1000</v>
      </c>
      <c r="G525" s="59" t="n">
        <f aca="false">F525-H525</f>
        <v>1000</v>
      </c>
      <c r="H525" s="59" t="n">
        <f aca="false">0</f>
        <v>0</v>
      </c>
      <c r="J525" s="55"/>
    </row>
    <row r="526" customFormat="false" ht="19.85" hidden="false" customHeight="true" outlineLevel="0" collapsed="false">
      <c r="A526" s="0" t="n">
        <v>31</v>
      </c>
      <c r="B526" s="31" t="n">
        <v>41275</v>
      </c>
      <c r="C526" s="9" t="n">
        <v>425190</v>
      </c>
      <c r="D526" s="260" t="s">
        <v>41</v>
      </c>
      <c r="E526" s="33" t="n">
        <f aca="false">IF(D526="totale",(C526/(A526*24))/F526,IF(D526="marché libre",(C526/(A526*24))/G526,"spécifier histo"))</f>
        <v>0.571491935483871</v>
      </c>
      <c r="F526" s="59" t="n">
        <v>1000</v>
      </c>
      <c r="G526" s="59" t="n">
        <f aca="false">F526-H526</f>
        <v>1000</v>
      </c>
      <c r="H526" s="59" t="n">
        <f aca="false">0</f>
        <v>0</v>
      </c>
      <c r="J526" s="0"/>
      <c r="K526" s="0"/>
      <c r="L526" s="0"/>
      <c r="M526" s="0"/>
      <c r="N526" s="0"/>
      <c r="O526" s="0"/>
      <c r="P526" s="0"/>
      <c r="Q526" s="0"/>
      <c r="R526" s="0"/>
      <c r="S526" s="0"/>
      <c r="T526" s="0"/>
      <c r="U526" s="0"/>
      <c r="V526" s="0"/>
      <c r="W526" s="0"/>
    </row>
    <row r="527" customFormat="false" ht="19.85" hidden="false" customHeight="true" outlineLevel="0" collapsed="false">
      <c r="A527" s="0" t="n">
        <v>28</v>
      </c>
      <c r="B527" s="34" t="n">
        <v>41306</v>
      </c>
      <c r="C527" s="9" t="n">
        <v>350000</v>
      </c>
      <c r="D527" s="260" t="s">
        <v>41</v>
      </c>
      <c r="E527" s="33" t="n">
        <f aca="false">IF(D527="totale",(C527/(A527*24))/F527,IF(D527="marché libre",(C527/(A527*24))/G527,"spécifier histo"))</f>
        <v>0.520833333333333</v>
      </c>
      <c r="F527" s="59" t="n">
        <v>1000</v>
      </c>
      <c r="G527" s="59" t="n">
        <f aca="false">F527-H527</f>
        <v>1000</v>
      </c>
      <c r="H527" s="59" t="n">
        <f aca="false">0</f>
        <v>0</v>
      </c>
      <c r="J527" s="55"/>
    </row>
    <row r="528" customFormat="false" ht="19.85" hidden="false" customHeight="true" outlineLevel="0" collapsed="false">
      <c r="A528" s="0" t="n">
        <v>31</v>
      </c>
      <c r="B528" s="31" t="n">
        <v>41334</v>
      </c>
      <c r="C528" s="9" t="n">
        <v>335580</v>
      </c>
      <c r="D528" s="260" t="s">
        <v>41</v>
      </c>
      <c r="E528" s="33" t="n">
        <f aca="false">IF(D528="totale",(C528/(A528*24))/F528,IF(D528="marché libre",(C528/(A528*24))/G528,"spécifier histo"))</f>
        <v>0.451048387096774</v>
      </c>
      <c r="F528" s="59" t="n">
        <v>1000</v>
      </c>
      <c r="G528" s="59" t="n">
        <f aca="false">F528-H528</f>
        <v>1000</v>
      </c>
      <c r="H528" s="59" t="n">
        <f aca="false">0</f>
        <v>0</v>
      </c>
      <c r="J528" s="55"/>
    </row>
    <row r="529" customFormat="false" ht="19.85" hidden="false" customHeight="true" outlineLevel="0" collapsed="false">
      <c r="A529" s="0" t="n">
        <v>30</v>
      </c>
      <c r="B529" s="34" t="n">
        <v>41365</v>
      </c>
      <c r="C529" s="9" t="n">
        <v>408030</v>
      </c>
      <c r="D529" s="260" t="s">
        <v>41</v>
      </c>
      <c r="E529" s="33" t="n">
        <f aca="false">IF(D529="totale",(C529/(A529*24))/F529,IF(D529="marché libre",(C529/(A529*24))/G529,"spécifier histo"))</f>
        <v>0.566708333333333</v>
      </c>
      <c r="F529" s="59" t="n">
        <v>1000</v>
      </c>
      <c r="G529" s="59" t="n">
        <f aca="false">F529-H529</f>
        <v>1000</v>
      </c>
      <c r="H529" s="59" t="n">
        <f aca="false">0</f>
        <v>0</v>
      </c>
      <c r="J529" s="55"/>
    </row>
    <row r="530" customFormat="false" ht="19.85" hidden="false" customHeight="true" outlineLevel="0" collapsed="false">
      <c r="A530" s="0" t="n">
        <v>31</v>
      </c>
      <c r="B530" s="31" t="n">
        <v>41395</v>
      </c>
      <c r="C530" s="9" t="n">
        <v>702960</v>
      </c>
      <c r="D530" s="260" t="s">
        <v>41</v>
      </c>
      <c r="E530" s="33" t="n">
        <f aca="false">IF(D530="totale",(C530/(A530*24))/F530,IF(D530="marché libre",(C530/(A530*24))/G530,"spécifier histo"))</f>
        <v>0.944838709677419</v>
      </c>
      <c r="F530" s="59" t="n">
        <v>1000</v>
      </c>
      <c r="G530" s="59" t="n">
        <f aca="false">F530-H530</f>
        <v>1000</v>
      </c>
      <c r="H530" s="59" t="n">
        <f aca="false">0</f>
        <v>0</v>
      </c>
      <c r="J530" s="55"/>
    </row>
    <row r="531" customFormat="false" ht="19.85" hidden="false" customHeight="true" outlineLevel="0" collapsed="false">
      <c r="A531" s="0" t="n">
        <v>30</v>
      </c>
      <c r="B531" s="34" t="n">
        <v>41426</v>
      </c>
      <c r="C531" s="9" t="n">
        <v>738830</v>
      </c>
      <c r="D531" s="260" t="s">
        <v>41</v>
      </c>
      <c r="E531" s="33" t="n">
        <f aca="false">IF(D531="totale",(C531/(A531*24))/F531,IF(D531="marché libre",(C531/(A531*24))/G531,"spécifier histo"))</f>
        <v>1.02615277777778</v>
      </c>
      <c r="F531" s="59" t="n">
        <v>1000</v>
      </c>
      <c r="G531" s="59" t="n">
        <f aca="false">F531-H531</f>
        <v>1000</v>
      </c>
      <c r="H531" s="59" t="n">
        <f aca="false">0</f>
        <v>0</v>
      </c>
      <c r="J531" s="55"/>
    </row>
    <row r="532" customFormat="false" ht="19.85" hidden="false" customHeight="true" outlineLevel="0" collapsed="false">
      <c r="A532" s="0" t="n">
        <v>31</v>
      </c>
      <c r="B532" s="31" t="n">
        <v>41456</v>
      </c>
      <c r="C532" s="9" t="n">
        <v>732880</v>
      </c>
      <c r="D532" s="260" t="s">
        <v>41</v>
      </c>
      <c r="E532" s="33" t="n">
        <f aca="false">IF(D532="totale",(C532/(A532*24))/F532,IF(D532="marché libre",(C532/(A532*24))/G532,"spécifier histo"))</f>
        <v>0.98505376344086</v>
      </c>
      <c r="F532" s="59" t="n">
        <v>1000</v>
      </c>
      <c r="G532" s="59" t="n">
        <f aca="false">F532-H532</f>
        <v>1000</v>
      </c>
      <c r="H532" s="59" t="n">
        <f aca="false">0</f>
        <v>0</v>
      </c>
      <c r="J532" s="55"/>
    </row>
    <row r="533" customFormat="false" ht="19.85" hidden="false" customHeight="true" outlineLevel="0" collapsed="false">
      <c r="A533" s="0" t="n">
        <v>31</v>
      </c>
      <c r="B533" s="34" t="n">
        <v>41487</v>
      </c>
      <c r="C533" s="9" t="n">
        <v>566130</v>
      </c>
      <c r="D533" s="260" t="s">
        <v>41</v>
      </c>
      <c r="E533" s="33" t="n">
        <f aca="false">IF(D533="totale",(C533/(A533*24))/F533,IF(D533="marché libre",(C533/(A533*24))/G533,"spécifier histo"))</f>
        <v>0.760927419354839</v>
      </c>
      <c r="F533" s="59" t="n">
        <v>1000</v>
      </c>
      <c r="G533" s="59" t="n">
        <f aca="false">F533-H533</f>
        <v>1000</v>
      </c>
      <c r="H533" s="59" t="n">
        <f aca="false">0</f>
        <v>0</v>
      </c>
      <c r="J533" s="55"/>
    </row>
    <row r="534" customFormat="false" ht="19.85" hidden="false" customHeight="true" outlineLevel="0" collapsed="false">
      <c r="A534" s="0" t="n">
        <v>30</v>
      </c>
      <c r="B534" s="31" t="n">
        <v>41518</v>
      </c>
      <c r="C534" s="9" t="n">
        <v>470700</v>
      </c>
      <c r="D534" s="260" t="s">
        <v>41</v>
      </c>
      <c r="E534" s="33" t="n">
        <f aca="false">IF(D534="totale",(C534/(A534*24))/F534,IF(D534="marché libre",(C534/(A534*24))/G534,"spécifier histo"))</f>
        <v>0.65375</v>
      </c>
      <c r="F534" s="59" t="n">
        <v>1000</v>
      </c>
      <c r="G534" s="59" t="n">
        <f aca="false">F534-H534</f>
        <v>1000</v>
      </c>
      <c r="H534" s="59" t="n">
        <f aca="false">0</f>
        <v>0</v>
      </c>
      <c r="J534" s="0"/>
      <c r="K534" s="0"/>
      <c r="L534" s="0"/>
      <c r="M534" s="0"/>
      <c r="N534" s="0"/>
      <c r="O534" s="0"/>
      <c r="P534" s="0"/>
      <c r="Q534" s="0"/>
      <c r="R534" s="0"/>
      <c r="S534" s="0"/>
      <c r="T534" s="0"/>
      <c r="U534" s="0"/>
      <c r="V534" s="0"/>
      <c r="W534" s="0"/>
    </row>
    <row r="535" s="1" customFormat="true" ht="19.85" hidden="false" customHeight="true" outlineLevel="0" collapsed="false">
      <c r="A535" s="0" t="n">
        <v>31</v>
      </c>
      <c r="B535" s="34" t="n">
        <v>41548</v>
      </c>
      <c r="C535" s="9" t="n">
        <v>488270</v>
      </c>
      <c r="D535" s="260" t="s">
        <v>41</v>
      </c>
      <c r="E535" s="33" t="n">
        <f aca="false">IF(D535="totale",(C535/(A535*24))/F535,IF(D535="marché libre",(C535/(A535*24))/G535,"spécifier histo"))</f>
        <v>0.65627688172043</v>
      </c>
      <c r="F535" s="59" t="n">
        <v>1000</v>
      </c>
      <c r="G535" s="59" t="n">
        <f aca="false">F535-H535</f>
        <v>1000</v>
      </c>
      <c r="H535" s="59" t="n">
        <f aca="false">0</f>
        <v>0</v>
      </c>
      <c r="AMA535" s="0"/>
      <c r="AMB535" s="0"/>
      <c r="AMC535" s="0"/>
      <c r="AMD535" s="0"/>
      <c r="AME535" s="0"/>
      <c r="AMF535" s="0"/>
      <c r="AMG535" s="0"/>
      <c r="AMH535" s="0"/>
      <c r="AMI535" s="0"/>
      <c r="AMJ535" s="0"/>
    </row>
    <row r="536" s="1" customFormat="true" ht="19.85" hidden="false" customHeight="true" outlineLevel="0" collapsed="false">
      <c r="A536" s="0" t="n">
        <v>30</v>
      </c>
      <c r="B536" s="31" t="n">
        <v>41579</v>
      </c>
      <c r="C536" s="9" t="n">
        <v>666180</v>
      </c>
      <c r="D536" s="260" t="s">
        <v>41</v>
      </c>
      <c r="E536" s="33" t="n">
        <f aca="false">IF(D536="totale",(C536/(A536*24))/F536,IF(D536="marché libre",(C536/(A536*24))/G536,"spécifier histo"))</f>
        <v>0.92525</v>
      </c>
      <c r="F536" s="59" t="n">
        <v>1000</v>
      </c>
      <c r="G536" s="59" t="n">
        <f aca="false">F536-H536</f>
        <v>1000</v>
      </c>
      <c r="H536" s="59" t="n">
        <f aca="false">0</f>
        <v>0</v>
      </c>
      <c r="AMA536" s="0"/>
      <c r="AMB536" s="0"/>
      <c r="AMC536" s="0"/>
      <c r="AMD536" s="0"/>
      <c r="AME536" s="0"/>
      <c r="AMF536" s="0"/>
      <c r="AMG536" s="0"/>
      <c r="AMH536" s="0"/>
      <c r="AMI536" s="0"/>
      <c r="AMJ536" s="0"/>
    </row>
    <row r="537" customFormat="false" ht="19.85" hidden="false" customHeight="true" outlineLevel="0" collapsed="false">
      <c r="A537" s="0" t="n">
        <v>31</v>
      </c>
      <c r="B537" s="34" t="n">
        <v>41609</v>
      </c>
      <c r="C537" s="9" t="n">
        <v>502280</v>
      </c>
      <c r="D537" s="260" t="s">
        <v>41</v>
      </c>
      <c r="E537" s="33" t="n">
        <f aca="false">IF(D537="totale",(C537/(A537*24))/F537,IF(D537="marché libre",(C537/(A537*24))/G537,"spécifier histo"))</f>
        <v>0.67510752688172</v>
      </c>
      <c r="F537" s="59" t="n">
        <v>1000</v>
      </c>
      <c r="G537" s="59" t="n">
        <f aca="false">F537-H537</f>
        <v>1000</v>
      </c>
      <c r="H537" s="59" t="n">
        <f aca="false">0</f>
        <v>0</v>
      </c>
      <c r="J537" s="55"/>
    </row>
    <row r="538" customFormat="false" ht="19.85" hidden="false" customHeight="true" outlineLevel="0" collapsed="false">
      <c r="A538" s="0" t="n">
        <v>31</v>
      </c>
      <c r="B538" s="31" t="n">
        <v>41640</v>
      </c>
      <c r="C538" s="9" t="n">
        <v>423100</v>
      </c>
      <c r="D538" s="260" t="s">
        <v>41</v>
      </c>
      <c r="E538" s="33" t="n">
        <f aca="false">IF(D538="totale",(C538/(A538*24))/F538,IF(D538="marché libre",(C538/(A538*24))/G538,"spécifier histo"))</f>
        <v>0.568682795698925</v>
      </c>
      <c r="F538" s="59" t="n">
        <v>1000</v>
      </c>
      <c r="G538" s="59" t="n">
        <f aca="false">F538-H538</f>
        <v>1000</v>
      </c>
      <c r="H538" s="59" t="n">
        <f aca="false">0</f>
        <v>0</v>
      </c>
      <c r="J538" s="55"/>
    </row>
    <row r="539" customFormat="false" ht="19.85" hidden="false" customHeight="true" outlineLevel="0" collapsed="false">
      <c r="A539" s="0" t="n">
        <v>28</v>
      </c>
      <c r="B539" s="34" t="n">
        <v>41671</v>
      </c>
      <c r="C539" s="9" t="n">
        <v>332110</v>
      </c>
      <c r="D539" s="260" t="s">
        <v>41</v>
      </c>
      <c r="E539" s="33" t="n">
        <f aca="false">IF(D539="totale",(C539/(A539*24))/F539,IF(D539="marché libre",(C539/(A539*24))/G539,"spécifier histo"))</f>
        <v>0.49421130952381</v>
      </c>
      <c r="F539" s="59" t="n">
        <v>1000</v>
      </c>
      <c r="G539" s="59" t="n">
        <f aca="false">F539-H539</f>
        <v>1000</v>
      </c>
      <c r="H539" s="59" t="n">
        <f aca="false">0</f>
        <v>0</v>
      </c>
      <c r="J539" s="55"/>
    </row>
    <row r="540" customFormat="false" ht="19.85" hidden="false" customHeight="true" outlineLevel="0" collapsed="false">
      <c r="A540" s="0" t="n">
        <v>31</v>
      </c>
      <c r="B540" s="31" t="n">
        <v>41699</v>
      </c>
      <c r="C540" s="9" t="n">
        <v>343520</v>
      </c>
      <c r="D540" s="260" t="s">
        <v>41</v>
      </c>
      <c r="E540" s="33" t="n">
        <f aca="false">IF(D540="totale",(C540/(A540*24))/F540,IF(D540="marché libre",(C540/(A540*24))/G540,"spécifier histo"))</f>
        <v>0.461720430107527</v>
      </c>
      <c r="F540" s="59" t="n">
        <v>1000</v>
      </c>
      <c r="G540" s="59" t="n">
        <f aca="false">F540-H540</f>
        <v>1000</v>
      </c>
      <c r="H540" s="59" t="n">
        <f aca="false">0</f>
        <v>0</v>
      </c>
      <c r="J540" s="55"/>
    </row>
    <row r="541" customFormat="false" ht="19.85" hidden="false" customHeight="true" outlineLevel="0" collapsed="false">
      <c r="A541" s="0" t="n">
        <v>30</v>
      </c>
      <c r="B541" s="34" t="n">
        <v>41730</v>
      </c>
      <c r="C541" s="9" t="n">
        <v>382220</v>
      </c>
      <c r="D541" s="260" t="s">
        <v>41</v>
      </c>
      <c r="E541" s="33" t="n">
        <f aca="false">IF(D541="totale",(C541/(A541*24))/F541,IF(D541="marché libre",(C541/(A541*24))/G541,"spécifier histo"))</f>
        <v>0.530861111111111</v>
      </c>
      <c r="F541" s="59" t="n">
        <v>1000</v>
      </c>
      <c r="G541" s="59" t="n">
        <f aca="false">F541-H541</f>
        <v>1000</v>
      </c>
      <c r="H541" s="59" t="n">
        <f aca="false">0</f>
        <v>0</v>
      </c>
      <c r="J541" s="55"/>
    </row>
    <row r="542" customFormat="false" ht="19.85" hidden="false" customHeight="true" outlineLevel="0" collapsed="false">
      <c r="A542" s="0" t="n">
        <v>31</v>
      </c>
      <c r="B542" s="31" t="n">
        <v>41760</v>
      </c>
      <c r="C542" s="9" t="n">
        <v>533530</v>
      </c>
      <c r="D542" s="260" t="s">
        <v>41</v>
      </c>
      <c r="E542" s="33" t="n">
        <f aca="false">IF(D542="totale",(C542/(A542*24))/F542,IF(D542="marché libre",(C542/(A542*24))/G542,"spécifier histo"))</f>
        <v>0.717110215053763</v>
      </c>
      <c r="F542" s="59" t="n">
        <v>1000</v>
      </c>
      <c r="G542" s="59" t="n">
        <f aca="false">F542-H542</f>
        <v>1000</v>
      </c>
      <c r="H542" s="59" t="n">
        <f aca="false">0</f>
        <v>0</v>
      </c>
      <c r="J542" s="55"/>
    </row>
    <row r="543" customFormat="false" ht="19.85" hidden="false" customHeight="true" outlineLevel="0" collapsed="false">
      <c r="A543" s="0" t="n">
        <v>30</v>
      </c>
      <c r="B543" s="34" t="n">
        <v>41791</v>
      </c>
      <c r="C543" s="9" t="n">
        <v>595220</v>
      </c>
      <c r="D543" s="260" t="s">
        <v>41</v>
      </c>
      <c r="E543" s="33" t="n">
        <f aca="false">IF(D543="totale",(C543/(A543*24))/F543,IF(D543="marché libre",(C543/(A543*24))/G543,"spécifier histo"))</f>
        <v>0.826694444444444</v>
      </c>
      <c r="F543" s="59" t="n">
        <v>1000</v>
      </c>
      <c r="G543" s="59" t="n">
        <f aca="false">F543-H543</f>
        <v>1000</v>
      </c>
      <c r="H543" s="59" t="n">
        <f aca="false">0</f>
        <v>0</v>
      </c>
      <c r="J543" s="55"/>
    </row>
    <row r="544" customFormat="false" ht="19.85" hidden="false" customHeight="true" outlineLevel="0" collapsed="false">
      <c r="A544" s="0" t="n">
        <v>31</v>
      </c>
      <c r="B544" s="31" t="n">
        <v>41821</v>
      </c>
      <c r="C544" s="9" t="n">
        <v>472030</v>
      </c>
      <c r="D544" s="260" t="s">
        <v>41</v>
      </c>
      <c r="E544" s="33" t="n">
        <f aca="false">IF(D544="totale",(C544/(A544*24))/F544,IF(D544="marché libre",(C544/(A544*24))/G544,"spécifier histo"))</f>
        <v>0.634448924731183</v>
      </c>
      <c r="F544" s="59" t="n">
        <v>1000</v>
      </c>
      <c r="G544" s="59" t="n">
        <f aca="false">F544-H544</f>
        <v>1000</v>
      </c>
      <c r="H544" s="59" t="n">
        <f aca="false">0</f>
        <v>0</v>
      </c>
      <c r="J544" s="55"/>
    </row>
    <row r="545" customFormat="false" ht="19.85" hidden="false" customHeight="true" outlineLevel="0" collapsed="false">
      <c r="A545" s="0" t="n">
        <v>31</v>
      </c>
      <c r="B545" s="34" t="n">
        <v>41852</v>
      </c>
      <c r="C545" s="9" t="n">
        <v>120810</v>
      </c>
      <c r="D545" s="260" t="s">
        <v>41</v>
      </c>
      <c r="E545" s="33" t="n">
        <f aca="false">IF(D545="totale",(C545/(A545*24))/F545,IF(D545="marché libre",(C545/(A545*24))/G545,"spécifier histo"))</f>
        <v>0.162379032258065</v>
      </c>
      <c r="F545" s="59" t="n">
        <v>1000</v>
      </c>
      <c r="G545" s="59" t="n">
        <f aca="false">F545-H545</f>
        <v>1000</v>
      </c>
      <c r="H545" s="59" t="n">
        <f aca="false">0</f>
        <v>0</v>
      </c>
      <c r="J545" s="55"/>
    </row>
    <row r="546" customFormat="false" ht="19.85" hidden="false" customHeight="true" outlineLevel="0" collapsed="false">
      <c r="A546" s="0" t="n">
        <v>30</v>
      </c>
      <c r="B546" s="31" t="n">
        <v>41883</v>
      </c>
      <c r="C546" s="9" t="n">
        <v>80690</v>
      </c>
      <c r="D546" s="260" t="s">
        <v>41</v>
      </c>
      <c r="E546" s="33" t="n">
        <f aca="false">IF(D546="totale",(C546/(A546*24))/F546,IF(D546="marché libre",(C546/(A546*24))/G546,"spécifier histo"))</f>
        <v>0.112069444444444</v>
      </c>
      <c r="F546" s="59" t="n">
        <v>1000</v>
      </c>
      <c r="G546" s="59" t="n">
        <f aca="false">F546-H546</f>
        <v>1000</v>
      </c>
      <c r="H546" s="59" t="n">
        <f aca="false">0</f>
        <v>0</v>
      </c>
      <c r="J546" s="55"/>
    </row>
    <row r="547" customFormat="false" ht="19.85" hidden="false" customHeight="true" outlineLevel="0" collapsed="false">
      <c r="A547" s="0" t="n">
        <v>31</v>
      </c>
      <c r="B547" s="34" t="n">
        <v>41913</v>
      </c>
      <c r="C547" s="9" t="n">
        <v>358365</v>
      </c>
      <c r="D547" s="260" t="s">
        <v>41</v>
      </c>
      <c r="E547" s="33" t="n">
        <f aca="false">IF(D547="totale",(C547/(A547*24))/F547,IF(D547="marché libre",(C547/(A547*24))/G547,"spécifier histo"))</f>
        <v>0.481673387096774</v>
      </c>
      <c r="F547" s="59" t="n">
        <v>1000</v>
      </c>
      <c r="G547" s="59" t="n">
        <f aca="false">F547-H547</f>
        <v>1000</v>
      </c>
      <c r="H547" s="59" t="n">
        <f aca="false">0</f>
        <v>0</v>
      </c>
      <c r="J547" s="55"/>
    </row>
    <row r="548" customFormat="false" ht="19.85" hidden="false" customHeight="true" outlineLevel="0" collapsed="false">
      <c r="A548" s="0" t="n">
        <v>30</v>
      </c>
      <c r="B548" s="31" t="n">
        <v>41944</v>
      </c>
      <c r="C548" s="9" t="n">
        <v>308725</v>
      </c>
      <c r="D548" s="260" t="s">
        <v>41</v>
      </c>
      <c r="E548" s="33" t="n">
        <f aca="false">IF(D548="totale",(C548/(A548*24))/F548,IF(D548="marché libre",(C548/(A548*24))/G548,"spécifier histo"))</f>
        <v>0.428784722222222</v>
      </c>
      <c r="F548" s="59" t="n">
        <v>1000</v>
      </c>
      <c r="G548" s="59" t="n">
        <f aca="false">F548-H548</f>
        <v>600</v>
      </c>
      <c r="H548" s="58" t="n">
        <v>400</v>
      </c>
      <c r="I548" s="1" t="s">
        <v>315</v>
      </c>
      <c r="J548" s="265"/>
    </row>
    <row r="549" customFormat="false" ht="19.95" hidden="false" customHeight="true" outlineLevel="0" collapsed="false">
      <c r="A549" s="0" t="n">
        <v>31</v>
      </c>
      <c r="B549" s="34" t="n">
        <v>41974</v>
      </c>
      <c r="C549" s="9" t="n">
        <v>283738</v>
      </c>
      <c r="D549" s="260" t="s">
        <v>41</v>
      </c>
      <c r="E549" s="33" t="n">
        <f aca="false">IF(D549="totale",(C549/(A549*24))/F549,IF(D549="marché libre",(C549/(A549*24))/G549,"spécifier histo"))</f>
        <v>0.381368279569892</v>
      </c>
      <c r="F549" s="59" t="n">
        <v>1000</v>
      </c>
      <c r="G549" s="59" t="n">
        <f aca="false">F549-H549</f>
        <v>600</v>
      </c>
      <c r="H549" s="58" t="n">
        <v>400</v>
      </c>
      <c r="J549" s="55"/>
    </row>
    <row r="550" customFormat="false" ht="19.85" hidden="false" customHeight="true" outlineLevel="0" collapsed="false">
      <c r="A550" s="266" t="n">
        <v>31</v>
      </c>
      <c r="B550" s="267" t="n">
        <v>42005</v>
      </c>
      <c r="C550" s="64" t="n">
        <v>0</v>
      </c>
      <c r="D550" s="67" t="s">
        <v>42</v>
      </c>
      <c r="E550" s="33" t="n">
        <f aca="false">IF(D550="totale",(C550/(A550*24))/F550,IF(D550="marché libre",(C550/(A550*24))/G550,"spécifier histo"))</f>
        <v>0</v>
      </c>
      <c r="F550" s="67" t="n">
        <v>1000</v>
      </c>
      <c r="G550" s="67" t="n">
        <f aca="false">F550-H550</f>
        <v>600</v>
      </c>
      <c r="H550" s="68" t="n">
        <v>400</v>
      </c>
      <c r="I550" s="0"/>
      <c r="J550" s="55"/>
    </row>
    <row r="551" customFormat="false" ht="19.85" hidden="false" customHeight="true" outlineLevel="0" collapsed="false">
      <c r="A551" s="0" t="n">
        <v>28</v>
      </c>
      <c r="B551" s="34" t="n">
        <v>42036</v>
      </c>
      <c r="C551" s="56" t="n">
        <v>0</v>
      </c>
      <c r="D551" s="57" t="s">
        <v>42</v>
      </c>
      <c r="E551" s="33" t="n">
        <f aca="false">IF(D551="totale",(C551/(A551*24))/F551,IF(D551="marché libre",(C551/(A551*24))/G551,"spécifier histo"))</f>
        <v>0</v>
      </c>
      <c r="F551" s="59" t="n">
        <v>1000</v>
      </c>
      <c r="G551" s="59" t="n">
        <f aca="false">F551-H551</f>
        <v>600</v>
      </c>
      <c r="H551" s="58" t="n">
        <v>400</v>
      </c>
      <c r="I551" s="0"/>
      <c r="J551" s="55"/>
    </row>
    <row r="552" customFormat="false" ht="19.85" hidden="false" customHeight="true" outlineLevel="0" collapsed="false">
      <c r="A552" s="0" t="n">
        <v>31</v>
      </c>
      <c r="B552" s="31" t="n">
        <v>42064</v>
      </c>
      <c r="C552" s="56" t="n">
        <v>11260</v>
      </c>
      <c r="D552" s="57" t="s">
        <v>42</v>
      </c>
      <c r="E552" s="33" t="n">
        <f aca="false">IF(D552="totale",(C552/(A552*24))/F552,IF(D552="marché libre",(C552/(A552*24))/G552,"spécifier histo"))</f>
        <v>0.0252240143369176</v>
      </c>
      <c r="F552" s="59" t="n">
        <v>1000</v>
      </c>
      <c r="G552" s="59" t="n">
        <f aca="false">F552-H552</f>
        <v>600</v>
      </c>
      <c r="H552" s="58" t="n">
        <v>400</v>
      </c>
      <c r="J552" s="55"/>
    </row>
    <row r="553" customFormat="false" ht="19.85" hidden="false" customHeight="true" outlineLevel="0" collapsed="false">
      <c r="A553" s="0" t="n">
        <v>30</v>
      </c>
      <c r="B553" s="34" t="n">
        <v>42095</v>
      </c>
      <c r="C553" s="56" t="n">
        <v>110903</v>
      </c>
      <c r="D553" s="57" t="s">
        <v>42</v>
      </c>
      <c r="E553" s="33" t="n">
        <f aca="false">IF(D553="totale",(C553/(A553*24))/F553,IF(D553="marché libre",(C553/(A553*24))/G553,"spécifier histo"))</f>
        <v>0.256719907407407</v>
      </c>
      <c r="F553" s="59" t="n">
        <v>1000</v>
      </c>
      <c r="G553" s="59" t="n">
        <f aca="false">F553-H553</f>
        <v>600</v>
      </c>
      <c r="H553" s="58" t="n">
        <v>400</v>
      </c>
      <c r="J553" s="55"/>
    </row>
    <row r="554" customFormat="false" ht="19.85" hidden="false" customHeight="true" outlineLevel="0" collapsed="false">
      <c r="A554" s="0" t="n">
        <v>31</v>
      </c>
      <c r="B554" s="31" t="n">
        <v>42125</v>
      </c>
      <c r="C554" s="56" t="n">
        <v>262941</v>
      </c>
      <c r="D554" s="57" t="s">
        <v>42</v>
      </c>
      <c r="E554" s="33" t="n">
        <f aca="false">IF(D554="totale",(C554/(A554*24))/F554,IF(D554="marché libre",(C554/(A554*24))/G554,"spécifier histo"))</f>
        <v>0.589025537634409</v>
      </c>
      <c r="F554" s="59" t="n">
        <v>1000</v>
      </c>
      <c r="G554" s="59" t="n">
        <f aca="false">F554-H554</f>
        <v>600</v>
      </c>
      <c r="H554" s="58" t="n">
        <v>400</v>
      </c>
      <c r="J554" s="55"/>
    </row>
    <row r="555" customFormat="false" ht="19.85" hidden="false" customHeight="true" outlineLevel="0" collapsed="false">
      <c r="A555" s="0" t="n">
        <v>30</v>
      </c>
      <c r="B555" s="34" t="n">
        <v>42156</v>
      </c>
      <c r="C555" s="56" t="n">
        <v>275398</v>
      </c>
      <c r="D555" s="57" t="s">
        <v>42</v>
      </c>
      <c r="E555" s="33" t="n">
        <f aca="false">IF(D555="totale",(C555/(A555*24))/F555,IF(D555="marché libre",(C555/(A555*24))/G555,"spécifier histo"))</f>
        <v>0.63749537037037</v>
      </c>
      <c r="F555" s="59" t="n">
        <v>1000</v>
      </c>
      <c r="G555" s="59" t="n">
        <f aca="false">F555-H555</f>
        <v>600</v>
      </c>
      <c r="H555" s="58" t="n">
        <v>400</v>
      </c>
      <c r="J555" s="55"/>
    </row>
    <row r="556" customFormat="false" ht="19.85" hidden="false" customHeight="true" outlineLevel="0" collapsed="false">
      <c r="A556" s="0" t="n">
        <v>31</v>
      </c>
      <c r="B556" s="31" t="n">
        <v>42186</v>
      </c>
      <c r="C556" s="56" t="n">
        <v>209788</v>
      </c>
      <c r="D556" s="57" t="s">
        <v>42</v>
      </c>
      <c r="E556" s="33" t="n">
        <f aca="false">IF(D556="totale",(C556/(A556*24))/F556,IF(D556="marché libre",(C556/(A556*24))/G556,"spécifier histo"))</f>
        <v>0.469955197132617</v>
      </c>
      <c r="F556" s="59" t="n">
        <v>1000</v>
      </c>
      <c r="G556" s="59" t="n">
        <f aca="false">F556-H556</f>
        <v>600</v>
      </c>
      <c r="H556" s="58" t="n">
        <v>400</v>
      </c>
      <c r="J556" s="55"/>
    </row>
    <row r="557" customFormat="false" ht="19.85" hidden="false" customHeight="true" outlineLevel="0" collapsed="false">
      <c r="A557" s="0" t="n">
        <v>31</v>
      </c>
      <c r="B557" s="34" t="n">
        <v>42217</v>
      </c>
      <c r="C557" s="56" t="n">
        <v>96322</v>
      </c>
      <c r="D557" s="57" t="s">
        <v>42</v>
      </c>
      <c r="E557" s="33" t="n">
        <f aca="false">IF(D557="totale",(C557/(A557*24))/F557,IF(D557="marché libre",(C557/(A557*24))/G557,"spécifier histo"))</f>
        <v>0.215775089605735</v>
      </c>
      <c r="F557" s="59" t="n">
        <v>1000</v>
      </c>
      <c r="G557" s="59" t="n">
        <f aca="false">F557-H557</f>
        <v>600</v>
      </c>
      <c r="H557" s="58" t="n">
        <v>400</v>
      </c>
      <c r="J557" s="55"/>
    </row>
    <row r="558" customFormat="false" ht="19.85" hidden="false" customHeight="true" outlineLevel="0" collapsed="false">
      <c r="A558" s="0" t="n">
        <v>30</v>
      </c>
      <c r="B558" s="31" t="n">
        <v>42248</v>
      </c>
      <c r="C558" s="56" t="n">
        <v>0</v>
      </c>
      <c r="D558" s="57" t="s">
        <v>42</v>
      </c>
      <c r="E558" s="33" t="n">
        <f aca="false">IF(D558="totale",(C558/(A558*24))/F558,IF(D558="marché libre",(C558/(A558*24))/G558,"spécifier histo"))</f>
        <v>0</v>
      </c>
      <c r="F558" s="59" t="n">
        <v>1000</v>
      </c>
      <c r="G558" s="59" t="n">
        <f aca="false">F558-H558</f>
        <v>600</v>
      </c>
      <c r="H558" s="58" t="n">
        <v>400</v>
      </c>
      <c r="J558" s="55"/>
    </row>
    <row r="559" customFormat="false" ht="19.85" hidden="false" customHeight="true" outlineLevel="0" collapsed="false">
      <c r="A559" s="0" t="n">
        <v>31</v>
      </c>
      <c r="B559" s="34" t="n">
        <v>42278</v>
      </c>
      <c r="C559" s="56" t="n">
        <v>0</v>
      </c>
      <c r="D559" s="57" t="s">
        <v>42</v>
      </c>
      <c r="E559" s="33" t="n">
        <f aca="false">IF(D559="totale",(C559/(A559*24))/F559,IF(D559="marché libre",(C559/(A559*24))/G559,"spécifier histo"))</f>
        <v>0</v>
      </c>
      <c r="F559" s="59" t="n">
        <v>1000</v>
      </c>
      <c r="G559" s="59" t="n">
        <f aca="false">F559-H559</f>
        <v>600</v>
      </c>
      <c r="H559" s="58" t="n">
        <v>400</v>
      </c>
      <c r="J559" s="55"/>
    </row>
    <row r="560" customFormat="false" ht="19.85" hidden="false" customHeight="true" outlineLevel="0" collapsed="false">
      <c r="A560" s="0" t="n">
        <v>30</v>
      </c>
      <c r="B560" s="31" t="n">
        <v>42309</v>
      </c>
      <c r="C560" s="56" t="n">
        <v>0</v>
      </c>
      <c r="D560" s="57" t="s">
        <v>42</v>
      </c>
      <c r="E560" s="33" t="n">
        <f aca="false">IF(D560="totale",(C560/(A560*24))/F560,IF(D560="marché libre",(C560/(A560*24))/G560,"spécifier histo"))</f>
        <v>0</v>
      </c>
      <c r="F560" s="59" t="n">
        <v>1000</v>
      </c>
      <c r="G560" s="59" t="n">
        <f aca="false">F560-H560</f>
        <v>600</v>
      </c>
      <c r="H560" s="58" t="n">
        <v>400</v>
      </c>
      <c r="J560" s="55"/>
    </row>
    <row r="561" customFormat="false" ht="19.85" hidden="false" customHeight="true" outlineLevel="0" collapsed="false">
      <c r="A561" s="0" t="n">
        <v>31</v>
      </c>
      <c r="B561" s="34" t="n">
        <v>42339</v>
      </c>
      <c r="C561" s="56" t="n">
        <v>6758</v>
      </c>
      <c r="D561" s="57" t="s">
        <v>42</v>
      </c>
      <c r="E561" s="33" t="n">
        <f aca="false">IF(D561="totale",(C561/(A561*24))/F561,IF(D561="marché libre",(C561/(A561*24))/G561,"spécifier histo"))</f>
        <v>0.0151388888888889</v>
      </c>
      <c r="F561" s="59" t="n">
        <v>1000</v>
      </c>
      <c r="G561" s="59" t="n">
        <f aca="false">F561-H561</f>
        <v>600</v>
      </c>
      <c r="H561" s="58" t="n">
        <v>400</v>
      </c>
      <c r="J561" s="55"/>
    </row>
    <row r="562" customFormat="false" ht="19.85" hidden="false" customHeight="true" outlineLevel="0" collapsed="false">
      <c r="A562" s="0" t="n">
        <v>31</v>
      </c>
      <c r="B562" s="31" t="n">
        <v>42370</v>
      </c>
      <c r="C562" s="56" t="n">
        <v>15165</v>
      </c>
      <c r="D562" s="57" t="s">
        <v>42</v>
      </c>
      <c r="E562" s="33" t="n">
        <f aca="false">IF(D562="totale",(C562/(A562*24))/F562,IF(D562="marché libre",(C562/(A562*24))/G562,"spécifier histo"))</f>
        <v>0.0339717741935484</v>
      </c>
      <c r="F562" s="59" t="n">
        <v>1000</v>
      </c>
      <c r="G562" s="59" t="n">
        <f aca="false">F562-H562</f>
        <v>600</v>
      </c>
      <c r="H562" s="58" t="n">
        <v>400</v>
      </c>
      <c r="J562" s="55"/>
    </row>
    <row r="563" customFormat="false" ht="19.85" hidden="false" customHeight="true" outlineLevel="0" collapsed="false">
      <c r="A563" s="0" t="n">
        <v>28</v>
      </c>
      <c r="B563" s="34" t="n">
        <v>42401</v>
      </c>
      <c r="C563" s="56" t="n">
        <v>74033</v>
      </c>
      <c r="D563" s="57" t="s">
        <v>42</v>
      </c>
      <c r="E563" s="33" t="n">
        <f aca="false">IF(D563="totale",(C563/(A563*24))/F563,IF(D563="marché libre",(C563/(A563*24))/G563,"spécifier histo"))</f>
        <v>0.183613591269841</v>
      </c>
      <c r="F563" s="59" t="n">
        <v>1000</v>
      </c>
      <c r="G563" s="59" t="n">
        <f aca="false">F563-H563</f>
        <v>600</v>
      </c>
      <c r="H563" s="58" t="n">
        <v>400</v>
      </c>
      <c r="J563" s="55"/>
    </row>
    <row r="564" customFormat="false" ht="19.85" hidden="false" customHeight="true" outlineLevel="0" collapsed="false">
      <c r="A564" s="0" t="n">
        <v>31</v>
      </c>
      <c r="B564" s="31" t="n">
        <v>42430</v>
      </c>
      <c r="C564" s="56" t="n">
        <v>8615</v>
      </c>
      <c r="D564" s="57" t="s">
        <v>42</v>
      </c>
      <c r="E564" s="33" t="n">
        <f aca="false">IF(D564="totale",(C564/(A564*24))/F564,IF(D564="marché libre",(C564/(A564*24))/G564,"spécifier histo"))</f>
        <v>0.019298835125448</v>
      </c>
      <c r="F564" s="59" t="n">
        <v>1000</v>
      </c>
      <c r="G564" s="59" t="n">
        <f aca="false">F564-H564</f>
        <v>600</v>
      </c>
      <c r="H564" s="58" t="n">
        <v>400</v>
      </c>
      <c r="J564" s="55"/>
    </row>
    <row r="565" customFormat="false" ht="19.85" hidden="false" customHeight="true" outlineLevel="0" collapsed="false">
      <c r="A565" s="0" t="n">
        <v>30</v>
      </c>
      <c r="B565" s="34" t="n">
        <v>42461</v>
      </c>
      <c r="C565" s="56" t="n">
        <v>86555</v>
      </c>
      <c r="D565" s="57" t="s">
        <v>42</v>
      </c>
      <c r="E565" s="33" t="n">
        <f aca="false">IF(D565="totale",(C565/(A565*24))/F565,IF(D565="marché libre",(C565/(A565*24))/G565,"spécifier histo"))</f>
        <v>0.200358796296296</v>
      </c>
      <c r="F565" s="59" t="n">
        <v>1000</v>
      </c>
      <c r="G565" s="59" t="n">
        <f aca="false">F565-H565</f>
        <v>600</v>
      </c>
      <c r="H565" s="58" t="n">
        <v>400</v>
      </c>
      <c r="J565" s="55"/>
    </row>
    <row r="566" customFormat="false" ht="19.85" hidden="false" customHeight="true" outlineLevel="0" collapsed="false">
      <c r="A566" s="0" t="n">
        <v>31</v>
      </c>
      <c r="B566" s="31" t="n">
        <v>42491</v>
      </c>
      <c r="C566" s="56" t="n">
        <v>233343</v>
      </c>
      <c r="D566" s="57" t="s">
        <v>42</v>
      </c>
      <c r="E566" s="33" t="n">
        <f aca="false">IF(D566="totale",(C566/(A566*24))/F566,IF(D566="marché libre",(C566/(A566*24))/G566,"spécifier histo"))</f>
        <v>0.522721774193548</v>
      </c>
      <c r="F566" s="59" t="n">
        <v>1000</v>
      </c>
      <c r="G566" s="59" t="n">
        <f aca="false">F566-H566</f>
        <v>600</v>
      </c>
      <c r="H566" s="58" t="n">
        <v>400</v>
      </c>
      <c r="J566" s="55"/>
    </row>
    <row r="567" customFormat="false" ht="19.85" hidden="false" customHeight="true" outlineLevel="0" collapsed="false">
      <c r="A567" s="0" t="n">
        <v>30</v>
      </c>
      <c r="B567" s="34" t="n">
        <v>42522</v>
      </c>
      <c r="C567" s="56" t="n">
        <v>469405</v>
      </c>
      <c r="D567" s="57" t="s">
        <v>42</v>
      </c>
      <c r="E567" s="33" t="n">
        <f aca="false">IF(D567="totale",(C567/(A567*24))/F567,IF(D567="marché libre",(C567/(A567*24))/G567,"spécifier histo"))</f>
        <v>1.08658564814815</v>
      </c>
      <c r="F567" s="59" t="n">
        <v>1000</v>
      </c>
      <c r="G567" s="59" t="n">
        <f aca="false">F567-H567</f>
        <v>600</v>
      </c>
      <c r="H567" s="58" t="n">
        <v>400</v>
      </c>
      <c r="J567" s="55"/>
    </row>
    <row r="568" customFormat="false" ht="19.85" hidden="false" customHeight="true" outlineLevel="0" collapsed="false">
      <c r="A568" s="0" t="n">
        <v>31</v>
      </c>
      <c r="B568" s="31" t="n">
        <v>42552</v>
      </c>
      <c r="C568" s="56" t="n">
        <v>265714</v>
      </c>
      <c r="D568" s="57" t="s">
        <v>42</v>
      </c>
      <c r="E568" s="33" t="n">
        <f aca="false">IF(D568="totale",(C568/(A568*24))/F568,IF(D568="marché libre",(C568/(A568*24))/G568,"spécifier histo"))</f>
        <v>0.595237455197133</v>
      </c>
      <c r="F568" s="59" t="n">
        <v>1000</v>
      </c>
      <c r="G568" s="59" t="n">
        <f aca="false">F568-H568</f>
        <v>600</v>
      </c>
      <c r="H568" s="58" t="n">
        <v>400</v>
      </c>
      <c r="J568" s="55"/>
    </row>
    <row r="569" customFormat="false" ht="19.85" hidden="false" customHeight="true" outlineLevel="0" collapsed="false">
      <c r="A569" s="0" t="n">
        <v>31</v>
      </c>
      <c r="B569" s="34" t="n">
        <v>42583</v>
      </c>
      <c r="C569" s="56" t="n">
        <v>214948</v>
      </c>
      <c r="D569" s="57" t="s">
        <v>42</v>
      </c>
      <c r="E569" s="33" t="n">
        <f aca="false">IF(D569="totale",(C569/(A569*24))/F569,IF(D569="marché libre",(C569/(A569*24))/G569,"spécifier histo"))</f>
        <v>0.481514336917563</v>
      </c>
      <c r="F569" s="59" t="n">
        <v>1000</v>
      </c>
      <c r="G569" s="59" t="n">
        <f aca="false">F569-H569</f>
        <v>600</v>
      </c>
      <c r="H569" s="58" t="n">
        <v>400</v>
      </c>
      <c r="J569" s="55"/>
    </row>
    <row r="570" customFormat="false" ht="19.85" hidden="false" customHeight="true" outlineLevel="0" collapsed="false">
      <c r="A570" s="0" t="n">
        <v>30</v>
      </c>
      <c r="B570" s="31" t="n">
        <v>42614</v>
      </c>
      <c r="C570" s="56" t="n">
        <v>45707</v>
      </c>
      <c r="D570" s="57" t="s">
        <v>42</v>
      </c>
      <c r="E570" s="33" t="n">
        <f aca="false">IF(D570="totale",(C570/(A570*24))/F570,IF(D570="marché libre",(C570/(A570*24))/G570,"spécifier histo"))</f>
        <v>0.105803240740741</v>
      </c>
      <c r="F570" s="59" t="n">
        <v>1000</v>
      </c>
      <c r="G570" s="59" t="n">
        <f aca="false">F570-H570</f>
        <v>600</v>
      </c>
      <c r="H570" s="58" t="n">
        <v>400</v>
      </c>
      <c r="J570" s="55"/>
    </row>
    <row r="571" customFormat="false" ht="19.85" hidden="false" customHeight="true" outlineLevel="0" collapsed="false">
      <c r="A571" s="0" t="n">
        <v>31</v>
      </c>
      <c r="B571" s="34" t="n">
        <v>42644</v>
      </c>
      <c r="C571" s="56" t="n">
        <v>0</v>
      </c>
      <c r="D571" s="57" t="s">
        <v>42</v>
      </c>
      <c r="E571" s="33" t="n">
        <f aca="false">IF(D571="totale",(C571/(A571*24))/F571,IF(D571="marché libre",(C571/(A571*24))/G571,"spécifier histo"))</f>
        <v>0</v>
      </c>
      <c r="F571" s="59" t="n">
        <v>1000</v>
      </c>
      <c r="G571" s="59" t="n">
        <f aca="false">F571-H571</f>
        <v>600</v>
      </c>
      <c r="H571" s="58" t="n">
        <v>400</v>
      </c>
      <c r="J571" s="55"/>
    </row>
    <row r="572" customFormat="false" ht="19.85" hidden="false" customHeight="true" outlineLevel="0" collapsed="false">
      <c r="A572" s="0" t="n">
        <v>30</v>
      </c>
      <c r="B572" s="31" t="n">
        <v>42675</v>
      </c>
      <c r="C572" s="56" t="n">
        <v>0</v>
      </c>
      <c r="D572" s="57" t="s">
        <v>42</v>
      </c>
      <c r="E572" s="33" t="n">
        <f aca="false">IF(D572="totale",(C572/(A572*24))/F572,IF(D572="marché libre",(C572/(A572*24))/G572,"spécifier histo"))</f>
        <v>0</v>
      </c>
      <c r="F572" s="59" t="n">
        <v>1000</v>
      </c>
      <c r="G572" s="59" t="n">
        <f aca="false">F572-H572</f>
        <v>600</v>
      </c>
      <c r="H572" s="58" t="n">
        <v>400</v>
      </c>
      <c r="J572" s="55"/>
    </row>
    <row r="573" customFormat="false" ht="19.85" hidden="false" customHeight="true" outlineLevel="0" collapsed="false">
      <c r="A573" s="0" t="n">
        <v>31</v>
      </c>
      <c r="B573" s="34" t="n">
        <v>42705</v>
      </c>
      <c r="C573" s="56" t="n">
        <v>0</v>
      </c>
      <c r="D573" s="57" t="s">
        <v>42</v>
      </c>
      <c r="E573" s="33" t="n">
        <f aca="false">IF(D573="totale",(C573/(A573*24))/F573,IF(D573="marché libre",(C573/(A573*24))/G573,"spécifier histo"))</f>
        <v>0</v>
      </c>
      <c r="F573" s="59" t="n">
        <v>1000</v>
      </c>
      <c r="G573" s="59" t="n">
        <f aca="false">F573-H573</f>
        <v>600</v>
      </c>
      <c r="H573" s="58" t="n">
        <v>400</v>
      </c>
      <c r="J573" s="55"/>
    </row>
    <row r="574" customFormat="false" ht="19.85" hidden="false" customHeight="true" outlineLevel="0" collapsed="false">
      <c r="A574" s="0" t="n">
        <v>31</v>
      </c>
      <c r="B574" s="31" t="n">
        <v>42736</v>
      </c>
      <c r="C574" s="56" t="n">
        <v>0</v>
      </c>
      <c r="D574" s="57" t="s">
        <v>42</v>
      </c>
      <c r="E574" s="33" t="n">
        <f aca="false">IF(D574="totale",(C574/(A574*24))/F574,IF(D574="marché libre",(C574/(A574*24))/G574,"spécifier histo"))</f>
        <v>0</v>
      </c>
      <c r="F574" s="59" t="n">
        <v>1000</v>
      </c>
      <c r="G574" s="59" t="n">
        <f aca="false">F574-H574</f>
        <v>600</v>
      </c>
      <c r="H574" s="58" t="n">
        <v>400</v>
      </c>
      <c r="J574" s="55"/>
    </row>
    <row r="575" customFormat="false" ht="19.85" hidden="false" customHeight="true" outlineLevel="0" collapsed="false">
      <c r="A575" s="0" t="n">
        <v>28</v>
      </c>
      <c r="B575" s="34" t="n">
        <v>42767</v>
      </c>
      <c r="C575" s="56" t="n">
        <v>0</v>
      </c>
      <c r="D575" s="57" t="s">
        <v>42</v>
      </c>
      <c r="E575" s="33" t="n">
        <f aca="false">IF(D575="totale",(C575/(A575*24))/F575,IF(D575="marché libre",(C575/(A575*24))/G575,"spécifier histo"))</f>
        <v>0</v>
      </c>
      <c r="F575" s="59" t="n">
        <v>1000</v>
      </c>
      <c r="G575" s="59" t="n">
        <f aca="false">F575-H575</f>
        <v>600</v>
      </c>
      <c r="H575" s="58" t="n">
        <v>400</v>
      </c>
      <c r="J575" s="55"/>
    </row>
    <row r="576" customFormat="false" ht="19.85" hidden="false" customHeight="true" outlineLevel="0" collapsed="false">
      <c r="A576" s="0" t="n">
        <v>31</v>
      </c>
      <c r="B576" s="31" t="n">
        <v>42795</v>
      </c>
      <c r="C576" s="56" t="n">
        <v>0</v>
      </c>
      <c r="D576" s="57" t="s">
        <v>42</v>
      </c>
      <c r="E576" s="33" t="n">
        <f aca="false">IF(D576="totale",(C576/(A576*24))/F576,IF(D576="marché libre",(C576/(A576*24))/G576,"spécifier histo"))</f>
        <v>0</v>
      </c>
      <c r="F576" s="59" t="n">
        <v>1000</v>
      </c>
      <c r="G576" s="59" t="n">
        <f aca="false">F576-H576</f>
        <v>600</v>
      </c>
      <c r="H576" s="58" t="n">
        <v>400</v>
      </c>
      <c r="J576" s="55"/>
    </row>
    <row r="577" customFormat="false" ht="19.85" hidden="false" customHeight="true" outlineLevel="0" collapsed="false">
      <c r="A577" s="0" t="n">
        <v>30</v>
      </c>
      <c r="B577" s="34" t="n">
        <v>42826</v>
      </c>
      <c r="C577" s="56" t="n">
        <v>0</v>
      </c>
      <c r="D577" s="57" t="s">
        <v>42</v>
      </c>
      <c r="E577" s="33" t="n">
        <f aca="false">IF(D577="totale",(C577/(A577*24))/F577,IF(D577="marché libre",(C577/(A577*24))/G577,"spécifier histo"))</f>
        <v>0</v>
      </c>
      <c r="F577" s="59" t="n">
        <v>1000</v>
      </c>
      <c r="G577" s="59" t="n">
        <f aca="false">F577-H577</f>
        <v>600</v>
      </c>
      <c r="H577" s="58" t="n">
        <v>400</v>
      </c>
      <c r="J577" s="55"/>
    </row>
    <row r="578" customFormat="false" ht="19.85" hidden="false" customHeight="true" outlineLevel="0" collapsed="false">
      <c r="A578" s="0" t="n">
        <v>31</v>
      </c>
      <c r="B578" s="31" t="n">
        <v>42856</v>
      </c>
      <c r="C578" s="9" t="n">
        <v>68882</v>
      </c>
      <c r="D578" s="57" t="s">
        <v>42</v>
      </c>
      <c r="E578" s="33" t="n">
        <f aca="false">IF(D578="totale",(C578/(A578*24))/F578,IF(D578="marché libre",(C578/(A578*24))/G578,"spécifier histo"))</f>
        <v>0.154305555555556</v>
      </c>
      <c r="F578" s="59" t="n">
        <v>1000</v>
      </c>
      <c r="G578" s="59" t="n">
        <f aca="false">F578-H578</f>
        <v>600</v>
      </c>
      <c r="H578" s="58" t="n">
        <v>400</v>
      </c>
      <c r="J578" s="55"/>
    </row>
    <row r="579" customFormat="false" ht="22.45" hidden="false" customHeight="true" outlineLevel="0" collapsed="false">
      <c r="A579" s="0" t="n">
        <v>30</v>
      </c>
      <c r="B579" s="34" t="n">
        <v>42887</v>
      </c>
      <c r="C579" s="9" t="n">
        <v>244703</v>
      </c>
      <c r="D579" s="57" t="s">
        <v>42</v>
      </c>
      <c r="E579" s="33" t="n">
        <f aca="false">IF(D579="totale",(C579/(A579*24))/F579,IF(D579="marché libre",(C579/(A579*24))/G579,"spécifier histo"))</f>
        <v>0.56644212962963</v>
      </c>
      <c r="F579" s="59" t="n">
        <v>1000</v>
      </c>
      <c r="G579" s="59" t="n">
        <f aca="false">F579-H579</f>
        <v>600</v>
      </c>
      <c r="H579" s="58" t="n">
        <v>400</v>
      </c>
      <c r="J579" s="55"/>
    </row>
    <row r="580" customFormat="false" ht="21.65" hidden="false" customHeight="true" outlineLevel="0" collapsed="false">
      <c r="A580" s="0" t="n">
        <v>31</v>
      </c>
      <c r="B580" s="31" t="n">
        <v>42917</v>
      </c>
      <c r="C580" s="9" t="n">
        <v>244612</v>
      </c>
      <c r="D580" s="57" t="s">
        <v>42</v>
      </c>
      <c r="E580" s="33" t="n">
        <f aca="false">IF(D580="totale",(C580/(A580*24))/F580,IF(D580="marché libre",(C580/(A580*24))/G580,"spécifier histo"))</f>
        <v>0.547965949820788</v>
      </c>
      <c r="F580" s="59" t="n">
        <v>1000</v>
      </c>
      <c r="G580" s="59" t="n">
        <f aca="false">F580-H580</f>
        <v>600</v>
      </c>
      <c r="H580" s="58" t="n">
        <v>400</v>
      </c>
      <c r="J580" s="55"/>
    </row>
    <row r="581" customFormat="false" ht="21.65" hidden="false" customHeight="true" outlineLevel="0" collapsed="false">
      <c r="A581" s="0" t="n">
        <v>31</v>
      </c>
      <c r="B581" s="34" t="n">
        <v>42948</v>
      </c>
      <c r="C581" s="9" t="n">
        <v>175993</v>
      </c>
      <c r="D581" s="57" t="s">
        <v>42</v>
      </c>
      <c r="E581" s="33" t="n">
        <f aca="false">IF(D581="totale",(C581/(A581*24))/F581,IF(D581="marché libre",(C581/(A581*24))/G581,"spécifier histo"))</f>
        <v>0.394249551971326</v>
      </c>
      <c r="F581" s="59" t="n">
        <v>1000</v>
      </c>
      <c r="G581" s="59" t="n">
        <f aca="false">F581-H581</f>
        <v>600</v>
      </c>
      <c r="H581" s="58" t="n">
        <v>400</v>
      </c>
      <c r="J581" s="55"/>
    </row>
    <row r="582" customFormat="false" ht="21.65" hidden="false" customHeight="true" outlineLevel="0" collapsed="false">
      <c r="A582" s="0" t="n">
        <v>30</v>
      </c>
      <c r="B582" s="31" t="n">
        <v>42979</v>
      </c>
      <c r="C582" s="9" t="n">
        <v>105901</v>
      </c>
      <c r="D582" s="57" t="s">
        <v>42</v>
      </c>
      <c r="E582" s="33" t="n">
        <f aca="false">IF(D582="totale",(C582/(A582*24))/F582,IF(D582="marché libre",(C582/(A582*24))/G582,"spécifier histo"))</f>
        <v>0.245141203703704</v>
      </c>
      <c r="F582" s="59" t="n">
        <v>1000</v>
      </c>
      <c r="G582" s="59" t="n">
        <f aca="false">F582-H582</f>
        <v>600</v>
      </c>
      <c r="H582" s="58" t="n">
        <v>400</v>
      </c>
      <c r="J582" s="55"/>
    </row>
    <row r="583" customFormat="false" ht="21.65" hidden="false" customHeight="true" outlineLevel="0" collapsed="false">
      <c r="A583" s="0" t="n">
        <v>31</v>
      </c>
      <c r="B583" s="34" t="n">
        <v>43009</v>
      </c>
      <c r="C583" s="9" t="n">
        <v>49309</v>
      </c>
      <c r="D583" s="57" t="s">
        <v>42</v>
      </c>
      <c r="E583" s="33" t="n">
        <f aca="false">IF(D583="totale",(C583/(A583*24))/F583,IF(D583="marché libre",(C583/(A583*24))/G583,"spécifier histo"))</f>
        <v>0.110459229390681</v>
      </c>
      <c r="F583" s="59" t="n">
        <v>1000</v>
      </c>
      <c r="G583" s="59" t="n">
        <f aca="false">F583-H583</f>
        <v>600</v>
      </c>
      <c r="H583" s="58" t="n">
        <v>400</v>
      </c>
      <c r="J583" s="55"/>
    </row>
    <row r="584" customFormat="false" ht="21.65" hidden="false" customHeight="true" outlineLevel="0" collapsed="false">
      <c r="A584" s="0" t="n">
        <v>30</v>
      </c>
      <c r="B584" s="31" t="n">
        <v>43040</v>
      </c>
      <c r="C584" s="9" t="n">
        <v>18422</v>
      </c>
      <c r="D584" s="57" t="s">
        <v>42</v>
      </c>
      <c r="E584" s="33" t="n">
        <f aca="false">IF(D584="totale",(C584/(A584*24))/F584,IF(D584="marché libre",(C584/(A584*24))/G584,"spécifier histo"))</f>
        <v>0.0426435185185185</v>
      </c>
      <c r="F584" s="59" t="n">
        <v>1000</v>
      </c>
      <c r="G584" s="59" t="n">
        <f aca="false">F584-H584</f>
        <v>600</v>
      </c>
      <c r="H584" s="58" t="n">
        <v>400</v>
      </c>
      <c r="J584" s="55"/>
    </row>
    <row r="585" customFormat="false" ht="21.65" hidden="false" customHeight="true" outlineLevel="0" collapsed="false">
      <c r="A585" s="0" t="n">
        <v>31</v>
      </c>
      <c r="B585" s="34" t="n">
        <v>43070</v>
      </c>
      <c r="C585" s="9" t="n">
        <v>9975</v>
      </c>
      <c r="D585" s="57" t="s">
        <v>42</v>
      </c>
      <c r="E585" s="33" t="n">
        <f aca="false">IF(D585="totale",(C585/(A585*24))/F585,IF(D585="marché libre",(C585/(A585*24))/G585,"spécifier histo"))</f>
        <v>0.0223454301075269</v>
      </c>
      <c r="F585" s="59" t="n">
        <v>1000</v>
      </c>
      <c r="G585" s="59" t="n">
        <f aca="false">F585-H585</f>
        <v>600</v>
      </c>
      <c r="H585" s="58" t="n">
        <v>400</v>
      </c>
      <c r="J585" s="55"/>
    </row>
    <row r="586" customFormat="false" ht="21.95" hidden="false" customHeight="true" outlineLevel="0" collapsed="false">
      <c r="A586" s="0" t="n">
        <v>31</v>
      </c>
      <c r="B586" s="34" t="n">
        <v>43101</v>
      </c>
      <c r="C586" s="9" t="n">
        <v>256831</v>
      </c>
      <c r="D586" s="57" t="s">
        <v>42</v>
      </c>
      <c r="E586" s="33" t="n">
        <f aca="false">IF(D586="totale",(C586/(A586*24))/F586,IF(D586="marché libre",(C586/(A586*24))/G586,"spécifier histo"))</f>
        <v>0.575338261648745</v>
      </c>
      <c r="F586" s="59" t="n">
        <v>1000</v>
      </c>
      <c r="G586" s="59" t="n">
        <f aca="false">F586-H586</f>
        <v>600</v>
      </c>
      <c r="H586" s="1" t="n">
        <v>400</v>
      </c>
      <c r="J586" s="55"/>
    </row>
    <row r="587" customFormat="false" ht="28.35" hidden="false" customHeight="true" outlineLevel="0" collapsed="false">
      <c r="A587" s="0" t="n">
        <v>28</v>
      </c>
      <c r="B587" s="34" t="n">
        <v>43132</v>
      </c>
      <c r="C587" s="255" t="n">
        <v>256831</v>
      </c>
      <c r="D587" s="57" t="s">
        <v>42</v>
      </c>
      <c r="E587" s="33" t="n">
        <f aca="false">IF(D587="totale",(C587/(A587*24))/F587,IF(D587="marché libre",(C587/(A587*24))/G587,"spécifier histo"))</f>
        <v>0.636981646825397</v>
      </c>
      <c r="F587" s="59" t="n">
        <v>1000</v>
      </c>
      <c r="G587" s="59" t="n">
        <f aca="false">F587-H587</f>
        <v>600</v>
      </c>
      <c r="H587" s="58" t="n">
        <v>400</v>
      </c>
    </row>
    <row r="588" customFormat="false" ht="28.35" hidden="false" customHeight="true" outlineLevel="0" collapsed="false">
      <c r="A588" s="0" t="n">
        <v>31</v>
      </c>
      <c r="B588" s="34" t="n">
        <v>43160</v>
      </c>
      <c r="C588" s="255" t="n">
        <v>116641</v>
      </c>
      <c r="D588" s="57" t="s">
        <v>42</v>
      </c>
      <c r="E588" s="33" t="n">
        <f aca="false">IF(D588="totale",(C588/(A588*24))/F588,IF(D588="marché libre",(C588/(A588*24))/G588,"spécifier histo"))</f>
        <v>0.261292562724014</v>
      </c>
      <c r="F588" s="59" t="n">
        <v>1000</v>
      </c>
      <c r="G588" s="59" t="n">
        <f aca="false">F588-H588</f>
        <v>600</v>
      </c>
      <c r="H588" s="1" t="n">
        <v>400</v>
      </c>
    </row>
    <row r="589" customFormat="false" ht="28.35" hidden="false" customHeight="true" outlineLevel="0" collapsed="false">
      <c r="A589" s="0" t="n">
        <v>30</v>
      </c>
      <c r="B589" s="34" t="n">
        <v>43191</v>
      </c>
      <c r="C589" s="255" t="n">
        <v>53921</v>
      </c>
      <c r="D589" s="57" t="s">
        <v>42</v>
      </c>
      <c r="E589" s="33" t="n">
        <f aca="false">IF(D589="totale",(C589/(A589*24))/F589,IF(D589="marché libre",(C589/(A589*24))/G589,"spécifier histo"))</f>
        <v>0.12481712962963</v>
      </c>
      <c r="F589" s="59" t="n">
        <v>1000</v>
      </c>
      <c r="G589" s="59" t="n">
        <f aca="false">F589-H589</f>
        <v>600</v>
      </c>
      <c r="H589" s="58" t="n">
        <v>400</v>
      </c>
    </row>
    <row r="590" customFormat="false" ht="28.35" hidden="false" customHeight="true" outlineLevel="0" collapsed="false">
      <c r="A590" s="0" t="n">
        <v>31</v>
      </c>
      <c r="B590" s="34" t="n">
        <v>43221</v>
      </c>
      <c r="C590" s="255" t="n">
        <v>216370</v>
      </c>
      <c r="D590" s="57" t="s">
        <v>42</v>
      </c>
      <c r="E590" s="33" t="n">
        <f aca="false">IF(D590="totale",(C590/(A590*24))/F590,IF(D590="marché libre",(C590/(A590*24))/G590,"spécifier histo"))</f>
        <v>0.48469982078853</v>
      </c>
      <c r="F590" s="59" t="n">
        <v>1000</v>
      </c>
      <c r="G590" s="59" t="n">
        <f aca="false">F590-H590</f>
        <v>600</v>
      </c>
      <c r="H590" s="1" t="n">
        <v>400</v>
      </c>
    </row>
    <row r="591" customFormat="false" ht="28.35" hidden="false" customHeight="true" outlineLevel="0" collapsed="false">
      <c r="A591" s="0" t="n">
        <v>30</v>
      </c>
      <c r="B591" s="34" t="n">
        <v>43252</v>
      </c>
      <c r="C591" s="255" t="n">
        <v>467780</v>
      </c>
      <c r="D591" s="57" t="s">
        <v>42</v>
      </c>
      <c r="E591" s="33" t="n">
        <f aca="false">IF(D591="totale",(C591/(A591*24))/F591,IF(D591="marché libre",(C591/(A591*24))/G591,"spécifier histo"))</f>
        <v>1.08282407407407</v>
      </c>
      <c r="F591" s="59" t="n">
        <v>1000</v>
      </c>
      <c r="G591" s="59" t="n">
        <f aca="false">F591-H591</f>
        <v>600</v>
      </c>
      <c r="H591" s="58" t="n">
        <v>400</v>
      </c>
    </row>
    <row r="592" customFormat="false" ht="28.35" hidden="false" customHeight="true" outlineLevel="0" collapsed="false">
      <c r="A592" s="0" t="n">
        <v>31</v>
      </c>
      <c r="B592" s="34" t="n">
        <v>43282</v>
      </c>
      <c r="C592" s="255" t="n">
        <v>455661</v>
      </c>
      <c r="D592" s="57" t="s">
        <v>42</v>
      </c>
      <c r="E592" s="33" t="n">
        <f aca="false">IF(D592="totale",(C592/(A592*24))/F592,IF(D592="marché libre",(C592/(A592*24))/G592,"spécifier histo"))</f>
        <v>1.02074596774194</v>
      </c>
      <c r="F592" s="59" t="n">
        <v>1000</v>
      </c>
      <c r="G592" s="59" t="n">
        <f aca="false">F592-H592</f>
        <v>600</v>
      </c>
      <c r="H592" s="1" t="n">
        <v>400</v>
      </c>
    </row>
    <row r="593" customFormat="false" ht="28.35" hidden="false" customHeight="true" outlineLevel="0" collapsed="false">
      <c r="A593" s="0" t="n">
        <v>31</v>
      </c>
      <c r="B593" s="34" t="n">
        <v>43313</v>
      </c>
      <c r="C593" s="255" t="n">
        <v>369661</v>
      </c>
      <c r="D593" s="57" t="s">
        <v>42</v>
      </c>
      <c r="E593" s="33" t="n">
        <f aca="false">IF(D593="totale",(C593/(A593*24))/F593,IF(D593="marché libre",(C593/(A593*24))/G593,"spécifier histo"))</f>
        <v>0.828093637992832</v>
      </c>
      <c r="F593" s="59" t="n">
        <v>1000</v>
      </c>
      <c r="G593" s="59" t="n">
        <f aca="false">F593-H593</f>
        <v>600</v>
      </c>
      <c r="H593" s="58" t="n">
        <v>400</v>
      </c>
    </row>
    <row r="594" customFormat="false" ht="28.35" hidden="false" customHeight="true" outlineLevel="0" collapsed="false">
      <c r="A594" s="0"/>
    </row>
    <row r="595" customFormat="false" ht="28.35" hidden="false" customHeight="true" outlineLevel="0" collapsed="false">
      <c r="A595" s="0"/>
    </row>
    <row r="596" customFormat="false" ht="28.35" hidden="false" customHeight="true" outlineLevel="0" collapsed="false">
      <c r="A596" s="0"/>
    </row>
    <row r="597" customFormat="false" ht="28.35" hidden="false" customHeight="true" outlineLevel="0" collapsed="false">
      <c r="A597" s="0"/>
    </row>
    <row r="598" customFormat="false" ht="28.35" hidden="false" customHeight="true" outlineLevel="0" collapsed="false">
      <c r="A598" s="0"/>
    </row>
    <row r="599" customFormat="false" ht="28.35" hidden="false" customHeight="true" outlineLevel="0" collapsed="false">
      <c r="A599" s="0"/>
    </row>
    <row r="600" customFormat="false" ht="28.35" hidden="false" customHeight="true" outlineLevel="0" collapsed="false">
      <c r="A600" s="0"/>
    </row>
    <row r="601" customFormat="false" ht="28.35" hidden="false" customHeight="true" outlineLevel="0" collapsed="false">
      <c r="A601" s="0"/>
    </row>
    <row r="602" customFormat="false" ht="28.35" hidden="false" customHeight="true" outlineLevel="0" collapsed="false">
      <c r="A602" s="0"/>
    </row>
    <row r="603" customFormat="false" ht="28.35" hidden="false" customHeight="true" outlineLevel="0" collapsed="false">
      <c r="A603" s="0"/>
    </row>
    <row r="604" customFormat="false" ht="28.35" hidden="false" customHeight="true" outlineLevel="0" collapsed="false">
      <c r="A604" s="0"/>
    </row>
    <row r="605" customFormat="false" ht="28.35" hidden="false" customHeight="true" outlineLevel="0" collapsed="false">
      <c r="A605" s="0"/>
    </row>
    <row r="606" customFormat="false" ht="28.35" hidden="false" customHeight="true" outlineLevel="0" collapsed="false">
      <c r="A606" s="0"/>
    </row>
    <row r="607" customFormat="false" ht="28.35" hidden="false" customHeight="true" outlineLevel="0" collapsed="false">
      <c r="A607" s="0"/>
    </row>
    <row r="608" customFormat="false" ht="28.35" hidden="false" customHeight="true" outlineLevel="0" collapsed="false">
      <c r="A608" s="0"/>
    </row>
    <row r="609" customFormat="false" ht="28.35" hidden="false" customHeight="true" outlineLevel="0" collapsed="false">
      <c r="A609" s="0"/>
    </row>
    <row r="610" customFormat="false" ht="28.35" hidden="false" customHeight="true" outlineLevel="0" collapsed="false">
      <c r="A610" s="0"/>
    </row>
    <row r="611" customFormat="false" ht="28.35" hidden="false" customHeight="true" outlineLevel="0" collapsed="false">
      <c r="A611" s="0"/>
    </row>
    <row r="612" customFormat="false" ht="28.35" hidden="false" customHeight="true" outlineLevel="0" collapsed="false">
      <c r="A612" s="0"/>
    </row>
    <row r="613" customFormat="false" ht="28.35" hidden="false" customHeight="true" outlineLevel="0" collapsed="false">
      <c r="A613" s="0"/>
    </row>
    <row r="614" customFormat="false" ht="28.35" hidden="false" customHeight="true" outlineLevel="0" collapsed="false">
      <c r="A614" s="0"/>
    </row>
    <row r="615" customFormat="false" ht="28.35" hidden="false" customHeight="true" outlineLevel="0" collapsed="false">
      <c r="A615" s="0"/>
    </row>
    <row r="616" customFormat="false" ht="28.35" hidden="false" customHeight="true" outlineLevel="0" collapsed="false">
      <c r="A616" s="0"/>
    </row>
    <row r="617" customFormat="false" ht="28.35" hidden="false" customHeight="true" outlineLevel="0" collapsed="false">
      <c r="A617" s="0"/>
    </row>
    <row r="618" customFormat="false" ht="28.35" hidden="false" customHeight="true" outlineLevel="0" collapsed="false">
      <c r="A618" s="0"/>
    </row>
    <row r="619" customFormat="false" ht="28.35" hidden="false" customHeight="true" outlineLevel="0" collapsed="false">
      <c r="A619" s="0"/>
    </row>
    <row r="620" customFormat="false" ht="28.35" hidden="false" customHeight="true" outlineLevel="0" collapsed="false">
      <c r="A620" s="0"/>
    </row>
    <row r="621" customFormat="false" ht="28.35" hidden="false" customHeight="true" outlineLevel="0" collapsed="false">
      <c r="A621" s="0"/>
    </row>
    <row r="622" customFormat="false" ht="28.35" hidden="false" customHeight="true" outlineLevel="0" collapsed="false">
      <c r="A622" s="0"/>
    </row>
    <row r="623" customFormat="false" ht="28.35" hidden="false" customHeight="true" outlineLevel="0" collapsed="false">
      <c r="A623" s="0"/>
    </row>
    <row r="624" customFormat="false" ht="28.35" hidden="false" customHeight="true" outlineLevel="0" collapsed="false">
      <c r="A624" s="0"/>
    </row>
    <row r="625" customFormat="false" ht="28.35" hidden="false" customHeight="true" outlineLevel="0" collapsed="false">
      <c r="A625" s="0"/>
    </row>
    <row r="626" customFormat="false" ht="28.35" hidden="false" customHeight="true" outlineLevel="0" collapsed="false">
      <c r="A626" s="0"/>
    </row>
    <row r="627" customFormat="false" ht="28.35" hidden="false" customHeight="true" outlineLevel="0" collapsed="false">
      <c r="A627" s="0"/>
    </row>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59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xl/worksheets/sheet20.xml><?xml version="1.0" encoding="utf-8"?>
<worksheet xmlns="http://schemas.openxmlformats.org/spreadsheetml/2006/main" xmlns:r="http://schemas.openxmlformats.org/officeDocument/2006/relationships">
  <sheetPr filterMode="false">
    <tabColor rgb="FF00CC33"/>
    <pageSetUpPr fitToPage="false"/>
  </sheetPr>
  <dimension ref="A1:AD21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84" activePane="bottomRight" state="frozen"/>
      <selection pane="topLeft" activeCell="A1" activeCellId="0" sqref="A1"/>
      <selection pane="topRight" activeCell="B1" activeCellId="0" sqref="B1"/>
      <selection pane="bottomLeft" activeCell="A184" activeCellId="0" sqref="A184"/>
      <selection pane="bottomRight" activeCell="B190" activeCellId="0" sqref="B19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316</v>
      </c>
      <c r="C4" s="5" t="n">
        <v>40663</v>
      </c>
      <c r="D4" s="5" t="s">
        <v>317</v>
      </c>
      <c r="E4" s="14" t="s">
        <v>318</v>
      </c>
      <c r="F4" s="15" t="n">
        <v>1500</v>
      </c>
      <c r="G4" s="15" t="n">
        <v>1200</v>
      </c>
      <c r="H4" s="15" t="n">
        <v>1000</v>
      </c>
      <c r="I4" s="16" t="s">
        <v>319</v>
      </c>
      <c r="J4" s="15" t="s">
        <v>320</v>
      </c>
      <c r="K4" s="16" t="s">
        <v>66</v>
      </c>
      <c r="L4" s="16" t="s">
        <v>321</v>
      </c>
      <c r="M4" s="16" t="s">
        <v>322</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68" t="s">
        <v>323</v>
      </c>
      <c r="H6" s="268"/>
      <c r="I6" s="268"/>
      <c r="J6" s="268"/>
      <c r="K6" s="268"/>
      <c r="L6" s="268"/>
      <c r="M6" s="268"/>
      <c r="N6" s="268"/>
      <c r="P6" s="21" t="n">
        <v>42370</v>
      </c>
      <c r="Q6" s="19" t="s">
        <v>27</v>
      </c>
      <c r="R6" s="9"/>
      <c r="S6" s="22"/>
      <c r="T6" s="5" t="s">
        <v>28</v>
      </c>
    </row>
    <row r="7" customFormat="false" ht="41.65" hidden="false" customHeight="true" outlineLevel="0" collapsed="false">
      <c r="A7" s="0"/>
      <c r="B7" s="0"/>
      <c r="C7" s="7" t="s">
        <v>324</v>
      </c>
      <c r="D7" s="7"/>
      <c r="F7" s="20"/>
      <c r="G7" s="20"/>
      <c r="H7" s="268"/>
      <c r="I7" s="268"/>
      <c r="J7" s="268"/>
      <c r="K7" s="268"/>
      <c r="L7" s="268"/>
      <c r="M7" s="268"/>
      <c r="N7" s="268"/>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0.5" hidden="false" customHeight="true" outlineLevel="0" collapsed="false">
      <c r="A10" s="0" t="n">
        <v>31</v>
      </c>
      <c r="B10" s="31" t="n">
        <v>37987</v>
      </c>
      <c r="C10" s="26" t="n">
        <v>562965</v>
      </c>
      <c r="D10" s="29" t="s">
        <v>41</v>
      </c>
      <c r="E10" s="33" t="n">
        <f aca="false">IF(D10="totale",(C10/(A10*24))/F10,IF(D10="marché libre",(C10/(A10*24))/G10,"spécifier histo"))</f>
        <v>0.630561155913978</v>
      </c>
      <c r="F10" s="59" t="n">
        <v>1200</v>
      </c>
      <c r="G10" s="59" t="n">
        <f aca="false">F10-H10</f>
        <v>1200</v>
      </c>
      <c r="H10" s="58" t="n">
        <v>0</v>
      </c>
      <c r="I10" s="9"/>
      <c r="J10" s="0"/>
      <c r="K10" s="0"/>
      <c r="L10" s="0"/>
      <c r="M10" s="0"/>
      <c r="N10" s="0"/>
      <c r="O10" s="0"/>
      <c r="P10" s="0"/>
      <c r="Q10" s="0"/>
      <c r="R10" s="0"/>
    </row>
    <row r="11" customFormat="false" ht="20.5" hidden="false" customHeight="true" outlineLevel="0" collapsed="false">
      <c r="A11" s="0" t="n">
        <v>28</v>
      </c>
      <c r="B11" s="34" t="n">
        <v>38018</v>
      </c>
      <c r="C11" s="26" t="n">
        <v>458655</v>
      </c>
      <c r="D11" s="29" t="s">
        <v>41</v>
      </c>
      <c r="E11" s="33" t="n">
        <f aca="false">IF(D11="totale",(C11/(A11*24))/F11,IF(D11="marché libre",(C11/(A11*24))/G11,"spécifier histo"))</f>
        <v>0.568768601190476</v>
      </c>
      <c r="F11" s="59" t="n">
        <v>1200</v>
      </c>
      <c r="G11" s="59" t="n">
        <f aca="false">F11-H11</f>
        <v>1200</v>
      </c>
      <c r="H11" s="58" t="n">
        <v>0</v>
      </c>
      <c r="I11" s="9"/>
      <c r="J11" s="0"/>
      <c r="K11" s="206"/>
      <c r="L11" s="206"/>
      <c r="M11" s="206"/>
      <c r="N11" s="206"/>
      <c r="O11" s="206"/>
      <c r="P11" s="206"/>
      <c r="Q11" s="206"/>
      <c r="R11" s="206"/>
      <c r="S11" s="269"/>
      <c r="T11" s="269"/>
      <c r="U11" s="269"/>
      <c r="V11" s="269"/>
      <c r="W11" s="269"/>
    </row>
    <row r="12" customFormat="false" ht="20.5" hidden="false" customHeight="true" outlineLevel="0" collapsed="false">
      <c r="A12" s="0" t="n">
        <v>31</v>
      </c>
      <c r="B12" s="31" t="n">
        <v>38047</v>
      </c>
      <c r="C12" s="26" t="n">
        <v>465834</v>
      </c>
      <c r="D12" s="29" t="s">
        <v>41</v>
      </c>
      <c r="E12" s="33" t="n">
        <f aca="false">IF(D12="totale",(C12/(A12*24))/F12,IF(D12="marché libre",(C12/(A12*24))/G12,"spécifier histo"))</f>
        <v>0.52176747311828</v>
      </c>
      <c r="F12" s="59" t="n">
        <v>1200</v>
      </c>
      <c r="G12" s="59" t="n">
        <f aca="false">F12-H12</f>
        <v>1200</v>
      </c>
      <c r="H12" s="58" t="n">
        <v>0</v>
      </c>
      <c r="I12" s="9"/>
      <c r="J12" s="0"/>
      <c r="K12" s="26" t="n">
        <v>1</v>
      </c>
      <c r="L12" s="26" t="n">
        <v>562965</v>
      </c>
      <c r="M12" s="26" t="n">
        <v>425128</v>
      </c>
      <c r="N12" s="26" t="n">
        <v>346169</v>
      </c>
      <c r="O12" s="26" t="n">
        <v>521938</v>
      </c>
      <c r="P12" s="26" t="n">
        <v>540974</v>
      </c>
      <c r="Q12" s="26" t="n">
        <v>422956</v>
      </c>
      <c r="R12" s="26" t="n">
        <v>397098</v>
      </c>
      <c r="S12" s="1" t="n">
        <v>405890</v>
      </c>
      <c r="T12" s="1" t="n">
        <v>713767</v>
      </c>
      <c r="U12" s="1" t="n">
        <v>515306</v>
      </c>
      <c r="V12" s="0"/>
      <c r="W12" s="0"/>
    </row>
    <row r="13" customFormat="false" ht="20.5" hidden="false" customHeight="true" outlineLevel="0" collapsed="false">
      <c r="A13" s="0" t="n">
        <v>30</v>
      </c>
      <c r="B13" s="34" t="n">
        <v>38078</v>
      </c>
      <c r="C13" s="26" t="n">
        <v>257129</v>
      </c>
      <c r="D13" s="29" t="s">
        <v>41</v>
      </c>
      <c r="E13" s="33" t="n">
        <f aca="false">IF(D13="totale",(C13/(A13*24))/F13,IF(D13="marché libre",(C13/(A13*24))/G13,"spécifier histo"))</f>
        <v>0.297603009259259</v>
      </c>
      <c r="F13" s="59" t="n">
        <v>1200</v>
      </c>
      <c r="G13" s="59" t="n">
        <f aca="false">F13-H13</f>
        <v>1200</v>
      </c>
      <c r="H13" s="58" t="n">
        <v>0</v>
      </c>
      <c r="I13" s="9"/>
      <c r="J13" s="0"/>
      <c r="K13" s="26" t="n">
        <v>2</v>
      </c>
      <c r="L13" s="26" t="n">
        <v>458655</v>
      </c>
      <c r="M13" s="26" t="n">
        <v>313610</v>
      </c>
      <c r="N13" s="26" t="n">
        <v>364239</v>
      </c>
      <c r="O13" s="26" t="n">
        <v>511084</v>
      </c>
      <c r="P13" s="26" t="n">
        <v>225045</v>
      </c>
      <c r="Q13" s="26" t="n">
        <v>363044</v>
      </c>
      <c r="R13" s="26" t="n">
        <v>451840</v>
      </c>
      <c r="S13" s="26" t="n">
        <v>108300</v>
      </c>
      <c r="T13" s="26" t="n">
        <v>109298</v>
      </c>
      <c r="U13" s="26" t="n">
        <v>390556</v>
      </c>
      <c r="V13" s="0"/>
      <c r="W13" s="0"/>
    </row>
    <row r="14" customFormat="false" ht="20.5" hidden="false" customHeight="true" outlineLevel="0" collapsed="false">
      <c r="A14" s="0" t="n">
        <v>31</v>
      </c>
      <c r="B14" s="31" t="n">
        <v>38108</v>
      </c>
      <c r="C14" s="26" t="n">
        <v>225735</v>
      </c>
      <c r="D14" s="29" t="s">
        <v>41</v>
      </c>
      <c r="E14" s="33" t="n">
        <f aca="false">IF(D14="totale",(C14/(A14*24))/F14,IF(D14="marché libre",(C14/(A14*24))/G14,"spécifier histo"))</f>
        <v>0.25283938172043</v>
      </c>
      <c r="F14" s="59" t="n">
        <v>1200</v>
      </c>
      <c r="G14" s="59" t="n">
        <f aca="false">F14-H14</f>
        <v>1200</v>
      </c>
      <c r="H14" s="58" t="n">
        <v>0</v>
      </c>
      <c r="I14" s="9"/>
      <c r="J14" s="0"/>
      <c r="K14" s="26" t="n">
        <v>3</v>
      </c>
      <c r="L14" s="26" t="n">
        <v>465834</v>
      </c>
      <c r="M14" s="26" t="n">
        <v>493369</v>
      </c>
      <c r="N14" s="26" t="n">
        <v>802706</v>
      </c>
      <c r="O14" s="26" t="n">
        <v>586495</v>
      </c>
      <c r="P14" s="26" t="n">
        <v>496600</v>
      </c>
      <c r="Q14" s="26" t="n">
        <v>672012</v>
      </c>
      <c r="R14" s="26" t="n">
        <v>485400</v>
      </c>
      <c r="S14" s="26" t="n">
        <v>274800</v>
      </c>
      <c r="T14" s="26" t="n">
        <v>221096</v>
      </c>
      <c r="U14" s="26" t="n">
        <v>605824</v>
      </c>
      <c r="V14" s="0"/>
      <c r="W14" s="0"/>
    </row>
    <row r="15" customFormat="false" ht="20.5" hidden="false" customHeight="true" outlineLevel="0" collapsed="false">
      <c r="A15" s="0" t="n">
        <v>30</v>
      </c>
      <c r="B15" s="34" t="n">
        <v>38139</v>
      </c>
      <c r="C15" s="26" t="n">
        <v>0</v>
      </c>
      <c r="D15" s="29" t="s">
        <v>41</v>
      </c>
      <c r="E15" s="33" t="n">
        <f aca="false">IF(D15="totale",(C15/(A15*24))/F15,IF(D15="marché libre",(C15/(A15*24))/G15,"spécifier histo"))</f>
        <v>0</v>
      </c>
      <c r="F15" s="59" t="n">
        <v>1200</v>
      </c>
      <c r="G15" s="59" t="n">
        <f aca="false">F15-H15</f>
        <v>1200</v>
      </c>
      <c r="H15" s="58" t="n">
        <v>0</v>
      </c>
      <c r="I15" s="9"/>
      <c r="J15" s="30"/>
      <c r="K15" s="1" t="n">
        <v>4</v>
      </c>
      <c r="L15" s="26" t="n">
        <v>257129</v>
      </c>
      <c r="M15" s="26" t="n">
        <v>566492</v>
      </c>
      <c r="N15" s="26" t="n">
        <v>471817</v>
      </c>
      <c r="O15" s="26" t="n">
        <v>160995</v>
      </c>
      <c r="P15" s="26" t="n">
        <v>616800</v>
      </c>
      <c r="Q15" s="26" t="n">
        <v>189106</v>
      </c>
      <c r="R15" s="26" t="n">
        <v>308911</v>
      </c>
      <c r="S15" s="26" t="n">
        <v>65786</v>
      </c>
      <c r="T15" s="26" t="n">
        <v>549400</v>
      </c>
      <c r="U15" s="26" t="n">
        <v>546448</v>
      </c>
      <c r="V15" s="0"/>
      <c r="W15" s="0"/>
    </row>
    <row r="16" customFormat="false" ht="20.5" hidden="false" customHeight="true" outlineLevel="0" collapsed="false">
      <c r="A16" s="0" t="n">
        <v>31</v>
      </c>
      <c r="B16" s="31" t="n">
        <v>38169</v>
      </c>
      <c r="C16" s="26" t="n">
        <v>0</v>
      </c>
      <c r="D16" s="29" t="s">
        <v>41</v>
      </c>
      <c r="E16" s="33" t="n">
        <f aca="false">IF(D16="totale",(C16/(A16*24))/F16,IF(D16="marché libre",(C16/(A16*24))/G16,"spécifier histo"))</f>
        <v>0</v>
      </c>
      <c r="F16" s="59" t="n">
        <v>1200</v>
      </c>
      <c r="G16" s="59" t="n">
        <f aca="false">F16-H16</f>
        <v>1200</v>
      </c>
      <c r="H16" s="58" t="n">
        <v>0</v>
      </c>
      <c r="I16" s="9"/>
      <c r="J16" s="30"/>
      <c r="K16" s="1" t="n">
        <v>5</v>
      </c>
      <c r="L16" s="26" t="n">
        <v>225735</v>
      </c>
      <c r="M16" s="26" t="n">
        <v>271928</v>
      </c>
      <c r="N16" s="26" t="n">
        <v>319046</v>
      </c>
      <c r="O16" s="26" t="n">
        <v>325600</v>
      </c>
      <c r="P16" s="26" t="n">
        <v>161091</v>
      </c>
      <c r="Q16" s="26" t="n">
        <v>47507</v>
      </c>
      <c r="R16" s="26" t="n">
        <v>0</v>
      </c>
      <c r="S16" s="26" t="n">
        <v>0</v>
      </c>
      <c r="T16" s="26" t="n">
        <v>269094</v>
      </c>
      <c r="U16" s="26" t="n">
        <v>649084</v>
      </c>
      <c r="V16" s="0"/>
      <c r="W16" s="0"/>
    </row>
    <row r="17" customFormat="false" ht="20.5" hidden="false" customHeight="true" outlineLevel="0" collapsed="false">
      <c r="A17" s="0" t="n">
        <v>31</v>
      </c>
      <c r="B17" s="34" t="n">
        <v>38200</v>
      </c>
      <c r="C17" s="26" t="n">
        <v>147261</v>
      </c>
      <c r="D17" s="29" t="s">
        <v>41</v>
      </c>
      <c r="E17" s="33" t="n">
        <f aca="false">IF(D17="totale",(C17/(A17*24))/F17,IF(D17="marché libre",(C17/(A17*24))/G17,"spécifier histo"))</f>
        <v>0.164942876344086</v>
      </c>
      <c r="F17" s="59" t="n">
        <v>1200</v>
      </c>
      <c r="G17" s="59" t="n">
        <f aca="false">F17-H17</f>
        <v>1200</v>
      </c>
      <c r="H17" s="58" t="n">
        <v>0</v>
      </c>
      <c r="I17" s="9"/>
      <c r="J17" s="30"/>
      <c r="K17" s="1" t="n">
        <v>6</v>
      </c>
      <c r="L17" s="26" t="n">
        <v>0</v>
      </c>
      <c r="M17" s="26" t="n">
        <v>10517</v>
      </c>
      <c r="N17" s="26" t="n">
        <v>18522</v>
      </c>
      <c r="O17" s="26" t="n">
        <v>568800</v>
      </c>
      <c r="P17" s="26" t="n">
        <v>390795</v>
      </c>
      <c r="Q17" s="26" t="n">
        <v>22400</v>
      </c>
      <c r="R17" s="26" t="n">
        <v>0</v>
      </c>
      <c r="S17" s="26" t="n">
        <v>78000</v>
      </c>
      <c r="T17" s="26" t="n">
        <v>316583</v>
      </c>
      <c r="U17" s="26" t="n">
        <v>316279</v>
      </c>
      <c r="V17" s="0"/>
      <c r="W17" s="0"/>
    </row>
    <row r="18" customFormat="false" ht="20.5" hidden="false" customHeight="true" outlineLevel="0" collapsed="false">
      <c r="A18" s="0" t="n">
        <v>30</v>
      </c>
      <c r="B18" s="31" t="n">
        <v>38231</v>
      </c>
      <c r="C18" s="26" t="n">
        <v>63117</v>
      </c>
      <c r="D18" s="29" t="s">
        <v>41</v>
      </c>
      <c r="E18" s="33" t="n">
        <f aca="false">IF(D18="totale",(C18/(A18*24))/F18,IF(D18="marché libre",(C18/(A18*24))/G18,"spécifier histo"))</f>
        <v>0.0730520833333333</v>
      </c>
      <c r="F18" s="59" t="n">
        <v>1200</v>
      </c>
      <c r="G18" s="59" t="n">
        <f aca="false">F18-H18</f>
        <v>1200</v>
      </c>
      <c r="H18" s="58" t="n">
        <v>0</v>
      </c>
      <c r="I18" s="9"/>
      <c r="J18" s="30"/>
      <c r="K18" s="1" t="n">
        <v>7</v>
      </c>
      <c r="L18" s="26" t="n">
        <v>0</v>
      </c>
      <c r="M18" s="26" t="n">
        <v>0</v>
      </c>
      <c r="N18" s="26" t="n">
        <v>0</v>
      </c>
      <c r="O18" s="26" t="n">
        <v>425400</v>
      </c>
      <c r="P18" s="26" t="n">
        <v>76699</v>
      </c>
      <c r="Q18" s="26" t="n">
        <v>0</v>
      </c>
      <c r="R18" s="26" t="n">
        <v>0</v>
      </c>
      <c r="S18" s="26" t="n">
        <v>220674</v>
      </c>
      <c r="T18" s="26" t="n">
        <v>85832</v>
      </c>
      <c r="U18" s="26" t="n">
        <v>94747</v>
      </c>
      <c r="V18" s="0"/>
      <c r="W18" s="0"/>
    </row>
    <row r="19" customFormat="false" ht="20.5" hidden="false" customHeight="true" outlineLevel="0" collapsed="false">
      <c r="A19" s="0" t="n">
        <v>31</v>
      </c>
      <c r="B19" s="34" t="n">
        <v>38261</v>
      </c>
      <c r="C19" s="26" t="n">
        <v>257000</v>
      </c>
      <c r="D19" s="29" t="s">
        <v>41</v>
      </c>
      <c r="E19" s="33" t="n">
        <f aca="false">IF(D19="totale",(C19/(A19*24))/F19,IF(D19="marché libre",(C19/(A19*24))/G19,"spécifier histo"))</f>
        <v>0.287858422939068</v>
      </c>
      <c r="F19" s="59" t="n">
        <v>1200</v>
      </c>
      <c r="G19" s="59" t="n">
        <f aca="false">F19-H19</f>
        <v>1200</v>
      </c>
      <c r="H19" s="58" t="n">
        <v>0</v>
      </c>
      <c r="I19" s="9"/>
      <c r="J19" s="30"/>
      <c r="K19" s="1" t="n">
        <v>8</v>
      </c>
      <c r="L19" s="26" t="n">
        <v>147261</v>
      </c>
      <c r="M19" s="26" t="n">
        <v>0</v>
      </c>
      <c r="N19" s="26" t="n">
        <v>302583</v>
      </c>
      <c r="O19" s="26" t="n">
        <v>118400</v>
      </c>
      <c r="P19" s="26" t="n">
        <v>90200</v>
      </c>
      <c r="Q19" s="26" t="n">
        <v>0</v>
      </c>
      <c r="R19" s="26" t="n">
        <v>0</v>
      </c>
      <c r="S19" s="26" t="n">
        <v>200</v>
      </c>
      <c r="T19" s="26" t="n">
        <v>0</v>
      </c>
      <c r="U19" s="26" t="n">
        <v>34646</v>
      </c>
      <c r="V19" s="0"/>
      <c r="W19" s="0"/>
    </row>
    <row r="20" customFormat="false" ht="20.5" hidden="false" customHeight="true" outlineLevel="0" collapsed="false">
      <c r="A20" s="0" t="n">
        <v>30</v>
      </c>
      <c r="B20" s="31" t="n">
        <v>38292</v>
      </c>
      <c r="C20" s="26" t="n">
        <v>372133</v>
      </c>
      <c r="D20" s="29" t="s">
        <v>41</v>
      </c>
      <c r="E20" s="33" t="n">
        <f aca="false">IF(D20="totale",(C20/(A20*24))/F20,IF(D20="marché libre",(C20/(A20*24))/G20,"spécifier histo"))</f>
        <v>0.430709490740741</v>
      </c>
      <c r="F20" s="59" t="n">
        <v>1200</v>
      </c>
      <c r="G20" s="59" t="n">
        <f aca="false">F20-H20</f>
        <v>1200</v>
      </c>
      <c r="H20" s="58" t="n">
        <v>0</v>
      </c>
      <c r="I20" s="9"/>
      <c r="J20" s="30"/>
      <c r="K20" s="1" t="n">
        <v>9</v>
      </c>
      <c r="L20" s="26" t="n">
        <v>63117</v>
      </c>
      <c r="M20" s="26" t="n">
        <v>0</v>
      </c>
      <c r="N20" s="26" t="n">
        <v>86900</v>
      </c>
      <c r="O20" s="26" t="n">
        <v>50000</v>
      </c>
      <c r="P20" s="26" t="n">
        <v>388951</v>
      </c>
      <c r="Q20" s="26" t="n">
        <v>0</v>
      </c>
      <c r="R20" s="26" t="n">
        <v>2709</v>
      </c>
      <c r="S20" s="26" t="n">
        <v>3404</v>
      </c>
      <c r="T20" s="26" t="n">
        <v>89401</v>
      </c>
      <c r="U20" s="26" t="n">
        <v>70055</v>
      </c>
      <c r="V20" s="0"/>
      <c r="W20" s="0"/>
    </row>
    <row r="21" customFormat="false" ht="20.5" hidden="false" customHeight="true" outlineLevel="0" collapsed="false">
      <c r="A21" s="0" t="n">
        <v>31</v>
      </c>
      <c r="B21" s="34" t="n">
        <v>38322</v>
      </c>
      <c r="C21" s="26" t="n">
        <v>400732</v>
      </c>
      <c r="D21" s="29" t="s">
        <v>41</v>
      </c>
      <c r="E21" s="33" t="n">
        <f aca="false">IF(D21="totale",(C21/(A21*24))/F21,IF(D21="marché libre",(C21/(A21*24))/G21,"spécifier histo"))</f>
        <v>0.448848566308244</v>
      </c>
      <c r="F21" s="59" t="n">
        <v>1200</v>
      </c>
      <c r="G21" s="59" t="n">
        <f aca="false">F21-H21</f>
        <v>1200</v>
      </c>
      <c r="H21" s="58" t="n">
        <v>0</v>
      </c>
      <c r="I21" s="9"/>
      <c r="J21" s="30"/>
      <c r="K21" s="1" t="n">
        <v>10</v>
      </c>
      <c r="L21" s="26" t="n">
        <v>257000</v>
      </c>
      <c r="M21" s="26" t="n">
        <v>17862</v>
      </c>
      <c r="N21" s="26" t="n">
        <v>338417</v>
      </c>
      <c r="O21" s="26" t="n">
        <v>145000</v>
      </c>
      <c r="P21" s="26" t="n">
        <v>152156</v>
      </c>
      <c r="Q21" s="26" t="n">
        <v>36160</v>
      </c>
      <c r="R21" s="26" t="n">
        <v>56200</v>
      </c>
      <c r="S21" s="26" t="n">
        <v>104672</v>
      </c>
      <c r="T21" s="26" t="n">
        <v>363198</v>
      </c>
      <c r="U21" s="26" t="n">
        <v>464642</v>
      </c>
      <c r="V21" s="0"/>
      <c r="W21" s="0"/>
    </row>
    <row r="22" customFormat="false" ht="19.85" hidden="false" customHeight="true" outlineLevel="0" collapsed="false">
      <c r="A22" s="0" t="n">
        <v>31</v>
      </c>
      <c r="B22" s="31" t="n">
        <v>38353</v>
      </c>
      <c r="C22" s="26" t="n">
        <v>425128</v>
      </c>
      <c r="D22" s="29" t="s">
        <v>41</v>
      </c>
      <c r="E22" s="33" t="n">
        <f aca="false">IF(D22="totale",(C22/(A22*24))/F22,IF(D22="marché libre",(C22/(A22*24))/G22,"spécifier histo"))</f>
        <v>0.476173835125448</v>
      </c>
      <c r="F22" s="59" t="n">
        <v>1200</v>
      </c>
      <c r="G22" s="59" t="n">
        <f aca="false">F22-H22</f>
        <v>1200</v>
      </c>
      <c r="H22" s="58" t="n">
        <v>0</v>
      </c>
      <c r="J22" s="70"/>
      <c r="K22" s="1" t="n">
        <v>11</v>
      </c>
      <c r="L22" s="26" t="n">
        <v>372133</v>
      </c>
      <c r="M22" s="26" t="n">
        <v>51467</v>
      </c>
      <c r="N22" s="26" t="n">
        <v>282400</v>
      </c>
      <c r="O22" s="26" t="n">
        <v>238431</v>
      </c>
      <c r="P22" s="26" t="n">
        <v>373901</v>
      </c>
      <c r="Q22" s="26" t="n">
        <v>453036</v>
      </c>
      <c r="R22" s="26" t="n">
        <v>372418</v>
      </c>
      <c r="S22" s="26" t="n">
        <v>130068</v>
      </c>
      <c r="T22" s="26" t="n">
        <v>487376</v>
      </c>
      <c r="U22" s="26" t="n">
        <v>537598</v>
      </c>
      <c r="V22" s="0"/>
      <c r="W22" s="0"/>
    </row>
    <row r="23" customFormat="false" ht="19.85" hidden="false" customHeight="true" outlineLevel="0" collapsed="false">
      <c r="A23" s="0" t="n">
        <v>28</v>
      </c>
      <c r="B23" s="34" t="n">
        <v>38384</v>
      </c>
      <c r="C23" s="26" t="n">
        <v>313610</v>
      </c>
      <c r="D23" s="29" t="s">
        <v>41</v>
      </c>
      <c r="E23" s="33" t="n">
        <f aca="false">IF(D23="totale",(C23/(A23*24))/F23,IF(D23="marché libre",(C23/(A23*24))/G23,"spécifier histo"))</f>
        <v>0.38890128968254</v>
      </c>
      <c r="F23" s="59" t="n">
        <v>1200</v>
      </c>
      <c r="G23" s="59" t="n">
        <f aca="false">F23-H23</f>
        <v>1200</v>
      </c>
      <c r="H23" s="58" t="n">
        <v>0</v>
      </c>
      <c r="J23" s="237"/>
      <c r="K23" s="1" t="n">
        <v>12</v>
      </c>
      <c r="L23" s="26" t="n">
        <v>400732</v>
      </c>
      <c r="M23" s="26" t="n">
        <v>325003</v>
      </c>
      <c r="N23" s="26" t="n">
        <v>360076</v>
      </c>
      <c r="O23" s="26" t="n">
        <v>431553</v>
      </c>
      <c r="P23" s="26" t="n">
        <v>387579</v>
      </c>
      <c r="Q23" s="26" t="n">
        <v>575514</v>
      </c>
      <c r="R23" s="26" t="n">
        <v>492057</v>
      </c>
      <c r="S23" s="26" t="n">
        <v>744956</v>
      </c>
      <c r="T23" s="26" t="n">
        <v>751200</v>
      </c>
      <c r="U23" s="26" t="n">
        <v>387204</v>
      </c>
      <c r="V23" s="0"/>
      <c r="W23" s="0"/>
    </row>
    <row r="24" customFormat="false" ht="19.85" hidden="false" customHeight="true" outlineLevel="0" collapsed="false">
      <c r="A24" s="0" t="n">
        <v>31</v>
      </c>
      <c r="B24" s="31" t="n">
        <v>38412</v>
      </c>
      <c r="C24" s="26" t="n">
        <v>493369</v>
      </c>
      <c r="D24" s="29" t="s">
        <v>41</v>
      </c>
      <c r="E24" s="33" t="n">
        <f aca="false">IF(D24="totale",(C24/(A24*24))/F24,IF(D24="marché libre",(C24/(A24*24))/G24,"spécifier histo"))</f>
        <v>0.552608646953405</v>
      </c>
      <c r="F24" s="59" t="n">
        <v>1200</v>
      </c>
      <c r="G24" s="59" t="n">
        <f aca="false">F24-H24</f>
        <v>1200</v>
      </c>
      <c r="H24" s="58" t="n">
        <v>0</v>
      </c>
      <c r="J24" s="0"/>
      <c r="K24" s="206"/>
      <c r="L24" s="0"/>
      <c r="M24" s="0"/>
      <c r="N24" s="0"/>
      <c r="O24" s="0"/>
      <c r="P24" s="0"/>
      <c r="Q24" s="0"/>
      <c r="R24" s="0"/>
      <c r="S24" s="0"/>
      <c r="T24" s="0"/>
      <c r="U24" s="0"/>
      <c r="V24" s="0"/>
      <c r="W24" s="269"/>
    </row>
    <row r="25" customFormat="false" ht="19.85" hidden="false" customHeight="true" outlineLevel="0" collapsed="false">
      <c r="A25" s="0" t="n">
        <v>30</v>
      </c>
      <c r="B25" s="34" t="n">
        <v>38443</v>
      </c>
      <c r="C25" s="26" t="n">
        <v>566492</v>
      </c>
      <c r="D25" s="29" t="s">
        <v>41</v>
      </c>
      <c r="E25" s="33" t="n">
        <f aca="false">IF(D25="totale",(C25/(A25*24))/F25,IF(D25="marché libre",(C25/(A25*24))/G25,"spécifier histo"))</f>
        <v>0.655662037037037</v>
      </c>
      <c r="F25" s="59" t="n">
        <v>1200</v>
      </c>
      <c r="G25" s="59" t="n">
        <f aca="false">F25-H25</f>
        <v>1200</v>
      </c>
      <c r="H25" s="58" t="n">
        <v>0</v>
      </c>
      <c r="J25" s="0"/>
      <c r="K25" s="206"/>
      <c r="L25" s="0"/>
      <c r="M25" s="206"/>
      <c r="N25" s="0"/>
      <c r="O25" s="206"/>
      <c r="P25" s="206"/>
      <c r="Q25" s="206"/>
      <c r="R25" s="0"/>
      <c r="S25" s="269"/>
      <c r="T25" s="0"/>
      <c r="U25" s="269"/>
      <c r="V25" s="0"/>
      <c r="W25" s="269"/>
    </row>
    <row r="26" customFormat="false" ht="19.85" hidden="false" customHeight="true" outlineLevel="0" collapsed="false">
      <c r="A26" s="0" t="n">
        <v>31</v>
      </c>
      <c r="B26" s="31" t="n">
        <v>38473</v>
      </c>
      <c r="C26" s="26" t="n">
        <v>271928</v>
      </c>
      <c r="D26" s="29" t="s">
        <v>41</v>
      </c>
      <c r="E26" s="33" t="n">
        <f aca="false">IF(D26="totale",(C26/(A26*24))/F26,IF(D26="marché libre",(C26/(A26*24))/G26,"spécifier histo"))</f>
        <v>0.304578853046595</v>
      </c>
      <c r="F26" s="59" t="n">
        <v>1200</v>
      </c>
      <c r="G26" s="59" t="n">
        <f aca="false">F26-H26</f>
        <v>1200</v>
      </c>
      <c r="H26" s="58" t="n">
        <v>0</v>
      </c>
      <c r="J26" s="0"/>
      <c r="K26" s="0"/>
      <c r="L26" s="0"/>
      <c r="M26" s="0"/>
      <c r="N26" s="0"/>
      <c r="O26" s="0"/>
      <c r="P26" s="0"/>
      <c r="Q26" s="0"/>
      <c r="R26" s="0"/>
      <c r="T26" s="0"/>
      <c r="V26" s="0"/>
    </row>
    <row r="27" customFormat="false" ht="19.85" hidden="false" customHeight="true" outlineLevel="0" collapsed="false">
      <c r="A27" s="0" t="n">
        <v>30</v>
      </c>
      <c r="B27" s="34" t="n">
        <v>38504</v>
      </c>
      <c r="C27" s="26" t="n">
        <v>10517</v>
      </c>
      <c r="D27" s="29" t="s">
        <v>41</v>
      </c>
      <c r="E27" s="33" t="n">
        <f aca="false">IF(D27="totale",(C27/(A27*24))/F27,IF(D27="marché libre",(C27/(A27*24))/G27,"spécifier histo"))</f>
        <v>0.0121724537037037</v>
      </c>
      <c r="F27" s="59" t="n">
        <v>1200</v>
      </c>
      <c r="G27" s="59" t="n">
        <f aca="false">F27-H27</f>
        <v>1200</v>
      </c>
      <c r="H27" s="58" t="n">
        <v>0</v>
      </c>
      <c r="J27" s="0"/>
      <c r="K27" s="0"/>
      <c r="L27" s="0"/>
      <c r="M27" s="0"/>
      <c r="N27" s="0"/>
      <c r="O27" s="0"/>
      <c r="P27" s="0"/>
      <c r="Q27" s="0"/>
      <c r="R27" s="0"/>
      <c r="T27" s="0"/>
      <c r="V27" s="0"/>
    </row>
    <row r="28" customFormat="false" ht="19.85" hidden="false" customHeight="true" outlineLevel="0" collapsed="false">
      <c r="A28" s="0" t="n">
        <v>31</v>
      </c>
      <c r="B28" s="31" t="n">
        <v>38534</v>
      </c>
      <c r="C28" s="26" t="n">
        <v>0</v>
      </c>
      <c r="D28" s="29" t="s">
        <v>41</v>
      </c>
      <c r="E28" s="33" t="n">
        <f aca="false">IF(D28="totale",(C28/(A28*24))/F28,IF(D28="marché libre",(C28/(A28*24))/G28,"spécifier histo"))</f>
        <v>0</v>
      </c>
      <c r="F28" s="59" t="n">
        <v>1200</v>
      </c>
      <c r="G28" s="59" t="n">
        <f aca="false">F28-H28</f>
        <v>1200</v>
      </c>
      <c r="H28" s="58" t="n">
        <v>0</v>
      </c>
      <c r="J28" s="0"/>
      <c r="K28" s="0"/>
      <c r="L28" s="0"/>
      <c r="M28" s="0"/>
      <c r="N28" s="0"/>
      <c r="O28" s="0"/>
      <c r="P28" s="0"/>
      <c r="Q28" s="0"/>
      <c r="R28" s="0"/>
      <c r="T28" s="0"/>
      <c r="V28" s="0"/>
    </row>
    <row r="29" customFormat="false" ht="19.85" hidden="false" customHeight="true" outlineLevel="0" collapsed="false">
      <c r="A29" s="0" t="n">
        <v>31</v>
      </c>
      <c r="B29" s="34" t="n">
        <v>38565</v>
      </c>
      <c r="C29" s="26" t="n">
        <v>0</v>
      </c>
      <c r="D29" s="29" t="s">
        <v>41</v>
      </c>
      <c r="E29" s="33" t="n">
        <f aca="false">IF(D29="totale",(C29/(A29*24))/F29,IF(D29="marché libre",(C29/(A29*24))/G29,"spécifier histo"))</f>
        <v>0</v>
      </c>
      <c r="F29" s="59" t="n">
        <v>1200</v>
      </c>
      <c r="G29" s="59" t="n">
        <f aca="false">F29-H29</f>
        <v>1200</v>
      </c>
      <c r="H29" s="58" t="n">
        <v>0</v>
      </c>
      <c r="J29" s="70"/>
      <c r="L29" s="0"/>
      <c r="N29" s="0"/>
      <c r="R29" s="0"/>
      <c r="T29" s="0"/>
      <c r="V29" s="0"/>
    </row>
    <row r="30" customFormat="false" ht="19.85" hidden="false" customHeight="true" outlineLevel="0" collapsed="false">
      <c r="A30" s="0" t="n">
        <v>30</v>
      </c>
      <c r="B30" s="31" t="n">
        <v>38596</v>
      </c>
      <c r="C30" s="26" t="n">
        <v>0</v>
      </c>
      <c r="D30" s="29" t="s">
        <v>41</v>
      </c>
      <c r="E30" s="33" t="n">
        <f aca="false">IF(D30="totale",(C30/(A30*24))/F30,IF(D30="marché libre",(C30/(A30*24))/G30,"spécifier histo"))</f>
        <v>0</v>
      </c>
      <c r="F30" s="59" t="n">
        <v>1200</v>
      </c>
      <c r="G30" s="59" t="n">
        <f aca="false">F30-H30</f>
        <v>1200</v>
      </c>
      <c r="H30" s="58" t="n">
        <v>0</v>
      </c>
      <c r="J30" s="70"/>
      <c r="L30" s="0"/>
      <c r="N30" s="0"/>
      <c r="R30" s="0"/>
      <c r="T30" s="0"/>
      <c r="V30" s="0"/>
    </row>
    <row r="31" customFormat="false" ht="19.85" hidden="false" customHeight="true" outlineLevel="0" collapsed="false">
      <c r="A31" s="0" t="n">
        <v>31</v>
      </c>
      <c r="B31" s="34" t="n">
        <v>38626</v>
      </c>
      <c r="C31" s="26" t="n">
        <v>17862</v>
      </c>
      <c r="D31" s="29" t="s">
        <v>41</v>
      </c>
      <c r="E31" s="33" t="n">
        <f aca="false">IF(D31="totale",(C31/(A31*24))/F31,IF(D31="marché libre",(C31/(A31*24))/G31,"spécifier histo"))</f>
        <v>0.0200067204301075</v>
      </c>
      <c r="F31" s="59" t="n">
        <v>1200</v>
      </c>
      <c r="G31" s="59" t="n">
        <f aca="false">F31-H31</f>
        <v>1200</v>
      </c>
      <c r="H31" s="58" t="n">
        <v>0</v>
      </c>
      <c r="J31" s="70"/>
      <c r="L31" s="0"/>
      <c r="M31" s="38"/>
      <c r="N31" s="0"/>
      <c r="O31" s="38"/>
      <c r="P31" s="38"/>
      <c r="Q31" s="38"/>
      <c r="R31" s="0"/>
      <c r="S31" s="38"/>
      <c r="T31" s="0"/>
      <c r="U31" s="38"/>
      <c r="V31" s="0"/>
      <c r="W31" s="38"/>
      <c r="X31" s="38"/>
      <c r="Y31" s="38"/>
      <c r="Z31" s="38"/>
      <c r="AA31" s="38"/>
      <c r="AB31" s="38"/>
      <c r="AC31" s="38"/>
      <c r="AD31" s="38"/>
    </row>
    <row r="32" customFormat="false" ht="19.85" hidden="false" customHeight="true" outlineLevel="0" collapsed="false">
      <c r="A32" s="0" t="n">
        <v>30</v>
      </c>
      <c r="B32" s="31" t="n">
        <v>38657</v>
      </c>
      <c r="C32" s="26" t="n">
        <v>51467</v>
      </c>
      <c r="D32" s="29" t="s">
        <v>41</v>
      </c>
      <c r="E32" s="33" t="n">
        <f aca="false">IF(D32="totale",(C32/(A32*24))/F32,IF(D32="marché libre",(C32/(A32*24))/G32,"spécifier histo"))</f>
        <v>0.059568287037037</v>
      </c>
      <c r="F32" s="59" t="n">
        <v>1200</v>
      </c>
      <c r="G32" s="59" t="n">
        <f aca="false">F32-H32</f>
        <v>1200</v>
      </c>
      <c r="H32" s="58" t="n">
        <v>0</v>
      </c>
      <c r="J32" s="70"/>
      <c r="L32" s="0"/>
      <c r="M32" s="0"/>
      <c r="N32" s="0"/>
      <c r="O32" s="0"/>
      <c r="P32" s="0"/>
      <c r="Q32" s="0"/>
      <c r="R32" s="0"/>
      <c r="S32" s="0"/>
      <c r="T32" s="0"/>
      <c r="U32" s="0"/>
      <c r="V32" s="0"/>
    </row>
    <row r="33" customFormat="false" ht="19.85" hidden="false" customHeight="true" outlineLevel="0" collapsed="false">
      <c r="A33" s="0" t="n">
        <v>31</v>
      </c>
      <c r="B33" s="34" t="n">
        <v>38687</v>
      </c>
      <c r="C33" s="26" t="n">
        <v>325003</v>
      </c>
      <c r="D33" s="29" t="s">
        <v>41</v>
      </c>
      <c r="E33" s="33" t="n">
        <f aca="false">IF(D33="totale",(C33/(A33*24))/F33,IF(D33="marché libre",(C33/(A33*24))/G33,"spécifier histo"))</f>
        <v>0.364026657706093</v>
      </c>
      <c r="F33" s="59" t="n">
        <v>1200</v>
      </c>
      <c r="G33" s="59" t="n">
        <f aca="false">F33-H33</f>
        <v>1200</v>
      </c>
      <c r="H33" s="58" t="n">
        <v>0</v>
      </c>
      <c r="J33" s="70"/>
      <c r="L33" s="0"/>
      <c r="M33" s="0"/>
      <c r="N33" s="0"/>
      <c r="O33" s="0"/>
      <c r="P33" s="0"/>
      <c r="Q33" s="0"/>
      <c r="R33" s="0"/>
      <c r="S33" s="0"/>
      <c r="T33" s="0"/>
      <c r="U33" s="0"/>
    </row>
    <row r="34" customFormat="false" ht="19.85" hidden="false" customHeight="true" outlineLevel="0" collapsed="false">
      <c r="A34" s="0" t="n">
        <v>31</v>
      </c>
      <c r="B34" s="31" t="n">
        <v>38718</v>
      </c>
      <c r="C34" s="26" t="n">
        <v>346169</v>
      </c>
      <c r="D34" s="29" t="s">
        <v>41</v>
      </c>
      <c r="E34" s="33" t="n">
        <f aca="false">IF(D34="totale",(C34/(A34*24))/F34,IF(D34="marché libre",(C34/(A34*24))/G34,"spécifier histo"))</f>
        <v>0.387734094982079</v>
      </c>
      <c r="F34" s="59" t="n">
        <v>1200</v>
      </c>
      <c r="G34" s="59" t="n">
        <f aca="false">F34-H34</f>
        <v>1200</v>
      </c>
      <c r="H34" s="58" t="n">
        <v>0</v>
      </c>
      <c r="J34" s="55"/>
      <c r="L34" s="0"/>
      <c r="M34" s="0"/>
      <c r="N34" s="0"/>
      <c r="O34" s="0"/>
      <c r="P34" s="0"/>
      <c r="Q34" s="0"/>
      <c r="R34" s="0"/>
      <c r="S34" s="0"/>
      <c r="T34" s="0"/>
      <c r="U34" s="0"/>
    </row>
    <row r="35" customFormat="false" ht="19.85" hidden="false" customHeight="true" outlineLevel="0" collapsed="false">
      <c r="A35" s="0" t="n">
        <v>28</v>
      </c>
      <c r="B35" s="34" t="n">
        <v>38749</v>
      </c>
      <c r="C35" s="26" t="n">
        <v>364239</v>
      </c>
      <c r="D35" s="29" t="s">
        <v>41</v>
      </c>
      <c r="E35" s="33" t="n">
        <f aca="false">IF(D35="totale",(C35/(A35*24))/F35,IF(D35="marché libre",(C35/(A35*24))/G35,"spécifier histo"))</f>
        <v>0.451685267857143</v>
      </c>
      <c r="F35" s="59" t="n">
        <v>1200</v>
      </c>
      <c r="G35" s="59" t="n">
        <f aca="false">F35-H35</f>
        <v>1200</v>
      </c>
      <c r="H35" s="58" t="n">
        <v>0</v>
      </c>
      <c r="J35" s="55"/>
      <c r="L35" s="0"/>
      <c r="M35" s="0"/>
      <c r="N35" s="0"/>
      <c r="O35" s="0"/>
      <c r="P35" s="0"/>
      <c r="Q35" s="0"/>
      <c r="R35" s="0"/>
      <c r="S35" s="0"/>
      <c r="T35" s="0"/>
      <c r="U35" s="0"/>
    </row>
    <row r="36" customFormat="false" ht="19.85" hidden="false" customHeight="true" outlineLevel="0" collapsed="false">
      <c r="A36" s="0" t="n">
        <v>31</v>
      </c>
      <c r="B36" s="31" t="n">
        <v>38777</v>
      </c>
      <c r="C36" s="26" t="n">
        <v>802706</v>
      </c>
      <c r="D36" s="29" t="s">
        <v>41</v>
      </c>
      <c r="E36" s="33" t="n">
        <f aca="false">IF(D36="totale",(C36/(A36*24))/F36,IF(D36="marché libre",(C36/(A36*24))/G36,"spécifier histo"))</f>
        <v>0.899088261648746</v>
      </c>
      <c r="F36" s="59" t="n">
        <v>1200</v>
      </c>
      <c r="G36" s="59" t="n">
        <f aca="false">F36-H36</f>
        <v>1200</v>
      </c>
      <c r="H36" s="58" t="n">
        <v>0</v>
      </c>
      <c r="J36" s="55"/>
      <c r="L36" s="0"/>
      <c r="M36" s="0"/>
      <c r="N36" s="0"/>
      <c r="O36" s="0"/>
      <c r="P36" s="0"/>
      <c r="Q36" s="0"/>
      <c r="R36" s="0"/>
      <c r="S36" s="0"/>
      <c r="T36" s="0"/>
      <c r="U36" s="0"/>
    </row>
    <row r="37" customFormat="false" ht="19.85" hidden="false" customHeight="true" outlineLevel="0" collapsed="false">
      <c r="A37" s="0" t="n">
        <v>30</v>
      </c>
      <c r="B37" s="34" t="n">
        <v>38808</v>
      </c>
      <c r="C37" s="26" t="n">
        <v>471817</v>
      </c>
      <c r="D37" s="29" t="s">
        <v>41</v>
      </c>
      <c r="E37" s="33" t="n">
        <f aca="false">IF(D37="totale",(C37/(A37*24))/F37,IF(D37="marché libre",(C37/(A37*24))/G37,"spécifier histo"))</f>
        <v>0.546084490740741</v>
      </c>
      <c r="F37" s="59" t="n">
        <v>1200</v>
      </c>
      <c r="G37" s="59" t="n">
        <f aca="false">F37-H37</f>
        <v>1200</v>
      </c>
      <c r="H37" s="58" t="n">
        <v>0</v>
      </c>
      <c r="J37" s="55"/>
      <c r="L37" s="0"/>
      <c r="M37" s="0"/>
      <c r="N37" s="0"/>
      <c r="O37" s="0"/>
      <c r="P37" s="0"/>
      <c r="Q37" s="0"/>
      <c r="R37" s="0"/>
      <c r="S37" s="0"/>
      <c r="T37" s="0"/>
      <c r="U37" s="0"/>
    </row>
    <row r="38" customFormat="false" ht="19.85" hidden="false" customHeight="true" outlineLevel="0" collapsed="false">
      <c r="A38" s="0" t="n">
        <v>31</v>
      </c>
      <c r="B38" s="31" t="n">
        <v>38838</v>
      </c>
      <c r="C38" s="26" t="n">
        <v>319046</v>
      </c>
      <c r="D38" s="29" t="s">
        <v>41</v>
      </c>
      <c r="E38" s="33" t="n">
        <f aca="false">IF(D38="totale",(C38/(A38*24))/F38,IF(D38="marché libre",(C38/(A38*24))/G38,"spécifier histo"))</f>
        <v>0.357354390681004</v>
      </c>
      <c r="F38" s="59" t="n">
        <v>1200</v>
      </c>
      <c r="G38" s="59" t="n">
        <f aca="false">F38-H38</f>
        <v>1200</v>
      </c>
      <c r="H38" s="58" t="n">
        <v>0</v>
      </c>
      <c r="J38" s="55"/>
      <c r="L38" s="0"/>
      <c r="M38" s="0"/>
      <c r="N38" s="0"/>
      <c r="O38" s="0"/>
      <c r="P38" s="0"/>
      <c r="Q38" s="0"/>
      <c r="R38" s="0"/>
      <c r="S38" s="0"/>
      <c r="T38" s="0"/>
      <c r="U38" s="0"/>
    </row>
    <row r="39" customFormat="false" ht="19.85" hidden="false" customHeight="true" outlineLevel="0" collapsed="false">
      <c r="A39" s="0" t="n">
        <v>30</v>
      </c>
      <c r="B39" s="34" t="n">
        <v>38869</v>
      </c>
      <c r="C39" s="26" t="n">
        <v>18522</v>
      </c>
      <c r="D39" s="29" t="s">
        <v>41</v>
      </c>
      <c r="E39" s="33" t="n">
        <f aca="false">IF(D39="totale",(C39/(A39*24))/F39,IF(D39="marché libre",(C39/(A39*24))/G39,"spécifier histo"))</f>
        <v>0.0214375</v>
      </c>
      <c r="F39" s="59" t="n">
        <v>1200</v>
      </c>
      <c r="G39" s="59" t="n">
        <f aca="false">F39-H39</f>
        <v>1200</v>
      </c>
      <c r="H39" s="58" t="n">
        <v>0</v>
      </c>
      <c r="J39" s="55"/>
      <c r="L39" s="0"/>
      <c r="M39" s="0"/>
      <c r="N39" s="0"/>
      <c r="O39" s="0"/>
      <c r="P39" s="0"/>
      <c r="Q39" s="0"/>
      <c r="R39" s="0"/>
      <c r="S39" s="0"/>
      <c r="T39" s="0"/>
      <c r="U39" s="0"/>
    </row>
    <row r="40" customFormat="false" ht="19.85" hidden="false" customHeight="true" outlineLevel="0" collapsed="false">
      <c r="A40" s="0" t="n">
        <v>31</v>
      </c>
      <c r="B40" s="31" t="n">
        <v>38899</v>
      </c>
      <c r="C40" s="26" t="n">
        <v>0</v>
      </c>
      <c r="D40" s="29" t="s">
        <v>41</v>
      </c>
      <c r="E40" s="33" t="n">
        <f aca="false">IF(D40="totale",(C40/(A40*24))/F40,IF(D40="marché libre",(C40/(A40*24))/G40,"spécifier histo"))</f>
        <v>0</v>
      </c>
      <c r="F40" s="59" t="n">
        <v>1200</v>
      </c>
      <c r="G40" s="59" t="n">
        <f aca="false">F40-H40</f>
        <v>1200</v>
      </c>
      <c r="H40" s="58" t="n">
        <v>0</v>
      </c>
      <c r="J40" s="55"/>
      <c r="L40" s="0"/>
      <c r="M40" s="0"/>
      <c r="N40" s="0"/>
      <c r="O40" s="0"/>
      <c r="P40" s="0"/>
      <c r="Q40" s="0"/>
      <c r="R40" s="0"/>
      <c r="S40" s="0"/>
      <c r="T40" s="0"/>
      <c r="U40" s="0"/>
    </row>
    <row r="41" customFormat="false" ht="19.85" hidden="false" customHeight="true" outlineLevel="0" collapsed="false">
      <c r="A41" s="0" t="n">
        <v>31</v>
      </c>
      <c r="B41" s="34" t="n">
        <v>38930</v>
      </c>
      <c r="C41" s="26" t="n">
        <v>302583</v>
      </c>
      <c r="D41" s="29" t="s">
        <v>41</v>
      </c>
      <c r="E41" s="33" t="n">
        <f aca="false">IF(D41="totale",(C41/(A41*24))/F41,IF(D41="marché libre",(C41/(A41*24))/G41,"spécifier histo"))</f>
        <v>0.338914650537634</v>
      </c>
      <c r="F41" s="59" t="n">
        <v>1200</v>
      </c>
      <c r="G41" s="59" t="n">
        <f aca="false">F41-H41</f>
        <v>1200</v>
      </c>
      <c r="H41" s="58" t="n">
        <v>0</v>
      </c>
      <c r="J41" s="55"/>
      <c r="L41" s="0"/>
      <c r="M41" s="0"/>
      <c r="N41" s="0"/>
      <c r="O41" s="0"/>
      <c r="P41" s="0"/>
      <c r="Q41" s="0"/>
      <c r="R41" s="0"/>
      <c r="S41" s="0"/>
      <c r="T41" s="0"/>
      <c r="U41" s="0"/>
    </row>
    <row r="42" customFormat="false" ht="19.85" hidden="false" customHeight="true" outlineLevel="0" collapsed="false">
      <c r="A42" s="0" t="n">
        <v>30</v>
      </c>
      <c r="B42" s="31" t="n">
        <v>38961</v>
      </c>
      <c r="C42" s="26" t="n">
        <v>86900</v>
      </c>
      <c r="D42" s="29" t="s">
        <v>41</v>
      </c>
      <c r="E42" s="33" t="n">
        <f aca="false">IF(D42="totale",(C42/(A42*24))/F42,IF(D42="marché libre",(C42/(A42*24))/G42,"spécifier histo"))</f>
        <v>0.100578703703704</v>
      </c>
      <c r="F42" s="59" t="n">
        <v>1200</v>
      </c>
      <c r="G42" s="59" t="n">
        <f aca="false">F42-H42</f>
        <v>1200</v>
      </c>
      <c r="H42" s="58" t="n">
        <v>0</v>
      </c>
      <c r="J42" s="55"/>
      <c r="L42" s="0"/>
      <c r="M42" s="0"/>
      <c r="N42" s="0"/>
      <c r="O42" s="0"/>
      <c r="P42" s="0"/>
      <c r="Q42" s="0"/>
      <c r="R42" s="0"/>
      <c r="S42" s="0"/>
      <c r="T42" s="0"/>
      <c r="U42" s="0"/>
    </row>
    <row r="43" customFormat="false" ht="19.85" hidden="false" customHeight="true" outlineLevel="0" collapsed="false">
      <c r="A43" s="0" t="n">
        <v>31</v>
      </c>
      <c r="B43" s="34" t="n">
        <v>38991</v>
      </c>
      <c r="C43" s="26" t="n">
        <v>338417</v>
      </c>
      <c r="D43" s="29" t="s">
        <v>41</v>
      </c>
      <c r="E43" s="33" t="n">
        <f aca="false">IF(D43="totale",(C43/(A43*24))/F43,IF(D43="marché libre",(C43/(A43*24))/G43,"spécifier histo"))</f>
        <v>0.379051299283154</v>
      </c>
      <c r="F43" s="59" t="n">
        <v>1200</v>
      </c>
      <c r="G43" s="59" t="n">
        <f aca="false">F43-H43</f>
        <v>1200</v>
      </c>
      <c r="H43" s="58" t="n">
        <v>0</v>
      </c>
      <c r="J43" s="55"/>
      <c r="L43" s="0"/>
      <c r="M43" s="0"/>
      <c r="N43" s="0"/>
      <c r="O43" s="0"/>
      <c r="P43" s="0"/>
      <c r="Q43" s="0"/>
      <c r="R43" s="0"/>
      <c r="S43" s="0"/>
      <c r="T43" s="0"/>
      <c r="U43" s="0"/>
    </row>
    <row r="44" customFormat="false" ht="19.85" hidden="false" customHeight="true" outlineLevel="0" collapsed="false">
      <c r="A44" s="0" t="n">
        <v>30</v>
      </c>
      <c r="B44" s="31" t="n">
        <v>39022</v>
      </c>
      <c r="C44" s="26" t="n">
        <v>282400</v>
      </c>
      <c r="D44" s="29" t="s">
        <v>41</v>
      </c>
      <c r="E44" s="33" t="n">
        <f aca="false">IF(D44="totale",(C44/(A44*24))/F44,IF(D44="marché libre",(C44/(A44*24))/G44,"spécifier histo"))</f>
        <v>0.326851851851852</v>
      </c>
      <c r="F44" s="59" t="n">
        <v>1200</v>
      </c>
      <c r="G44" s="59" t="n">
        <f aca="false">F44-H44</f>
        <v>1200</v>
      </c>
      <c r="H44" s="58" t="n">
        <v>0</v>
      </c>
      <c r="J44" s="55"/>
      <c r="L44" s="0"/>
      <c r="P44" s="0"/>
      <c r="R44" s="0"/>
      <c r="T44" s="0"/>
    </row>
    <row r="45" customFormat="false" ht="19.85" hidden="false" customHeight="true" outlineLevel="0" collapsed="false">
      <c r="A45" s="0" t="n">
        <v>31</v>
      </c>
      <c r="B45" s="34" t="n">
        <v>39052</v>
      </c>
      <c r="C45" s="26" t="n">
        <v>360076</v>
      </c>
      <c r="D45" s="29" t="s">
        <v>41</v>
      </c>
      <c r="E45" s="33" t="n">
        <f aca="false">IF(D45="totale",(C45/(A45*24))/F45,IF(D45="marché libre",(C45/(A45*24))/G45,"spécifier histo"))</f>
        <v>0.403310931899642</v>
      </c>
      <c r="F45" s="59" t="n">
        <v>1200</v>
      </c>
      <c r="G45" s="59" t="n">
        <f aca="false">F45-H45</f>
        <v>1200</v>
      </c>
      <c r="H45" s="58" t="n">
        <v>0</v>
      </c>
      <c r="J45" s="55"/>
      <c r="L45" s="0"/>
      <c r="P45" s="0"/>
      <c r="R45" s="0"/>
      <c r="T45" s="0"/>
    </row>
    <row r="46" customFormat="false" ht="19.85" hidden="false" customHeight="true" outlineLevel="0" collapsed="false">
      <c r="A46" s="0" t="n">
        <v>31</v>
      </c>
      <c r="B46" s="31" t="n">
        <v>39083</v>
      </c>
      <c r="C46" s="26" t="n">
        <v>521938</v>
      </c>
      <c r="D46" s="29" t="s">
        <v>41</v>
      </c>
      <c r="E46" s="33" t="n">
        <f aca="false">IF(D46="totale",(C46/(A46*24))/F46,IF(D46="marché libre",(C46/(A46*24))/G46,"spécifier histo"))</f>
        <v>0.584607974910394</v>
      </c>
      <c r="F46" s="59" t="n">
        <v>1200</v>
      </c>
      <c r="G46" s="59" t="n">
        <f aca="false">F46-H46</f>
        <v>1200</v>
      </c>
      <c r="H46" s="58" t="n">
        <v>0</v>
      </c>
      <c r="J46" s="55"/>
      <c r="L46" s="0"/>
      <c r="P46" s="0"/>
      <c r="R46" s="0"/>
      <c r="T46" s="0"/>
    </row>
    <row r="47" customFormat="false" ht="19.85" hidden="false" customHeight="true" outlineLevel="0" collapsed="false">
      <c r="A47" s="0" t="n">
        <v>28</v>
      </c>
      <c r="B47" s="34" t="n">
        <v>39114</v>
      </c>
      <c r="C47" s="26" t="n">
        <v>511084</v>
      </c>
      <c r="D47" s="29" t="s">
        <v>41</v>
      </c>
      <c r="E47" s="33" t="n">
        <f aca="false">IF(D47="totale",(C47/(A47*24))/F47,IF(D47="marché libre",(C47/(A47*24))/G47,"spécifier histo"))</f>
        <v>0.633784722222222</v>
      </c>
      <c r="F47" s="59" t="n">
        <v>1200</v>
      </c>
      <c r="G47" s="59" t="n">
        <f aca="false">F47-H47</f>
        <v>1200</v>
      </c>
      <c r="H47" s="58" t="n">
        <v>0</v>
      </c>
      <c r="J47" s="55"/>
      <c r="L47" s="0"/>
      <c r="P47" s="0"/>
      <c r="R47" s="0"/>
      <c r="T47" s="0"/>
    </row>
    <row r="48" customFormat="false" ht="19.85" hidden="false" customHeight="true" outlineLevel="0" collapsed="false">
      <c r="A48" s="0" t="n">
        <v>31</v>
      </c>
      <c r="B48" s="31" t="n">
        <v>39142</v>
      </c>
      <c r="C48" s="26" t="n">
        <v>586495</v>
      </c>
      <c r="D48" s="29" t="s">
        <v>41</v>
      </c>
      <c r="E48" s="33" t="n">
        <f aca="false">IF(D48="totale",(C48/(A48*24))/F48,IF(D48="marché libre",(C48/(A48*24))/G48,"spécifier histo"))</f>
        <v>0.65691644265233</v>
      </c>
      <c r="F48" s="59" t="n">
        <v>1200</v>
      </c>
      <c r="G48" s="59" t="n">
        <f aca="false">F48-H48</f>
        <v>1200</v>
      </c>
      <c r="H48" s="58" t="n">
        <v>0</v>
      </c>
      <c r="J48" s="55"/>
      <c r="L48" s="0"/>
      <c r="P48" s="0"/>
      <c r="R48" s="0"/>
      <c r="T48" s="0"/>
    </row>
    <row r="49" customFormat="false" ht="19.85" hidden="false" customHeight="true" outlineLevel="0" collapsed="false">
      <c r="A49" s="0" t="n">
        <v>30</v>
      </c>
      <c r="B49" s="34" t="n">
        <v>39173</v>
      </c>
      <c r="C49" s="26" t="n">
        <v>160995</v>
      </c>
      <c r="D49" s="29" t="s">
        <v>41</v>
      </c>
      <c r="E49" s="33" t="n">
        <f aca="false">IF(D49="totale",(C49/(A49*24))/F49,IF(D49="marché libre",(C49/(A49*24))/G49,"spécifier histo"))</f>
        <v>0.186336805555556</v>
      </c>
      <c r="F49" s="59" t="n">
        <v>1200</v>
      </c>
      <c r="G49" s="59" t="n">
        <f aca="false">F49-H49</f>
        <v>1200</v>
      </c>
      <c r="H49" s="58" t="n">
        <v>0</v>
      </c>
      <c r="J49" s="55"/>
      <c r="L49" s="0"/>
      <c r="P49" s="0"/>
      <c r="R49" s="0"/>
      <c r="T49" s="0"/>
    </row>
    <row r="50" customFormat="false" ht="19.85" hidden="false" customHeight="true" outlineLevel="0" collapsed="false">
      <c r="A50" s="0" t="n">
        <v>31</v>
      </c>
      <c r="B50" s="31" t="n">
        <v>39203</v>
      </c>
      <c r="C50" s="26" t="n">
        <v>325600</v>
      </c>
      <c r="D50" s="29" t="s">
        <v>41</v>
      </c>
      <c r="E50" s="33" t="n">
        <f aca="false">IF(D50="totale",(C50/(A50*24))/F50,IF(D50="marché libre",(C50/(A50*24))/G50,"spécifier histo"))</f>
        <v>0.364695340501792</v>
      </c>
      <c r="F50" s="59" t="n">
        <v>1200</v>
      </c>
      <c r="G50" s="59" t="n">
        <f aca="false">F50-H50</f>
        <v>1200</v>
      </c>
      <c r="H50" s="58" t="n">
        <v>0</v>
      </c>
      <c r="J50" s="55"/>
      <c r="L50" s="0"/>
      <c r="P50" s="0"/>
      <c r="R50" s="0"/>
      <c r="T50" s="0"/>
    </row>
    <row r="51" customFormat="false" ht="19.85" hidden="false" customHeight="true" outlineLevel="0" collapsed="false">
      <c r="A51" s="0" t="n">
        <v>30</v>
      </c>
      <c r="B51" s="34" t="n">
        <v>39234</v>
      </c>
      <c r="C51" s="26" t="n">
        <v>568800</v>
      </c>
      <c r="D51" s="29" t="s">
        <v>41</v>
      </c>
      <c r="E51" s="33" t="n">
        <f aca="false">IF(D51="totale",(C51/(A51*24))/F51,IF(D51="marché libre",(C51/(A51*24))/G51,"spécifier histo"))</f>
        <v>0.658333333333333</v>
      </c>
      <c r="F51" s="59" t="n">
        <v>1200</v>
      </c>
      <c r="G51" s="59" t="n">
        <f aca="false">F51-H51</f>
        <v>1200</v>
      </c>
      <c r="H51" s="58" t="n">
        <v>0</v>
      </c>
      <c r="J51" s="55"/>
      <c r="L51" s="0"/>
      <c r="P51" s="0"/>
      <c r="R51" s="0"/>
      <c r="T51" s="0"/>
    </row>
    <row r="52" customFormat="false" ht="19.85" hidden="false" customHeight="true" outlineLevel="0" collapsed="false">
      <c r="A52" s="0" t="n">
        <v>31</v>
      </c>
      <c r="B52" s="31" t="n">
        <v>39264</v>
      </c>
      <c r="C52" s="26" t="n">
        <v>425400</v>
      </c>
      <c r="D52" s="29" t="s">
        <v>41</v>
      </c>
      <c r="E52" s="33" t="n">
        <f aca="false">IF(D52="totale",(C52/(A52*24))/F52,IF(D52="marché libre",(C52/(A52*24))/G52,"spécifier histo"))</f>
        <v>0.476478494623656</v>
      </c>
      <c r="F52" s="59" t="n">
        <v>1200</v>
      </c>
      <c r="G52" s="59" t="n">
        <f aca="false">F52-H52</f>
        <v>1200</v>
      </c>
      <c r="H52" s="58" t="n">
        <v>0</v>
      </c>
      <c r="J52" s="55"/>
      <c r="L52" s="0"/>
      <c r="P52" s="0"/>
      <c r="R52" s="0"/>
      <c r="T52" s="0"/>
    </row>
    <row r="53" customFormat="false" ht="19.85" hidden="false" customHeight="true" outlineLevel="0" collapsed="false">
      <c r="A53" s="0" t="n">
        <v>31</v>
      </c>
      <c r="B53" s="34" t="n">
        <v>39295</v>
      </c>
      <c r="C53" s="26" t="n">
        <v>118400</v>
      </c>
      <c r="D53" s="29" t="s">
        <v>41</v>
      </c>
      <c r="E53" s="33" t="n">
        <f aca="false">IF(D53="totale",(C53/(A53*24))/F53,IF(D53="marché libre",(C53/(A53*24))/G53,"spécifier histo"))</f>
        <v>0.132616487455197</v>
      </c>
      <c r="F53" s="59" t="n">
        <v>1200</v>
      </c>
      <c r="G53" s="59" t="n">
        <f aca="false">F53-H53</f>
        <v>1200</v>
      </c>
      <c r="H53" s="58" t="n">
        <v>0</v>
      </c>
      <c r="J53" s="55"/>
      <c r="L53" s="0"/>
      <c r="P53" s="0"/>
      <c r="R53" s="0"/>
      <c r="T53" s="0"/>
    </row>
    <row r="54" customFormat="false" ht="19.85" hidden="false" customHeight="true" outlineLevel="0" collapsed="false">
      <c r="A54" s="0" t="n">
        <v>30</v>
      </c>
      <c r="B54" s="31" t="n">
        <v>39326</v>
      </c>
      <c r="C54" s="26" t="n">
        <v>50000</v>
      </c>
      <c r="D54" s="29" t="s">
        <v>41</v>
      </c>
      <c r="E54" s="33" t="n">
        <f aca="false">IF(D54="totale",(C54/(A54*24))/F54,IF(D54="marché libre",(C54/(A54*24))/G54,"spécifier histo"))</f>
        <v>0.0578703703703704</v>
      </c>
      <c r="F54" s="59" t="n">
        <v>1200</v>
      </c>
      <c r="G54" s="59" t="n">
        <f aca="false">F54-H54</f>
        <v>1200</v>
      </c>
      <c r="H54" s="58" t="n">
        <v>0</v>
      </c>
      <c r="J54" s="55"/>
      <c r="L54" s="0"/>
      <c r="P54" s="0"/>
      <c r="R54" s="0"/>
      <c r="T54" s="0"/>
    </row>
    <row r="55" customFormat="false" ht="19.85" hidden="false" customHeight="true" outlineLevel="0" collapsed="false">
      <c r="A55" s="0" t="n">
        <v>31</v>
      </c>
      <c r="B55" s="34" t="n">
        <v>39356</v>
      </c>
      <c r="C55" s="26" t="n">
        <v>145000</v>
      </c>
      <c r="D55" s="29" t="s">
        <v>41</v>
      </c>
      <c r="E55" s="33" t="n">
        <f aca="false">IF(D55="totale",(C55/(A55*24))/F55,IF(D55="marché libre",(C55/(A55*24))/G55,"spécifier histo"))</f>
        <v>0.162410394265233</v>
      </c>
      <c r="F55" s="59" t="n">
        <v>1200</v>
      </c>
      <c r="G55" s="59" t="n">
        <f aca="false">F55-H55</f>
        <v>1200</v>
      </c>
      <c r="H55" s="58" t="n">
        <v>0</v>
      </c>
      <c r="J55" s="55"/>
      <c r="L55" s="0"/>
      <c r="P55" s="0"/>
      <c r="R55" s="0"/>
      <c r="T55" s="0"/>
    </row>
    <row r="56" customFormat="false" ht="19.85" hidden="false" customHeight="true" outlineLevel="0" collapsed="false">
      <c r="A56" s="0" t="n">
        <v>30</v>
      </c>
      <c r="B56" s="31" t="n">
        <v>39387</v>
      </c>
      <c r="C56" s="26" t="n">
        <v>238431</v>
      </c>
      <c r="D56" s="29" t="s">
        <v>41</v>
      </c>
      <c r="E56" s="33" t="n">
        <f aca="false">IF(D56="totale",(C56/(A56*24))/F56,IF(D56="marché libre",(C56/(A56*24))/G56,"spécifier histo"))</f>
        <v>0.275961805555556</v>
      </c>
      <c r="F56" s="59" t="n">
        <v>1200</v>
      </c>
      <c r="G56" s="59" t="n">
        <f aca="false">F56-H56</f>
        <v>1200</v>
      </c>
      <c r="H56" s="58" t="n">
        <v>0</v>
      </c>
      <c r="J56" s="55"/>
      <c r="L56" s="0"/>
      <c r="P56" s="0"/>
      <c r="R56" s="0"/>
      <c r="T56" s="0"/>
    </row>
    <row r="57" customFormat="false" ht="19.85" hidden="false" customHeight="true" outlineLevel="0" collapsed="false">
      <c r="A57" s="0" t="n">
        <v>31</v>
      </c>
      <c r="B57" s="34" t="n">
        <v>39417</v>
      </c>
      <c r="C57" s="26" t="n">
        <v>431553</v>
      </c>
      <c r="D57" s="29" t="s">
        <v>41</v>
      </c>
      <c r="E57" s="33" t="n">
        <f aca="false">IF(D57="totale",(C57/(A57*24))/F57,IF(D57="marché libre",(C57/(A57*24))/G57,"spécifier histo"))</f>
        <v>0.483370295698925</v>
      </c>
      <c r="F57" s="59" t="n">
        <v>1200</v>
      </c>
      <c r="G57" s="59" t="n">
        <f aca="false">F57-H57</f>
        <v>1200</v>
      </c>
      <c r="H57" s="58" t="n">
        <v>0</v>
      </c>
      <c r="J57" s="55"/>
      <c r="L57" s="0"/>
      <c r="P57" s="0"/>
      <c r="R57" s="0"/>
    </row>
    <row r="58" customFormat="false" ht="19.85" hidden="false" customHeight="true" outlineLevel="0" collapsed="false">
      <c r="A58" s="0" t="n">
        <v>31</v>
      </c>
      <c r="B58" s="31" t="n">
        <v>39448</v>
      </c>
      <c r="C58" s="26" t="n">
        <v>540974</v>
      </c>
      <c r="D58" s="29" t="s">
        <v>41</v>
      </c>
      <c r="E58" s="33" t="n">
        <f aca="false">IF(D58="totale",(C58/(A58*24))/F58,IF(D58="marché libre",(C58/(A58*24))/G58,"spécifier histo"))</f>
        <v>0.605929659498208</v>
      </c>
      <c r="F58" s="59" t="n">
        <v>1200</v>
      </c>
      <c r="G58" s="59" t="n">
        <f aca="false">F58-H58</f>
        <v>1200</v>
      </c>
      <c r="H58" s="58" t="n">
        <v>0</v>
      </c>
      <c r="J58" s="55"/>
      <c r="L58" s="0"/>
      <c r="P58" s="0"/>
      <c r="R58" s="0"/>
    </row>
    <row r="59" customFormat="false" ht="19.85" hidden="false" customHeight="true" outlineLevel="0" collapsed="false">
      <c r="A59" s="0" t="n">
        <v>28</v>
      </c>
      <c r="B59" s="34" t="n">
        <v>39479</v>
      </c>
      <c r="C59" s="26" t="n">
        <v>225045</v>
      </c>
      <c r="D59" s="29" t="s">
        <v>41</v>
      </c>
      <c r="E59" s="33" t="n">
        <f aca="false">IF(D59="totale",(C59/(A59*24))/F59,IF(D59="marché libre",(C59/(A59*24))/G59,"spécifier histo"))</f>
        <v>0.279073660714286</v>
      </c>
      <c r="F59" s="59" t="n">
        <v>1200</v>
      </c>
      <c r="G59" s="59" t="n">
        <f aca="false">F59-H59</f>
        <v>1200</v>
      </c>
      <c r="H59" s="58" t="n">
        <v>0</v>
      </c>
      <c r="J59" s="55"/>
      <c r="L59" s="0"/>
      <c r="P59" s="0"/>
      <c r="R59" s="0"/>
    </row>
    <row r="60" customFormat="false" ht="19.85" hidden="false" customHeight="true" outlineLevel="0" collapsed="false">
      <c r="A60" s="0" t="n">
        <v>31</v>
      </c>
      <c r="B60" s="31" t="n">
        <v>39508</v>
      </c>
      <c r="C60" s="26" t="n">
        <v>496600</v>
      </c>
      <c r="D60" s="29" t="s">
        <v>41</v>
      </c>
      <c r="E60" s="33" t="n">
        <f aca="false">IF(D60="totale",(C60/(A60*24))/F60,IF(D60="marché libre",(C60/(A60*24))/G60,"spécifier histo"))</f>
        <v>0.556227598566308</v>
      </c>
      <c r="F60" s="59" t="n">
        <v>1200</v>
      </c>
      <c r="G60" s="59" t="n">
        <f aca="false">F60-H60</f>
        <v>1200</v>
      </c>
      <c r="H60" s="58" t="n">
        <v>0</v>
      </c>
      <c r="J60" s="55"/>
      <c r="L60" s="0"/>
      <c r="P60" s="0"/>
      <c r="R60" s="0"/>
    </row>
    <row r="61" customFormat="false" ht="19.85" hidden="false" customHeight="true" outlineLevel="0" collapsed="false">
      <c r="A61" s="0" t="n">
        <v>30</v>
      </c>
      <c r="B61" s="34" t="n">
        <v>39539</v>
      </c>
      <c r="C61" s="26" t="n">
        <v>616800</v>
      </c>
      <c r="D61" s="29" t="s">
        <v>41</v>
      </c>
      <c r="E61" s="33" t="n">
        <f aca="false">IF(D61="totale",(C61/(A61*24))/F61,IF(D61="marché libre",(C61/(A61*24))/G61,"spécifier histo"))</f>
        <v>0.713888888888889</v>
      </c>
      <c r="F61" s="59" t="n">
        <v>1200</v>
      </c>
      <c r="G61" s="59" t="n">
        <f aca="false">F61-H61</f>
        <v>1200</v>
      </c>
      <c r="H61" s="58" t="n">
        <v>0</v>
      </c>
      <c r="J61" s="55"/>
      <c r="L61" s="0"/>
      <c r="P61" s="0"/>
      <c r="R61" s="0"/>
    </row>
    <row r="62" customFormat="false" ht="19.85" hidden="false" customHeight="true" outlineLevel="0" collapsed="false">
      <c r="A62" s="0" t="n">
        <v>31</v>
      </c>
      <c r="B62" s="31" t="n">
        <v>39569</v>
      </c>
      <c r="C62" s="26" t="n">
        <v>161091</v>
      </c>
      <c r="D62" s="29" t="s">
        <v>41</v>
      </c>
      <c r="E62" s="33" t="n">
        <f aca="false">IF(D62="totale",(C62/(A62*24))/F62,IF(D62="marché libre",(C62/(A62*24))/G62,"spécifier histo"))</f>
        <v>0.180433467741936</v>
      </c>
      <c r="F62" s="59" t="n">
        <v>1200</v>
      </c>
      <c r="G62" s="59" t="n">
        <f aca="false">F62-H62</f>
        <v>1200</v>
      </c>
      <c r="H62" s="58" t="n">
        <v>0</v>
      </c>
      <c r="J62" s="55"/>
      <c r="L62" s="0"/>
      <c r="P62" s="0"/>
      <c r="R62" s="0"/>
    </row>
    <row r="63" customFormat="false" ht="19.85" hidden="false" customHeight="true" outlineLevel="0" collapsed="false">
      <c r="A63" s="0" t="n">
        <v>30</v>
      </c>
      <c r="B63" s="34" t="n">
        <v>39600</v>
      </c>
      <c r="C63" s="26" t="n">
        <v>390795</v>
      </c>
      <c r="D63" s="29" t="s">
        <v>41</v>
      </c>
      <c r="E63" s="33" t="n">
        <f aca="false">IF(D63="totale",(C63/(A63*24))/F63,IF(D63="marché libre",(C63/(A63*24))/G63,"spécifier histo"))</f>
        <v>0.452309027777778</v>
      </c>
      <c r="F63" s="59" t="n">
        <v>1200</v>
      </c>
      <c r="G63" s="59" t="n">
        <f aca="false">F63-H63</f>
        <v>1200</v>
      </c>
      <c r="H63" s="58" t="n">
        <v>0</v>
      </c>
      <c r="J63" s="55"/>
      <c r="L63" s="0"/>
      <c r="P63" s="0"/>
      <c r="R63" s="0"/>
    </row>
    <row r="64" customFormat="false" ht="19.85" hidden="false" customHeight="true" outlineLevel="0" collapsed="false">
      <c r="A64" s="0" t="n">
        <v>31</v>
      </c>
      <c r="B64" s="31" t="n">
        <v>39630</v>
      </c>
      <c r="C64" s="26" t="n">
        <v>76699</v>
      </c>
      <c r="D64" s="29" t="s">
        <v>41</v>
      </c>
      <c r="E64" s="33" t="n">
        <f aca="false">IF(D64="totale",(C64/(A64*24))/F64,IF(D64="marché libre",(C64/(A64*24))/G64,"spécifier histo"))</f>
        <v>0.0859083781362007</v>
      </c>
      <c r="F64" s="59" t="n">
        <v>1200</v>
      </c>
      <c r="G64" s="59" t="n">
        <f aca="false">F64-H64</f>
        <v>1200</v>
      </c>
      <c r="H64" s="58" t="n">
        <v>0</v>
      </c>
      <c r="J64" s="55"/>
      <c r="L64" s="0"/>
      <c r="P64" s="0"/>
      <c r="R64" s="0"/>
    </row>
    <row r="65" customFormat="false" ht="19.85" hidden="false" customHeight="true" outlineLevel="0" collapsed="false">
      <c r="A65" s="0" t="n">
        <v>31</v>
      </c>
      <c r="B65" s="34" t="n">
        <v>39661</v>
      </c>
      <c r="C65" s="26" t="n">
        <v>90200</v>
      </c>
      <c r="D65" s="29" t="s">
        <v>41</v>
      </c>
      <c r="E65" s="33" t="n">
        <f aca="false">IF(D65="totale",(C65/(A65*24))/F65,IF(D65="marché libre",(C65/(A65*24))/G65,"spécifier histo"))</f>
        <v>0.101030465949821</v>
      </c>
      <c r="F65" s="59" t="n">
        <v>1200</v>
      </c>
      <c r="G65" s="59" t="n">
        <f aca="false">F65-H65</f>
        <v>1200</v>
      </c>
      <c r="H65" s="58" t="n">
        <v>0</v>
      </c>
      <c r="J65" s="55"/>
      <c r="L65" s="0"/>
      <c r="P65" s="0"/>
      <c r="R65" s="0"/>
    </row>
    <row r="66" customFormat="false" ht="19.85" hidden="false" customHeight="true" outlineLevel="0" collapsed="false">
      <c r="A66" s="0" t="n">
        <v>30</v>
      </c>
      <c r="B66" s="31" t="n">
        <v>39692</v>
      </c>
      <c r="C66" s="26" t="n">
        <v>388951</v>
      </c>
      <c r="D66" s="29" t="s">
        <v>41</v>
      </c>
      <c r="E66" s="33" t="n">
        <f aca="false">IF(D66="totale",(C66/(A66*24))/F66,IF(D66="marché libre",(C66/(A66*24))/G66,"spécifier histo"))</f>
        <v>0.450174768518519</v>
      </c>
      <c r="F66" s="59" t="n">
        <v>1200</v>
      </c>
      <c r="G66" s="59" t="n">
        <f aca="false">F66-H66</f>
        <v>1200</v>
      </c>
      <c r="H66" s="58" t="n">
        <v>0</v>
      </c>
      <c r="J66" s="55"/>
      <c r="L66" s="0"/>
      <c r="P66" s="0"/>
      <c r="R66" s="0"/>
    </row>
    <row r="67" customFormat="false" ht="19.85" hidden="false" customHeight="true" outlineLevel="0" collapsed="false">
      <c r="A67" s="0" t="n">
        <v>31</v>
      </c>
      <c r="B67" s="34" t="n">
        <v>39722</v>
      </c>
      <c r="C67" s="26" t="n">
        <v>152156</v>
      </c>
      <c r="D67" s="29" t="s">
        <v>41</v>
      </c>
      <c r="E67" s="33" t="n">
        <f aca="false">IF(D67="totale",(C67/(A67*24))/F67,IF(D67="marché libre",(C67/(A67*24))/G67,"spécifier histo"))</f>
        <v>0.170425627240143</v>
      </c>
      <c r="F67" s="59" t="n">
        <v>1200</v>
      </c>
      <c r="G67" s="59" t="n">
        <f aca="false">F67-H67</f>
        <v>1200</v>
      </c>
      <c r="H67" s="58" t="n">
        <v>0</v>
      </c>
      <c r="J67" s="55"/>
      <c r="L67" s="0"/>
      <c r="P67" s="0"/>
      <c r="R67" s="0"/>
    </row>
    <row r="68" customFormat="false" ht="19.85" hidden="false" customHeight="true" outlineLevel="0" collapsed="false">
      <c r="A68" s="0" t="n">
        <v>30</v>
      </c>
      <c r="B68" s="31" t="n">
        <v>39753</v>
      </c>
      <c r="C68" s="26" t="n">
        <v>373901</v>
      </c>
      <c r="D68" s="29" t="s">
        <v>41</v>
      </c>
      <c r="E68" s="33" t="n">
        <f aca="false">IF(D68="totale",(C68/(A68*24))/F68,IF(D68="marché libre",(C68/(A68*24))/G68,"spécifier histo"))</f>
        <v>0.432755787037037</v>
      </c>
      <c r="F68" s="59" t="n">
        <v>1200</v>
      </c>
      <c r="G68" s="59" t="n">
        <f aca="false">F68-H68</f>
        <v>1200</v>
      </c>
      <c r="H68" s="58" t="n">
        <v>0</v>
      </c>
      <c r="J68" s="55"/>
      <c r="L68" s="0"/>
      <c r="P68" s="0"/>
      <c r="R68" s="0"/>
    </row>
    <row r="69" customFormat="false" ht="19.85" hidden="false" customHeight="true" outlineLevel="0" collapsed="false">
      <c r="A69" s="0" t="n">
        <v>31</v>
      </c>
      <c r="B69" s="34" t="n">
        <v>39783</v>
      </c>
      <c r="C69" s="26" t="n">
        <v>387579</v>
      </c>
      <c r="D69" s="29" t="s">
        <v>41</v>
      </c>
      <c r="E69" s="33" t="n">
        <f aca="false">IF(D69="totale",(C69/(A69*24))/F69,IF(D69="marché libre",(C69/(A69*24))/G69,"spécifier histo"))</f>
        <v>0.43411626344086</v>
      </c>
      <c r="F69" s="59" t="n">
        <v>1200</v>
      </c>
      <c r="G69" s="59" t="n">
        <f aca="false">F69-H69</f>
        <v>1200</v>
      </c>
      <c r="H69" s="58" t="n">
        <v>0</v>
      </c>
      <c r="J69" s="55"/>
      <c r="L69" s="0"/>
      <c r="P69" s="0"/>
      <c r="R69" s="0"/>
    </row>
    <row r="70" customFormat="false" ht="19.85" hidden="false" customHeight="true" outlineLevel="0" collapsed="false">
      <c r="A70" s="0" t="n">
        <v>31</v>
      </c>
      <c r="B70" s="31" t="n">
        <v>39814</v>
      </c>
      <c r="C70" s="26" t="n">
        <v>422956</v>
      </c>
      <c r="D70" s="29" t="s">
        <v>41</v>
      </c>
      <c r="E70" s="33" t="n">
        <f aca="false">IF(D70="totale",(C70/(A70*24))/F70,IF(D70="marché libre",(C70/(A70*24))/G70,"spécifier histo"))</f>
        <v>0.473741039426523</v>
      </c>
      <c r="F70" s="59" t="n">
        <v>1200</v>
      </c>
      <c r="G70" s="59" t="n">
        <f aca="false">F70-H70</f>
        <v>1200</v>
      </c>
      <c r="H70" s="58" t="n">
        <v>0</v>
      </c>
      <c r="J70" s="55"/>
      <c r="L70" s="0"/>
      <c r="P70" s="0"/>
      <c r="R70" s="0"/>
    </row>
    <row r="71" customFormat="false" ht="19.85" hidden="false" customHeight="true" outlineLevel="0" collapsed="false">
      <c r="A71" s="0" t="n">
        <v>28</v>
      </c>
      <c r="B71" s="34" t="n">
        <v>39845</v>
      </c>
      <c r="C71" s="26" t="n">
        <v>363044</v>
      </c>
      <c r="D71" s="29" t="s">
        <v>41</v>
      </c>
      <c r="E71" s="33" t="n">
        <f aca="false">IF(D71="totale",(C71/(A71*24))/F71,IF(D71="marché libre",(C71/(A71*24))/G71,"spécifier histo"))</f>
        <v>0.450203373015873</v>
      </c>
      <c r="F71" s="59" t="n">
        <v>1200</v>
      </c>
      <c r="G71" s="59" t="n">
        <f aca="false">F71-H71</f>
        <v>1200</v>
      </c>
      <c r="H71" s="58" t="n">
        <v>0</v>
      </c>
      <c r="J71" s="55"/>
      <c r="L71" s="0"/>
      <c r="P71" s="0"/>
      <c r="R71" s="0"/>
    </row>
    <row r="72" customFormat="false" ht="19.85" hidden="false" customHeight="true" outlineLevel="0" collapsed="false">
      <c r="A72" s="0" t="n">
        <v>31</v>
      </c>
      <c r="B72" s="31" t="n">
        <v>39873</v>
      </c>
      <c r="C72" s="26" t="n">
        <v>672012</v>
      </c>
      <c r="D72" s="29" t="s">
        <v>41</v>
      </c>
      <c r="E72" s="33" t="n">
        <f aca="false">IF(D72="totale",(C72/(A72*24))/F72,IF(D72="marché libre",(C72/(A72*24))/G72,"spécifier histo"))</f>
        <v>0.752701612903226</v>
      </c>
      <c r="F72" s="59" t="n">
        <v>1200</v>
      </c>
      <c r="G72" s="59" t="n">
        <f aca="false">F72-H72</f>
        <v>1200</v>
      </c>
      <c r="H72" s="58" t="n">
        <v>0</v>
      </c>
      <c r="J72" s="55"/>
      <c r="L72" s="0"/>
      <c r="P72" s="0"/>
      <c r="R72" s="0"/>
    </row>
    <row r="73" customFormat="false" ht="19.85" hidden="false" customHeight="true" outlineLevel="0" collapsed="false">
      <c r="A73" s="0" t="n">
        <v>30</v>
      </c>
      <c r="B73" s="34" t="n">
        <v>39904</v>
      </c>
      <c r="C73" s="26" t="n">
        <v>189106</v>
      </c>
      <c r="D73" s="29" t="s">
        <v>41</v>
      </c>
      <c r="E73" s="33" t="n">
        <f aca="false">IF(D73="totale",(C73/(A73*24))/F73,IF(D73="marché libre",(C73/(A73*24))/G73,"spécifier histo"))</f>
        <v>0.218872685185185</v>
      </c>
      <c r="F73" s="59" t="n">
        <v>1200</v>
      </c>
      <c r="G73" s="59" t="n">
        <f aca="false">F73-H73</f>
        <v>1200</v>
      </c>
      <c r="H73" s="58" t="n">
        <v>0</v>
      </c>
      <c r="J73" s="55"/>
      <c r="L73" s="0"/>
      <c r="P73" s="0"/>
      <c r="R73" s="0"/>
    </row>
    <row r="74" customFormat="false" ht="19.85" hidden="false" customHeight="true" outlineLevel="0" collapsed="false">
      <c r="A74" s="0" t="n">
        <v>31</v>
      </c>
      <c r="B74" s="31" t="n">
        <v>39934</v>
      </c>
      <c r="C74" s="26" t="n">
        <v>47507</v>
      </c>
      <c r="D74" s="29" t="s">
        <v>41</v>
      </c>
      <c r="E74" s="33" t="n">
        <f aca="false">IF(D74="totale",(C74/(A74*24))/F74,IF(D74="marché libre",(C74/(A74*24))/G74,"spécifier histo"))</f>
        <v>0.0532112455197133</v>
      </c>
      <c r="F74" s="59" t="n">
        <v>1200</v>
      </c>
      <c r="G74" s="59" t="n">
        <f aca="false">F74-H74</f>
        <v>1200</v>
      </c>
      <c r="H74" s="58" t="n">
        <v>0</v>
      </c>
      <c r="J74" s="55"/>
      <c r="L74" s="0"/>
      <c r="P74" s="0"/>
      <c r="R74" s="0"/>
    </row>
    <row r="75" customFormat="false" ht="19.85" hidden="false" customHeight="true" outlineLevel="0" collapsed="false">
      <c r="A75" s="0" t="n">
        <v>30</v>
      </c>
      <c r="B75" s="34" t="n">
        <v>39965</v>
      </c>
      <c r="C75" s="26" t="n">
        <v>22400</v>
      </c>
      <c r="D75" s="29" t="s">
        <v>41</v>
      </c>
      <c r="E75" s="33" t="n">
        <f aca="false">IF(D75="totale",(C75/(A75*24))/F75,IF(D75="marché libre",(C75/(A75*24))/G75,"spécifier histo"))</f>
        <v>0.0259259259259259</v>
      </c>
      <c r="F75" s="59" t="n">
        <v>1200</v>
      </c>
      <c r="G75" s="59" t="n">
        <f aca="false">F75-H75</f>
        <v>1200</v>
      </c>
      <c r="H75" s="58" t="n">
        <v>0</v>
      </c>
      <c r="J75" s="55"/>
      <c r="L75" s="0"/>
      <c r="P75" s="0"/>
      <c r="R75" s="0"/>
    </row>
    <row r="76" customFormat="false" ht="19.85" hidden="false" customHeight="true" outlineLevel="0" collapsed="false">
      <c r="A76" s="0" t="n">
        <v>31</v>
      </c>
      <c r="B76" s="31" t="n">
        <v>39995</v>
      </c>
      <c r="C76" s="26" t="n">
        <v>0</v>
      </c>
      <c r="D76" s="29" t="s">
        <v>41</v>
      </c>
      <c r="E76" s="33" t="n">
        <f aca="false">IF(D76="totale",(C76/(A76*24))/F76,IF(D76="marché libre",(C76/(A76*24))/G76,"spécifier histo"))</f>
        <v>0</v>
      </c>
      <c r="F76" s="59" t="n">
        <v>1200</v>
      </c>
      <c r="G76" s="59" t="n">
        <f aca="false">F76-H76</f>
        <v>1200</v>
      </c>
      <c r="H76" s="58" t="n">
        <v>0</v>
      </c>
      <c r="J76" s="55"/>
      <c r="L76" s="0"/>
      <c r="P76" s="0"/>
      <c r="R76" s="0"/>
    </row>
    <row r="77" customFormat="false" ht="19.85" hidden="false" customHeight="true" outlineLevel="0" collapsed="false">
      <c r="A77" s="0" t="n">
        <v>31</v>
      </c>
      <c r="B77" s="34" t="n">
        <v>40026</v>
      </c>
      <c r="C77" s="26" t="n">
        <v>0</v>
      </c>
      <c r="D77" s="29" t="s">
        <v>41</v>
      </c>
      <c r="E77" s="33" t="n">
        <f aca="false">IF(D77="totale",(C77/(A77*24))/F77,IF(D77="marché libre",(C77/(A77*24))/G77,"spécifier histo"))</f>
        <v>0</v>
      </c>
      <c r="F77" s="59" t="n">
        <v>1200</v>
      </c>
      <c r="G77" s="59" t="n">
        <f aca="false">F77-H77</f>
        <v>1200</v>
      </c>
      <c r="H77" s="58" t="n">
        <v>0</v>
      </c>
      <c r="J77" s="55"/>
      <c r="L77" s="0"/>
      <c r="P77" s="0"/>
      <c r="R77" s="0"/>
    </row>
    <row r="78" customFormat="false" ht="19.85" hidden="false" customHeight="true" outlineLevel="0" collapsed="false">
      <c r="A78" s="0" t="n">
        <v>30</v>
      </c>
      <c r="B78" s="31" t="n">
        <v>40057</v>
      </c>
      <c r="C78" s="26" t="n">
        <v>0</v>
      </c>
      <c r="D78" s="29" t="s">
        <v>41</v>
      </c>
      <c r="E78" s="33" t="n">
        <f aca="false">IF(D78="totale",(C78/(A78*24))/F78,IF(D78="marché libre",(C78/(A78*24))/G78,"spécifier histo"))</f>
        <v>0</v>
      </c>
      <c r="F78" s="59" t="n">
        <v>1200</v>
      </c>
      <c r="G78" s="59" t="n">
        <f aca="false">F78-H78</f>
        <v>1200</v>
      </c>
      <c r="H78" s="58" t="n">
        <v>0</v>
      </c>
      <c r="J78" s="55"/>
      <c r="L78" s="0"/>
      <c r="P78" s="0"/>
      <c r="R78" s="0"/>
    </row>
    <row r="79" customFormat="false" ht="19.85" hidden="false" customHeight="true" outlineLevel="0" collapsed="false">
      <c r="A79" s="0" t="n">
        <v>31</v>
      </c>
      <c r="B79" s="34" t="n">
        <v>40087</v>
      </c>
      <c r="C79" s="26" t="n">
        <v>36160</v>
      </c>
      <c r="D79" s="29" t="s">
        <v>41</v>
      </c>
      <c r="E79" s="33" t="n">
        <f aca="false">IF(D79="totale",(C79/(A79*24))/F79,IF(D79="marché libre",(C79/(A79*24))/G79,"spécifier histo"))</f>
        <v>0.0405017921146953</v>
      </c>
      <c r="F79" s="59" t="n">
        <v>1200</v>
      </c>
      <c r="G79" s="59" t="n">
        <f aca="false">F79-H79</f>
        <v>1200</v>
      </c>
      <c r="H79" s="58" t="n">
        <v>0</v>
      </c>
      <c r="J79" s="55"/>
      <c r="L79" s="0"/>
      <c r="P79" s="0"/>
      <c r="R79" s="0"/>
    </row>
    <row r="80" customFormat="false" ht="19.85" hidden="false" customHeight="true" outlineLevel="0" collapsed="false">
      <c r="A80" s="0" t="n">
        <v>30</v>
      </c>
      <c r="B80" s="31" t="n">
        <v>40118</v>
      </c>
      <c r="C80" s="26" t="n">
        <v>453036</v>
      </c>
      <c r="D80" s="29" t="s">
        <v>41</v>
      </c>
      <c r="E80" s="33" t="n">
        <f aca="false">IF(D80="totale",(C80/(A80*24))/F80,IF(D80="marché libre",(C80/(A80*24))/G80,"spécifier histo"))</f>
        <v>0.524347222222222</v>
      </c>
      <c r="F80" s="59" t="n">
        <v>1200</v>
      </c>
      <c r="G80" s="59" t="n">
        <f aca="false">F80-H80</f>
        <v>1200</v>
      </c>
      <c r="H80" s="58" t="n">
        <v>0</v>
      </c>
      <c r="J80" s="55"/>
      <c r="L80" s="0"/>
      <c r="P80" s="0"/>
      <c r="R80" s="0"/>
    </row>
    <row r="81" customFormat="false" ht="19.85" hidden="false" customHeight="true" outlineLevel="0" collapsed="false">
      <c r="A81" s="0" t="n">
        <v>31</v>
      </c>
      <c r="B81" s="34" t="n">
        <v>40148</v>
      </c>
      <c r="C81" s="26" t="n">
        <v>575514</v>
      </c>
      <c r="D81" s="29" t="s">
        <v>41</v>
      </c>
      <c r="E81" s="33" t="n">
        <f aca="false">IF(D81="totale",(C81/(A81*24))/F81,IF(D81="marché libre",(C81/(A81*24))/G81,"spécifier histo"))</f>
        <v>0.644616935483871</v>
      </c>
      <c r="F81" s="59" t="n">
        <v>1200</v>
      </c>
      <c r="G81" s="59" t="n">
        <f aca="false">F81-H81</f>
        <v>1200</v>
      </c>
      <c r="H81" s="58" t="n">
        <v>0</v>
      </c>
      <c r="J81" s="55"/>
      <c r="L81" s="0"/>
      <c r="P81" s="0"/>
    </row>
    <row r="82" customFormat="false" ht="19.85" hidden="false" customHeight="true" outlineLevel="0" collapsed="false">
      <c r="A82" s="0" t="n">
        <v>31</v>
      </c>
      <c r="B82" s="31" t="n">
        <v>40179</v>
      </c>
      <c r="C82" s="26" t="n">
        <v>397098</v>
      </c>
      <c r="D82" s="29" t="s">
        <v>41</v>
      </c>
      <c r="E82" s="33" t="n">
        <f aca="false">IF(D82="totale",(C82/(A82*24))/F82,IF(D82="marché libre",(C82/(A82*24))/G82,"spécifier histo"))</f>
        <v>0.444778225806452</v>
      </c>
      <c r="F82" s="59" t="n">
        <v>1200</v>
      </c>
      <c r="G82" s="59" t="n">
        <f aca="false">F82-H82</f>
        <v>1200</v>
      </c>
      <c r="H82" s="58" t="n">
        <v>0</v>
      </c>
      <c r="J82" s="55"/>
      <c r="L82" s="0"/>
      <c r="P82" s="0"/>
    </row>
    <row r="83" customFormat="false" ht="19.85" hidden="false" customHeight="true" outlineLevel="0" collapsed="false">
      <c r="A83" s="0" t="n">
        <v>28</v>
      </c>
      <c r="B83" s="34" t="n">
        <v>40210</v>
      </c>
      <c r="C83" s="26" t="n">
        <v>451840</v>
      </c>
      <c r="D83" s="29" t="s">
        <v>41</v>
      </c>
      <c r="E83" s="33" t="n">
        <f aca="false">IF(D83="totale",(C83/(A83*24))/F83,IF(D83="marché libre",(C83/(A83*24))/G83,"spécifier histo"))</f>
        <v>0.56031746031746</v>
      </c>
      <c r="F83" s="59" t="n">
        <v>1200</v>
      </c>
      <c r="G83" s="59" t="n">
        <f aca="false">F83-H83</f>
        <v>1200</v>
      </c>
      <c r="H83" s="58" t="n">
        <v>0</v>
      </c>
      <c r="J83" s="55"/>
      <c r="L83" s="0"/>
      <c r="P83" s="0"/>
    </row>
    <row r="84" customFormat="false" ht="19.85" hidden="false" customHeight="true" outlineLevel="0" collapsed="false">
      <c r="A84" s="0" t="n">
        <v>31</v>
      </c>
      <c r="B84" s="31" t="n">
        <v>40238</v>
      </c>
      <c r="C84" s="26" t="n">
        <v>485400</v>
      </c>
      <c r="D84" s="29" t="s">
        <v>41</v>
      </c>
      <c r="E84" s="33" t="n">
        <f aca="false">IF(D84="totale",(C84/(A84*24))/F84,IF(D84="marché libre",(C84/(A84*24))/G84,"spécifier histo"))</f>
        <v>0.543682795698925</v>
      </c>
      <c r="F84" s="59" t="n">
        <v>1200</v>
      </c>
      <c r="G84" s="59" t="n">
        <f aca="false">F84-H84</f>
        <v>1200</v>
      </c>
      <c r="H84" s="58" t="n">
        <v>0</v>
      </c>
      <c r="J84" s="55"/>
      <c r="L84" s="0"/>
      <c r="P84" s="0"/>
    </row>
    <row r="85" customFormat="false" ht="19.85" hidden="false" customHeight="true" outlineLevel="0" collapsed="false">
      <c r="A85" s="0" t="n">
        <v>30</v>
      </c>
      <c r="B85" s="34" t="n">
        <v>40269</v>
      </c>
      <c r="C85" s="26" t="n">
        <v>308911</v>
      </c>
      <c r="D85" s="29" t="s">
        <v>41</v>
      </c>
      <c r="E85" s="33" t="n">
        <f aca="false">IF(D85="totale",(C85/(A85*24))/F85,IF(D85="marché libre",(C85/(A85*24))/G85,"spécifier histo"))</f>
        <v>0.35753587962963</v>
      </c>
      <c r="F85" s="59" t="n">
        <v>1200</v>
      </c>
      <c r="G85" s="59" t="n">
        <f aca="false">F85-H85</f>
        <v>1200</v>
      </c>
      <c r="H85" s="58" t="n">
        <v>0</v>
      </c>
      <c r="J85" s="55"/>
      <c r="L85" s="0"/>
      <c r="P85" s="0"/>
    </row>
    <row r="86" customFormat="false" ht="19.85" hidden="false" customHeight="true" outlineLevel="0" collapsed="false">
      <c r="A86" s="0" t="n">
        <v>31</v>
      </c>
      <c r="B86" s="31" t="n">
        <v>40299</v>
      </c>
      <c r="C86" s="26" t="n">
        <v>0</v>
      </c>
      <c r="D86" s="29" t="s">
        <v>41</v>
      </c>
      <c r="E86" s="33" t="n">
        <f aca="false">IF(D86="totale",(C86/(A86*24))/F86,IF(D86="marché libre",(C86/(A86*24))/G86,"spécifier histo"))</f>
        <v>0</v>
      </c>
      <c r="F86" s="59" t="n">
        <v>1200</v>
      </c>
      <c r="G86" s="59" t="n">
        <f aca="false">F86-H86</f>
        <v>1200</v>
      </c>
      <c r="H86" s="58" t="n">
        <v>0</v>
      </c>
      <c r="J86" s="55"/>
      <c r="L86" s="0"/>
      <c r="P86" s="0"/>
    </row>
    <row r="87" customFormat="false" ht="19.85" hidden="false" customHeight="true" outlineLevel="0" collapsed="false">
      <c r="A87" s="0" t="n">
        <v>30</v>
      </c>
      <c r="B87" s="34" t="n">
        <v>40330</v>
      </c>
      <c r="C87" s="26" t="n">
        <v>0</v>
      </c>
      <c r="D87" s="29" t="s">
        <v>41</v>
      </c>
      <c r="E87" s="33" t="n">
        <f aca="false">IF(D87="totale",(C87/(A87*24))/F87,IF(D87="marché libre",(C87/(A87*24))/G87,"spécifier histo"))</f>
        <v>0</v>
      </c>
      <c r="F87" s="59" t="n">
        <v>1200</v>
      </c>
      <c r="G87" s="59" t="n">
        <f aca="false">F87-H87</f>
        <v>1200</v>
      </c>
      <c r="H87" s="58" t="n">
        <v>0</v>
      </c>
      <c r="J87" s="55"/>
      <c r="L87" s="0"/>
      <c r="P87" s="0"/>
    </row>
    <row r="88" customFormat="false" ht="19.85" hidden="false" customHeight="true" outlineLevel="0" collapsed="false">
      <c r="A88" s="0" t="n">
        <v>31</v>
      </c>
      <c r="B88" s="31" t="n">
        <v>40360</v>
      </c>
      <c r="C88" s="26" t="n">
        <v>0</v>
      </c>
      <c r="D88" s="29" t="s">
        <v>41</v>
      </c>
      <c r="E88" s="33" t="n">
        <f aca="false">IF(D88="totale",(C88/(A88*24))/F88,IF(D88="marché libre",(C88/(A88*24))/G88,"spécifier histo"))</f>
        <v>0</v>
      </c>
      <c r="F88" s="59" t="n">
        <v>1200</v>
      </c>
      <c r="G88" s="59" t="n">
        <f aca="false">F88-H88</f>
        <v>1200</v>
      </c>
      <c r="H88" s="58" t="n">
        <v>0</v>
      </c>
      <c r="J88" s="55"/>
      <c r="L88" s="0"/>
      <c r="P88" s="0"/>
    </row>
    <row r="89" customFormat="false" ht="19.85" hidden="false" customHeight="true" outlineLevel="0" collapsed="false">
      <c r="A89" s="0" t="n">
        <v>31</v>
      </c>
      <c r="B89" s="34" t="n">
        <v>40391</v>
      </c>
      <c r="C89" s="26" t="n">
        <v>0</v>
      </c>
      <c r="D89" s="29" t="s">
        <v>41</v>
      </c>
      <c r="E89" s="33" t="n">
        <f aca="false">IF(D89="totale",(C89/(A89*24))/F89,IF(D89="marché libre",(C89/(A89*24))/G89,"spécifier histo"))</f>
        <v>0</v>
      </c>
      <c r="F89" s="59" t="n">
        <v>1200</v>
      </c>
      <c r="G89" s="59" t="n">
        <f aca="false">F89-H89</f>
        <v>1200</v>
      </c>
      <c r="H89" s="58" t="n">
        <v>0</v>
      </c>
      <c r="J89" s="55"/>
      <c r="L89" s="0"/>
      <c r="P89" s="0"/>
    </row>
    <row r="90" customFormat="false" ht="19.85" hidden="false" customHeight="true" outlineLevel="0" collapsed="false">
      <c r="A90" s="0" t="n">
        <v>30</v>
      </c>
      <c r="B90" s="31" t="n">
        <v>40422</v>
      </c>
      <c r="C90" s="26" t="n">
        <v>2709</v>
      </c>
      <c r="D90" s="29" t="s">
        <v>41</v>
      </c>
      <c r="E90" s="33" t="n">
        <f aca="false">IF(D90="totale",(C90/(A90*24))/F90,IF(D90="marché libre",(C90/(A90*24))/G90,"spécifier histo"))</f>
        <v>0.00313541666666667</v>
      </c>
      <c r="F90" s="59" t="n">
        <v>1200</v>
      </c>
      <c r="G90" s="59" t="n">
        <f aca="false">F90-H90</f>
        <v>1200</v>
      </c>
      <c r="H90" s="58" t="n">
        <v>0</v>
      </c>
      <c r="J90" s="55"/>
      <c r="L90" s="0"/>
      <c r="P90" s="0"/>
    </row>
    <row r="91" customFormat="false" ht="19.85" hidden="false" customHeight="true" outlineLevel="0" collapsed="false">
      <c r="A91" s="0" t="n">
        <v>31</v>
      </c>
      <c r="B91" s="34" t="n">
        <v>40452</v>
      </c>
      <c r="C91" s="26" t="n">
        <v>56200</v>
      </c>
      <c r="D91" s="29" t="s">
        <v>41</v>
      </c>
      <c r="E91" s="33" t="n">
        <f aca="false">IF(D91="totale",(C91/(A91*24))/F91,IF(D91="marché libre",(C91/(A91*24))/G91,"spécifier histo"))</f>
        <v>0.0629480286738351</v>
      </c>
      <c r="F91" s="59" t="n">
        <v>1200</v>
      </c>
      <c r="G91" s="59" t="n">
        <f aca="false">F91-H91</f>
        <v>1200</v>
      </c>
      <c r="H91" s="58" t="n">
        <v>0</v>
      </c>
      <c r="J91" s="55"/>
      <c r="L91" s="0"/>
      <c r="P91" s="0"/>
    </row>
    <row r="92" customFormat="false" ht="19.85" hidden="false" customHeight="true" outlineLevel="0" collapsed="false">
      <c r="A92" s="0" t="n">
        <v>30</v>
      </c>
      <c r="B92" s="31" t="n">
        <v>40483</v>
      </c>
      <c r="C92" s="26" t="n">
        <v>372418</v>
      </c>
      <c r="D92" s="29" t="s">
        <v>41</v>
      </c>
      <c r="E92" s="33" t="n">
        <f aca="false">IF(D92="totale",(C92/(A92*24))/F92,IF(D92="marché libre",(C92/(A92*24))/G92,"spécifier histo"))</f>
        <v>0.431039351851852</v>
      </c>
      <c r="F92" s="59" t="n">
        <v>1200</v>
      </c>
      <c r="G92" s="59" t="n">
        <f aca="false">F92-H92</f>
        <v>1200</v>
      </c>
      <c r="H92" s="58" t="n">
        <v>0</v>
      </c>
      <c r="J92" s="55"/>
      <c r="L92" s="0"/>
      <c r="P92" s="0"/>
    </row>
    <row r="93" customFormat="false" ht="19.85" hidden="false" customHeight="true" outlineLevel="0" collapsed="false">
      <c r="A93" s="0" t="n">
        <v>31</v>
      </c>
      <c r="B93" s="34" t="n">
        <v>40513</v>
      </c>
      <c r="C93" s="26" t="n">
        <v>492057</v>
      </c>
      <c r="D93" s="29" t="s">
        <v>41</v>
      </c>
      <c r="E93" s="33" t="n">
        <f aca="false">IF(D93="totale",(C93/(A93*24))/F93,IF(D93="marché libre",(C93/(A93*24))/G93,"spécifier histo"))</f>
        <v>0.551139112903226</v>
      </c>
      <c r="F93" s="59" t="n">
        <v>1200</v>
      </c>
      <c r="G93" s="59" t="n">
        <f aca="false">F93-H93</f>
        <v>1200</v>
      </c>
      <c r="H93" s="58" t="n">
        <v>0</v>
      </c>
      <c r="J93" s="55"/>
      <c r="L93" s="0"/>
      <c r="P93" s="0"/>
    </row>
    <row r="94" customFormat="false" ht="19.85" hidden="false" customHeight="true" outlineLevel="0" collapsed="false">
      <c r="A94" s="0" t="n">
        <v>31</v>
      </c>
      <c r="B94" s="31" t="n">
        <v>40544</v>
      </c>
      <c r="C94" s="26" t="n">
        <v>405890</v>
      </c>
      <c r="D94" s="29" t="s">
        <v>41</v>
      </c>
      <c r="E94" s="33" t="n">
        <f aca="false">IF(D94="totale",(C94/(A94*24))/F94,IF(D94="marché libre",(C94/(A94*24))/G94,"spécifier histo"))</f>
        <v>0.454625896057348</v>
      </c>
      <c r="F94" s="59" t="n">
        <v>1200</v>
      </c>
      <c r="G94" s="59" t="n">
        <f aca="false">F94-H94</f>
        <v>1200</v>
      </c>
      <c r="H94" s="58" t="n">
        <v>0</v>
      </c>
      <c r="J94" s="55"/>
      <c r="L94" s="0"/>
      <c r="P94" s="0"/>
    </row>
    <row r="95" customFormat="false" ht="19.85" hidden="false" customHeight="true" outlineLevel="0" collapsed="false">
      <c r="A95" s="0" t="n">
        <v>28</v>
      </c>
      <c r="B95" s="34" t="n">
        <v>40575</v>
      </c>
      <c r="C95" s="26" t="n">
        <v>108300</v>
      </c>
      <c r="D95" s="29" t="s">
        <v>41</v>
      </c>
      <c r="E95" s="33" t="n">
        <f aca="false">IF(D95="totale",(C95/(A95*24))/F95,IF(D95="marché libre",(C95/(A95*24))/G95,"spécifier histo"))</f>
        <v>0.134300595238095</v>
      </c>
      <c r="F95" s="59" t="n">
        <v>1200</v>
      </c>
      <c r="G95" s="59" t="n">
        <f aca="false">F95-H95</f>
        <v>1200</v>
      </c>
      <c r="H95" s="58" t="n">
        <v>0</v>
      </c>
      <c r="J95" s="55"/>
      <c r="L95" s="0"/>
      <c r="P95" s="0"/>
    </row>
    <row r="96" customFormat="false" ht="19.85" hidden="false" customHeight="true" outlineLevel="0" collapsed="false">
      <c r="A96" s="0" t="n">
        <v>31</v>
      </c>
      <c r="B96" s="31" t="n">
        <v>40603</v>
      </c>
      <c r="C96" s="26" t="n">
        <v>274800</v>
      </c>
      <c r="D96" s="29" t="s">
        <v>41</v>
      </c>
      <c r="E96" s="33" t="n">
        <f aca="false">IF(D96="totale",(C96/(A96*24))/F96,IF(D96="marché libre",(C96/(A96*24))/G96,"spécifier histo"))</f>
        <v>0.307795698924731</v>
      </c>
      <c r="F96" s="59" t="n">
        <v>1200</v>
      </c>
      <c r="G96" s="59" t="n">
        <f aca="false">F96-H96</f>
        <v>1200</v>
      </c>
      <c r="H96" s="58" t="n">
        <v>0</v>
      </c>
      <c r="J96" s="55"/>
      <c r="L96" s="0"/>
      <c r="P96" s="0"/>
    </row>
    <row r="97" customFormat="false" ht="19.85" hidden="false" customHeight="true" outlineLevel="0" collapsed="false">
      <c r="A97" s="0" t="n">
        <v>30</v>
      </c>
      <c r="B97" s="34" t="n">
        <v>40634</v>
      </c>
      <c r="C97" s="26" t="n">
        <v>65786</v>
      </c>
      <c r="D97" s="29" t="s">
        <v>41</v>
      </c>
      <c r="E97" s="33" t="n">
        <f aca="false">IF(D97="totale",(C97/(A97*24))/F97,IF(D97="marché libre",(C97/(A97*24))/G97,"spécifier histo"))</f>
        <v>0.0761412037037037</v>
      </c>
      <c r="F97" s="59" t="n">
        <v>1200</v>
      </c>
      <c r="G97" s="59" t="n">
        <f aca="false">F97-H97</f>
        <v>1200</v>
      </c>
      <c r="H97" s="58" t="n">
        <v>0</v>
      </c>
      <c r="J97" s="55"/>
      <c r="L97" s="0"/>
      <c r="P97" s="0"/>
    </row>
    <row r="98" customFormat="false" ht="19.85" hidden="false" customHeight="true" outlineLevel="0" collapsed="false">
      <c r="A98" s="0" t="n">
        <v>31</v>
      </c>
      <c r="B98" s="31" t="n">
        <v>40664</v>
      </c>
      <c r="C98" s="26" t="n">
        <v>0</v>
      </c>
      <c r="D98" s="29" t="s">
        <v>41</v>
      </c>
      <c r="E98" s="33" t="n">
        <f aca="false">IF(D98="totale",(C98/(A98*24))/F98,IF(D98="marché libre",(C98/(A98*24))/G98,"spécifier histo"))</f>
        <v>0</v>
      </c>
      <c r="F98" s="59" t="n">
        <v>1200</v>
      </c>
      <c r="G98" s="59" t="n">
        <f aca="false">F98-H98</f>
        <v>1200</v>
      </c>
      <c r="H98" s="58" t="n">
        <v>0</v>
      </c>
      <c r="J98" s="55"/>
      <c r="L98" s="0"/>
      <c r="P98" s="0"/>
    </row>
    <row r="99" customFormat="false" ht="19.85" hidden="false" customHeight="true" outlineLevel="0" collapsed="false">
      <c r="A99" s="0" t="n">
        <v>30</v>
      </c>
      <c r="B99" s="34" t="n">
        <v>40695</v>
      </c>
      <c r="C99" s="26" t="n">
        <v>78000</v>
      </c>
      <c r="D99" s="29" t="s">
        <v>41</v>
      </c>
      <c r="E99" s="33" t="n">
        <f aca="false">IF(D99="totale",(C99/(A99*24))/F99,IF(D99="marché libre",(C99/(A99*24))/G99,"spécifier histo"))</f>
        <v>0.0902777777777778</v>
      </c>
      <c r="F99" s="59" t="n">
        <v>1200</v>
      </c>
      <c r="G99" s="59" t="n">
        <f aca="false">F99-H99</f>
        <v>1200</v>
      </c>
      <c r="H99" s="58" t="n">
        <v>0</v>
      </c>
      <c r="J99" s="55"/>
      <c r="L99" s="0"/>
      <c r="P99" s="0"/>
    </row>
    <row r="100" customFormat="false" ht="19.85" hidden="false" customHeight="true" outlineLevel="0" collapsed="false">
      <c r="A100" s="0" t="n">
        <v>31</v>
      </c>
      <c r="B100" s="31" t="n">
        <v>40725</v>
      </c>
      <c r="C100" s="26" t="n">
        <v>220674</v>
      </c>
      <c r="D100" s="29" t="s">
        <v>41</v>
      </c>
      <c r="E100" s="33" t="n">
        <f aca="false">IF(D100="totale",(C100/(A100*24))/F100,IF(D100="marché libre",(C100/(A100*24))/G100,"spécifier histo"))</f>
        <v>0.247170698924731</v>
      </c>
      <c r="F100" s="59" t="n">
        <v>1200</v>
      </c>
      <c r="G100" s="59" t="n">
        <f aca="false">F100-H100</f>
        <v>1200</v>
      </c>
      <c r="H100" s="58" t="n">
        <v>0</v>
      </c>
      <c r="J100" s="55"/>
      <c r="L100" s="0"/>
      <c r="P100" s="0"/>
    </row>
    <row r="101" customFormat="false" ht="19.85" hidden="false" customHeight="true" outlineLevel="0" collapsed="false">
      <c r="A101" s="0" t="n">
        <v>31</v>
      </c>
      <c r="B101" s="34" t="n">
        <v>40756</v>
      </c>
      <c r="C101" s="26" t="n">
        <v>200</v>
      </c>
      <c r="D101" s="29" t="s">
        <v>41</v>
      </c>
      <c r="E101" s="33" t="n">
        <f aca="false">IF(D101="totale",(C101/(A101*24))/F101,IF(D101="marché libre",(C101/(A101*24))/G101,"spécifier histo"))</f>
        <v>0.000224014336917563</v>
      </c>
      <c r="F101" s="59" t="n">
        <v>1200</v>
      </c>
      <c r="G101" s="59" t="n">
        <f aca="false">F101-H101</f>
        <v>1200</v>
      </c>
      <c r="H101" s="58" t="n">
        <v>0</v>
      </c>
      <c r="J101" s="55"/>
      <c r="L101" s="0"/>
      <c r="P101" s="0"/>
    </row>
    <row r="102" customFormat="false" ht="19.85" hidden="false" customHeight="true" outlineLevel="0" collapsed="false">
      <c r="A102" s="0" t="n">
        <v>30</v>
      </c>
      <c r="B102" s="31" t="n">
        <v>40787</v>
      </c>
      <c r="C102" s="26" t="n">
        <v>3404</v>
      </c>
      <c r="D102" s="29" t="s">
        <v>41</v>
      </c>
      <c r="E102" s="33" t="n">
        <f aca="false">IF(D102="totale",(C102/(A102*24))/F102,IF(D102="marché libre",(C102/(A102*24))/G102,"spécifier histo"))</f>
        <v>0.00393981481481482</v>
      </c>
      <c r="F102" s="59" t="n">
        <v>1200</v>
      </c>
      <c r="G102" s="59" t="n">
        <f aca="false">F102-H102</f>
        <v>1200</v>
      </c>
      <c r="H102" s="58" t="n">
        <v>0</v>
      </c>
      <c r="J102" s="55"/>
      <c r="L102" s="0"/>
      <c r="P102" s="0"/>
    </row>
    <row r="103" customFormat="false" ht="19.85" hidden="false" customHeight="true" outlineLevel="0" collapsed="false">
      <c r="A103" s="0" t="n">
        <v>31</v>
      </c>
      <c r="B103" s="34" t="n">
        <v>40817</v>
      </c>
      <c r="C103" s="26" t="n">
        <v>104672</v>
      </c>
      <c r="D103" s="29" t="s">
        <v>41</v>
      </c>
      <c r="E103" s="33" t="n">
        <f aca="false">IF(D103="totale",(C103/(A103*24))/F103,IF(D103="marché libre",(C103/(A103*24))/G103,"spécifier histo"))</f>
        <v>0.117240143369176</v>
      </c>
      <c r="F103" s="59" t="n">
        <v>1200</v>
      </c>
      <c r="G103" s="59" t="n">
        <f aca="false">F103-H103</f>
        <v>1200</v>
      </c>
      <c r="H103" s="58" t="n">
        <v>0</v>
      </c>
      <c r="J103" s="55"/>
      <c r="L103" s="0"/>
      <c r="P103" s="0"/>
    </row>
    <row r="104" customFormat="false" ht="19.85" hidden="false" customHeight="true" outlineLevel="0" collapsed="false">
      <c r="A104" s="0" t="n">
        <v>30</v>
      </c>
      <c r="B104" s="31" t="n">
        <v>40848</v>
      </c>
      <c r="C104" s="26" t="n">
        <v>130068</v>
      </c>
      <c r="D104" s="29" t="s">
        <v>41</v>
      </c>
      <c r="E104" s="33" t="n">
        <f aca="false">IF(D104="totale",(C104/(A104*24))/F104,IF(D104="marché libre",(C104/(A104*24))/G104,"spécifier histo"))</f>
        <v>0.150541666666667</v>
      </c>
      <c r="F104" s="59" t="n">
        <v>1200</v>
      </c>
      <c r="G104" s="59" t="n">
        <f aca="false">F104-H104</f>
        <v>1200</v>
      </c>
      <c r="H104" s="58" t="n">
        <v>0</v>
      </c>
      <c r="J104" s="55"/>
      <c r="L104" s="0"/>
    </row>
    <row r="105" customFormat="false" ht="19.85" hidden="false" customHeight="true" outlineLevel="0" collapsed="false">
      <c r="A105" s="0" t="n">
        <v>31</v>
      </c>
      <c r="B105" s="34" t="n">
        <v>40878</v>
      </c>
      <c r="C105" s="26" t="n">
        <v>744956</v>
      </c>
      <c r="D105" s="29" t="s">
        <v>41</v>
      </c>
      <c r="E105" s="33" t="n">
        <f aca="false">IF(D105="totale",(C105/(A105*24))/F105,IF(D105="marché libre",(C105/(A105*24))/G105,"spécifier histo"))</f>
        <v>0.834404121863799</v>
      </c>
      <c r="F105" s="59" t="n">
        <v>1200</v>
      </c>
      <c r="G105" s="59" t="n">
        <f aca="false">F105-H105</f>
        <v>1200</v>
      </c>
      <c r="H105" s="58" t="n">
        <v>0</v>
      </c>
      <c r="J105" s="55"/>
      <c r="L105" s="0"/>
    </row>
    <row r="106" customFormat="false" ht="19.85" hidden="false" customHeight="true" outlineLevel="0" collapsed="false">
      <c r="A106" s="0" t="n">
        <v>31</v>
      </c>
      <c r="B106" s="31" t="n">
        <v>40909</v>
      </c>
      <c r="C106" s="26" t="n">
        <v>713767</v>
      </c>
      <c r="D106" s="29" t="s">
        <v>41</v>
      </c>
      <c r="E106" s="33" t="n">
        <f aca="false">IF(D106="totale",(C106/(A106*24))/F106,IF(D106="marché libre",(C106/(A106*24))/G106,"spécifier histo"))</f>
        <v>0.79947020609319</v>
      </c>
      <c r="F106" s="59" t="n">
        <v>1200</v>
      </c>
      <c r="G106" s="59" t="n">
        <f aca="false">F106-H106</f>
        <v>1200</v>
      </c>
      <c r="H106" s="58" t="n">
        <v>0</v>
      </c>
      <c r="J106" s="55"/>
      <c r="L106" s="0"/>
    </row>
    <row r="107" customFormat="false" ht="19.85" hidden="false" customHeight="true" outlineLevel="0" collapsed="false">
      <c r="A107" s="0" t="n">
        <v>28</v>
      </c>
      <c r="B107" s="34" t="n">
        <v>40940</v>
      </c>
      <c r="C107" s="26" t="n">
        <v>109298</v>
      </c>
      <c r="D107" s="29" t="s">
        <v>41</v>
      </c>
      <c r="E107" s="33" t="n">
        <f aca="false">IF(D107="totale",(C107/(A107*24))/F107,IF(D107="marché libre",(C107/(A107*24))/G107,"spécifier histo"))</f>
        <v>0.135538194444444</v>
      </c>
      <c r="F107" s="59" t="n">
        <v>1200</v>
      </c>
      <c r="G107" s="59" t="n">
        <f aca="false">F107-H107</f>
        <v>1200</v>
      </c>
      <c r="H107" s="58" t="n">
        <v>0</v>
      </c>
      <c r="J107" s="55"/>
      <c r="L107" s="0"/>
    </row>
    <row r="108" customFormat="false" ht="19.85" hidden="false" customHeight="true" outlineLevel="0" collapsed="false">
      <c r="A108" s="0" t="n">
        <v>31</v>
      </c>
      <c r="B108" s="31" t="n">
        <v>40969</v>
      </c>
      <c r="C108" s="26" t="n">
        <v>221096</v>
      </c>
      <c r="D108" s="29" t="s">
        <v>41</v>
      </c>
      <c r="E108" s="33" t="n">
        <f aca="false">IF(D108="totale",(C108/(A108*24))/F108,IF(D108="marché libre",(C108/(A108*24))/G108,"spécifier histo"))</f>
        <v>0.247643369175627</v>
      </c>
      <c r="F108" s="59" t="n">
        <v>1200</v>
      </c>
      <c r="G108" s="59" t="n">
        <f aca="false">F108-H108</f>
        <v>1200</v>
      </c>
      <c r="H108" s="58" t="n">
        <v>0</v>
      </c>
      <c r="J108" s="55"/>
      <c r="L108" s="0"/>
    </row>
    <row r="109" customFormat="false" ht="19.85" hidden="false" customHeight="true" outlineLevel="0" collapsed="false">
      <c r="A109" s="0" t="n">
        <v>30</v>
      </c>
      <c r="B109" s="34" t="n">
        <v>41000</v>
      </c>
      <c r="C109" s="26" t="n">
        <v>549400</v>
      </c>
      <c r="D109" s="29" t="s">
        <v>41</v>
      </c>
      <c r="E109" s="33" t="n">
        <f aca="false">IF(D109="totale",(C109/(A109*24))/F109,IF(D109="marché libre",(C109/(A109*24))/G109,"spécifier histo"))</f>
        <v>0.63587962962963</v>
      </c>
      <c r="F109" s="59" t="n">
        <v>1200</v>
      </c>
      <c r="G109" s="59" t="n">
        <f aca="false">F109-H109</f>
        <v>1200</v>
      </c>
      <c r="H109" s="58" t="n">
        <v>0</v>
      </c>
      <c r="J109" s="55"/>
      <c r="L109" s="0"/>
    </row>
    <row r="110" customFormat="false" ht="19.85" hidden="false" customHeight="true" outlineLevel="0" collapsed="false">
      <c r="A110" s="0" t="n">
        <v>31</v>
      </c>
      <c r="B110" s="31" t="n">
        <v>41030</v>
      </c>
      <c r="C110" s="26" t="n">
        <v>269094</v>
      </c>
      <c r="D110" s="29" t="s">
        <v>41</v>
      </c>
      <c r="E110" s="33" t="n">
        <f aca="false">IF(D110="totale",(C110/(A110*24))/F110,IF(D110="marché libre",(C110/(A110*24))/G110,"spécifier histo"))</f>
        <v>0.301404569892473</v>
      </c>
      <c r="F110" s="59" t="n">
        <v>1200</v>
      </c>
      <c r="G110" s="59" t="n">
        <f aca="false">F110-H110</f>
        <v>1200</v>
      </c>
      <c r="H110" s="58" t="n">
        <v>0</v>
      </c>
      <c r="J110" s="55"/>
      <c r="L110" s="0"/>
    </row>
    <row r="111" customFormat="false" ht="19.85" hidden="false" customHeight="true" outlineLevel="0" collapsed="false">
      <c r="A111" s="0" t="n">
        <v>30</v>
      </c>
      <c r="B111" s="34" t="n">
        <v>41061</v>
      </c>
      <c r="C111" s="26" t="n">
        <v>316583</v>
      </c>
      <c r="D111" s="29" t="s">
        <v>41</v>
      </c>
      <c r="E111" s="33" t="n">
        <f aca="false">IF(D111="totale",(C111/(A111*24))/F111,IF(D111="marché libre",(C111/(A111*24))/G111,"spécifier histo"))</f>
        <v>0.366415509259259</v>
      </c>
      <c r="F111" s="59" t="n">
        <v>1200</v>
      </c>
      <c r="G111" s="59" t="n">
        <f aca="false">F111-H111</f>
        <v>1200</v>
      </c>
      <c r="H111" s="58" t="n">
        <v>0</v>
      </c>
      <c r="J111" s="55"/>
      <c r="L111" s="0"/>
    </row>
    <row r="112" customFormat="false" ht="19.85" hidden="false" customHeight="true" outlineLevel="0" collapsed="false">
      <c r="A112" s="0" t="n">
        <v>31</v>
      </c>
      <c r="B112" s="31" t="n">
        <v>41091</v>
      </c>
      <c r="C112" s="26" t="n">
        <v>85832</v>
      </c>
      <c r="D112" s="29" t="s">
        <v>41</v>
      </c>
      <c r="E112" s="33" t="n">
        <f aca="false">IF(D112="totale",(C112/(A112*24))/F112,IF(D112="marché libre",(C112/(A112*24))/G112,"spécifier histo"))</f>
        <v>0.0961379928315412</v>
      </c>
      <c r="F112" s="59" t="n">
        <v>1200</v>
      </c>
      <c r="G112" s="59" t="n">
        <f aca="false">F112-H112</f>
        <v>1200</v>
      </c>
      <c r="H112" s="58" t="n">
        <v>0</v>
      </c>
      <c r="J112" s="55"/>
      <c r="L112" s="0"/>
    </row>
    <row r="113" customFormat="false" ht="19.85" hidden="false" customHeight="true" outlineLevel="0" collapsed="false">
      <c r="A113" s="0" t="n">
        <v>31</v>
      </c>
      <c r="B113" s="34" t="n">
        <v>41122</v>
      </c>
      <c r="C113" s="26" t="n">
        <v>0</v>
      </c>
      <c r="D113" s="29" t="s">
        <v>41</v>
      </c>
      <c r="E113" s="33" t="n">
        <f aca="false">IF(D113="totale",(C113/(A113*24))/F113,IF(D113="marché libre",(C113/(A113*24))/G113,"spécifier histo"))</f>
        <v>0</v>
      </c>
      <c r="F113" s="59" t="n">
        <v>1200</v>
      </c>
      <c r="G113" s="59" t="n">
        <f aca="false">F113-H113</f>
        <v>1200</v>
      </c>
      <c r="H113" s="58" t="n">
        <v>0</v>
      </c>
      <c r="J113" s="55"/>
      <c r="L113" s="0"/>
    </row>
    <row r="114" customFormat="false" ht="19.85" hidden="false" customHeight="true" outlineLevel="0" collapsed="false">
      <c r="A114" s="0" t="n">
        <v>30</v>
      </c>
      <c r="B114" s="31" t="n">
        <v>41153</v>
      </c>
      <c r="C114" s="26" t="n">
        <v>89401</v>
      </c>
      <c r="D114" s="29" t="s">
        <v>41</v>
      </c>
      <c r="E114" s="33" t="n">
        <f aca="false">IF(D114="totale",(C114/(A114*24))/F114,IF(D114="marché libre",(C114/(A114*24))/G114,"spécifier histo"))</f>
        <v>0.10347337962963</v>
      </c>
      <c r="F114" s="59" t="n">
        <v>1200</v>
      </c>
      <c r="G114" s="59" t="n">
        <f aca="false">F114-H114</f>
        <v>1200</v>
      </c>
      <c r="H114" s="58" t="n">
        <v>0</v>
      </c>
      <c r="J114" s="55"/>
      <c r="L114" s="0"/>
    </row>
    <row r="115" customFormat="false" ht="19.85" hidden="false" customHeight="true" outlineLevel="0" collapsed="false">
      <c r="A115" s="0" t="n">
        <v>31</v>
      </c>
      <c r="B115" s="34" t="n">
        <v>41183</v>
      </c>
      <c r="C115" s="26" t="n">
        <v>363198</v>
      </c>
      <c r="D115" s="29" t="s">
        <v>41</v>
      </c>
      <c r="E115" s="33" t="n">
        <f aca="false">IF(D115="totale",(C115/(A115*24))/F115,IF(D115="marché libre",(C115/(A115*24))/G115,"spécifier histo"))</f>
        <v>0.406807795698925</v>
      </c>
      <c r="F115" s="59" t="n">
        <v>1200</v>
      </c>
      <c r="G115" s="59" t="n">
        <f aca="false">F115-H115</f>
        <v>1200</v>
      </c>
      <c r="H115" s="58" t="n">
        <v>0</v>
      </c>
      <c r="J115" s="55"/>
      <c r="L115" s="0"/>
    </row>
    <row r="116" customFormat="false" ht="19.85" hidden="false" customHeight="true" outlineLevel="0" collapsed="false">
      <c r="A116" s="0" t="n">
        <v>30</v>
      </c>
      <c r="B116" s="31" t="n">
        <v>41214</v>
      </c>
      <c r="C116" s="26" t="n">
        <v>487376</v>
      </c>
      <c r="D116" s="29" t="s">
        <v>41</v>
      </c>
      <c r="E116" s="33" t="n">
        <f aca="false">IF(D116="totale",(C116/(A116*24))/F116,IF(D116="marché libre",(C116/(A116*24))/G116,"spécifier histo"))</f>
        <v>0.564092592592593</v>
      </c>
      <c r="F116" s="59" t="n">
        <v>1200</v>
      </c>
      <c r="G116" s="59" t="n">
        <f aca="false">F116-H116</f>
        <v>1200</v>
      </c>
      <c r="H116" s="58" t="n">
        <v>0</v>
      </c>
      <c r="J116" s="55"/>
      <c r="L116" s="0"/>
    </row>
    <row r="117" customFormat="false" ht="19.85" hidden="false" customHeight="true" outlineLevel="0" collapsed="false">
      <c r="A117" s="0" t="n">
        <v>31</v>
      </c>
      <c r="B117" s="34" t="n">
        <v>41244</v>
      </c>
      <c r="C117" s="26" t="n">
        <v>751200</v>
      </c>
      <c r="D117" s="29" t="s">
        <v>41</v>
      </c>
      <c r="E117" s="33" t="n">
        <f aca="false">IF(D117="totale",(C117/(A117*24))/F117,IF(D117="marché libre",(C117/(A117*24))/G117,"spécifier histo"))</f>
        <v>0.841397849462365</v>
      </c>
      <c r="F117" s="59" t="n">
        <v>1200</v>
      </c>
      <c r="G117" s="59" t="n">
        <f aca="false">F117-H117</f>
        <v>1200</v>
      </c>
      <c r="H117" s="58" t="n">
        <v>0</v>
      </c>
      <c r="J117" s="55"/>
      <c r="L117" s="0"/>
    </row>
    <row r="118" customFormat="false" ht="19.85" hidden="false" customHeight="true" outlineLevel="0" collapsed="false">
      <c r="A118" s="0" t="n">
        <v>31</v>
      </c>
      <c r="B118" s="31" t="n">
        <v>41275</v>
      </c>
      <c r="C118" s="26" t="n">
        <v>515306</v>
      </c>
      <c r="D118" s="29" t="s">
        <v>41</v>
      </c>
      <c r="E118" s="33" t="n">
        <f aca="false">IF(D118="totale",(C118/(A118*24))/F118,IF(D118="marché libre",(C118/(A118*24))/G118,"spécifier histo"))</f>
        <v>0.577179659498208</v>
      </c>
      <c r="F118" s="59" t="n">
        <v>1200</v>
      </c>
      <c r="G118" s="59" t="n">
        <f aca="false">F118-H118</f>
        <v>1200</v>
      </c>
      <c r="H118" s="58" t="n">
        <v>0</v>
      </c>
      <c r="J118" s="55"/>
      <c r="L118" s="0"/>
    </row>
    <row r="119" customFormat="false" ht="19.85" hidden="false" customHeight="true" outlineLevel="0" collapsed="false">
      <c r="A119" s="0" t="n">
        <v>28</v>
      </c>
      <c r="B119" s="34" t="n">
        <v>41306</v>
      </c>
      <c r="C119" s="26" t="n">
        <v>390556</v>
      </c>
      <c r="D119" s="29" t="s">
        <v>41</v>
      </c>
      <c r="E119" s="33" t="n">
        <f aca="false">IF(D119="totale",(C119/(A119*24))/F119,IF(D119="marché libre",(C119/(A119*24))/G119,"spécifier histo"))</f>
        <v>0.484320436507937</v>
      </c>
      <c r="F119" s="59" t="n">
        <v>1200</v>
      </c>
      <c r="G119" s="59" t="n">
        <f aca="false">F119-H119</f>
        <v>1200</v>
      </c>
      <c r="H119" s="58" t="n">
        <v>0</v>
      </c>
      <c r="J119" s="55"/>
      <c r="L119" s="0"/>
    </row>
    <row r="120" customFormat="false" ht="19.85" hidden="false" customHeight="true" outlineLevel="0" collapsed="false">
      <c r="A120" s="0" t="n">
        <v>31</v>
      </c>
      <c r="B120" s="31" t="n">
        <v>41334</v>
      </c>
      <c r="C120" s="26" t="n">
        <v>605824</v>
      </c>
      <c r="D120" s="29" t="s">
        <v>41</v>
      </c>
      <c r="E120" s="33" t="n">
        <f aca="false">IF(D120="totale",(C120/(A120*24))/F120,IF(D120="marché libre",(C120/(A120*24))/G120,"spécifier histo"))</f>
        <v>0.678566308243728</v>
      </c>
      <c r="F120" s="59" t="n">
        <v>1200</v>
      </c>
      <c r="G120" s="59" t="n">
        <f aca="false">F120-H120</f>
        <v>1200</v>
      </c>
      <c r="H120" s="58" t="n">
        <v>0</v>
      </c>
      <c r="J120" s="55"/>
      <c r="L120" s="0"/>
    </row>
    <row r="121" customFormat="false" ht="19.85" hidden="false" customHeight="true" outlineLevel="0" collapsed="false">
      <c r="A121" s="0" t="n">
        <v>30</v>
      </c>
      <c r="B121" s="34" t="n">
        <v>41365</v>
      </c>
      <c r="C121" s="26" t="n">
        <v>546448</v>
      </c>
      <c r="D121" s="29" t="s">
        <v>41</v>
      </c>
      <c r="E121" s="33" t="n">
        <f aca="false">IF(D121="totale",(C121/(A121*24))/F121,IF(D121="marché libre",(C121/(A121*24))/G121,"spécifier histo"))</f>
        <v>0.632462962962963</v>
      </c>
      <c r="F121" s="59" t="n">
        <v>1200</v>
      </c>
      <c r="G121" s="59" t="n">
        <f aca="false">F121-H121</f>
        <v>1200</v>
      </c>
      <c r="H121" s="58" t="n">
        <v>0</v>
      </c>
      <c r="J121" s="55"/>
      <c r="L121" s="0"/>
    </row>
    <row r="122" customFormat="false" ht="19.85" hidden="false" customHeight="true" outlineLevel="0" collapsed="false">
      <c r="A122" s="0" t="n">
        <v>31</v>
      </c>
      <c r="B122" s="31" t="n">
        <v>41395</v>
      </c>
      <c r="C122" s="26" t="n">
        <v>649084</v>
      </c>
      <c r="D122" s="29" t="s">
        <v>41</v>
      </c>
      <c r="E122" s="33" t="n">
        <f aca="false">IF(D122="totale",(C122/(A122*24))/F122,IF(D122="marché libre",(C122/(A122*24))/G122,"spécifier histo"))</f>
        <v>0.727020609318996</v>
      </c>
      <c r="F122" s="59" t="n">
        <v>1200</v>
      </c>
      <c r="G122" s="59" t="n">
        <f aca="false">F122-H122</f>
        <v>1200</v>
      </c>
      <c r="H122" s="58" t="n">
        <v>0</v>
      </c>
      <c r="J122" s="55"/>
      <c r="L122" s="0"/>
    </row>
    <row r="123" customFormat="false" ht="19.85" hidden="false" customHeight="true" outlineLevel="0" collapsed="false">
      <c r="A123" s="0" t="n">
        <v>30</v>
      </c>
      <c r="B123" s="34" t="n">
        <v>41426</v>
      </c>
      <c r="C123" s="26" t="n">
        <v>316279</v>
      </c>
      <c r="D123" s="29" t="s">
        <v>41</v>
      </c>
      <c r="E123" s="33" t="n">
        <f aca="false">IF(D123="totale",(C123/(A123*24))/F123,IF(D123="marché libre",(C123/(A123*24))/G123,"spécifier histo"))</f>
        <v>0.366063657407407</v>
      </c>
      <c r="F123" s="59" t="n">
        <v>1200</v>
      </c>
      <c r="G123" s="59" t="n">
        <f aca="false">F123-H123</f>
        <v>1200</v>
      </c>
      <c r="H123" s="58" t="n">
        <v>0</v>
      </c>
      <c r="J123" s="55"/>
      <c r="L123" s="0"/>
    </row>
    <row r="124" customFormat="false" ht="19.85" hidden="false" customHeight="true" outlineLevel="0" collapsed="false">
      <c r="A124" s="0" t="n">
        <v>31</v>
      </c>
      <c r="B124" s="31" t="n">
        <v>41456</v>
      </c>
      <c r="C124" s="26" t="n">
        <v>94747</v>
      </c>
      <c r="D124" s="29" t="s">
        <v>41</v>
      </c>
      <c r="E124" s="33" t="n">
        <f aca="false">IF(D124="totale",(C124/(A124*24))/F124,IF(D124="marché libre",(C124/(A124*24))/G124,"spécifier histo"))</f>
        <v>0.106123431899642</v>
      </c>
      <c r="F124" s="59" t="n">
        <v>1200</v>
      </c>
      <c r="G124" s="59" t="n">
        <f aca="false">F124-H124</f>
        <v>1200</v>
      </c>
      <c r="H124" s="58" t="n">
        <v>0</v>
      </c>
      <c r="J124" s="55"/>
      <c r="L124" s="0"/>
    </row>
    <row r="125" customFormat="false" ht="19.85" hidden="false" customHeight="true" outlineLevel="0" collapsed="false">
      <c r="A125" s="0" t="n">
        <v>31</v>
      </c>
      <c r="B125" s="34" t="n">
        <v>41487</v>
      </c>
      <c r="C125" s="26" t="n">
        <v>34646</v>
      </c>
      <c r="D125" s="29" t="s">
        <v>41</v>
      </c>
      <c r="E125" s="33" t="n">
        <f aca="false">IF(D125="totale",(C125/(A125*24))/F125,IF(D125="marché libre",(C125/(A125*24))/G125,"spécifier histo"))</f>
        <v>0.0388060035842294</v>
      </c>
      <c r="F125" s="59" t="n">
        <v>1200</v>
      </c>
      <c r="G125" s="59" t="n">
        <f aca="false">F125-H125</f>
        <v>1200</v>
      </c>
      <c r="H125" s="58" t="n">
        <v>0</v>
      </c>
      <c r="J125" s="55"/>
      <c r="L125" s="0"/>
    </row>
    <row r="126" customFormat="false" ht="19.85" hidden="false" customHeight="true" outlineLevel="0" collapsed="false">
      <c r="A126" s="0" t="n">
        <v>30</v>
      </c>
      <c r="B126" s="31" t="n">
        <v>41518</v>
      </c>
      <c r="C126" s="26" t="n">
        <v>70055</v>
      </c>
      <c r="D126" s="29" t="s">
        <v>41</v>
      </c>
      <c r="E126" s="33" t="n">
        <f aca="false">IF(D126="totale",(C126/(A126*24))/F126,IF(D126="marché libre",(C126/(A126*24))/G126,"spécifier histo"))</f>
        <v>0.0810821759259259</v>
      </c>
      <c r="F126" s="59" t="n">
        <v>1200</v>
      </c>
      <c r="G126" s="59" t="n">
        <f aca="false">F126-H126</f>
        <v>1200</v>
      </c>
      <c r="H126" s="58" t="n">
        <v>0</v>
      </c>
      <c r="J126" s="55"/>
      <c r="L126" s="0"/>
    </row>
    <row r="127" customFormat="false" ht="19.85" hidden="false" customHeight="true" outlineLevel="0" collapsed="false">
      <c r="A127" s="0" t="n">
        <v>31</v>
      </c>
      <c r="B127" s="34" t="n">
        <v>41548</v>
      </c>
      <c r="C127" s="26" t="n">
        <v>464642</v>
      </c>
      <c r="D127" s="29" t="s">
        <v>41</v>
      </c>
      <c r="E127" s="33" t="n">
        <f aca="false">IF(D127="totale",(C127/(A127*24))/F127,IF(D127="marché libre",(C127/(A127*24))/G127,"spécifier histo"))</f>
        <v>0.520432347670251</v>
      </c>
      <c r="F127" s="59" t="n">
        <v>1200</v>
      </c>
      <c r="G127" s="59" t="n">
        <f aca="false">F127-H127</f>
        <v>1200</v>
      </c>
      <c r="H127" s="58" t="n">
        <v>0</v>
      </c>
      <c r="J127" s="55"/>
      <c r="L127" s="0"/>
    </row>
    <row r="128" customFormat="false" ht="19.85" hidden="false" customHeight="true" outlineLevel="0" collapsed="false">
      <c r="A128" s="0" t="n">
        <v>30</v>
      </c>
      <c r="B128" s="31" t="n">
        <v>41579</v>
      </c>
      <c r="C128" s="26" t="n">
        <v>537598</v>
      </c>
      <c r="D128" s="29" t="s">
        <v>41</v>
      </c>
      <c r="E128" s="33" t="n">
        <f aca="false">IF(D128="totale",(C128/(A128*24))/F128,IF(D128="marché libre",(C128/(A128*24))/G128,"spécifier histo"))</f>
        <v>0.622219907407407</v>
      </c>
      <c r="F128" s="59" t="n">
        <v>1200</v>
      </c>
      <c r="G128" s="59" t="n">
        <f aca="false">F128-H128</f>
        <v>1200</v>
      </c>
      <c r="H128" s="58" t="n">
        <v>0</v>
      </c>
      <c r="J128" s="55"/>
      <c r="L128" s="0"/>
    </row>
    <row r="129" customFormat="false" ht="19.85" hidden="false" customHeight="true" outlineLevel="0" collapsed="false">
      <c r="A129" s="0" t="n">
        <v>31</v>
      </c>
      <c r="B129" s="34" t="n">
        <v>41609</v>
      </c>
      <c r="C129" s="26" t="n">
        <v>387204</v>
      </c>
      <c r="D129" s="29" t="s">
        <v>41</v>
      </c>
      <c r="E129" s="33" t="n">
        <f aca="false">IF(D129="totale",(C129/(A129*24))/F129,IF(D129="marché libre",(C129/(A129*24))/G129,"spécifier histo"))</f>
        <v>0.43369623655914</v>
      </c>
      <c r="F129" s="59" t="n">
        <v>1200</v>
      </c>
      <c r="G129" s="59" t="n">
        <f aca="false">F129-H129</f>
        <v>1200</v>
      </c>
      <c r="H129" s="58" t="n">
        <v>0</v>
      </c>
      <c r="J129" s="55"/>
      <c r="L129" s="0"/>
    </row>
    <row r="130" customFormat="false" ht="19.85" hidden="false" customHeight="true" outlineLevel="0" collapsed="false">
      <c r="A130" s="0" t="n">
        <v>31</v>
      </c>
      <c r="B130" s="31" t="n">
        <v>41640</v>
      </c>
      <c r="C130" s="26" t="n">
        <v>511972</v>
      </c>
      <c r="D130" s="29" t="s">
        <v>41</v>
      </c>
      <c r="E130" s="33" t="n">
        <f aca="false">IF(D130="totale",(C130/(A130*24))/F130,IF(D130="marché libre",(C130/(A130*24))/G130,"spécifier histo"))</f>
        <v>0.573445340501792</v>
      </c>
      <c r="F130" s="59" t="n">
        <v>1200</v>
      </c>
      <c r="G130" s="59" t="n">
        <f aca="false">F130-H130</f>
        <v>1200</v>
      </c>
      <c r="H130" s="58" t="n">
        <v>0</v>
      </c>
      <c r="J130" s="55"/>
      <c r="L130" s="0"/>
    </row>
    <row r="131" customFormat="false" ht="19.85" hidden="false" customHeight="true" outlineLevel="0" collapsed="false">
      <c r="A131" s="0" t="n">
        <v>28</v>
      </c>
      <c r="B131" s="34" t="n">
        <v>41671</v>
      </c>
      <c r="C131" s="26" t="n">
        <v>645069</v>
      </c>
      <c r="D131" s="29" t="s">
        <v>41</v>
      </c>
      <c r="E131" s="33" t="n">
        <f aca="false">IF(D131="totale",(C131/(A131*24))/F131,IF(D131="marché libre",(C131/(A131*24))/G131,"spécifier histo"))</f>
        <v>0.799936755952381</v>
      </c>
      <c r="F131" s="59" t="n">
        <v>1200</v>
      </c>
      <c r="G131" s="59" t="n">
        <f aca="false">F131-H131</f>
        <v>1200</v>
      </c>
      <c r="H131" s="58" t="n">
        <v>0</v>
      </c>
      <c r="J131" s="55"/>
      <c r="L131" s="0"/>
    </row>
    <row r="132" customFormat="false" ht="19.85" hidden="false" customHeight="true" outlineLevel="0" collapsed="false">
      <c r="A132" s="0" t="n">
        <v>31</v>
      </c>
      <c r="B132" s="31" t="n">
        <v>41699</v>
      </c>
      <c r="C132" s="26" t="n">
        <v>584142</v>
      </c>
      <c r="D132" s="29" t="s">
        <v>41</v>
      </c>
      <c r="E132" s="33" t="n">
        <f aca="false">IF(D132="totale",(C132/(A132*24))/F132,IF(D132="marché libre",(C132/(A132*24))/G132,"spécifier histo"))</f>
        <v>0.654280913978495</v>
      </c>
      <c r="F132" s="59" t="n">
        <v>1200</v>
      </c>
      <c r="G132" s="59" t="n">
        <f aca="false">F132-H132</f>
        <v>1200</v>
      </c>
      <c r="H132" s="58" t="n">
        <v>0</v>
      </c>
      <c r="J132" s="55"/>
      <c r="L132" s="0"/>
    </row>
    <row r="133" customFormat="false" ht="19.85" hidden="false" customHeight="true" outlineLevel="0" collapsed="false">
      <c r="A133" s="0" t="n">
        <v>30</v>
      </c>
      <c r="B133" s="34" t="n">
        <v>41730</v>
      </c>
      <c r="C133" s="26" t="n">
        <v>83378</v>
      </c>
      <c r="D133" s="29" t="s">
        <v>41</v>
      </c>
      <c r="E133" s="33" t="n">
        <f aca="false">IF(D133="totale",(C133/(A133*24))/F133,IF(D133="marché libre",(C133/(A133*24))/G133,"spécifier histo"))</f>
        <v>0.0965023148148148</v>
      </c>
      <c r="F133" s="59" t="n">
        <v>1200</v>
      </c>
      <c r="G133" s="59" t="n">
        <f aca="false">F133-H133</f>
        <v>1200</v>
      </c>
      <c r="H133" s="58" t="n">
        <v>0</v>
      </c>
      <c r="J133" s="55"/>
      <c r="L133" s="0"/>
    </row>
    <row r="134" customFormat="false" ht="19.85" hidden="false" customHeight="true" outlineLevel="0" collapsed="false">
      <c r="A134" s="0" t="n">
        <v>31</v>
      </c>
      <c r="B134" s="31" t="n">
        <v>41760</v>
      </c>
      <c r="C134" s="26" t="n">
        <v>294936</v>
      </c>
      <c r="D134" s="29" t="s">
        <v>41</v>
      </c>
      <c r="E134" s="33" t="n">
        <f aca="false">IF(D134="totale",(C134/(A134*24))/F134,IF(D134="marché libre",(C134/(A134*24))/G134,"spécifier histo"))</f>
        <v>0.330349462365591</v>
      </c>
      <c r="F134" s="59" t="n">
        <v>1200</v>
      </c>
      <c r="G134" s="59" t="n">
        <f aca="false">F134-H134</f>
        <v>1200</v>
      </c>
      <c r="H134" s="58" t="n">
        <v>0</v>
      </c>
      <c r="J134" s="55"/>
      <c r="L134" s="0"/>
    </row>
    <row r="135" customFormat="false" ht="19.85" hidden="false" customHeight="true" outlineLevel="0" collapsed="false">
      <c r="A135" s="0" t="n">
        <v>30</v>
      </c>
      <c r="B135" s="34" t="n">
        <v>41791</v>
      </c>
      <c r="C135" s="26" t="n">
        <v>47835</v>
      </c>
      <c r="D135" s="29" t="s">
        <v>41</v>
      </c>
      <c r="E135" s="33" t="n">
        <f aca="false">IF(D135="totale",(C135/(A135*24))/F135,IF(D135="marché libre",(C135/(A135*24))/G135,"spécifier histo"))</f>
        <v>0.0553645833333333</v>
      </c>
      <c r="F135" s="59" t="n">
        <v>1200</v>
      </c>
      <c r="G135" s="59" t="n">
        <f aca="false">F135-H135</f>
        <v>1200</v>
      </c>
      <c r="H135" s="58" t="n">
        <v>0</v>
      </c>
      <c r="J135" s="55"/>
      <c r="L135" s="0"/>
    </row>
    <row r="136" customFormat="false" ht="19.85" hidden="false" customHeight="true" outlineLevel="0" collapsed="false">
      <c r="A136" s="0" t="n">
        <v>31</v>
      </c>
      <c r="B136" s="31" t="n">
        <v>41821</v>
      </c>
      <c r="C136" s="26" t="n">
        <v>473833</v>
      </c>
      <c r="D136" s="29" t="s">
        <v>41</v>
      </c>
      <c r="E136" s="33" t="n">
        <f aca="false">IF(D136="totale",(C136/(A136*24))/F136,IF(D136="marché libre",(C136/(A136*24))/G136,"spécifier histo"))</f>
        <v>0.530726926523297</v>
      </c>
      <c r="F136" s="59" t="n">
        <v>1200</v>
      </c>
      <c r="G136" s="59" t="n">
        <f aca="false">F136-H136</f>
        <v>1200</v>
      </c>
      <c r="H136" s="58" t="n">
        <v>0</v>
      </c>
      <c r="J136" s="55"/>
      <c r="L136" s="0"/>
    </row>
    <row r="137" customFormat="false" ht="19.85" hidden="false" customHeight="true" outlineLevel="0" collapsed="false">
      <c r="A137" s="0" t="n">
        <v>31</v>
      </c>
      <c r="B137" s="34" t="n">
        <v>41852</v>
      </c>
      <c r="C137" s="26" t="n">
        <v>218639</v>
      </c>
      <c r="D137" s="29" t="s">
        <v>41</v>
      </c>
      <c r="E137" s="33" t="n">
        <f aca="false">IF(D137="totale",(C137/(A137*24))/F137,IF(D137="marché libre",(C137/(A137*24))/G137,"spécifier histo"))</f>
        <v>0.244891353046595</v>
      </c>
      <c r="F137" s="59" t="n">
        <v>1200</v>
      </c>
      <c r="G137" s="59" t="n">
        <f aca="false">F137-H137</f>
        <v>1200</v>
      </c>
      <c r="H137" s="58" t="n">
        <v>0</v>
      </c>
      <c r="L137" s="0"/>
    </row>
    <row r="138" customFormat="false" ht="19.85" hidden="false" customHeight="true" outlineLevel="0" collapsed="false">
      <c r="A138" s="0" t="n">
        <v>30</v>
      </c>
      <c r="B138" s="31" t="n">
        <v>41883</v>
      </c>
      <c r="C138" s="26" t="n">
        <v>0</v>
      </c>
      <c r="D138" s="29" t="s">
        <v>41</v>
      </c>
      <c r="E138" s="33" t="n">
        <f aca="false">IF(D138="totale",(C138/(A138*24))/F138,IF(D138="marché libre",(C138/(A138*24))/G138,"spécifier histo"))</f>
        <v>0</v>
      </c>
      <c r="F138" s="59" t="n">
        <v>1200</v>
      </c>
      <c r="G138" s="59" t="n">
        <f aca="false">F138-H138</f>
        <v>1200</v>
      </c>
      <c r="H138" s="58" t="n">
        <v>0</v>
      </c>
      <c r="J138" s="26"/>
      <c r="K138" s="26"/>
      <c r="L138" s="0"/>
    </row>
    <row r="139" customFormat="false" ht="19.85" hidden="false" customHeight="true" outlineLevel="0" collapsed="false">
      <c r="A139" s="0" t="n">
        <v>31</v>
      </c>
      <c r="B139" s="34" t="n">
        <v>41913</v>
      </c>
      <c r="C139" s="26" t="n">
        <v>217947</v>
      </c>
      <c r="D139" s="29" t="s">
        <v>41</v>
      </c>
      <c r="E139" s="33" t="n">
        <f aca="false">IF(D139="totale",(C139/(A139*24))/F139,IF(D139="marché libre",(C139/(A139*24))/G139,"spécifier histo"))</f>
        <v>0.24411626344086</v>
      </c>
      <c r="F139" s="59" t="n">
        <v>1200</v>
      </c>
      <c r="G139" s="59" t="n">
        <f aca="false">F139-H139</f>
        <v>1200</v>
      </c>
      <c r="H139" s="58" t="n">
        <v>0</v>
      </c>
      <c r="J139" s="26"/>
      <c r="K139" s="26"/>
      <c r="L139" s="0"/>
    </row>
    <row r="140" customFormat="false" ht="19.85" hidden="false" customHeight="true" outlineLevel="0" collapsed="false">
      <c r="A140" s="0" t="n">
        <v>30</v>
      </c>
      <c r="B140" s="31" t="n">
        <v>41944</v>
      </c>
      <c r="C140" s="26" t="n">
        <v>417063</v>
      </c>
      <c r="D140" s="29" t="s">
        <v>41</v>
      </c>
      <c r="E140" s="33" t="n">
        <f aca="false">IF(D140="totale",(C140/(A140*24))/F140,IF(D140="marché libre",(C140/(A140*24))/G140,"spécifier histo"))</f>
        <v>0.482711805555556</v>
      </c>
      <c r="F140" s="59" t="n">
        <v>1200</v>
      </c>
      <c r="G140" s="59" t="n">
        <f aca="false">F140-H140</f>
        <v>1200</v>
      </c>
      <c r="H140" s="58" t="n">
        <v>0</v>
      </c>
      <c r="J140" s="26"/>
      <c r="K140" s="26"/>
      <c r="L140" s="0"/>
    </row>
    <row r="141" customFormat="false" ht="19.95" hidden="false" customHeight="true" outlineLevel="0" collapsed="false">
      <c r="A141" s="0" t="n">
        <v>31</v>
      </c>
      <c r="B141" s="34" t="n">
        <v>41974</v>
      </c>
      <c r="C141" s="26" t="n">
        <v>0</v>
      </c>
      <c r="D141" s="29" t="s">
        <v>41</v>
      </c>
      <c r="E141" s="33" t="n">
        <f aca="false">IF(D141="totale",(C141/(A141*24))/F141,IF(D141="marché libre",(C141/(A141*24))/G141,"spécifier histo"))</f>
        <v>0</v>
      </c>
      <c r="F141" s="59" t="n">
        <v>1200</v>
      </c>
      <c r="G141" s="59" t="n">
        <f aca="false">F141-H141</f>
        <v>1200</v>
      </c>
      <c r="H141" s="58" t="n">
        <v>0</v>
      </c>
      <c r="J141" s="26"/>
      <c r="K141" s="26"/>
      <c r="L141" s="270" t="s">
        <v>325</v>
      </c>
    </row>
    <row r="142" customFormat="false" ht="19.85" hidden="false" customHeight="true" outlineLevel="0" collapsed="false">
      <c r="A142" s="0" t="n">
        <v>31</v>
      </c>
      <c r="B142" s="31" t="n">
        <v>42005</v>
      </c>
      <c r="C142" s="26" t="n">
        <v>460419</v>
      </c>
      <c r="D142" s="29" t="s">
        <v>41</v>
      </c>
      <c r="E142" s="33" t="n">
        <f aca="false">IF(D142="totale",(C142/(A142*24))/F142,IF(D142="marché libre",(C142/(A142*24))/G142,"spécifier histo"))</f>
        <v>0.515702284946237</v>
      </c>
      <c r="F142" s="59" t="n">
        <v>1200</v>
      </c>
      <c r="G142" s="59" t="n">
        <f aca="false">F142-H142</f>
        <v>1200</v>
      </c>
      <c r="H142" s="58" t="n">
        <v>0</v>
      </c>
      <c r="J142" s="26"/>
      <c r="K142" s="26"/>
      <c r="L142" s="139" t="s">
        <v>326</v>
      </c>
    </row>
    <row r="143" customFormat="false" ht="19.85" hidden="false" customHeight="true" outlineLevel="0" collapsed="false">
      <c r="A143" s="0" t="n">
        <v>28</v>
      </c>
      <c r="B143" s="34" t="n">
        <v>42036</v>
      </c>
      <c r="C143" s="26" t="n">
        <v>430712</v>
      </c>
      <c r="D143" s="29" t="s">
        <v>41</v>
      </c>
      <c r="E143" s="33" t="n">
        <f aca="false">IF(D143="totale",(C143/(A143*24))/F143,IF(D143="marché libre",(C143/(A143*24))/G143,"spécifier histo"))</f>
        <v>0.534117063492063</v>
      </c>
      <c r="F143" s="59" t="n">
        <v>1200</v>
      </c>
      <c r="G143" s="59" t="n">
        <f aca="false">F143-H143</f>
        <v>1200</v>
      </c>
      <c r="H143" s="58" t="n">
        <v>0</v>
      </c>
      <c r="J143" s="26"/>
      <c r="K143" s="26"/>
      <c r="L143" s="139" t="s">
        <v>327</v>
      </c>
    </row>
    <row r="144" customFormat="false" ht="19.85" hidden="false" customHeight="true" outlineLevel="0" collapsed="false">
      <c r="A144" s="0" t="n">
        <v>31</v>
      </c>
      <c r="B144" s="31" t="n">
        <v>42064</v>
      </c>
      <c r="C144" s="26" t="n">
        <v>711862</v>
      </c>
      <c r="D144" s="29" t="s">
        <v>41</v>
      </c>
      <c r="E144" s="33" t="n">
        <f aca="false">IF(D144="totale",(C144/(A144*24))/F144,IF(D144="marché libre",(C144/(A144*24))/G144,"spécifier histo"))</f>
        <v>0.79733646953405</v>
      </c>
      <c r="F144" s="59" t="n">
        <v>1200</v>
      </c>
      <c r="G144" s="59" t="n">
        <f aca="false">F144-H144</f>
        <v>1200</v>
      </c>
      <c r="H144" s="58" t="n">
        <v>0</v>
      </c>
      <c r="J144" s="26"/>
      <c r="K144" s="26"/>
      <c r="L144" s="139" t="s">
        <v>328</v>
      </c>
    </row>
    <row r="145" customFormat="false" ht="19.85" hidden="false" customHeight="true" outlineLevel="0" collapsed="false">
      <c r="A145" s="0" t="n">
        <v>30</v>
      </c>
      <c r="B145" s="34" t="n">
        <v>42095</v>
      </c>
      <c r="C145" s="26" t="n">
        <v>345716</v>
      </c>
      <c r="D145" s="29" t="s">
        <v>41</v>
      </c>
      <c r="E145" s="33" t="n">
        <f aca="false">IF(D145="totale",(C145/(A145*24))/F145,IF(D145="marché libre",(C145/(A145*24))/G145,"spécifier histo"))</f>
        <v>0.400134259259259</v>
      </c>
      <c r="F145" s="59" t="n">
        <v>1200</v>
      </c>
      <c r="G145" s="59" t="n">
        <f aca="false">F145-H145</f>
        <v>1200</v>
      </c>
      <c r="H145" s="58" t="n">
        <v>0</v>
      </c>
      <c r="J145" s="26"/>
      <c r="K145" s="26"/>
      <c r="L145" s="139" t="s">
        <v>329</v>
      </c>
    </row>
    <row r="146" customFormat="false" ht="19.85" hidden="false" customHeight="true" outlineLevel="0" collapsed="false">
      <c r="A146" s="0" t="n">
        <v>31</v>
      </c>
      <c r="B146" s="31" t="n">
        <v>42125</v>
      </c>
      <c r="C146" s="26" t="n">
        <v>235591</v>
      </c>
      <c r="D146" s="29" t="s">
        <v>41</v>
      </c>
      <c r="E146" s="33" t="n">
        <f aca="false">IF(D146="totale",(C146/(A146*24))/F146,IF(D146="marché libre",(C146/(A146*24))/G146,"spécifier histo"))</f>
        <v>0.263878808243728</v>
      </c>
      <c r="F146" s="59" t="n">
        <v>1200</v>
      </c>
      <c r="G146" s="59" t="n">
        <f aca="false">F146-H146</f>
        <v>1200</v>
      </c>
      <c r="H146" s="58" t="n">
        <v>0</v>
      </c>
      <c r="J146" s="26"/>
      <c r="K146" s="26"/>
      <c r="L146" s="139" t="s">
        <v>330</v>
      </c>
    </row>
    <row r="147" customFormat="false" ht="19.85" hidden="false" customHeight="true" outlineLevel="0" collapsed="false">
      <c r="A147" s="0" t="n">
        <v>30</v>
      </c>
      <c r="B147" s="34" t="n">
        <v>42156</v>
      </c>
      <c r="C147" s="26" t="n">
        <v>0</v>
      </c>
      <c r="D147" s="29" t="s">
        <v>41</v>
      </c>
      <c r="E147" s="33" t="e">
        <f aca="false">IF(D147="totale",(C147/(A147*24))/F147,IF(D147="marché libre",(C147/(A147*24))/G147,"spécifier histo"))</f>
        <v>#DIV/0!</v>
      </c>
      <c r="F147" s="59" t="n">
        <v>0</v>
      </c>
      <c r="G147" s="59" t="n">
        <f aca="false">F147-H147</f>
        <v>0</v>
      </c>
      <c r="H147" s="58" t="n">
        <v>0</v>
      </c>
      <c r="I147" s="1" t="s">
        <v>331</v>
      </c>
      <c r="J147" s="26"/>
      <c r="L147" s="271"/>
    </row>
    <row r="148" customFormat="false" ht="19.85" hidden="false" customHeight="true" outlineLevel="0" collapsed="false">
      <c r="A148" s="0" t="n">
        <v>31</v>
      </c>
      <c r="B148" s="31" t="n">
        <v>42186</v>
      </c>
      <c r="C148" s="26" t="n">
        <v>0</v>
      </c>
      <c r="D148" s="29" t="s">
        <v>41</v>
      </c>
      <c r="E148" s="33" t="e">
        <f aca="false">IF(D148="totale",(C148/(A148*24))/F148,IF(D148="marché libre",(C148/(A148*24))/G148,"spécifier histo"))</f>
        <v>#DIV/0!</v>
      </c>
      <c r="F148" s="59" t="n">
        <v>0</v>
      </c>
      <c r="G148" s="59" t="n">
        <f aca="false">F148-H148</f>
        <v>0</v>
      </c>
      <c r="H148" s="58" t="n">
        <v>0</v>
      </c>
      <c r="I148" s="1" t="s">
        <v>331</v>
      </c>
      <c r="J148" s="26"/>
      <c r="L148" s="0"/>
    </row>
    <row r="149" customFormat="false" ht="19.85" hidden="false" customHeight="true" outlineLevel="0" collapsed="false">
      <c r="A149" s="0" t="n">
        <v>31</v>
      </c>
      <c r="B149" s="34" t="n">
        <v>42217</v>
      </c>
      <c r="C149" s="26" t="n">
        <v>0</v>
      </c>
      <c r="D149" s="29" t="s">
        <v>41</v>
      </c>
      <c r="E149" s="33" t="e">
        <f aca="false">IF(D149="totale",(C149/(A149*24))/F149,IF(D149="marché libre",(C149/(A149*24))/G149,"spécifier histo"))</f>
        <v>#DIV/0!</v>
      </c>
      <c r="F149" s="59" t="n">
        <v>0</v>
      </c>
      <c r="G149" s="59" t="n">
        <f aca="false">F149-H149</f>
        <v>0</v>
      </c>
      <c r="H149" s="58" t="n">
        <v>0</v>
      </c>
      <c r="I149" s="1" t="s">
        <v>331</v>
      </c>
      <c r="J149" s="55"/>
      <c r="L149" s="0"/>
    </row>
    <row r="150" customFormat="false" ht="19.85" hidden="false" customHeight="true" outlineLevel="0" collapsed="false">
      <c r="A150" s="0" t="n">
        <v>30</v>
      </c>
      <c r="B150" s="31" t="n">
        <v>42248</v>
      </c>
      <c r="C150" s="26" t="n">
        <v>12612</v>
      </c>
      <c r="D150" s="29" t="s">
        <v>41</v>
      </c>
      <c r="E150" s="33" t="n">
        <f aca="false">IF(D150="totale",(C150/(A150*24))/F150,IF(D150="marché libre",(C150/(A150*24))/G150,"spécifier histo"))</f>
        <v>0.0145972222222222</v>
      </c>
      <c r="F150" s="59" t="n">
        <v>1200</v>
      </c>
      <c r="G150" s="59" t="n">
        <f aca="false">F150-H150</f>
        <v>1200</v>
      </c>
      <c r="H150" s="58" t="n">
        <v>0</v>
      </c>
      <c r="J150" s="55"/>
      <c r="L150" s="0"/>
    </row>
    <row r="151" customFormat="false" ht="19.85" hidden="false" customHeight="true" outlineLevel="0" collapsed="false">
      <c r="A151" s="0" t="n">
        <v>31</v>
      </c>
      <c r="B151" s="34" t="n">
        <v>42278</v>
      </c>
      <c r="C151" s="272" t="n">
        <f aca="false">451462/3</f>
        <v>150487.333333333</v>
      </c>
      <c r="D151" s="29" t="s">
        <v>41</v>
      </c>
      <c r="E151" s="33" t="n">
        <f aca="false">IF(D151="totale",(C151/(A151*24))/F151,IF(D151="marché libre",(C151/(A151*24))/G151,"spécifier histo"))</f>
        <v>0.168556600955794</v>
      </c>
      <c r="F151" s="59" t="n">
        <v>1200</v>
      </c>
      <c r="G151" s="59" t="n">
        <f aca="false">F151-H151</f>
        <v>1200</v>
      </c>
      <c r="H151" s="58" t="n">
        <v>0</v>
      </c>
      <c r="J151" s="55" t="s">
        <v>332</v>
      </c>
      <c r="L151" s="0"/>
    </row>
    <row r="152" customFormat="false" ht="19.85" hidden="false" customHeight="true" outlineLevel="0" collapsed="false">
      <c r="A152" s="0" t="n">
        <v>30</v>
      </c>
      <c r="B152" s="31" t="n">
        <v>42309</v>
      </c>
      <c r="C152" s="272" t="n">
        <f aca="false">451462/3</f>
        <v>150487.333333333</v>
      </c>
      <c r="D152" s="29" t="s">
        <v>41</v>
      </c>
      <c r="E152" s="33" t="n">
        <f aca="false">IF(D152="totale",(C152/(A152*24))/F152,IF(D152="marché libre",(C152/(A152*24))/G152,"spécifier histo"))</f>
        <v>0.155977750138198</v>
      </c>
      <c r="F152" s="59" t="n">
        <v>1340</v>
      </c>
      <c r="G152" s="59" t="n">
        <f aca="false">F152-H152</f>
        <v>840</v>
      </c>
      <c r="H152" s="58" t="n">
        <v>500</v>
      </c>
      <c r="I152" s="1" t="s">
        <v>333</v>
      </c>
      <c r="J152" s="55"/>
    </row>
    <row r="153" customFormat="false" ht="19.85" hidden="false" customHeight="true" outlineLevel="0" collapsed="false">
      <c r="A153" s="0" t="n">
        <v>31</v>
      </c>
      <c r="B153" s="34" t="n">
        <v>42339</v>
      </c>
      <c r="C153" s="272" t="n">
        <f aca="false">451462/3</f>
        <v>150487.333333333</v>
      </c>
      <c r="D153" s="29" t="s">
        <v>41</v>
      </c>
      <c r="E153" s="33" t="n">
        <f aca="false">IF(D153="totale",(C153/(A153*24))/F153,IF(D153="marché libre",(C153/(A153*24))/G153,"spécifier histo"))</f>
        <v>0.150946209811159</v>
      </c>
      <c r="F153" s="59" t="n">
        <v>1340</v>
      </c>
      <c r="G153" s="59" t="n">
        <f aca="false">F153-H153</f>
        <v>840</v>
      </c>
      <c r="H153" s="58" t="n">
        <v>500</v>
      </c>
      <c r="J153" s="55"/>
    </row>
    <row r="154" customFormat="false" ht="19.85" hidden="false" customHeight="true" outlineLevel="0" collapsed="false">
      <c r="A154" s="244" t="n">
        <v>31</v>
      </c>
      <c r="B154" s="229" t="n">
        <v>42370</v>
      </c>
      <c r="C154" s="231" t="n">
        <v>279989</v>
      </c>
      <c r="D154" s="246" t="s">
        <v>42</v>
      </c>
      <c r="E154" s="118" t="n">
        <f aca="false">IF(D154="totale",(C154/(A154*24))/F154,IF(D154="marché libre",(C154/(A154*24))/G154,"spécifier histo"))</f>
        <v>0.448011072708653</v>
      </c>
      <c r="F154" s="232" t="n">
        <v>1340</v>
      </c>
      <c r="G154" s="232" t="n">
        <f aca="false">F154-H154</f>
        <v>840</v>
      </c>
      <c r="H154" s="245" t="n">
        <v>500</v>
      </c>
      <c r="J154" s="55"/>
    </row>
    <row r="155" customFormat="false" ht="19.85" hidden="false" customHeight="true" outlineLevel="0" collapsed="false">
      <c r="A155" s="0" t="n">
        <v>28</v>
      </c>
      <c r="B155" s="34" t="n">
        <v>42401</v>
      </c>
      <c r="C155" s="26" t="n">
        <v>495313</v>
      </c>
      <c r="D155" s="29" t="s">
        <v>42</v>
      </c>
      <c r="E155" s="33" t="n">
        <f aca="false">IF(D155="totale",(C155/(A155*24))/F155,IF(D155="marché libre",(C155/(A155*24))/G155,"spécifier histo"))</f>
        <v>0.877467757936508</v>
      </c>
      <c r="F155" s="59" t="n">
        <v>1340</v>
      </c>
      <c r="G155" s="59" t="n">
        <f aca="false">F155-H155</f>
        <v>840</v>
      </c>
      <c r="H155" s="58" t="n">
        <v>500</v>
      </c>
      <c r="J155" s="55"/>
    </row>
    <row r="156" customFormat="false" ht="19.85" hidden="false" customHeight="true" outlineLevel="0" collapsed="false">
      <c r="A156" s="0" t="n">
        <v>31</v>
      </c>
      <c r="B156" s="31" t="n">
        <v>42430</v>
      </c>
      <c r="C156" s="26" t="n">
        <v>263168</v>
      </c>
      <c r="D156" s="29" t="s">
        <v>42</v>
      </c>
      <c r="E156" s="33" t="n">
        <f aca="false">IF(D156="totale",(C156/(A156*24))/F156,IF(D156="marché libre",(C156/(A156*24))/G156,"spécifier histo"))</f>
        <v>0.421095750128008</v>
      </c>
      <c r="F156" s="59" t="n">
        <v>1340</v>
      </c>
      <c r="G156" s="59" t="n">
        <f aca="false">F156-H156</f>
        <v>840</v>
      </c>
      <c r="H156" s="58" t="n">
        <v>500</v>
      </c>
      <c r="J156" s="55"/>
    </row>
    <row r="157" customFormat="false" ht="19.85" hidden="false" customHeight="true" outlineLevel="0" collapsed="false">
      <c r="A157" s="0" t="n">
        <v>30</v>
      </c>
      <c r="B157" s="34" t="n">
        <v>42461</v>
      </c>
      <c r="C157" s="26" t="n">
        <v>170661</v>
      </c>
      <c r="D157" s="29" t="s">
        <v>42</v>
      </c>
      <c r="E157" s="33" t="n">
        <f aca="false">IF(D157="totale",(C157/(A157*24))/F157,IF(D157="marché libre",(C157/(A157*24))/G157,"spécifier histo"))</f>
        <v>0.282177579365079</v>
      </c>
      <c r="F157" s="59" t="n">
        <v>1340</v>
      </c>
      <c r="G157" s="59" t="n">
        <f aca="false">F157-H157</f>
        <v>840</v>
      </c>
      <c r="H157" s="58" t="n">
        <v>500</v>
      </c>
      <c r="J157" s="55"/>
    </row>
    <row r="158" customFormat="false" ht="19.85" hidden="false" customHeight="true" outlineLevel="0" collapsed="false">
      <c r="A158" s="0" t="n">
        <v>31</v>
      </c>
      <c r="B158" s="31" t="n">
        <v>42491</v>
      </c>
      <c r="C158" s="26" t="n">
        <v>208836</v>
      </c>
      <c r="D158" s="29" t="s">
        <v>42</v>
      </c>
      <c r="E158" s="33" t="n">
        <f aca="false">IF(D158="totale",(C158/(A158*24))/F158,IF(D158="marché libre",(C158/(A158*24))/G158,"spécifier histo"))</f>
        <v>0.334158986175115</v>
      </c>
      <c r="F158" s="59" t="n">
        <v>1340</v>
      </c>
      <c r="G158" s="59" t="n">
        <f aca="false">F158-H158</f>
        <v>840</v>
      </c>
      <c r="H158" s="58" t="n">
        <v>500</v>
      </c>
      <c r="J158" s="55"/>
      <c r="K158" s="63"/>
    </row>
    <row r="159" customFormat="false" ht="19.85" hidden="false" customHeight="true" outlineLevel="0" collapsed="false">
      <c r="A159" s="0" t="n">
        <v>30</v>
      </c>
      <c r="B159" s="34" t="n">
        <v>42522</v>
      </c>
      <c r="C159" s="26" t="n">
        <v>190578</v>
      </c>
      <c r="D159" s="29" t="s">
        <v>42</v>
      </c>
      <c r="E159" s="33" t="n">
        <f aca="false">IF(D159="totale",(C159/(A159*24))/F159,IF(D159="marché libre",(C159/(A159*24))/G159,"spécifier histo"))</f>
        <v>0.315109126984127</v>
      </c>
      <c r="F159" s="59" t="n">
        <v>1340</v>
      </c>
      <c r="G159" s="58" t="n">
        <f aca="false">F159-H159</f>
        <v>840</v>
      </c>
      <c r="H159" s="58" t="n">
        <v>500</v>
      </c>
      <c r="I159" s="58"/>
      <c r="J159" s="55"/>
      <c r="K159" s="63"/>
    </row>
    <row r="160" customFormat="false" ht="19.85" hidden="false" customHeight="true" outlineLevel="0" collapsed="false">
      <c r="A160" s="0" t="n">
        <v>31</v>
      </c>
      <c r="B160" s="31" t="n">
        <v>42552</v>
      </c>
      <c r="C160" s="26" t="n">
        <v>0</v>
      </c>
      <c r="D160" s="29" t="s">
        <v>42</v>
      </c>
      <c r="E160" s="33" t="n">
        <f aca="false">IF(D160="totale",(C160/(A160*24))/F160,IF(D160="marché libre",(C160/(A160*24))/G160,"spécifier histo"))</f>
        <v>0</v>
      </c>
      <c r="F160" s="59" t="n">
        <v>1340</v>
      </c>
      <c r="G160" s="58" t="n">
        <f aca="false">F160-H160</f>
        <v>840</v>
      </c>
      <c r="H160" s="58" t="n">
        <v>500</v>
      </c>
      <c r="I160" s="58"/>
      <c r="J160" s="55"/>
      <c r="K160" s="63"/>
    </row>
    <row r="161" customFormat="false" ht="19.85" hidden="false" customHeight="true" outlineLevel="0" collapsed="false">
      <c r="A161" s="0" t="n">
        <v>31</v>
      </c>
      <c r="B161" s="34" t="n">
        <v>42583</v>
      </c>
      <c r="C161" s="26" t="n">
        <v>0</v>
      </c>
      <c r="D161" s="29" t="s">
        <v>42</v>
      </c>
      <c r="E161" s="33" t="n">
        <f aca="false">IF(D161="totale",(C161/(A161*24))/F161,IF(D161="marché libre",(C161/(A161*24))/G161,"spécifier histo"))</f>
        <v>0</v>
      </c>
      <c r="F161" s="59" t="n">
        <v>1340</v>
      </c>
      <c r="G161" s="58" t="n">
        <f aca="false">F161-H161</f>
        <v>840</v>
      </c>
      <c r="H161" s="58" t="n">
        <v>500</v>
      </c>
      <c r="I161" s="58"/>
      <c r="J161" s="55"/>
    </row>
    <row r="162" customFormat="false" ht="19.85" hidden="false" customHeight="true" outlineLevel="0" collapsed="false">
      <c r="A162" s="0" t="n">
        <v>30</v>
      </c>
      <c r="B162" s="31" t="n">
        <v>42614</v>
      </c>
      <c r="C162" s="26" t="n">
        <v>0</v>
      </c>
      <c r="D162" s="29" t="s">
        <v>42</v>
      </c>
      <c r="E162" s="33" t="n">
        <f aca="false">IF(D162="totale",(C162/(A162*24))/F162,IF(D162="marché libre",(C162/(A162*24))/G162,"spécifier histo"))</f>
        <v>0</v>
      </c>
      <c r="F162" s="59" t="n">
        <v>1340</v>
      </c>
      <c r="G162" s="58" t="n">
        <f aca="false">F162-H162</f>
        <v>840</v>
      </c>
      <c r="H162" s="58" t="n">
        <v>500</v>
      </c>
      <c r="I162" s="58"/>
      <c r="J162" s="55"/>
    </row>
    <row r="163" customFormat="false" ht="19.85" hidden="false" customHeight="true" outlineLevel="0" collapsed="false">
      <c r="A163" s="0" t="n">
        <v>31</v>
      </c>
      <c r="B163" s="34" t="n">
        <v>42644</v>
      </c>
      <c r="C163" s="56" t="n">
        <v>829</v>
      </c>
      <c r="D163" s="29" t="s">
        <v>42</v>
      </c>
      <c r="E163" s="33" t="n">
        <f aca="false">IF(D163="totale",(C163/(A163*24))/F163,IF(D163="marché libre",(C163/(A163*24))/G163,"spécifier histo"))</f>
        <v>0.00132648489503328</v>
      </c>
      <c r="F163" s="59" t="n">
        <v>1340</v>
      </c>
      <c r="G163" s="58" t="n">
        <f aca="false">F163-H163</f>
        <v>840</v>
      </c>
      <c r="H163" s="58" t="n">
        <v>500</v>
      </c>
      <c r="I163" s="58"/>
      <c r="J163" s="55"/>
    </row>
    <row r="164" customFormat="false" ht="19.85" hidden="false" customHeight="true" outlineLevel="0" collapsed="false">
      <c r="A164" s="0" t="n">
        <v>30</v>
      </c>
      <c r="B164" s="31" t="n">
        <v>42675</v>
      </c>
      <c r="C164" s="59" t="n">
        <v>56443</v>
      </c>
      <c r="D164" s="29" t="s">
        <v>42</v>
      </c>
      <c r="E164" s="33" t="n">
        <f aca="false">IF(D164="totale",(C164/(A164*24))/F164,IF(D164="marché libre",(C164/(A164*24))/G164,"spécifier histo"))</f>
        <v>0.0933250661375661</v>
      </c>
      <c r="F164" s="59" t="n">
        <v>1340</v>
      </c>
      <c r="G164" s="58" t="n">
        <f aca="false">F164-H164</f>
        <v>840</v>
      </c>
      <c r="H164" s="58" t="n">
        <v>500</v>
      </c>
      <c r="I164" s="58"/>
      <c r="J164" s="55"/>
    </row>
    <row r="165" customFormat="false" ht="19.85" hidden="false" customHeight="true" outlineLevel="0" collapsed="false">
      <c r="A165" s="0" t="n">
        <v>31</v>
      </c>
      <c r="B165" s="34" t="n">
        <v>42705</v>
      </c>
      <c r="C165" s="60" t="n">
        <v>0</v>
      </c>
      <c r="D165" s="29" t="s">
        <v>42</v>
      </c>
      <c r="E165" s="33" t="n">
        <f aca="false">IF(D165="totale",(C165/(A165*24))/F165,IF(D165="marché libre",(C165/(A165*24))/G165,"spécifier histo"))</f>
        <v>0</v>
      </c>
      <c r="F165" s="59" t="n">
        <v>1340</v>
      </c>
      <c r="G165" s="58" t="n">
        <f aca="false">F165-H165</f>
        <v>840</v>
      </c>
      <c r="H165" s="58" t="n">
        <v>500</v>
      </c>
      <c r="I165" s="58"/>
      <c r="J165" s="55"/>
    </row>
    <row r="166" customFormat="false" ht="19.85" hidden="false" customHeight="true" outlineLevel="0" collapsed="false">
      <c r="A166" s="244" t="n">
        <v>31</v>
      </c>
      <c r="B166" s="31" t="n">
        <v>42736</v>
      </c>
      <c r="C166" s="60" t="n">
        <v>9617</v>
      </c>
      <c r="D166" s="29" t="s">
        <v>42</v>
      </c>
      <c r="E166" s="33" t="n">
        <f aca="false">IF(D166="totale",(C166/(A166*24))/F166,IF(D166="marché libre",(C166/(A166*24))/G166,"spécifier histo"))</f>
        <v>0.01538818484383</v>
      </c>
      <c r="F166" s="59" t="n">
        <v>1340</v>
      </c>
      <c r="G166" s="58" t="n">
        <f aca="false">F166-H166</f>
        <v>840</v>
      </c>
      <c r="H166" s="58" t="n">
        <v>500</v>
      </c>
      <c r="I166" s="58"/>
      <c r="J166" s="30"/>
    </row>
    <row r="167" customFormat="false" ht="19.85" hidden="false" customHeight="true" outlineLevel="0" collapsed="false">
      <c r="A167" s="0" t="n">
        <v>28</v>
      </c>
      <c r="B167" s="34" t="n">
        <v>42767</v>
      </c>
      <c r="C167" s="60" t="n">
        <v>138576</v>
      </c>
      <c r="D167" s="29" t="s">
        <v>42</v>
      </c>
      <c r="E167" s="33" t="n">
        <f aca="false">IF(D167="totale",(C167/(A167*24))/F167,IF(D167="marché libre",(C167/(A167*24))/G167,"spécifier histo"))</f>
        <v>0.245493197278912</v>
      </c>
      <c r="F167" s="59" t="n">
        <v>1340</v>
      </c>
      <c r="G167" s="58" t="n">
        <f aca="false">F167-H167</f>
        <v>840</v>
      </c>
      <c r="H167" s="58" t="n">
        <v>500</v>
      </c>
      <c r="I167" s="58"/>
      <c r="J167" s="55"/>
    </row>
    <row r="168" customFormat="false" ht="19.85" hidden="false" customHeight="true" outlineLevel="0" collapsed="false">
      <c r="A168" s="0" t="n">
        <v>31</v>
      </c>
      <c r="B168" s="31" t="n">
        <v>42795</v>
      </c>
      <c r="C168" s="59" t="n">
        <v>210132</v>
      </c>
      <c r="D168" s="29" t="s">
        <v>42</v>
      </c>
      <c r="E168" s="33" t="n">
        <f aca="false">IF(D168="totale",(C168/(A168*24))/F168,IF(D168="marché libre",(C168/(A168*24))/G168,"spécifier histo"))</f>
        <v>0.336232718894009</v>
      </c>
      <c r="F168" s="59" t="n">
        <v>1340</v>
      </c>
      <c r="G168" s="58" t="n">
        <f aca="false">F168-H168</f>
        <v>840</v>
      </c>
      <c r="H168" s="58" t="n">
        <v>500</v>
      </c>
      <c r="I168" s="58"/>
      <c r="J168" s="55"/>
    </row>
    <row r="169" customFormat="false" ht="19.85" hidden="false" customHeight="true" outlineLevel="0" collapsed="false">
      <c r="A169" s="0" t="n">
        <v>30</v>
      </c>
      <c r="B169" s="34" t="n">
        <v>42826</v>
      </c>
      <c r="C169" s="59" t="n">
        <v>0</v>
      </c>
      <c r="D169" s="29" t="s">
        <v>42</v>
      </c>
      <c r="E169" s="33" t="n">
        <f aca="false">IF(D169="totale",(C169/(A169*24))/F169,IF(D169="marché libre",(C169/(A169*24))/G169,"spécifier histo"))</f>
        <v>0</v>
      </c>
      <c r="F169" s="59" t="n">
        <v>1340</v>
      </c>
      <c r="G169" s="58" t="n">
        <f aca="false">F169-H169</f>
        <v>840</v>
      </c>
      <c r="H169" s="58" t="n">
        <v>500</v>
      </c>
      <c r="I169" s="58"/>
      <c r="J169" s="55"/>
    </row>
    <row r="170" customFormat="false" ht="19.85" hidden="false" customHeight="true" outlineLevel="0" collapsed="false">
      <c r="A170" s="0" t="n">
        <v>31</v>
      </c>
      <c r="B170" s="31" t="n">
        <v>42856</v>
      </c>
      <c r="C170" s="9" t="n">
        <v>90964</v>
      </c>
      <c r="D170" s="29" t="s">
        <v>42</v>
      </c>
      <c r="E170" s="33" t="n">
        <f aca="false">IF(D170="totale",(C170/(A170*24))/F170,IF(D170="marché libre",(C170/(A170*24))/G170,"spécifier histo"))</f>
        <v>0.14555171530978</v>
      </c>
      <c r="F170" s="59" t="n">
        <v>1340</v>
      </c>
      <c r="G170" s="58" t="n">
        <f aca="false">F170-H170</f>
        <v>840</v>
      </c>
      <c r="H170" s="58" t="n">
        <v>500</v>
      </c>
      <c r="I170" s="58"/>
      <c r="J170" s="55"/>
    </row>
    <row r="171" customFormat="false" ht="22.45" hidden="false" customHeight="true" outlineLevel="0" collapsed="false">
      <c r="A171" s="0" t="n">
        <v>30</v>
      </c>
      <c r="B171" s="34" t="n">
        <v>42887</v>
      </c>
      <c r="C171" s="9" t="n">
        <v>14480</v>
      </c>
      <c r="D171" s="29" t="s">
        <v>42</v>
      </c>
      <c r="E171" s="33" t="n">
        <f aca="false">IF(D171="totale",(C171/(A171*24))/F171,IF(D171="marché libre",(C171/(A171*24))/G171,"spécifier histo"))</f>
        <v>0.0239417989417989</v>
      </c>
      <c r="F171" s="59" t="n">
        <v>1340</v>
      </c>
      <c r="G171" s="58" t="n">
        <f aca="false">F171-H171</f>
        <v>840</v>
      </c>
      <c r="H171" s="58" t="n">
        <v>500</v>
      </c>
      <c r="I171" s="58"/>
      <c r="J171" s="55"/>
    </row>
    <row r="172" customFormat="false" ht="21.65" hidden="false" customHeight="true" outlineLevel="0" collapsed="false">
      <c r="A172" s="0" t="n">
        <v>31</v>
      </c>
      <c r="B172" s="31" t="n">
        <v>42917</v>
      </c>
      <c r="C172" s="9" t="n">
        <v>0</v>
      </c>
      <c r="D172" s="29" t="s">
        <v>42</v>
      </c>
      <c r="E172" s="33" t="n">
        <f aca="false">IF(D172="totale",(C172/(A172*24))/F172,IF(D172="marché libre",(C172/(A172*24))/G172,"spécifier histo"))</f>
        <v>0</v>
      </c>
      <c r="F172" s="59" t="n">
        <v>1340</v>
      </c>
      <c r="G172" s="58" t="n">
        <f aca="false">F172-H172</f>
        <v>840</v>
      </c>
      <c r="H172" s="58" t="n">
        <v>500</v>
      </c>
      <c r="I172" s="58"/>
      <c r="J172" s="55"/>
    </row>
    <row r="173" customFormat="false" ht="21.65" hidden="false" customHeight="true" outlineLevel="0" collapsed="false">
      <c r="A173" s="0" t="n">
        <v>31</v>
      </c>
      <c r="B173" s="34" t="n">
        <v>42948</v>
      </c>
      <c r="C173" s="9" t="n">
        <v>0</v>
      </c>
      <c r="D173" s="29" t="s">
        <v>42</v>
      </c>
      <c r="E173" s="33" t="n">
        <f aca="false">IF(D173="totale",(C173/(A173*24))/F173,IF(D173="marché libre",(C173/(A173*24))/G173,"spécifier histo"))</f>
        <v>0</v>
      </c>
      <c r="F173" s="59" t="n">
        <v>1340</v>
      </c>
      <c r="G173" s="58" t="n">
        <f aca="false">F173-H173</f>
        <v>840</v>
      </c>
      <c r="H173" s="58" t="n">
        <v>500</v>
      </c>
      <c r="I173" s="58"/>
      <c r="J173" s="55"/>
    </row>
    <row r="174" customFormat="false" ht="21.65" hidden="false" customHeight="true" outlineLevel="0" collapsed="false">
      <c r="A174" s="0" t="n">
        <v>30</v>
      </c>
      <c r="B174" s="31" t="n">
        <v>42979</v>
      </c>
      <c r="C174" s="9" t="n">
        <v>0</v>
      </c>
      <c r="D174" s="29" t="s">
        <v>42</v>
      </c>
      <c r="E174" s="33" t="n">
        <f aca="false">IF(D174="totale",(C174/(A174*24))/F174,IF(D174="marché libre",(C174/(A174*24))/G174,"spécifier histo"))</f>
        <v>0</v>
      </c>
      <c r="F174" s="59" t="n">
        <v>1340</v>
      </c>
      <c r="G174" s="59" t="n">
        <f aca="false">F174-H174</f>
        <v>840</v>
      </c>
      <c r="H174" s="58" t="n">
        <v>500</v>
      </c>
      <c r="J174" s="55"/>
    </row>
    <row r="175" customFormat="false" ht="21.65" hidden="false" customHeight="true" outlineLevel="0" collapsed="false">
      <c r="A175" s="0" t="n">
        <v>31</v>
      </c>
      <c r="B175" s="34" t="n">
        <v>43009</v>
      </c>
      <c r="C175" s="9" t="n">
        <v>0</v>
      </c>
      <c r="D175" s="29" t="s">
        <v>42</v>
      </c>
      <c r="E175" s="33" t="n">
        <f aca="false">IF(D175="totale",(C175/(A175*24))/F175,IF(D175="marché libre",(C175/(A175*24))/G175,"spécifier histo"))</f>
        <v>0</v>
      </c>
      <c r="F175" s="59" t="n">
        <v>1340</v>
      </c>
      <c r="G175" s="59" t="n">
        <f aca="false">F175-H175</f>
        <v>840</v>
      </c>
      <c r="H175" s="58" t="n">
        <v>500</v>
      </c>
      <c r="J175" s="55"/>
    </row>
    <row r="176" customFormat="false" ht="21.65" hidden="false" customHeight="true" outlineLevel="0" collapsed="false">
      <c r="A176" s="0" t="n">
        <v>30</v>
      </c>
      <c r="B176" s="31" t="n">
        <v>43040</v>
      </c>
      <c r="C176" s="9" t="n">
        <v>42156</v>
      </c>
      <c r="D176" s="29" t="s">
        <v>42</v>
      </c>
      <c r="E176" s="33" t="n">
        <f aca="false">IF(D176="totale",(C176/(A176*24))/F176,IF(D176="marché libre",(C176/(A176*24))/G176,"spécifier histo"))</f>
        <v>0.069702380952381</v>
      </c>
      <c r="F176" s="59" t="n">
        <v>1340</v>
      </c>
      <c r="G176" s="59" t="n">
        <f aca="false">F176-H176</f>
        <v>840</v>
      </c>
      <c r="H176" s="58" t="n">
        <v>500</v>
      </c>
      <c r="J176" s="55"/>
    </row>
    <row r="177" customFormat="false" ht="21.65" hidden="false" customHeight="true" outlineLevel="0" collapsed="false">
      <c r="A177" s="0" t="n">
        <v>31</v>
      </c>
      <c r="B177" s="34" t="n">
        <v>43070</v>
      </c>
      <c r="C177" s="9" t="n">
        <v>228340</v>
      </c>
      <c r="D177" s="29" t="s">
        <v>42</v>
      </c>
      <c r="E177" s="33" t="n">
        <f aca="false">IF(D177="totale",(C177/(A177*24))/F177,IF(D177="marché libre",(C177/(A177*24))/G177,"spécifier histo"))</f>
        <v>0.365367383512545</v>
      </c>
      <c r="F177" s="59" t="n">
        <v>1340</v>
      </c>
      <c r="G177" s="59" t="n">
        <f aca="false">F177-H177</f>
        <v>840</v>
      </c>
      <c r="H177" s="58" t="n">
        <v>500</v>
      </c>
      <c r="J177" s="55"/>
    </row>
    <row r="178" customFormat="false" ht="28.35" hidden="false" customHeight="true" outlineLevel="0" collapsed="false">
      <c r="A178" s="244" t="n">
        <v>31</v>
      </c>
      <c r="B178" s="31" t="n">
        <v>43101</v>
      </c>
      <c r="C178" s="9" t="n">
        <v>526150</v>
      </c>
      <c r="D178" s="29" t="s">
        <v>42</v>
      </c>
      <c r="E178" s="33" t="n">
        <f aca="false">IF(D178="totale",(C178/(A178*24))/F178,IF(D178="marché libre",(C178/(A178*24))/G178,"spécifier histo"))</f>
        <v>0.841893881208397</v>
      </c>
      <c r="F178" s="59" t="n">
        <v>1340</v>
      </c>
      <c r="G178" s="59" t="n">
        <f aca="false">F178-H178</f>
        <v>840</v>
      </c>
      <c r="H178" s="58" t="n">
        <v>500</v>
      </c>
      <c r="J178" s="30"/>
    </row>
    <row r="179" customFormat="false" ht="28.35" hidden="false" customHeight="true" outlineLevel="0" collapsed="false">
      <c r="A179" s="0" t="n">
        <v>28</v>
      </c>
      <c r="B179" s="34" t="n">
        <v>43132</v>
      </c>
      <c r="C179" s="1" t="n">
        <v>172109</v>
      </c>
      <c r="D179" s="29" t="s">
        <v>42</v>
      </c>
      <c r="E179" s="33" t="n">
        <f aca="false">IF(D179="totale",(C179/(A179*24))/F179,IF(D179="marché libre",(C179/(A179*24))/G179,"spécifier histo"))</f>
        <v>0.304898313492063</v>
      </c>
      <c r="F179" s="59" t="n">
        <v>1340</v>
      </c>
      <c r="G179" s="59" t="n">
        <f aca="false">F179-H179</f>
        <v>840</v>
      </c>
      <c r="H179" s="58" t="n">
        <v>500</v>
      </c>
    </row>
    <row r="180" customFormat="false" ht="28.35" hidden="false" customHeight="true" outlineLevel="0" collapsed="false">
      <c r="A180" s="0" t="n">
        <v>31</v>
      </c>
      <c r="B180" s="31" t="n">
        <v>43160</v>
      </c>
      <c r="C180" s="1" t="n">
        <v>526150</v>
      </c>
      <c r="D180" s="29" t="s">
        <v>42</v>
      </c>
      <c r="E180" s="33" t="n">
        <f aca="false">IF(D180="totale",(C180/(A180*24))/F180,IF(D180="marché libre",(C180/(A180*24))/G180,"spécifier histo"))</f>
        <v>0.841893881208397</v>
      </c>
      <c r="F180" s="59" t="n">
        <v>1340</v>
      </c>
      <c r="G180" s="59" t="n">
        <f aca="false">F180-H180</f>
        <v>840</v>
      </c>
      <c r="H180" s="58" t="n">
        <v>500</v>
      </c>
    </row>
    <row r="181" customFormat="false" ht="28.35" hidden="false" customHeight="true" outlineLevel="0" collapsed="false">
      <c r="A181" s="0" t="n">
        <v>30</v>
      </c>
      <c r="B181" s="34" t="n">
        <v>43191</v>
      </c>
      <c r="C181" s="1" t="n">
        <v>172109</v>
      </c>
      <c r="D181" s="29" t="s">
        <v>42</v>
      </c>
      <c r="E181" s="33" t="n">
        <f aca="false">IF(D181="totale",(C181/(A181*24))/F181,IF(D181="marché libre",(C181/(A181*24))/G181,"spécifier histo"))</f>
        <v>0.284571759259259</v>
      </c>
      <c r="F181" s="59" t="n">
        <v>1340</v>
      </c>
      <c r="G181" s="59" t="n">
        <f aca="false">F181-H181</f>
        <v>840</v>
      </c>
      <c r="H181" s="58" t="n">
        <v>500</v>
      </c>
    </row>
    <row r="182" customFormat="false" ht="28.35" hidden="false" customHeight="true" outlineLevel="0" collapsed="false">
      <c r="A182" s="0" t="n">
        <v>31</v>
      </c>
      <c r="B182" s="31" t="n">
        <v>43221</v>
      </c>
      <c r="C182" s="1" t="n">
        <v>326464</v>
      </c>
      <c r="D182" s="29" t="s">
        <v>42</v>
      </c>
      <c r="E182" s="33" t="n">
        <f aca="false">IF(D182="totale",(C182/(A182*24))/F182,IF(D182="marché libre",(C182/(A182*24))/G182,"spécifier histo"))</f>
        <v>0.522375832053251</v>
      </c>
      <c r="F182" s="59" t="n">
        <v>1340</v>
      </c>
      <c r="G182" s="59" t="n">
        <f aca="false">F182-H182</f>
        <v>840</v>
      </c>
      <c r="H182" s="58" t="n">
        <v>500</v>
      </c>
    </row>
    <row r="183" customFormat="false" ht="28.35" hidden="false" customHeight="true" outlineLevel="0" collapsed="false">
      <c r="A183" s="0" t="n">
        <v>30</v>
      </c>
      <c r="B183" s="34" t="n">
        <v>43252</v>
      </c>
      <c r="C183" s="1" t="n">
        <v>107215</v>
      </c>
      <c r="D183" s="29" t="s">
        <v>42</v>
      </c>
      <c r="E183" s="33" t="n">
        <f aca="false">IF(D183="totale",(C183/(A183*24))/F183,IF(D183="marché libre",(C183/(A183*24))/G183,"spécifier histo"))</f>
        <v>0.177273478835979</v>
      </c>
      <c r="F183" s="59" t="n">
        <v>1340</v>
      </c>
      <c r="G183" s="59" t="n">
        <f aca="false">F183-H183</f>
        <v>840</v>
      </c>
      <c r="H183" s="58" t="n">
        <v>500</v>
      </c>
    </row>
    <row r="184" customFormat="false" ht="28.35" hidden="false" customHeight="true" outlineLevel="0" collapsed="false">
      <c r="A184" s="0" t="n">
        <v>31</v>
      </c>
      <c r="B184" s="31" t="n">
        <v>43282</v>
      </c>
      <c r="C184" s="1" t="n">
        <v>227</v>
      </c>
      <c r="D184" s="29" t="s">
        <v>42</v>
      </c>
      <c r="E184" s="33" t="n">
        <f aca="false">IF(D184="totale",(C184/(A184*24))/F184,IF(D184="marché libre",(C184/(A184*24))/G184,"spécifier histo"))</f>
        <v>0.000363223246287762</v>
      </c>
      <c r="F184" s="59" t="n">
        <v>1340</v>
      </c>
      <c r="G184" s="59" t="n">
        <f aca="false">F184-H184</f>
        <v>840</v>
      </c>
      <c r="H184" s="58" t="n">
        <v>500</v>
      </c>
    </row>
    <row r="185" customFormat="false" ht="28.35" hidden="false" customHeight="true" outlineLevel="0" collapsed="false">
      <c r="A185" s="0" t="n">
        <v>31</v>
      </c>
      <c r="B185" s="34" t="n">
        <v>43313</v>
      </c>
      <c r="C185" s="1" t="n">
        <v>129354</v>
      </c>
      <c r="D185" s="29" t="s">
        <v>42</v>
      </c>
      <c r="E185" s="33" t="n">
        <f aca="false">IF(D185="totale",(C185/(A185*24))/F185,IF(D185="marché libre",(C185/(A185*24))/G185,"spécifier histo"))</f>
        <v>0.206979646697389</v>
      </c>
      <c r="F185" s="59" t="n">
        <v>1340</v>
      </c>
      <c r="G185" s="59" t="n">
        <f aca="false">F185-H185</f>
        <v>840</v>
      </c>
      <c r="H185" s="58" t="n">
        <v>500</v>
      </c>
    </row>
    <row r="186" customFormat="false" ht="28.35" hidden="false" customHeight="true" outlineLevel="0" collapsed="false">
      <c r="A186" s="0" t="n">
        <v>30</v>
      </c>
      <c r="B186" s="31" t="n">
        <v>43344</v>
      </c>
      <c r="C186" s="1" t="n">
        <v>2523</v>
      </c>
      <c r="D186" s="29" t="s">
        <v>42</v>
      </c>
      <c r="E186" s="33" t="n">
        <f aca="false">IF(D186="totale",(C186/(A186*24))/F186,IF(D186="marché libre",(C186/(A186*24))/G186,"spécifier histo"))</f>
        <v>0.00417162698412698</v>
      </c>
      <c r="F186" s="59" t="n">
        <v>1340</v>
      </c>
      <c r="G186" s="59" t="n">
        <f aca="false">F186-H186</f>
        <v>840</v>
      </c>
      <c r="H186" s="58" t="n">
        <v>500</v>
      </c>
    </row>
    <row r="187" customFormat="false" ht="28.35" hidden="false" customHeight="true" outlineLevel="0" collapsed="false">
      <c r="A187" s="0" t="n">
        <v>31</v>
      </c>
      <c r="B187" s="34" t="n">
        <v>43374</v>
      </c>
      <c r="D187" s="29" t="s">
        <v>42</v>
      </c>
      <c r="E187" s="33" t="n">
        <f aca="false">IF(D187="totale",(C187/(A187*24))/F187,IF(D187="marché libre",(C187/(A187*24))/G187,"spécifier histo"))</f>
        <v>0</v>
      </c>
      <c r="F187" s="59" t="n">
        <v>1340</v>
      </c>
      <c r="G187" s="59" t="n">
        <f aca="false">F187-H187</f>
        <v>840</v>
      </c>
      <c r="H187" s="58" t="n">
        <v>500</v>
      </c>
    </row>
    <row r="188" customFormat="false" ht="28.35" hidden="false" customHeight="true" outlineLevel="0" collapsed="false">
      <c r="A188" s="0" t="n">
        <v>30</v>
      </c>
      <c r="B188" s="31" t="n">
        <v>43405</v>
      </c>
      <c r="D188" s="29" t="s">
        <v>42</v>
      </c>
      <c r="E188" s="33" t="n">
        <f aca="false">IF(D188="totale",(C188/(A188*24))/F188,IF(D188="marché libre",(C188/(A188*24))/G188,"spécifier histo"))</f>
        <v>0</v>
      </c>
      <c r="F188" s="59" t="n">
        <v>1340</v>
      </c>
      <c r="G188" s="59" t="n">
        <f aca="false">F188-H188</f>
        <v>840</v>
      </c>
      <c r="H188" s="58" t="n">
        <v>500</v>
      </c>
    </row>
    <row r="189" customFormat="false" ht="28.35" hidden="false" customHeight="true" outlineLevel="0" collapsed="false">
      <c r="A189" s="0" t="n">
        <v>31</v>
      </c>
      <c r="B189" s="34" t="n">
        <v>43435</v>
      </c>
      <c r="D189" s="29" t="s">
        <v>42</v>
      </c>
      <c r="E189" s="33" t="n">
        <f aca="false">IF(D189="totale",(C189/(A189*24))/F189,IF(D189="marché libre",(C189/(A189*24))/G189,"spécifier histo"))</f>
        <v>0</v>
      </c>
      <c r="F189" s="59" t="n">
        <v>1340</v>
      </c>
      <c r="G189" s="59" t="n">
        <f aca="false">F189-H189</f>
        <v>840</v>
      </c>
      <c r="H189" s="58" t="n">
        <v>500</v>
      </c>
    </row>
    <row r="190" customFormat="false" ht="28.35" hidden="false" customHeight="true" outlineLevel="0" collapsed="false">
      <c r="A190" s="0"/>
    </row>
    <row r="191" customFormat="false" ht="28.35" hidden="false" customHeight="true" outlineLevel="0" collapsed="false">
      <c r="A191" s="0"/>
    </row>
    <row r="192" customFormat="false" ht="12.8" hidden="false" customHeight="false" outlineLevel="0" collapsed="false">
      <c r="A192" s="0"/>
    </row>
    <row r="193" customFormat="false" ht="12.8" hidden="false" customHeight="false" outlineLevel="0" collapsed="false">
      <c r="A193" s="0"/>
    </row>
    <row r="194" customFormat="false" ht="12.8" hidden="false" customHeight="false" outlineLevel="0" collapsed="false">
      <c r="A194" s="0"/>
    </row>
    <row r="195" customFormat="false" ht="12.8" hidden="false" customHeight="false" outlineLevel="0" collapsed="false">
      <c r="A195" s="0"/>
    </row>
    <row r="196" customFormat="false" ht="12.8" hidden="false" customHeight="false" outlineLevel="0" collapsed="false">
      <c r="A196" s="0"/>
    </row>
    <row r="197" customFormat="false" ht="12.8" hidden="false" customHeight="false" outlineLevel="0" collapsed="false">
      <c r="A197" s="0"/>
    </row>
    <row r="198" customFormat="false" ht="12.8" hidden="false" customHeight="false" outlineLevel="0" collapsed="false">
      <c r="A198" s="0"/>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row r="212" customFormat="false" ht="12.8" hidden="false" customHeight="false" outlineLevel="0" collapsed="false">
      <c r="A212" s="0"/>
    </row>
    <row r="213" customFormat="false" ht="12.8" hidden="false" customHeight="fals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8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21.xml><?xml version="1.0" encoding="utf-8"?>
<worksheet xmlns="http://schemas.openxmlformats.org/spreadsheetml/2006/main" xmlns:r="http://schemas.openxmlformats.org/officeDocument/2006/relationships">
  <sheetPr filterMode="false">
    <tabColor rgb="FF00CC33"/>
    <pageSetUpPr fitToPage="false"/>
  </sheetPr>
  <dimension ref="A1:AL47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385" activePane="bottomRight" state="frozen"/>
      <selection pane="topLeft" activeCell="A1" activeCellId="0" sqref="A1"/>
      <selection pane="topRight" activeCell="B1" activeCellId="0" sqref="B1"/>
      <selection pane="bottomLeft" activeCell="A385" activeCellId="0" sqref="A385"/>
      <selection pane="bottomRight" activeCell="B390" activeCellId="0" sqref="B390"/>
    </sheetView>
  </sheetViews>
  <sheetFormatPr defaultRowHeight="12.8" zeroHeight="false" outlineLevelRow="0" outlineLevelCol="0"/>
  <cols>
    <col collapsed="false" customWidth="true" hidden="false" outlineLevel="0" max="1" min="1" style="1" width="4.17"/>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4.81"/>
    <col collapsed="false" customWidth="true" hidden="false" outlineLevel="0" max="9" min="9" style="1" width="18.2"/>
    <col collapsed="false" customWidth="true" hidden="false" outlineLevel="0" max="10" min="10" style="1" width="16.98"/>
    <col collapsed="false" customWidth="true" hidden="false" outlineLevel="0" max="11" min="11" style="1" width="13.89"/>
    <col collapsed="false" customWidth="true" hidden="false" outlineLevel="0" max="12" min="12" style="1" width="16.98"/>
    <col collapsed="false" customWidth="true" hidden="false" outlineLevel="0" max="13" min="13" style="1" width="23.61"/>
    <col collapsed="false" customWidth="false" hidden="false" outlineLevel="0" max="14" min="14" style="1" width="11.52"/>
    <col collapsed="false" customWidth="true" hidden="false" outlineLevel="0" max="15" min="15" style="1" width="10.8"/>
    <col collapsed="false" customWidth="true" hidden="false" outlineLevel="0" max="16" min="16" style="1" width="4.32"/>
    <col collapsed="false" customWidth="false" hidden="false" outlineLevel="0" max="17" min="17" style="1" width="11.52"/>
    <col collapsed="false" customWidth="true" hidden="false" outlineLevel="0" max="18" min="18" style="1" width="15.28"/>
    <col collapsed="false" customWidth="true" hidden="false" outlineLevel="0" max="19" min="19" style="1" width="4.32"/>
    <col collapsed="false" customWidth="false" hidden="false" outlineLevel="0" max="1025" min="20" style="1" width="11.52"/>
  </cols>
  <sheetData>
    <row r="1" customFormat="false" ht="30.8" hidden="false" customHeight="true" outlineLevel="0" collapsed="false">
      <c r="B1" s="2" t="s">
        <v>0</v>
      </c>
      <c r="C1" s="2"/>
      <c r="D1" s="2"/>
      <c r="E1" s="2"/>
      <c r="F1" s="3" t="s">
        <v>1</v>
      </c>
      <c r="G1" s="3"/>
      <c r="H1" s="3"/>
      <c r="I1" s="3"/>
      <c r="J1" s="3"/>
      <c r="K1" s="3"/>
      <c r="L1" s="3"/>
      <c r="M1" s="3"/>
      <c r="N1" s="3"/>
      <c r="O1" s="3"/>
    </row>
    <row r="2" customFormat="false" ht="30.8" hidden="false" customHeight="true" outlineLevel="0" collapsed="false">
      <c r="B2" s="2"/>
      <c r="C2" s="2"/>
      <c r="D2" s="2"/>
      <c r="E2" s="2"/>
      <c r="F2" s="3" t="s">
        <v>2</v>
      </c>
      <c r="G2" s="3"/>
      <c r="H2" s="3"/>
      <c r="I2" s="3"/>
      <c r="J2" s="3" t="s">
        <v>3</v>
      </c>
      <c r="K2" s="3"/>
      <c r="L2" s="3"/>
      <c r="M2" s="3" t="s">
        <v>4</v>
      </c>
      <c r="N2" s="3"/>
      <c r="O2" s="3" t="s">
        <v>5</v>
      </c>
      <c r="Q2" s="4"/>
      <c r="R2" s="5" t="s">
        <v>6</v>
      </c>
      <c r="T2" s="6"/>
      <c r="U2" s="7" t="s">
        <v>7</v>
      </c>
      <c r="V2" s="9"/>
      <c r="W2" s="9"/>
    </row>
    <row r="3" customFormat="false" ht="37.45" hidden="false" customHeight="true" outlineLevel="0" collapsed="false">
      <c r="B3" s="10" t="s">
        <v>9</v>
      </c>
      <c r="C3" s="10" t="s">
        <v>10</v>
      </c>
      <c r="D3" s="10" t="s">
        <v>11</v>
      </c>
      <c r="E3" s="11" t="s">
        <v>12</v>
      </c>
      <c r="F3" s="10" t="s">
        <v>13</v>
      </c>
      <c r="G3" s="10" t="s">
        <v>14</v>
      </c>
      <c r="H3" s="10" t="s">
        <v>15</v>
      </c>
      <c r="I3" s="10" t="s">
        <v>16</v>
      </c>
      <c r="J3" s="10" t="s">
        <v>91</v>
      </c>
      <c r="K3" s="10"/>
      <c r="L3" s="10" t="s">
        <v>18</v>
      </c>
      <c r="M3" s="10" t="s">
        <v>19</v>
      </c>
      <c r="N3" s="10" t="s">
        <v>17</v>
      </c>
      <c r="O3" s="3"/>
      <c r="Q3" s="12"/>
      <c r="R3" s="5" t="s">
        <v>20</v>
      </c>
      <c r="T3" s="13"/>
      <c r="U3" s="7" t="s">
        <v>21</v>
      </c>
      <c r="V3" s="9"/>
      <c r="W3" s="9"/>
    </row>
    <row r="4" customFormat="false" ht="40.8" hidden="false" customHeight="true" outlineLevel="0" collapsed="false">
      <c r="B4" s="273" t="s">
        <v>334</v>
      </c>
      <c r="C4" s="274" t="n">
        <v>40811</v>
      </c>
      <c r="D4" s="274" t="s">
        <v>335</v>
      </c>
      <c r="E4" s="275" t="s">
        <v>336</v>
      </c>
      <c r="F4" s="15" t="n">
        <v>1200</v>
      </c>
      <c r="G4" s="15" t="n">
        <v>1000</v>
      </c>
      <c r="H4" s="15" t="n">
        <v>962</v>
      </c>
      <c r="I4" s="16"/>
      <c r="J4" s="15" t="n">
        <v>962</v>
      </c>
      <c r="K4" s="15"/>
      <c r="L4" s="16"/>
      <c r="M4" s="16"/>
      <c r="N4" s="16"/>
      <c r="O4" s="4"/>
      <c r="Q4" s="17"/>
      <c r="R4" s="16" t="s">
        <v>23</v>
      </c>
      <c r="T4" s="18"/>
      <c r="U4" s="19" t="s">
        <v>24</v>
      </c>
      <c r="V4" s="19"/>
      <c r="W4" s="19"/>
    </row>
    <row r="5" customFormat="false" ht="28.35" hidden="false" customHeight="true" outlineLevel="0" collapsed="false">
      <c r="F5" s="9"/>
      <c r="G5" s="9"/>
      <c r="H5" s="9"/>
      <c r="J5" s="9"/>
      <c r="K5" s="9"/>
      <c r="Q5" s="9"/>
      <c r="R5" s="9"/>
    </row>
    <row r="6" customFormat="false" ht="28.35" hidden="false" customHeight="true" outlineLevel="0" collapsed="false">
      <c r="B6" s="0"/>
      <c r="C6" s="10" t="s">
        <v>25</v>
      </c>
      <c r="D6" s="10"/>
      <c r="F6" s="20" t="s">
        <v>26</v>
      </c>
      <c r="G6" s="19" t="s">
        <v>337</v>
      </c>
      <c r="H6" s="19"/>
      <c r="I6" s="19"/>
      <c r="J6" s="19"/>
      <c r="K6" s="19"/>
      <c r="L6" s="19"/>
      <c r="M6" s="19"/>
      <c r="N6" s="19"/>
      <c r="O6" s="19"/>
      <c r="Q6" s="21" t="n">
        <v>41165</v>
      </c>
      <c r="R6" s="19" t="s">
        <v>27</v>
      </c>
      <c r="S6" s="9"/>
      <c r="T6" s="22"/>
      <c r="U6" s="5" t="s">
        <v>28</v>
      </c>
    </row>
    <row r="7" customFormat="false" ht="44.15" hidden="false" customHeight="true" outlineLevel="0" collapsed="false">
      <c r="B7" s="0"/>
      <c r="C7" s="273" t="s">
        <v>338</v>
      </c>
      <c r="D7" s="273"/>
      <c r="F7" s="20"/>
      <c r="G7" s="20"/>
      <c r="H7" s="19"/>
      <c r="I7" s="19"/>
      <c r="J7" s="19"/>
      <c r="K7" s="19"/>
      <c r="L7" s="19"/>
      <c r="M7" s="19"/>
      <c r="N7" s="19"/>
      <c r="O7" s="19"/>
      <c r="Q7" s="24"/>
      <c r="R7" s="5" t="s">
        <v>29</v>
      </c>
      <c r="S7" s="9"/>
      <c r="T7" s="25"/>
      <c r="U7" s="5" t="s">
        <v>30</v>
      </c>
    </row>
    <row r="8" customFormat="false" ht="44.15" hidden="false" customHeight="true" outlineLevel="0" collapsed="false">
      <c r="A8" s="1" t="n">
        <f aca="false">_xlfn.SHEET()</f>
        <v>21</v>
      </c>
      <c r="F8" s="9"/>
      <c r="G8" s="9"/>
      <c r="H8" s="9"/>
      <c r="J8" s="9"/>
      <c r="K8" s="9"/>
      <c r="S8" s="9"/>
      <c r="T8" s="27"/>
      <c r="U8" s="16" t="s">
        <v>31</v>
      </c>
    </row>
    <row r="9" customFormat="false" ht="39.95" hidden="false" customHeight="true" outlineLevel="0" collapsed="false">
      <c r="A9" s="1" t="n">
        <f aca="false">_xlfn.SHEETS()</f>
        <v>79</v>
      </c>
      <c r="B9" s="9" t="s">
        <v>32</v>
      </c>
      <c r="C9" s="9" t="s">
        <v>51</v>
      </c>
      <c r="D9" s="29" t="s">
        <v>52</v>
      </c>
      <c r="E9" s="1" t="s">
        <v>35</v>
      </c>
      <c r="F9" s="9" t="s">
        <v>36</v>
      </c>
      <c r="G9" s="9" t="s">
        <v>37</v>
      </c>
      <c r="H9" s="9" t="s">
        <v>38</v>
      </c>
      <c r="I9" s="9" t="s">
        <v>39</v>
      </c>
      <c r="J9" s="30" t="s">
        <v>40</v>
      </c>
      <c r="K9" s="30"/>
    </row>
    <row r="10" customFormat="false" ht="23.4" hidden="false" customHeight="true" outlineLevel="0" collapsed="false">
      <c r="A10" s="1" t="n">
        <v>31</v>
      </c>
      <c r="B10" s="31" t="n">
        <v>31778</v>
      </c>
      <c r="C10" s="207" t="n">
        <v>0</v>
      </c>
      <c r="D10" s="29" t="s">
        <v>42</v>
      </c>
      <c r="E10" s="33" t="n">
        <f aca="false">IF(D10="totale",(C10/(A10*24))/F10,IF(D10="marché libre",(C10/(A10*24))/G10,"spécifier histo"))</f>
        <v>0</v>
      </c>
      <c r="F10" s="59" t="n">
        <v>962</v>
      </c>
      <c r="G10" s="59" t="n">
        <f aca="false">F10-H10</f>
        <v>962</v>
      </c>
      <c r="H10" s="59" t="n">
        <v>0</v>
      </c>
      <c r="I10" s="9"/>
      <c r="J10" s="30"/>
      <c r="K10" s="30"/>
    </row>
    <row r="11" customFormat="false" ht="23.4" hidden="false" customHeight="true" outlineLevel="0" collapsed="false">
      <c r="A11" s="1" t="n">
        <v>30</v>
      </c>
      <c r="B11" s="34" t="n">
        <v>31809</v>
      </c>
      <c r="C11" s="207" t="n">
        <v>110800</v>
      </c>
      <c r="D11" s="29" t="s">
        <v>42</v>
      </c>
      <c r="E11" s="33" t="n">
        <f aca="false">IF(D11="totale",(C11/(A11*24))/F11,IF(D11="marché libre",(C11/(A11*24))/G11,"spécifier histo"))</f>
        <v>0.15996765996766</v>
      </c>
      <c r="F11" s="59" t="n">
        <v>962</v>
      </c>
      <c r="G11" s="59" t="n">
        <f aca="false">F11-H11</f>
        <v>962</v>
      </c>
      <c r="H11" s="59" t="n">
        <v>0</v>
      </c>
      <c r="I11" s="9"/>
      <c r="J11" s="30"/>
      <c r="K11" s="30"/>
    </row>
    <row r="12" customFormat="false" ht="23.4" hidden="false" customHeight="true" outlineLevel="0" collapsed="false">
      <c r="A12" s="1" t="n">
        <v>31</v>
      </c>
      <c r="B12" s="31" t="n">
        <v>31837</v>
      </c>
      <c r="C12" s="207" t="n">
        <v>426600</v>
      </c>
      <c r="D12" s="29" t="s">
        <v>42</v>
      </c>
      <c r="E12" s="33" t="n">
        <f aca="false">IF(D12="totale",(C12/(A12*24))/F12,IF(D12="marché libre",(C12/(A12*24))/G12,"spécifier histo"))</f>
        <v>0.596036483133257</v>
      </c>
      <c r="F12" s="59" t="n">
        <v>962</v>
      </c>
      <c r="G12" s="59" t="n">
        <f aca="false">F12-H12</f>
        <v>962</v>
      </c>
      <c r="H12" s="59" t="n">
        <v>0</v>
      </c>
      <c r="I12" s="9"/>
      <c r="J12" s="30"/>
      <c r="K12" s="30"/>
    </row>
    <row r="13" customFormat="false" ht="23.4" hidden="false" customHeight="true" outlineLevel="0" collapsed="false">
      <c r="A13" s="1" t="n">
        <v>31</v>
      </c>
      <c r="B13" s="34" t="n">
        <v>31868</v>
      </c>
      <c r="C13" s="207" t="n">
        <v>487600</v>
      </c>
      <c r="D13" s="29" t="s">
        <v>42</v>
      </c>
      <c r="E13" s="33" t="n">
        <f aca="false">IF(D13="totale",(C13/(A13*24))/F13,IF(D13="marché libre",(C13/(A13*24))/G13,"spécifier histo"))</f>
        <v>0.68126439094181</v>
      </c>
      <c r="F13" s="59" t="n">
        <v>962</v>
      </c>
      <c r="G13" s="59" t="n">
        <f aca="false">F13-H13</f>
        <v>962</v>
      </c>
      <c r="H13" s="59" t="n">
        <v>0</v>
      </c>
      <c r="I13" s="9"/>
      <c r="J13" s="30"/>
      <c r="K13" s="30"/>
    </row>
    <row r="14" customFormat="false" ht="23.4" hidden="false" customHeight="true" outlineLevel="0" collapsed="false">
      <c r="A14" s="1" t="n">
        <v>28</v>
      </c>
      <c r="B14" s="31" t="n">
        <v>31898</v>
      </c>
      <c r="C14" s="207" t="n">
        <v>378600</v>
      </c>
      <c r="D14" s="29" t="s">
        <v>42</v>
      </c>
      <c r="E14" s="33" t="n">
        <f aca="false">IF(D14="totale",(C14/(A14*24))/F14,IF(D14="marché libre",(C14/(A14*24))/G14,"spécifier histo"))</f>
        <v>0.585647460647461</v>
      </c>
      <c r="F14" s="59" t="n">
        <v>962</v>
      </c>
      <c r="G14" s="59" t="n">
        <f aca="false">F14-H14</f>
        <v>962</v>
      </c>
      <c r="H14" s="59" t="n">
        <v>0</v>
      </c>
      <c r="I14" s="9"/>
      <c r="J14" s="30"/>
      <c r="K14" s="30"/>
    </row>
    <row r="15" customFormat="false" ht="23.4" hidden="false" customHeight="true" outlineLevel="0" collapsed="false">
      <c r="A15" s="1" t="n">
        <v>31</v>
      </c>
      <c r="B15" s="34" t="n">
        <v>31929</v>
      </c>
      <c r="C15" s="207" t="n">
        <v>114400</v>
      </c>
      <c r="D15" s="29" t="s">
        <v>42</v>
      </c>
      <c r="E15" s="33" t="n">
        <f aca="false">IF(D15="totale",(C15/(A15*24))/F15,IF(D15="marché libre",(C15/(A15*24))/G15,"spécifier histo"))</f>
        <v>0.15983725661145</v>
      </c>
      <c r="F15" s="59" t="n">
        <v>962</v>
      </c>
      <c r="G15" s="59" t="n">
        <f aca="false">F15-H15</f>
        <v>962</v>
      </c>
      <c r="H15" s="59" t="n">
        <v>0</v>
      </c>
      <c r="I15" s="9"/>
      <c r="J15" s="30"/>
      <c r="K15" s="30"/>
    </row>
    <row r="16" customFormat="false" ht="23.4" hidden="false" customHeight="true" outlineLevel="0" collapsed="false">
      <c r="A16" s="1" t="n">
        <v>30</v>
      </c>
      <c r="B16" s="31" t="n">
        <v>31959</v>
      </c>
      <c r="C16" s="207" t="n">
        <v>0</v>
      </c>
      <c r="D16" s="29" t="s">
        <v>42</v>
      </c>
      <c r="E16" s="33" t="n">
        <f aca="false">IF(D16="totale",(C16/(A16*24))/F16,IF(D16="marché libre",(C16/(A16*24))/G16,"spécifier histo"))</f>
        <v>0</v>
      </c>
      <c r="F16" s="59" t="n">
        <v>962</v>
      </c>
      <c r="G16" s="59" t="n">
        <f aca="false">F16-H16</f>
        <v>962</v>
      </c>
      <c r="H16" s="59" t="n">
        <v>0</v>
      </c>
      <c r="I16" s="9"/>
      <c r="J16" s="30"/>
      <c r="K16" s="30"/>
    </row>
    <row r="17" customFormat="false" ht="23.4" hidden="false" customHeight="true" outlineLevel="0" collapsed="false">
      <c r="A17" s="1" t="n">
        <v>31</v>
      </c>
      <c r="B17" s="34" t="n">
        <v>31990</v>
      </c>
      <c r="C17" s="207" t="n">
        <v>0</v>
      </c>
      <c r="D17" s="29" t="s">
        <v>42</v>
      </c>
      <c r="E17" s="33" t="n">
        <f aca="false">IF(D17="totale",(C17/(A17*24))/F17,IF(D17="marché libre",(C17/(A17*24))/G17,"spécifier histo"))</f>
        <v>0</v>
      </c>
      <c r="F17" s="59" t="n">
        <v>962</v>
      </c>
      <c r="G17" s="59" t="n">
        <f aca="false">F17-H17</f>
        <v>962</v>
      </c>
      <c r="H17" s="59" t="n">
        <v>0</v>
      </c>
      <c r="I17" s="9"/>
      <c r="J17" s="30"/>
      <c r="K17" s="30"/>
    </row>
    <row r="18" customFormat="false" ht="23.4" hidden="false" customHeight="true" outlineLevel="0" collapsed="false">
      <c r="A18" s="1" t="n">
        <v>30</v>
      </c>
      <c r="B18" s="31" t="n">
        <v>32021</v>
      </c>
      <c r="C18" s="207" t="n">
        <v>0</v>
      </c>
      <c r="D18" s="29" t="s">
        <v>42</v>
      </c>
      <c r="E18" s="33" t="n">
        <f aca="false">IF(D18="totale",(C18/(A18*24))/F18,IF(D18="marché libre",(C18/(A18*24))/G18,"spécifier histo"))</f>
        <v>0</v>
      </c>
      <c r="F18" s="59" t="n">
        <v>962</v>
      </c>
      <c r="G18" s="59" t="n">
        <f aca="false">F18-H18</f>
        <v>962</v>
      </c>
      <c r="H18" s="59" t="n">
        <v>0</v>
      </c>
      <c r="I18" s="9"/>
      <c r="J18" s="30"/>
      <c r="K18" s="30"/>
    </row>
    <row r="19" customFormat="false" ht="23.4" hidden="false" customHeight="true" outlineLevel="0" collapsed="false">
      <c r="A19" s="1" t="n">
        <v>31</v>
      </c>
      <c r="B19" s="34" t="n">
        <v>32051</v>
      </c>
      <c r="C19" s="207" t="n">
        <v>348600</v>
      </c>
      <c r="D19" s="29" t="s">
        <v>42</v>
      </c>
      <c r="E19" s="33" t="n">
        <f aca="false">IF(D19="totale",(C19/(A19*24))/F19,IF(D19="marché libre",(C19/(A19*24))/G19,"spécifier histo"))</f>
        <v>0.487056535443632</v>
      </c>
      <c r="F19" s="59" t="n">
        <v>962</v>
      </c>
      <c r="G19" s="59" t="n">
        <f aca="false">F19-H19</f>
        <v>962</v>
      </c>
      <c r="H19" s="59" t="n">
        <v>0</v>
      </c>
      <c r="I19" s="9"/>
      <c r="J19" s="30"/>
      <c r="K19" s="30"/>
    </row>
    <row r="20" customFormat="false" ht="23.4" hidden="false" customHeight="true" outlineLevel="0" collapsed="false">
      <c r="A20" s="1" t="n">
        <v>31</v>
      </c>
      <c r="B20" s="31" t="n">
        <v>32082</v>
      </c>
      <c r="C20" s="207" t="n">
        <v>438600</v>
      </c>
      <c r="D20" s="29" t="s">
        <v>42</v>
      </c>
      <c r="E20" s="33" t="n">
        <f aca="false">IF(D20="totale",(C20/(A20*24))/F20,IF(D20="marché libre",(C20/(A20*24))/G20,"spécifier histo"))</f>
        <v>0.612802628931661</v>
      </c>
      <c r="F20" s="59" t="n">
        <v>962</v>
      </c>
      <c r="G20" s="59" t="n">
        <f aca="false">F20-H20</f>
        <v>962</v>
      </c>
      <c r="H20" s="59" t="n">
        <v>0</v>
      </c>
      <c r="I20" s="9"/>
      <c r="J20" s="30"/>
      <c r="K20" s="30"/>
    </row>
    <row r="21" customFormat="false" ht="23.4" hidden="false" customHeight="true" outlineLevel="0" collapsed="false">
      <c r="A21" s="1" t="n">
        <v>30</v>
      </c>
      <c r="B21" s="34" t="n">
        <v>32112</v>
      </c>
      <c r="C21" s="207" t="n">
        <v>473400</v>
      </c>
      <c r="D21" s="29" t="s">
        <v>42</v>
      </c>
      <c r="E21" s="33" t="n">
        <f aca="false">IF(D21="totale",(C21/(A21*24))/F21,IF(D21="marché libre",(C21/(A21*24))/G21,"spécifier histo"))</f>
        <v>0.683471933471934</v>
      </c>
      <c r="F21" s="59" t="n">
        <v>962</v>
      </c>
      <c r="G21" s="59" t="n">
        <f aca="false">F21-H21</f>
        <v>962</v>
      </c>
      <c r="H21" s="59" t="n">
        <v>0</v>
      </c>
      <c r="I21" s="9"/>
      <c r="J21" s="30"/>
      <c r="K21" s="30"/>
    </row>
    <row r="22" customFormat="false" ht="23.4" hidden="false" customHeight="true" outlineLevel="0" collapsed="false">
      <c r="A22" s="1" t="n">
        <v>31</v>
      </c>
      <c r="B22" s="31" t="n">
        <v>32143</v>
      </c>
      <c r="C22" s="207" t="n">
        <v>368400</v>
      </c>
      <c r="D22" s="29" t="s">
        <v>42</v>
      </c>
      <c r="E22" s="33" t="n">
        <f aca="false">IF(D22="totale",(C22/(A22*24))/F22,IF(D22="marché libre",(C22/(A22*24))/G22,"spécifier histo"))</f>
        <v>0.514720676010999</v>
      </c>
      <c r="F22" s="59" t="n">
        <v>962</v>
      </c>
      <c r="G22" s="59" t="n">
        <f aca="false">F22-H22</f>
        <v>962</v>
      </c>
      <c r="H22" s="59" t="n">
        <v>0</v>
      </c>
      <c r="I22" s="9"/>
      <c r="J22" s="30"/>
      <c r="K22" s="30"/>
    </row>
    <row r="23" customFormat="false" ht="23.4" hidden="false" customHeight="true" outlineLevel="0" collapsed="false">
      <c r="A23" s="1" t="n">
        <v>30</v>
      </c>
      <c r="B23" s="34" t="n">
        <v>32174</v>
      </c>
      <c r="C23" s="207" t="n">
        <v>602600</v>
      </c>
      <c r="D23" s="29" t="s">
        <v>42</v>
      </c>
      <c r="E23" s="33" t="n">
        <f aca="false">IF(D23="totale",(C23/(A23*24))/F23,IF(D23="marché libre",(C23/(A23*24))/G23,"spécifier histo"))</f>
        <v>0.87000462000462</v>
      </c>
      <c r="F23" s="59" t="n">
        <v>962</v>
      </c>
      <c r="G23" s="59" t="n">
        <f aca="false">F23-H23</f>
        <v>962</v>
      </c>
      <c r="H23" s="59" t="n">
        <v>0</v>
      </c>
      <c r="I23" s="9"/>
      <c r="J23" s="30"/>
      <c r="K23" s="30"/>
    </row>
    <row r="24" customFormat="false" ht="23.4" hidden="false" customHeight="true" outlineLevel="0" collapsed="false">
      <c r="A24" s="1" t="n">
        <v>31</v>
      </c>
      <c r="B24" s="31" t="n">
        <v>32203</v>
      </c>
      <c r="C24" s="207" t="n">
        <v>507000</v>
      </c>
      <c r="D24" s="29" t="s">
        <v>42</v>
      </c>
      <c r="E24" s="33" t="n">
        <f aca="false">IF(D24="totale",(C24/(A24*24))/F24,IF(D24="marché libre",(C24/(A24*24))/G24,"spécifier histo"))</f>
        <v>0.708369659982563</v>
      </c>
      <c r="F24" s="59" t="n">
        <v>962</v>
      </c>
      <c r="G24" s="59" t="n">
        <f aca="false">F24-H24</f>
        <v>962</v>
      </c>
      <c r="H24" s="59" t="n">
        <v>0</v>
      </c>
      <c r="I24" s="9"/>
      <c r="J24" s="30"/>
      <c r="K24" s="30"/>
    </row>
    <row r="25" customFormat="false" ht="23.4" hidden="false" customHeight="true" outlineLevel="0" collapsed="false">
      <c r="A25" s="1" t="n">
        <v>31</v>
      </c>
      <c r="B25" s="34" t="n">
        <v>32234</v>
      </c>
      <c r="C25" s="207" t="n">
        <v>587600</v>
      </c>
      <c r="D25" s="29" t="s">
        <v>42</v>
      </c>
      <c r="E25" s="33" t="n">
        <f aca="false">IF(D25="totale",(C25/(A25*24))/F25,IF(D25="marché libre",(C25/(A25*24))/G25,"spécifier histo"))</f>
        <v>0.820982272595176</v>
      </c>
      <c r="F25" s="59" t="n">
        <v>962</v>
      </c>
      <c r="G25" s="59" t="n">
        <f aca="false">F25-H25</f>
        <v>962</v>
      </c>
      <c r="H25" s="59" t="n">
        <v>0</v>
      </c>
      <c r="I25" s="9"/>
      <c r="J25" s="30"/>
      <c r="K25" s="30"/>
    </row>
    <row r="26" customFormat="false" ht="23.4" hidden="false" customHeight="true" outlineLevel="0" collapsed="false">
      <c r="A26" s="1" t="n">
        <v>28</v>
      </c>
      <c r="B26" s="31" t="n">
        <v>32264</v>
      </c>
      <c r="C26" s="207" t="n">
        <v>387600</v>
      </c>
      <c r="D26" s="29" t="s">
        <v>42</v>
      </c>
      <c r="E26" s="33" t="n">
        <f aca="false">IF(D26="totale",(C26/(A26*24))/F26,IF(D26="marché libre",(C26/(A26*24))/G26,"spécifier histo"))</f>
        <v>0.59956934956935</v>
      </c>
      <c r="F26" s="59" t="n">
        <v>962</v>
      </c>
      <c r="G26" s="59" t="n">
        <f aca="false">F26-H26</f>
        <v>962</v>
      </c>
      <c r="H26" s="59" t="n">
        <v>0</v>
      </c>
      <c r="I26" s="9"/>
      <c r="J26" s="30"/>
      <c r="K26" s="30"/>
    </row>
    <row r="27" customFormat="false" ht="23.4" hidden="false" customHeight="true" outlineLevel="0" collapsed="false">
      <c r="A27" s="1" t="n">
        <v>31</v>
      </c>
      <c r="B27" s="34" t="n">
        <v>32295</v>
      </c>
      <c r="C27" s="207" t="n">
        <v>94200</v>
      </c>
      <c r="D27" s="29" t="s">
        <v>42</v>
      </c>
      <c r="E27" s="33" t="n">
        <f aca="false">IF(D27="totale",(C27/(A27*24))/F27,IF(D27="marché libre",(C27/(A27*24))/G27,"spécifier histo"))</f>
        <v>0.13161424451747</v>
      </c>
      <c r="F27" s="59" t="n">
        <v>962</v>
      </c>
      <c r="G27" s="59" t="n">
        <f aca="false">F27-H27</f>
        <v>962</v>
      </c>
      <c r="H27" s="59" t="n">
        <v>0</v>
      </c>
      <c r="I27" s="9"/>
      <c r="J27" s="30"/>
      <c r="K27" s="30"/>
    </row>
    <row r="28" customFormat="false" ht="23.4" hidden="false" customHeight="true" outlineLevel="0" collapsed="false">
      <c r="A28" s="1" t="n">
        <v>30</v>
      </c>
      <c r="B28" s="31" t="n">
        <v>32325</v>
      </c>
      <c r="C28" s="207" t="n">
        <v>0</v>
      </c>
      <c r="D28" s="29" t="s">
        <v>42</v>
      </c>
      <c r="E28" s="33" t="n">
        <f aca="false">IF(D28="totale",(C28/(A28*24))/F28,IF(D28="marché libre",(C28/(A28*24))/G28,"spécifier histo"))</f>
        <v>0</v>
      </c>
      <c r="F28" s="59" t="n">
        <v>962</v>
      </c>
      <c r="G28" s="59" t="n">
        <f aca="false">F28-H28</f>
        <v>962</v>
      </c>
      <c r="H28" s="59" t="n">
        <v>0</v>
      </c>
      <c r="I28" s="9"/>
      <c r="J28" s="30"/>
      <c r="K28" s="30"/>
    </row>
    <row r="29" customFormat="false" ht="23.4" hidden="false" customHeight="true" outlineLevel="0" collapsed="false">
      <c r="A29" s="1" t="n">
        <v>31</v>
      </c>
      <c r="B29" s="34" t="n">
        <v>32356</v>
      </c>
      <c r="C29" s="207" t="n">
        <v>0</v>
      </c>
      <c r="D29" s="29" t="s">
        <v>42</v>
      </c>
      <c r="E29" s="33" t="n">
        <f aca="false">IF(D29="totale",(C29/(A29*24))/F29,IF(D29="marché libre",(C29/(A29*24))/G29,"spécifier histo"))</f>
        <v>0</v>
      </c>
      <c r="F29" s="59" t="n">
        <v>962</v>
      </c>
      <c r="G29" s="59" t="n">
        <f aca="false">F29-H29</f>
        <v>962</v>
      </c>
      <c r="H29" s="59" t="n">
        <v>0</v>
      </c>
      <c r="I29" s="9"/>
      <c r="J29" s="30"/>
      <c r="K29" s="30"/>
    </row>
    <row r="30" customFormat="false" ht="23.4" hidden="false" customHeight="true" outlineLevel="0" collapsed="false">
      <c r="A30" s="1" t="n">
        <v>30</v>
      </c>
      <c r="B30" s="31" t="n">
        <v>32387</v>
      </c>
      <c r="C30" s="207" t="n">
        <v>0</v>
      </c>
      <c r="D30" s="29" t="s">
        <v>42</v>
      </c>
      <c r="E30" s="33" t="n">
        <f aca="false">IF(D30="totale",(C30/(A30*24))/F30,IF(D30="marché libre",(C30/(A30*24))/G30,"spécifier histo"))</f>
        <v>0</v>
      </c>
      <c r="F30" s="59" t="n">
        <v>962</v>
      </c>
      <c r="G30" s="59" t="n">
        <f aca="false">F30-H30</f>
        <v>962</v>
      </c>
      <c r="H30" s="59" t="n">
        <v>0</v>
      </c>
      <c r="I30" s="9"/>
      <c r="J30" s="30"/>
      <c r="K30" s="30"/>
    </row>
    <row r="31" customFormat="false" ht="23.4" hidden="false" customHeight="true" outlineLevel="0" collapsed="false">
      <c r="A31" s="1" t="n">
        <v>31</v>
      </c>
      <c r="B31" s="34" t="n">
        <v>32417</v>
      </c>
      <c r="C31" s="207" t="n">
        <v>64200</v>
      </c>
      <c r="D31" s="29" t="s">
        <v>42</v>
      </c>
      <c r="E31" s="33" t="n">
        <f aca="false">IF(D31="totale",(C31/(A31*24))/F31,IF(D31="marché libre",(C31/(A31*24))/G31,"spécifier histo"))</f>
        <v>0.0896988800214607</v>
      </c>
      <c r="F31" s="59" t="n">
        <v>962</v>
      </c>
      <c r="G31" s="59" t="n">
        <f aca="false">F31-H31</f>
        <v>962</v>
      </c>
      <c r="H31" s="59" t="n">
        <v>0</v>
      </c>
      <c r="I31" s="9"/>
      <c r="J31" s="30"/>
      <c r="K31" s="30"/>
    </row>
    <row r="32" customFormat="false" ht="23.4" hidden="false" customHeight="true" outlineLevel="0" collapsed="false">
      <c r="A32" s="1" t="n">
        <v>31</v>
      </c>
      <c r="B32" s="31" t="n">
        <v>32448</v>
      </c>
      <c r="C32" s="207" t="n">
        <v>16200</v>
      </c>
      <c r="D32" s="29" t="s">
        <v>42</v>
      </c>
      <c r="E32" s="33" t="n">
        <f aca="false">IF(D32="totale",(C32/(A32*24))/F32,IF(D32="marché libre",(C32/(A32*24))/G32,"spécifier histo"))</f>
        <v>0.0226342968278452</v>
      </c>
      <c r="F32" s="59" t="n">
        <v>962</v>
      </c>
      <c r="G32" s="59" t="n">
        <f aca="false">F32-H32</f>
        <v>962</v>
      </c>
      <c r="H32" s="59" t="n">
        <v>0</v>
      </c>
      <c r="I32" s="9"/>
      <c r="J32" s="30"/>
      <c r="K32" s="30"/>
    </row>
    <row r="33" customFormat="false" ht="23.4" hidden="false" customHeight="true" outlineLevel="0" collapsed="false">
      <c r="A33" s="1" t="n">
        <v>30</v>
      </c>
      <c r="B33" s="34" t="n">
        <v>32478</v>
      </c>
      <c r="C33" s="207" t="n">
        <v>174000</v>
      </c>
      <c r="D33" s="29" t="s">
        <v>42</v>
      </c>
      <c r="E33" s="33" t="n">
        <f aca="false">IF(D33="totale",(C33/(A33*24))/F33,IF(D33="marché libre",(C33/(A33*24))/G33,"spécifier histo"))</f>
        <v>0.251212751212751</v>
      </c>
      <c r="F33" s="59" t="n">
        <v>962</v>
      </c>
      <c r="G33" s="59" t="n">
        <f aca="false">F33-H33</f>
        <v>962</v>
      </c>
      <c r="H33" s="59" t="n">
        <v>0</v>
      </c>
      <c r="I33" s="9"/>
      <c r="J33" s="30"/>
      <c r="K33" s="30"/>
    </row>
    <row r="34" customFormat="false" ht="23.4" hidden="false" customHeight="true" outlineLevel="0" collapsed="false">
      <c r="A34" s="1" t="n">
        <v>31</v>
      </c>
      <c r="B34" s="31" t="n">
        <v>32509</v>
      </c>
      <c r="C34" s="207" t="n">
        <v>2000</v>
      </c>
      <c r="D34" s="29" t="s">
        <v>42</v>
      </c>
      <c r="E34" s="33" t="n">
        <f aca="false">IF(D34="totale",(C34/(A34*24))/F34,IF(D34="marché libre",(C34/(A34*24))/G34,"spécifier histo"))</f>
        <v>0.00279435763306731</v>
      </c>
      <c r="F34" s="59" t="n">
        <v>962</v>
      </c>
      <c r="G34" s="59" t="n">
        <f aca="false">F34-H34</f>
        <v>962</v>
      </c>
      <c r="H34" s="59" t="n">
        <v>0</v>
      </c>
      <c r="I34" s="9"/>
      <c r="J34" s="30"/>
      <c r="K34" s="30"/>
    </row>
    <row r="35" customFormat="false" ht="23.4" hidden="false" customHeight="true" outlineLevel="0" collapsed="false">
      <c r="A35" s="1" t="n">
        <v>30</v>
      </c>
      <c r="B35" s="34" t="n">
        <v>32540</v>
      </c>
      <c r="C35" s="207" t="n">
        <v>59200</v>
      </c>
      <c r="D35" s="29" t="s">
        <v>42</v>
      </c>
      <c r="E35" s="33" t="n">
        <f aca="false">IF(D35="totale",(C35/(A35*24))/F35,IF(D35="marché libre",(C35/(A35*24))/G35,"spécifier histo"))</f>
        <v>0.0854700854700855</v>
      </c>
      <c r="F35" s="59" t="n">
        <v>962</v>
      </c>
      <c r="G35" s="59" t="n">
        <f aca="false">F35-H35</f>
        <v>962</v>
      </c>
      <c r="H35" s="59" t="n">
        <v>0</v>
      </c>
      <c r="I35" s="9"/>
      <c r="J35" s="30"/>
      <c r="K35" s="30"/>
    </row>
    <row r="36" customFormat="false" ht="23.4" hidden="false" customHeight="true" outlineLevel="0" collapsed="false">
      <c r="A36" s="1" t="n">
        <v>31</v>
      </c>
      <c r="B36" s="31" t="n">
        <v>32568</v>
      </c>
      <c r="C36" s="207" t="n">
        <v>373200</v>
      </c>
      <c r="D36" s="29" t="s">
        <v>42</v>
      </c>
      <c r="E36" s="33" t="n">
        <f aca="false">IF(D36="totale",(C36/(A36*24))/F36,IF(D36="marché libre",(C36/(A36*24))/G36,"spécifier histo"))</f>
        <v>0.52142713433036</v>
      </c>
      <c r="F36" s="59" t="n">
        <v>962</v>
      </c>
      <c r="G36" s="59" t="n">
        <f aca="false">F36-H36</f>
        <v>962</v>
      </c>
      <c r="H36" s="59" t="n">
        <v>0</v>
      </c>
      <c r="I36" s="9"/>
      <c r="J36" s="30"/>
      <c r="K36" s="30"/>
    </row>
    <row r="37" customFormat="false" ht="23.4" hidden="false" customHeight="true" outlineLevel="0" collapsed="false">
      <c r="A37" s="1" t="n">
        <v>31</v>
      </c>
      <c r="B37" s="34" t="n">
        <v>32599</v>
      </c>
      <c r="C37" s="207" t="n">
        <v>363800</v>
      </c>
      <c r="D37" s="29" t="s">
        <v>42</v>
      </c>
      <c r="E37" s="33" t="n">
        <f aca="false">IF(D37="totale",(C37/(A37*24))/F37,IF(D37="marché libre",(C37/(A37*24))/G37,"spécifier histo"))</f>
        <v>0.508293653454944</v>
      </c>
      <c r="F37" s="59" t="n">
        <v>962</v>
      </c>
      <c r="G37" s="59" t="n">
        <f aca="false">F37-H37</f>
        <v>962</v>
      </c>
      <c r="H37" s="59" t="n">
        <v>0</v>
      </c>
      <c r="I37" s="9"/>
      <c r="J37" s="30"/>
      <c r="K37" s="30"/>
    </row>
    <row r="38" customFormat="false" ht="23.4" hidden="false" customHeight="true" outlineLevel="0" collapsed="false">
      <c r="A38" s="1" t="n">
        <v>28</v>
      </c>
      <c r="B38" s="31" t="n">
        <v>32629</v>
      </c>
      <c r="C38" s="207" t="n">
        <v>193000</v>
      </c>
      <c r="D38" s="29" t="s">
        <v>42</v>
      </c>
      <c r="E38" s="33" t="n">
        <f aca="false">IF(D38="totale",(C38/(A38*24))/F38,IF(D38="marché libre",(C38/(A38*24))/G38,"spécifier histo"))</f>
        <v>0.298547173547174</v>
      </c>
      <c r="F38" s="59" t="n">
        <v>962</v>
      </c>
      <c r="G38" s="59" t="n">
        <f aca="false">F38-H38</f>
        <v>962</v>
      </c>
      <c r="H38" s="59" t="n">
        <v>0</v>
      </c>
      <c r="I38" s="9"/>
      <c r="J38" s="30"/>
      <c r="K38" s="30"/>
    </row>
    <row r="39" customFormat="false" ht="23.4" hidden="false" customHeight="true" outlineLevel="0" collapsed="false">
      <c r="A39" s="1" t="n">
        <v>31</v>
      </c>
      <c r="B39" s="34" t="n">
        <v>32660</v>
      </c>
      <c r="C39" s="207" t="n">
        <v>28400</v>
      </c>
      <c r="D39" s="29" t="s">
        <v>42</v>
      </c>
      <c r="E39" s="33" t="n">
        <f aca="false">IF(D39="totale",(C39/(A39*24))/F39,IF(D39="marché libre",(C39/(A39*24))/G39,"spécifier histo"))</f>
        <v>0.0396798783895558</v>
      </c>
      <c r="F39" s="59" t="n">
        <v>962</v>
      </c>
      <c r="G39" s="59" t="n">
        <f aca="false">F39-H39</f>
        <v>962</v>
      </c>
      <c r="H39" s="59" t="n">
        <v>0</v>
      </c>
      <c r="I39" s="9"/>
      <c r="J39" s="30"/>
      <c r="K39" s="30"/>
    </row>
    <row r="40" customFormat="false" ht="23.4" hidden="false" customHeight="true" outlineLevel="0" collapsed="false">
      <c r="A40" s="1" t="n">
        <v>30</v>
      </c>
      <c r="B40" s="31" t="n">
        <v>32690</v>
      </c>
      <c r="C40" s="207" t="n">
        <v>0</v>
      </c>
      <c r="D40" s="29" t="s">
        <v>42</v>
      </c>
      <c r="E40" s="33" t="n">
        <f aca="false">IF(D40="totale",(C40/(A40*24))/F40,IF(D40="marché libre",(C40/(A40*24))/G40,"spécifier histo"))</f>
        <v>0</v>
      </c>
      <c r="F40" s="59" t="n">
        <v>962</v>
      </c>
      <c r="G40" s="59" t="n">
        <f aca="false">F40-H40</f>
        <v>962</v>
      </c>
      <c r="H40" s="59" t="n">
        <v>0</v>
      </c>
      <c r="I40" s="9"/>
      <c r="J40" s="30"/>
      <c r="K40" s="30"/>
    </row>
    <row r="41" customFormat="false" ht="23.4" hidden="false" customHeight="true" outlineLevel="0" collapsed="false">
      <c r="A41" s="1" t="n">
        <v>31</v>
      </c>
      <c r="B41" s="34" t="n">
        <v>32721</v>
      </c>
      <c r="C41" s="207" t="n">
        <v>0</v>
      </c>
      <c r="D41" s="29" t="s">
        <v>42</v>
      </c>
      <c r="E41" s="33" t="n">
        <f aca="false">IF(D41="totale",(C41/(A41*24))/F41,IF(D41="marché libre",(C41/(A41*24))/G41,"spécifier histo"))</f>
        <v>0</v>
      </c>
      <c r="F41" s="59" t="n">
        <v>962</v>
      </c>
      <c r="G41" s="59" t="n">
        <f aca="false">F41-H41</f>
        <v>962</v>
      </c>
      <c r="H41" s="59" t="n">
        <v>0</v>
      </c>
      <c r="I41" s="9"/>
      <c r="J41" s="30"/>
      <c r="K41" s="30"/>
    </row>
    <row r="42" customFormat="false" ht="23.4" hidden="false" customHeight="true" outlineLevel="0" collapsed="false">
      <c r="A42" s="1" t="n">
        <v>30</v>
      </c>
      <c r="B42" s="31" t="n">
        <v>32752</v>
      </c>
      <c r="C42" s="207" t="n">
        <v>0</v>
      </c>
      <c r="D42" s="29" t="s">
        <v>42</v>
      </c>
      <c r="E42" s="33" t="n">
        <f aca="false">IF(D42="totale",(C42/(A42*24))/F42,IF(D42="marché libre",(C42/(A42*24))/G42,"spécifier histo"))</f>
        <v>0</v>
      </c>
      <c r="F42" s="59" t="n">
        <v>962</v>
      </c>
      <c r="G42" s="59" t="n">
        <f aca="false">F42-H42</f>
        <v>962</v>
      </c>
      <c r="H42" s="59" t="n">
        <v>0</v>
      </c>
      <c r="I42" s="9"/>
      <c r="J42" s="30"/>
      <c r="K42" s="30"/>
    </row>
    <row r="43" customFormat="false" ht="23.4" hidden="false" customHeight="true" outlineLevel="0" collapsed="false">
      <c r="A43" s="1" t="n">
        <v>31</v>
      </c>
      <c r="B43" s="34" t="n">
        <v>32782</v>
      </c>
      <c r="C43" s="207" t="n">
        <v>0</v>
      </c>
      <c r="D43" s="29" t="s">
        <v>42</v>
      </c>
      <c r="E43" s="33" t="n">
        <f aca="false">IF(D43="totale",(C43/(A43*24))/F43,IF(D43="marché libre",(C43/(A43*24))/G43,"spécifier histo"))</f>
        <v>0</v>
      </c>
      <c r="F43" s="59" t="n">
        <v>962</v>
      </c>
      <c r="G43" s="59" t="n">
        <f aca="false">F43-H43</f>
        <v>962</v>
      </c>
      <c r="H43" s="59" t="n">
        <v>0</v>
      </c>
      <c r="I43" s="9"/>
      <c r="J43" s="30"/>
      <c r="K43" s="30"/>
    </row>
    <row r="44" customFormat="false" ht="23.4" hidden="false" customHeight="true" outlineLevel="0" collapsed="false">
      <c r="A44" s="1" t="n">
        <v>31</v>
      </c>
      <c r="B44" s="31" t="n">
        <v>32813</v>
      </c>
      <c r="C44" s="207" t="n">
        <v>0</v>
      </c>
      <c r="D44" s="29" t="s">
        <v>42</v>
      </c>
      <c r="E44" s="33" t="n">
        <f aca="false">IF(D44="totale",(C44/(A44*24))/F44,IF(D44="marché libre",(C44/(A44*24))/G44,"spécifier histo"))</f>
        <v>0</v>
      </c>
      <c r="F44" s="59" t="n">
        <v>962</v>
      </c>
      <c r="G44" s="59" t="n">
        <f aca="false">F44-H44</f>
        <v>962</v>
      </c>
      <c r="H44" s="59" t="n">
        <v>0</v>
      </c>
      <c r="I44" s="9"/>
      <c r="J44" s="30"/>
      <c r="K44" s="30"/>
    </row>
    <row r="45" customFormat="false" ht="23.4" hidden="false" customHeight="true" outlineLevel="0" collapsed="false">
      <c r="A45" s="1" t="n">
        <v>30</v>
      </c>
      <c r="B45" s="34" t="n">
        <v>32843</v>
      </c>
      <c r="C45" s="207" t="n">
        <v>5200</v>
      </c>
      <c r="D45" s="29" t="s">
        <v>42</v>
      </c>
      <c r="E45" s="33" t="n">
        <f aca="false">IF(D45="totale",(C45/(A45*24))/F45,IF(D45="marché libre",(C45/(A45*24))/G45,"spécifier histo"))</f>
        <v>0.00750750750750751</v>
      </c>
      <c r="F45" s="59" t="n">
        <v>962</v>
      </c>
      <c r="G45" s="59" t="n">
        <f aca="false">F45-H45</f>
        <v>962</v>
      </c>
      <c r="H45" s="59" t="n">
        <v>0</v>
      </c>
      <c r="I45" s="9"/>
      <c r="J45" s="30"/>
      <c r="K45" s="30"/>
    </row>
    <row r="46" customFormat="false" ht="23.4" hidden="false" customHeight="true" outlineLevel="0" collapsed="false">
      <c r="A46" s="1" t="n">
        <v>31</v>
      </c>
      <c r="B46" s="31" t="n">
        <v>32874</v>
      </c>
      <c r="C46" s="207" t="n">
        <v>0</v>
      </c>
      <c r="D46" s="29" t="s">
        <v>42</v>
      </c>
      <c r="E46" s="33" t="n">
        <f aca="false">IF(D46="totale",(C46/(A46*24))/F46,IF(D46="marché libre",(C46/(A46*24))/G46,"spécifier histo"))</f>
        <v>0</v>
      </c>
      <c r="F46" s="59" t="n">
        <v>962</v>
      </c>
      <c r="G46" s="59" t="n">
        <f aca="false">F46-H46</f>
        <v>962</v>
      </c>
      <c r="H46" s="59" t="n">
        <v>0</v>
      </c>
      <c r="I46" s="9"/>
      <c r="J46" s="30"/>
      <c r="K46" s="30"/>
    </row>
    <row r="47" customFormat="false" ht="23.4" hidden="false" customHeight="true" outlineLevel="0" collapsed="false">
      <c r="A47" s="1" t="n">
        <v>30</v>
      </c>
      <c r="B47" s="34" t="n">
        <v>32905</v>
      </c>
      <c r="C47" s="207" t="n">
        <v>185000</v>
      </c>
      <c r="D47" s="29" t="s">
        <v>42</v>
      </c>
      <c r="E47" s="33" t="n">
        <f aca="false">IF(D47="totale",(C47/(A47*24))/F47,IF(D47="marché libre",(C47/(A47*24))/G47,"spécifier histo"))</f>
        <v>0.267094017094017</v>
      </c>
      <c r="F47" s="59" t="n">
        <v>962</v>
      </c>
      <c r="G47" s="59" t="n">
        <f aca="false">F47-H47</f>
        <v>962</v>
      </c>
      <c r="H47" s="59" t="n">
        <v>0</v>
      </c>
      <c r="I47" s="9"/>
      <c r="J47" s="30"/>
      <c r="K47" s="30"/>
    </row>
    <row r="48" customFormat="false" ht="23.4" hidden="false" customHeight="true" outlineLevel="0" collapsed="false">
      <c r="A48" s="1" t="n">
        <v>31</v>
      </c>
      <c r="B48" s="31" t="n">
        <v>32933</v>
      </c>
      <c r="C48" s="207" t="n">
        <v>88800</v>
      </c>
      <c r="D48" s="29" t="s">
        <v>42</v>
      </c>
      <c r="E48" s="33" t="n">
        <f aca="false">IF(D48="totale",(C48/(A48*24))/F48,IF(D48="marché libre",(C48/(A48*24))/G48,"spécifier histo"))</f>
        <v>0.124069478908189</v>
      </c>
      <c r="F48" s="59" t="n">
        <v>962</v>
      </c>
      <c r="G48" s="59" t="n">
        <f aca="false">F48-H48</f>
        <v>962</v>
      </c>
      <c r="H48" s="59" t="n">
        <v>0</v>
      </c>
      <c r="I48" s="9"/>
      <c r="J48" s="30"/>
      <c r="K48" s="30"/>
    </row>
    <row r="49" customFormat="false" ht="23.4" hidden="false" customHeight="true" outlineLevel="0" collapsed="false">
      <c r="A49" s="1" t="n">
        <v>31</v>
      </c>
      <c r="B49" s="34" t="n">
        <v>32964</v>
      </c>
      <c r="C49" s="207" t="n">
        <v>155000</v>
      </c>
      <c r="D49" s="29" t="s">
        <v>42</v>
      </c>
      <c r="E49" s="33" t="n">
        <f aca="false">IF(D49="totale",(C49/(A49*24))/F49,IF(D49="marché libre",(C49/(A49*24))/G49,"spécifier histo"))</f>
        <v>0.216562716562717</v>
      </c>
      <c r="F49" s="59" t="n">
        <v>962</v>
      </c>
      <c r="G49" s="59" t="n">
        <f aca="false">F49-H49</f>
        <v>962</v>
      </c>
      <c r="H49" s="59" t="n">
        <v>0</v>
      </c>
      <c r="I49" s="9"/>
      <c r="J49" s="30"/>
      <c r="K49" s="30"/>
    </row>
    <row r="50" customFormat="false" ht="23.4" hidden="false" customHeight="true" outlineLevel="0" collapsed="false">
      <c r="A50" s="0" t="n">
        <v>28</v>
      </c>
      <c r="B50" s="31" t="n">
        <v>32994</v>
      </c>
      <c r="C50" s="207" t="n">
        <v>130600</v>
      </c>
      <c r="D50" s="29" t="s">
        <v>42</v>
      </c>
      <c r="E50" s="33" t="n">
        <f aca="false">IF(D50="totale",(C50/(A50*24))/F50,IF(D50="marché libre",(C50/(A50*24))/G50,"spécifier histo"))</f>
        <v>0.202022077022077</v>
      </c>
      <c r="F50" s="59" t="n">
        <v>962</v>
      </c>
      <c r="G50" s="59" t="n">
        <f aca="false">F50-H50</f>
        <v>962</v>
      </c>
      <c r="H50" s="59" t="n">
        <v>0</v>
      </c>
      <c r="I50" s="9"/>
      <c r="J50" s="30"/>
      <c r="K50" s="30"/>
    </row>
    <row r="51" customFormat="false" ht="23.4" hidden="false" customHeight="true" outlineLevel="0" collapsed="false">
      <c r="A51" s="0" t="n">
        <v>31</v>
      </c>
      <c r="B51" s="34" t="n">
        <v>33025</v>
      </c>
      <c r="C51" s="207" t="n">
        <v>58000</v>
      </c>
      <c r="D51" s="29" t="s">
        <v>42</v>
      </c>
      <c r="E51" s="33" t="n">
        <f aca="false">IF(D51="totale",(C51/(A51*24))/F51,IF(D51="marché libre",(C51/(A51*24))/G51,"spécifier histo"))</f>
        <v>0.081036371358952</v>
      </c>
      <c r="F51" s="59" t="n">
        <v>962</v>
      </c>
      <c r="G51" s="59" t="n">
        <f aca="false">F51-H51</f>
        <v>962</v>
      </c>
      <c r="H51" s="59" t="n">
        <v>0</v>
      </c>
      <c r="I51" s="9"/>
      <c r="J51" s="30"/>
      <c r="K51" s="30"/>
    </row>
    <row r="52" customFormat="false" ht="23.4" hidden="false" customHeight="true" outlineLevel="0" collapsed="false">
      <c r="A52" s="0" t="n">
        <v>30</v>
      </c>
      <c r="B52" s="31" t="n">
        <v>33055</v>
      </c>
      <c r="C52" s="207" t="n">
        <v>0</v>
      </c>
      <c r="D52" s="29" t="s">
        <v>42</v>
      </c>
      <c r="E52" s="33" t="n">
        <f aca="false">IF(D52="totale",(C52/(A52*24))/F52,IF(D52="marché libre",(C52/(A52*24))/G52,"spécifier histo"))</f>
        <v>0</v>
      </c>
      <c r="F52" s="59" t="n">
        <v>962</v>
      </c>
      <c r="G52" s="59" t="n">
        <f aca="false">F52-H52</f>
        <v>962</v>
      </c>
      <c r="H52" s="59" t="n">
        <v>0</v>
      </c>
      <c r="I52" s="9"/>
      <c r="J52" s="30"/>
      <c r="K52" s="30"/>
    </row>
    <row r="53" customFormat="false" ht="23.4" hidden="false" customHeight="true" outlineLevel="0" collapsed="false">
      <c r="A53" s="0" t="n">
        <v>31</v>
      </c>
      <c r="B53" s="34" t="n">
        <v>33086</v>
      </c>
      <c r="C53" s="207" t="n">
        <v>0</v>
      </c>
      <c r="D53" s="29" t="s">
        <v>42</v>
      </c>
      <c r="E53" s="33" t="n">
        <f aca="false">IF(D53="totale",(C53/(A53*24))/F53,IF(D53="marché libre",(C53/(A53*24))/G53,"spécifier histo"))</f>
        <v>0</v>
      </c>
      <c r="F53" s="59" t="n">
        <v>962</v>
      </c>
      <c r="G53" s="59" t="n">
        <f aca="false">F53-H53</f>
        <v>962</v>
      </c>
      <c r="H53" s="59" t="n">
        <v>0</v>
      </c>
      <c r="I53" s="9"/>
      <c r="J53" s="30"/>
      <c r="K53" s="30"/>
    </row>
    <row r="54" customFormat="false" ht="23.4" hidden="false" customHeight="true" outlineLevel="0" collapsed="false">
      <c r="A54" s="0" t="n">
        <v>30</v>
      </c>
      <c r="B54" s="31" t="n">
        <v>33117</v>
      </c>
      <c r="C54" s="207" t="n">
        <v>0</v>
      </c>
      <c r="D54" s="29" t="s">
        <v>42</v>
      </c>
      <c r="E54" s="33" t="n">
        <f aca="false">IF(D54="totale",(C54/(A54*24))/F54,IF(D54="marché libre",(C54/(A54*24))/G54,"spécifier histo"))</f>
        <v>0</v>
      </c>
      <c r="F54" s="59" t="n">
        <v>962</v>
      </c>
      <c r="G54" s="59" t="n">
        <f aca="false">F54-H54</f>
        <v>962</v>
      </c>
      <c r="H54" s="59" t="n">
        <v>0</v>
      </c>
      <c r="I54" s="9"/>
      <c r="J54" s="30"/>
      <c r="K54" s="30"/>
    </row>
    <row r="55" customFormat="false" ht="23.4" hidden="false" customHeight="true" outlineLevel="0" collapsed="false">
      <c r="A55" s="0" t="n">
        <v>31</v>
      </c>
      <c r="B55" s="34" t="n">
        <v>33147</v>
      </c>
      <c r="C55" s="207" t="n">
        <v>93600</v>
      </c>
      <c r="D55" s="29" t="s">
        <v>42</v>
      </c>
      <c r="E55" s="33" t="n">
        <f aca="false">IF(D55="totale",(C55/(A55*24))/F55,IF(D55="marché libre",(C55/(A55*24))/G55,"spécifier histo"))</f>
        <v>0.13077593722755</v>
      </c>
      <c r="F55" s="59" t="n">
        <v>962</v>
      </c>
      <c r="G55" s="59" t="n">
        <f aca="false">F55-H55</f>
        <v>962</v>
      </c>
      <c r="H55" s="59" t="n">
        <v>0</v>
      </c>
      <c r="I55" s="9"/>
      <c r="J55" s="30"/>
      <c r="K55" s="30"/>
    </row>
    <row r="56" customFormat="false" ht="23.4" hidden="false" customHeight="true" outlineLevel="0" collapsed="false">
      <c r="A56" s="0" t="n">
        <v>31</v>
      </c>
      <c r="B56" s="31" t="n">
        <v>33178</v>
      </c>
      <c r="C56" s="207" t="n">
        <v>314000</v>
      </c>
      <c r="D56" s="29" t="s">
        <v>42</v>
      </c>
      <c r="E56" s="33" t="n">
        <f aca="false">IF(D56="totale",(C56/(A56*24))/F56,IF(D56="marché libre",(C56/(A56*24))/G56,"spécifier histo"))</f>
        <v>0.438714148391568</v>
      </c>
      <c r="F56" s="59" t="n">
        <v>962</v>
      </c>
      <c r="G56" s="59" t="n">
        <f aca="false">F56-H56</f>
        <v>962</v>
      </c>
      <c r="H56" s="59" t="n">
        <v>0</v>
      </c>
      <c r="I56" s="9"/>
      <c r="J56" s="30"/>
      <c r="K56" s="30"/>
    </row>
    <row r="57" customFormat="false" ht="23.4" hidden="false" customHeight="true" outlineLevel="0" collapsed="false">
      <c r="A57" s="0" t="n">
        <v>30</v>
      </c>
      <c r="B57" s="34" t="n">
        <v>33208</v>
      </c>
      <c r="C57" s="207" t="n">
        <v>346400</v>
      </c>
      <c r="D57" s="29" t="s">
        <v>42</v>
      </c>
      <c r="E57" s="33" t="n">
        <f aca="false">IF(D57="totale",(C57/(A57*24))/F57,IF(D57="marché libre",(C57/(A57*24))/G57,"spécifier histo"))</f>
        <v>0.5001155001155</v>
      </c>
      <c r="F57" s="59" t="n">
        <v>962</v>
      </c>
      <c r="G57" s="59" t="n">
        <f aca="false">F57-H57</f>
        <v>962</v>
      </c>
      <c r="H57" s="59" t="n">
        <v>0</v>
      </c>
      <c r="I57" s="9"/>
      <c r="J57" s="30"/>
      <c r="K57" s="30"/>
    </row>
    <row r="58" customFormat="false" ht="23.4" hidden="false" customHeight="true" outlineLevel="0" collapsed="false">
      <c r="A58" s="0" t="n">
        <v>31</v>
      </c>
      <c r="B58" s="31" t="n">
        <v>33239</v>
      </c>
      <c r="C58" s="207" t="n">
        <v>485400</v>
      </c>
      <c r="D58" s="29" t="s">
        <v>42</v>
      </c>
      <c r="E58" s="33" t="n">
        <f aca="false">IF(D58="totale",(C58/(A58*24))/F58,IF(D58="marché libre",(C58/(A58*24))/G58,"spécifier histo"))</f>
        <v>0.678190597545436</v>
      </c>
      <c r="F58" s="59" t="n">
        <v>962</v>
      </c>
      <c r="G58" s="59" t="n">
        <f aca="false">F58-H58</f>
        <v>962</v>
      </c>
      <c r="H58" s="59" t="n">
        <v>0</v>
      </c>
      <c r="I58" s="9"/>
      <c r="J58" s="30"/>
      <c r="K58" s="30"/>
    </row>
    <row r="59" customFormat="false" ht="23.4" hidden="false" customHeight="true" outlineLevel="0" collapsed="false">
      <c r="A59" s="0" t="n">
        <v>30</v>
      </c>
      <c r="B59" s="34" t="n">
        <v>33270</v>
      </c>
      <c r="C59" s="207" t="n">
        <v>233400</v>
      </c>
      <c r="D59" s="29" t="s">
        <v>42</v>
      </c>
      <c r="E59" s="33" t="n">
        <f aca="false">IF(D59="totale",(C59/(A59*24))/F59,IF(D59="marché libre",(C59/(A59*24))/G59,"spécifier histo"))</f>
        <v>0.336971586971587</v>
      </c>
      <c r="F59" s="59" t="n">
        <v>962</v>
      </c>
      <c r="G59" s="59" t="n">
        <f aca="false">F59-H59</f>
        <v>962</v>
      </c>
      <c r="H59" s="59" t="n">
        <v>0</v>
      </c>
      <c r="I59" s="9"/>
      <c r="J59" s="30"/>
      <c r="K59" s="30"/>
    </row>
    <row r="60" customFormat="false" ht="23.4" hidden="false" customHeight="true" outlineLevel="0" collapsed="false">
      <c r="A60" s="0" t="n">
        <v>31</v>
      </c>
      <c r="B60" s="31" t="n">
        <v>33298</v>
      </c>
      <c r="C60" s="207" t="n">
        <v>511800</v>
      </c>
      <c r="D60" s="29" t="s">
        <v>42</v>
      </c>
      <c r="E60" s="33" t="n">
        <f aca="false">IF(D60="totale",(C60/(A60*24))/F60,IF(D60="marché libre",(C60/(A60*24))/G60,"spécifier histo"))</f>
        <v>0.715076118301925</v>
      </c>
      <c r="F60" s="59" t="n">
        <v>962</v>
      </c>
      <c r="G60" s="59" t="n">
        <f aca="false">F60-H60</f>
        <v>962</v>
      </c>
      <c r="H60" s="59" t="n">
        <v>0</v>
      </c>
      <c r="I60" s="9"/>
      <c r="J60" s="30"/>
      <c r="K60" s="30"/>
    </row>
    <row r="61" customFormat="false" ht="23.4" hidden="false" customHeight="true" outlineLevel="0" collapsed="false">
      <c r="A61" s="0" t="n">
        <v>31</v>
      </c>
      <c r="B61" s="34" t="n">
        <v>33329</v>
      </c>
      <c r="C61" s="207" t="n">
        <v>235000</v>
      </c>
      <c r="D61" s="29" t="s">
        <v>42</v>
      </c>
      <c r="E61" s="33" t="n">
        <f aca="false">IF(D61="totale",(C61/(A61*24))/F61,IF(D61="marché libre",(C61/(A61*24))/G61,"spécifier histo"))</f>
        <v>0.328337021885409</v>
      </c>
      <c r="F61" s="59" t="n">
        <v>962</v>
      </c>
      <c r="G61" s="59" t="n">
        <f aca="false">F61-H61</f>
        <v>962</v>
      </c>
      <c r="H61" s="59" t="n">
        <v>0</v>
      </c>
      <c r="I61" s="9"/>
      <c r="J61" s="30"/>
      <c r="K61" s="30"/>
    </row>
    <row r="62" customFormat="false" ht="23.4" hidden="false" customHeight="true" outlineLevel="0" collapsed="false">
      <c r="A62" s="0" t="n">
        <v>28</v>
      </c>
      <c r="B62" s="31" t="n">
        <v>33359</v>
      </c>
      <c r="C62" s="207" t="n">
        <v>49600</v>
      </c>
      <c r="D62" s="29" t="s">
        <v>42</v>
      </c>
      <c r="E62" s="33" t="n">
        <f aca="false">IF(D62="totale",(C62/(A62*24))/F62,IF(D62="marché libre",(C62/(A62*24))/G62,"spécifier histo"))</f>
        <v>0.0767250767250767</v>
      </c>
      <c r="F62" s="59" t="n">
        <v>962</v>
      </c>
      <c r="G62" s="59" t="n">
        <f aca="false">F62-H62</f>
        <v>962</v>
      </c>
      <c r="H62" s="59" t="n">
        <v>0</v>
      </c>
      <c r="I62" s="9"/>
      <c r="J62" s="30"/>
      <c r="K62" s="30"/>
    </row>
    <row r="63" customFormat="false" ht="23.4" hidden="false" customHeight="true" outlineLevel="0" collapsed="false">
      <c r="A63" s="0" t="n">
        <v>31</v>
      </c>
      <c r="B63" s="34" t="n">
        <v>33390</v>
      </c>
      <c r="C63" s="207" t="n">
        <v>17200</v>
      </c>
      <c r="D63" s="29" t="s">
        <v>42</v>
      </c>
      <c r="E63" s="33" t="n">
        <f aca="false">IF(D63="totale",(C63/(A63*24))/F63,IF(D63="marché libre",(C63/(A63*24))/G63,"spécifier histo"))</f>
        <v>0.0240314756443789</v>
      </c>
      <c r="F63" s="59" t="n">
        <v>962</v>
      </c>
      <c r="G63" s="59" t="n">
        <f aca="false">F63-H63</f>
        <v>962</v>
      </c>
      <c r="H63" s="59" t="n">
        <v>0</v>
      </c>
      <c r="I63" s="9"/>
      <c r="J63" s="30"/>
      <c r="K63" s="30"/>
    </row>
    <row r="64" customFormat="false" ht="23.4" hidden="false" customHeight="true" outlineLevel="0" collapsed="false">
      <c r="A64" s="0" t="n">
        <v>30</v>
      </c>
      <c r="B64" s="31" t="n">
        <v>33420</v>
      </c>
      <c r="C64" s="207" t="n">
        <v>0</v>
      </c>
      <c r="D64" s="29" t="s">
        <v>42</v>
      </c>
      <c r="E64" s="33" t="n">
        <f aca="false">IF(D64="totale",(C64/(A64*24))/F64,IF(D64="marché libre",(C64/(A64*24))/G64,"spécifier histo"))</f>
        <v>0</v>
      </c>
      <c r="F64" s="59" t="n">
        <v>962</v>
      </c>
      <c r="G64" s="59" t="n">
        <f aca="false">F64-H64</f>
        <v>962</v>
      </c>
      <c r="H64" s="59" t="n">
        <v>0</v>
      </c>
      <c r="I64" s="9"/>
      <c r="J64" s="30"/>
      <c r="K64" s="30"/>
    </row>
    <row r="65" customFormat="false" ht="23.4" hidden="false" customHeight="true" outlineLevel="0" collapsed="false">
      <c r="A65" s="0" t="n">
        <v>31</v>
      </c>
      <c r="B65" s="34" t="n">
        <v>33451</v>
      </c>
      <c r="C65" s="207" t="n">
        <v>0</v>
      </c>
      <c r="D65" s="29" t="s">
        <v>42</v>
      </c>
      <c r="E65" s="33" t="n">
        <f aca="false">IF(D65="totale",(C65/(A65*24))/F65,IF(D65="marché libre",(C65/(A65*24))/G65,"spécifier histo"))</f>
        <v>0</v>
      </c>
      <c r="F65" s="59" t="n">
        <v>962</v>
      </c>
      <c r="G65" s="59" t="n">
        <f aca="false">F65-H65</f>
        <v>962</v>
      </c>
      <c r="H65" s="59" t="n">
        <v>0</v>
      </c>
      <c r="I65" s="9"/>
      <c r="J65" s="30"/>
      <c r="K65" s="30"/>
    </row>
    <row r="66" customFormat="false" ht="23.4" hidden="false" customHeight="true" outlineLevel="0" collapsed="false">
      <c r="A66" s="0" t="n">
        <v>30</v>
      </c>
      <c r="B66" s="31" t="n">
        <v>33482</v>
      </c>
      <c r="C66" s="207" t="n">
        <v>0</v>
      </c>
      <c r="D66" s="29" t="s">
        <v>42</v>
      </c>
      <c r="E66" s="33" t="n">
        <f aca="false">IF(D66="totale",(C66/(A66*24))/F66,IF(D66="marché libre",(C66/(A66*24))/G66,"spécifier histo"))</f>
        <v>0</v>
      </c>
      <c r="F66" s="59" t="n">
        <v>962</v>
      </c>
      <c r="G66" s="59" t="n">
        <f aca="false">F66-H66</f>
        <v>962</v>
      </c>
      <c r="H66" s="59" t="n">
        <v>0</v>
      </c>
      <c r="I66" s="9"/>
      <c r="J66" s="30"/>
      <c r="K66" s="30"/>
    </row>
    <row r="67" customFormat="false" ht="23.4" hidden="false" customHeight="true" outlineLevel="0" collapsed="false">
      <c r="A67" s="0" t="n">
        <v>31</v>
      </c>
      <c r="B67" s="34" t="n">
        <v>33512</v>
      </c>
      <c r="C67" s="207" t="n">
        <v>339200</v>
      </c>
      <c r="D67" s="29" t="s">
        <v>42</v>
      </c>
      <c r="E67" s="33" t="n">
        <f aca="false">IF(D67="totale",(C67/(A67*24))/F67,IF(D67="marché libre",(C67/(A67*24))/G67,"spécifier histo"))</f>
        <v>0.473923054568216</v>
      </c>
      <c r="F67" s="59" t="n">
        <v>962</v>
      </c>
      <c r="G67" s="59" t="n">
        <f aca="false">F67-H67</f>
        <v>962</v>
      </c>
      <c r="H67" s="59" t="n">
        <v>0</v>
      </c>
      <c r="I67" s="9"/>
      <c r="J67" s="30"/>
      <c r="K67" s="30"/>
    </row>
    <row r="68" customFormat="false" ht="23.4" hidden="false" customHeight="true" outlineLevel="0" collapsed="false">
      <c r="A68" s="0" t="n">
        <v>31</v>
      </c>
      <c r="B68" s="31" t="n">
        <v>33543</v>
      </c>
      <c r="C68" s="207" t="n">
        <v>396600</v>
      </c>
      <c r="D68" s="29" t="s">
        <v>42</v>
      </c>
      <c r="E68" s="33" t="n">
        <f aca="false">IF(D68="totale",(C68/(A68*24))/F68,IF(D68="marché libre",(C68/(A68*24))/G68,"spécifier histo"))</f>
        <v>0.554121118637248</v>
      </c>
      <c r="F68" s="59" t="n">
        <v>962</v>
      </c>
      <c r="G68" s="59" t="n">
        <f aca="false">F68-H68</f>
        <v>962</v>
      </c>
      <c r="H68" s="59" t="n">
        <v>0</v>
      </c>
      <c r="I68" s="9"/>
      <c r="J68" s="30"/>
      <c r="K68" s="30"/>
    </row>
    <row r="69" customFormat="false" ht="23.4" hidden="false" customHeight="true" outlineLevel="0" collapsed="false">
      <c r="A69" s="0" t="n">
        <v>30</v>
      </c>
      <c r="B69" s="34" t="n">
        <v>33573</v>
      </c>
      <c r="C69" s="207" t="n">
        <v>249600</v>
      </c>
      <c r="D69" s="29" t="s">
        <v>42</v>
      </c>
      <c r="E69" s="33" t="n">
        <f aca="false">IF(D69="totale",(C69/(A69*24))/F69,IF(D69="marché libre",(C69/(A69*24))/G69,"spécifier histo"))</f>
        <v>0.36036036036036</v>
      </c>
      <c r="F69" s="59" t="n">
        <v>962</v>
      </c>
      <c r="G69" s="59" t="n">
        <f aca="false">F69-H69</f>
        <v>962</v>
      </c>
      <c r="H69" s="59" t="n">
        <v>0</v>
      </c>
      <c r="I69" s="9"/>
      <c r="J69" s="30"/>
      <c r="K69" s="30"/>
    </row>
    <row r="70" customFormat="false" ht="23.4" hidden="false" customHeight="true" outlineLevel="0" collapsed="false">
      <c r="A70" s="0" t="n">
        <v>31</v>
      </c>
      <c r="B70" s="31" t="n">
        <v>33604</v>
      </c>
      <c r="C70" s="207" t="n">
        <v>294800</v>
      </c>
      <c r="D70" s="29" t="s">
        <v>42</v>
      </c>
      <c r="E70" s="33" t="n">
        <f aca="false">IF(D70="totale",(C70/(A70*24))/F70,IF(D70="marché libre",(C70/(A70*24))/G70,"spécifier histo"))</f>
        <v>0.411888315114122</v>
      </c>
      <c r="F70" s="59" t="n">
        <v>962</v>
      </c>
      <c r="G70" s="59" t="n">
        <f aca="false">F70-H70</f>
        <v>962</v>
      </c>
      <c r="H70" s="59" t="n">
        <v>0</v>
      </c>
      <c r="I70" s="9"/>
      <c r="J70" s="30"/>
      <c r="K70" s="30"/>
    </row>
    <row r="71" customFormat="false" ht="23.4" hidden="false" customHeight="true" outlineLevel="0" collapsed="false">
      <c r="A71" s="0" t="n">
        <v>30</v>
      </c>
      <c r="B71" s="34" t="n">
        <v>33635</v>
      </c>
      <c r="C71" s="207" t="n">
        <v>218200</v>
      </c>
      <c r="D71" s="29" t="s">
        <v>42</v>
      </c>
      <c r="E71" s="33" t="n">
        <f aca="false">IF(D71="totale",(C71/(A71*24))/F71,IF(D71="marché libre",(C71/(A71*24))/G71,"spécifier histo"))</f>
        <v>0.315026565026565</v>
      </c>
      <c r="F71" s="59" t="n">
        <v>962</v>
      </c>
      <c r="G71" s="59" t="n">
        <f aca="false">F71-H71</f>
        <v>962</v>
      </c>
      <c r="H71" s="59" t="n">
        <v>0</v>
      </c>
      <c r="I71" s="9"/>
      <c r="J71" s="30"/>
      <c r="K71" s="30"/>
    </row>
    <row r="72" customFormat="false" ht="23.4" hidden="false" customHeight="true" outlineLevel="0" collapsed="false">
      <c r="A72" s="0" t="n">
        <v>31</v>
      </c>
      <c r="B72" s="31" t="n">
        <v>33664</v>
      </c>
      <c r="C72" s="207" t="n">
        <v>266600</v>
      </c>
      <c r="D72" s="29" t="s">
        <v>42</v>
      </c>
      <c r="E72" s="33" t="n">
        <f aca="false">IF(D72="totale",(C72/(A72*24))/F72,IF(D72="marché libre",(C72/(A72*24))/G72,"spécifier histo"))</f>
        <v>0.372487872487872</v>
      </c>
      <c r="F72" s="59" t="n">
        <v>962</v>
      </c>
      <c r="G72" s="59" t="n">
        <f aca="false">F72-H72</f>
        <v>962</v>
      </c>
      <c r="H72" s="59" t="n">
        <v>0</v>
      </c>
      <c r="I72" s="9"/>
      <c r="J72" s="30"/>
      <c r="K72" s="30"/>
    </row>
    <row r="73" customFormat="false" ht="23.4" hidden="false" customHeight="true" outlineLevel="0" collapsed="false">
      <c r="A73" s="0" t="n">
        <v>31</v>
      </c>
      <c r="B73" s="34" t="n">
        <v>33695</v>
      </c>
      <c r="C73" s="207" t="n">
        <v>406800</v>
      </c>
      <c r="D73" s="29" t="s">
        <v>42</v>
      </c>
      <c r="E73" s="33" t="n">
        <f aca="false">IF(D73="totale",(C73/(A73*24))/F73,IF(D73="marché libre",(C73/(A73*24))/G73,"spécifier histo"))</f>
        <v>0.568372342565891</v>
      </c>
      <c r="F73" s="59" t="n">
        <v>962</v>
      </c>
      <c r="G73" s="59" t="n">
        <f aca="false">F73-H73</f>
        <v>962</v>
      </c>
      <c r="H73" s="59" t="n">
        <v>0</v>
      </c>
      <c r="I73" s="9"/>
      <c r="J73" s="30"/>
      <c r="K73" s="30"/>
    </row>
    <row r="74" customFormat="false" ht="23.4" hidden="false" customHeight="true" outlineLevel="0" collapsed="false">
      <c r="A74" s="0" t="n">
        <v>28</v>
      </c>
      <c r="B74" s="31" t="n">
        <v>33725</v>
      </c>
      <c r="C74" s="207" t="n">
        <v>230000</v>
      </c>
      <c r="D74" s="29" t="s">
        <v>42</v>
      </c>
      <c r="E74" s="33" t="n">
        <f aca="false">IF(D74="totale",(C74/(A74*24))/F74,IF(D74="marché libre",(C74/(A74*24))/G74,"spécifier histo"))</f>
        <v>0.355781605781606</v>
      </c>
      <c r="F74" s="59" t="n">
        <v>962</v>
      </c>
      <c r="G74" s="59" t="n">
        <f aca="false">F74-H74</f>
        <v>962</v>
      </c>
      <c r="H74" s="59" t="n">
        <v>0</v>
      </c>
      <c r="I74" s="9"/>
      <c r="J74" s="30"/>
      <c r="K74" s="30"/>
    </row>
    <row r="75" customFormat="false" ht="23.4" hidden="false" customHeight="true" outlineLevel="0" collapsed="false">
      <c r="A75" s="0" t="n">
        <v>31</v>
      </c>
      <c r="B75" s="34" t="n">
        <v>33756</v>
      </c>
      <c r="C75" s="207" t="n">
        <v>399400</v>
      </c>
      <c r="D75" s="29" t="s">
        <v>42</v>
      </c>
      <c r="E75" s="33" t="n">
        <f aca="false">IF(D75="totale",(C75/(A75*24))/F75,IF(D75="marché libre",(C75/(A75*24))/G75,"spécifier histo"))</f>
        <v>0.558033219323542</v>
      </c>
      <c r="F75" s="59" t="n">
        <v>962</v>
      </c>
      <c r="G75" s="59" t="n">
        <f aca="false">F75-H75</f>
        <v>962</v>
      </c>
      <c r="H75" s="59" t="n">
        <v>0</v>
      </c>
      <c r="I75" s="9"/>
      <c r="J75" s="30"/>
      <c r="K75" s="30"/>
    </row>
    <row r="76" customFormat="false" ht="23.4" hidden="false" customHeight="true" outlineLevel="0" collapsed="false">
      <c r="A76" s="0" t="n">
        <v>28</v>
      </c>
      <c r="B76" s="31" t="n">
        <v>33786</v>
      </c>
      <c r="C76" s="207" t="n">
        <v>0</v>
      </c>
      <c r="D76" s="29" t="s">
        <v>42</v>
      </c>
      <c r="E76" s="33" t="n">
        <f aca="false">IF(D76="totale",(C76/(A76*24))/F76,IF(D76="marché libre",(C76/(A76*24))/G76,"spécifier histo"))</f>
        <v>0</v>
      </c>
      <c r="F76" s="59" t="n">
        <v>962</v>
      </c>
      <c r="G76" s="59" t="n">
        <f aca="false">F76-H76</f>
        <v>962</v>
      </c>
      <c r="H76" s="59" t="n">
        <v>0</v>
      </c>
      <c r="I76" s="9"/>
      <c r="J76" s="30"/>
      <c r="K76" s="30"/>
    </row>
    <row r="77" customFormat="false" ht="23.4" hidden="false" customHeight="true" outlineLevel="0" collapsed="false">
      <c r="A77" s="0" t="n">
        <v>31</v>
      </c>
      <c r="B77" s="34" t="n">
        <v>33817</v>
      </c>
      <c r="C77" s="207" t="n">
        <v>0</v>
      </c>
      <c r="D77" s="29" t="s">
        <v>42</v>
      </c>
      <c r="E77" s="33" t="n">
        <f aca="false">IF(D77="totale",(C77/(A77*24))/F77,IF(D77="marché libre",(C77/(A77*24))/G77,"spécifier histo"))</f>
        <v>0</v>
      </c>
      <c r="F77" s="59" t="n">
        <v>962</v>
      </c>
      <c r="G77" s="59" t="n">
        <f aca="false">F77-H77</f>
        <v>962</v>
      </c>
      <c r="H77" s="59" t="n">
        <v>0</v>
      </c>
      <c r="I77" s="9"/>
      <c r="J77" s="30"/>
      <c r="K77" s="30"/>
    </row>
    <row r="78" customFormat="false" ht="23.4" hidden="false" customHeight="true" outlineLevel="0" collapsed="false">
      <c r="A78" s="0" t="n">
        <v>30</v>
      </c>
      <c r="B78" s="31" t="n">
        <v>33848</v>
      </c>
      <c r="C78" s="207" t="n">
        <v>0</v>
      </c>
      <c r="D78" s="29" t="s">
        <v>42</v>
      </c>
      <c r="E78" s="33" t="n">
        <f aca="false">IF(D78="totale",(C78/(A78*24))/F78,IF(D78="marché libre",(C78/(A78*24))/G78,"spécifier histo"))</f>
        <v>0</v>
      </c>
      <c r="F78" s="59" t="n">
        <v>962</v>
      </c>
      <c r="G78" s="59" t="n">
        <f aca="false">F78-H78</f>
        <v>962</v>
      </c>
      <c r="H78" s="59" t="n">
        <v>0</v>
      </c>
      <c r="I78" s="9"/>
      <c r="J78" s="30"/>
      <c r="K78" s="30"/>
    </row>
    <row r="79" customFormat="false" ht="23.4" hidden="false" customHeight="true" outlineLevel="0" collapsed="false">
      <c r="A79" s="0" t="n">
        <v>31</v>
      </c>
      <c r="B79" s="34" t="n">
        <v>33878</v>
      </c>
      <c r="C79" s="207" t="n">
        <v>374400</v>
      </c>
      <c r="D79" s="29" t="s">
        <v>42</v>
      </c>
      <c r="E79" s="33" t="n">
        <f aca="false">IF(D79="totale",(C79/(A79*24))/F79,IF(D79="marché libre",(C79/(A79*24))/G79,"spécifier histo"))</f>
        <v>0.523103748910201</v>
      </c>
      <c r="F79" s="59" t="n">
        <v>962</v>
      </c>
      <c r="G79" s="59" t="n">
        <f aca="false">F79-H79</f>
        <v>962</v>
      </c>
      <c r="H79" s="59" t="n">
        <v>0</v>
      </c>
      <c r="I79" s="9"/>
      <c r="J79" s="30"/>
      <c r="K79" s="30"/>
    </row>
    <row r="80" customFormat="false" ht="23.4" hidden="false" customHeight="true" outlineLevel="0" collapsed="false">
      <c r="A80" s="0" t="n">
        <v>30</v>
      </c>
      <c r="B80" s="31" t="n">
        <v>33909</v>
      </c>
      <c r="C80" s="207" t="n">
        <v>489600</v>
      </c>
      <c r="D80" s="29" t="s">
        <v>42</v>
      </c>
      <c r="E80" s="33" t="n">
        <f aca="false">IF(D80="totale",(C80/(A80*24))/F80,IF(D80="marché libre",(C80/(A80*24))/G80,"spécifier histo"))</f>
        <v>0.706860706860707</v>
      </c>
      <c r="F80" s="59" t="n">
        <v>962</v>
      </c>
      <c r="G80" s="59" t="n">
        <f aca="false">F80-H80</f>
        <v>962</v>
      </c>
      <c r="H80" s="59" t="n">
        <v>0</v>
      </c>
      <c r="I80" s="9"/>
      <c r="J80" s="30"/>
      <c r="K80" s="30"/>
    </row>
    <row r="81" customFormat="false" ht="23.4" hidden="false" customHeight="true" outlineLevel="0" collapsed="false">
      <c r="A81" s="0" t="n">
        <v>31</v>
      </c>
      <c r="B81" s="34" t="n">
        <v>33939</v>
      </c>
      <c r="C81" s="207" t="n">
        <v>339400</v>
      </c>
      <c r="D81" s="29" t="s">
        <v>42</v>
      </c>
      <c r="E81" s="33" t="n">
        <f aca="false">IF(D81="totale",(C81/(A81*24))/F81,IF(D81="marché libre",(C81/(A81*24))/G81,"spécifier histo"))</f>
        <v>0.474202490331523</v>
      </c>
      <c r="F81" s="59" t="n">
        <v>962</v>
      </c>
      <c r="G81" s="59" t="n">
        <f aca="false">F81-H81</f>
        <v>962</v>
      </c>
      <c r="H81" s="59" t="n">
        <v>0</v>
      </c>
      <c r="I81" s="9"/>
      <c r="J81" s="30"/>
      <c r="K81" s="30"/>
    </row>
    <row r="82" customFormat="false" ht="23.4" hidden="false" customHeight="true" outlineLevel="0" collapsed="false">
      <c r="A82" s="0" t="n">
        <v>31</v>
      </c>
      <c r="B82" s="31" t="n">
        <v>33970</v>
      </c>
      <c r="C82" s="207" t="n">
        <v>72400</v>
      </c>
      <c r="D82" s="29" t="s">
        <v>42</v>
      </c>
      <c r="E82" s="33" t="n">
        <f aca="false">IF(D82="totale",(C82/(A82*24))/F82,IF(D82="marché libre",(C82/(A82*24))/G82,"spécifier histo"))</f>
        <v>0.101155746317037</v>
      </c>
      <c r="F82" s="59" t="n">
        <v>962</v>
      </c>
      <c r="G82" s="59" t="n">
        <f aca="false">F82-H82</f>
        <v>962</v>
      </c>
      <c r="H82" s="59" t="n">
        <v>0</v>
      </c>
      <c r="I82" s="9"/>
      <c r="J82" s="30"/>
      <c r="K82" s="30"/>
    </row>
    <row r="83" customFormat="false" ht="23.4" hidden="false" customHeight="true" outlineLevel="0" collapsed="false">
      <c r="A83" s="0" t="n">
        <v>30</v>
      </c>
      <c r="B83" s="34" t="n">
        <v>34001</v>
      </c>
      <c r="C83" s="207" t="n">
        <v>0</v>
      </c>
      <c r="D83" s="29" t="s">
        <v>42</v>
      </c>
      <c r="E83" s="33" t="n">
        <f aca="false">IF(D83="totale",(C83/(A83*24))/F83,IF(D83="marché libre",(C83/(A83*24))/G83,"spécifier histo"))</f>
        <v>0</v>
      </c>
      <c r="F83" s="59" t="n">
        <v>962</v>
      </c>
      <c r="G83" s="59" t="n">
        <f aca="false">F83-H83</f>
        <v>962</v>
      </c>
      <c r="H83" s="59" t="n">
        <v>0</v>
      </c>
      <c r="I83" s="9"/>
      <c r="J83" s="30"/>
      <c r="K83" s="30"/>
    </row>
    <row r="84" customFormat="false" ht="23.4" hidden="false" customHeight="true" outlineLevel="0" collapsed="false">
      <c r="A84" s="0" t="n">
        <v>31</v>
      </c>
      <c r="B84" s="31" t="n">
        <v>34029</v>
      </c>
      <c r="C84" s="207" t="n">
        <v>0</v>
      </c>
      <c r="D84" s="29" t="s">
        <v>42</v>
      </c>
      <c r="E84" s="33" t="n">
        <f aca="false">IF(D84="totale",(C84/(A84*24))/F84,IF(D84="marché libre",(C84/(A84*24))/G84,"spécifier histo"))</f>
        <v>0</v>
      </c>
      <c r="F84" s="59" t="n">
        <v>962</v>
      </c>
      <c r="G84" s="59" t="n">
        <f aca="false">F84-H84</f>
        <v>962</v>
      </c>
      <c r="H84" s="59" t="n">
        <v>0</v>
      </c>
      <c r="I84" s="9"/>
      <c r="J84" s="30"/>
      <c r="K84" s="30"/>
    </row>
    <row r="85" customFormat="false" ht="23.4" hidden="false" customHeight="true" outlineLevel="0" collapsed="false">
      <c r="A85" s="1" t="n">
        <v>31</v>
      </c>
      <c r="B85" s="34" t="n">
        <v>34060</v>
      </c>
      <c r="C85" s="207" t="n">
        <v>53000</v>
      </c>
      <c r="D85" s="29" t="s">
        <v>42</v>
      </c>
      <c r="E85" s="33" t="n">
        <f aca="false">IF(D85="totale",(C85/(A85*24))/F85,IF(D85="marché libre",(C85/(A85*24))/G85,"spécifier histo"))</f>
        <v>0.0740504772762837</v>
      </c>
      <c r="F85" s="59" t="n">
        <v>962</v>
      </c>
      <c r="G85" s="59" t="n">
        <f aca="false">F85-H85</f>
        <v>962</v>
      </c>
      <c r="H85" s="59" t="n">
        <v>0</v>
      </c>
      <c r="I85" s="9"/>
      <c r="J85" s="30"/>
      <c r="K85" s="30"/>
    </row>
    <row r="86" customFormat="false" ht="23.4" hidden="false" customHeight="true" outlineLevel="0" collapsed="false">
      <c r="A86" s="1" t="n">
        <v>30</v>
      </c>
      <c r="B86" s="31" t="n">
        <v>34090</v>
      </c>
      <c r="C86" s="207" t="n">
        <v>826000</v>
      </c>
      <c r="D86" s="29" t="s">
        <v>42</v>
      </c>
      <c r="E86" s="33" t="n">
        <f aca="false">IF(D86="totale",(C86/(A86*24))/F86,IF(D86="marché libre",(C86/(A86*24))/G86,"spécifier histo"))</f>
        <v>1.19253869253869</v>
      </c>
      <c r="F86" s="59" t="n">
        <v>962</v>
      </c>
      <c r="G86" s="59" t="n">
        <f aca="false">F86-H86</f>
        <v>962</v>
      </c>
      <c r="H86" s="59" t="n">
        <v>0</v>
      </c>
      <c r="I86" s="9"/>
      <c r="J86" s="30"/>
      <c r="K86" s="30"/>
    </row>
    <row r="87" customFormat="false" ht="23.4" hidden="false" customHeight="true" outlineLevel="0" collapsed="false">
      <c r="A87" s="1" t="n">
        <v>31</v>
      </c>
      <c r="B87" s="34" t="n">
        <v>34121</v>
      </c>
      <c r="C87" s="207" t="n">
        <v>108800</v>
      </c>
      <c r="D87" s="29" t="s">
        <v>42</v>
      </c>
      <c r="E87" s="33" t="n">
        <f aca="false">IF(D87="totale",(C87/(A87*24))/F87,IF(D87="marché libre",(C87/(A87*24))/G87,"spécifier histo"))</f>
        <v>0.152013055238862</v>
      </c>
      <c r="F87" s="59" t="n">
        <v>962</v>
      </c>
      <c r="G87" s="59" t="n">
        <f aca="false">F87-H87</f>
        <v>962</v>
      </c>
      <c r="H87" s="59" t="n">
        <v>0</v>
      </c>
      <c r="I87" s="9"/>
      <c r="J87" s="30"/>
      <c r="K87" s="30"/>
    </row>
    <row r="88" customFormat="false" ht="23.4" hidden="false" customHeight="true" outlineLevel="0" collapsed="false">
      <c r="A88" s="1" t="n">
        <v>31</v>
      </c>
      <c r="B88" s="31" t="n">
        <v>34151</v>
      </c>
      <c r="C88" s="207" t="n">
        <v>0</v>
      </c>
      <c r="D88" s="29" t="s">
        <v>42</v>
      </c>
      <c r="E88" s="33" t="n">
        <f aca="false">IF(D88="totale",(C88/(A88*24))/F88,IF(D88="marché libre",(C88/(A88*24))/G88,"spécifier histo"))</f>
        <v>0</v>
      </c>
      <c r="F88" s="59" t="n">
        <v>962</v>
      </c>
      <c r="G88" s="59" t="n">
        <f aca="false">F88-H88</f>
        <v>962</v>
      </c>
      <c r="H88" s="59" t="n">
        <v>0</v>
      </c>
      <c r="I88" s="9"/>
      <c r="J88" s="30"/>
      <c r="K88" s="30"/>
    </row>
    <row r="89" customFormat="false" ht="23.4" hidden="false" customHeight="true" outlineLevel="0" collapsed="false">
      <c r="A89" s="1" t="n">
        <v>28</v>
      </c>
      <c r="B89" s="34" t="n">
        <v>34182</v>
      </c>
      <c r="C89" s="207" t="n">
        <v>0</v>
      </c>
      <c r="D89" s="29" t="s">
        <v>42</v>
      </c>
      <c r="E89" s="33" t="n">
        <f aca="false">IF(D89="totale",(C89/(A89*24))/F89,IF(D89="marché libre",(C89/(A89*24))/G89,"spécifier histo"))</f>
        <v>0</v>
      </c>
      <c r="F89" s="59" t="n">
        <v>962</v>
      </c>
      <c r="G89" s="59" t="n">
        <f aca="false">F89-H89</f>
        <v>962</v>
      </c>
      <c r="H89" s="59" t="n">
        <v>0</v>
      </c>
      <c r="I89" s="9"/>
      <c r="J89" s="30"/>
      <c r="K89" s="30"/>
    </row>
    <row r="90" customFormat="false" ht="23.4" hidden="false" customHeight="true" outlineLevel="0" collapsed="false">
      <c r="A90" s="1" t="n">
        <v>31</v>
      </c>
      <c r="B90" s="31" t="n">
        <v>34213</v>
      </c>
      <c r="C90" s="207" t="n">
        <v>0</v>
      </c>
      <c r="D90" s="29" t="s">
        <v>42</v>
      </c>
      <c r="E90" s="33" t="n">
        <f aca="false">IF(D90="totale",(C90/(A90*24))/F90,IF(D90="marché libre",(C90/(A90*24))/G90,"spécifier histo"))</f>
        <v>0</v>
      </c>
      <c r="F90" s="59" t="n">
        <v>962</v>
      </c>
      <c r="G90" s="59" t="n">
        <f aca="false">F90-H90</f>
        <v>962</v>
      </c>
      <c r="H90" s="59" t="n">
        <v>0</v>
      </c>
      <c r="I90" s="9"/>
      <c r="J90" s="30"/>
      <c r="K90" s="30"/>
    </row>
    <row r="91" customFormat="false" ht="23.4" hidden="false" customHeight="true" outlineLevel="0" collapsed="false">
      <c r="A91" s="1" t="n">
        <v>30</v>
      </c>
      <c r="B91" s="34" t="n">
        <v>34243</v>
      </c>
      <c r="C91" s="207" t="n">
        <v>457600</v>
      </c>
      <c r="D91" s="29" t="s">
        <v>42</v>
      </c>
      <c r="E91" s="33" t="n">
        <f aca="false">IF(D91="totale",(C91/(A91*24))/F91,IF(D91="marché libre",(C91/(A91*24))/G91,"spécifier histo"))</f>
        <v>0.660660660660661</v>
      </c>
      <c r="F91" s="59" t="n">
        <v>962</v>
      </c>
      <c r="G91" s="59" t="n">
        <f aca="false">F91-H91</f>
        <v>962</v>
      </c>
      <c r="H91" s="59" t="n">
        <v>0</v>
      </c>
      <c r="I91" s="9"/>
      <c r="J91" s="30"/>
      <c r="K91" s="30"/>
    </row>
    <row r="92" customFormat="false" ht="23.4" hidden="false" customHeight="true" outlineLevel="0" collapsed="false">
      <c r="A92" s="1" t="n">
        <v>31</v>
      </c>
      <c r="B92" s="31" t="n">
        <v>34274</v>
      </c>
      <c r="C92" s="207" t="n">
        <v>238800</v>
      </c>
      <c r="D92" s="29" t="s">
        <v>42</v>
      </c>
      <c r="E92" s="33" t="n">
        <f aca="false">IF(D92="totale",(C92/(A92*24))/F92,IF(D92="marché libre",(C92/(A92*24))/G92,"spécifier histo"))</f>
        <v>0.333646301388237</v>
      </c>
      <c r="F92" s="59" t="n">
        <v>962</v>
      </c>
      <c r="G92" s="59" t="n">
        <f aca="false">F92-H92</f>
        <v>962</v>
      </c>
      <c r="H92" s="59" t="n">
        <v>0</v>
      </c>
      <c r="I92" s="9"/>
      <c r="J92" s="30"/>
      <c r="K92" s="30"/>
    </row>
    <row r="93" customFormat="false" ht="23.4" hidden="false" customHeight="true" outlineLevel="0" collapsed="false">
      <c r="A93" s="1" t="n">
        <v>30</v>
      </c>
      <c r="B93" s="34" t="n">
        <v>34304</v>
      </c>
      <c r="C93" s="207" t="n">
        <v>445400</v>
      </c>
      <c r="D93" s="29" t="s">
        <v>42</v>
      </c>
      <c r="E93" s="33" t="n">
        <f aca="false">IF(D93="totale",(C93/(A93*24))/F93,IF(D93="marché libre",(C93/(A93*24))/G93,"spécifier histo"))</f>
        <v>0.643046893046893</v>
      </c>
      <c r="F93" s="59" t="n">
        <v>962</v>
      </c>
      <c r="G93" s="59" t="n">
        <f aca="false">F93-H93</f>
        <v>962</v>
      </c>
      <c r="H93" s="59" t="n">
        <v>0</v>
      </c>
      <c r="I93" s="9"/>
      <c r="J93" s="30"/>
      <c r="K93" s="30"/>
    </row>
    <row r="94" customFormat="false" ht="23.4" hidden="false" customHeight="true" outlineLevel="0" collapsed="false">
      <c r="A94" s="1" t="n">
        <v>31</v>
      </c>
      <c r="B94" s="31" t="n">
        <v>34335</v>
      </c>
      <c r="C94" s="207" t="n">
        <v>76600</v>
      </c>
      <c r="D94" s="29" t="s">
        <v>42</v>
      </c>
      <c r="E94" s="33" t="n">
        <f aca="false">IF(D94="totale",(C94/(A94*24))/F94,IF(D94="marché libre",(C94/(A94*24))/G94,"spécifier histo"))</f>
        <v>0.107023897346478</v>
      </c>
      <c r="F94" s="59" t="n">
        <v>962</v>
      </c>
      <c r="G94" s="59" t="n">
        <f aca="false">F94-H94</f>
        <v>962</v>
      </c>
      <c r="H94" s="59" t="n">
        <v>0</v>
      </c>
      <c r="I94" s="9"/>
      <c r="J94" s="30"/>
      <c r="K94" s="30"/>
    </row>
    <row r="95" customFormat="false" ht="23.4" hidden="false" customHeight="true" outlineLevel="0" collapsed="false">
      <c r="A95" s="1" t="n">
        <v>31</v>
      </c>
      <c r="B95" s="34" t="n">
        <v>34366</v>
      </c>
      <c r="C95" s="207" t="n">
        <v>396800</v>
      </c>
      <c r="D95" s="29" t="s">
        <v>42</v>
      </c>
      <c r="E95" s="33" t="n">
        <f aca="false">IF(D95="totale",(C95/(A95*24))/F95,IF(D95="marché libre",(C95/(A95*24))/G95,"spécifier histo"))</f>
        <v>0.554400554400554</v>
      </c>
      <c r="F95" s="59" t="n">
        <v>962</v>
      </c>
      <c r="G95" s="59" t="n">
        <f aca="false">F95-H95</f>
        <v>962</v>
      </c>
      <c r="H95" s="59" t="n">
        <v>0</v>
      </c>
      <c r="I95" s="9"/>
      <c r="J95" s="30"/>
      <c r="K95" s="30"/>
    </row>
    <row r="96" customFormat="false" ht="23.4" hidden="false" customHeight="true" outlineLevel="0" collapsed="false">
      <c r="A96" s="1" t="n">
        <v>30</v>
      </c>
      <c r="B96" s="31" t="n">
        <v>34394</v>
      </c>
      <c r="C96" s="207" t="n">
        <v>438200</v>
      </c>
      <c r="D96" s="29" t="s">
        <v>42</v>
      </c>
      <c r="E96" s="33" t="n">
        <f aca="false">IF(D96="totale",(C96/(A96*24))/F96,IF(D96="marché libre",(C96/(A96*24))/G96,"spécifier histo"))</f>
        <v>0.632651882651883</v>
      </c>
      <c r="F96" s="59" t="n">
        <v>962</v>
      </c>
      <c r="G96" s="59" t="n">
        <f aca="false">F96-H96</f>
        <v>962</v>
      </c>
      <c r="H96" s="59" t="n">
        <v>0</v>
      </c>
      <c r="I96" s="9"/>
      <c r="J96" s="30"/>
      <c r="K96" s="30"/>
    </row>
    <row r="97" customFormat="false" ht="23.4" hidden="false" customHeight="true" outlineLevel="0" collapsed="false">
      <c r="A97" s="1" t="n">
        <v>31</v>
      </c>
      <c r="B97" s="34" t="n">
        <v>34425</v>
      </c>
      <c r="C97" s="207" t="n">
        <v>450400</v>
      </c>
      <c r="D97" s="29" t="s">
        <v>42</v>
      </c>
      <c r="E97" s="33" t="n">
        <f aca="false">IF(D97="totale",(C97/(A97*24))/F97,IF(D97="marché libre",(C97/(A97*24))/G97,"spécifier histo"))</f>
        <v>0.629289338966758</v>
      </c>
      <c r="F97" s="59" t="n">
        <v>962</v>
      </c>
      <c r="G97" s="59" t="n">
        <f aca="false">F97-H97</f>
        <v>962</v>
      </c>
      <c r="H97" s="59" t="n">
        <v>0</v>
      </c>
      <c r="I97" s="9"/>
      <c r="J97" s="30"/>
      <c r="K97" s="30"/>
    </row>
    <row r="98" customFormat="false" ht="23.4" hidden="false" customHeight="true" outlineLevel="0" collapsed="false">
      <c r="A98" s="1" t="n">
        <v>30</v>
      </c>
      <c r="B98" s="31" t="n">
        <v>34455</v>
      </c>
      <c r="C98" s="207" t="n">
        <v>238600</v>
      </c>
      <c r="D98" s="29" t="s">
        <v>42</v>
      </c>
      <c r="E98" s="33" t="n">
        <f aca="false">IF(D98="totale",(C98/(A98*24))/F98,IF(D98="marché libre",(C98/(A98*24))/G98,"spécifier histo"))</f>
        <v>0.344479094479095</v>
      </c>
      <c r="F98" s="59" t="n">
        <v>962</v>
      </c>
      <c r="G98" s="59" t="n">
        <f aca="false">F98-H98</f>
        <v>962</v>
      </c>
      <c r="H98" s="59" t="n">
        <v>0</v>
      </c>
      <c r="I98" s="9"/>
      <c r="J98" s="30"/>
      <c r="K98" s="30"/>
    </row>
    <row r="99" customFormat="false" ht="23.4" hidden="false" customHeight="true" outlineLevel="0" collapsed="false">
      <c r="A99" s="1" t="n">
        <v>31</v>
      </c>
      <c r="B99" s="34" t="n">
        <v>34486</v>
      </c>
      <c r="C99" s="207" t="n">
        <v>9200</v>
      </c>
      <c r="D99" s="29" t="s">
        <v>42</v>
      </c>
      <c r="E99" s="33" t="n">
        <f aca="false">IF(D99="totale",(C99/(A99*24))/F99,IF(D99="marché libre",(C99/(A99*24))/G99,"spécifier histo"))</f>
        <v>0.0128540451121096</v>
      </c>
      <c r="F99" s="59" t="n">
        <v>962</v>
      </c>
      <c r="G99" s="59" t="n">
        <f aca="false">F99-H99</f>
        <v>962</v>
      </c>
      <c r="H99" s="59" t="n">
        <v>0</v>
      </c>
      <c r="I99" s="9"/>
      <c r="J99" s="30"/>
      <c r="K99" s="30"/>
    </row>
    <row r="100" customFormat="false" ht="23.4" hidden="false" customHeight="true" outlineLevel="0" collapsed="false">
      <c r="A100" s="1" t="n">
        <v>31</v>
      </c>
      <c r="B100" s="31" t="n">
        <v>34516</v>
      </c>
      <c r="C100" s="207" t="n">
        <v>0</v>
      </c>
      <c r="D100" s="29" t="s">
        <v>42</v>
      </c>
      <c r="E100" s="33" t="n">
        <f aca="false">IF(D100="totale",(C100/(A100*24))/F100,IF(D100="marché libre",(C100/(A100*24))/G100,"spécifier histo"))</f>
        <v>0</v>
      </c>
      <c r="F100" s="59" t="n">
        <v>962</v>
      </c>
      <c r="G100" s="59" t="n">
        <f aca="false">F100-H100</f>
        <v>962</v>
      </c>
      <c r="H100" s="59" t="n">
        <v>0</v>
      </c>
      <c r="I100" s="9"/>
      <c r="J100" s="30"/>
      <c r="K100" s="30"/>
    </row>
    <row r="101" customFormat="false" ht="23.4" hidden="false" customHeight="true" outlineLevel="0" collapsed="false">
      <c r="A101" s="1" t="n">
        <v>28</v>
      </c>
      <c r="B101" s="34" t="n">
        <v>34547</v>
      </c>
      <c r="C101" s="207" t="n">
        <v>0</v>
      </c>
      <c r="D101" s="29" t="s">
        <v>42</v>
      </c>
      <c r="E101" s="33" t="n">
        <f aca="false">IF(D101="totale",(C101/(A101*24))/F101,IF(D101="marché libre",(C101/(A101*24))/G101,"spécifier histo"))</f>
        <v>0</v>
      </c>
      <c r="F101" s="59" t="n">
        <v>962</v>
      </c>
      <c r="G101" s="59" t="n">
        <f aca="false">F101-H101</f>
        <v>962</v>
      </c>
      <c r="H101" s="59" t="n">
        <v>0</v>
      </c>
      <c r="I101" s="9"/>
      <c r="J101" s="30"/>
      <c r="K101" s="30"/>
    </row>
    <row r="102" customFormat="false" ht="23.4" hidden="false" customHeight="true" outlineLevel="0" collapsed="false">
      <c r="A102" s="1" t="n">
        <v>31</v>
      </c>
      <c r="B102" s="31" t="n">
        <v>34578</v>
      </c>
      <c r="C102" s="207" t="n">
        <v>0</v>
      </c>
      <c r="D102" s="29" t="s">
        <v>42</v>
      </c>
      <c r="E102" s="33" t="n">
        <f aca="false">IF(D102="totale",(C102/(A102*24))/F102,IF(D102="marché libre",(C102/(A102*24))/G102,"spécifier histo"))</f>
        <v>0</v>
      </c>
      <c r="F102" s="59" t="n">
        <v>962</v>
      </c>
      <c r="G102" s="59" t="n">
        <f aca="false">F102-H102</f>
        <v>962</v>
      </c>
      <c r="H102" s="59" t="n">
        <v>0</v>
      </c>
      <c r="I102" s="9"/>
      <c r="J102" s="30"/>
      <c r="K102" s="30"/>
    </row>
    <row r="103" customFormat="false" ht="23.4" hidden="false" customHeight="true" outlineLevel="0" collapsed="false">
      <c r="A103" s="1" t="n">
        <v>30</v>
      </c>
      <c r="B103" s="34" t="n">
        <v>34608</v>
      </c>
      <c r="C103" s="207" t="n">
        <v>42000</v>
      </c>
      <c r="D103" s="29" t="s">
        <v>42</v>
      </c>
      <c r="E103" s="33" t="n">
        <f aca="false">IF(D103="totale",(C103/(A103*24))/F103,IF(D103="marché libre",(C103/(A103*24))/G103,"spécifier histo"))</f>
        <v>0.0606375606375606</v>
      </c>
      <c r="F103" s="59" t="n">
        <v>962</v>
      </c>
      <c r="G103" s="59" t="n">
        <f aca="false">F103-H103</f>
        <v>962</v>
      </c>
      <c r="H103" s="59" t="n">
        <v>0</v>
      </c>
      <c r="I103" s="9"/>
      <c r="J103" s="30"/>
      <c r="K103" s="30"/>
    </row>
    <row r="104" customFormat="false" ht="23.4" hidden="false" customHeight="true" outlineLevel="0" collapsed="false">
      <c r="A104" s="1" t="n">
        <v>31</v>
      </c>
      <c r="B104" s="31" t="n">
        <v>34639</v>
      </c>
      <c r="C104" s="207" t="n">
        <v>352200</v>
      </c>
      <c r="D104" s="29" t="s">
        <v>42</v>
      </c>
      <c r="E104" s="33" t="n">
        <f aca="false">IF(D104="totale",(C104/(A104*24))/F104,IF(D104="marché libre",(C104/(A104*24))/G104,"spécifier histo"))</f>
        <v>0.492086379183153</v>
      </c>
      <c r="F104" s="59" t="n">
        <v>962</v>
      </c>
      <c r="G104" s="59" t="n">
        <f aca="false">F104-H104</f>
        <v>962</v>
      </c>
      <c r="H104" s="59" t="n">
        <v>0</v>
      </c>
      <c r="I104" s="9"/>
      <c r="J104" s="30"/>
      <c r="K104" s="30"/>
    </row>
    <row r="105" customFormat="false" ht="23.4" hidden="false" customHeight="true" outlineLevel="0" collapsed="false">
      <c r="A105" s="1" t="n">
        <v>30</v>
      </c>
      <c r="B105" s="34" t="n">
        <v>34669</v>
      </c>
      <c r="C105" s="207" t="n">
        <v>192000</v>
      </c>
      <c r="D105" s="29" t="s">
        <v>42</v>
      </c>
      <c r="E105" s="33" t="n">
        <f aca="false">IF(D105="totale",(C105/(A105*24))/F105,IF(D105="marché libre",(C105/(A105*24))/G105,"spécifier histo"))</f>
        <v>0.277200277200277</v>
      </c>
      <c r="F105" s="59" t="n">
        <v>962</v>
      </c>
      <c r="G105" s="59" t="n">
        <f aca="false">F105-H105</f>
        <v>962</v>
      </c>
      <c r="H105" s="59" t="n">
        <v>0</v>
      </c>
      <c r="I105" s="9"/>
      <c r="J105" s="30"/>
      <c r="K105" s="30"/>
    </row>
    <row r="106" customFormat="false" ht="23.4" hidden="false" customHeight="true" outlineLevel="0" collapsed="false">
      <c r="A106" s="1" t="n">
        <v>31</v>
      </c>
      <c r="B106" s="31" t="n">
        <v>34700</v>
      </c>
      <c r="C106" s="207" t="n">
        <v>357000</v>
      </c>
      <c r="D106" s="29" t="s">
        <v>42</v>
      </c>
      <c r="E106" s="33" t="n">
        <f aca="false">IF(D106="totale",(C106/(A106*24))/F106,IF(D106="marché libre",(C106/(A106*24))/G106,"spécifier histo"))</f>
        <v>0.498792837502515</v>
      </c>
      <c r="F106" s="59" t="n">
        <v>962</v>
      </c>
      <c r="G106" s="59" t="n">
        <f aca="false">F106-H106</f>
        <v>962</v>
      </c>
      <c r="H106" s="59" t="n">
        <v>0</v>
      </c>
      <c r="I106" s="9"/>
      <c r="J106" s="30"/>
      <c r="K106" s="30"/>
    </row>
    <row r="107" customFormat="false" ht="23.4" hidden="false" customHeight="true" outlineLevel="0" collapsed="false">
      <c r="A107" s="1" t="n">
        <v>31</v>
      </c>
      <c r="B107" s="34" t="n">
        <v>34731</v>
      </c>
      <c r="C107" s="207" t="n">
        <v>519200</v>
      </c>
      <c r="D107" s="29" t="s">
        <v>42</v>
      </c>
      <c r="E107" s="33" t="n">
        <f aca="false">IF(D107="totale",(C107/(A107*24))/F107,IF(D107="marché libre",(C107/(A107*24))/G107,"spécifier histo"))</f>
        <v>0.725415241544274</v>
      </c>
      <c r="F107" s="59" t="n">
        <v>962</v>
      </c>
      <c r="G107" s="59" t="n">
        <f aca="false">F107-H107</f>
        <v>962</v>
      </c>
      <c r="H107" s="59" t="n">
        <v>0</v>
      </c>
      <c r="I107" s="9"/>
      <c r="J107" s="30"/>
      <c r="K107" s="30"/>
    </row>
    <row r="108" customFormat="false" ht="23.4" hidden="false" customHeight="true" outlineLevel="0" collapsed="false">
      <c r="A108" s="1" t="n">
        <v>30</v>
      </c>
      <c r="B108" s="31" t="n">
        <v>34759</v>
      </c>
      <c r="C108" s="207" t="n">
        <v>232661</v>
      </c>
      <c r="D108" s="29" t="s">
        <v>42</v>
      </c>
      <c r="E108" s="33" t="n">
        <f aca="false">IF(D108="totale",(C108/(A108*24))/F108,IF(D108="marché libre",(C108/(A108*24))/G108,"spécifier histo"))</f>
        <v>0.335904654654655</v>
      </c>
      <c r="F108" s="59" t="n">
        <v>962</v>
      </c>
      <c r="G108" s="59" t="n">
        <f aca="false">F108-H108</f>
        <v>962</v>
      </c>
      <c r="H108" s="59" t="n">
        <v>0</v>
      </c>
      <c r="I108" s="9"/>
      <c r="J108" s="30"/>
      <c r="K108" s="30"/>
    </row>
    <row r="109" customFormat="false" ht="23.4" hidden="false" customHeight="true" outlineLevel="0" collapsed="false">
      <c r="A109" s="1" t="n">
        <v>31</v>
      </c>
      <c r="B109" s="34" t="n">
        <v>34790</v>
      </c>
      <c r="C109" s="207" t="n">
        <v>206800</v>
      </c>
      <c r="D109" s="29" t="s">
        <v>42</v>
      </c>
      <c r="E109" s="33" t="n">
        <f aca="false">IF(D109="totale",(C109/(A109*24))/F109,IF(D109="marché libre",(C109/(A109*24))/G109,"spécifier histo"))</f>
        <v>0.28893657925916</v>
      </c>
      <c r="F109" s="59" t="n">
        <v>962</v>
      </c>
      <c r="G109" s="59" t="n">
        <f aca="false">F109-H109</f>
        <v>962</v>
      </c>
      <c r="H109" s="59" t="n">
        <v>0</v>
      </c>
      <c r="I109" s="9"/>
      <c r="J109" s="30"/>
      <c r="K109" s="30"/>
    </row>
    <row r="110" customFormat="false" ht="23.4" hidden="false" customHeight="true" outlineLevel="0" collapsed="false">
      <c r="A110" s="1" t="n">
        <v>30</v>
      </c>
      <c r="B110" s="31" t="n">
        <v>34820</v>
      </c>
      <c r="C110" s="207" t="n">
        <v>309000</v>
      </c>
      <c r="D110" s="29" t="s">
        <v>42</v>
      </c>
      <c r="E110" s="33" t="n">
        <f aca="false">IF(D110="totale",(C110/(A110*24))/F110,IF(D110="marché libre",(C110/(A110*24))/G110,"spécifier histo"))</f>
        <v>0.446119196119196</v>
      </c>
      <c r="F110" s="59" t="n">
        <v>962</v>
      </c>
      <c r="G110" s="59" t="n">
        <f aca="false">F110-H110</f>
        <v>962</v>
      </c>
      <c r="H110" s="59" t="n">
        <v>0</v>
      </c>
      <c r="I110" s="9"/>
      <c r="J110" s="30"/>
      <c r="K110" s="30"/>
    </row>
    <row r="111" customFormat="false" ht="23.4" hidden="false" customHeight="true" outlineLevel="0" collapsed="false">
      <c r="A111" s="1" t="n">
        <v>31</v>
      </c>
      <c r="B111" s="34" t="n">
        <v>34851</v>
      </c>
      <c r="C111" s="207" t="n">
        <v>61800</v>
      </c>
      <c r="D111" s="29" t="s">
        <v>42</v>
      </c>
      <c r="E111" s="33" t="n">
        <f aca="false">IF(D111="totale",(C111/(A111*24))/F111,IF(D111="marché libre",(C111/(A111*24))/G111,"spécifier histo"))</f>
        <v>0.0863456508617799</v>
      </c>
      <c r="F111" s="59" t="n">
        <v>962</v>
      </c>
      <c r="G111" s="59" t="n">
        <f aca="false">F111-H111</f>
        <v>962</v>
      </c>
      <c r="H111" s="59" t="n">
        <v>0</v>
      </c>
      <c r="I111" s="9"/>
      <c r="J111" s="30"/>
      <c r="K111" s="30"/>
    </row>
    <row r="112" customFormat="false" ht="23.4" hidden="false" customHeight="true" outlineLevel="0" collapsed="false">
      <c r="A112" s="1" t="n">
        <v>31</v>
      </c>
      <c r="B112" s="31" t="n">
        <v>34881</v>
      </c>
      <c r="C112" s="207" t="n">
        <v>0</v>
      </c>
      <c r="D112" s="29" t="s">
        <v>42</v>
      </c>
      <c r="E112" s="33" t="n">
        <f aca="false">IF(D112="totale",(C112/(A112*24))/F112,IF(D112="marché libre",(C112/(A112*24))/G112,"spécifier histo"))</f>
        <v>0</v>
      </c>
      <c r="F112" s="59" t="n">
        <v>962</v>
      </c>
      <c r="G112" s="59" t="n">
        <f aca="false">F112-H112</f>
        <v>962</v>
      </c>
      <c r="H112" s="59" t="n">
        <v>0</v>
      </c>
      <c r="I112" s="9"/>
      <c r="J112" s="30"/>
      <c r="K112" s="30"/>
    </row>
    <row r="113" customFormat="false" ht="23.4" hidden="false" customHeight="true" outlineLevel="0" collapsed="false">
      <c r="A113" s="1" t="n">
        <v>28</v>
      </c>
      <c r="B113" s="34" t="n">
        <v>34912</v>
      </c>
      <c r="C113" s="207" t="n">
        <v>0</v>
      </c>
      <c r="D113" s="29" t="s">
        <v>42</v>
      </c>
      <c r="E113" s="33" t="n">
        <f aca="false">IF(D113="totale",(C113/(A113*24))/F113,IF(D113="marché libre",(C113/(A113*24))/G113,"spécifier histo"))</f>
        <v>0</v>
      </c>
      <c r="F113" s="59" t="n">
        <v>962</v>
      </c>
      <c r="G113" s="59" t="n">
        <f aca="false">F113-H113</f>
        <v>962</v>
      </c>
      <c r="H113" s="59" t="n">
        <v>0</v>
      </c>
      <c r="I113" s="9"/>
      <c r="J113" s="30"/>
      <c r="K113" s="30"/>
    </row>
    <row r="114" customFormat="false" ht="23.4" hidden="false" customHeight="true" outlineLevel="0" collapsed="false">
      <c r="A114" s="1" t="n">
        <v>31</v>
      </c>
      <c r="B114" s="31" t="n">
        <v>34943</v>
      </c>
      <c r="C114" s="207" t="n">
        <v>0</v>
      </c>
      <c r="D114" s="29" t="s">
        <v>42</v>
      </c>
      <c r="E114" s="33" t="n">
        <f aca="false">IF(D114="totale",(C114/(A114*24))/F114,IF(D114="marché libre",(C114/(A114*24))/G114,"spécifier histo"))</f>
        <v>0</v>
      </c>
      <c r="F114" s="59" t="n">
        <v>962</v>
      </c>
      <c r="G114" s="59" t="n">
        <f aca="false">F114-H114</f>
        <v>962</v>
      </c>
      <c r="H114" s="59" t="n">
        <v>0</v>
      </c>
      <c r="I114" s="9"/>
      <c r="J114" s="30"/>
      <c r="K114" s="30"/>
    </row>
    <row r="115" customFormat="false" ht="23.4" hidden="false" customHeight="true" outlineLevel="0" collapsed="false">
      <c r="A115" s="1" t="n">
        <v>30</v>
      </c>
      <c r="B115" s="34" t="n">
        <v>34973</v>
      </c>
      <c r="C115" s="207" t="n">
        <v>0</v>
      </c>
      <c r="D115" s="29" t="s">
        <v>42</v>
      </c>
      <c r="E115" s="33" t="n">
        <f aca="false">IF(D115="totale",(C115/(A115*24))/F115,IF(D115="marché libre",(C115/(A115*24))/G115,"spécifier histo"))</f>
        <v>0</v>
      </c>
      <c r="F115" s="59" t="n">
        <v>962</v>
      </c>
      <c r="G115" s="59" t="n">
        <f aca="false">F115-H115</f>
        <v>962</v>
      </c>
      <c r="H115" s="59" t="n">
        <v>0</v>
      </c>
      <c r="I115" s="9"/>
      <c r="J115" s="30"/>
      <c r="K115" s="30"/>
    </row>
    <row r="116" customFormat="false" ht="23.4" hidden="false" customHeight="true" outlineLevel="0" collapsed="false">
      <c r="A116" s="1" t="n">
        <v>31</v>
      </c>
      <c r="B116" s="31" t="n">
        <v>35004</v>
      </c>
      <c r="C116" s="207" t="n">
        <v>71800</v>
      </c>
      <c r="D116" s="29" t="s">
        <v>42</v>
      </c>
      <c r="E116" s="33" t="n">
        <f aca="false">IF(D116="totale",(C116/(A116*24))/F116,IF(D116="marché libre",(C116/(A116*24))/G116,"spécifier histo"))</f>
        <v>0.100317439027116</v>
      </c>
      <c r="F116" s="59" t="n">
        <v>962</v>
      </c>
      <c r="G116" s="59" t="n">
        <f aca="false">F116-H116</f>
        <v>962</v>
      </c>
      <c r="H116" s="59" t="n">
        <v>0</v>
      </c>
      <c r="I116" s="9"/>
      <c r="J116" s="30"/>
      <c r="K116" s="30"/>
    </row>
    <row r="117" customFormat="false" ht="23.4" hidden="false" customHeight="true" outlineLevel="0" collapsed="false">
      <c r="A117" s="1" t="n">
        <v>30</v>
      </c>
      <c r="B117" s="34" t="n">
        <v>35034</v>
      </c>
      <c r="C117" s="207" t="n">
        <v>277600</v>
      </c>
      <c r="D117" s="29" t="s">
        <v>42</v>
      </c>
      <c r="E117" s="33" t="n">
        <f aca="false">IF(D117="totale",(C117/(A117*24))/F117,IF(D117="marché libre",(C117/(A117*24))/G117,"spécifier histo"))</f>
        <v>0.400785400785401</v>
      </c>
      <c r="F117" s="59" t="n">
        <v>962</v>
      </c>
      <c r="G117" s="59" t="n">
        <f aca="false">F117-H117</f>
        <v>962</v>
      </c>
      <c r="H117" s="59" t="n">
        <v>0</v>
      </c>
      <c r="I117" s="9"/>
      <c r="J117" s="30"/>
      <c r="K117" s="30"/>
    </row>
    <row r="118" customFormat="false" ht="23.4" hidden="false" customHeight="true" outlineLevel="0" collapsed="false">
      <c r="A118" s="1" t="n">
        <v>31</v>
      </c>
      <c r="B118" s="31" t="n">
        <v>35065</v>
      </c>
      <c r="C118" s="207" t="n">
        <v>522200</v>
      </c>
      <c r="D118" s="29" t="s">
        <v>42</v>
      </c>
      <c r="E118" s="33" t="n">
        <f aca="false">IF(D118="totale",(C118/(A118*24))/F118,IF(D118="marché libre",(C118/(A118*24))/G118,"spécifier histo"))</f>
        <v>0.729606777993875</v>
      </c>
      <c r="F118" s="59" t="n">
        <v>962</v>
      </c>
      <c r="G118" s="59" t="n">
        <f aca="false">F118-H118</f>
        <v>962</v>
      </c>
      <c r="H118" s="59" t="n">
        <v>0</v>
      </c>
      <c r="I118" s="9"/>
      <c r="J118" s="30"/>
      <c r="K118" s="30"/>
    </row>
    <row r="119" customFormat="false" ht="23.4" hidden="false" customHeight="true" outlineLevel="0" collapsed="false">
      <c r="A119" s="1" t="n">
        <v>31</v>
      </c>
      <c r="B119" s="34" t="n">
        <v>35096</v>
      </c>
      <c r="C119" s="207" t="n">
        <v>459800</v>
      </c>
      <c r="D119" s="29" t="s">
        <v>42</v>
      </c>
      <c r="E119" s="33" t="n">
        <f aca="false">IF(D119="totale",(C119/(A119*24))/F119,IF(D119="marché libre",(C119/(A119*24))/G119,"spécifier histo"))</f>
        <v>0.642422819842175</v>
      </c>
      <c r="F119" s="59" t="n">
        <v>962</v>
      </c>
      <c r="G119" s="59" t="n">
        <f aca="false">F119-H119</f>
        <v>962</v>
      </c>
      <c r="H119" s="59" t="n">
        <v>0</v>
      </c>
      <c r="I119" s="9"/>
      <c r="J119" s="30"/>
      <c r="K119" s="30"/>
    </row>
    <row r="120" customFormat="false" ht="23.4" hidden="false" customHeight="true" outlineLevel="0" collapsed="false">
      <c r="A120" s="1" t="n">
        <v>30</v>
      </c>
      <c r="B120" s="31" t="n">
        <v>35125</v>
      </c>
      <c r="C120" s="207" t="n">
        <v>469000</v>
      </c>
      <c r="D120" s="29" t="s">
        <v>42</v>
      </c>
      <c r="E120" s="33" t="n">
        <f aca="false">IF(D120="totale",(C120/(A120*24))/F120,IF(D120="marché libre",(C120/(A120*24))/G120,"spécifier histo"))</f>
        <v>0.677119427119427</v>
      </c>
      <c r="F120" s="59" t="n">
        <v>962</v>
      </c>
      <c r="G120" s="59" t="n">
        <f aca="false">F120-H120</f>
        <v>962</v>
      </c>
      <c r="H120" s="59" t="n">
        <v>0</v>
      </c>
      <c r="I120" s="9"/>
      <c r="J120" s="30"/>
      <c r="K120" s="30"/>
    </row>
    <row r="121" customFormat="false" ht="23.4" hidden="false" customHeight="true" outlineLevel="0" collapsed="false">
      <c r="A121" s="1" t="n">
        <v>31</v>
      </c>
      <c r="B121" s="34" t="n">
        <v>35156</v>
      </c>
      <c r="C121" s="207" t="n">
        <v>196400</v>
      </c>
      <c r="D121" s="29" t="s">
        <v>42</v>
      </c>
      <c r="E121" s="33" t="n">
        <f aca="false">IF(D121="totale",(C121/(A121*24))/F121,IF(D121="marché libre",(C121/(A121*24))/G121,"spécifier histo"))</f>
        <v>0.27440591956721</v>
      </c>
      <c r="F121" s="59" t="n">
        <v>962</v>
      </c>
      <c r="G121" s="59" t="n">
        <f aca="false">F121-H121</f>
        <v>962</v>
      </c>
      <c r="H121" s="59" t="n">
        <v>0</v>
      </c>
      <c r="I121" s="9"/>
      <c r="J121" s="30"/>
      <c r="K121" s="30"/>
    </row>
    <row r="122" customFormat="false" ht="23.4" hidden="false" customHeight="true" outlineLevel="0" collapsed="false">
      <c r="A122" s="1" t="n">
        <v>30</v>
      </c>
      <c r="B122" s="31" t="n">
        <v>35186</v>
      </c>
      <c r="C122" s="207" t="n">
        <v>507600</v>
      </c>
      <c r="D122" s="29" t="s">
        <v>42</v>
      </c>
      <c r="E122" s="33" t="n">
        <f aca="false">IF(D122="totale",(C122/(A122*24))/F122,IF(D122="marché libre",(C122/(A122*24))/G122,"spécifier histo"))</f>
        <v>0.732848232848233</v>
      </c>
      <c r="F122" s="59" t="n">
        <v>962</v>
      </c>
      <c r="G122" s="59" t="n">
        <f aca="false">F122-H122</f>
        <v>962</v>
      </c>
      <c r="H122" s="59" t="n">
        <v>0</v>
      </c>
      <c r="I122" s="9"/>
      <c r="J122" s="30"/>
      <c r="K122" s="30"/>
    </row>
    <row r="123" customFormat="false" ht="23.4" hidden="false" customHeight="true" outlineLevel="0" collapsed="false">
      <c r="A123" s="1" t="n">
        <v>31</v>
      </c>
      <c r="B123" s="34" t="n">
        <v>35217</v>
      </c>
      <c r="C123" s="207" t="n">
        <v>188400</v>
      </c>
      <c r="D123" s="29" t="s">
        <v>42</v>
      </c>
      <c r="E123" s="33" t="n">
        <f aca="false">IF(D123="totale",(C123/(A123*24))/F123,IF(D123="marché libre",(C123/(A123*24))/G123,"spécifier histo"))</f>
        <v>0.263228489034941</v>
      </c>
      <c r="F123" s="59" t="n">
        <v>962</v>
      </c>
      <c r="G123" s="59" t="n">
        <f aca="false">F123-H123</f>
        <v>962</v>
      </c>
      <c r="H123" s="59" t="n">
        <v>0</v>
      </c>
      <c r="I123" s="9"/>
      <c r="J123" s="30"/>
      <c r="K123" s="30"/>
    </row>
    <row r="124" customFormat="false" ht="23.4" hidden="false" customHeight="true" outlineLevel="0" collapsed="false">
      <c r="A124" s="1" t="n">
        <v>31</v>
      </c>
      <c r="B124" s="31" t="n">
        <v>35247</v>
      </c>
      <c r="C124" s="207" t="n">
        <v>0</v>
      </c>
      <c r="D124" s="29" t="s">
        <v>42</v>
      </c>
      <c r="E124" s="33" t="n">
        <f aca="false">IF(D124="totale",(C124/(A124*24))/F124,IF(D124="marché libre",(C124/(A124*24))/G124,"spécifier histo"))</f>
        <v>0</v>
      </c>
      <c r="F124" s="59" t="n">
        <v>962</v>
      </c>
      <c r="G124" s="59" t="n">
        <f aca="false">F124-H124</f>
        <v>962</v>
      </c>
      <c r="H124" s="59" t="n">
        <v>0</v>
      </c>
      <c r="I124" s="9"/>
      <c r="J124" s="30"/>
      <c r="K124" s="30"/>
    </row>
    <row r="125" customFormat="false" ht="23.4" hidden="false" customHeight="true" outlineLevel="0" collapsed="false">
      <c r="A125" s="0" t="n">
        <v>28</v>
      </c>
      <c r="B125" s="34" t="n">
        <v>35278</v>
      </c>
      <c r="C125" s="207" t="n">
        <v>0</v>
      </c>
      <c r="D125" s="29" t="s">
        <v>42</v>
      </c>
      <c r="E125" s="33" t="n">
        <f aca="false">IF(D125="totale",(C125/(A125*24))/F125,IF(D125="marché libre",(C125/(A125*24))/G125,"spécifier histo"))</f>
        <v>0</v>
      </c>
      <c r="F125" s="59" t="n">
        <v>962</v>
      </c>
      <c r="G125" s="59" t="n">
        <f aca="false">F125-H125</f>
        <v>962</v>
      </c>
      <c r="H125" s="59" t="n">
        <v>0</v>
      </c>
      <c r="I125" s="9"/>
      <c r="J125" s="30"/>
      <c r="K125" s="30"/>
    </row>
    <row r="126" customFormat="false" ht="23.4" hidden="false" customHeight="true" outlineLevel="0" collapsed="false">
      <c r="A126" s="0" t="n">
        <v>31</v>
      </c>
      <c r="B126" s="31" t="n">
        <v>35309</v>
      </c>
      <c r="C126" s="207" t="n">
        <v>0</v>
      </c>
      <c r="D126" s="29" t="s">
        <v>42</v>
      </c>
      <c r="E126" s="33" t="n">
        <f aca="false">IF(D126="totale",(C126/(A126*24))/F126,IF(D126="marché libre",(C126/(A126*24))/G126,"spécifier histo"))</f>
        <v>0</v>
      </c>
      <c r="F126" s="59" t="n">
        <v>962</v>
      </c>
      <c r="G126" s="59" t="n">
        <f aca="false">F126-H126</f>
        <v>962</v>
      </c>
      <c r="H126" s="59" t="n">
        <v>0</v>
      </c>
      <c r="I126" s="9"/>
      <c r="J126" s="30"/>
      <c r="K126" s="30"/>
    </row>
    <row r="127" customFormat="false" ht="23.4" hidden="false" customHeight="true" outlineLevel="0" collapsed="false">
      <c r="A127" s="0" t="n">
        <v>30</v>
      </c>
      <c r="B127" s="34" t="n">
        <v>35339</v>
      </c>
      <c r="C127" s="207" t="n">
        <v>6600</v>
      </c>
      <c r="D127" s="29" t="s">
        <v>42</v>
      </c>
      <c r="E127" s="33" t="n">
        <f aca="false">IF(D127="totale",(C127/(A127*24))/F127,IF(D127="marché libre",(C127/(A127*24))/G127,"spécifier histo"))</f>
        <v>0.00952875952875953</v>
      </c>
      <c r="F127" s="59" t="n">
        <v>962</v>
      </c>
      <c r="G127" s="59" t="n">
        <f aca="false">F127-H127</f>
        <v>962</v>
      </c>
      <c r="H127" s="59" t="n">
        <v>0</v>
      </c>
      <c r="I127" s="9"/>
      <c r="J127" s="30"/>
      <c r="K127" s="30"/>
    </row>
    <row r="128" customFormat="false" ht="23.4" hidden="false" customHeight="true" outlineLevel="0" collapsed="false">
      <c r="A128" s="0" t="n">
        <v>31</v>
      </c>
      <c r="B128" s="31" t="n">
        <v>35370</v>
      </c>
      <c r="C128" s="207" t="n">
        <v>301400</v>
      </c>
      <c r="D128" s="29" t="s">
        <v>42</v>
      </c>
      <c r="E128" s="33" t="n">
        <f aca="false">IF(D128="totale",(C128/(A128*24))/F128,IF(D128="marché libre",(C128/(A128*24))/G128,"spécifier histo"))</f>
        <v>0.421109695303244</v>
      </c>
      <c r="F128" s="59" t="n">
        <v>962</v>
      </c>
      <c r="G128" s="59" t="n">
        <f aca="false">F128-H128</f>
        <v>962</v>
      </c>
      <c r="H128" s="59" t="n">
        <v>0</v>
      </c>
      <c r="I128" s="9"/>
      <c r="J128" s="30"/>
      <c r="K128" s="30"/>
    </row>
    <row r="129" customFormat="false" ht="23.4" hidden="false" customHeight="true" outlineLevel="0" collapsed="false">
      <c r="A129" s="0" t="n">
        <v>30</v>
      </c>
      <c r="B129" s="34" t="n">
        <v>35400</v>
      </c>
      <c r="C129" s="207" t="n">
        <v>641000</v>
      </c>
      <c r="D129" s="29" t="s">
        <v>42</v>
      </c>
      <c r="E129" s="33" t="n">
        <f aca="false">IF(D129="totale",(C129/(A129*24))/F129,IF(D129="marché libre",(C129/(A129*24))/G129,"spécifier histo"))</f>
        <v>0.925444675444675</v>
      </c>
      <c r="F129" s="59" t="n">
        <v>962</v>
      </c>
      <c r="G129" s="59" t="n">
        <f aca="false">F129-H129</f>
        <v>962</v>
      </c>
      <c r="H129" s="59" t="n">
        <v>0</v>
      </c>
      <c r="I129" s="9"/>
      <c r="J129" s="30"/>
      <c r="K129" s="30"/>
    </row>
    <row r="130" customFormat="false" ht="23.4" hidden="false" customHeight="true" outlineLevel="0" collapsed="false">
      <c r="A130" s="0" t="n">
        <v>31</v>
      </c>
      <c r="B130" s="31" t="n">
        <v>35431</v>
      </c>
      <c r="C130" s="207" t="n">
        <v>566000</v>
      </c>
      <c r="D130" s="29" t="s">
        <v>42</v>
      </c>
      <c r="E130" s="33" t="n">
        <f aca="false">IF(D130="totale",(C130/(A130*24))/F130,IF(D130="marché libre",(C130/(A130*24))/G130,"spécifier histo"))</f>
        <v>0.790803210158049</v>
      </c>
      <c r="F130" s="59" t="n">
        <v>962</v>
      </c>
      <c r="G130" s="59" t="n">
        <f aca="false">F130-H130</f>
        <v>962</v>
      </c>
      <c r="H130" s="59" t="n">
        <v>0</v>
      </c>
      <c r="I130" s="9"/>
      <c r="J130" s="30"/>
      <c r="K130" s="30"/>
    </row>
    <row r="131" customFormat="false" ht="23.4" hidden="false" customHeight="true" outlineLevel="0" collapsed="false">
      <c r="A131" s="0" t="n">
        <v>31</v>
      </c>
      <c r="B131" s="34" t="n">
        <v>35462</v>
      </c>
      <c r="C131" s="207" t="n">
        <v>431000</v>
      </c>
      <c r="D131" s="29" t="s">
        <v>42</v>
      </c>
      <c r="E131" s="33" t="n">
        <f aca="false">IF(D131="totale",(C131/(A131*24))/F131,IF(D131="marché libre",(C131/(A131*24))/G131,"spécifier histo"))</f>
        <v>0.602184069926005</v>
      </c>
      <c r="F131" s="59" t="n">
        <v>962</v>
      </c>
      <c r="G131" s="59" t="n">
        <f aca="false">F131-H131</f>
        <v>962</v>
      </c>
      <c r="H131" s="59" t="n">
        <v>0</v>
      </c>
      <c r="I131" s="9"/>
      <c r="J131" s="30"/>
      <c r="K131" s="30"/>
    </row>
    <row r="132" customFormat="false" ht="23.4" hidden="false" customHeight="true" outlineLevel="0" collapsed="false">
      <c r="A132" s="0" t="n">
        <v>30</v>
      </c>
      <c r="B132" s="31" t="n">
        <v>35490</v>
      </c>
      <c r="C132" s="207" t="n">
        <v>16600</v>
      </c>
      <c r="D132" s="29" t="s">
        <v>42</v>
      </c>
      <c r="E132" s="33" t="n">
        <f aca="false">IF(D132="totale",(C132/(A132*24))/F132,IF(D132="marché libre",(C132/(A132*24))/G132,"spécifier histo"))</f>
        <v>0.023966273966274</v>
      </c>
      <c r="F132" s="59" t="n">
        <v>962</v>
      </c>
      <c r="G132" s="59" t="n">
        <f aca="false">F132-H132</f>
        <v>962</v>
      </c>
      <c r="H132" s="59" t="n">
        <v>0</v>
      </c>
      <c r="I132" s="9"/>
      <c r="J132" s="30"/>
      <c r="K132" s="30"/>
    </row>
    <row r="133" customFormat="false" ht="23.4" hidden="false" customHeight="true" outlineLevel="0" collapsed="false">
      <c r="A133" s="0" t="n">
        <v>31</v>
      </c>
      <c r="B133" s="34" t="n">
        <v>35521</v>
      </c>
      <c r="C133" s="207" t="n">
        <v>0</v>
      </c>
      <c r="D133" s="29" t="s">
        <v>42</v>
      </c>
      <c r="E133" s="33" t="n">
        <f aca="false">IF(D133="totale",(C133/(A133*24))/F133,IF(D133="marché libre",(C133/(A133*24))/G133,"spécifier histo"))</f>
        <v>0</v>
      </c>
      <c r="F133" s="59" t="n">
        <v>962</v>
      </c>
      <c r="G133" s="59" t="n">
        <f aca="false">F133-H133</f>
        <v>962</v>
      </c>
      <c r="H133" s="59" t="n">
        <v>0</v>
      </c>
      <c r="I133" s="9"/>
      <c r="J133" s="30"/>
      <c r="K133" s="30"/>
    </row>
    <row r="134" customFormat="false" ht="23.4" hidden="false" customHeight="true" outlineLevel="0" collapsed="false">
      <c r="A134" s="0" t="n">
        <v>30</v>
      </c>
      <c r="B134" s="31" t="n">
        <v>35551</v>
      </c>
      <c r="C134" s="207" t="n">
        <v>0</v>
      </c>
      <c r="D134" s="29" t="s">
        <v>42</v>
      </c>
      <c r="E134" s="33" t="n">
        <f aca="false">IF(D134="totale",(C134/(A134*24))/F134,IF(D134="marché libre",(C134/(A134*24))/G134,"spécifier histo"))</f>
        <v>0</v>
      </c>
      <c r="F134" s="59" t="n">
        <v>962</v>
      </c>
      <c r="G134" s="59" t="n">
        <f aca="false">F134-H134</f>
        <v>962</v>
      </c>
      <c r="H134" s="59" t="n">
        <v>0</v>
      </c>
      <c r="I134" s="9"/>
      <c r="J134" s="30"/>
      <c r="K134" s="30"/>
    </row>
    <row r="135" customFormat="false" ht="23.4" hidden="false" customHeight="true" outlineLevel="0" collapsed="false">
      <c r="A135" s="0" t="n">
        <v>31</v>
      </c>
      <c r="B135" s="34" t="n">
        <v>35582</v>
      </c>
      <c r="C135" s="207" t="n">
        <v>0</v>
      </c>
      <c r="D135" s="29" t="s">
        <v>42</v>
      </c>
      <c r="E135" s="33" t="n">
        <f aca="false">IF(D135="totale",(C135/(A135*24))/F135,IF(D135="marché libre",(C135/(A135*24))/G135,"spécifier histo"))</f>
        <v>0</v>
      </c>
      <c r="F135" s="59" t="n">
        <v>962</v>
      </c>
      <c r="G135" s="59" t="n">
        <f aca="false">F135-H135</f>
        <v>962</v>
      </c>
      <c r="H135" s="59" t="n">
        <v>0</v>
      </c>
      <c r="I135" s="9"/>
      <c r="J135" s="30"/>
      <c r="K135" s="30"/>
    </row>
    <row r="136" customFormat="false" ht="23.4" hidden="false" customHeight="true" outlineLevel="0" collapsed="false">
      <c r="A136" s="0" t="n">
        <v>31</v>
      </c>
      <c r="B136" s="31" t="n">
        <v>35612</v>
      </c>
      <c r="C136" s="207" t="n">
        <v>0</v>
      </c>
      <c r="D136" s="29" t="s">
        <v>42</v>
      </c>
      <c r="E136" s="33" t="n">
        <f aca="false">IF(D136="totale",(C136/(A136*24))/F136,IF(D136="marché libre",(C136/(A136*24))/G136,"spécifier histo"))</f>
        <v>0</v>
      </c>
      <c r="F136" s="59" t="n">
        <v>962</v>
      </c>
      <c r="G136" s="59" t="n">
        <f aca="false">F136-H136</f>
        <v>962</v>
      </c>
      <c r="H136" s="59" t="n">
        <v>0</v>
      </c>
      <c r="I136" s="9"/>
      <c r="J136" s="30"/>
      <c r="K136" s="30"/>
    </row>
    <row r="137" customFormat="false" ht="23.4" hidden="false" customHeight="true" outlineLevel="0" collapsed="false">
      <c r="A137" s="0" t="n">
        <v>28</v>
      </c>
      <c r="B137" s="34" t="n">
        <v>35643</v>
      </c>
      <c r="C137" s="207" t="n">
        <v>0</v>
      </c>
      <c r="D137" s="29" t="s">
        <v>42</v>
      </c>
      <c r="E137" s="33" t="n">
        <f aca="false">IF(D137="totale",(C137/(A137*24))/F137,IF(D137="marché libre",(C137/(A137*24))/G137,"spécifier histo"))</f>
        <v>0</v>
      </c>
      <c r="F137" s="59" t="n">
        <v>962</v>
      </c>
      <c r="G137" s="59" t="n">
        <f aca="false">F137-H137</f>
        <v>962</v>
      </c>
      <c r="H137" s="59" t="n">
        <v>0</v>
      </c>
      <c r="I137" s="9"/>
      <c r="J137" s="30"/>
      <c r="K137" s="30"/>
    </row>
    <row r="138" customFormat="false" ht="23.4" hidden="false" customHeight="true" outlineLevel="0" collapsed="false">
      <c r="A138" s="0" t="n">
        <v>31</v>
      </c>
      <c r="B138" s="31" t="n">
        <v>35674</v>
      </c>
      <c r="C138" s="207" t="n">
        <v>0</v>
      </c>
      <c r="D138" s="29" t="s">
        <v>42</v>
      </c>
      <c r="E138" s="33" t="n">
        <f aca="false">IF(D138="totale",(C138/(A138*24))/F138,IF(D138="marché libre",(C138/(A138*24))/G138,"spécifier histo"))</f>
        <v>0</v>
      </c>
      <c r="F138" s="59" t="n">
        <v>962</v>
      </c>
      <c r="G138" s="59" t="n">
        <f aca="false">F138-H138</f>
        <v>962</v>
      </c>
      <c r="H138" s="59" t="n">
        <v>0</v>
      </c>
      <c r="I138" s="9"/>
      <c r="J138" s="30"/>
      <c r="K138" s="30"/>
    </row>
    <row r="139" customFormat="false" ht="23.4" hidden="false" customHeight="true" outlineLevel="0" collapsed="false">
      <c r="A139" s="0" t="n">
        <v>30</v>
      </c>
      <c r="B139" s="34" t="n">
        <v>35704</v>
      </c>
      <c r="C139" s="207" t="n">
        <v>0</v>
      </c>
      <c r="D139" s="29" t="s">
        <v>42</v>
      </c>
      <c r="E139" s="33" t="n">
        <f aca="false">IF(D139="totale",(C139/(A139*24))/F139,IF(D139="marché libre",(C139/(A139*24))/G139,"spécifier histo"))</f>
        <v>0</v>
      </c>
      <c r="F139" s="59" t="n">
        <v>962</v>
      </c>
      <c r="G139" s="59" t="n">
        <f aca="false">F139-H139</f>
        <v>962</v>
      </c>
      <c r="H139" s="59" t="n">
        <v>0</v>
      </c>
      <c r="I139" s="9"/>
      <c r="J139" s="30"/>
      <c r="K139" s="30"/>
    </row>
    <row r="140" customFormat="false" ht="23.4" hidden="false" customHeight="true" outlineLevel="0" collapsed="false">
      <c r="A140" s="0" t="n">
        <v>31</v>
      </c>
      <c r="B140" s="31" t="n">
        <v>35735</v>
      </c>
      <c r="C140" s="207" t="n">
        <v>102600</v>
      </c>
      <c r="D140" s="29" t="s">
        <v>42</v>
      </c>
      <c r="E140" s="33" t="n">
        <f aca="false">IF(D140="totale",(C140/(A140*24))/F140,IF(D140="marché libre",(C140/(A140*24))/G140,"spécifier histo"))</f>
        <v>0.143350546576353</v>
      </c>
      <c r="F140" s="59" t="n">
        <v>962</v>
      </c>
      <c r="G140" s="59" t="n">
        <f aca="false">F140-H140</f>
        <v>962</v>
      </c>
      <c r="H140" s="59" t="n">
        <v>0</v>
      </c>
      <c r="I140" s="9"/>
      <c r="J140" s="30"/>
      <c r="K140" s="30"/>
    </row>
    <row r="141" customFormat="false" ht="23.4" hidden="false" customHeight="true" outlineLevel="0" collapsed="false">
      <c r="A141" s="0" t="n">
        <v>30</v>
      </c>
      <c r="B141" s="34" t="n">
        <v>35765</v>
      </c>
      <c r="C141" s="207" t="n">
        <v>291600</v>
      </c>
      <c r="D141" s="29" t="s">
        <v>42</v>
      </c>
      <c r="E141" s="33" t="n">
        <f aca="false">IF(D141="totale",(C141/(A141*24))/F141,IF(D141="marché libre",(C141/(A141*24))/G141,"spécifier histo"))</f>
        <v>0.420997920997921</v>
      </c>
      <c r="F141" s="59" t="n">
        <v>962</v>
      </c>
      <c r="G141" s="59" t="n">
        <f aca="false">F141-H141</f>
        <v>962</v>
      </c>
      <c r="H141" s="59" t="n">
        <v>0</v>
      </c>
      <c r="I141" s="9"/>
      <c r="J141" s="30"/>
      <c r="K141" s="30"/>
    </row>
    <row r="142" customFormat="false" ht="23.4" hidden="false" customHeight="true" outlineLevel="0" collapsed="false">
      <c r="A142" s="0" t="n">
        <v>31</v>
      </c>
      <c r="B142" s="31" t="n">
        <v>35796</v>
      </c>
      <c r="C142" s="207" t="n">
        <v>474400</v>
      </c>
      <c r="D142" s="29" t="s">
        <v>42</v>
      </c>
      <c r="E142" s="33" t="n">
        <f aca="false">IF(D142="totale",(C142/(A142*24))/F142,IF(D142="marché libre",(C142/(A142*24))/G142,"spécifier histo"))</f>
        <v>0.662821630563566</v>
      </c>
      <c r="F142" s="59" t="n">
        <v>962</v>
      </c>
      <c r="G142" s="59" t="n">
        <f aca="false">F142-H142</f>
        <v>962</v>
      </c>
      <c r="H142" s="59" t="n">
        <v>0</v>
      </c>
      <c r="I142" s="9"/>
      <c r="J142" s="30"/>
      <c r="K142" s="30"/>
    </row>
    <row r="143" customFormat="false" ht="23.4" hidden="false" customHeight="true" outlineLevel="0" collapsed="false">
      <c r="A143" s="0" t="n">
        <v>31</v>
      </c>
      <c r="B143" s="34" t="n">
        <v>35827</v>
      </c>
      <c r="C143" s="207" t="n">
        <v>149800</v>
      </c>
      <c r="D143" s="29" t="s">
        <v>42</v>
      </c>
      <c r="E143" s="33" t="n">
        <f aca="false">IF(D143="totale",(C143/(A143*24))/F143,IF(D143="marché libre",(C143/(A143*24))/G143,"spécifier histo"))</f>
        <v>0.209297386716742</v>
      </c>
      <c r="F143" s="59" t="n">
        <v>962</v>
      </c>
      <c r="G143" s="59" t="n">
        <f aca="false">F143-H143</f>
        <v>962</v>
      </c>
      <c r="H143" s="59" t="n">
        <v>0</v>
      </c>
      <c r="I143" s="9"/>
      <c r="J143" s="30"/>
      <c r="K143" s="30"/>
    </row>
    <row r="144" customFormat="false" ht="23.4" hidden="false" customHeight="true" outlineLevel="0" collapsed="false">
      <c r="A144" s="0" t="n">
        <v>30</v>
      </c>
      <c r="B144" s="31" t="n">
        <v>35855</v>
      </c>
      <c r="C144" s="207" t="n">
        <v>96600</v>
      </c>
      <c r="D144" s="29" t="s">
        <v>42</v>
      </c>
      <c r="E144" s="33" t="n">
        <f aca="false">IF(D144="totale",(C144/(A144*24))/F144,IF(D144="marché libre",(C144/(A144*24))/G144,"spécifier histo"))</f>
        <v>0.139466389466389</v>
      </c>
      <c r="F144" s="59" t="n">
        <v>962</v>
      </c>
      <c r="G144" s="59" t="n">
        <f aca="false">F144-H144</f>
        <v>962</v>
      </c>
      <c r="H144" s="59" t="n">
        <v>0</v>
      </c>
      <c r="I144" s="9"/>
      <c r="J144" s="30"/>
      <c r="K144" s="30"/>
    </row>
    <row r="145" customFormat="false" ht="23.4" hidden="false" customHeight="true" outlineLevel="0" collapsed="false">
      <c r="A145" s="0" t="n">
        <v>31</v>
      </c>
      <c r="B145" s="34" t="n">
        <v>35886</v>
      </c>
      <c r="C145" s="207" t="n">
        <v>459200</v>
      </c>
      <c r="D145" s="29" t="s">
        <v>42</v>
      </c>
      <c r="E145" s="33" t="n">
        <f aca="false">IF(D145="totale",(C145/(A145*24))/F145,IF(D145="marché libre",(C145/(A145*24))/G145,"spécifier histo"))</f>
        <v>0.641584512552255</v>
      </c>
      <c r="F145" s="59" t="n">
        <v>962</v>
      </c>
      <c r="G145" s="59" t="n">
        <f aca="false">F145-H145</f>
        <v>962</v>
      </c>
      <c r="H145" s="59" t="n">
        <v>0</v>
      </c>
      <c r="I145" s="9"/>
      <c r="J145" s="30"/>
      <c r="K145" s="30"/>
    </row>
    <row r="146" customFormat="false" ht="23.4" hidden="false" customHeight="true" outlineLevel="0" collapsed="false">
      <c r="A146" s="0" t="n">
        <v>30</v>
      </c>
      <c r="B146" s="31" t="n">
        <v>35916</v>
      </c>
      <c r="C146" s="207" t="n">
        <v>351400</v>
      </c>
      <c r="D146" s="29" t="s">
        <v>42</v>
      </c>
      <c r="E146" s="33" t="n">
        <f aca="false">IF(D146="totale",(C146/(A146*24))/F146,IF(D146="marché libre",(C146/(A146*24))/G146,"spécifier histo"))</f>
        <v>0.507334257334257</v>
      </c>
      <c r="F146" s="59" t="n">
        <v>962</v>
      </c>
      <c r="G146" s="59" t="n">
        <f aca="false">F146-H146</f>
        <v>962</v>
      </c>
      <c r="H146" s="59" t="n">
        <v>0</v>
      </c>
      <c r="I146" s="9"/>
      <c r="J146" s="30"/>
      <c r="K146" s="30"/>
    </row>
    <row r="147" customFormat="false" ht="23.4" hidden="false" customHeight="true" outlineLevel="0" collapsed="false">
      <c r="A147" s="0" t="n">
        <v>31</v>
      </c>
      <c r="B147" s="34" t="n">
        <v>35947</v>
      </c>
      <c r="C147" s="207" t="n">
        <v>249800</v>
      </c>
      <c r="D147" s="29" t="s">
        <v>42</v>
      </c>
      <c r="E147" s="33" t="n">
        <f aca="false">IF(D147="totale",(C147/(A147*24))/F147,IF(D147="marché libre",(C147/(A147*24))/G147,"spécifier histo"))</f>
        <v>0.349015268370107</v>
      </c>
      <c r="F147" s="59" t="n">
        <v>962</v>
      </c>
      <c r="G147" s="59" t="n">
        <f aca="false">F147-H147</f>
        <v>962</v>
      </c>
      <c r="H147" s="59" t="n">
        <v>0</v>
      </c>
      <c r="I147" s="9"/>
      <c r="J147" s="30"/>
      <c r="K147" s="30"/>
    </row>
    <row r="148" customFormat="false" ht="23.4" hidden="false" customHeight="true" outlineLevel="0" collapsed="false">
      <c r="A148" s="0" t="n">
        <v>31</v>
      </c>
      <c r="B148" s="31" t="n">
        <v>35977</v>
      </c>
      <c r="C148" s="207" t="n">
        <v>0</v>
      </c>
      <c r="D148" s="29" t="s">
        <v>42</v>
      </c>
      <c r="E148" s="33" t="n">
        <f aca="false">IF(D148="totale",(C148/(A148*24))/F148,IF(D148="marché libre",(C148/(A148*24))/G148,"spécifier histo"))</f>
        <v>0</v>
      </c>
      <c r="F148" s="59" t="n">
        <v>962</v>
      </c>
      <c r="G148" s="59" t="n">
        <f aca="false">F148-H148</f>
        <v>962</v>
      </c>
      <c r="H148" s="59" t="n">
        <v>0</v>
      </c>
      <c r="I148" s="9"/>
      <c r="J148" s="30"/>
      <c r="K148" s="30"/>
    </row>
    <row r="149" customFormat="false" ht="23.4" hidden="false" customHeight="true" outlineLevel="0" collapsed="false">
      <c r="A149" s="0" t="n">
        <v>28</v>
      </c>
      <c r="B149" s="34" t="n">
        <v>36008</v>
      </c>
      <c r="C149" s="207" t="n">
        <v>0</v>
      </c>
      <c r="D149" s="29" t="s">
        <v>42</v>
      </c>
      <c r="E149" s="33" t="n">
        <f aca="false">IF(D149="totale",(C149/(A149*24))/F149,IF(D149="marché libre",(C149/(A149*24))/G149,"spécifier histo"))</f>
        <v>0</v>
      </c>
      <c r="F149" s="59" t="n">
        <v>962</v>
      </c>
      <c r="G149" s="59" t="n">
        <f aca="false">F149-H149</f>
        <v>962</v>
      </c>
      <c r="H149" s="59" t="n">
        <v>0</v>
      </c>
      <c r="I149" s="9"/>
      <c r="J149" s="30"/>
      <c r="K149" s="30"/>
    </row>
    <row r="150" customFormat="false" ht="23.4" hidden="false" customHeight="true" outlineLevel="0" collapsed="false">
      <c r="A150" s="0" t="n">
        <v>31</v>
      </c>
      <c r="B150" s="31" t="n">
        <v>36039</v>
      </c>
      <c r="C150" s="207" t="n">
        <v>0</v>
      </c>
      <c r="D150" s="29" t="s">
        <v>42</v>
      </c>
      <c r="E150" s="33" t="n">
        <f aca="false">IF(D150="totale",(C150/(A150*24))/F150,IF(D150="marché libre",(C150/(A150*24))/G150,"spécifier histo"))</f>
        <v>0</v>
      </c>
      <c r="F150" s="59" t="n">
        <v>962</v>
      </c>
      <c r="G150" s="59" t="n">
        <f aca="false">F150-H150</f>
        <v>962</v>
      </c>
      <c r="H150" s="59" t="n">
        <v>0</v>
      </c>
      <c r="I150" s="9"/>
      <c r="J150" s="30"/>
      <c r="K150" s="30"/>
    </row>
    <row r="151" customFormat="false" ht="23.4" hidden="false" customHeight="true" outlineLevel="0" collapsed="false">
      <c r="A151" s="0" t="n">
        <v>28</v>
      </c>
      <c r="B151" s="34" t="n">
        <v>36069</v>
      </c>
      <c r="C151" s="207" t="n">
        <v>33400</v>
      </c>
      <c r="D151" s="29" t="s">
        <v>42</v>
      </c>
      <c r="E151" s="33" t="n">
        <f aca="false">IF(D151="totale",(C151/(A151*24))/F151,IF(D151="marché libre",(C151/(A151*24))/G151,"spécifier histo"))</f>
        <v>0.0516656766656767</v>
      </c>
      <c r="F151" s="59" t="n">
        <v>962</v>
      </c>
      <c r="G151" s="59" t="n">
        <f aca="false">F151-H151</f>
        <v>962</v>
      </c>
      <c r="H151" s="59" t="n">
        <v>0</v>
      </c>
      <c r="I151" s="9"/>
      <c r="J151" s="30"/>
      <c r="K151" s="30"/>
    </row>
    <row r="152" customFormat="false" ht="23.4" hidden="false" customHeight="true" outlineLevel="0" collapsed="false">
      <c r="A152" s="0" t="n">
        <v>31</v>
      </c>
      <c r="B152" s="31" t="n">
        <v>36100</v>
      </c>
      <c r="C152" s="207" t="n">
        <v>81600</v>
      </c>
      <c r="D152" s="29" t="s">
        <v>42</v>
      </c>
      <c r="E152" s="33" t="n">
        <f aca="false">IF(D152="totale",(C152/(A152*24))/F152,IF(D152="marché libre",(C152/(A152*24))/G152,"spécifier histo"))</f>
        <v>0.114009791429146</v>
      </c>
      <c r="F152" s="59" t="n">
        <v>962</v>
      </c>
      <c r="G152" s="59" t="n">
        <f aca="false">F152-H152</f>
        <v>962</v>
      </c>
      <c r="H152" s="59" t="n">
        <v>0</v>
      </c>
      <c r="I152" s="9"/>
      <c r="J152" s="30"/>
      <c r="K152" s="30"/>
    </row>
    <row r="153" customFormat="false" ht="23.4" hidden="false" customHeight="true" outlineLevel="0" collapsed="false">
      <c r="A153" s="0" t="n">
        <v>30</v>
      </c>
      <c r="B153" s="34" t="n">
        <v>36130</v>
      </c>
      <c r="C153" s="207" t="n">
        <v>0</v>
      </c>
      <c r="D153" s="29" t="s">
        <v>42</v>
      </c>
      <c r="E153" s="33" t="n">
        <f aca="false">IF(D153="totale",(C153/(A153*24))/F153,IF(D153="marché libre",(C153/(A153*24))/G153,"spécifier histo"))</f>
        <v>0</v>
      </c>
      <c r="F153" s="59" t="n">
        <v>962</v>
      </c>
      <c r="G153" s="59" t="n">
        <f aca="false">F153-H153</f>
        <v>962</v>
      </c>
      <c r="H153" s="59" t="n">
        <v>0</v>
      </c>
      <c r="I153" s="9"/>
      <c r="J153" s="30"/>
      <c r="K153" s="30"/>
    </row>
    <row r="154" customFormat="false" ht="23.4" hidden="false" customHeight="true" outlineLevel="0" collapsed="false">
      <c r="A154" s="0" t="n">
        <v>31</v>
      </c>
      <c r="B154" s="31" t="n">
        <v>36161</v>
      </c>
      <c r="C154" s="207" t="n">
        <v>243800</v>
      </c>
      <c r="D154" s="29" t="s">
        <v>42</v>
      </c>
      <c r="E154" s="33" t="n">
        <f aca="false">IF(D154="totale",(C154/(A154*24))/F154,IF(D154="marché libre",(C154/(A154*24))/G154,"spécifier histo"))</f>
        <v>0.340632195470905</v>
      </c>
      <c r="F154" s="59" t="n">
        <v>962</v>
      </c>
      <c r="G154" s="59" t="n">
        <f aca="false">F154-H154</f>
        <v>962</v>
      </c>
      <c r="H154" s="59" t="n">
        <v>0</v>
      </c>
      <c r="I154" s="9"/>
      <c r="J154" s="30"/>
      <c r="K154" s="30"/>
    </row>
    <row r="155" customFormat="false" ht="23.4" hidden="false" customHeight="true" outlineLevel="0" collapsed="false">
      <c r="A155" s="0" t="n">
        <v>30</v>
      </c>
      <c r="B155" s="34" t="n">
        <v>36192</v>
      </c>
      <c r="C155" s="207" t="n">
        <v>404000</v>
      </c>
      <c r="D155" s="29" t="s">
        <v>42</v>
      </c>
      <c r="E155" s="33" t="n">
        <f aca="false">IF(D155="totale",(C155/(A155*24))/F155,IF(D155="marché libre",(C155/(A155*24))/G155,"spécifier histo"))</f>
        <v>0.583275583275583</v>
      </c>
      <c r="F155" s="59" t="n">
        <v>962</v>
      </c>
      <c r="G155" s="59" t="n">
        <f aca="false">F155-H155</f>
        <v>962</v>
      </c>
      <c r="H155" s="59" t="n">
        <v>0</v>
      </c>
      <c r="I155" s="9"/>
      <c r="J155" s="30"/>
      <c r="K155" s="30"/>
    </row>
    <row r="156" customFormat="false" ht="23.4" hidden="false" customHeight="true" outlineLevel="0" collapsed="false">
      <c r="A156" s="0" t="n">
        <v>31</v>
      </c>
      <c r="B156" s="31" t="n">
        <v>36220</v>
      </c>
      <c r="C156" s="207" t="n">
        <v>578400</v>
      </c>
      <c r="D156" s="29" t="s">
        <v>42</v>
      </c>
      <c r="E156" s="33" t="n">
        <f aca="false">IF(D156="totale",(C156/(A156*24))/F156,IF(D156="marché libre",(C156/(A156*24))/G156,"spécifier histo"))</f>
        <v>0.808128227483066</v>
      </c>
      <c r="F156" s="59" t="n">
        <v>962</v>
      </c>
      <c r="G156" s="59" t="n">
        <f aca="false">F156-H156</f>
        <v>962</v>
      </c>
      <c r="H156" s="59" t="n">
        <v>0</v>
      </c>
      <c r="I156" s="9"/>
      <c r="J156" s="30"/>
      <c r="K156" s="30"/>
    </row>
    <row r="157" customFormat="false" ht="23.4" hidden="false" customHeight="true" outlineLevel="0" collapsed="false">
      <c r="A157" s="0" t="n">
        <v>31</v>
      </c>
      <c r="B157" s="34" t="n">
        <v>36251</v>
      </c>
      <c r="C157" s="207" t="n">
        <v>505473</v>
      </c>
      <c r="D157" s="29" t="s">
        <v>42</v>
      </c>
      <c r="E157" s="33" t="n">
        <f aca="false">IF(D157="totale",(C157/(A157*24))/F157,IF(D157="marché libre",(C157/(A157*24))/G157,"spécifier histo"))</f>
        <v>0.706236167929716</v>
      </c>
      <c r="F157" s="59" t="n">
        <v>962</v>
      </c>
      <c r="G157" s="59" t="n">
        <f aca="false">F157-H157</f>
        <v>962</v>
      </c>
      <c r="H157" s="59" t="n">
        <v>0</v>
      </c>
      <c r="I157" s="9"/>
      <c r="J157" s="30"/>
      <c r="K157" s="30"/>
    </row>
    <row r="158" customFormat="false" ht="23.4" hidden="false" customHeight="true" outlineLevel="0" collapsed="false">
      <c r="A158" s="0" t="n">
        <v>30</v>
      </c>
      <c r="B158" s="31" t="n">
        <v>36281</v>
      </c>
      <c r="C158" s="207" t="n">
        <v>338542</v>
      </c>
      <c r="D158" s="29" t="s">
        <v>42</v>
      </c>
      <c r="E158" s="33" t="n">
        <f aca="false">IF(D158="totale",(C158/(A158*24))/F158,IF(D158="marché libre",(C158/(A158*24))/G158,"spécifier histo"))</f>
        <v>0.488770501270501</v>
      </c>
      <c r="F158" s="59" t="n">
        <v>962</v>
      </c>
      <c r="G158" s="59" t="n">
        <f aca="false">F158-H158</f>
        <v>962</v>
      </c>
      <c r="H158" s="59" t="n">
        <v>0</v>
      </c>
      <c r="I158" s="9"/>
      <c r="J158" s="30"/>
      <c r="K158" s="30"/>
    </row>
    <row r="159" customFormat="false" ht="23.4" hidden="false" customHeight="true" outlineLevel="0" collapsed="false">
      <c r="A159" s="0" t="n">
        <v>31</v>
      </c>
      <c r="B159" s="34" t="n">
        <v>36312</v>
      </c>
      <c r="C159" s="207" t="n">
        <v>43725</v>
      </c>
      <c r="D159" s="29" t="s">
        <v>42</v>
      </c>
      <c r="E159" s="33" t="n">
        <f aca="false">IF(D159="totale",(C159/(A159*24))/F159,IF(D159="marché libre",(C159/(A159*24))/G159,"spécifier histo"))</f>
        <v>0.0610916437529341</v>
      </c>
      <c r="F159" s="59" t="n">
        <v>962</v>
      </c>
      <c r="G159" s="59" t="n">
        <f aca="false">F159-H159</f>
        <v>962</v>
      </c>
      <c r="H159" s="59" t="n">
        <v>0</v>
      </c>
      <c r="I159" s="9"/>
      <c r="J159" s="30"/>
      <c r="K159" s="30"/>
    </row>
    <row r="160" customFormat="false" ht="23.4" hidden="false" customHeight="true" outlineLevel="0" collapsed="false">
      <c r="A160" s="1" t="n">
        <v>31</v>
      </c>
      <c r="B160" s="31" t="n">
        <v>36342</v>
      </c>
      <c r="C160" s="207" t="n">
        <v>0</v>
      </c>
      <c r="D160" s="29" t="s">
        <v>42</v>
      </c>
      <c r="E160" s="33" t="n">
        <f aca="false">IF(D160="totale",(C160/(A160*24))/F160,IF(D160="marché libre",(C160/(A160*24))/G160,"spécifier histo"))</f>
        <v>0</v>
      </c>
      <c r="F160" s="59" t="n">
        <v>962</v>
      </c>
      <c r="G160" s="59" t="n">
        <f aca="false">F160-H160</f>
        <v>962</v>
      </c>
      <c r="H160" s="59" t="n">
        <v>0</v>
      </c>
      <c r="I160" s="9"/>
      <c r="J160" s="30"/>
      <c r="K160" s="30"/>
    </row>
    <row r="161" customFormat="false" ht="23.4" hidden="false" customHeight="true" outlineLevel="0" collapsed="false">
      <c r="A161" s="1" t="n">
        <v>30</v>
      </c>
      <c r="B161" s="34" t="n">
        <v>36373</v>
      </c>
      <c r="C161" s="207" t="n">
        <v>0</v>
      </c>
      <c r="D161" s="29" t="s">
        <v>42</v>
      </c>
      <c r="E161" s="33" t="n">
        <f aca="false">IF(D161="totale",(C161/(A161*24))/F161,IF(D161="marché libre",(C161/(A161*24))/G161,"spécifier histo"))</f>
        <v>0</v>
      </c>
      <c r="F161" s="59" t="n">
        <v>962</v>
      </c>
      <c r="G161" s="59" t="n">
        <f aca="false">F161-H161</f>
        <v>962</v>
      </c>
      <c r="H161" s="59" t="n">
        <v>0</v>
      </c>
      <c r="I161" s="9"/>
      <c r="J161" s="30"/>
      <c r="K161" s="30"/>
    </row>
    <row r="162" customFormat="false" ht="23.4" hidden="false" customHeight="true" outlineLevel="0" collapsed="false">
      <c r="A162" s="1" t="n">
        <v>31</v>
      </c>
      <c r="B162" s="31" t="n">
        <v>36404</v>
      </c>
      <c r="C162" s="207" t="n">
        <v>0</v>
      </c>
      <c r="D162" s="29" t="s">
        <v>42</v>
      </c>
      <c r="E162" s="33" t="n">
        <f aca="false">IF(D162="totale",(C162/(A162*24))/F162,IF(D162="marché libre",(C162/(A162*24))/G162,"spécifier histo"))</f>
        <v>0</v>
      </c>
      <c r="F162" s="59" t="n">
        <v>962</v>
      </c>
      <c r="G162" s="59" t="n">
        <f aca="false">F162-H162</f>
        <v>962</v>
      </c>
      <c r="H162" s="59" t="n">
        <v>0</v>
      </c>
      <c r="I162" s="9"/>
      <c r="J162" s="30"/>
      <c r="K162" s="30"/>
    </row>
    <row r="163" customFormat="false" ht="23.4" hidden="false" customHeight="true" outlineLevel="0" collapsed="false">
      <c r="A163" s="1" t="n">
        <v>31</v>
      </c>
      <c r="B163" s="34" t="n">
        <v>36434</v>
      </c>
      <c r="C163" s="207" t="n">
        <v>82072</v>
      </c>
      <c r="D163" s="29" t="s">
        <v>42</v>
      </c>
      <c r="E163" s="33" t="n">
        <f aca="false">IF(D163="totale",(C163/(A163*24))/F163,IF(D163="marché libre",(C163/(A163*24))/G163,"spécifier histo"))</f>
        <v>0.11466925983055</v>
      </c>
      <c r="F163" s="59" t="n">
        <v>962</v>
      </c>
      <c r="G163" s="59" t="n">
        <f aca="false">F163-H163</f>
        <v>962</v>
      </c>
      <c r="H163" s="59" t="n">
        <v>0</v>
      </c>
      <c r="I163" s="9"/>
      <c r="J163" s="30"/>
      <c r="K163" s="30"/>
    </row>
    <row r="164" customFormat="false" ht="23.4" hidden="false" customHeight="true" outlineLevel="0" collapsed="false">
      <c r="A164" s="1" t="n">
        <v>28</v>
      </c>
      <c r="B164" s="31" t="n">
        <v>36465</v>
      </c>
      <c r="C164" s="207" t="n">
        <v>231197</v>
      </c>
      <c r="D164" s="29" t="s">
        <v>42</v>
      </c>
      <c r="E164" s="33" t="n">
        <f aca="false">IF(D164="totale",(C164/(A164*24))/F164,IF(D164="marché libre",(C164/(A164*24))/G164,"spécifier histo"))</f>
        <v>0.357633217008217</v>
      </c>
      <c r="F164" s="59" t="n">
        <v>962</v>
      </c>
      <c r="G164" s="59" t="n">
        <f aca="false">F164-H164</f>
        <v>962</v>
      </c>
      <c r="H164" s="59" t="n">
        <v>0</v>
      </c>
      <c r="I164" s="9"/>
      <c r="J164" s="30"/>
      <c r="K164" s="30"/>
    </row>
    <row r="165" customFormat="false" ht="23.4" hidden="false" customHeight="true" outlineLevel="0" collapsed="false">
      <c r="A165" s="1" t="n">
        <v>31</v>
      </c>
      <c r="B165" s="34" t="n">
        <v>36495</v>
      </c>
      <c r="C165" s="207" t="n">
        <v>391353</v>
      </c>
      <c r="D165" s="29" t="s">
        <v>42</v>
      </c>
      <c r="E165" s="33" t="n">
        <f aca="false">IF(D165="totale",(C165/(A165*24))/F165,IF(D165="marché libre",(C165/(A165*24))/G165,"spécifier histo"))</f>
        <v>0.546790121386896</v>
      </c>
      <c r="F165" s="59" t="n">
        <v>962</v>
      </c>
      <c r="G165" s="59" t="n">
        <f aca="false">F165-H165</f>
        <v>962</v>
      </c>
      <c r="H165" s="59" t="n">
        <v>0</v>
      </c>
      <c r="I165" s="9"/>
      <c r="J165" s="30"/>
      <c r="K165" s="30"/>
    </row>
    <row r="166" customFormat="false" ht="23.4" hidden="false" customHeight="true" outlineLevel="0" collapsed="false">
      <c r="A166" s="1" t="n">
        <v>30</v>
      </c>
      <c r="B166" s="31" t="n">
        <v>36526</v>
      </c>
      <c r="C166" s="207" t="n">
        <v>148758</v>
      </c>
      <c r="D166" s="29" t="s">
        <v>42</v>
      </c>
      <c r="E166" s="33" t="n">
        <f aca="false">IF(D166="totale",(C166/(A166*24))/F166,IF(D166="marché libre",(C166/(A166*24))/G166,"spécifier histo"))</f>
        <v>0.214769577269577</v>
      </c>
      <c r="F166" s="59" t="n">
        <v>962</v>
      </c>
      <c r="G166" s="59" t="n">
        <f aca="false">F166-H166</f>
        <v>962</v>
      </c>
      <c r="H166" s="59" t="n">
        <v>0</v>
      </c>
      <c r="I166" s="9"/>
      <c r="J166" s="30"/>
      <c r="K166" s="30"/>
    </row>
    <row r="167" customFormat="false" ht="23.4" hidden="false" customHeight="true" outlineLevel="0" collapsed="false">
      <c r="A167" s="1" t="n">
        <v>31</v>
      </c>
      <c r="B167" s="34" t="n">
        <v>36557</v>
      </c>
      <c r="C167" s="207" t="n">
        <v>449976</v>
      </c>
      <c r="D167" s="29" t="s">
        <v>42</v>
      </c>
      <c r="E167" s="33" t="n">
        <f aca="false">IF(D167="totale",(C167/(A167*24))/F167,IF(D167="marché libre",(C167/(A167*24))/G167,"spécifier histo"))</f>
        <v>0.628696935148548</v>
      </c>
      <c r="F167" s="59" t="n">
        <v>962</v>
      </c>
      <c r="G167" s="59" t="n">
        <f aca="false">F167-H167</f>
        <v>962</v>
      </c>
      <c r="H167" s="59" t="n">
        <v>0</v>
      </c>
      <c r="I167" s="9"/>
      <c r="J167" s="30"/>
      <c r="K167" s="30"/>
    </row>
    <row r="168" customFormat="false" ht="23.4" hidden="false" customHeight="true" outlineLevel="0" collapsed="false">
      <c r="A168" s="1" t="n">
        <v>30</v>
      </c>
      <c r="B168" s="31" t="n">
        <v>36586</v>
      </c>
      <c r="C168" s="207" t="n">
        <v>380680</v>
      </c>
      <c r="D168" s="29" t="s">
        <v>42</v>
      </c>
      <c r="E168" s="33" t="n">
        <f aca="false">IF(D168="totale",(C168/(A168*24))/F168,IF(D168="marché libre",(C168/(A168*24))/G168,"spécifier histo"))</f>
        <v>0.5496072996073</v>
      </c>
      <c r="F168" s="59" t="n">
        <v>962</v>
      </c>
      <c r="G168" s="59" t="n">
        <f aca="false">F168-H168</f>
        <v>962</v>
      </c>
      <c r="H168" s="59" t="n">
        <v>0</v>
      </c>
      <c r="I168" s="9"/>
      <c r="J168" s="30"/>
      <c r="K168" s="30"/>
    </row>
    <row r="169" customFormat="false" ht="23.4" hidden="false" customHeight="true" outlineLevel="0" collapsed="false">
      <c r="A169" s="1" t="n">
        <v>31</v>
      </c>
      <c r="B169" s="34" t="n">
        <v>36617</v>
      </c>
      <c r="C169" s="207" t="n">
        <v>415434</v>
      </c>
      <c r="D169" s="29" t="s">
        <v>42</v>
      </c>
      <c r="E169" s="33" t="n">
        <f aca="false">IF(D169="totale",(C169/(A169*24))/F169,IF(D169="marché libre",(C169/(A169*24))/G169,"spécifier histo"))</f>
        <v>0.580435584467842</v>
      </c>
      <c r="F169" s="59" t="n">
        <v>962</v>
      </c>
      <c r="G169" s="59" t="n">
        <f aca="false">F169-H169</f>
        <v>962</v>
      </c>
      <c r="H169" s="59" t="n">
        <v>0</v>
      </c>
      <c r="I169" s="9"/>
      <c r="J169" s="30"/>
      <c r="K169" s="30"/>
    </row>
    <row r="170" customFormat="false" ht="23.4" hidden="false" customHeight="true" outlineLevel="0" collapsed="false">
      <c r="A170" s="1" t="n">
        <v>31</v>
      </c>
      <c r="B170" s="31" t="n">
        <v>36647</v>
      </c>
      <c r="C170" s="207" t="n">
        <v>318251</v>
      </c>
      <c r="D170" s="29" t="s">
        <v>42</v>
      </c>
      <c r="E170" s="33" t="n">
        <f aca="false">IF(D170="totale",(C170/(A170*24))/F170,IF(D170="marché libre",(C170/(A170*24))/G170,"spécifier histo"))</f>
        <v>0.444653555540652</v>
      </c>
      <c r="F170" s="59" t="n">
        <v>962</v>
      </c>
      <c r="G170" s="59" t="n">
        <f aca="false">F170-H170</f>
        <v>962</v>
      </c>
      <c r="H170" s="59" t="n">
        <v>0</v>
      </c>
      <c r="I170" s="9"/>
      <c r="J170" s="30"/>
      <c r="K170" s="30"/>
    </row>
    <row r="171" customFormat="false" ht="23.4" hidden="false" customHeight="true" outlineLevel="0" collapsed="false">
      <c r="A171" s="1" t="n">
        <v>30</v>
      </c>
      <c r="B171" s="34" t="n">
        <v>36678</v>
      </c>
      <c r="C171" s="207" t="n">
        <v>0</v>
      </c>
      <c r="D171" s="29" t="s">
        <v>42</v>
      </c>
      <c r="E171" s="33" t="n">
        <f aca="false">IF(D171="totale",(C171/(A171*24))/F171,IF(D171="marché libre",(C171/(A171*24))/G171,"spécifier histo"))</f>
        <v>0</v>
      </c>
      <c r="F171" s="59" t="n">
        <v>962</v>
      </c>
      <c r="G171" s="59" t="n">
        <f aca="false">F171-H171</f>
        <v>962</v>
      </c>
      <c r="H171" s="59" t="n">
        <v>0</v>
      </c>
      <c r="I171" s="9"/>
      <c r="J171" s="30"/>
      <c r="K171" s="30"/>
    </row>
    <row r="172" customFormat="false" ht="23.4" hidden="false" customHeight="true" outlineLevel="0" collapsed="false">
      <c r="A172" s="1" t="n">
        <v>31</v>
      </c>
      <c r="B172" s="31" t="n">
        <v>36708</v>
      </c>
      <c r="C172" s="207" t="n">
        <v>0</v>
      </c>
      <c r="D172" s="29" t="s">
        <v>42</v>
      </c>
      <c r="E172" s="33" t="n">
        <f aca="false">IF(D172="totale",(C172/(A172*24))/F172,IF(D172="marché libre",(C172/(A172*24))/G172,"spécifier histo"))</f>
        <v>0</v>
      </c>
      <c r="F172" s="59" t="n">
        <v>962</v>
      </c>
      <c r="G172" s="59" t="n">
        <f aca="false">F172-H172</f>
        <v>962</v>
      </c>
      <c r="H172" s="59" t="n">
        <v>0</v>
      </c>
      <c r="I172" s="9"/>
      <c r="J172" s="30"/>
      <c r="K172" s="30"/>
    </row>
    <row r="173" customFormat="false" ht="23.4" hidden="false" customHeight="true" outlineLevel="0" collapsed="false">
      <c r="A173" s="1" t="n">
        <v>30</v>
      </c>
      <c r="B173" s="34" t="n">
        <v>36739</v>
      </c>
      <c r="C173" s="207" t="n">
        <v>0</v>
      </c>
      <c r="D173" s="29" t="s">
        <v>42</v>
      </c>
      <c r="E173" s="33" t="n">
        <f aca="false">IF(D173="totale",(C173/(A173*24))/F173,IF(D173="marché libre",(C173/(A173*24))/G173,"spécifier histo"))</f>
        <v>0</v>
      </c>
      <c r="F173" s="59" t="n">
        <v>962</v>
      </c>
      <c r="G173" s="59" t="n">
        <f aca="false">F173-H173</f>
        <v>962</v>
      </c>
      <c r="H173" s="59" t="n">
        <v>0</v>
      </c>
      <c r="I173" s="9"/>
      <c r="J173" s="30"/>
      <c r="K173" s="30"/>
    </row>
    <row r="174" customFormat="false" ht="23.4" hidden="false" customHeight="true" outlineLevel="0" collapsed="false">
      <c r="A174" s="1" t="n">
        <v>31</v>
      </c>
      <c r="B174" s="31" t="n">
        <v>36770</v>
      </c>
      <c r="C174" s="207" t="n">
        <v>0</v>
      </c>
      <c r="D174" s="29" t="s">
        <v>42</v>
      </c>
      <c r="E174" s="33" t="n">
        <f aca="false">IF(D174="totale",(C174/(A174*24))/F174,IF(D174="marché libre",(C174/(A174*24))/G174,"spécifier histo"))</f>
        <v>0</v>
      </c>
      <c r="F174" s="59" t="n">
        <v>962</v>
      </c>
      <c r="G174" s="59" t="n">
        <f aca="false">F174-H174</f>
        <v>962</v>
      </c>
      <c r="H174" s="59" t="n">
        <v>0</v>
      </c>
      <c r="I174" s="9"/>
      <c r="J174" s="30"/>
      <c r="K174" s="30"/>
    </row>
    <row r="175" customFormat="false" ht="23.4" hidden="false" customHeight="true" outlineLevel="0" collapsed="false">
      <c r="A175" s="1" t="n">
        <v>31</v>
      </c>
      <c r="B175" s="34" t="n">
        <v>36800</v>
      </c>
      <c r="C175" s="207" t="n">
        <v>199915</v>
      </c>
      <c r="D175" s="29" t="s">
        <v>42</v>
      </c>
      <c r="E175" s="33" t="n">
        <f aca="false">IF(D175="totale",(C175/(A175*24))/F175,IF(D175="marché libre",(C175/(A175*24))/G175,"spécifier histo"))</f>
        <v>0.279317003107326</v>
      </c>
      <c r="F175" s="59" t="n">
        <v>962</v>
      </c>
      <c r="G175" s="59" t="n">
        <f aca="false">F175-H175</f>
        <v>962</v>
      </c>
      <c r="H175" s="59" t="n">
        <v>0</v>
      </c>
      <c r="I175" s="9"/>
      <c r="J175" s="30"/>
      <c r="K175" s="30"/>
    </row>
    <row r="176" customFormat="false" ht="23.4" hidden="false" customHeight="true" outlineLevel="0" collapsed="false">
      <c r="A176" s="1" t="n">
        <v>28</v>
      </c>
      <c r="B176" s="31" t="n">
        <v>36831</v>
      </c>
      <c r="C176" s="207" t="n">
        <v>480683</v>
      </c>
      <c r="D176" s="29" t="s">
        <v>42</v>
      </c>
      <c r="E176" s="33" t="n">
        <f aca="false">IF(D176="totale",(C176/(A176*24))/F176,IF(D176="marché libre",(C176/(A176*24))/G176,"spécifier histo"))</f>
        <v>0.743557259182259</v>
      </c>
      <c r="F176" s="59" t="n">
        <v>962</v>
      </c>
      <c r="G176" s="59" t="n">
        <f aca="false">F176-H176</f>
        <v>962</v>
      </c>
      <c r="H176" s="59" t="n">
        <v>0</v>
      </c>
      <c r="I176" s="9"/>
      <c r="J176" s="30"/>
      <c r="K176" s="30"/>
    </row>
    <row r="177" customFormat="false" ht="23.4" hidden="false" customHeight="true" outlineLevel="0" collapsed="false">
      <c r="A177" s="1" t="n">
        <v>31</v>
      </c>
      <c r="B177" s="34" t="n">
        <v>36861</v>
      </c>
      <c r="C177" s="207" t="n">
        <v>549392</v>
      </c>
      <c r="D177" s="29" t="s">
        <v>42</v>
      </c>
      <c r="E177" s="33" t="n">
        <f aca="false">IF(D177="totale",(C177/(A177*24))/F177,IF(D177="marché libre",(C177/(A177*24))/G177,"spécifier histo"))</f>
        <v>0.767598864373058</v>
      </c>
      <c r="F177" s="59" t="n">
        <v>962</v>
      </c>
      <c r="G177" s="59" t="n">
        <f aca="false">F177-H177</f>
        <v>962</v>
      </c>
      <c r="H177" s="59" t="n">
        <v>0</v>
      </c>
      <c r="I177" s="9"/>
      <c r="J177" s="30"/>
      <c r="K177" s="30"/>
    </row>
    <row r="178" customFormat="false" ht="23.4" hidden="false" customHeight="true" outlineLevel="0" collapsed="false">
      <c r="A178" s="1" t="n">
        <v>30</v>
      </c>
      <c r="B178" s="31" t="n">
        <v>36892</v>
      </c>
      <c r="C178" s="207" t="n">
        <v>565259</v>
      </c>
      <c r="D178" s="29" t="s">
        <v>42</v>
      </c>
      <c r="E178" s="33" t="n">
        <f aca="false">IF(D178="totale",(C178/(A178*24))/F178,IF(D178="marché libre",(C178/(A178*24))/G178,"spécifier histo"))</f>
        <v>0.816093497343497</v>
      </c>
      <c r="F178" s="59" t="n">
        <v>962</v>
      </c>
      <c r="G178" s="59" t="n">
        <f aca="false">F178-H178</f>
        <v>962</v>
      </c>
      <c r="H178" s="59" t="n">
        <v>0</v>
      </c>
      <c r="I178" s="9"/>
      <c r="J178" s="30"/>
      <c r="K178" s="30"/>
    </row>
    <row r="179" customFormat="false" ht="23.4" hidden="false" customHeight="true" outlineLevel="0" collapsed="false">
      <c r="A179" s="1" t="n">
        <v>31</v>
      </c>
      <c r="B179" s="34" t="n">
        <v>36923</v>
      </c>
      <c r="C179" s="207" t="n">
        <v>192192</v>
      </c>
      <c r="D179" s="29" t="s">
        <v>42</v>
      </c>
      <c r="E179" s="33" t="n">
        <f aca="false">IF(D179="totale",(C179/(A179*24))/F179,IF(D179="marché libre",(C179/(A179*24))/G179,"spécifier histo"))</f>
        <v>0.268526591107236</v>
      </c>
      <c r="F179" s="59" t="n">
        <v>962</v>
      </c>
      <c r="G179" s="59" t="n">
        <f aca="false">F179-H179</f>
        <v>962</v>
      </c>
      <c r="H179" s="59" t="n">
        <v>0</v>
      </c>
      <c r="I179" s="9"/>
      <c r="J179" s="30"/>
      <c r="K179" s="30"/>
    </row>
    <row r="180" customFormat="false" ht="23.4" hidden="false" customHeight="true" outlineLevel="0" collapsed="false">
      <c r="A180" s="1" t="n">
        <v>30</v>
      </c>
      <c r="B180" s="31" t="n">
        <v>36951</v>
      </c>
      <c r="C180" s="207" t="n">
        <v>470305</v>
      </c>
      <c r="D180" s="29" t="s">
        <v>42</v>
      </c>
      <c r="E180" s="33" t="n">
        <f aca="false">IF(D180="totale",(C180/(A180*24))/F180,IF(D180="marché libre",(C180/(A180*24))/G180,"spécifier histo"))</f>
        <v>0.679003522753523</v>
      </c>
      <c r="F180" s="59" t="n">
        <v>962</v>
      </c>
      <c r="G180" s="59" t="n">
        <f aca="false">F180-H180</f>
        <v>962</v>
      </c>
      <c r="H180" s="59" t="n">
        <v>0</v>
      </c>
      <c r="I180" s="9"/>
      <c r="J180" s="30"/>
      <c r="K180" s="30"/>
    </row>
    <row r="181" customFormat="false" ht="23.4" hidden="false" customHeight="true" outlineLevel="0" collapsed="false">
      <c r="A181" s="1" t="n">
        <v>31</v>
      </c>
      <c r="B181" s="34" t="n">
        <v>36982</v>
      </c>
      <c r="C181" s="207" t="n">
        <v>454023</v>
      </c>
      <c r="D181" s="29" t="s">
        <v>42</v>
      </c>
      <c r="E181" s="33" t="n">
        <f aca="false">IF(D181="totale",(C181/(A181*24))/F181,IF(D181="marché libre",(C181/(A181*24))/G181,"spécifier histo"))</f>
        <v>0.63435131781906</v>
      </c>
      <c r="F181" s="59" t="n">
        <v>962</v>
      </c>
      <c r="G181" s="59" t="n">
        <f aca="false">F181-H181</f>
        <v>962</v>
      </c>
      <c r="H181" s="59" t="n">
        <v>0</v>
      </c>
      <c r="I181" s="9"/>
      <c r="J181" s="30"/>
      <c r="K181" s="30"/>
    </row>
    <row r="182" customFormat="false" ht="23.4" hidden="false" customHeight="true" outlineLevel="0" collapsed="false">
      <c r="A182" s="1" t="n">
        <v>31</v>
      </c>
      <c r="B182" s="31" t="n">
        <v>37012</v>
      </c>
      <c r="C182" s="207" t="n">
        <v>284590</v>
      </c>
      <c r="D182" s="29" t="s">
        <v>42</v>
      </c>
      <c r="E182" s="33" t="n">
        <f aca="false">IF(D182="totale",(C182/(A182*24))/F182,IF(D182="marché libre",(C182/(A182*24))/G182,"spécifier histo"))</f>
        <v>0.397623119397313</v>
      </c>
      <c r="F182" s="59" t="n">
        <v>962</v>
      </c>
      <c r="G182" s="59" t="n">
        <f aca="false">F182-H182</f>
        <v>962</v>
      </c>
      <c r="H182" s="59" t="n">
        <v>0</v>
      </c>
      <c r="I182" s="9"/>
      <c r="J182" s="30"/>
      <c r="K182" s="30"/>
    </row>
    <row r="183" customFormat="false" ht="23.4" hidden="false" customHeight="true" outlineLevel="0" collapsed="false">
      <c r="A183" s="1" t="n">
        <v>30</v>
      </c>
      <c r="B183" s="34" t="n">
        <v>37043</v>
      </c>
      <c r="C183" s="207" t="n">
        <v>44334</v>
      </c>
      <c r="D183" s="29" t="s">
        <v>42</v>
      </c>
      <c r="E183" s="33" t="n">
        <f aca="false">IF(D183="totale",(C183/(A183*24))/F183,IF(D183="marché libre",(C183/(A183*24))/G183,"spécifier histo"))</f>
        <v>0.0640072765072765</v>
      </c>
      <c r="F183" s="59" t="n">
        <v>962</v>
      </c>
      <c r="G183" s="59" t="n">
        <f aca="false">F183-H183</f>
        <v>962</v>
      </c>
      <c r="H183" s="59" t="n">
        <v>0</v>
      </c>
      <c r="I183" s="9"/>
      <c r="J183" s="30"/>
      <c r="K183" s="30"/>
    </row>
    <row r="184" customFormat="false" ht="23.4" hidden="false" customHeight="true" outlineLevel="0" collapsed="false">
      <c r="A184" s="1" t="n">
        <v>31</v>
      </c>
      <c r="B184" s="31" t="n">
        <v>37073</v>
      </c>
      <c r="C184" s="207" t="n">
        <v>0</v>
      </c>
      <c r="D184" s="29" t="s">
        <v>42</v>
      </c>
      <c r="E184" s="33" t="n">
        <f aca="false">IF(D184="totale",(C184/(A184*24))/F184,IF(D184="marché libre",(C184/(A184*24))/G184,"spécifier histo"))</f>
        <v>0</v>
      </c>
      <c r="F184" s="59" t="n">
        <v>962</v>
      </c>
      <c r="G184" s="59" t="n">
        <f aca="false">F184-H184</f>
        <v>962</v>
      </c>
      <c r="H184" s="59" t="n">
        <v>0</v>
      </c>
      <c r="I184" s="9"/>
      <c r="J184" s="30"/>
      <c r="K184" s="30"/>
    </row>
    <row r="185" customFormat="false" ht="23.4" hidden="false" customHeight="true" outlineLevel="0" collapsed="false">
      <c r="A185" s="1" t="n">
        <v>30</v>
      </c>
      <c r="B185" s="34" t="n">
        <v>37104</v>
      </c>
      <c r="C185" s="207" t="n">
        <v>0</v>
      </c>
      <c r="D185" s="29" t="s">
        <v>42</v>
      </c>
      <c r="E185" s="33" t="n">
        <f aca="false">IF(D185="totale",(C185/(A185*24))/F185,IF(D185="marché libre",(C185/(A185*24))/G185,"spécifier histo"))</f>
        <v>0</v>
      </c>
      <c r="F185" s="59" t="n">
        <v>962</v>
      </c>
      <c r="G185" s="59" t="n">
        <f aca="false">F185-H185</f>
        <v>962</v>
      </c>
      <c r="H185" s="59" t="n">
        <v>0</v>
      </c>
      <c r="I185" s="9"/>
      <c r="J185" s="30"/>
      <c r="K185" s="30"/>
    </row>
    <row r="186" customFormat="false" ht="23.4" hidden="false" customHeight="true" outlineLevel="0" collapsed="false">
      <c r="A186" s="1" t="n">
        <v>31</v>
      </c>
      <c r="B186" s="31" t="n">
        <v>37135</v>
      </c>
      <c r="C186" s="207" t="n">
        <v>0</v>
      </c>
      <c r="D186" s="29" t="s">
        <v>42</v>
      </c>
      <c r="E186" s="33" t="n">
        <f aca="false">IF(D186="totale",(C186/(A186*24))/F186,IF(D186="marché libre",(C186/(A186*24))/G186,"spécifier histo"))</f>
        <v>0</v>
      </c>
      <c r="F186" s="59" t="n">
        <v>962</v>
      </c>
      <c r="G186" s="59" t="n">
        <f aca="false">F186-H186</f>
        <v>962</v>
      </c>
      <c r="H186" s="59" t="n">
        <v>0</v>
      </c>
      <c r="I186" s="9"/>
      <c r="J186" s="30"/>
      <c r="K186" s="30"/>
    </row>
    <row r="187" customFormat="false" ht="23.4" hidden="false" customHeight="true" outlineLevel="0" collapsed="false">
      <c r="A187" s="1" t="n">
        <v>31</v>
      </c>
      <c r="B187" s="34" t="n">
        <v>37165</v>
      </c>
      <c r="C187" s="207" t="n">
        <v>69597</v>
      </c>
      <c r="D187" s="29" t="s">
        <v>42</v>
      </c>
      <c r="E187" s="33" t="n">
        <f aca="false">IF(D187="totale",(C187/(A187*24))/F187,IF(D187="marché libre",(C187/(A187*24))/G187,"spécifier histo"))</f>
        <v>0.0972394540942928</v>
      </c>
      <c r="F187" s="59" t="n">
        <v>962</v>
      </c>
      <c r="G187" s="59" t="n">
        <f aca="false">F187-H187</f>
        <v>962</v>
      </c>
      <c r="H187" s="59" t="n">
        <v>0</v>
      </c>
      <c r="I187" s="9"/>
      <c r="J187" s="30"/>
      <c r="K187" s="30"/>
    </row>
    <row r="188" customFormat="false" ht="23.4" hidden="false" customHeight="true" outlineLevel="0" collapsed="false">
      <c r="A188" s="1" t="n">
        <v>28</v>
      </c>
      <c r="B188" s="31" t="n">
        <v>37196</v>
      </c>
      <c r="C188" s="207" t="n">
        <v>24000</v>
      </c>
      <c r="D188" s="29" t="s">
        <v>42</v>
      </c>
      <c r="E188" s="33" t="n">
        <f aca="false">IF(D188="totale",(C188/(A188*24))/F188,IF(D188="marché libre",(C188/(A188*24))/G188,"spécifier histo"))</f>
        <v>0.0371250371250371</v>
      </c>
      <c r="F188" s="59" t="n">
        <v>962</v>
      </c>
      <c r="G188" s="59" t="n">
        <f aca="false">F188-H188</f>
        <v>962</v>
      </c>
      <c r="H188" s="59" t="n">
        <v>0</v>
      </c>
      <c r="I188" s="9"/>
      <c r="J188" s="30"/>
      <c r="K188" s="30"/>
    </row>
    <row r="189" customFormat="false" ht="23.4" hidden="false" customHeight="true" outlineLevel="0" collapsed="false">
      <c r="A189" s="1" t="n">
        <v>31</v>
      </c>
      <c r="B189" s="34" t="n">
        <v>37226</v>
      </c>
      <c r="C189" s="207" t="n">
        <v>0</v>
      </c>
      <c r="D189" s="29" t="s">
        <v>42</v>
      </c>
      <c r="E189" s="33" t="n">
        <f aca="false">IF(D189="totale",(C189/(A189*24))/F189,IF(D189="marché libre",(C189/(A189*24))/G189,"spécifier histo"))</f>
        <v>0</v>
      </c>
      <c r="F189" s="59" t="n">
        <v>962</v>
      </c>
      <c r="G189" s="59" t="n">
        <f aca="false">F189-H189</f>
        <v>962</v>
      </c>
      <c r="H189" s="59" t="n">
        <v>0</v>
      </c>
      <c r="I189" s="9"/>
      <c r="J189" s="30"/>
      <c r="K189" s="30"/>
    </row>
    <row r="190" customFormat="false" ht="23.4" hidden="false" customHeight="true" outlineLevel="0" collapsed="false">
      <c r="A190" s="1" t="n">
        <v>30</v>
      </c>
      <c r="B190" s="31" t="n">
        <v>37257</v>
      </c>
      <c r="C190" s="207" t="n">
        <v>0</v>
      </c>
      <c r="D190" s="29" t="s">
        <v>42</v>
      </c>
      <c r="E190" s="33" t="n">
        <f aca="false">IF(D190="totale",(C190/(A190*24))/F190,IF(D190="marché libre",(C190/(A190*24))/G190,"spécifier histo"))</f>
        <v>0</v>
      </c>
      <c r="F190" s="59" t="n">
        <v>962</v>
      </c>
      <c r="G190" s="59" t="n">
        <f aca="false">F190-H190</f>
        <v>962</v>
      </c>
      <c r="H190" s="59" t="n">
        <v>0</v>
      </c>
      <c r="I190" s="9"/>
      <c r="J190" s="30"/>
      <c r="K190" s="30"/>
    </row>
    <row r="191" customFormat="false" ht="23.4" hidden="false" customHeight="true" outlineLevel="0" collapsed="false">
      <c r="A191" s="1" t="n">
        <v>31</v>
      </c>
      <c r="B191" s="34" t="n">
        <v>37288</v>
      </c>
      <c r="C191" s="207" t="n">
        <v>178574</v>
      </c>
      <c r="D191" s="29" t="s">
        <v>42</v>
      </c>
      <c r="E191" s="33" t="n">
        <f aca="false">IF(D191="totale",(C191/(A191*24))/F191,IF(D191="marché libre",(C191/(A191*24))/G191,"spécifier histo"))</f>
        <v>0.249499809983681</v>
      </c>
      <c r="F191" s="59" t="n">
        <v>962</v>
      </c>
      <c r="G191" s="59" t="n">
        <f aca="false">F191-H191</f>
        <v>962</v>
      </c>
      <c r="H191" s="59" t="n">
        <v>0</v>
      </c>
      <c r="I191" s="9"/>
      <c r="J191" s="30"/>
      <c r="K191" s="30"/>
    </row>
    <row r="192" customFormat="false" ht="23.4" hidden="false" customHeight="true" outlineLevel="0" collapsed="false">
      <c r="A192" s="1" t="n">
        <v>30</v>
      </c>
      <c r="B192" s="31" t="n">
        <v>37316</v>
      </c>
      <c r="C192" s="207" t="n">
        <v>395895</v>
      </c>
      <c r="D192" s="29" t="s">
        <v>42</v>
      </c>
      <c r="E192" s="33" t="n">
        <f aca="false">IF(D192="totale",(C192/(A192*24))/F192,IF(D192="marché libre",(C192/(A192*24))/G192,"spécifier histo"))</f>
        <v>0.571573977823978</v>
      </c>
      <c r="F192" s="59" t="n">
        <v>962</v>
      </c>
      <c r="G192" s="59" t="n">
        <f aca="false">F192-H192</f>
        <v>962</v>
      </c>
      <c r="H192" s="59" t="n">
        <v>0</v>
      </c>
      <c r="I192" s="9"/>
      <c r="J192" s="30"/>
      <c r="K192" s="30"/>
    </row>
    <row r="193" customFormat="false" ht="23.4" hidden="false" customHeight="true" outlineLevel="0" collapsed="false">
      <c r="A193" s="1" t="n">
        <v>31</v>
      </c>
      <c r="B193" s="34" t="n">
        <v>37347</v>
      </c>
      <c r="C193" s="207" t="n">
        <v>46825</v>
      </c>
      <c r="D193" s="29" t="s">
        <v>42</v>
      </c>
      <c r="E193" s="33" t="n">
        <f aca="false">IF(D193="totale",(C193/(A193*24))/F193,IF(D193="marché libre",(C193/(A193*24))/G193,"spécifier histo"))</f>
        <v>0.0654228980841884</v>
      </c>
      <c r="F193" s="59" t="n">
        <v>962</v>
      </c>
      <c r="G193" s="59" t="n">
        <f aca="false">F193-H193</f>
        <v>962</v>
      </c>
      <c r="H193" s="59" t="n">
        <v>0</v>
      </c>
      <c r="I193" s="9"/>
      <c r="J193" s="30"/>
      <c r="K193" s="30"/>
    </row>
    <row r="194" customFormat="false" ht="23.4" hidden="false" customHeight="true" outlineLevel="0" collapsed="false">
      <c r="A194" s="1" t="n">
        <v>31</v>
      </c>
      <c r="B194" s="31" t="n">
        <v>37377</v>
      </c>
      <c r="C194" s="207" t="n">
        <v>186650</v>
      </c>
      <c r="D194" s="29" t="s">
        <v>42</v>
      </c>
      <c r="E194" s="33" t="n">
        <f aca="false">IF(D194="totale",(C194/(A194*24))/F194,IF(D194="marché libre",(C194/(A194*24))/G194,"spécifier histo"))</f>
        <v>0.260783426106007</v>
      </c>
      <c r="F194" s="59" t="n">
        <v>962</v>
      </c>
      <c r="G194" s="59" t="n">
        <f aca="false">F194-H194</f>
        <v>962</v>
      </c>
      <c r="H194" s="59" t="n">
        <v>0</v>
      </c>
      <c r="I194" s="9"/>
      <c r="J194" s="30"/>
      <c r="K194" s="30"/>
    </row>
    <row r="195" customFormat="false" ht="23.4" hidden="false" customHeight="true" outlineLevel="0" collapsed="false">
      <c r="A195" s="1" t="n">
        <v>30</v>
      </c>
      <c r="B195" s="34" t="n">
        <v>37408</v>
      </c>
      <c r="C195" s="207" t="n">
        <v>21239</v>
      </c>
      <c r="D195" s="29" t="s">
        <v>42</v>
      </c>
      <c r="E195" s="33" t="n">
        <f aca="false">IF(D195="totale",(C195/(A195*24))/F195,IF(D195="marché libre",(C195/(A195*24))/G195,"spécifier histo"))</f>
        <v>0.0306638369138369</v>
      </c>
      <c r="F195" s="59" t="n">
        <v>962</v>
      </c>
      <c r="G195" s="59" t="n">
        <f aca="false">F195-H195</f>
        <v>962</v>
      </c>
      <c r="H195" s="59" t="n">
        <v>0</v>
      </c>
      <c r="I195" s="9"/>
      <c r="J195" s="30"/>
      <c r="K195" s="30"/>
    </row>
    <row r="196" customFormat="false" ht="23.4" hidden="false" customHeight="true" outlineLevel="0" collapsed="false">
      <c r="A196" s="1" t="n">
        <v>31</v>
      </c>
      <c r="B196" s="31" t="n">
        <v>37438</v>
      </c>
      <c r="C196" s="207" t="n">
        <v>0</v>
      </c>
      <c r="D196" s="29" t="s">
        <v>42</v>
      </c>
      <c r="E196" s="33" t="n">
        <f aca="false">IF(D196="totale",(C196/(A196*24))/F196,IF(D196="marché libre",(C196/(A196*24))/G196,"spécifier histo"))</f>
        <v>0</v>
      </c>
      <c r="F196" s="59" t="n">
        <v>962</v>
      </c>
      <c r="G196" s="59" t="n">
        <f aca="false">F196-H196</f>
        <v>962</v>
      </c>
      <c r="H196" s="59" t="n">
        <v>0</v>
      </c>
      <c r="I196" s="9"/>
      <c r="J196" s="30"/>
      <c r="K196" s="30"/>
    </row>
    <row r="197" customFormat="false" ht="23.4" hidden="false" customHeight="true" outlineLevel="0" collapsed="false">
      <c r="A197" s="1" t="n">
        <v>30</v>
      </c>
      <c r="B197" s="34" t="n">
        <v>37469</v>
      </c>
      <c r="C197" s="207" t="n">
        <v>0</v>
      </c>
      <c r="D197" s="29" t="s">
        <v>42</v>
      </c>
      <c r="E197" s="33" t="n">
        <f aca="false">IF(D197="totale",(C197/(A197*24))/F197,IF(D197="marché libre",(C197/(A197*24))/G197,"spécifier histo"))</f>
        <v>0</v>
      </c>
      <c r="F197" s="59" t="n">
        <v>962</v>
      </c>
      <c r="G197" s="59" t="n">
        <f aca="false">F197-H197</f>
        <v>962</v>
      </c>
      <c r="H197" s="59" t="n">
        <v>0</v>
      </c>
      <c r="I197" s="9"/>
      <c r="J197" s="30"/>
      <c r="K197" s="30"/>
    </row>
    <row r="198" customFormat="false" ht="23.4" hidden="false" customHeight="true" outlineLevel="0" collapsed="false">
      <c r="A198" s="1" t="n">
        <v>31</v>
      </c>
      <c r="B198" s="31" t="n">
        <v>37500</v>
      </c>
      <c r="C198" s="207" t="n">
        <v>0</v>
      </c>
      <c r="D198" s="29" t="s">
        <v>42</v>
      </c>
      <c r="E198" s="33" t="n">
        <f aca="false">IF(D198="totale",(C198/(A198*24))/F198,IF(D198="marché libre",(C198/(A198*24))/G198,"spécifier histo"))</f>
        <v>0</v>
      </c>
      <c r="F198" s="59" t="n">
        <v>962</v>
      </c>
      <c r="G198" s="59" t="n">
        <f aca="false">F198-H198</f>
        <v>962</v>
      </c>
      <c r="H198" s="59" t="n">
        <v>0</v>
      </c>
      <c r="I198" s="9"/>
      <c r="J198" s="30"/>
      <c r="K198" s="30"/>
    </row>
    <row r="199" customFormat="false" ht="23.4" hidden="false" customHeight="true" outlineLevel="0" collapsed="false">
      <c r="A199" s="1" t="n">
        <v>31</v>
      </c>
      <c r="B199" s="34" t="n">
        <v>37530</v>
      </c>
      <c r="C199" s="207" t="n">
        <v>24002</v>
      </c>
      <c r="D199" s="29" t="s">
        <v>42</v>
      </c>
      <c r="E199" s="33" t="n">
        <f aca="false">IF(D199="totale",(C199/(A199*24))/F199,IF(D199="marché libre",(C199/(A199*24))/G199,"spécifier histo"))</f>
        <v>0.0335350859544408</v>
      </c>
      <c r="F199" s="59" t="n">
        <v>962</v>
      </c>
      <c r="G199" s="59" t="n">
        <f aca="false">F199-H199</f>
        <v>962</v>
      </c>
      <c r="H199" s="59" t="n">
        <v>0</v>
      </c>
      <c r="I199" s="9"/>
      <c r="J199" s="30"/>
      <c r="K199" s="30"/>
    </row>
    <row r="200" customFormat="false" ht="23.4" hidden="false" customHeight="true" outlineLevel="0" collapsed="false">
      <c r="A200" s="0" t="n">
        <v>28</v>
      </c>
      <c r="B200" s="31" t="n">
        <v>37561</v>
      </c>
      <c r="C200" s="207" t="n">
        <v>162517</v>
      </c>
      <c r="D200" s="29" t="s">
        <v>42</v>
      </c>
      <c r="E200" s="33" t="n">
        <f aca="false">IF(D200="totale",(C200/(A200*24))/F200,IF(D200="marché libre",(C200/(A200*24))/G200,"spécifier histo"))</f>
        <v>0.251393735768736</v>
      </c>
      <c r="F200" s="59" t="n">
        <v>962</v>
      </c>
      <c r="G200" s="59" t="n">
        <f aca="false">F200-H200</f>
        <v>962</v>
      </c>
      <c r="H200" s="59" t="n">
        <v>0</v>
      </c>
      <c r="I200" s="9"/>
      <c r="J200" s="30"/>
      <c r="K200" s="30"/>
    </row>
    <row r="201" customFormat="false" ht="23.4" hidden="false" customHeight="true" outlineLevel="0" collapsed="false">
      <c r="A201" s="0" t="n">
        <v>31</v>
      </c>
      <c r="B201" s="34" t="n">
        <v>37591</v>
      </c>
      <c r="C201" s="207" t="n">
        <v>491103</v>
      </c>
      <c r="D201" s="29" t="s">
        <v>42</v>
      </c>
      <c r="E201" s="33" t="n">
        <f aca="false">IF(D201="totale",(C201/(A201*24))/F201,IF(D201="marché libre",(C201/(A201*24))/G201,"spécifier histo"))</f>
        <v>0.686158708336128</v>
      </c>
      <c r="F201" s="59" t="n">
        <v>962</v>
      </c>
      <c r="G201" s="59" t="n">
        <f aca="false">F201-H201</f>
        <v>962</v>
      </c>
      <c r="H201" s="59" t="n">
        <v>0</v>
      </c>
      <c r="I201" s="9"/>
      <c r="J201" s="30"/>
      <c r="K201" s="30"/>
    </row>
    <row r="202" customFormat="false" ht="23.4" hidden="false" customHeight="true" outlineLevel="0" collapsed="false">
      <c r="A202" s="0" t="n">
        <v>30</v>
      </c>
      <c r="B202" s="31" t="n">
        <v>37622</v>
      </c>
      <c r="C202" s="207" t="n">
        <v>518536</v>
      </c>
      <c r="D202" s="29" t="s">
        <v>42</v>
      </c>
      <c r="E202" s="33" t="n">
        <f aca="false">IF(D202="totale",(C202/(A202*24))/F202,IF(D202="marché libre",(C202/(A202*24))/G202,"spécifier histo"))</f>
        <v>0.748637098637099</v>
      </c>
      <c r="F202" s="59" t="n">
        <v>962</v>
      </c>
      <c r="G202" s="59" t="n">
        <f aca="false">F202-H202</f>
        <v>962</v>
      </c>
      <c r="H202" s="59" t="n">
        <v>0</v>
      </c>
      <c r="I202" s="9"/>
      <c r="J202" s="30"/>
      <c r="K202" s="30"/>
    </row>
    <row r="203" customFormat="false" ht="23.4" hidden="false" customHeight="true" outlineLevel="0" collapsed="false">
      <c r="A203" s="0" t="n">
        <v>31</v>
      </c>
      <c r="B203" s="34" t="n">
        <v>37653</v>
      </c>
      <c r="C203" s="207" t="n">
        <v>317107</v>
      </c>
      <c r="D203" s="29" t="s">
        <v>42</v>
      </c>
      <c r="E203" s="33" t="n">
        <f aca="false">IF(D203="totale",(C203/(A203*24))/F203,IF(D203="marché libre",(C203/(A203*24))/G203,"spécifier histo"))</f>
        <v>0.443055182974538</v>
      </c>
      <c r="F203" s="59" t="n">
        <v>962</v>
      </c>
      <c r="G203" s="59" t="n">
        <f aca="false">F203-H203</f>
        <v>962</v>
      </c>
      <c r="H203" s="59" t="n">
        <v>0</v>
      </c>
      <c r="I203" s="9"/>
      <c r="J203" s="30"/>
      <c r="K203" s="30"/>
    </row>
    <row r="204" customFormat="false" ht="23.4" hidden="false" customHeight="true" outlineLevel="0" collapsed="false">
      <c r="A204" s="0" t="n">
        <v>30</v>
      </c>
      <c r="B204" s="31" t="n">
        <v>37681</v>
      </c>
      <c r="C204" s="207" t="n">
        <v>186963</v>
      </c>
      <c r="D204" s="29" t="s">
        <v>42</v>
      </c>
      <c r="E204" s="33" t="n">
        <f aca="false">IF(D204="totale",(C204/(A204*24))/F204,IF(D204="marché libre",(C204/(A204*24))/G204,"spécifier histo"))</f>
        <v>0.269928101178101</v>
      </c>
      <c r="F204" s="59" t="n">
        <v>962</v>
      </c>
      <c r="G204" s="59" t="n">
        <f aca="false">F204-H204</f>
        <v>962</v>
      </c>
      <c r="H204" s="59" t="n">
        <v>0</v>
      </c>
      <c r="I204" s="9"/>
      <c r="J204" s="30"/>
      <c r="K204" s="30"/>
    </row>
    <row r="205" customFormat="false" ht="23.4" hidden="false" customHeight="true" outlineLevel="0" collapsed="false">
      <c r="A205" s="0" t="n">
        <v>31</v>
      </c>
      <c r="B205" s="34" t="n">
        <v>37712</v>
      </c>
      <c r="C205" s="207" t="n">
        <v>230732</v>
      </c>
      <c r="D205" s="29" t="s">
        <v>42</v>
      </c>
      <c r="E205" s="33" t="n">
        <f aca="false">IF(D205="totale",(C205/(A205*24))/F205,IF(D205="marché libre",(C205/(A205*24))/G205,"spécifier histo"))</f>
        <v>0.322373862696443</v>
      </c>
      <c r="F205" s="59" t="n">
        <v>962</v>
      </c>
      <c r="G205" s="59" t="n">
        <f aca="false">F205-H205</f>
        <v>962</v>
      </c>
      <c r="H205" s="59" t="n">
        <v>0</v>
      </c>
      <c r="I205" s="9"/>
      <c r="J205" s="30"/>
      <c r="K205" s="30"/>
    </row>
    <row r="206" customFormat="false" ht="23.4" hidden="false" customHeight="true" outlineLevel="0" collapsed="false">
      <c r="A206" s="0" t="n">
        <v>31</v>
      </c>
      <c r="B206" s="31" t="n">
        <v>37742</v>
      </c>
      <c r="C206" s="207" t="n">
        <v>29502</v>
      </c>
      <c r="D206" s="29" t="s">
        <v>42</v>
      </c>
      <c r="E206" s="33" t="n">
        <f aca="false">IF(D206="totale",(C206/(A206*24))/F206,IF(D206="marché libre",(C206/(A206*24))/G206,"spécifier histo"))</f>
        <v>0.0412195694453759</v>
      </c>
      <c r="F206" s="59" t="n">
        <v>962</v>
      </c>
      <c r="G206" s="59" t="n">
        <f aca="false">F206-H206</f>
        <v>962</v>
      </c>
      <c r="H206" s="59" t="n">
        <v>0</v>
      </c>
      <c r="I206" s="9"/>
      <c r="J206" s="30"/>
      <c r="K206" s="30"/>
    </row>
    <row r="207" customFormat="false" ht="23.4" hidden="false" customHeight="true" outlineLevel="0" collapsed="false">
      <c r="A207" s="0" t="n">
        <v>30</v>
      </c>
      <c r="B207" s="34" t="n">
        <v>37773</v>
      </c>
      <c r="C207" s="207" t="n">
        <v>0</v>
      </c>
      <c r="D207" s="29" t="s">
        <v>42</v>
      </c>
      <c r="E207" s="33" t="n">
        <f aca="false">IF(D207="totale",(C207/(A207*24))/F207,IF(D207="marché libre",(C207/(A207*24))/G207,"spécifier histo"))</f>
        <v>0</v>
      </c>
      <c r="F207" s="59" t="n">
        <v>962</v>
      </c>
      <c r="G207" s="59" t="n">
        <f aca="false">F207-H207</f>
        <v>962</v>
      </c>
      <c r="H207" s="59" t="n">
        <v>0</v>
      </c>
      <c r="I207" s="9"/>
      <c r="J207" s="30"/>
      <c r="K207" s="30"/>
    </row>
    <row r="208" customFormat="false" ht="23.4" hidden="false" customHeight="true" outlineLevel="0" collapsed="false">
      <c r="A208" s="0" t="n">
        <v>31</v>
      </c>
      <c r="B208" s="31" t="n">
        <v>37803</v>
      </c>
      <c r="C208" s="207" t="n">
        <v>0</v>
      </c>
      <c r="D208" s="29" t="s">
        <v>42</v>
      </c>
      <c r="E208" s="33" t="n">
        <f aca="false">IF(D208="totale",(C208/(A208*24))/F208,IF(D208="marché libre",(C208/(A208*24))/G208,"spécifier histo"))</f>
        <v>0</v>
      </c>
      <c r="F208" s="59" t="n">
        <v>962</v>
      </c>
      <c r="G208" s="59" t="n">
        <f aca="false">F208-H208</f>
        <v>962</v>
      </c>
      <c r="H208" s="59" t="n">
        <v>0</v>
      </c>
      <c r="I208" s="9"/>
      <c r="J208" s="30"/>
      <c r="K208" s="30"/>
    </row>
    <row r="209" customFormat="false" ht="23.4" hidden="false" customHeight="true" outlineLevel="0" collapsed="false">
      <c r="A209" s="0" t="n">
        <v>30</v>
      </c>
      <c r="B209" s="34" t="n">
        <v>37834</v>
      </c>
      <c r="C209" s="207" t="n">
        <v>0</v>
      </c>
      <c r="D209" s="29" t="s">
        <v>42</v>
      </c>
      <c r="E209" s="33" t="n">
        <f aca="false">IF(D209="totale",(C209/(A209*24))/F209,IF(D209="marché libre",(C209/(A209*24))/G209,"spécifier histo"))</f>
        <v>0</v>
      </c>
      <c r="F209" s="59" t="n">
        <v>962</v>
      </c>
      <c r="G209" s="59" t="n">
        <f aca="false">F209-H209</f>
        <v>962</v>
      </c>
      <c r="H209" s="59" t="n">
        <v>0</v>
      </c>
      <c r="I209" s="9"/>
      <c r="J209" s="30"/>
      <c r="K209" s="30"/>
    </row>
    <row r="210" customFormat="false" ht="23.4" hidden="false" customHeight="true" outlineLevel="0" collapsed="false">
      <c r="A210" s="0" t="n">
        <v>31</v>
      </c>
      <c r="B210" s="31" t="n">
        <v>37865</v>
      </c>
      <c r="C210" s="207" t="n">
        <v>0</v>
      </c>
      <c r="D210" s="29" t="s">
        <v>42</v>
      </c>
      <c r="E210" s="33" t="n">
        <f aca="false">IF(D210="totale",(C210/(A210*24))/F210,IF(D210="marché libre",(C210/(A210*24))/G210,"spécifier histo"))</f>
        <v>0</v>
      </c>
      <c r="F210" s="59" t="n">
        <v>962</v>
      </c>
      <c r="G210" s="59" t="n">
        <f aca="false">F210-H210</f>
        <v>962</v>
      </c>
      <c r="H210" s="59" t="n">
        <v>0</v>
      </c>
      <c r="I210" s="9"/>
      <c r="J210" s="30"/>
      <c r="K210" s="30"/>
    </row>
    <row r="211" customFormat="false" ht="23.4" hidden="false" customHeight="true" outlineLevel="0" collapsed="false">
      <c r="A211" s="0" t="n">
        <v>31</v>
      </c>
      <c r="B211" s="34" t="n">
        <v>37895</v>
      </c>
      <c r="C211" s="207" t="n">
        <v>39311</v>
      </c>
      <c r="D211" s="29" t="s">
        <v>42</v>
      </c>
      <c r="E211" s="33" t="n">
        <f aca="false">IF(D211="totale",(C211/(A211*24))/F211,IF(D211="marché libre",(C211/(A211*24))/G211,"spécifier histo"))</f>
        <v>0.0549244964567545</v>
      </c>
      <c r="F211" s="59" t="n">
        <v>962</v>
      </c>
      <c r="G211" s="59" t="n">
        <f aca="false">F211-H211</f>
        <v>962</v>
      </c>
      <c r="H211" s="59" t="n">
        <v>0</v>
      </c>
      <c r="I211" s="9"/>
      <c r="J211" s="30"/>
      <c r="K211" s="30"/>
    </row>
    <row r="212" customFormat="false" ht="23.4" hidden="false" customHeight="true" outlineLevel="0" collapsed="false">
      <c r="A212" s="0" t="n">
        <v>28</v>
      </c>
      <c r="B212" s="31" t="n">
        <v>37926</v>
      </c>
      <c r="C212" s="207" t="n">
        <v>278809</v>
      </c>
      <c r="D212" s="29" t="s">
        <v>42</v>
      </c>
      <c r="E212" s="33" t="n">
        <f aca="false">IF(D212="totale",(C212/(A212*24))/F212,IF(D212="marché libre",(C212/(A212*24))/G212,"spécifier histo"))</f>
        <v>0.431283103158103</v>
      </c>
      <c r="F212" s="59" t="n">
        <v>962</v>
      </c>
      <c r="G212" s="59" t="n">
        <f aca="false">F212-H212</f>
        <v>962</v>
      </c>
      <c r="H212" s="59" t="n">
        <v>0</v>
      </c>
      <c r="I212" s="9"/>
      <c r="J212" s="30"/>
      <c r="K212" s="30"/>
    </row>
    <row r="213" customFormat="false" ht="23.4" hidden="false" customHeight="true" outlineLevel="0" collapsed="false">
      <c r="A213" s="0" t="n">
        <v>31</v>
      </c>
      <c r="B213" s="34" t="n">
        <v>37956</v>
      </c>
      <c r="C213" s="207" t="n">
        <v>49965</v>
      </c>
      <c r="D213" s="29" t="s">
        <v>42</v>
      </c>
      <c r="E213" s="33" t="n">
        <f aca="false">IF(D213="totale",(C213/(A213*24))/F213,IF(D213="marché libre",(C213/(A213*24))/G213,"spécifier histo"))</f>
        <v>0.0698100395681041</v>
      </c>
      <c r="F213" s="59" t="n">
        <v>962</v>
      </c>
      <c r="G213" s="59" t="n">
        <f aca="false">F213-H213</f>
        <v>962</v>
      </c>
      <c r="H213" s="59" t="n">
        <v>0</v>
      </c>
      <c r="I213" s="9"/>
      <c r="J213" s="30"/>
      <c r="K213" s="30"/>
    </row>
    <row r="214" customFormat="false" ht="23.4" hidden="false" customHeight="true" outlineLevel="0" collapsed="false">
      <c r="A214" s="0" t="n">
        <v>30</v>
      </c>
      <c r="B214" s="31" t="n">
        <v>37987</v>
      </c>
      <c r="C214" s="207" t="n">
        <v>143130</v>
      </c>
      <c r="D214" s="29" t="s">
        <v>42</v>
      </c>
      <c r="E214" s="33" t="n">
        <f aca="false">IF(D214="totale",(C214/(A214*24))/F214,IF(D214="marché libre",(C214/(A214*24))/G214,"spécifier histo"))</f>
        <v>0.206644144144144</v>
      </c>
      <c r="F214" s="59" t="n">
        <v>962</v>
      </c>
      <c r="G214" s="59" t="n">
        <f aca="false">F214-H214</f>
        <v>962</v>
      </c>
      <c r="H214" s="59" t="n">
        <v>0</v>
      </c>
      <c r="I214" s="9"/>
      <c r="J214" s="30"/>
      <c r="K214" s="30"/>
    </row>
    <row r="215" customFormat="false" ht="23.4" hidden="false" customHeight="true" outlineLevel="0" collapsed="false">
      <c r="A215" s="0" t="n">
        <v>31</v>
      </c>
      <c r="B215" s="34" t="n">
        <v>38018</v>
      </c>
      <c r="C215" s="207" t="n">
        <v>284292</v>
      </c>
      <c r="D215" s="29" t="s">
        <v>42</v>
      </c>
      <c r="E215" s="33" t="n">
        <f aca="false">IF(D215="totale",(C215/(A215*24))/F215,IF(D215="marché libre",(C215/(A215*24))/G215,"spécifier histo"))</f>
        <v>0.397206760109986</v>
      </c>
      <c r="F215" s="59" t="n">
        <v>962</v>
      </c>
      <c r="G215" s="59" t="n">
        <f aca="false">F215-H215</f>
        <v>962</v>
      </c>
      <c r="H215" s="59" t="n">
        <v>0</v>
      </c>
      <c r="I215" s="9"/>
      <c r="J215" s="30"/>
      <c r="K215" s="30"/>
    </row>
    <row r="216" customFormat="false" ht="23.4" hidden="false" customHeight="true" outlineLevel="0" collapsed="false">
      <c r="A216" s="0" t="n">
        <v>30</v>
      </c>
      <c r="B216" s="31" t="n">
        <v>38047</v>
      </c>
      <c r="C216" s="207" t="n">
        <v>287473</v>
      </c>
      <c r="D216" s="29" t="s">
        <v>42</v>
      </c>
      <c r="E216" s="33" t="n">
        <f aca="false">IF(D216="totale",(C216/(A216*24))/F216,IF(D216="marché libre",(C216/(A216*24))/G216,"spécifier histo"))</f>
        <v>0.415039558789559</v>
      </c>
      <c r="F216" s="59" t="n">
        <v>962</v>
      </c>
      <c r="G216" s="59" t="n">
        <f aca="false">F216-H216</f>
        <v>962</v>
      </c>
      <c r="H216" s="59" t="n">
        <v>0</v>
      </c>
      <c r="I216" s="9"/>
      <c r="J216" s="30"/>
      <c r="K216" s="30"/>
    </row>
    <row r="217" customFormat="false" ht="23.4" hidden="false" customHeight="true" outlineLevel="0" collapsed="false">
      <c r="A217" s="0" t="n">
        <v>31</v>
      </c>
      <c r="B217" s="34" t="n">
        <v>38078</v>
      </c>
      <c r="C217" s="207" t="n">
        <v>66062</v>
      </c>
      <c r="D217" s="29" t="s">
        <v>42</v>
      </c>
      <c r="E217" s="33" t="n">
        <f aca="false">IF(D217="totale",(C217/(A217*24))/F217,IF(D217="marché libre",(C217/(A217*24))/G217,"spécifier histo"))</f>
        <v>0.0923004269778463</v>
      </c>
      <c r="F217" s="59" t="n">
        <v>962</v>
      </c>
      <c r="G217" s="59" t="n">
        <f aca="false">F217-H217</f>
        <v>962</v>
      </c>
      <c r="H217" s="59" t="n">
        <v>0</v>
      </c>
      <c r="I217" s="9"/>
      <c r="J217" s="30"/>
      <c r="K217" s="30"/>
    </row>
    <row r="218" customFormat="false" ht="23.4" hidden="false" customHeight="true" outlineLevel="0" collapsed="false">
      <c r="A218" s="0" t="n">
        <v>31</v>
      </c>
      <c r="B218" s="31" t="n">
        <v>38108</v>
      </c>
      <c r="C218" s="207" t="n">
        <v>0</v>
      </c>
      <c r="D218" s="29" t="s">
        <v>42</v>
      </c>
      <c r="E218" s="33" t="n">
        <f aca="false">IF(D218="totale",(C218/(A218*24))/F218,IF(D218="marché libre",(C218/(A218*24))/G218,"spécifier histo"))</f>
        <v>0</v>
      </c>
      <c r="F218" s="59" t="n">
        <v>962</v>
      </c>
      <c r="G218" s="59" t="n">
        <f aca="false">F218-H218</f>
        <v>962</v>
      </c>
      <c r="H218" s="59" t="n">
        <v>0</v>
      </c>
      <c r="I218" s="9"/>
      <c r="J218" s="30"/>
      <c r="K218" s="30"/>
    </row>
    <row r="219" customFormat="false" ht="23.4" hidden="false" customHeight="true" outlineLevel="0" collapsed="false">
      <c r="A219" s="0" t="n">
        <v>30</v>
      </c>
      <c r="B219" s="34" t="n">
        <v>38139</v>
      </c>
      <c r="C219" s="207" t="n">
        <v>0</v>
      </c>
      <c r="D219" s="29" t="s">
        <v>42</v>
      </c>
      <c r="E219" s="33" t="n">
        <f aca="false">IF(D219="totale",(C219/(A219*24))/F219,IF(D219="marché libre",(C219/(A219*24))/G219,"spécifier histo"))</f>
        <v>0</v>
      </c>
      <c r="F219" s="59" t="n">
        <v>962</v>
      </c>
      <c r="G219" s="59" t="n">
        <f aca="false">F219-H219</f>
        <v>962</v>
      </c>
      <c r="H219" s="59" t="n">
        <v>0</v>
      </c>
      <c r="I219" s="9"/>
      <c r="J219" s="30"/>
      <c r="K219" s="30"/>
    </row>
    <row r="220" customFormat="false" ht="23.4" hidden="false" customHeight="true" outlineLevel="0" collapsed="false">
      <c r="A220" s="0" t="n">
        <v>31</v>
      </c>
      <c r="B220" s="31" t="n">
        <v>38169</v>
      </c>
      <c r="C220" s="207" t="n">
        <v>0</v>
      </c>
      <c r="D220" s="29" t="s">
        <v>42</v>
      </c>
      <c r="E220" s="33" t="n">
        <f aca="false">IF(D220="totale",(C220/(A220*24))/F220,IF(D220="marché libre",(C220/(A220*24))/G220,"spécifier histo"))</f>
        <v>0</v>
      </c>
      <c r="F220" s="59" t="n">
        <v>962</v>
      </c>
      <c r="G220" s="59" t="n">
        <f aca="false">F220-H220</f>
        <v>962</v>
      </c>
      <c r="H220" s="59" t="n">
        <v>0</v>
      </c>
      <c r="I220" s="9"/>
      <c r="J220" s="30"/>
      <c r="K220" s="30"/>
    </row>
    <row r="221" customFormat="false" ht="23.4" hidden="false" customHeight="true" outlineLevel="0" collapsed="false">
      <c r="A221" s="0" t="n">
        <v>30</v>
      </c>
      <c r="B221" s="34" t="n">
        <v>38200</v>
      </c>
      <c r="C221" s="207" t="n">
        <v>0</v>
      </c>
      <c r="D221" s="29" t="s">
        <v>42</v>
      </c>
      <c r="E221" s="33" t="n">
        <f aca="false">IF(D221="totale",(C221/(A221*24))/F221,IF(D221="marché libre",(C221/(A221*24))/G221,"spécifier histo"))</f>
        <v>0</v>
      </c>
      <c r="F221" s="59" t="n">
        <v>962</v>
      </c>
      <c r="G221" s="59" t="n">
        <f aca="false">F221-H221</f>
        <v>962</v>
      </c>
      <c r="H221" s="59" t="n">
        <v>0</v>
      </c>
      <c r="I221" s="9"/>
      <c r="J221" s="30"/>
      <c r="K221" s="30"/>
    </row>
    <row r="222" customFormat="false" ht="23.4" hidden="false" customHeight="true" outlineLevel="0" collapsed="false">
      <c r="A222" s="0" t="n">
        <v>31</v>
      </c>
      <c r="B222" s="31" t="n">
        <v>38231</v>
      </c>
      <c r="C222" s="207" t="n">
        <v>0</v>
      </c>
      <c r="D222" s="29" t="s">
        <v>42</v>
      </c>
      <c r="E222" s="33" t="n">
        <f aca="false">IF(D222="totale",(C222/(A222*24))/F222,IF(D222="marché libre",(C222/(A222*24))/G222,"spécifier histo"))</f>
        <v>0</v>
      </c>
      <c r="F222" s="59" t="n">
        <v>962</v>
      </c>
      <c r="G222" s="59" t="n">
        <f aca="false">F222-H222</f>
        <v>962</v>
      </c>
      <c r="H222" s="59" t="n">
        <v>0</v>
      </c>
      <c r="I222" s="9"/>
      <c r="J222" s="30"/>
      <c r="K222" s="30"/>
    </row>
    <row r="223" customFormat="false" ht="23.4" hidden="false" customHeight="true" outlineLevel="0" collapsed="false">
      <c r="A223" s="0" t="n">
        <v>31</v>
      </c>
      <c r="B223" s="34" t="n">
        <v>38261</v>
      </c>
      <c r="C223" s="207" t="n">
        <v>46247</v>
      </c>
      <c r="D223" s="29" t="s">
        <v>42</v>
      </c>
      <c r="E223" s="33" t="n">
        <f aca="false">IF(D223="totale",(C223/(A223*24))/F223,IF(D223="marché libre",(C223/(A223*24))/G223,"spécifier histo"))</f>
        <v>0.0646153287282319</v>
      </c>
      <c r="F223" s="59" t="n">
        <v>962</v>
      </c>
      <c r="G223" s="59" t="n">
        <f aca="false">F223-H223</f>
        <v>962</v>
      </c>
      <c r="H223" s="59" t="n">
        <v>0</v>
      </c>
      <c r="I223" s="9"/>
      <c r="J223" s="30"/>
      <c r="K223" s="30"/>
    </row>
    <row r="224" customFormat="false" ht="23.4" hidden="false" customHeight="true" outlineLevel="0" collapsed="false">
      <c r="A224" s="0" t="n">
        <v>28</v>
      </c>
      <c r="B224" s="31" t="n">
        <v>38292</v>
      </c>
      <c r="C224" s="207" t="n">
        <v>110305</v>
      </c>
      <c r="D224" s="29" t="s">
        <v>42</v>
      </c>
      <c r="E224" s="33" t="n">
        <f aca="false">IF(D224="totale",(C224/(A224*24))/F224,IF(D224="marché libre",(C224/(A224*24))/G224,"spécifier histo"))</f>
        <v>0.170628217503217</v>
      </c>
      <c r="F224" s="59" t="n">
        <v>962</v>
      </c>
      <c r="G224" s="59" t="n">
        <f aca="false">F224-H224</f>
        <v>962</v>
      </c>
      <c r="H224" s="59" t="n">
        <v>0</v>
      </c>
      <c r="I224" s="9"/>
      <c r="J224" s="30"/>
      <c r="K224" s="30"/>
    </row>
    <row r="225" customFormat="false" ht="23.4" hidden="false" customHeight="true" outlineLevel="0" collapsed="false">
      <c r="A225" s="0" t="n">
        <v>31</v>
      </c>
      <c r="B225" s="34" t="n">
        <v>38322</v>
      </c>
      <c r="C225" s="207" t="n">
        <v>84158</v>
      </c>
      <c r="D225" s="29" t="s">
        <v>42</v>
      </c>
      <c r="E225" s="33" t="n">
        <f aca="false">IF(D225="totale",(C225/(A225*24))/F225,IF(D225="marché libre",(C225/(A225*24))/G225,"spécifier histo"))</f>
        <v>0.117583774841839</v>
      </c>
      <c r="F225" s="59" t="n">
        <v>962</v>
      </c>
      <c r="G225" s="59" t="n">
        <f aca="false">F225-H225</f>
        <v>962</v>
      </c>
      <c r="H225" s="59" t="n">
        <v>0</v>
      </c>
      <c r="I225" s="9"/>
      <c r="J225" s="30"/>
      <c r="K225" s="30"/>
    </row>
    <row r="226" customFormat="false" ht="23.4" hidden="false" customHeight="true" outlineLevel="0" collapsed="false">
      <c r="A226" s="0" t="n">
        <v>28</v>
      </c>
      <c r="B226" s="31" t="n">
        <v>38353</v>
      </c>
      <c r="C226" s="207" t="n">
        <v>294471</v>
      </c>
      <c r="D226" s="29" t="s">
        <v>42</v>
      </c>
      <c r="E226" s="33" t="n">
        <f aca="false">IF(D226="totale",(C226/(A226*24))/F226,IF(D226="marché libre",(C226/(A226*24))/G226,"spécifier histo"))</f>
        <v>0.455510283635284</v>
      </c>
      <c r="F226" s="59" t="n">
        <v>962</v>
      </c>
      <c r="G226" s="59" t="n">
        <f aca="false">F226-H226</f>
        <v>962</v>
      </c>
      <c r="H226" s="59" t="n">
        <v>0</v>
      </c>
      <c r="I226" s="9"/>
      <c r="J226" s="30"/>
      <c r="K226" s="30"/>
    </row>
    <row r="227" customFormat="false" ht="23.4" hidden="false" customHeight="true" outlineLevel="0" collapsed="false">
      <c r="A227" s="0" t="n">
        <v>31</v>
      </c>
      <c r="B227" s="34" t="n">
        <v>38384</v>
      </c>
      <c r="C227" s="207" t="n">
        <v>68320</v>
      </c>
      <c r="D227" s="29" t="s">
        <v>42</v>
      </c>
      <c r="E227" s="33" t="n">
        <f aca="false">IF(D227="totale",(C227/(A227*24))/F227,IF(D227="marché libre",(C227/(A227*24))/G227,"spécifier histo"))</f>
        <v>0.0954552567455793</v>
      </c>
      <c r="F227" s="59" t="n">
        <v>962</v>
      </c>
      <c r="G227" s="59" t="n">
        <f aca="false">F227-H227</f>
        <v>962</v>
      </c>
      <c r="H227" s="59" t="n">
        <v>0</v>
      </c>
      <c r="I227" s="9"/>
      <c r="J227" s="30"/>
      <c r="K227" s="30"/>
    </row>
    <row r="228" customFormat="false" ht="23.4" hidden="false" customHeight="true" outlineLevel="0" collapsed="false">
      <c r="A228" s="0" t="n">
        <v>30</v>
      </c>
      <c r="B228" s="31" t="n">
        <v>38412</v>
      </c>
      <c r="C228" s="207" t="n">
        <v>138287</v>
      </c>
      <c r="D228" s="29" t="s">
        <v>42</v>
      </c>
      <c r="E228" s="33" t="n">
        <f aca="false">IF(D228="totale",(C228/(A228*24))/F228,IF(D228="marché libre",(C228/(A228*24))/G228,"spécifier histo"))</f>
        <v>0.199652055902056</v>
      </c>
      <c r="F228" s="59" t="n">
        <v>962</v>
      </c>
      <c r="G228" s="59" t="n">
        <f aca="false">F228-H228</f>
        <v>962</v>
      </c>
      <c r="H228" s="59" t="n">
        <v>0</v>
      </c>
      <c r="I228" s="9"/>
      <c r="J228" s="30"/>
      <c r="K228" s="30"/>
    </row>
    <row r="229" customFormat="false" ht="23.4" hidden="false" customHeight="true" outlineLevel="0" collapsed="false">
      <c r="A229" s="0" t="n">
        <v>31</v>
      </c>
      <c r="B229" s="34" t="n">
        <v>38443</v>
      </c>
      <c r="C229" s="207" t="n">
        <v>402992</v>
      </c>
      <c r="D229" s="29" t="s">
        <v>42</v>
      </c>
      <c r="E229" s="33" t="n">
        <f aca="false">IF(D229="totale",(C229/(A229*24))/F229,IF(D229="marché libre",(C229/(A229*24))/G229,"spécifier histo"))</f>
        <v>0.563051885632531</v>
      </c>
      <c r="F229" s="59" t="n">
        <v>962</v>
      </c>
      <c r="G229" s="59" t="n">
        <f aca="false">F229-H229</f>
        <v>962</v>
      </c>
      <c r="H229" s="59" t="n">
        <v>0</v>
      </c>
      <c r="I229" s="9"/>
      <c r="J229" s="30"/>
      <c r="K229" s="30"/>
    </row>
    <row r="230" customFormat="false" ht="23.4" hidden="false" customHeight="true" outlineLevel="0" collapsed="false">
      <c r="A230" s="0" t="n">
        <v>30</v>
      </c>
      <c r="B230" s="31" t="n">
        <v>38473</v>
      </c>
      <c r="C230" s="207" t="n">
        <v>313152</v>
      </c>
      <c r="D230" s="29" t="s">
        <v>42</v>
      </c>
      <c r="E230" s="33" t="n">
        <f aca="false">IF(D230="totale",(C230/(A230*24))/F230,IF(D230="marché libre",(C230/(A230*24))/G230,"spécifier histo"))</f>
        <v>0.452113652113652</v>
      </c>
      <c r="F230" s="59" t="n">
        <v>962</v>
      </c>
      <c r="G230" s="59" t="n">
        <f aca="false">F230-H230</f>
        <v>962</v>
      </c>
      <c r="H230" s="59" t="n">
        <v>0</v>
      </c>
      <c r="I230" s="9"/>
      <c r="J230" s="30"/>
      <c r="K230" s="30"/>
    </row>
    <row r="231" customFormat="false" ht="23.4" hidden="false" customHeight="true" outlineLevel="0" collapsed="false">
      <c r="A231" s="0" t="n">
        <v>31</v>
      </c>
      <c r="B231" s="34" t="n">
        <v>38504</v>
      </c>
      <c r="C231" s="207" t="n">
        <v>0</v>
      </c>
      <c r="D231" s="29" t="s">
        <v>42</v>
      </c>
      <c r="E231" s="33" t="n">
        <f aca="false">IF(D231="totale",(C231/(A231*24))/F231,IF(D231="marché libre",(C231/(A231*24))/G231,"spécifier histo"))</f>
        <v>0</v>
      </c>
      <c r="F231" s="59" t="n">
        <v>962</v>
      </c>
      <c r="G231" s="59" t="n">
        <f aca="false">F231-H231</f>
        <v>962</v>
      </c>
      <c r="H231" s="59" t="n">
        <v>0</v>
      </c>
      <c r="I231" s="9"/>
      <c r="J231" s="30"/>
      <c r="K231" s="30"/>
    </row>
    <row r="232" customFormat="false" ht="23.4" hidden="false" customHeight="true" outlineLevel="0" collapsed="false">
      <c r="A232" s="0" t="n">
        <v>31</v>
      </c>
      <c r="B232" s="31" t="n">
        <v>38534</v>
      </c>
      <c r="C232" s="207" t="n">
        <v>0</v>
      </c>
      <c r="D232" s="29" t="s">
        <v>42</v>
      </c>
      <c r="E232" s="33" t="n">
        <f aca="false">IF(D232="totale",(C232/(A232*24))/F232,IF(D232="marché libre",(C232/(A232*24))/G232,"spécifier histo"))</f>
        <v>0</v>
      </c>
      <c r="F232" s="59" t="n">
        <v>962</v>
      </c>
      <c r="G232" s="59" t="n">
        <f aca="false">F232-H232</f>
        <v>962</v>
      </c>
      <c r="H232" s="59" t="n">
        <v>0</v>
      </c>
      <c r="I232" s="9"/>
      <c r="J232" s="30"/>
      <c r="K232" s="30"/>
    </row>
    <row r="233" customFormat="false" ht="23.4" hidden="false" customHeight="true" outlineLevel="0" collapsed="false">
      <c r="A233" s="0" t="n">
        <v>30</v>
      </c>
      <c r="B233" s="34" t="n">
        <v>38565</v>
      </c>
      <c r="C233" s="207" t="n">
        <v>0</v>
      </c>
      <c r="D233" s="29" t="s">
        <v>42</v>
      </c>
      <c r="E233" s="33" t="n">
        <f aca="false">IF(D233="totale",(C233/(A233*24))/F233,IF(D233="marché libre",(C233/(A233*24))/G233,"spécifier histo"))</f>
        <v>0</v>
      </c>
      <c r="F233" s="59" t="n">
        <v>962</v>
      </c>
      <c r="G233" s="59" t="n">
        <f aca="false">F233-H233</f>
        <v>962</v>
      </c>
      <c r="H233" s="59" t="n">
        <v>0</v>
      </c>
      <c r="I233" s="9"/>
      <c r="J233" s="30"/>
      <c r="K233" s="30"/>
    </row>
    <row r="234" customFormat="false" ht="23.4" hidden="false" customHeight="true" outlineLevel="0" collapsed="false">
      <c r="A234" s="0" t="n">
        <v>31</v>
      </c>
      <c r="B234" s="31" t="n">
        <v>38596</v>
      </c>
      <c r="C234" s="207" t="n">
        <v>0</v>
      </c>
      <c r="D234" s="29" t="s">
        <v>42</v>
      </c>
      <c r="E234" s="33" t="n">
        <f aca="false">IF(D234="totale",(C234/(A234*24))/F234,IF(D234="marché libre",(C234/(A234*24))/G234,"spécifier histo"))</f>
        <v>0</v>
      </c>
      <c r="F234" s="59" t="n">
        <v>962</v>
      </c>
      <c r="G234" s="59" t="n">
        <f aca="false">F234-H234</f>
        <v>962</v>
      </c>
      <c r="H234" s="59" t="n">
        <v>0</v>
      </c>
      <c r="I234" s="9"/>
      <c r="J234" s="30"/>
      <c r="K234" s="30"/>
    </row>
    <row r="235" customFormat="false" ht="23.4" hidden="false" customHeight="true" outlineLevel="0" collapsed="false">
      <c r="A235" s="1" t="n">
        <v>31</v>
      </c>
      <c r="B235" s="34" t="n">
        <v>38626</v>
      </c>
      <c r="C235" s="207" t="n">
        <v>0</v>
      </c>
      <c r="D235" s="29" t="s">
        <v>42</v>
      </c>
      <c r="E235" s="33" t="n">
        <f aca="false">IF(D235="totale",(C235/(A235*24))/F235,IF(D235="marché libre",(C235/(A235*24))/G235,"spécifier histo"))</f>
        <v>0</v>
      </c>
      <c r="F235" s="59" t="n">
        <v>962</v>
      </c>
      <c r="G235" s="59" t="n">
        <f aca="false">F235-H235</f>
        <v>962</v>
      </c>
      <c r="H235" s="59" t="n">
        <v>0</v>
      </c>
      <c r="I235" s="9"/>
      <c r="J235" s="30"/>
      <c r="K235" s="30"/>
    </row>
    <row r="236" customFormat="false" ht="23.4" hidden="false" customHeight="true" outlineLevel="0" collapsed="false">
      <c r="A236" s="1" t="n">
        <v>30</v>
      </c>
      <c r="B236" s="31" t="n">
        <v>38657</v>
      </c>
      <c r="C236" s="207" t="n">
        <v>7160</v>
      </c>
      <c r="D236" s="29" t="s">
        <v>42</v>
      </c>
      <c r="E236" s="33" t="n">
        <f aca="false">IF(D236="totale",(C236/(A236*24))/F236,IF(D236="marché libre",(C236/(A236*24))/G236,"spécifier histo"))</f>
        <v>0.0103372603372603</v>
      </c>
      <c r="F236" s="59" t="n">
        <v>962</v>
      </c>
      <c r="G236" s="59" t="n">
        <f aca="false">F236-H236</f>
        <v>962</v>
      </c>
      <c r="H236" s="59" t="n">
        <v>0</v>
      </c>
      <c r="I236" s="9"/>
      <c r="J236" s="30"/>
      <c r="K236" s="30"/>
    </row>
    <row r="237" customFormat="false" ht="23.4" hidden="false" customHeight="true" outlineLevel="0" collapsed="false">
      <c r="A237" s="1" t="n">
        <v>31</v>
      </c>
      <c r="B237" s="34" t="n">
        <v>38687</v>
      </c>
      <c r="C237" s="207" t="n">
        <v>138926</v>
      </c>
      <c r="D237" s="29" t="s">
        <v>42</v>
      </c>
      <c r="E237" s="33" t="n">
        <f aca="false">IF(D237="totale",(C237/(A237*24))/F237,IF(D237="marché libre",(C237/(A237*24))/G237,"spécifier histo"))</f>
        <v>0.194104464265755</v>
      </c>
      <c r="F237" s="59" t="n">
        <v>962</v>
      </c>
      <c r="G237" s="59" t="n">
        <f aca="false">F237-H237</f>
        <v>962</v>
      </c>
      <c r="H237" s="59" t="n">
        <v>0</v>
      </c>
      <c r="I237" s="9"/>
      <c r="J237" s="30"/>
      <c r="K237" s="30"/>
    </row>
    <row r="238" customFormat="false" ht="23.4" hidden="false" customHeight="true" outlineLevel="0" collapsed="false">
      <c r="A238" s="1" t="n">
        <v>31</v>
      </c>
      <c r="B238" s="31" t="n">
        <v>38718</v>
      </c>
      <c r="C238" s="207" t="n">
        <v>129491</v>
      </c>
      <c r="D238" s="29" t="s">
        <v>42</v>
      </c>
      <c r="E238" s="33" t="n">
        <f aca="false">IF(D238="totale",(C238/(A238*24))/F238,IF(D238="marché libre",(C238/(A238*24))/G238,"spécifier histo"))</f>
        <v>0.18092208213176</v>
      </c>
      <c r="F238" s="59" t="n">
        <v>962</v>
      </c>
      <c r="G238" s="59" t="n">
        <f aca="false">F238-H238</f>
        <v>962</v>
      </c>
      <c r="H238" s="59" t="n">
        <v>0</v>
      </c>
      <c r="I238" s="9"/>
      <c r="J238" s="30"/>
      <c r="K238" s="30"/>
    </row>
    <row r="239" customFormat="false" ht="23.4" hidden="false" customHeight="true" outlineLevel="0" collapsed="false">
      <c r="A239" s="1" t="n">
        <v>28</v>
      </c>
      <c r="B239" s="34" t="n">
        <v>38749</v>
      </c>
      <c r="C239" s="207" t="n">
        <v>341029</v>
      </c>
      <c r="D239" s="29" t="s">
        <v>42</v>
      </c>
      <c r="E239" s="33" t="n">
        <f aca="false">IF(D239="totale",(C239/(A239*24))/F239,IF(D239="marché libre",(C239/(A239*24))/G239,"spécifier histo"))</f>
        <v>0.527529761904762</v>
      </c>
      <c r="F239" s="59" t="n">
        <v>962</v>
      </c>
      <c r="G239" s="59" t="n">
        <f aca="false">F239-H239</f>
        <v>962</v>
      </c>
      <c r="H239" s="59" t="n">
        <v>0</v>
      </c>
      <c r="I239" s="9"/>
      <c r="J239" s="30"/>
      <c r="K239" s="30"/>
    </row>
    <row r="240" customFormat="false" ht="23.4" hidden="false" customHeight="true" outlineLevel="0" collapsed="false">
      <c r="A240" s="1" t="n">
        <v>31</v>
      </c>
      <c r="B240" s="31" t="n">
        <v>38777</v>
      </c>
      <c r="C240" s="207" t="n">
        <v>554694</v>
      </c>
      <c r="D240" s="29" t="s">
        <v>42</v>
      </c>
      <c r="E240" s="33" t="n">
        <f aca="false">IF(D240="totale",(C240/(A240*24))/F240,IF(D240="marché libre",(C240/(A240*24))/G240,"spécifier histo"))</f>
        <v>0.775006706458319</v>
      </c>
      <c r="F240" s="59" t="n">
        <v>962</v>
      </c>
      <c r="G240" s="59" t="n">
        <f aca="false">F240-H240</f>
        <v>962</v>
      </c>
      <c r="H240" s="59" t="n">
        <v>0</v>
      </c>
      <c r="I240" s="9"/>
      <c r="J240" s="30"/>
      <c r="K240" s="30"/>
    </row>
    <row r="241" customFormat="false" ht="23.4" hidden="false" customHeight="true" outlineLevel="0" collapsed="false">
      <c r="A241" s="1" t="n">
        <v>30</v>
      </c>
      <c r="B241" s="34" t="n">
        <v>38808</v>
      </c>
      <c r="C241" s="207" t="n">
        <v>373792</v>
      </c>
      <c r="D241" s="29" t="s">
        <v>42</v>
      </c>
      <c r="E241" s="33" t="n">
        <f aca="false">IF(D241="totale",(C241/(A241*24))/F241,IF(D241="marché libre",(C241/(A241*24))/G241,"spécifier histo"))</f>
        <v>0.53966273966274</v>
      </c>
      <c r="F241" s="59" t="n">
        <v>962</v>
      </c>
      <c r="G241" s="59" t="n">
        <f aca="false">F241-H241</f>
        <v>962</v>
      </c>
      <c r="H241" s="59" t="n">
        <v>0</v>
      </c>
      <c r="I241" s="9"/>
      <c r="J241" s="30"/>
      <c r="K241" s="30"/>
    </row>
    <row r="242" customFormat="false" ht="23.4" hidden="false" customHeight="true" outlineLevel="0" collapsed="false">
      <c r="A242" s="1" t="n">
        <v>31</v>
      </c>
      <c r="B242" s="31" t="n">
        <v>38838</v>
      </c>
      <c r="C242" s="207" t="n">
        <v>138072</v>
      </c>
      <c r="D242" s="29" t="s">
        <v>42</v>
      </c>
      <c r="E242" s="33" t="n">
        <f aca="false">IF(D242="totale",(C242/(A242*24))/F242,IF(D242="marché libre",(C242/(A242*24))/G242,"spécifier histo"))</f>
        <v>0.192911273556435</v>
      </c>
      <c r="F242" s="59" t="n">
        <v>962</v>
      </c>
      <c r="G242" s="59" t="n">
        <f aca="false">F242-H242</f>
        <v>962</v>
      </c>
      <c r="H242" s="59" t="n">
        <v>0</v>
      </c>
      <c r="I242" s="9"/>
      <c r="J242" s="30"/>
      <c r="K242" s="30"/>
    </row>
    <row r="243" customFormat="false" ht="23.4" hidden="false" customHeight="true" outlineLevel="0" collapsed="false">
      <c r="A243" s="1" t="n">
        <v>30</v>
      </c>
      <c r="B243" s="34" t="n">
        <v>38869</v>
      </c>
      <c r="C243" s="207" t="n">
        <v>0</v>
      </c>
      <c r="D243" s="29" t="s">
        <v>42</v>
      </c>
      <c r="E243" s="33" t="n">
        <f aca="false">IF(D243="totale",(C243/(A243*24))/F243,IF(D243="marché libre",(C243/(A243*24))/G243,"spécifier histo"))</f>
        <v>0</v>
      </c>
      <c r="F243" s="59" t="n">
        <v>962</v>
      </c>
      <c r="G243" s="59" t="n">
        <f aca="false">F243-H243</f>
        <v>962</v>
      </c>
      <c r="H243" s="59" t="n">
        <v>0</v>
      </c>
      <c r="I243" s="9"/>
      <c r="J243" s="30"/>
      <c r="K243" s="30"/>
    </row>
    <row r="244" customFormat="false" ht="23.4" hidden="false" customHeight="true" outlineLevel="0" collapsed="false">
      <c r="A244" s="1" t="n">
        <v>31</v>
      </c>
      <c r="B244" s="31" t="n">
        <v>38899</v>
      </c>
      <c r="C244" s="207" t="n">
        <v>0</v>
      </c>
      <c r="D244" s="29" t="s">
        <v>42</v>
      </c>
      <c r="E244" s="33" t="n">
        <f aca="false">IF(D244="totale",(C244/(A244*24))/F244,IF(D244="marché libre",(C244/(A244*24))/G244,"spécifier histo"))</f>
        <v>0</v>
      </c>
      <c r="F244" s="59" t="n">
        <v>962</v>
      </c>
      <c r="G244" s="59" t="n">
        <f aca="false">F244-H244</f>
        <v>962</v>
      </c>
      <c r="H244" s="59" t="n">
        <v>0</v>
      </c>
      <c r="I244" s="9"/>
      <c r="J244" s="30"/>
      <c r="K244" s="30"/>
    </row>
    <row r="245" customFormat="false" ht="23.4" hidden="false" customHeight="true" outlineLevel="0" collapsed="false">
      <c r="A245" s="1" t="n">
        <v>31</v>
      </c>
      <c r="B245" s="34" t="n">
        <v>38930</v>
      </c>
      <c r="C245" s="207" t="n">
        <v>0</v>
      </c>
      <c r="D245" s="29" t="s">
        <v>42</v>
      </c>
      <c r="E245" s="33" t="n">
        <f aca="false">IF(D245="totale",(C245/(A245*24))/F245,IF(D245="marché libre",(C245/(A245*24))/G245,"spécifier histo"))</f>
        <v>0</v>
      </c>
      <c r="F245" s="59" t="n">
        <v>962</v>
      </c>
      <c r="G245" s="59" t="n">
        <f aca="false">F245-H245</f>
        <v>962</v>
      </c>
      <c r="H245" s="59" t="n">
        <v>0</v>
      </c>
      <c r="I245" s="9"/>
      <c r="J245" s="30"/>
      <c r="K245" s="30"/>
    </row>
    <row r="246" customFormat="false" ht="23.4" hidden="false" customHeight="true" outlineLevel="0" collapsed="false">
      <c r="A246" s="1" t="n">
        <v>30</v>
      </c>
      <c r="B246" s="31" t="n">
        <v>38961</v>
      </c>
      <c r="C246" s="207" t="n">
        <v>0</v>
      </c>
      <c r="D246" s="29" t="s">
        <v>42</v>
      </c>
      <c r="E246" s="33" t="n">
        <f aca="false">IF(D246="totale",(C246/(A246*24))/F246,IF(D246="marché libre",(C246/(A246*24))/G246,"spécifier histo"))</f>
        <v>0</v>
      </c>
      <c r="F246" s="59" t="n">
        <v>962</v>
      </c>
      <c r="G246" s="59" t="n">
        <f aca="false">F246-H246</f>
        <v>962</v>
      </c>
      <c r="H246" s="59" t="n">
        <v>0</v>
      </c>
      <c r="I246" s="9"/>
      <c r="J246" s="30"/>
      <c r="K246" s="30"/>
    </row>
    <row r="247" customFormat="false" ht="23.4" hidden="false" customHeight="true" outlineLevel="0" collapsed="false">
      <c r="A247" s="1" t="n">
        <v>31</v>
      </c>
      <c r="B247" s="34" t="n">
        <v>38991</v>
      </c>
      <c r="C247" s="207" t="n">
        <v>0</v>
      </c>
      <c r="D247" s="29" t="s">
        <v>42</v>
      </c>
      <c r="E247" s="33" t="n">
        <f aca="false">IF(D247="totale",(C247/(A247*24))/F247,IF(D247="marché libre",(C247/(A247*24))/G247,"spécifier histo"))</f>
        <v>0</v>
      </c>
      <c r="F247" s="59" t="n">
        <v>962</v>
      </c>
      <c r="G247" s="59" t="n">
        <f aca="false">F247-H247</f>
        <v>962</v>
      </c>
      <c r="H247" s="59" t="n">
        <v>0</v>
      </c>
      <c r="I247" s="9"/>
      <c r="J247" s="30"/>
      <c r="K247" s="30"/>
    </row>
    <row r="248" customFormat="false" ht="23.4" hidden="false" customHeight="true" outlineLevel="0" collapsed="false">
      <c r="A248" s="1" t="n">
        <v>30</v>
      </c>
      <c r="B248" s="31" t="n">
        <v>39022</v>
      </c>
      <c r="C248" s="207" t="n">
        <v>26062</v>
      </c>
      <c r="D248" s="29" t="s">
        <v>42</v>
      </c>
      <c r="E248" s="33" t="n">
        <f aca="false">IF(D248="totale",(C248/(A248*24))/F248,IF(D248="marché libre",(C248/(A248*24))/G248,"spécifier histo"))</f>
        <v>0.0376270501270501</v>
      </c>
      <c r="F248" s="59" t="n">
        <v>962</v>
      </c>
      <c r="G248" s="59" t="n">
        <f aca="false">F248-H248</f>
        <v>962</v>
      </c>
      <c r="H248" s="59" t="n">
        <v>0</v>
      </c>
      <c r="I248" s="9"/>
      <c r="J248" s="30"/>
      <c r="K248" s="30"/>
    </row>
    <row r="249" customFormat="false" ht="23.4" hidden="false" customHeight="true" outlineLevel="0" collapsed="false">
      <c r="A249" s="1" t="n">
        <v>31</v>
      </c>
      <c r="B249" s="34" t="n">
        <v>39052</v>
      </c>
      <c r="C249" s="207" t="n">
        <v>26377</v>
      </c>
      <c r="D249" s="29" t="s">
        <v>42</v>
      </c>
      <c r="E249" s="33" t="n">
        <f aca="false">IF(D249="totale",(C249/(A249*24))/F249,IF(D249="marché libre",(C249/(A249*24))/G249,"spécifier histo"))</f>
        <v>0.0368533856437082</v>
      </c>
      <c r="F249" s="59" t="n">
        <v>962</v>
      </c>
      <c r="G249" s="59" t="n">
        <f aca="false">F249-H249</f>
        <v>962</v>
      </c>
      <c r="H249" s="59" t="n">
        <v>0</v>
      </c>
      <c r="I249" s="9"/>
      <c r="J249" s="30"/>
      <c r="K249" s="30"/>
    </row>
    <row r="250" customFormat="false" ht="23.4" hidden="false" customHeight="true" outlineLevel="0" collapsed="false">
      <c r="A250" s="1" t="n">
        <v>31</v>
      </c>
      <c r="B250" s="31" t="n">
        <v>39083</v>
      </c>
      <c r="C250" s="207" t="n">
        <v>46572</v>
      </c>
      <c r="D250" s="29" t="s">
        <v>42</v>
      </c>
      <c r="E250" s="33" t="n">
        <f aca="false">IF(D250="totale",(C250/(A250*24))/F250,IF(D250="marché libre",(C250/(A250*24))/G250,"spécifier histo"))</f>
        <v>0.0650694118436054</v>
      </c>
      <c r="F250" s="59" t="n">
        <v>962</v>
      </c>
      <c r="G250" s="59" t="n">
        <f aca="false">F250-H250</f>
        <v>962</v>
      </c>
      <c r="H250" s="59" t="n">
        <v>0</v>
      </c>
      <c r="I250" s="9"/>
      <c r="J250" s="30"/>
      <c r="K250" s="30"/>
    </row>
    <row r="251" customFormat="false" ht="23.4" hidden="false" customHeight="true" outlineLevel="0" collapsed="false">
      <c r="A251" s="1" t="n">
        <v>28</v>
      </c>
      <c r="B251" s="34" t="n">
        <v>39114</v>
      </c>
      <c r="C251" s="207" t="n">
        <v>213644</v>
      </c>
      <c r="D251" s="29" t="s">
        <v>42</v>
      </c>
      <c r="E251" s="33" t="n">
        <f aca="false">IF(D251="totale",(C251/(A251*24))/F251,IF(D251="marché libre",(C251/(A251*24))/G251,"spécifier histo"))</f>
        <v>0.330480892980893</v>
      </c>
      <c r="F251" s="59" t="n">
        <v>962</v>
      </c>
      <c r="G251" s="59" t="n">
        <f aca="false">F251-H251</f>
        <v>962</v>
      </c>
      <c r="H251" s="59" t="n">
        <v>0</v>
      </c>
      <c r="I251" s="9"/>
      <c r="J251" s="30"/>
      <c r="K251" s="30"/>
    </row>
    <row r="252" customFormat="false" ht="23.4" hidden="false" customHeight="true" outlineLevel="0" collapsed="false">
      <c r="A252" s="1" t="n">
        <v>31</v>
      </c>
      <c r="B252" s="31" t="n">
        <v>39142</v>
      </c>
      <c r="C252" s="207" t="n">
        <v>262381</v>
      </c>
      <c r="D252" s="29" t="s">
        <v>42</v>
      </c>
      <c r="E252" s="33" t="n">
        <f aca="false">IF(D252="totale",(C252/(A252*24))/F252,IF(D252="marché libre",(C252/(A252*24))/G252,"spécifier histo"))</f>
        <v>0.366593175060917</v>
      </c>
      <c r="F252" s="59" t="n">
        <v>962</v>
      </c>
      <c r="G252" s="59" t="n">
        <f aca="false">F252-H252</f>
        <v>962</v>
      </c>
      <c r="H252" s="59" t="n">
        <v>0</v>
      </c>
      <c r="I252" s="9"/>
      <c r="J252" s="30"/>
      <c r="K252" s="30"/>
    </row>
    <row r="253" customFormat="false" ht="23.4" hidden="false" customHeight="true" outlineLevel="0" collapsed="false">
      <c r="A253" s="1" t="n">
        <v>30</v>
      </c>
      <c r="B253" s="34" t="n">
        <v>39173</v>
      </c>
      <c r="C253" s="207" t="n">
        <v>232086</v>
      </c>
      <c r="D253" s="29" t="s">
        <v>42</v>
      </c>
      <c r="E253" s="33" t="n">
        <f aca="false">IF(D253="totale",(C253/(A253*24))/F253,IF(D253="marché libre",(C253/(A253*24))/G253,"spécifier histo"))</f>
        <v>0.335074497574498</v>
      </c>
      <c r="F253" s="59" t="n">
        <v>962</v>
      </c>
      <c r="G253" s="59" t="n">
        <f aca="false">F253-H253</f>
        <v>962</v>
      </c>
      <c r="H253" s="59" t="n">
        <v>0</v>
      </c>
      <c r="I253" s="9"/>
      <c r="J253" s="30"/>
      <c r="K253" s="30"/>
    </row>
    <row r="254" customFormat="false" ht="23.4" hidden="false" customHeight="true" outlineLevel="0" collapsed="false">
      <c r="A254" s="1" t="n">
        <v>31</v>
      </c>
      <c r="B254" s="31" t="n">
        <v>39203</v>
      </c>
      <c r="C254" s="207" t="n">
        <v>110976</v>
      </c>
      <c r="D254" s="29" t="s">
        <v>42</v>
      </c>
      <c r="E254" s="33" t="n">
        <f aca="false">IF(D254="totale",(C254/(A254*24))/F254,IF(D254="marché libre",(C254/(A254*24))/G254,"spécifier histo"))</f>
        <v>0.155053316343639</v>
      </c>
      <c r="F254" s="59" t="n">
        <v>962</v>
      </c>
      <c r="G254" s="59" t="n">
        <f aca="false">F254-H254</f>
        <v>962</v>
      </c>
      <c r="H254" s="59" t="n">
        <v>0</v>
      </c>
      <c r="I254" s="9"/>
      <c r="J254" s="30"/>
      <c r="K254" s="30"/>
    </row>
    <row r="255" customFormat="false" ht="23.4" hidden="false" customHeight="true" outlineLevel="0" collapsed="false">
      <c r="A255" s="1" t="n">
        <v>30</v>
      </c>
      <c r="B255" s="34" t="n">
        <v>39234</v>
      </c>
      <c r="C255" s="207" t="n">
        <v>0</v>
      </c>
      <c r="D255" s="29" t="s">
        <v>42</v>
      </c>
      <c r="E255" s="33" t="n">
        <f aca="false">IF(D255="totale",(C255/(A255*24))/F255,IF(D255="marché libre",(C255/(A255*24))/G255,"spécifier histo"))</f>
        <v>0</v>
      </c>
      <c r="F255" s="59" t="n">
        <v>962</v>
      </c>
      <c r="G255" s="59" t="n">
        <f aca="false">F255-H255</f>
        <v>962</v>
      </c>
      <c r="H255" s="59" t="n">
        <v>0</v>
      </c>
      <c r="I255" s="9"/>
      <c r="J255" s="30"/>
      <c r="K255" s="30"/>
    </row>
    <row r="256" customFormat="false" ht="23.4" hidden="false" customHeight="true" outlineLevel="0" collapsed="false">
      <c r="A256" s="1" t="n">
        <v>31</v>
      </c>
      <c r="B256" s="31" t="n">
        <v>39264</v>
      </c>
      <c r="C256" s="207" t="n">
        <v>0</v>
      </c>
      <c r="D256" s="29" t="s">
        <v>42</v>
      </c>
      <c r="E256" s="33" t="n">
        <f aca="false">IF(D256="totale",(C256/(A256*24))/F256,IF(D256="marché libre",(C256/(A256*24))/G256,"spécifier histo"))</f>
        <v>0</v>
      </c>
      <c r="F256" s="59" t="n">
        <v>962</v>
      </c>
      <c r="G256" s="59" t="n">
        <f aca="false">F256-H256</f>
        <v>962</v>
      </c>
      <c r="H256" s="59" t="n">
        <v>0</v>
      </c>
      <c r="I256" s="9"/>
      <c r="J256" s="30"/>
      <c r="K256" s="30"/>
    </row>
    <row r="257" customFormat="false" ht="23.4" hidden="false" customHeight="true" outlineLevel="0" collapsed="false">
      <c r="A257" s="1" t="n">
        <v>31</v>
      </c>
      <c r="B257" s="34" t="n">
        <v>39295</v>
      </c>
      <c r="C257" s="207" t="n">
        <v>0</v>
      </c>
      <c r="D257" s="29" t="s">
        <v>42</v>
      </c>
      <c r="E257" s="33" t="n">
        <f aca="false">IF(D257="totale",(C257/(A257*24))/F257,IF(D257="marché libre",(C257/(A257*24))/G257,"spécifier histo"))</f>
        <v>0</v>
      </c>
      <c r="F257" s="59" t="n">
        <v>962</v>
      </c>
      <c r="G257" s="59" t="n">
        <f aca="false">F257-H257</f>
        <v>962</v>
      </c>
      <c r="H257" s="59" t="n">
        <v>0</v>
      </c>
      <c r="I257" s="9"/>
      <c r="J257" s="30"/>
      <c r="K257" s="30"/>
    </row>
    <row r="258" customFormat="false" ht="23.4" hidden="false" customHeight="true" outlineLevel="0" collapsed="false">
      <c r="A258" s="1" t="n">
        <v>30</v>
      </c>
      <c r="B258" s="31" t="n">
        <v>39326</v>
      </c>
      <c r="C258" s="207" t="n">
        <v>0</v>
      </c>
      <c r="D258" s="29" t="s">
        <v>42</v>
      </c>
      <c r="E258" s="33" t="n">
        <f aca="false">IF(D258="totale",(C258/(A258*24))/F258,IF(D258="marché libre",(C258/(A258*24))/G258,"spécifier histo"))</f>
        <v>0</v>
      </c>
      <c r="F258" s="59" t="n">
        <v>962</v>
      </c>
      <c r="G258" s="59" t="n">
        <f aca="false">F258-H258</f>
        <v>962</v>
      </c>
      <c r="H258" s="59" t="n">
        <v>0</v>
      </c>
      <c r="I258" s="9"/>
      <c r="J258" s="30"/>
      <c r="K258" s="30"/>
    </row>
    <row r="259" customFormat="false" ht="23.4" hidden="false" customHeight="true" outlineLevel="0" collapsed="false">
      <c r="A259" s="1" t="n">
        <v>31</v>
      </c>
      <c r="B259" s="34" t="n">
        <v>39356</v>
      </c>
      <c r="C259" s="207" t="n">
        <v>0</v>
      </c>
      <c r="D259" s="29" t="s">
        <v>42</v>
      </c>
      <c r="E259" s="33" t="n">
        <f aca="false">IF(D259="totale",(C259/(A259*24))/F259,IF(D259="marché libre",(C259/(A259*24))/G259,"spécifier histo"))</f>
        <v>0</v>
      </c>
      <c r="F259" s="59" t="n">
        <v>962</v>
      </c>
      <c r="G259" s="59" t="n">
        <f aca="false">F259-H259</f>
        <v>962</v>
      </c>
      <c r="H259" s="59" t="n">
        <v>0</v>
      </c>
      <c r="I259" s="9"/>
      <c r="J259" s="30"/>
      <c r="K259" s="30"/>
    </row>
    <row r="260" customFormat="false" ht="23.4" hidden="false" customHeight="true" outlineLevel="0" collapsed="false">
      <c r="A260" s="1" t="n">
        <v>30</v>
      </c>
      <c r="B260" s="31" t="n">
        <v>39387</v>
      </c>
      <c r="C260" s="207" t="n">
        <v>35738</v>
      </c>
      <c r="D260" s="29" t="s">
        <v>42</v>
      </c>
      <c r="E260" s="33" t="n">
        <f aca="false">IF(D260="totale",(C260/(A260*24))/F260,IF(D260="marché libre",(C260/(A260*24))/G260,"spécifier histo"))</f>
        <v>0.0515967890967891</v>
      </c>
      <c r="F260" s="59" t="n">
        <v>962</v>
      </c>
      <c r="G260" s="59" t="n">
        <f aca="false">F260-H260</f>
        <v>962</v>
      </c>
      <c r="H260" s="59" t="n">
        <v>0</v>
      </c>
      <c r="I260" s="9"/>
      <c r="J260" s="30"/>
      <c r="K260" s="30"/>
    </row>
    <row r="261" customFormat="false" ht="23.4" hidden="false" customHeight="true" outlineLevel="0" collapsed="false">
      <c r="A261" s="1" t="n">
        <v>31</v>
      </c>
      <c r="B261" s="34" t="n">
        <v>39417</v>
      </c>
      <c r="C261" s="207" t="n">
        <v>121041</v>
      </c>
      <c r="D261" s="29" t="s">
        <v>42</v>
      </c>
      <c r="E261" s="33" t="n">
        <f aca="false">IF(D261="totale",(C261/(A261*24))/F261,IF(D261="marché libre",(C261/(A261*24))/G261,"spécifier histo"))</f>
        <v>0.16911592113205</v>
      </c>
      <c r="F261" s="59" t="n">
        <v>962</v>
      </c>
      <c r="G261" s="59" t="n">
        <f aca="false">F261-H261</f>
        <v>962</v>
      </c>
      <c r="H261" s="59" t="n">
        <v>0</v>
      </c>
      <c r="I261" s="9"/>
      <c r="J261" s="30"/>
      <c r="K261" s="30"/>
    </row>
    <row r="262" customFormat="false" ht="23.4" hidden="false" customHeight="true" outlineLevel="0" collapsed="false">
      <c r="A262" s="1" t="n">
        <v>31</v>
      </c>
      <c r="B262" s="31" t="n">
        <v>39448</v>
      </c>
      <c r="C262" s="207" t="n">
        <v>362063</v>
      </c>
      <c r="D262" s="29" t="s">
        <v>42</v>
      </c>
      <c r="E262" s="33" t="n">
        <f aca="false">IF(D262="totale",(C262/(A262*24))/F262,IF(D262="marché libre",(C262/(A262*24))/G262,"spécifier histo"))</f>
        <v>0.505866753850625</v>
      </c>
      <c r="F262" s="59" t="n">
        <v>962</v>
      </c>
      <c r="G262" s="59" t="n">
        <f aca="false">F262-H262</f>
        <v>962</v>
      </c>
      <c r="H262" s="59" t="n">
        <v>0</v>
      </c>
      <c r="I262" s="9"/>
      <c r="J262" s="30"/>
      <c r="K262" s="30"/>
    </row>
    <row r="263" customFormat="false" ht="23.4" hidden="false" customHeight="true" outlineLevel="0" collapsed="false">
      <c r="A263" s="1" t="n">
        <v>28</v>
      </c>
      <c r="B263" s="34" t="n">
        <v>39479</v>
      </c>
      <c r="C263" s="207" t="n">
        <v>224626</v>
      </c>
      <c r="D263" s="29" t="s">
        <v>42</v>
      </c>
      <c r="E263" s="33" t="n">
        <f aca="false">IF(D263="totale",(C263/(A263*24))/F263,IF(D263="marché libre",(C263/(A263*24))/G263,"spécifier histo"))</f>
        <v>0.347468691218691</v>
      </c>
      <c r="F263" s="59" t="n">
        <v>962</v>
      </c>
      <c r="G263" s="59" t="n">
        <f aca="false">F263-H263</f>
        <v>962</v>
      </c>
      <c r="H263" s="59" t="n">
        <v>0</v>
      </c>
      <c r="I263" s="9"/>
      <c r="J263" s="30"/>
      <c r="K263" s="30"/>
    </row>
    <row r="264" customFormat="false" ht="23.4" hidden="false" customHeight="true" outlineLevel="0" collapsed="false">
      <c r="A264" s="1" t="n">
        <v>31</v>
      </c>
      <c r="B264" s="31" t="n">
        <v>39508</v>
      </c>
      <c r="C264" s="207" t="n">
        <v>232845</v>
      </c>
      <c r="D264" s="29" t="s">
        <v>42</v>
      </c>
      <c r="E264" s="33" t="n">
        <f aca="false">IF(D264="totale",(C264/(A264*24))/F264,IF(D264="marché libre",(C264/(A264*24))/G264,"spécifier histo"))</f>
        <v>0.325326101535779</v>
      </c>
      <c r="F264" s="59" t="n">
        <v>962</v>
      </c>
      <c r="G264" s="59" t="n">
        <f aca="false">F264-H264</f>
        <v>962</v>
      </c>
      <c r="H264" s="59" t="n">
        <v>0</v>
      </c>
      <c r="I264" s="9"/>
      <c r="J264" s="30"/>
      <c r="K264" s="30"/>
    </row>
    <row r="265" customFormat="false" ht="23.4" hidden="false" customHeight="true" outlineLevel="0" collapsed="false">
      <c r="A265" s="1" t="n">
        <v>30</v>
      </c>
      <c r="B265" s="34" t="n">
        <v>39539</v>
      </c>
      <c r="C265" s="207" t="n">
        <v>472598</v>
      </c>
      <c r="D265" s="29" t="s">
        <v>42</v>
      </c>
      <c r="E265" s="33" t="n">
        <f aca="false">IF(D265="totale",(C265/(A265*24))/F265,IF(D265="marché libre",(C265/(A265*24))/G265,"spécifier histo"))</f>
        <v>0.682314044814045</v>
      </c>
      <c r="F265" s="59" t="n">
        <v>962</v>
      </c>
      <c r="G265" s="59" t="n">
        <f aca="false">F265-H265</f>
        <v>962</v>
      </c>
      <c r="H265" s="59" t="n">
        <v>0</v>
      </c>
      <c r="I265" s="9"/>
      <c r="J265" s="30"/>
      <c r="K265" s="30"/>
    </row>
    <row r="266" customFormat="false" ht="23.4" hidden="false" customHeight="true" outlineLevel="0" collapsed="false">
      <c r="A266" s="1" t="n">
        <v>31</v>
      </c>
      <c r="B266" s="31" t="n">
        <v>39569</v>
      </c>
      <c r="C266" s="207" t="n">
        <v>416469</v>
      </c>
      <c r="D266" s="29" t="s">
        <v>42</v>
      </c>
      <c r="E266" s="33" t="n">
        <f aca="false">IF(D266="totale",(C266/(A266*24))/F266,IF(D266="marché libre",(C266/(A266*24))/G266,"spécifier histo"))</f>
        <v>0.581881664542955</v>
      </c>
      <c r="F266" s="59" t="n">
        <v>962</v>
      </c>
      <c r="G266" s="59" t="n">
        <f aca="false">F266-H266</f>
        <v>962</v>
      </c>
      <c r="H266" s="59" t="n">
        <v>0</v>
      </c>
      <c r="I266" s="9"/>
      <c r="J266" s="30"/>
      <c r="K266" s="30"/>
    </row>
    <row r="267" customFormat="false" ht="23.4" hidden="false" customHeight="true" outlineLevel="0" collapsed="false">
      <c r="A267" s="1" t="n">
        <v>30</v>
      </c>
      <c r="B267" s="34" t="n">
        <v>39600</v>
      </c>
      <c r="C267" s="207" t="n">
        <v>352758</v>
      </c>
      <c r="D267" s="29" t="s">
        <v>42</v>
      </c>
      <c r="E267" s="33" t="n">
        <f aca="false">IF(D267="totale",(C267/(A267*24))/F267,IF(D267="marché libre",(C267/(A267*24))/G267,"spécifier histo"))</f>
        <v>0.509294871794872</v>
      </c>
      <c r="F267" s="59" t="n">
        <v>962</v>
      </c>
      <c r="G267" s="59" t="n">
        <f aca="false">F267-H267</f>
        <v>962</v>
      </c>
      <c r="H267" s="59" t="n">
        <v>0</v>
      </c>
      <c r="I267" s="9"/>
      <c r="J267" s="30"/>
      <c r="K267" s="30"/>
    </row>
    <row r="268" customFormat="false" ht="23.4" hidden="false" customHeight="true" outlineLevel="0" collapsed="false">
      <c r="A268" s="1" t="n">
        <v>31</v>
      </c>
      <c r="B268" s="31" t="n">
        <v>39630</v>
      </c>
      <c r="C268" s="207" t="n">
        <v>0</v>
      </c>
      <c r="D268" s="29" t="s">
        <v>42</v>
      </c>
      <c r="E268" s="33" t="n">
        <f aca="false">IF(D268="totale",(C268/(A268*24))/F268,IF(D268="marché libre",(C268/(A268*24))/G268,"spécifier histo"))</f>
        <v>0</v>
      </c>
      <c r="F268" s="59" t="n">
        <v>962</v>
      </c>
      <c r="G268" s="59" t="n">
        <f aca="false">F268-H268</f>
        <v>962</v>
      </c>
      <c r="H268" s="59" t="n">
        <v>0</v>
      </c>
      <c r="I268" s="9"/>
      <c r="J268" s="30"/>
      <c r="K268" s="30"/>
    </row>
    <row r="269" customFormat="false" ht="23.4" hidden="false" customHeight="true" outlineLevel="0" collapsed="false">
      <c r="A269" s="1" t="n">
        <v>31</v>
      </c>
      <c r="B269" s="34" t="n">
        <v>39661</v>
      </c>
      <c r="C269" s="207" t="n">
        <v>0</v>
      </c>
      <c r="D269" s="29" t="s">
        <v>42</v>
      </c>
      <c r="E269" s="33" t="n">
        <f aca="false">IF(D269="totale",(C269/(A269*24))/F269,IF(D269="marché libre",(C269/(A269*24))/G269,"spécifier histo"))</f>
        <v>0</v>
      </c>
      <c r="F269" s="59" t="n">
        <v>962</v>
      </c>
      <c r="G269" s="59" t="n">
        <f aca="false">F269-H269</f>
        <v>962</v>
      </c>
      <c r="H269" s="59" t="n">
        <v>0</v>
      </c>
      <c r="I269" s="9"/>
      <c r="J269" s="30"/>
      <c r="K269" s="30"/>
    </row>
    <row r="270" customFormat="false" ht="23.4" hidden="false" customHeight="true" outlineLevel="0" collapsed="false">
      <c r="A270" s="1" t="n">
        <v>30</v>
      </c>
      <c r="B270" s="31" t="n">
        <v>39692</v>
      </c>
      <c r="C270" s="207" t="n">
        <v>1290</v>
      </c>
      <c r="D270" s="29" t="s">
        <v>42</v>
      </c>
      <c r="E270" s="33" t="n">
        <f aca="false">IF(D270="totale",(C270/(A270*24))/F270,IF(D270="marché libre",(C270/(A270*24))/G270,"spécifier histo"))</f>
        <v>0.00186243936243936</v>
      </c>
      <c r="F270" s="59" t="n">
        <v>962</v>
      </c>
      <c r="G270" s="59" t="n">
        <f aca="false">F270-H270</f>
        <v>962</v>
      </c>
      <c r="H270" s="59" t="n">
        <v>0</v>
      </c>
      <c r="I270" s="9"/>
      <c r="J270" s="30"/>
      <c r="K270" s="30"/>
    </row>
    <row r="271" customFormat="false" ht="23.4" hidden="false" customHeight="true" outlineLevel="0" collapsed="false">
      <c r="A271" s="1" t="n">
        <v>31</v>
      </c>
      <c r="B271" s="34" t="n">
        <v>39722</v>
      </c>
      <c r="C271" s="207" t="n">
        <v>1480</v>
      </c>
      <c r="D271" s="29" t="s">
        <v>42</v>
      </c>
      <c r="E271" s="33" t="n">
        <f aca="false">IF(D271="totale",(C271/(A271*24))/F271,IF(D271="marché libre",(C271/(A271*24))/G271,"spécifier histo"))</f>
        <v>0.00206782464846981</v>
      </c>
      <c r="F271" s="59" t="n">
        <v>962</v>
      </c>
      <c r="G271" s="59" t="n">
        <f aca="false">F271-H271</f>
        <v>962</v>
      </c>
      <c r="H271" s="59" t="n">
        <v>0</v>
      </c>
      <c r="I271" s="9"/>
      <c r="J271" s="30"/>
      <c r="K271" s="30"/>
    </row>
    <row r="272" customFormat="false" ht="23.4" hidden="false" customHeight="true" outlineLevel="0" collapsed="false">
      <c r="A272" s="1" t="n">
        <v>30</v>
      </c>
      <c r="B272" s="31" t="n">
        <v>39753</v>
      </c>
      <c r="C272" s="207" t="n">
        <v>227648</v>
      </c>
      <c r="D272" s="29" t="s">
        <v>42</v>
      </c>
      <c r="E272" s="33" t="n">
        <f aca="false">IF(D272="totale",(C272/(A272*24))/F272,IF(D272="marché libre",(C272/(A272*24))/G272,"spécifier histo"))</f>
        <v>0.328667128667129</v>
      </c>
      <c r="F272" s="59" t="n">
        <v>962</v>
      </c>
      <c r="G272" s="59" t="n">
        <f aca="false">F272-H272</f>
        <v>962</v>
      </c>
      <c r="H272" s="59" t="n">
        <v>0</v>
      </c>
      <c r="I272" s="9"/>
      <c r="J272" s="30"/>
      <c r="K272" s="30"/>
    </row>
    <row r="273" customFormat="false" ht="23.4" hidden="false" customHeight="true" outlineLevel="0" collapsed="false">
      <c r="A273" s="1" t="n">
        <v>31</v>
      </c>
      <c r="B273" s="34" t="n">
        <v>39783</v>
      </c>
      <c r="C273" s="207" t="n">
        <v>413528</v>
      </c>
      <c r="D273" s="29" t="s">
        <v>42</v>
      </c>
      <c r="E273" s="33" t="n">
        <f aca="false">IF(D273="totale",(C273/(A273*24))/F273,IF(D273="marché libre",(C273/(A273*24))/G273,"spécifier histo"))</f>
        <v>0.577772561643529</v>
      </c>
      <c r="F273" s="59" t="n">
        <v>962</v>
      </c>
      <c r="G273" s="59" t="n">
        <f aca="false">F273-H273</f>
        <v>962</v>
      </c>
      <c r="H273" s="59" t="n">
        <v>0</v>
      </c>
      <c r="I273" s="9"/>
      <c r="J273" s="30"/>
      <c r="K273" s="30"/>
    </row>
    <row r="274" customFormat="false" ht="23.4" hidden="false" customHeight="true" outlineLevel="0" collapsed="false">
      <c r="A274" s="1" t="n">
        <v>31</v>
      </c>
      <c r="B274" s="31" t="n">
        <v>39814</v>
      </c>
      <c r="C274" s="207" t="n">
        <v>406247</v>
      </c>
      <c r="D274" s="29" t="s">
        <v>42</v>
      </c>
      <c r="E274" s="33" t="n">
        <f aca="false">IF(D274="totale",(C274/(A274*24))/F274,IF(D274="marché libre",(C274/(A274*24))/G274,"spécifier histo"))</f>
        <v>0.567599702680348</v>
      </c>
      <c r="F274" s="59" t="n">
        <v>962</v>
      </c>
      <c r="G274" s="59" t="n">
        <f aca="false">F274-H274</f>
        <v>962</v>
      </c>
      <c r="H274" s="59" t="n">
        <v>0</v>
      </c>
      <c r="I274" s="9"/>
      <c r="J274" s="30"/>
      <c r="K274" s="30"/>
    </row>
    <row r="275" customFormat="false" ht="23.4" hidden="false" customHeight="true" outlineLevel="0" collapsed="false">
      <c r="A275" s="0" t="n">
        <v>28</v>
      </c>
      <c r="B275" s="34" t="n">
        <v>39845</v>
      </c>
      <c r="C275" s="207" t="n">
        <v>426996</v>
      </c>
      <c r="D275" s="29" t="s">
        <v>42</v>
      </c>
      <c r="E275" s="33" t="n">
        <f aca="false">IF(D275="totale",(C275/(A275*24))/F275,IF(D275="marché libre",(C275/(A275*24))/G275,"spécifier histo"))</f>
        <v>0.660510098010098</v>
      </c>
      <c r="F275" s="59" t="n">
        <v>962</v>
      </c>
      <c r="G275" s="59" t="n">
        <f aca="false">F275-H275</f>
        <v>962</v>
      </c>
      <c r="H275" s="59" t="n">
        <v>0</v>
      </c>
      <c r="I275" s="9"/>
      <c r="J275" s="30"/>
      <c r="K275" s="30"/>
    </row>
    <row r="276" customFormat="false" ht="23.4" hidden="false" customHeight="true" outlineLevel="0" collapsed="false">
      <c r="A276" s="0" t="n">
        <v>31</v>
      </c>
      <c r="B276" s="31" t="n">
        <v>39873</v>
      </c>
      <c r="C276" s="207" t="n">
        <v>331615</v>
      </c>
      <c r="D276" s="29" t="s">
        <v>42</v>
      </c>
      <c r="E276" s="33" t="n">
        <f aca="false">IF(D276="totale",(C276/(A276*24))/F276,IF(D276="marché libre",(C276/(A276*24))/G276,"spécifier histo"))</f>
        <v>0.463325453244808</v>
      </c>
      <c r="F276" s="59" t="n">
        <v>962</v>
      </c>
      <c r="G276" s="59" t="n">
        <f aca="false">F276-H276</f>
        <v>962</v>
      </c>
      <c r="H276" s="59" t="n">
        <v>0</v>
      </c>
      <c r="I276" s="9"/>
      <c r="J276" s="30"/>
      <c r="K276" s="30"/>
    </row>
    <row r="277" customFormat="false" ht="23.4" hidden="false" customHeight="true" outlineLevel="0" collapsed="false">
      <c r="A277" s="0" t="n">
        <v>30</v>
      </c>
      <c r="B277" s="34" t="n">
        <v>39904</v>
      </c>
      <c r="C277" s="207" t="n">
        <v>518484</v>
      </c>
      <c r="D277" s="29" t="s">
        <v>42</v>
      </c>
      <c r="E277" s="33" t="n">
        <f aca="false">IF(D277="totale",(C277/(A277*24))/F277,IF(D277="marché libre",(C277/(A277*24))/G277,"spécifier histo"))</f>
        <v>0.748562023562024</v>
      </c>
      <c r="F277" s="59" t="n">
        <v>962</v>
      </c>
      <c r="G277" s="59" t="n">
        <f aca="false">F277-H277</f>
        <v>962</v>
      </c>
      <c r="H277" s="59" t="n">
        <v>0</v>
      </c>
      <c r="I277" s="9"/>
      <c r="J277" s="30"/>
      <c r="K277" s="30"/>
    </row>
    <row r="278" customFormat="false" ht="23.4" hidden="false" customHeight="true" outlineLevel="0" collapsed="false">
      <c r="A278" s="0" t="n">
        <v>31</v>
      </c>
      <c r="B278" s="31" t="n">
        <v>39934</v>
      </c>
      <c r="C278" s="207" t="n">
        <v>217143</v>
      </c>
      <c r="D278" s="29" t="s">
        <v>42</v>
      </c>
      <c r="E278" s="33" t="n">
        <f aca="false">IF(D278="totale",(C278/(A278*24))/F278,IF(D278="marché libre",(C278/(A278*24))/G278,"spécifier histo"))</f>
        <v>0.303387599758567</v>
      </c>
      <c r="F278" s="59" t="n">
        <v>962</v>
      </c>
      <c r="G278" s="59" t="n">
        <f aca="false">F278-H278</f>
        <v>962</v>
      </c>
      <c r="H278" s="59" t="n">
        <v>0</v>
      </c>
      <c r="I278" s="9"/>
      <c r="J278" s="30"/>
      <c r="K278" s="30"/>
    </row>
    <row r="279" customFormat="false" ht="23.4" hidden="false" customHeight="true" outlineLevel="0" collapsed="false">
      <c r="A279" s="0" t="n">
        <v>30</v>
      </c>
      <c r="B279" s="34" t="n">
        <v>39965</v>
      </c>
      <c r="C279" s="207" t="n">
        <v>28901</v>
      </c>
      <c r="D279" s="29" t="s">
        <v>42</v>
      </c>
      <c r="E279" s="33" t="n">
        <f aca="false">IF(D279="totale",(C279/(A279*24))/F279,IF(D279="marché libre",(C279/(A279*24))/G279,"spécifier histo"))</f>
        <v>0.0417258604758605</v>
      </c>
      <c r="F279" s="59" t="n">
        <v>962</v>
      </c>
      <c r="G279" s="59" t="n">
        <f aca="false">F279-H279</f>
        <v>962</v>
      </c>
      <c r="H279" s="59" t="n">
        <v>0</v>
      </c>
      <c r="I279" s="9"/>
      <c r="J279" s="30"/>
      <c r="K279" s="30"/>
    </row>
    <row r="280" customFormat="false" ht="23.4" hidden="false" customHeight="true" outlineLevel="0" collapsed="false">
      <c r="A280" s="0" t="n">
        <v>31</v>
      </c>
      <c r="B280" s="31" t="n">
        <v>39995</v>
      </c>
      <c r="C280" s="207" t="n">
        <v>0</v>
      </c>
      <c r="D280" s="29" t="s">
        <v>42</v>
      </c>
      <c r="E280" s="33" t="n">
        <f aca="false">IF(D280="totale",(C280/(A280*24))/F280,IF(D280="marché libre",(C280/(A280*24))/G280,"spécifier histo"))</f>
        <v>0</v>
      </c>
      <c r="F280" s="59" t="n">
        <v>962</v>
      </c>
      <c r="G280" s="59" t="n">
        <f aca="false">F280-H280</f>
        <v>962</v>
      </c>
      <c r="H280" s="59" t="n">
        <v>0</v>
      </c>
      <c r="I280" s="9"/>
      <c r="J280" s="30"/>
      <c r="K280" s="30"/>
    </row>
    <row r="281" customFormat="false" ht="23.4" hidden="false" customHeight="true" outlineLevel="0" collapsed="false">
      <c r="A281" s="0" t="n">
        <v>31</v>
      </c>
      <c r="B281" s="34" t="n">
        <v>40026</v>
      </c>
      <c r="C281" s="207" t="n">
        <v>0</v>
      </c>
      <c r="D281" s="29" t="s">
        <v>42</v>
      </c>
      <c r="E281" s="33" t="n">
        <f aca="false">IF(D281="totale",(C281/(A281*24))/F281,IF(D281="marché libre",(C281/(A281*24))/G281,"spécifier histo"))</f>
        <v>0</v>
      </c>
      <c r="F281" s="59" t="n">
        <v>962</v>
      </c>
      <c r="G281" s="59" t="n">
        <f aca="false">F281-H281</f>
        <v>962</v>
      </c>
      <c r="H281" s="59" t="n">
        <v>0</v>
      </c>
      <c r="I281" s="9"/>
      <c r="J281" s="30"/>
      <c r="K281" s="30"/>
    </row>
    <row r="282" customFormat="false" ht="23.4" hidden="false" customHeight="true" outlineLevel="0" collapsed="false">
      <c r="A282" s="0" t="n">
        <v>30</v>
      </c>
      <c r="B282" s="31" t="n">
        <v>40057</v>
      </c>
      <c r="C282" s="207" t="n">
        <v>0</v>
      </c>
      <c r="D282" s="29" t="s">
        <v>42</v>
      </c>
      <c r="E282" s="33" t="n">
        <f aca="false">IF(D282="totale",(C282/(A282*24))/F282,IF(D282="marché libre",(C282/(A282*24))/G282,"spécifier histo"))</f>
        <v>0</v>
      </c>
      <c r="F282" s="59" t="n">
        <v>962</v>
      </c>
      <c r="G282" s="59" t="n">
        <f aca="false">F282-H282</f>
        <v>962</v>
      </c>
      <c r="H282" s="59" t="n">
        <v>0</v>
      </c>
      <c r="I282" s="9"/>
      <c r="J282" s="30"/>
      <c r="K282" s="30"/>
    </row>
    <row r="283" customFormat="false" ht="23.4" hidden="false" customHeight="true" outlineLevel="0" collapsed="false">
      <c r="A283" s="0" t="n">
        <v>31</v>
      </c>
      <c r="B283" s="34" t="n">
        <v>40087</v>
      </c>
      <c r="C283" s="207" t="n">
        <v>0</v>
      </c>
      <c r="D283" s="29" t="s">
        <v>42</v>
      </c>
      <c r="E283" s="33" t="n">
        <f aca="false">IF(D283="totale",(C283/(A283*24))/F283,IF(D283="marché libre",(C283/(A283*24))/G283,"spécifier histo"))</f>
        <v>0</v>
      </c>
      <c r="F283" s="59" t="n">
        <v>962</v>
      </c>
      <c r="G283" s="59" t="n">
        <f aca="false">F283-H283</f>
        <v>962</v>
      </c>
      <c r="H283" s="59" t="n">
        <v>0</v>
      </c>
      <c r="I283" s="9"/>
      <c r="J283" s="30"/>
      <c r="K283" s="30"/>
    </row>
    <row r="284" customFormat="false" ht="23.4" hidden="false" customHeight="true" outlineLevel="0" collapsed="false">
      <c r="A284" s="0" t="n">
        <v>30</v>
      </c>
      <c r="B284" s="31" t="n">
        <v>40118</v>
      </c>
      <c r="C284" s="207" t="n">
        <v>22560</v>
      </c>
      <c r="D284" s="29" t="s">
        <v>42</v>
      </c>
      <c r="E284" s="33" t="n">
        <f aca="false">IF(D284="totale",(C284/(A284*24))/F284,IF(D284="marché libre",(C284/(A284*24))/G284,"spécifier histo"))</f>
        <v>0.0325710325710326</v>
      </c>
      <c r="F284" s="59" t="n">
        <v>962</v>
      </c>
      <c r="G284" s="59" t="n">
        <f aca="false">F284-H284</f>
        <v>962</v>
      </c>
      <c r="H284" s="59" t="n">
        <v>0</v>
      </c>
      <c r="I284" s="9"/>
      <c r="J284" s="30"/>
      <c r="K284" s="30"/>
    </row>
    <row r="285" customFormat="false" ht="23.4" hidden="false" customHeight="true" outlineLevel="0" collapsed="false">
      <c r="A285" s="0" t="n">
        <v>31</v>
      </c>
      <c r="B285" s="34" t="n">
        <v>40148</v>
      </c>
      <c r="C285" s="207" t="n">
        <v>254554</v>
      </c>
      <c r="D285" s="29" t="s">
        <v>42</v>
      </c>
      <c r="E285" s="33" t="n">
        <f aca="false">IF(D285="totale",(C285/(A285*24))/F285,IF(D285="marché libre",(C285/(A285*24))/G285,"spécifier histo"))</f>
        <v>0.355657456463908</v>
      </c>
      <c r="F285" s="59" t="n">
        <v>962</v>
      </c>
      <c r="G285" s="59" t="n">
        <f aca="false">F285-H285</f>
        <v>962</v>
      </c>
      <c r="H285" s="59" t="n">
        <v>0</v>
      </c>
      <c r="I285" s="9"/>
      <c r="J285" s="30"/>
      <c r="K285" s="30"/>
    </row>
    <row r="286" customFormat="false" ht="23.4" hidden="false" customHeight="true" outlineLevel="0" collapsed="false">
      <c r="A286" s="0" t="n">
        <v>31</v>
      </c>
      <c r="B286" s="31" t="n">
        <v>40179</v>
      </c>
      <c r="C286" s="56" t="n">
        <v>393144</v>
      </c>
      <c r="D286" s="29" t="s">
        <v>42</v>
      </c>
      <c r="E286" s="33" t="n">
        <f aca="false">IF(D286="totale",(C286/(A286*24))/F286,IF(D286="marché libre",(C286/(A286*24))/G286,"spécifier histo"))</f>
        <v>0.549292468647307</v>
      </c>
      <c r="F286" s="59" t="n">
        <v>962</v>
      </c>
      <c r="G286" s="59" t="n">
        <f aca="false">F286-H286</f>
        <v>962</v>
      </c>
      <c r="H286" s="59" t="n">
        <v>0</v>
      </c>
      <c r="I286" s="9"/>
      <c r="J286" s="30"/>
      <c r="K286" s="30"/>
    </row>
    <row r="287" customFormat="false" ht="23.4" hidden="false" customHeight="true" outlineLevel="0" collapsed="false">
      <c r="A287" s="0" t="n">
        <v>28</v>
      </c>
      <c r="B287" s="34" t="n">
        <v>40210</v>
      </c>
      <c r="C287" s="56" t="n">
        <v>432727</v>
      </c>
      <c r="D287" s="29" t="s">
        <v>42</v>
      </c>
      <c r="E287" s="33" t="n">
        <f aca="false">IF(D287="totale",(C287/(A287*24))/F287,IF(D287="marché libre",(C287/(A287*24))/G287,"spécifier histo"))</f>
        <v>0.669375247500247</v>
      </c>
      <c r="F287" s="59" t="n">
        <v>962</v>
      </c>
      <c r="G287" s="59" t="n">
        <f aca="false">F287-H287</f>
        <v>962</v>
      </c>
      <c r="H287" s="59" t="n">
        <v>0</v>
      </c>
      <c r="I287" s="9"/>
      <c r="J287" s="30"/>
      <c r="K287" s="30"/>
    </row>
    <row r="288" customFormat="false" ht="23.4" hidden="false" customHeight="true" outlineLevel="0" collapsed="false">
      <c r="A288" s="0" t="n">
        <v>31</v>
      </c>
      <c r="B288" s="31" t="n">
        <v>40238</v>
      </c>
      <c r="C288" s="56" t="n">
        <v>598420</v>
      </c>
      <c r="D288" s="29" t="s">
        <v>42</v>
      </c>
      <c r="E288" s="33" t="n">
        <f aca="false">IF(D288="totale",(C288/(A288*24))/F288,IF(D288="marché libre",(C288/(A288*24))/G288,"spécifier histo"))</f>
        <v>0.83609974739007</v>
      </c>
      <c r="F288" s="59" t="n">
        <v>962</v>
      </c>
      <c r="G288" s="59" t="n">
        <f aca="false">F288-H288</f>
        <v>962</v>
      </c>
      <c r="H288" s="59" t="n">
        <v>0</v>
      </c>
      <c r="I288" s="9"/>
      <c r="J288" s="30"/>
      <c r="K288" s="30"/>
    </row>
    <row r="289" customFormat="false" ht="23.4" hidden="false" customHeight="true" outlineLevel="0" collapsed="false">
      <c r="A289" s="0" t="n">
        <v>30</v>
      </c>
      <c r="B289" s="34" t="n">
        <v>40269</v>
      </c>
      <c r="C289" s="56" t="n">
        <v>532212</v>
      </c>
      <c r="D289" s="29" t="s">
        <v>42</v>
      </c>
      <c r="E289" s="33" t="n">
        <f aca="false">IF(D289="totale",(C289/(A289*24))/F289,IF(D289="marché libre",(C289/(A289*24))/G289,"spécifier histo"))</f>
        <v>0.768381843381843</v>
      </c>
      <c r="F289" s="59" t="n">
        <v>962</v>
      </c>
      <c r="G289" s="59" t="n">
        <f aca="false">F289-H289</f>
        <v>962</v>
      </c>
      <c r="H289" s="59" t="n">
        <v>0</v>
      </c>
      <c r="I289" s="9"/>
      <c r="J289" s="30"/>
      <c r="K289" s="30"/>
    </row>
    <row r="290" customFormat="false" ht="23.4" hidden="false" customHeight="true" outlineLevel="0" collapsed="false">
      <c r="A290" s="0" t="n">
        <v>31</v>
      </c>
      <c r="B290" s="31" t="n">
        <v>40299</v>
      </c>
      <c r="C290" s="56" t="n">
        <v>398606</v>
      </c>
      <c r="D290" s="29" t="s">
        <v>42</v>
      </c>
      <c r="E290" s="33" t="n">
        <f aca="false">IF(D290="totale",(C290/(A290*24))/F290,IF(D290="marché libre",(C290/(A290*24))/G290,"spécifier histo"))</f>
        <v>0.556923859343214</v>
      </c>
      <c r="F290" s="59" t="n">
        <v>962</v>
      </c>
      <c r="G290" s="59" t="n">
        <f aca="false">F290-H290</f>
        <v>962</v>
      </c>
      <c r="H290" s="59" t="n">
        <v>0</v>
      </c>
      <c r="I290" s="9"/>
      <c r="J290" s="30"/>
      <c r="K290" s="30"/>
    </row>
    <row r="291" customFormat="false" ht="23.4" hidden="false" customHeight="true" outlineLevel="0" collapsed="false">
      <c r="A291" s="0" t="n">
        <v>30</v>
      </c>
      <c r="B291" s="34" t="n">
        <v>40330</v>
      </c>
      <c r="C291" s="56" t="n">
        <v>208707</v>
      </c>
      <c r="D291" s="29" t="s">
        <v>42</v>
      </c>
      <c r="E291" s="33" t="n">
        <f aca="false">IF(D291="totale",(C291/(A291*24))/F291,IF(D291="marché libre",(C291/(A291*24))/G291,"spécifier histo"))</f>
        <v>0.301321032571033</v>
      </c>
      <c r="F291" s="59" t="n">
        <v>962</v>
      </c>
      <c r="G291" s="59" t="n">
        <f aca="false">F291-H291</f>
        <v>962</v>
      </c>
      <c r="H291" s="59" t="n">
        <v>0</v>
      </c>
      <c r="I291" s="9"/>
      <c r="J291" s="30"/>
      <c r="K291" s="30"/>
    </row>
    <row r="292" customFormat="false" ht="23.4" hidden="false" customHeight="true" outlineLevel="0" collapsed="false">
      <c r="A292" s="0" t="n">
        <v>31</v>
      </c>
      <c r="B292" s="31" t="n">
        <v>40360</v>
      </c>
      <c r="C292" s="56" t="n">
        <v>64980</v>
      </c>
      <c r="D292" s="29" t="s">
        <v>42</v>
      </c>
      <c r="E292" s="33" t="n">
        <f aca="false">IF(D292="totale",(C292/(A292*24))/F292,IF(D292="marché libre",(C292/(A292*24))/G292,"spécifier histo"))</f>
        <v>0.0907886794983569</v>
      </c>
      <c r="F292" s="59" t="n">
        <v>962</v>
      </c>
      <c r="G292" s="59" t="n">
        <f aca="false">F292-H292</f>
        <v>962</v>
      </c>
      <c r="H292" s="59" t="n">
        <v>0</v>
      </c>
      <c r="I292" s="9"/>
      <c r="J292" s="30"/>
      <c r="K292" s="30"/>
    </row>
    <row r="293" customFormat="false" ht="23.4" hidden="false" customHeight="true" outlineLevel="0" collapsed="false">
      <c r="A293" s="0" t="n">
        <v>31</v>
      </c>
      <c r="B293" s="34" t="n">
        <v>40391</v>
      </c>
      <c r="C293" s="56" t="n">
        <v>0</v>
      </c>
      <c r="D293" s="29" t="s">
        <v>42</v>
      </c>
      <c r="E293" s="33" t="n">
        <f aca="false">IF(D293="totale",(C293/(A293*24))/F293,IF(D293="marché libre",(C293/(A293*24))/G293,"spécifier histo"))</f>
        <v>0</v>
      </c>
      <c r="F293" s="59" t="n">
        <v>962</v>
      </c>
      <c r="G293" s="59" t="n">
        <f aca="false">F293-H293</f>
        <v>962</v>
      </c>
      <c r="H293" s="59" t="n">
        <v>0</v>
      </c>
      <c r="I293" s="9"/>
      <c r="J293" s="30"/>
      <c r="K293" s="30"/>
    </row>
    <row r="294" customFormat="false" ht="23.4" hidden="false" customHeight="true" outlineLevel="0" collapsed="false">
      <c r="A294" s="0" t="n">
        <v>30</v>
      </c>
      <c r="B294" s="31" t="n">
        <v>40422</v>
      </c>
      <c r="C294" s="56" t="n">
        <v>0</v>
      </c>
      <c r="D294" s="29" t="s">
        <v>42</v>
      </c>
      <c r="E294" s="33" t="n">
        <f aca="false">IF(D294="totale",(C294/(A294*24))/F294,IF(D294="marché libre",(C294/(A294*24))/G294,"spécifier histo"))</f>
        <v>0</v>
      </c>
      <c r="F294" s="59" t="n">
        <v>962</v>
      </c>
      <c r="G294" s="59" t="n">
        <f aca="false">F294-H294</f>
        <v>962</v>
      </c>
      <c r="H294" s="59" t="n">
        <v>0</v>
      </c>
      <c r="I294" s="9"/>
      <c r="J294" s="30"/>
      <c r="K294" s="30"/>
    </row>
    <row r="295" customFormat="false" ht="23.4" hidden="false" customHeight="true" outlineLevel="0" collapsed="false">
      <c r="A295" s="0" t="n">
        <v>31</v>
      </c>
      <c r="B295" s="34" t="n">
        <v>40452</v>
      </c>
      <c r="C295" s="56" t="n">
        <v>0</v>
      </c>
      <c r="D295" s="29" t="s">
        <v>42</v>
      </c>
      <c r="E295" s="33" t="n">
        <f aca="false">IF(D295="totale",(C295/(A295*24))/F295,IF(D295="marché libre",(C295/(A295*24))/G295,"spécifier histo"))</f>
        <v>0</v>
      </c>
      <c r="F295" s="59" t="n">
        <v>962</v>
      </c>
      <c r="G295" s="59" t="n">
        <f aca="false">F295-H295</f>
        <v>962</v>
      </c>
      <c r="H295" s="59" t="n">
        <v>0</v>
      </c>
      <c r="I295" s="9"/>
      <c r="J295" s="30"/>
      <c r="K295" s="30"/>
    </row>
    <row r="296" customFormat="false" ht="23.4" hidden="false" customHeight="true" outlineLevel="0" collapsed="false">
      <c r="A296" s="0" t="n">
        <v>30</v>
      </c>
      <c r="B296" s="31" t="n">
        <v>40483</v>
      </c>
      <c r="C296" s="56" t="n">
        <v>242842</v>
      </c>
      <c r="D296" s="29" t="s">
        <v>42</v>
      </c>
      <c r="E296" s="33" t="n">
        <f aca="false">IF(D296="totale",(C296/(A296*24))/F296,IF(D296="marché libre",(C296/(A296*24))/G296,"spécifier histo"))</f>
        <v>0.350603488103488</v>
      </c>
      <c r="F296" s="59" t="n">
        <v>962</v>
      </c>
      <c r="G296" s="59" t="n">
        <f aca="false">F296-H296</f>
        <v>962</v>
      </c>
      <c r="H296" s="59" t="n">
        <v>0</v>
      </c>
      <c r="I296" s="9"/>
      <c r="J296" s="30"/>
      <c r="K296" s="30"/>
    </row>
    <row r="297" customFormat="false" ht="23.4" hidden="false" customHeight="true" outlineLevel="0" collapsed="false">
      <c r="A297" s="0" t="n">
        <v>31</v>
      </c>
      <c r="B297" s="34" t="n">
        <v>40513</v>
      </c>
      <c r="C297" s="56" t="n">
        <v>420369</v>
      </c>
      <c r="D297" s="29" t="s">
        <v>42</v>
      </c>
      <c r="E297" s="33" t="n">
        <f aca="false">IF(D297="totale",(C297/(A297*24))/F297,IF(D297="marché libre",(C297/(A297*24))/G297,"spécifier histo"))</f>
        <v>0.587330661927436</v>
      </c>
      <c r="F297" s="59" t="n">
        <v>962</v>
      </c>
      <c r="G297" s="59" t="n">
        <f aca="false">F297-H297</f>
        <v>962</v>
      </c>
      <c r="H297" s="59" t="n">
        <v>0</v>
      </c>
      <c r="I297" s="9"/>
      <c r="J297" s="30"/>
      <c r="K297" s="30"/>
    </row>
    <row r="298" customFormat="false" ht="29.05" hidden="false" customHeight="true" outlineLevel="0" collapsed="false">
      <c r="A298" s="0" t="n">
        <v>31</v>
      </c>
      <c r="B298" s="31" t="n">
        <v>40544</v>
      </c>
      <c r="C298" s="56" t="n">
        <v>329854</v>
      </c>
      <c r="D298" s="29" t="s">
        <v>42</v>
      </c>
      <c r="E298" s="33" t="n">
        <f aca="false">IF(D298="totale",(C298/(A298*24))/F298,IF(D298="marché libre",(C298/(A298*24))/G298,"spécifier histo"))</f>
        <v>0.460865021348892</v>
      </c>
      <c r="F298" s="59" t="n">
        <v>962</v>
      </c>
      <c r="G298" s="59" t="n">
        <f aca="false">F298-H298</f>
        <v>962</v>
      </c>
      <c r="H298" s="59" t="n">
        <v>0</v>
      </c>
      <c r="I298" s="9"/>
      <c r="J298" s="30"/>
      <c r="K298" s="30"/>
    </row>
    <row r="299" customFormat="false" ht="17.8" hidden="false" customHeight="true" outlineLevel="0" collapsed="false">
      <c r="A299" s="0" t="n">
        <v>28</v>
      </c>
      <c r="B299" s="34" t="n">
        <v>40575</v>
      </c>
      <c r="C299" s="56" t="n">
        <v>41234</v>
      </c>
      <c r="D299" s="29" t="s">
        <v>42</v>
      </c>
      <c r="E299" s="33" t="n">
        <f aca="false">IF(D299="totale",(C299/(A299*24))/F299,IF(D299="marché libre",(C299/(A299*24))/G299,"spécifier histo"))</f>
        <v>0.0637839075339076</v>
      </c>
      <c r="F299" s="59" t="n">
        <v>962</v>
      </c>
      <c r="G299" s="59" t="n">
        <f aca="false">F299-H299</f>
        <v>962</v>
      </c>
      <c r="H299" s="59" t="n">
        <v>0</v>
      </c>
      <c r="I299" s="9"/>
      <c r="J299" s="30"/>
      <c r="K299" s="30"/>
    </row>
    <row r="300" customFormat="false" ht="17.8" hidden="false" customHeight="true" outlineLevel="0" collapsed="false">
      <c r="A300" s="0" t="n">
        <v>31</v>
      </c>
      <c r="B300" s="31" t="n">
        <v>40603</v>
      </c>
      <c r="C300" s="56" t="n">
        <v>201735</v>
      </c>
      <c r="D300" s="29" t="s">
        <v>42</v>
      </c>
      <c r="E300" s="33" t="n">
        <f aca="false">IF(D300="totale",(C300/(A300*24))/F300,IF(D300="marché libre",(C300/(A300*24))/G300,"spécifier histo"))</f>
        <v>0.281859868553417</v>
      </c>
      <c r="F300" s="59" t="n">
        <v>962</v>
      </c>
      <c r="G300" s="59" t="n">
        <f aca="false">F300-H300</f>
        <v>962</v>
      </c>
      <c r="H300" s="59" t="n">
        <v>0</v>
      </c>
      <c r="I300" s="9"/>
      <c r="J300" s="30"/>
      <c r="K300" s="30"/>
    </row>
    <row r="301" customFormat="false" ht="17.8" hidden="false" customHeight="true" outlineLevel="0" collapsed="false">
      <c r="A301" s="0" t="n">
        <v>28</v>
      </c>
      <c r="B301" s="34" t="n">
        <v>40634</v>
      </c>
      <c r="C301" s="56" t="n">
        <v>63802</v>
      </c>
      <c r="D301" s="29" t="s">
        <v>42</v>
      </c>
      <c r="E301" s="33" t="n">
        <f aca="false">IF(D301="totale",(C301/(A301*24))/F301,IF(D301="marché libre",(C301/(A301*24))/G301,"spécifier histo"))</f>
        <v>0.0986938174438174</v>
      </c>
      <c r="F301" s="59" t="n">
        <v>962</v>
      </c>
      <c r="G301" s="59" t="n">
        <f aca="false">F301-H301</f>
        <v>962</v>
      </c>
      <c r="H301" s="59" t="n">
        <v>0</v>
      </c>
      <c r="I301" s="9"/>
      <c r="J301" s="30"/>
      <c r="K301" s="30"/>
    </row>
    <row r="302" customFormat="false" ht="17.8" hidden="false" customHeight="true" outlineLevel="0" collapsed="false">
      <c r="A302" s="0" t="n">
        <v>31</v>
      </c>
      <c r="B302" s="31" t="n">
        <v>40664</v>
      </c>
      <c r="C302" s="56" t="n">
        <v>0</v>
      </c>
      <c r="D302" s="29" t="s">
        <v>42</v>
      </c>
      <c r="E302" s="33" t="n">
        <f aca="false">IF(D302="totale",(C302/(A302*24))/F302,IF(D302="marché libre",(C302/(A302*24))/G302,"spécifier histo"))</f>
        <v>0</v>
      </c>
      <c r="F302" s="59" t="n">
        <v>962</v>
      </c>
      <c r="G302" s="59" t="n">
        <f aca="false">F302-H302</f>
        <v>962</v>
      </c>
      <c r="H302" s="59" t="n">
        <v>0</v>
      </c>
      <c r="I302" s="9"/>
      <c r="J302" s="30"/>
      <c r="K302" s="30"/>
    </row>
    <row r="303" customFormat="false" ht="17.8" hidden="false" customHeight="true" outlineLevel="0" collapsed="false">
      <c r="A303" s="0" t="n">
        <v>30</v>
      </c>
      <c r="B303" s="34" t="n">
        <v>40695</v>
      </c>
      <c r="C303" s="56" t="n">
        <v>0</v>
      </c>
      <c r="D303" s="29" t="s">
        <v>42</v>
      </c>
      <c r="E303" s="33" t="n">
        <f aca="false">IF(D303="totale",(C303/(A303*24))/F303,IF(D303="marché libre",(C303/(A303*24))/G303,"spécifier histo"))</f>
        <v>0</v>
      </c>
      <c r="F303" s="59" t="n">
        <v>962</v>
      </c>
      <c r="G303" s="59" t="n">
        <f aca="false">F303-H303</f>
        <v>962</v>
      </c>
      <c r="H303" s="59" t="n">
        <v>0</v>
      </c>
      <c r="I303" s="9"/>
      <c r="J303" s="30"/>
      <c r="K303" s="30"/>
    </row>
    <row r="304" customFormat="false" ht="17.8" hidden="false" customHeight="true" outlineLevel="0" collapsed="false">
      <c r="A304" s="0" t="n">
        <v>31</v>
      </c>
      <c r="B304" s="31" t="n">
        <v>40725</v>
      </c>
      <c r="C304" s="56" t="n">
        <v>0</v>
      </c>
      <c r="D304" s="29" t="s">
        <v>42</v>
      </c>
      <c r="E304" s="33" t="n">
        <f aca="false">IF(D304="totale",(C304/(A304*24))/F304,IF(D304="marché libre",(C304/(A304*24))/G304,"spécifier histo"))</f>
        <v>0</v>
      </c>
      <c r="F304" s="59" t="n">
        <v>962</v>
      </c>
      <c r="G304" s="59" t="n">
        <f aca="false">F304-H304</f>
        <v>962</v>
      </c>
      <c r="H304" s="59" t="n">
        <v>0</v>
      </c>
      <c r="I304" s="9"/>
      <c r="J304" s="30"/>
      <c r="K304" s="30"/>
    </row>
    <row r="305" customFormat="false" ht="17.8" hidden="false" customHeight="true" outlineLevel="0" collapsed="false">
      <c r="A305" s="0" t="n">
        <v>30</v>
      </c>
      <c r="B305" s="34" t="n">
        <v>40756</v>
      </c>
      <c r="C305" s="56" t="n">
        <v>0</v>
      </c>
      <c r="D305" s="29" t="s">
        <v>42</v>
      </c>
      <c r="E305" s="33" t="n">
        <f aca="false">IF(D305="totale",(C305/(A305*24))/F305,IF(D305="marché libre",(C305/(A305*24))/G305,"spécifier histo"))</f>
        <v>0</v>
      </c>
      <c r="F305" s="59" t="n">
        <v>962</v>
      </c>
      <c r="G305" s="59" t="n">
        <f aca="false">F305-H305</f>
        <v>962</v>
      </c>
      <c r="H305" s="59" t="n">
        <v>0</v>
      </c>
      <c r="I305" s="9"/>
      <c r="J305" s="30"/>
      <c r="K305" s="30"/>
    </row>
    <row r="306" customFormat="false" ht="24.35" hidden="false" customHeight="true" outlineLevel="0" collapsed="false">
      <c r="A306" s="0" t="n">
        <v>31</v>
      </c>
      <c r="B306" s="31" t="n">
        <v>40787</v>
      </c>
      <c r="C306" s="56" t="n">
        <v>0</v>
      </c>
      <c r="D306" s="29" t="s">
        <v>42</v>
      </c>
      <c r="E306" s="33" t="n">
        <f aca="false">IF(D306="totale",(C306/(A306*24))/F306,IF(D306="marché libre",(C306/(A306*24))/G306,"spécifier histo"))</f>
        <v>0</v>
      </c>
      <c r="F306" s="59" t="n">
        <v>962</v>
      </c>
      <c r="G306" s="59" t="n">
        <f aca="false">F306-H306</f>
        <v>962</v>
      </c>
      <c r="H306" s="59" t="n">
        <v>0</v>
      </c>
      <c r="I306" s="9"/>
      <c r="J306" s="30"/>
      <c r="K306" s="30"/>
    </row>
    <row r="307" customFormat="false" ht="24.35" hidden="false" customHeight="true" outlineLevel="0" collapsed="false">
      <c r="A307" s="0" t="n">
        <v>31</v>
      </c>
      <c r="B307" s="34" t="n">
        <v>40817</v>
      </c>
      <c r="C307" s="56" t="n">
        <v>0</v>
      </c>
      <c r="D307" s="29" t="s">
        <v>42</v>
      </c>
      <c r="E307" s="33" t="n">
        <f aca="false">IF(D307="totale",(C307/(A307*24))/F307,IF(D307="marché libre",(C307/(A307*24))/G307,"spécifier histo"))</f>
        <v>0</v>
      </c>
      <c r="F307" s="59" t="n">
        <v>962</v>
      </c>
      <c r="G307" s="59" t="n">
        <f aca="false">F307-H307</f>
        <v>962</v>
      </c>
      <c r="H307" s="59" t="n">
        <v>0</v>
      </c>
      <c r="I307" s="9"/>
      <c r="J307" s="30"/>
      <c r="K307" s="30"/>
    </row>
    <row r="308" customFormat="false" ht="24.35" hidden="false" customHeight="true" outlineLevel="0" collapsed="false">
      <c r="A308" s="0" t="n">
        <v>30</v>
      </c>
      <c r="B308" s="31" t="n">
        <v>40848</v>
      </c>
      <c r="C308" s="56" t="n">
        <v>41149</v>
      </c>
      <c r="D308" s="29" t="s">
        <v>42</v>
      </c>
      <c r="E308" s="33" t="n">
        <f aca="false">IF(D308="totale",(C308/(A308*24))/F308,IF(D308="marché libre",(C308/(A308*24))/G308,"spécifier histo"))</f>
        <v>0.0594089281589282</v>
      </c>
      <c r="F308" s="59" t="n">
        <v>962</v>
      </c>
      <c r="G308" s="59" t="n">
        <f aca="false">F308-H308</f>
        <v>962</v>
      </c>
      <c r="H308" s="59" t="n">
        <v>0</v>
      </c>
      <c r="I308" s="9"/>
      <c r="J308" s="30"/>
      <c r="K308" s="30"/>
    </row>
    <row r="309" customFormat="false" ht="24.35" hidden="false" customHeight="true" outlineLevel="0" collapsed="false">
      <c r="A309" s="0" t="n">
        <v>31</v>
      </c>
      <c r="B309" s="34" t="n">
        <v>40878</v>
      </c>
      <c r="C309" s="56" t="n">
        <v>91515</v>
      </c>
      <c r="D309" s="29" t="s">
        <v>42</v>
      </c>
      <c r="E309" s="33" t="n">
        <f aca="false">IF(D309="totale",(C309/(A309*24))/F309,IF(D309="marché libre",(C309/(A309*24))/G309,"spécifier histo"))</f>
        <v>0.127862819395077</v>
      </c>
      <c r="F309" s="59" t="n">
        <v>962</v>
      </c>
      <c r="G309" s="59" t="n">
        <f aca="false">F309-H309</f>
        <v>962</v>
      </c>
      <c r="H309" s="59" t="n">
        <v>0</v>
      </c>
      <c r="I309" s="9"/>
      <c r="J309" s="30"/>
      <c r="K309" s="30"/>
    </row>
    <row r="310" customFormat="false" ht="24.35" hidden="false" customHeight="true" outlineLevel="0" collapsed="false">
      <c r="A310" s="1" t="n">
        <v>31</v>
      </c>
      <c r="B310" s="31" t="n">
        <v>40909</v>
      </c>
      <c r="C310" s="56" t="n">
        <v>230071</v>
      </c>
      <c r="D310" s="29" t="s">
        <v>42</v>
      </c>
      <c r="E310" s="33" t="n">
        <f aca="false">IF(D310="totale",(C310/(A310*24))/F310,IF(D310="marché libre",(C310/(A310*24))/G310,"spécifier histo"))</f>
        <v>0.321450327498715</v>
      </c>
      <c r="F310" s="59" t="n">
        <v>962</v>
      </c>
      <c r="G310" s="59" t="n">
        <f aca="false">F310-H310</f>
        <v>962</v>
      </c>
      <c r="H310" s="59" t="n">
        <v>0</v>
      </c>
      <c r="I310" s="9"/>
      <c r="J310" s="30"/>
      <c r="K310" s="30"/>
    </row>
    <row r="311" customFormat="false" ht="24.35" hidden="false" customHeight="true" outlineLevel="0" collapsed="false">
      <c r="A311" s="1" t="n">
        <v>30</v>
      </c>
      <c r="B311" s="34" t="n">
        <v>40940</v>
      </c>
      <c r="C311" s="56" t="n">
        <v>0</v>
      </c>
      <c r="D311" s="29" t="s">
        <v>42</v>
      </c>
      <c r="E311" s="33" t="n">
        <f aca="false">IF(D311="totale",(C311/(A311*24))/F311,IF(D311="marché libre",(C311/(A311*24))/G311,"spécifier histo"))</f>
        <v>0</v>
      </c>
      <c r="F311" s="59" t="n">
        <v>962</v>
      </c>
      <c r="G311" s="59" t="n">
        <f aca="false">F311-H311</f>
        <v>962</v>
      </c>
      <c r="H311" s="59" t="n">
        <v>0</v>
      </c>
      <c r="I311" s="9"/>
      <c r="J311" s="30"/>
      <c r="K311" s="30"/>
    </row>
    <row r="312" customFormat="false" ht="24.35" hidden="false" customHeight="true" outlineLevel="0" collapsed="false">
      <c r="A312" s="1" t="n">
        <v>31</v>
      </c>
      <c r="B312" s="31" t="n">
        <v>40969</v>
      </c>
      <c r="C312" s="56" t="n">
        <v>0</v>
      </c>
      <c r="D312" s="29" t="s">
        <v>42</v>
      </c>
      <c r="E312" s="33" t="n">
        <f aca="false">IF(D312="totale",(C312/(A312*24))/F312,IF(D312="marché libre",(C312/(A312*24))/G312,"spécifier histo"))</f>
        <v>0</v>
      </c>
      <c r="F312" s="59" t="n">
        <v>962</v>
      </c>
      <c r="G312" s="59" t="n">
        <f aca="false">F312-H312</f>
        <v>962</v>
      </c>
      <c r="H312" s="59" t="n">
        <v>0</v>
      </c>
      <c r="I312" s="9"/>
      <c r="J312" s="30"/>
      <c r="K312" s="30"/>
    </row>
    <row r="313" customFormat="false" ht="24.35" hidden="false" customHeight="true" outlineLevel="0" collapsed="false">
      <c r="A313" s="1" t="n">
        <v>31</v>
      </c>
      <c r="B313" s="34" t="n">
        <v>41000</v>
      </c>
      <c r="C313" s="56" t="n">
        <v>139274</v>
      </c>
      <c r="D313" s="29" t="s">
        <v>42</v>
      </c>
      <c r="E313" s="33" t="n">
        <f aca="false">IF(D313="totale",(C313/(A313*24))/F313,IF(D313="marché libre",(C313/(A313*24))/G313,"spécifier histo"))</f>
        <v>0.194590682493908</v>
      </c>
      <c r="F313" s="59" t="n">
        <v>962</v>
      </c>
      <c r="G313" s="59" t="n">
        <f aca="false">F313-H313</f>
        <v>962</v>
      </c>
      <c r="H313" s="59" t="n">
        <v>0</v>
      </c>
      <c r="I313" s="9"/>
      <c r="J313" s="30"/>
      <c r="K313" s="30"/>
    </row>
    <row r="314" customFormat="false" ht="24.35" hidden="false" customHeight="true" outlineLevel="0" collapsed="false">
      <c r="A314" s="1" t="n">
        <v>28</v>
      </c>
      <c r="B314" s="31" t="n">
        <v>41030</v>
      </c>
      <c r="C314" s="56" t="n">
        <v>414001</v>
      </c>
      <c r="D314" s="29" t="s">
        <v>42</v>
      </c>
      <c r="E314" s="33" t="n">
        <f aca="false">IF(D314="totale",(C314/(A314*24))/F314,IF(D314="marché libre",(C314/(A314*24))/G314,"spécifier histo"))</f>
        <v>0.640408437283437</v>
      </c>
      <c r="F314" s="59" t="n">
        <v>962</v>
      </c>
      <c r="G314" s="59" t="n">
        <f aca="false">F314-H314</f>
        <v>962</v>
      </c>
      <c r="H314" s="59" t="n">
        <v>0</v>
      </c>
      <c r="I314" s="9"/>
      <c r="J314" s="30"/>
      <c r="K314" s="30"/>
    </row>
    <row r="315" customFormat="false" ht="24.35" hidden="false" customHeight="true" outlineLevel="0" collapsed="false">
      <c r="A315" s="1" t="n">
        <v>31</v>
      </c>
      <c r="B315" s="34" t="n">
        <v>41061</v>
      </c>
      <c r="C315" s="56" t="n">
        <v>80869</v>
      </c>
      <c r="D315" s="29" t="s">
        <v>42</v>
      </c>
      <c r="E315" s="33" t="n">
        <f aca="false">IF(D315="totale",(C315/(A315*24))/F315,IF(D315="marché libre",(C315/(A315*24))/G315,"spécifier histo"))</f>
        <v>0.11298845371426</v>
      </c>
      <c r="F315" s="59" t="n">
        <v>962</v>
      </c>
      <c r="G315" s="59" t="n">
        <f aca="false">F315-H315</f>
        <v>962</v>
      </c>
      <c r="H315" s="59" t="n">
        <v>0</v>
      </c>
      <c r="I315" s="9"/>
      <c r="J315" s="30"/>
      <c r="K315" s="30"/>
    </row>
    <row r="316" customFormat="false" ht="24.35" hidden="false" customHeight="true" outlineLevel="0" collapsed="false">
      <c r="A316" s="1" t="n">
        <v>30</v>
      </c>
      <c r="B316" s="31" t="n">
        <v>41091</v>
      </c>
      <c r="C316" s="56" t="n">
        <v>0</v>
      </c>
      <c r="D316" s="29" t="s">
        <v>42</v>
      </c>
      <c r="E316" s="33" t="n">
        <f aca="false">IF(D316="totale",(C316/(A316*24))/F316,IF(D316="marché libre",(C316/(A316*24))/G316,"spécifier histo"))</f>
        <v>0</v>
      </c>
      <c r="F316" s="59" t="n">
        <v>962</v>
      </c>
      <c r="G316" s="59" t="n">
        <f aca="false">F316-H316</f>
        <v>962</v>
      </c>
      <c r="H316" s="59" t="n">
        <v>0</v>
      </c>
      <c r="I316" s="9"/>
      <c r="J316" s="30"/>
      <c r="K316" s="30"/>
    </row>
    <row r="317" customFormat="false" ht="24.35" hidden="false" customHeight="true" outlineLevel="0" collapsed="false">
      <c r="A317" s="1" t="n">
        <v>31</v>
      </c>
      <c r="B317" s="34" t="n">
        <v>41122</v>
      </c>
      <c r="C317" s="56" t="n">
        <v>0</v>
      </c>
      <c r="D317" s="29" t="s">
        <v>42</v>
      </c>
      <c r="E317" s="33" t="n">
        <f aca="false">IF(D317="totale",(C317/(A317*24))/F317,IF(D317="marché libre",(C317/(A317*24))/G317,"spécifier histo"))</f>
        <v>0</v>
      </c>
      <c r="F317" s="59" t="n">
        <v>962</v>
      </c>
      <c r="G317" s="59" t="n">
        <f aca="false">F317-H317</f>
        <v>962</v>
      </c>
      <c r="H317" s="59" t="n">
        <v>0</v>
      </c>
      <c r="I317" s="9"/>
      <c r="J317" s="30"/>
      <c r="K317" s="30"/>
    </row>
    <row r="318" customFormat="false" ht="24.35" hidden="false" customHeight="true" outlineLevel="0" collapsed="false">
      <c r="A318" s="1" t="n">
        <v>30</v>
      </c>
      <c r="B318" s="31" t="n">
        <v>41153</v>
      </c>
      <c r="C318" s="56" t="n">
        <v>0</v>
      </c>
      <c r="D318" s="29" t="s">
        <v>42</v>
      </c>
      <c r="E318" s="33" t="n">
        <f aca="false">IF(D318="totale",(C318/(A318*24))/F318,IF(D318="marché libre",(C318/(A318*24))/G318,"spécifier histo"))</f>
        <v>0</v>
      </c>
      <c r="F318" s="59" t="n">
        <v>962</v>
      </c>
      <c r="G318" s="59" t="n">
        <f aca="false">F318-H318</f>
        <v>962</v>
      </c>
      <c r="H318" s="59" t="n">
        <v>0</v>
      </c>
      <c r="I318" s="9"/>
      <c r="J318" s="30"/>
      <c r="K318" s="30"/>
    </row>
    <row r="319" customFormat="false" ht="19.85" hidden="false" customHeight="true" outlineLevel="0" collapsed="false">
      <c r="A319" s="1" t="n">
        <v>31</v>
      </c>
      <c r="B319" s="34" t="n">
        <v>41183</v>
      </c>
      <c r="C319" s="56" t="n">
        <v>0</v>
      </c>
      <c r="D319" s="29" t="s">
        <v>42</v>
      </c>
      <c r="E319" s="33" t="n">
        <f aca="false">IF(D319="totale",(C319/(A319*24))/F319,IF(D319="marché libre",(C319/(A319*24))/G319,"spécifier histo"))</f>
        <v>0</v>
      </c>
      <c r="F319" s="59" t="n">
        <v>962</v>
      </c>
      <c r="G319" s="59" t="n">
        <f aca="false">F319-H319</f>
        <v>962</v>
      </c>
      <c r="H319" s="59" t="n">
        <v>0</v>
      </c>
      <c r="J319" s="73"/>
    </row>
    <row r="320" customFormat="false" ht="19.85" hidden="false" customHeight="true" outlineLevel="0" collapsed="false">
      <c r="A320" s="1" t="n">
        <v>31</v>
      </c>
      <c r="B320" s="31" t="n">
        <v>41214</v>
      </c>
      <c r="C320" s="56" t="n">
        <v>235364</v>
      </c>
      <c r="D320" s="29" t="s">
        <v>42</v>
      </c>
      <c r="E320" s="33" t="n">
        <f aca="false">IF(D320="totale",(C320/(A320*24))/F320,IF(D320="marché libre",(C320/(A320*24))/G320,"spécifier histo"))</f>
        <v>0.328845594974627</v>
      </c>
      <c r="F320" s="59" t="n">
        <v>962</v>
      </c>
      <c r="G320" s="59" t="n">
        <f aca="false">F320-H320</f>
        <v>962</v>
      </c>
      <c r="H320" s="59" t="n">
        <v>0</v>
      </c>
      <c r="J320" s="55"/>
    </row>
    <row r="321" customFormat="false" ht="19.85" hidden="false" customHeight="true" outlineLevel="0" collapsed="false">
      <c r="A321" s="1" t="n">
        <v>30</v>
      </c>
      <c r="B321" s="34" t="n">
        <v>41244</v>
      </c>
      <c r="C321" s="56" t="n">
        <v>530675</v>
      </c>
      <c r="D321" s="29" t="s">
        <v>42</v>
      </c>
      <c r="E321" s="33" t="n">
        <f aca="false">IF(D321="totale",(C321/(A321*24))/F321,IF(D321="marché libre",(C321/(A321*24))/G321,"spécifier histo"))</f>
        <v>0.766162797412797</v>
      </c>
      <c r="F321" s="59" t="n">
        <v>962</v>
      </c>
      <c r="G321" s="59" t="n">
        <f aca="false">F321-H321</f>
        <v>962</v>
      </c>
      <c r="H321" s="59" t="n">
        <v>0</v>
      </c>
      <c r="J321" s="55"/>
      <c r="K321" s="0"/>
    </row>
    <row r="322" customFormat="false" ht="19.85" hidden="false" customHeight="true" outlineLevel="0" collapsed="false">
      <c r="A322" s="1" t="n">
        <v>31</v>
      </c>
      <c r="B322" s="31" t="n">
        <v>41275</v>
      </c>
      <c r="C322" s="56" t="n">
        <v>313589</v>
      </c>
      <c r="D322" s="29" t="s">
        <v>42</v>
      </c>
      <c r="E322" s="33" t="n">
        <f aca="false">IF(D322="totale",(C322/(A322*24))/F322,IF(D322="marché libre",(C322/(A322*24))/G322,"spécifier histo"))</f>
        <v>0.438139907897972</v>
      </c>
      <c r="F322" s="59" t="n">
        <v>962</v>
      </c>
      <c r="G322" s="59" t="n">
        <f aca="false">F322-H322</f>
        <v>962</v>
      </c>
      <c r="H322" s="59" t="n">
        <v>0</v>
      </c>
      <c r="J322" s="55"/>
      <c r="K322" s="276"/>
      <c r="L322" s="276"/>
      <c r="M322" s="276"/>
      <c r="N322" s="276"/>
      <c r="O322" s="276"/>
      <c r="P322" s="276"/>
      <c r="Q322" s="276"/>
      <c r="R322" s="276"/>
      <c r="S322" s="276"/>
      <c r="T322" s="276"/>
      <c r="U322" s="276"/>
      <c r="V322" s="276"/>
      <c r="W322" s="276"/>
      <c r="X322" s="276"/>
      <c r="Y322" s="276"/>
      <c r="Z322" s="276"/>
      <c r="AA322" s="276"/>
      <c r="AB322" s="276"/>
      <c r="AC322" s="0"/>
      <c r="AD322" s="0"/>
      <c r="AE322" s="0"/>
      <c r="AF322" s="0"/>
      <c r="AG322" s="0"/>
      <c r="AH322" s="0"/>
      <c r="AI322" s="0"/>
      <c r="AJ322" s="0"/>
      <c r="AK322" s="0"/>
      <c r="AL322" s="0"/>
    </row>
    <row r="323" customFormat="false" ht="19.85" hidden="false" customHeight="true" outlineLevel="0" collapsed="false">
      <c r="A323" s="1" t="n">
        <v>30</v>
      </c>
      <c r="B323" s="34" t="n">
        <v>41306</v>
      </c>
      <c r="C323" s="56" t="n">
        <v>256530</v>
      </c>
      <c r="D323" s="29" t="s">
        <v>42</v>
      </c>
      <c r="E323" s="33" t="n">
        <f aca="false">IF(D323="totale",(C323/(A323*24))/F323,IF(D323="marché libre",(C323/(A323*24))/G323,"spécifier histo"))</f>
        <v>0.370365557865558</v>
      </c>
      <c r="F323" s="59" t="n">
        <v>962</v>
      </c>
      <c r="G323" s="59" t="n">
        <f aca="false">F323-H323</f>
        <v>962</v>
      </c>
      <c r="H323" s="59" t="n">
        <v>0</v>
      </c>
      <c r="J323" s="55"/>
      <c r="K323" s="277"/>
      <c r="L323" s="0"/>
      <c r="M323" s="276"/>
      <c r="N323" s="276"/>
      <c r="O323" s="276"/>
      <c r="P323" s="276"/>
      <c r="Q323" s="276"/>
      <c r="R323" s="276"/>
      <c r="S323" s="276"/>
      <c r="T323" s="276"/>
      <c r="U323" s="276"/>
      <c r="V323" s="276"/>
      <c r="W323" s="0"/>
      <c r="X323" s="0"/>
      <c r="Y323" s="0"/>
      <c r="Z323" s="0"/>
      <c r="AA323" s="0"/>
      <c r="AB323" s="0"/>
      <c r="AC323" s="0"/>
      <c r="AD323" s="0"/>
      <c r="AE323" s="0"/>
      <c r="AF323" s="0"/>
      <c r="AG323" s="0"/>
      <c r="AH323" s="0"/>
      <c r="AI323" s="0"/>
      <c r="AJ323" s="0"/>
      <c r="AK323" s="0"/>
      <c r="AL323" s="0"/>
    </row>
    <row r="324" customFormat="false" ht="19.85" hidden="false" customHeight="true" outlineLevel="0" collapsed="false">
      <c r="A324" s="1" t="n">
        <v>31</v>
      </c>
      <c r="B324" s="31" t="n">
        <v>41334</v>
      </c>
      <c r="C324" s="56" t="n">
        <v>435395</v>
      </c>
      <c r="D324" s="29" t="s">
        <v>42</v>
      </c>
      <c r="E324" s="33" t="n">
        <f aca="false">IF(D324="totale",(C324/(A324*24))/F324,IF(D324="marché libre",(C324/(A324*24))/G324,"spécifier histo"))</f>
        <v>0.608324670824671</v>
      </c>
      <c r="F324" s="59" t="n">
        <v>962</v>
      </c>
      <c r="G324" s="59" t="n">
        <f aca="false">F324-H324</f>
        <v>962</v>
      </c>
      <c r="H324" s="59" t="n">
        <v>0</v>
      </c>
      <c r="J324" s="55"/>
      <c r="K324" s="277"/>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row>
    <row r="325" customFormat="false" ht="19.85" hidden="false" customHeight="true" outlineLevel="0" collapsed="false">
      <c r="A325" s="1" t="n">
        <v>31</v>
      </c>
      <c r="B325" s="34" t="n">
        <v>41365</v>
      </c>
      <c r="C325" s="56" t="n">
        <v>422929</v>
      </c>
      <c r="D325" s="29" t="s">
        <v>42</v>
      </c>
      <c r="E325" s="33" t="n">
        <f aca="false">IF(D325="totale",(C325/(A325*24))/F325,IF(D325="marché libre",(C325/(A325*24))/G325,"spécifier histo"))</f>
        <v>0.590907439697762</v>
      </c>
      <c r="F325" s="59" t="n">
        <v>962</v>
      </c>
      <c r="G325" s="59" t="n">
        <f aca="false">F325-H325</f>
        <v>962</v>
      </c>
      <c r="H325" s="59" t="n">
        <v>0</v>
      </c>
      <c r="J325" s="55"/>
      <c r="K325" s="277"/>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row>
    <row r="326" customFormat="false" ht="19.85" hidden="false" customHeight="true" outlineLevel="0" collapsed="false">
      <c r="A326" s="1" t="n">
        <v>28</v>
      </c>
      <c r="B326" s="31" t="n">
        <v>41395</v>
      </c>
      <c r="C326" s="56" t="n">
        <v>546652</v>
      </c>
      <c r="D326" s="29" t="s">
        <v>42</v>
      </c>
      <c r="E326" s="33" t="n">
        <f aca="false">IF(D326="totale",(C326/(A326*24))/F326,IF(D326="marché libre",(C326/(A326*24))/G326,"spécifier histo"))</f>
        <v>0.845603158103158</v>
      </c>
      <c r="F326" s="59" t="n">
        <v>962</v>
      </c>
      <c r="G326" s="59" t="n">
        <f aca="false">F326-H326</f>
        <v>962</v>
      </c>
      <c r="H326" s="59" t="n">
        <v>0</v>
      </c>
      <c r="J326" s="55"/>
      <c r="K326" s="277"/>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row>
    <row r="327" customFormat="false" ht="19.85" hidden="false" customHeight="true" outlineLevel="0" collapsed="false">
      <c r="A327" s="1" t="n">
        <v>31</v>
      </c>
      <c r="B327" s="34" t="n">
        <v>41426</v>
      </c>
      <c r="C327" s="56" t="n">
        <v>170751</v>
      </c>
      <c r="D327" s="29" t="s">
        <v>42</v>
      </c>
      <c r="E327" s="33" t="n">
        <f aca="false">IF(D327="totale",(C327/(A327*24))/F327,IF(D327="marché libre",(C327/(A327*24))/G327,"spécifier histo"))</f>
        <v>0.238569680101938</v>
      </c>
      <c r="F327" s="59" t="n">
        <v>962</v>
      </c>
      <c r="G327" s="59" t="n">
        <f aca="false">F327-H327</f>
        <v>962</v>
      </c>
      <c r="H327" s="59" t="n">
        <v>0</v>
      </c>
      <c r="J327" s="55"/>
      <c r="K327" s="277"/>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row>
    <row r="328" customFormat="false" ht="19.85" hidden="false" customHeight="true" outlineLevel="0" collapsed="false">
      <c r="A328" s="1" t="n">
        <v>30</v>
      </c>
      <c r="B328" s="31" t="n">
        <v>41456</v>
      </c>
      <c r="C328" s="56" t="n">
        <v>0</v>
      </c>
      <c r="D328" s="29" t="s">
        <v>42</v>
      </c>
      <c r="E328" s="33" t="n">
        <f aca="false">IF(D328="totale",(C328/(A328*24))/F328,IF(D328="marché libre",(C328/(A328*24))/G328,"spécifier histo"))</f>
        <v>0</v>
      </c>
      <c r="F328" s="59" t="n">
        <v>962</v>
      </c>
      <c r="G328" s="59" t="n">
        <f aca="false">F328-H328</f>
        <v>962</v>
      </c>
      <c r="H328" s="59" t="n">
        <v>0</v>
      </c>
      <c r="J328" s="55"/>
      <c r="K328" s="277"/>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row>
    <row r="329" customFormat="false" ht="19.85" hidden="false" customHeight="true" outlineLevel="0" collapsed="false">
      <c r="A329" s="1" t="n">
        <v>31</v>
      </c>
      <c r="B329" s="34" t="n">
        <v>41487</v>
      </c>
      <c r="C329" s="56" t="n">
        <v>0</v>
      </c>
      <c r="D329" s="29" t="s">
        <v>42</v>
      </c>
      <c r="E329" s="33" t="n">
        <f aca="false">IF(D329="totale",(C329/(A329*24))/F329,IF(D329="marché libre",(C329/(A329*24))/G329,"spécifier histo"))</f>
        <v>0</v>
      </c>
      <c r="F329" s="59" t="n">
        <v>962</v>
      </c>
      <c r="G329" s="59" t="n">
        <f aca="false">F329-H329</f>
        <v>962</v>
      </c>
      <c r="H329" s="59" t="n">
        <v>0</v>
      </c>
      <c r="J329" s="55"/>
      <c r="K329" s="277"/>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row>
    <row r="330" customFormat="false" ht="19.85" hidden="false" customHeight="true" outlineLevel="0" collapsed="false">
      <c r="A330" s="1" t="n">
        <v>30</v>
      </c>
      <c r="B330" s="31" t="n">
        <v>41518</v>
      </c>
      <c r="C330" s="56" t="n">
        <v>0</v>
      </c>
      <c r="D330" s="29" t="s">
        <v>42</v>
      </c>
      <c r="E330" s="33" t="n">
        <f aca="false">IF(D330="totale",(C330/(A330*24))/F330,IF(D330="marché libre",(C330/(A330*24))/G330,"spécifier histo"))</f>
        <v>0</v>
      </c>
      <c r="F330" s="59" t="n">
        <v>962</v>
      </c>
      <c r="G330" s="59" t="n">
        <f aca="false">F330-H330</f>
        <v>962</v>
      </c>
      <c r="H330" s="59" t="n">
        <v>0</v>
      </c>
      <c r="J330" s="55"/>
      <c r="K330" s="277"/>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row>
    <row r="331" customFormat="false" ht="19.85" hidden="false" customHeight="true" outlineLevel="0" collapsed="false">
      <c r="A331" s="1" t="n">
        <v>31</v>
      </c>
      <c r="B331" s="34" t="n">
        <v>41548</v>
      </c>
      <c r="C331" s="64" t="n">
        <v>0</v>
      </c>
      <c r="D331" s="65" t="s">
        <v>42</v>
      </c>
      <c r="E331" s="66" t="n">
        <f aca="false">IF(D331="totale",(C331/(A331*24))/F331,IF(D331="marché libre",(C331/(A331*24))/G331,"spécifier histo"))</f>
        <v>0</v>
      </c>
      <c r="F331" s="278" t="n">
        <v>962</v>
      </c>
      <c r="G331" s="67" t="n">
        <f aca="false">F331-H331</f>
        <v>962</v>
      </c>
      <c r="H331" s="67" t="n">
        <v>0</v>
      </c>
      <c r="I331" s="279"/>
      <c r="J331" s="55"/>
      <c r="K331" s="277"/>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row>
    <row r="332" customFormat="false" ht="19.85" hidden="false" customHeight="true" outlineLevel="0" collapsed="false">
      <c r="A332" s="1" t="n">
        <v>31</v>
      </c>
      <c r="B332" s="31" t="n">
        <v>41579</v>
      </c>
      <c r="C332" s="56" t="n">
        <v>0</v>
      </c>
      <c r="D332" s="29" t="s">
        <v>42</v>
      </c>
      <c r="E332" s="33" t="n">
        <f aca="false">IF(D332="totale",(C332/(A332*24))/F332,IF(D332="marché libre",(C332/(A332*24))/G332,"spécifier histo"))</f>
        <v>0</v>
      </c>
      <c r="F332" s="59" t="n">
        <v>962</v>
      </c>
      <c r="G332" s="59" t="n">
        <f aca="false">F332-H332</f>
        <v>962</v>
      </c>
      <c r="H332" s="59" t="n">
        <v>0</v>
      </c>
      <c r="J332" s="55"/>
      <c r="K332" s="277"/>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row>
    <row r="333" customFormat="false" ht="19.85" hidden="false" customHeight="true" outlineLevel="0" collapsed="false">
      <c r="A333" s="1" t="n">
        <v>30</v>
      </c>
      <c r="B333" s="34" t="n">
        <v>41609</v>
      </c>
      <c r="C333" s="56" t="n">
        <v>0</v>
      </c>
      <c r="D333" s="29" t="s">
        <v>42</v>
      </c>
      <c r="E333" s="33" t="n">
        <f aca="false">IF(D333="totale",(C333/(A333*24))/F333,IF(D333="marché libre",(C333/(A333*24))/G333,"spécifier histo"))</f>
        <v>0</v>
      </c>
      <c r="F333" s="59" t="n">
        <v>962</v>
      </c>
      <c r="G333" s="59" t="n">
        <f aca="false">F333-H333</f>
        <v>962</v>
      </c>
      <c r="H333" s="59" t="n">
        <v>0</v>
      </c>
      <c r="J333" s="55"/>
      <c r="K333" s="277"/>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row>
    <row r="334" customFormat="false" ht="19.85" hidden="false" customHeight="true" outlineLevel="0" collapsed="false">
      <c r="A334" s="1" t="n">
        <v>31</v>
      </c>
      <c r="B334" s="31" t="n">
        <v>41640</v>
      </c>
      <c r="C334" s="56" t="n">
        <v>593542</v>
      </c>
      <c r="D334" s="29" t="s">
        <v>42</v>
      </c>
      <c r="E334" s="33" t="n">
        <f aca="false">IF(D334="totale",(C334/(A334*24))/F334,IF(D334="marché libre",(C334/(A334*24))/G334,"spécifier histo"))</f>
        <v>0.829284309123019</v>
      </c>
      <c r="F334" s="59" t="n">
        <v>962</v>
      </c>
      <c r="G334" s="59" t="n">
        <f aca="false">F334-H334</f>
        <v>962</v>
      </c>
      <c r="H334" s="59" t="n">
        <v>0</v>
      </c>
      <c r="J334" s="55"/>
      <c r="K334" s="277"/>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row>
    <row r="335" customFormat="false" ht="19.85" hidden="false" customHeight="true" outlineLevel="0" collapsed="false">
      <c r="A335" s="1" t="n">
        <v>30</v>
      </c>
      <c r="B335" s="34" t="n">
        <v>41671</v>
      </c>
      <c r="C335" s="56" t="n">
        <v>544464</v>
      </c>
      <c r="D335" s="29" t="s">
        <v>42</v>
      </c>
      <c r="E335" s="33" t="n">
        <f aca="false">IF(D335="totale",(C335/(A335*24))/F335,IF(D335="marché libre",(C335/(A335*24))/G335,"spécifier histo"))</f>
        <v>0.786070686070686</v>
      </c>
      <c r="F335" s="59" t="n">
        <v>962</v>
      </c>
      <c r="G335" s="59" t="n">
        <f aca="false">F335-H335</f>
        <v>962</v>
      </c>
      <c r="H335" s="59" t="n">
        <v>0</v>
      </c>
      <c r="J335" s="55"/>
      <c r="K335" s="55"/>
      <c r="L335" s="0"/>
      <c r="M335" s="0"/>
      <c r="N335" s="0"/>
      <c r="O335" s="0"/>
      <c r="P335" s="0"/>
      <c r="Q335" s="0"/>
      <c r="R335" s="0"/>
      <c r="S335" s="0"/>
      <c r="T335" s="0"/>
      <c r="U335" s="0"/>
      <c r="V335" s="0"/>
      <c r="Y335" s="0"/>
      <c r="AC335" s="0"/>
      <c r="AD335" s="0"/>
      <c r="AE335" s="0"/>
      <c r="AF335" s="0"/>
      <c r="AG335" s="0"/>
      <c r="AH335" s="0"/>
      <c r="AI335" s="0"/>
      <c r="AJ335" s="0"/>
      <c r="AK335" s="0"/>
      <c r="AL335" s="0"/>
    </row>
    <row r="336" customFormat="false" ht="19.85" hidden="false" customHeight="true" outlineLevel="0" collapsed="false">
      <c r="A336" s="1" t="n">
        <v>31</v>
      </c>
      <c r="B336" s="31" t="n">
        <v>41699</v>
      </c>
      <c r="C336" s="56" t="n">
        <v>628789</v>
      </c>
      <c r="D336" s="29" t="s">
        <v>42</v>
      </c>
      <c r="E336" s="33" t="n">
        <f aca="false">IF(D336="totale",(C336/(A336*24))/F336,IF(D336="marché libre",(C336/(A336*24))/G336,"spécifier histo"))</f>
        <v>0.87853067086938</v>
      </c>
      <c r="F336" s="59" t="n">
        <v>962</v>
      </c>
      <c r="G336" s="59" t="n">
        <f aca="false">F336-H336</f>
        <v>962</v>
      </c>
      <c r="H336" s="59" t="n">
        <v>0</v>
      </c>
      <c r="J336" s="55"/>
      <c r="K336" s="55"/>
      <c r="L336" s="0"/>
      <c r="M336" s="0"/>
      <c r="N336" s="0"/>
      <c r="P336" s="0"/>
      <c r="S336" s="0"/>
      <c r="U336" s="0"/>
      <c r="Y336" s="0"/>
    </row>
    <row r="337" customFormat="false" ht="19.85" hidden="false" customHeight="true" outlineLevel="0" collapsed="false">
      <c r="A337" s="1" t="n">
        <v>31</v>
      </c>
      <c r="B337" s="34" t="n">
        <v>41730</v>
      </c>
      <c r="C337" s="56" t="n">
        <v>186126</v>
      </c>
      <c r="D337" s="29" t="s">
        <v>42</v>
      </c>
      <c r="E337" s="33" t="n">
        <f aca="false">IF(D337="totale",(C337/(A337*24))/F337,IF(D337="marché libre",(C337/(A337*24))/G337,"spécifier histo"))</f>
        <v>0.260051304406143</v>
      </c>
      <c r="F337" s="59" t="n">
        <v>962</v>
      </c>
      <c r="G337" s="59" t="n">
        <f aca="false">F337-H337</f>
        <v>962</v>
      </c>
      <c r="H337" s="59" t="n">
        <v>0</v>
      </c>
      <c r="J337" s="55"/>
      <c r="K337" s="55"/>
      <c r="L337" s="0"/>
      <c r="M337" s="0"/>
      <c r="N337" s="0"/>
      <c r="O337" s="0"/>
      <c r="P337" s="0"/>
      <c r="Q337" s="0"/>
      <c r="R337" s="0"/>
      <c r="S337" s="0"/>
      <c r="T337" s="0"/>
      <c r="U337" s="0"/>
      <c r="V337" s="0"/>
      <c r="Y337" s="0"/>
    </row>
    <row r="338" customFormat="false" ht="19.85" hidden="false" customHeight="true" outlineLevel="0" collapsed="false">
      <c r="A338" s="1" t="n">
        <v>28</v>
      </c>
      <c r="B338" s="31" t="n">
        <v>41760</v>
      </c>
      <c r="C338" s="56" t="n">
        <v>12327</v>
      </c>
      <c r="D338" s="29" t="s">
        <v>42</v>
      </c>
      <c r="E338" s="33" t="n">
        <f aca="false">IF(D338="totale",(C338/(A338*24))/F338,IF(D338="marché libre",(C338/(A338*24))/G338,"spécifier histo"))</f>
        <v>0.0190683471933472</v>
      </c>
      <c r="F338" s="59" t="n">
        <v>962</v>
      </c>
      <c r="G338" s="59" t="n">
        <f aca="false">F338-H338</f>
        <v>962</v>
      </c>
      <c r="H338" s="59" t="n">
        <v>0</v>
      </c>
      <c r="J338" s="55"/>
      <c r="K338" s="55"/>
      <c r="L338" s="0"/>
      <c r="M338" s="0"/>
      <c r="N338" s="0"/>
      <c r="O338" s="0"/>
      <c r="P338" s="0"/>
      <c r="Q338" s="0"/>
      <c r="R338" s="0"/>
      <c r="S338" s="0"/>
      <c r="T338" s="0"/>
      <c r="U338" s="0"/>
      <c r="V338" s="0"/>
      <c r="Y338" s="0"/>
    </row>
    <row r="339" customFormat="false" ht="19.85" hidden="false" customHeight="true" outlineLevel="0" collapsed="false">
      <c r="A339" s="1" t="n">
        <v>31</v>
      </c>
      <c r="B339" s="34" t="n">
        <v>41791</v>
      </c>
      <c r="C339" s="56" t="n">
        <v>0</v>
      </c>
      <c r="D339" s="29" t="s">
        <v>42</v>
      </c>
      <c r="E339" s="33" t="n">
        <f aca="false">IF(D339="totale",(C339/(A339*24))/F339,IF(D339="marché libre",(C339/(A339*24))/G339,"spécifier histo"))</f>
        <v>0</v>
      </c>
      <c r="F339" s="59" t="n">
        <v>962</v>
      </c>
      <c r="G339" s="59" t="n">
        <f aca="false">F339-H339</f>
        <v>962</v>
      </c>
      <c r="H339" s="59" t="n">
        <v>0</v>
      </c>
      <c r="J339" s="55"/>
      <c r="K339" s="55"/>
      <c r="L339" s="0"/>
      <c r="M339" s="0"/>
      <c r="N339" s="0"/>
      <c r="O339" s="0"/>
      <c r="P339" s="0"/>
      <c r="Q339" s="0"/>
      <c r="R339" s="0"/>
      <c r="S339" s="0"/>
      <c r="T339" s="0"/>
      <c r="U339" s="0"/>
      <c r="V339" s="0"/>
      <c r="Y339" s="0"/>
    </row>
    <row r="340" customFormat="false" ht="19.85" hidden="false" customHeight="true" outlineLevel="0" collapsed="false">
      <c r="A340" s="1" t="n">
        <v>30</v>
      </c>
      <c r="B340" s="31" t="n">
        <v>41821</v>
      </c>
      <c r="C340" s="56" t="n">
        <v>1</v>
      </c>
      <c r="D340" s="29" t="s">
        <v>42</v>
      </c>
      <c r="E340" s="33" t="n">
        <f aca="false">IF(D340="totale",(C340/(A340*24))/F340,IF(D340="marché libre",(C340/(A340*24))/G340,"spécifier histo"))</f>
        <v>1.44375144375144E-006</v>
      </c>
      <c r="F340" s="59" t="n">
        <v>962</v>
      </c>
      <c r="G340" s="59" t="n">
        <f aca="false">F340-H340</f>
        <v>962</v>
      </c>
      <c r="H340" s="59" t="n">
        <v>0</v>
      </c>
      <c r="J340" s="55"/>
      <c r="K340" s="55"/>
      <c r="L340" s="0"/>
      <c r="M340" s="0"/>
      <c r="N340" s="0"/>
      <c r="O340" s="0"/>
      <c r="P340" s="0"/>
      <c r="Q340" s="0"/>
      <c r="R340" s="0"/>
      <c r="S340" s="0"/>
      <c r="T340" s="0"/>
      <c r="U340" s="0"/>
      <c r="V340" s="0"/>
      <c r="Y340" s="0"/>
    </row>
    <row r="341" customFormat="false" ht="19.85" hidden="false" customHeight="true" outlineLevel="0" collapsed="false">
      <c r="A341" s="1" t="n">
        <v>31</v>
      </c>
      <c r="B341" s="34" t="n">
        <v>41852</v>
      </c>
      <c r="C341" s="56" t="n">
        <v>0</v>
      </c>
      <c r="D341" s="29" t="s">
        <v>42</v>
      </c>
      <c r="E341" s="33" t="n">
        <f aca="false">IF(D341="totale",(C341/(A341*24))/F341,IF(D341="marché libre",(C341/(A341*24))/G341,"spécifier histo"))</f>
        <v>0</v>
      </c>
      <c r="F341" s="59" t="n">
        <v>962</v>
      </c>
      <c r="G341" s="59" t="n">
        <f aca="false">F341-H341</f>
        <v>962</v>
      </c>
      <c r="H341" s="59" t="n">
        <v>0</v>
      </c>
      <c r="J341" s="55"/>
      <c r="K341" s="55"/>
      <c r="L341" s="0"/>
      <c r="M341" s="0"/>
      <c r="N341" s="0"/>
      <c r="O341" s="0"/>
      <c r="P341" s="0"/>
      <c r="Q341" s="0"/>
      <c r="R341" s="0"/>
      <c r="S341" s="0"/>
      <c r="T341" s="0"/>
      <c r="U341" s="0"/>
      <c r="V341" s="0"/>
      <c r="Y341" s="0"/>
    </row>
    <row r="342" customFormat="false" ht="19.85" hidden="false" customHeight="true" outlineLevel="0" collapsed="false">
      <c r="A342" s="1" t="n">
        <v>30</v>
      </c>
      <c r="B342" s="31" t="n">
        <v>41883</v>
      </c>
      <c r="C342" s="56" t="n">
        <v>0</v>
      </c>
      <c r="D342" s="29" t="s">
        <v>42</v>
      </c>
      <c r="E342" s="33" t="n">
        <f aca="false">IF(D342="totale",(C342/(A342*24))/F342,IF(D342="marché libre",(C342/(A342*24))/G342,"spécifier histo"))</f>
        <v>0</v>
      </c>
      <c r="F342" s="59" t="n">
        <v>962</v>
      </c>
      <c r="G342" s="59" t="n">
        <f aca="false">F342-H342</f>
        <v>962</v>
      </c>
      <c r="H342" s="59" t="n">
        <v>0</v>
      </c>
      <c r="J342" s="55"/>
      <c r="K342" s="55"/>
      <c r="L342" s="0"/>
      <c r="M342" s="0"/>
      <c r="N342" s="0"/>
      <c r="O342" s="0"/>
      <c r="P342" s="0"/>
      <c r="Q342" s="0"/>
      <c r="R342" s="0"/>
      <c r="S342" s="0"/>
      <c r="T342" s="0"/>
      <c r="U342" s="0"/>
      <c r="V342" s="0"/>
      <c r="Y342" s="0"/>
    </row>
    <row r="343" customFormat="false" ht="19.85" hidden="false" customHeight="true" outlineLevel="0" collapsed="false">
      <c r="A343" s="1" t="n">
        <v>31</v>
      </c>
      <c r="B343" s="34" t="n">
        <v>41913</v>
      </c>
      <c r="C343" s="56" t="n">
        <v>3</v>
      </c>
      <c r="D343" s="29" t="s">
        <v>42</v>
      </c>
      <c r="E343" s="33" t="n">
        <f aca="false">IF(D343="totale",(C343/(A343*24))/F343,IF(D343="marché libre",(C343/(A343*24))/G343,"spécifier histo"))</f>
        <v>4.19153644960097E-006</v>
      </c>
      <c r="F343" s="59" t="n">
        <v>962</v>
      </c>
      <c r="G343" s="59" t="n">
        <f aca="false">F343-H343</f>
        <v>962</v>
      </c>
      <c r="H343" s="59" t="n">
        <v>0</v>
      </c>
      <c r="J343" s="55"/>
      <c r="K343" s="55"/>
      <c r="L343" s="0"/>
      <c r="M343" s="0"/>
      <c r="N343" s="0"/>
      <c r="O343" s="0"/>
      <c r="P343" s="0"/>
      <c r="Q343" s="0"/>
      <c r="R343" s="0"/>
      <c r="S343" s="0"/>
      <c r="T343" s="0"/>
      <c r="U343" s="0"/>
      <c r="V343" s="0"/>
      <c r="Y343" s="0"/>
    </row>
    <row r="344" customFormat="false" ht="19.85" hidden="false" customHeight="true" outlineLevel="0" collapsed="false">
      <c r="A344" s="1" t="n">
        <v>31</v>
      </c>
      <c r="B344" s="31" t="n">
        <v>41944</v>
      </c>
      <c r="C344" s="56" t="n">
        <v>252937</v>
      </c>
      <c r="D344" s="29" t="s">
        <v>42</v>
      </c>
      <c r="E344" s="33" t="n">
        <f aca="false">IF(D344="totale",(C344/(A344*24))/F344,IF(D344="marché libre",(C344/(A344*24))/G344,"spécifier histo"))</f>
        <v>0.353398218317573</v>
      </c>
      <c r="F344" s="59" t="n">
        <v>962</v>
      </c>
      <c r="G344" s="59" t="n">
        <f aca="false">F344-H344</f>
        <v>962</v>
      </c>
      <c r="H344" s="59" t="n">
        <v>0</v>
      </c>
      <c r="J344" s="55"/>
      <c r="L344" s="0"/>
      <c r="M344" s="0"/>
      <c r="N344" s="0"/>
      <c r="O344" s="0"/>
      <c r="P344" s="0"/>
      <c r="Q344" s="0"/>
      <c r="R344" s="0"/>
      <c r="S344" s="0"/>
      <c r="T344" s="0"/>
      <c r="U344" s="0"/>
      <c r="V344" s="0"/>
      <c r="Y344" s="0"/>
    </row>
    <row r="345" customFormat="false" ht="19.85" hidden="false" customHeight="true" outlineLevel="0" collapsed="false">
      <c r="A345" s="1" t="n">
        <v>30</v>
      </c>
      <c r="B345" s="34" t="n">
        <v>41974</v>
      </c>
      <c r="C345" s="56" t="n">
        <v>147866</v>
      </c>
      <c r="D345" s="29" t="s">
        <v>42</v>
      </c>
      <c r="E345" s="33" t="n">
        <f aca="false">IF(D345="totale",(C345/(A345*24))/F345,IF(D345="marché libre",(C345/(A345*24))/G345,"spécifier histo"))</f>
        <v>0.213481750981751</v>
      </c>
      <c r="F345" s="59" t="n">
        <v>962</v>
      </c>
      <c r="G345" s="59" t="n">
        <f aca="false">F345-H345</f>
        <v>962</v>
      </c>
      <c r="H345" s="59" t="n">
        <v>0</v>
      </c>
      <c r="J345" s="55"/>
      <c r="L345" s="0"/>
      <c r="M345" s="0"/>
      <c r="N345" s="0"/>
      <c r="O345" s="0"/>
      <c r="P345" s="0"/>
      <c r="Q345" s="0"/>
      <c r="R345" s="0"/>
      <c r="S345" s="0"/>
      <c r="T345" s="0"/>
      <c r="U345" s="0"/>
      <c r="V345" s="0"/>
      <c r="W345" s="227"/>
      <c r="Y345" s="0"/>
    </row>
    <row r="346" customFormat="false" ht="19.85" hidden="false" customHeight="true" outlineLevel="0" collapsed="false">
      <c r="A346" s="1" t="n">
        <v>31</v>
      </c>
      <c r="B346" s="31" t="n">
        <v>42005</v>
      </c>
      <c r="C346" s="56" t="n">
        <v>178084</v>
      </c>
      <c r="D346" s="29" t="s">
        <v>42</v>
      </c>
      <c r="E346" s="33" t="n">
        <f aca="false">IF(D346="totale",(C346/(A346*24))/F346,IF(D346="marché libre",(C346/(A346*24))/G346,"spécifier histo"))</f>
        <v>0.248815192363579</v>
      </c>
      <c r="F346" s="59" t="n">
        <v>962</v>
      </c>
      <c r="G346" s="59" t="n">
        <f aca="false">F346-H346</f>
        <v>962</v>
      </c>
      <c r="H346" s="59" t="n">
        <v>0</v>
      </c>
      <c r="J346" s="55"/>
      <c r="L346" s="0"/>
      <c r="M346" s="0"/>
      <c r="N346" s="0"/>
      <c r="O346" s="0"/>
      <c r="P346" s="0"/>
      <c r="Q346" s="0"/>
      <c r="R346" s="0"/>
      <c r="S346" s="0"/>
      <c r="T346" s="0"/>
      <c r="U346" s="0"/>
      <c r="V346" s="0"/>
      <c r="W346" s="227"/>
      <c r="Y346" s="0"/>
    </row>
    <row r="347" customFormat="false" ht="19.85" hidden="false" customHeight="true" outlineLevel="0" collapsed="false">
      <c r="A347" s="1" t="n">
        <v>30</v>
      </c>
      <c r="B347" s="34" t="n">
        <v>42036</v>
      </c>
      <c r="C347" s="56" t="n">
        <v>327569</v>
      </c>
      <c r="D347" s="29" t="s">
        <v>42</v>
      </c>
      <c r="E347" s="33" t="n">
        <f aca="false">IF(D347="totale",(C347/(A347*24))/F347,IF(D347="marché libre",(C347/(A347*24))/G347,"spécifier histo"))</f>
        <v>0.472928216678217</v>
      </c>
      <c r="F347" s="59" t="n">
        <v>962</v>
      </c>
      <c r="G347" s="59" t="n">
        <f aca="false">F347-H347</f>
        <v>962</v>
      </c>
      <c r="H347" s="59" t="n">
        <v>0</v>
      </c>
      <c r="J347" s="55"/>
      <c r="L347" s="0"/>
      <c r="M347" s="0"/>
      <c r="N347" s="0"/>
      <c r="P347" s="0"/>
      <c r="Q347" s="0"/>
      <c r="R347" s="0"/>
      <c r="S347" s="0"/>
      <c r="T347" s="0"/>
      <c r="U347" s="0"/>
      <c r="V347" s="0"/>
      <c r="W347" s="227"/>
      <c r="Y347" s="0"/>
    </row>
    <row r="348" customFormat="false" ht="19.85" hidden="false" customHeight="true" outlineLevel="0" collapsed="false">
      <c r="A348" s="1" t="n">
        <v>31</v>
      </c>
      <c r="B348" s="31" t="n">
        <v>42064</v>
      </c>
      <c r="C348" s="56" t="n">
        <v>406977</v>
      </c>
      <c r="D348" s="29" t="s">
        <v>42</v>
      </c>
      <c r="E348" s="33" t="n">
        <f aca="false">IF(D348="totale",(C348/(A348*24))/F348,IF(D348="marché libre",(C348/(A348*24))/G348,"spécifier histo"))</f>
        <v>0.568619643216417</v>
      </c>
      <c r="F348" s="59" t="n">
        <v>962</v>
      </c>
      <c r="G348" s="59" t="n">
        <f aca="false">F348-H348</f>
        <v>962</v>
      </c>
      <c r="H348" s="59" t="n">
        <v>0</v>
      </c>
      <c r="J348" s="55"/>
      <c r="L348" s="0"/>
      <c r="M348" s="0"/>
      <c r="P348" s="0"/>
      <c r="Q348" s="0"/>
      <c r="R348" s="0"/>
      <c r="S348" s="0"/>
      <c r="T348" s="0"/>
      <c r="V348" s="0"/>
      <c r="Y348" s="0"/>
    </row>
    <row r="349" customFormat="false" ht="19.85" hidden="false" customHeight="true" outlineLevel="0" collapsed="false">
      <c r="A349" s="1" t="n">
        <v>31</v>
      </c>
      <c r="B349" s="34" t="n">
        <v>42095</v>
      </c>
      <c r="C349" s="56" t="n">
        <v>230155</v>
      </c>
      <c r="D349" s="29" t="s">
        <v>42</v>
      </c>
      <c r="E349" s="33" t="n">
        <f aca="false">IF(D349="totale",(C349/(A349*24))/F349,IF(D349="marché libre",(C349/(A349*24))/G349,"spécifier histo"))</f>
        <v>0.321567690519303</v>
      </c>
      <c r="F349" s="59" t="n">
        <v>962</v>
      </c>
      <c r="G349" s="59" t="n">
        <f aca="false">F349-H349</f>
        <v>962</v>
      </c>
      <c r="H349" s="59" t="n">
        <v>0</v>
      </c>
      <c r="J349" s="55"/>
      <c r="L349" s="0"/>
      <c r="M349" s="0"/>
      <c r="P349" s="0"/>
      <c r="Q349" s="0"/>
      <c r="S349" s="0"/>
      <c r="V349" s="0"/>
      <c r="Y349" s="0"/>
    </row>
    <row r="350" customFormat="false" ht="19.85" hidden="false" customHeight="true" outlineLevel="0" collapsed="false">
      <c r="A350" s="0" t="n">
        <v>28</v>
      </c>
      <c r="B350" s="31" t="n">
        <v>42125</v>
      </c>
      <c r="C350" s="56" t="n">
        <v>90036</v>
      </c>
      <c r="D350" s="29" t="s">
        <v>42</v>
      </c>
      <c r="E350" s="33" t="n">
        <f aca="false">IF(D350="totale",(C350/(A350*24))/F350,IF(D350="marché libre",(C350/(A350*24))/G350,"spécifier histo"))</f>
        <v>0.139274576774577</v>
      </c>
      <c r="F350" s="59" t="n">
        <v>962</v>
      </c>
      <c r="G350" s="59" t="n">
        <f aca="false">F350-H350</f>
        <v>962</v>
      </c>
      <c r="H350" s="59" t="n">
        <v>0</v>
      </c>
      <c r="J350" s="55"/>
      <c r="L350" s="0"/>
      <c r="M350" s="0"/>
      <c r="P350" s="0"/>
      <c r="Q350" s="0"/>
      <c r="S350" s="0"/>
      <c r="V350" s="0"/>
      <c r="Y350" s="0"/>
    </row>
    <row r="351" customFormat="false" ht="19.85" hidden="false" customHeight="true" outlineLevel="0" collapsed="false">
      <c r="A351" s="0" t="n">
        <v>31</v>
      </c>
      <c r="B351" s="34" t="n">
        <v>42156</v>
      </c>
      <c r="C351" s="56" t="n">
        <v>146931</v>
      </c>
      <c r="D351" s="29" t="s">
        <v>42</v>
      </c>
      <c r="E351" s="33" t="n">
        <f aca="false">IF(D351="totale",(C351/(A351*24))/F351,IF(D351="marché libre",(C351/(A351*24))/G351,"spécifier histo"))</f>
        <v>0.205288880692106</v>
      </c>
      <c r="F351" s="59" t="n">
        <v>962</v>
      </c>
      <c r="G351" s="59" t="n">
        <f aca="false">F351-H351</f>
        <v>962</v>
      </c>
      <c r="H351" s="59" t="n">
        <v>0</v>
      </c>
      <c r="J351" s="55"/>
      <c r="L351" s="0"/>
      <c r="M351" s="0"/>
      <c r="P351" s="0"/>
      <c r="Q351" s="0"/>
      <c r="S351" s="0"/>
      <c r="V351" s="0"/>
      <c r="Y351" s="0"/>
    </row>
    <row r="352" customFormat="false" ht="19.85" hidden="false" customHeight="true" outlineLevel="0" collapsed="false">
      <c r="A352" s="0" t="n">
        <v>30</v>
      </c>
      <c r="B352" s="31" t="n">
        <v>42186</v>
      </c>
      <c r="C352" s="56" t="n">
        <v>854</v>
      </c>
      <c r="D352" s="29" t="s">
        <v>42</v>
      </c>
      <c r="E352" s="33" t="n">
        <f aca="false">IF(D352="totale",(C352/(A352*24))/F352,IF(D352="marché libre",(C352/(A352*24))/G352,"spécifier histo"))</f>
        <v>0.00123296373296373</v>
      </c>
      <c r="F352" s="59" t="n">
        <v>962</v>
      </c>
      <c r="G352" s="59" t="n">
        <f aca="false">F352-H352</f>
        <v>962</v>
      </c>
      <c r="H352" s="59" t="n">
        <v>0</v>
      </c>
      <c r="J352" s="55"/>
      <c r="L352" s="0"/>
      <c r="M352" s="0"/>
      <c r="P352" s="0"/>
      <c r="Q352" s="0"/>
      <c r="S352" s="0"/>
      <c r="V352" s="0"/>
      <c r="Y352" s="0"/>
    </row>
    <row r="353" customFormat="false" ht="19.85" hidden="false" customHeight="true" outlineLevel="0" collapsed="false">
      <c r="A353" s="0" t="n">
        <v>31</v>
      </c>
      <c r="B353" s="34" t="n">
        <v>42217</v>
      </c>
      <c r="C353" s="56" t="n">
        <v>2</v>
      </c>
      <c r="D353" s="29" t="s">
        <v>42</v>
      </c>
      <c r="E353" s="33" t="n">
        <f aca="false">IF(D353="totale",(C353/(A353*24))/F353,IF(D353="marché libre",(C353/(A353*24))/G353,"spécifier histo"))</f>
        <v>2.79435763306731E-006</v>
      </c>
      <c r="F353" s="59" t="n">
        <v>962</v>
      </c>
      <c r="G353" s="59" t="n">
        <f aca="false">F353-H353</f>
        <v>962</v>
      </c>
      <c r="H353" s="59" t="n">
        <v>0</v>
      </c>
      <c r="J353" s="55"/>
      <c r="L353" s="0"/>
      <c r="M353" s="0"/>
      <c r="P353" s="0"/>
      <c r="Q353" s="0"/>
      <c r="S353" s="0"/>
      <c r="V353" s="0"/>
      <c r="Y353" s="0"/>
    </row>
    <row r="354" customFormat="false" ht="19.85" hidden="false" customHeight="true" outlineLevel="0" collapsed="false">
      <c r="A354" s="0" t="n">
        <v>30</v>
      </c>
      <c r="B354" s="31" t="n">
        <v>42248</v>
      </c>
      <c r="C354" s="56" t="n">
        <v>0</v>
      </c>
      <c r="D354" s="29" t="s">
        <v>42</v>
      </c>
      <c r="E354" s="33" t="n">
        <f aca="false">IF(D354="totale",(C354/(A354*24))/F354,IF(D354="marché libre",(C354/(A354*24))/G354,"spécifier histo"))</f>
        <v>0</v>
      </c>
      <c r="F354" s="59" t="n">
        <v>962</v>
      </c>
      <c r="G354" s="59" t="n">
        <f aca="false">F354-H354</f>
        <v>962</v>
      </c>
      <c r="H354" s="59" t="n">
        <v>0</v>
      </c>
      <c r="J354" s="55"/>
      <c r="L354" s="0"/>
      <c r="M354" s="0"/>
      <c r="P354" s="0"/>
      <c r="Q354" s="0"/>
      <c r="S354" s="0"/>
      <c r="V354" s="0"/>
      <c r="Y354" s="0"/>
    </row>
    <row r="355" customFormat="false" ht="19.85" hidden="false" customHeight="true" outlineLevel="0" collapsed="false">
      <c r="A355" s="0" t="n">
        <v>31</v>
      </c>
      <c r="B355" s="34" t="n">
        <v>42278</v>
      </c>
      <c r="C355" s="56" t="n">
        <v>17851</v>
      </c>
      <c r="D355" s="29" t="s">
        <v>42</v>
      </c>
      <c r="E355" s="33" t="n">
        <f aca="false">IF(D355="totale",(C355/(A355*24))/F355,IF(D355="marché libre",(C355/(A355*24))/G355,"spécifier histo"))</f>
        <v>0.0249410390539423</v>
      </c>
      <c r="F355" s="59" t="n">
        <v>962</v>
      </c>
      <c r="G355" s="59" t="n">
        <f aca="false">F355-H355</f>
        <v>962</v>
      </c>
      <c r="H355" s="59" t="n">
        <v>0</v>
      </c>
      <c r="J355" s="55"/>
      <c r="L355" s="0"/>
      <c r="M355" s="0"/>
      <c r="P355" s="0"/>
      <c r="Q355" s="0"/>
      <c r="S355" s="0"/>
      <c r="V355" s="0"/>
      <c r="Y355" s="0"/>
    </row>
    <row r="356" customFormat="false" ht="19.85" hidden="false" customHeight="true" outlineLevel="0" collapsed="false">
      <c r="A356" s="0" t="n">
        <v>31</v>
      </c>
      <c r="B356" s="31" t="n">
        <v>42309</v>
      </c>
      <c r="C356" s="56" t="n">
        <v>14049</v>
      </c>
      <c r="D356" s="29" t="s">
        <v>42</v>
      </c>
      <c r="E356" s="33" t="n">
        <f aca="false">IF(D356="totale",(C356/(A356*24))/F356,IF(D356="marché libre",(C356/(A356*24))/G356,"spécifier histo"))</f>
        <v>0.0196289651934813</v>
      </c>
      <c r="F356" s="59" t="n">
        <v>962</v>
      </c>
      <c r="G356" s="59" t="n">
        <f aca="false">F356-H356</f>
        <v>962</v>
      </c>
      <c r="H356" s="59" t="n">
        <v>0</v>
      </c>
      <c r="J356" s="55"/>
      <c r="L356" s="0"/>
      <c r="M356" s="0"/>
      <c r="P356" s="0"/>
      <c r="Q356" s="0"/>
      <c r="S356" s="0"/>
      <c r="V356" s="0"/>
      <c r="Y356" s="0"/>
    </row>
    <row r="357" customFormat="false" ht="19.85" hidden="false" customHeight="true" outlineLevel="0" collapsed="false">
      <c r="A357" s="0" t="n">
        <v>30</v>
      </c>
      <c r="B357" s="34" t="n">
        <v>42339</v>
      </c>
      <c r="C357" s="56" t="n">
        <v>1013</v>
      </c>
      <c r="D357" s="29" t="s">
        <v>42</v>
      </c>
      <c r="E357" s="33" t="n">
        <f aca="false">IF(D357="totale",(C357/(A357*24))/F357,IF(D357="marché libre",(C357/(A357*24))/G357,"spécifier histo"))</f>
        <v>0.00146252021252021</v>
      </c>
      <c r="F357" s="59" t="n">
        <v>962</v>
      </c>
      <c r="G357" s="59" t="n">
        <f aca="false">F357-H357</f>
        <v>962</v>
      </c>
      <c r="H357" s="59" t="n">
        <v>0</v>
      </c>
      <c r="J357" s="55"/>
      <c r="L357" s="0"/>
      <c r="M357" s="0"/>
      <c r="P357" s="0"/>
      <c r="Q357" s="0"/>
      <c r="S357" s="0"/>
      <c r="V357" s="0"/>
      <c r="Y357" s="0"/>
    </row>
    <row r="358" customFormat="false" ht="19.85" hidden="false" customHeight="true" outlineLevel="0" collapsed="false">
      <c r="A358" s="0" t="n">
        <v>31</v>
      </c>
      <c r="B358" s="31" t="n">
        <v>42370</v>
      </c>
      <c r="C358" s="56" t="n">
        <v>62230</v>
      </c>
      <c r="D358" s="29" t="s">
        <v>42</v>
      </c>
      <c r="E358" s="33" t="n">
        <f aca="false">IF(D358="totale",(C358/(A358*24))/F358,IF(D358="marché libre",(C358/(A358*24))/G358,"spécifier histo"))</f>
        <v>0.0869464377528894</v>
      </c>
      <c r="F358" s="59" t="n">
        <v>962</v>
      </c>
      <c r="G358" s="59" t="n">
        <f aca="false">F358-H358</f>
        <v>962</v>
      </c>
      <c r="H358" s="59" t="n">
        <v>0</v>
      </c>
      <c r="J358" s="55"/>
      <c r="K358" s="55"/>
      <c r="L358" s="0"/>
      <c r="M358" s="0"/>
      <c r="P358" s="0"/>
      <c r="Q358" s="0"/>
      <c r="S358" s="0"/>
      <c r="V358" s="0"/>
      <c r="Y358" s="0"/>
    </row>
    <row r="359" customFormat="false" ht="19.85" hidden="false" customHeight="true" outlineLevel="0" collapsed="false">
      <c r="A359" s="0" t="n">
        <v>30</v>
      </c>
      <c r="B359" s="34" t="n">
        <v>42401</v>
      </c>
      <c r="C359" s="56" t="n">
        <v>256712</v>
      </c>
      <c r="D359" s="29" t="s">
        <v>42</v>
      </c>
      <c r="E359" s="33" t="n">
        <f aca="false">IF(D359="totale",(C359/(A359*24))/F359,IF(D359="marché libre",(C359/(A359*24))/G359,"spécifier histo"))</f>
        <v>0.370628320628321</v>
      </c>
      <c r="F359" s="59" t="n">
        <v>962</v>
      </c>
      <c r="G359" s="59" t="n">
        <f aca="false">F359-H359</f>
        <v>962</v>
      </c>
      <c r="H359" s="59" t="n">
        <v>0</v>
      </c>
      <c r="J359" s="55"/>
      <c r="K359" s="55"/>
      <c r="L359" s="0"/>
      <c r="M359" s="0"/>
      <c r="P359" s="0"/>
      <c r="Q359" s="0"/>
      <c r="S359" s="0"/>
      <c r="V359" s="0"/>
      <c r="Y359" s="0"/>
    </row>
    <row r="360" customFormat="false" ht="19.85" hidden="false" customHeight="true" outlineLevel="0" collapsed="false">
      <c r="A360" s="0" t="n">
        <v>31</v>
      </c>
      <c r="B360" s="31" t="n">
        <v>42430</v>
      </c>
      <c r="C360" s="56" t="n">
        <v>259376</v>
      </c>
      <c r="D360" s="29" t="s">
        <v>42</v>
      </c>
      <c r="E360" s="33" t="n">
        <f aca="false">IF(D360="totale",(C360/(A360*24))/F360,IF(D360="marché libre",(C360/(A360*24))/G360,"spécifier histo"))</f>
        <v>0.362394652717233</v>
      </c>
      <c r="F360" s="59" t="n">
        <v>962</v>
      </c>
      <c r="G360" s="59" t="n">
        <f aca="false">F360-H360</f>
        <v>962</v>
      </c>
      <c r="H360" s="59" t="n">
        <v>0</v>
      </c>
      <c r="J360" s="55"/>
      <c r="K360" s="55"/>
      <c r="L360" s="0"/>
      <c r="M360" s="0"/>
      <c r="Q360" s="0"/>
      <c r="S360" s="0"/>
      <c r="V360" s="0"/>
      <c r="Y360" s="0"/>
    </row>
    <row r="361" customFormat="false" ht="19.85" hidden="false" customHeight="true" outlineLevel="0" collapsed="false">
      <c r="A361" s="0" t="n">
        <v>31</v>
      </c>
      <c r="B361" s="34" t="n">
        <v>42461</v>
      </c>
      <c r="C361" s="56" t="n">
        <v>15488</v>
      </c>
      <c r="D361" s="29" t="s">
        <v>42</v>
      </c>
      <c r="E361" s="33" t="n">
        <f aca="false">IF(D361="totale",(C361/(A361*24))/F361,IF(D361="marché libre",(C361/(A361*24))/G361,"spécifier histo"))</f>
        <v>0.0216395055104732</v>
      </c>
      <c r="F361" s="59" t="n">
        <v>962</v>
      </c>
      <c r="G361" s="59" t="n">
        <f aca="false">F361-H361</f>
        <v>962</v>
      </c>
      <c r="H361" s="59" t="n">
        <v>0</v>
      </c>
      <c r="J361" s="55"/>
      <c r="K361" s="55"/>
      <c r="L361" s="0"/>
      <c r="M361" s="0"/>
      <c r="Q361" s="0"/>
      <c r="S361" s="0"/>
      <c r="V361" s="0"/>
      <c r="Y361" s="0"/>
    </row>
    <row r="362" customFormat="false" ht="19.85" hidden="false" customHeight="true" outlineLevel="0" collapsed="false">
      <c r="A362" s="0" t="n">
        <v>28</v>
      </c>
      <c r="B362" s="31" t="n">
        <v>42491</v>
      </c>
      <c r="C362" s="56" t="n">
        <v>27732</v>
      </c>
      <c r="D362" s="29" t="s">
        <v>42</v>
      </c>
      <c r="E362" s="33" t="n">
        <f aca="false">IF(D362="totale",(C362/(A362*24))/F362,IF(D362="marché libre",(C362/(A362*24))/G362,"spécifier histo"))</f>
        <v>0.0428979803979804</v>
      </c>
      <c r="F362" s="59" t="n">
        <v>962</v>
      </c>
      <c r="G362" s="59" t="n">
        <f aca="false">F362-H362</f>
        <v>962</v>
      </c>
      <c r="H362" s="59" t="n">
        <v>0</v>
      </c>
      <c r="J362" s="55"/>
      <c r="K362" s="55"/>
      <c r="L362" s="0"/>
      <c r="M362" s="0"/>
      <c r="Q362" s="0"/>
      <c r="S362" s="0"/>
      <c r="V362" s="0"/>
      <c r="Y362" s="0"/>
    </row>
    <row r="363" customFormat="false" ht="19.85" hidden="false" customHeight="true" outlineLevel="0" collapsed="false">
      <c r="A363" s="0" t="n">
        <v>31</v>
      </c>
      <c r="B363" s="34" t="n">
        <v>42522</v>
      </c>
      <c r="C363" s="56" t="n">
        <v>93092</v>
      </c>
      <c r="D363" s="29" t="s">
        <v>42</v>
      </c>
      <c r="E363" s="33" t="n">
        <f aca="false">IF(D363="totale",(C363/(A363*24))/F363,IF(D363="marché libre",(C363/(A363*24))/G363,"spécifier histo"))</f>
        <v>0.130066170388751</v>
      </c>
      <c r="F363" s="59" t="n">
        <v>962</v>
      </c>
      <c r="G363" s="59" t="n">
        <f aca="false">F363-H363</f>
        <v>962</v>
      </c>
      <c r="H363" s="59" t="n">
        <v>0</v>
      </c>
      <c r="J363" s="55"/>
      <c r="K363" s="55"/>
      <c r="L363" s="0"/>
      <c r="M363" s="0"/>
      <c r="Q363" s="0"/>
      <c r="S363" s="0"/>
      <c r="V363" s="0"/>
      <c r="Y363" s="0"/>
    </row>
    <row r="364" customFormat="false" ht="19.85" hidden="false" customHeight="true" outlineLevel="0" collapsed="false">
      <c r="A364" s="0" t="n">
        <v>30</v>
      </c>
      <c r="B364" s="31" t="n">
        <v>42552</v>
      </c>
      <c r="C364" s="56" t="n">
        <v>1</v>
      </c>
      <c r="D364" s="29" t="s">
        <v>42</v>
      </c>
      <c r="E364" s="33" t="n">
        <f aca="false">IF(D364="totale",(C364/(A364*24))/F364,IF(D364="marché libre",(C364/(A364*24))/G364,"spécifier histo"))</f>
        <v>1.44375144375144E-006</v>
      </c>
      <c r="F364" s="59" t="n">
        <v>962</v>
      </c>
      <c r="G364" s="59" t="n">
        <f aca="false">F364-H364</f>
        <v>962</v>
      </c>
      <c r="H364" s="59" t="n">
        <v>0</v>
      </c>
      <c r="J364" s="55"/>
      <c r="K364" s="55"/>
      <c r="L364" s="0"/>
      <c r="M364" s="0"/>
      <c r="Q364" s="0"/>
      <c r="S364" s="0"/>
      <c r="V364" s="0"/>
      <c r="Y364" s="0"/>
    </row>
    <row r="365" customFormat="false" ht="19.85" hidden="false" customHeight="true" outlineLevel="0" collapsed="false">
      <c r="A365" s="0" t="n">
        <v>31</v>
      </c>
      <c r="B365" s="34" t="n">
        <v>42583</v>
      </c>
      <c r="C365" s="56" t="n">
        <v>1</v>
      </c>
      <c r="D365" s="29" t="s">
        <v>42</v>
      </c>
      <c r="E365" s="33" t="n">
        <f aca="false">IF(D365="totale",(C365/(A365*24))/F365,IF(D365="marché libre",(C365/(A365*24))/G365,"spécifier histo"))</f>
        <v>1.39717881653366E-006</v>
      </c>
      <c r="F365" s="59" t="n">
        <v>962</v>
      </c>
      <c r="G365" s="59" t="n">
        <f aca="false">F365-H365</f>
        <v>962</v>
      </c>
      <c r="H365" s="59" t="n">
        <v>0</v>
      </c>
      <c r="J365" s="55"/>
      <c r="K365" s="55"/>
      <c r="L365" s="0"/>
      <c r="M365" s="0"/>
      <c r="Q365" s="0"/>
      <c r="S365" s="0"/>
      <c r="V365" s="0"/>
      <c r="Y365" s="0"/>
    </row>
    <row r="366" customFormat="false" ht="19.85" hidden="false" customHeight="true" outlineLevel="0" collapsed="false">
      <c r="A366" s="0" t="n">
        <v>30</v>
      </c>
      <c r="B366" s="31" t="n">
        <v>42614</v>
      </c>
      <c r="C366" s="56" t="n">
        <v>1</v>
      </c>
      <c r="D366" s="29" t="s">
        <v>42</v>
      </c>
      <c r="E366" s="33" t="n">
        <f aca="false">IF(D366="totale",(C366/(A366*24))/F366,IF(D366="marché libre",(C366/(A366*24))/G366,"spécifier histo"))</f>
        <v>1.44375144375144E-006</v>
      </c>
      <c r="F366" s="59" t="n">
        <v>962</v>
      </c>
      <c r="G366" s="59" t="n">
        <f aca="false">F366-H366</f>
        <v>962</v>
      </c>
      <c r="H366" s="59" t="n">
        <v>0</v>
      </c>
      <c r="J366" s="55"/>
      <c r="K366" s="55"/>
      <c r="L366" s="0"/>
      <c r="M366" s="0"/>
      <c r="Q366" s="0"/>
      <c r="S366" s="0"/>
      <c r="V366" s="0"/>
      <c r="Y366" s="0"/>
    </row>
    <row r="367" customFormat="false" ht="19.85" hidden="false" customHeight="true" outlineLevel="0" collapsed="false">
      <c r="A367" s="0" t="n">
        <v>31</v>
      </c>
      <c r="B367" s="34" t="n">
        <v>42644</v>
      </c>
      <c r="C367" s="56" t="n">
        <v>2</v>
      </c>
      <c r="D367" s="29" t="s">
        <v>42</v>
      </c>
      <c r="E367" s="33" t="n">
        <f aca="false">IF(D367="totale",(C367/(A367*24))/F367,IF(D367="marché libre",(C367/(A367*24))/G367,"spécifier histo"))</f>
        <v>2.79435763306731E-006</v>
      </c>
      <c r="F367" s="59" t="n">
        <v>962</v>
      </c>
      <c r="G367" s="59" t="n">
        <f aca="false">F367-H367</f>
        <v>962</v>
      </c>
      <c r="H367" s="59" t="n">
        <v>0</v>
      </c>
      <c r="J367" s="55"/>
      <c r="K367" s="55"/>
      <c r="L367" s="0"/>
      <c r="M367" s="0"/>
      <c r="Q367" s="0"/>
      <c r="S367" s="0"/>
      <c r="V367" s="0"/>
      <c r="Y367" s="0"/>
    </row>
    <row r="368" customFormat="false" ht="19.85" hidden="false" customHeight="true" outlineLevel="0" collapsed="false">
      <c r="A368" s="0" t="n">
        <v>31</v>
      </c>
      <c r="B368" s="31" t="n">
        <v>42675</v>
      </c>
      <c r="C368" s="56" t="n">
        <v>202223</v>
      </c>
      <c r="D368" s="29" t="s">
        <v>42</v>
      </c>
      <c r="E368" s="33" t="n">
        <f aca="false">IF(D368="totale",(C368/(A368*24))/F368,IF(D368="marché libre",(C368/(A368*24))/G368,"spécifier histo"))</f>
        <v>0.282541691815885</v>
      </c>
      <c r="F368" s="59" t="n">
        <v>962</v>
      </c>
      <c r="G368" s="59" t="n">
        <f aca="false">F368-H368</f>
        <v>962</v>
      </c>
      <c r="H368" s="59" t="n">
        <v>0</v>
      </c>
      <c r="J368" s="55"/>
      <c r="K368" s="55"/>
      <c r="L368" s="0"/>
      <c r="M368" s="0"/>
      <c r="Q368" s="0"/>
      <c r="S368" s="0"/>
      <c r="V368" s="0"/>
      <c r="Y368" s="0"/>
    </row>
    <row r="369" customFormat="false" ht="19.85" hidden="false" customHeight="true" outlineLevel="0" collapsed="false">
      <c r="A369" s="0" t="n">
        <v>30</v>
      </c>
      <c r="B369" s="34" t="n">
        <v>42705</v>
      </c>
      <c r="C369" s="56" t="n">
        <v>99132</v>
      </c>
      <c r="D369" s="29" t="s">
        <v>42</v>
      </c>
      <c r="E369" s="33" t="n">
        <f aca="false">IF(D369="totale",(C369/(A369*24))/F369,IF(D369="marché libre",(C369/(A369*24))/G369,"spécifier histo"))</f>
        <v>0.143121968121968</v>
      </c>
      <c r="F369" s="59" t="n">
        <v>962</v>
      </c>
      <c r="G369" s="59" t="n">
        <f aca="false">F369-H369</f>
        <v>962</v>
      </c>
      <c r="H369" s="59" t="n">
        <v>0</v>
      </c>
      <c r="J369" s="55"/>
      <c r="K369" s="55"/>
      <c r="L369" s="0"/>
      <c r="M369" s="0"/>
      <c r="Q369" s="0"/>
      <c r="S369" s="0"/>
      <c r="V369" s="0"/>
      <c r="Y369" s="0"/>
    </row>
    <row r="370" customFormat="false" ht="19.85" hidden="false" customHeight="true" outlineLevel="0" collapsed="false">
      <c r="A370" s="0" t="n">
        <v>31</v>
      </c>
      <c r="B370" s="31" t="n">
        <v>42736</v>
      </c>
      <c r="C370" s="56" t="n">
        <v>0</v>
      </c>
      <c r="D370" s="29" t="s">
        <v>42</v>
      </c>
      <c r="E370" s="33" t="n">
        <f aca="false">IF(D370="totale",(C370/(A370*24))/F370,IF(D370="marché libre",(C370/(A370*24))/G370,"spécifier histo"))</f>
        <v>0</v>
      </c>
      <c r="F370" s="59" t="n">
        <v>962</v>
      </c>
      <c r="G370" s="59" t="n">
        <f aca="false">F370-H370</f>
        <v>962</v>
      </c>
      <c r="H370" s="59" t="n">
        <v>0</v>
      </c>
      <c r="J370" s="73"/>
      <c r="K370" s="55"/>
      <c r="L370" s="0"/>
      <c r="M370" s="0"/>
      <c r="Q370" s="0"/>
      <c r="S370" s="0"/>
      <c r="V370" s="0"/>
      <c r="Y370" s="0"/>
    </row>
    <row r="371" customFormat="false" ht="19.85" hidden="false" customHeight="true" outlineLevel="0" collapsed="false">
      <c r="A371" s="0" t="n">
        <v>30</v>
      </c>
      <c r="B371" s="34" t="n">
        <v>42767</v>
      </c>
      <c r="C371" s="56" t="n">
        <v>252483</v>
      </c>
      <c r="D371" s="29" t="s">
        <v>42</v>
      </c>
      <c r="E371" s="33" t="n">
        <f aca="false">IF(D371="totale",(C371/(A371*24))/F371,IF(D371="marché libre",(C371/(A371*24))/G371,"spécifier histo"))</f>
        <v>0.364522695772696</v>
      </c>
      <c r="F371" s="59" t="n">
        <v>962</v>
      </c>
      <c r="G371" s="59" t="n">
        <f aca="false">F371-H371</f>
        <v>962</v>
      </c>
      <c r="H371" s="59" t="n">
        <v>0</v>
      </c>
      <c r="J371" s="55"/>
      <c r="K371" s="55"/>
      <c r="L371" s="0"/>
      <c r="M371" s="0"/>
      <c r="Q371" s="0"/>
      <c r="S371" s="0"/>
      <c r="V371" s="0"/>
    </row>
    <row r="372" customFormat="false" ht="19.85" hidden="false" customHeight="true" outlineLevel="0" collapsed="false">
      <c r="A372" s="0" t="n">
        <v>31</v>
      </c>
      <c r="B372" s="31" t="n">
        <v>42795</v>
      </c>
      <c r="C372" s="56" t="n">
        <v>410384</v>
      </c>
      <c r="D372" s="29" t="s">
        <v>42</v>
      </c>
      <c r="E372" s="33" t="n">
        <f aca="false">IF(D372="totale",(C372/(A372*24))/F372,IF(D372="marché libre",(C372/(A372*24))/G372,"spécifier histo"))</f>
        <v>0.573379831444348</v>
      </c>
      <c r="F372" s="59" t="n">
        <v>962</v>
      </c>
      <c r="G372" s="59" t="n">
        <f aca="false">F372-H372</f>
        <v>962</v>
      </c>
      <c r="H372" s="59" t="n">
        <v>0</v>
      </c>
      <c r="J372" s="55"/>
      <c r="K372" s="55"/>
      <c r="L372" s="0"/>
      <c r="M372" s="0"/>
      <c r="Q372" s="0"/>
      <c r="V372" s="0"/>
    </row>
    <row r="373" customFormat="false" ht="19.85" hidden="false" customHeight="true" outlineLevel="0" collapsed="false">
      <c r="A373" s="0" t="n">
        <v>31</v>
      </c>
      <c r="B373" s="34" t="n">
        <v>42826</v>
      </c>
      <c r="C373" s="56" t="n">
        <v>115735</v>
      </c>
      <c r="D373" s="29" t="s">
        <v>42</v>
      </c>
      <c r="E373" s="33" t="n">
        <f aca="false">IF(D373="totale",(C373/(A373*24))/F373,IF(D373="marché libre",(C373/(A373*24))/G373,"spécifier histo"))</f>
        <v>0.161702490331523</v>
      </c>
      <c r="F373" s="59" t="n">
        <v>962</v>
      </c>
      <c r="G373" s="59" t="n">
        <f aca="false">F373-H373</f>
        <v>962</v>
      </c>
      <c r="H373" s="59" t="n">
        <v>0</v>
      </c>
      <c r="J373" s="55"/>
      <c r="K373" s="55"/>
      <c r="L373" s="0"/>
      <c r="M373" s="0"/>
      <c r="Q373" s="0"/>
      <c r="V373" s="0"/>
    </row>
    <row r="374" customFormat="false" ht="19.85" hidden="false" customHeight="true" outlineLevel="0" collapsed="false">
      <c r="A374" s="0" t="n">
        <v>28</v>
      </c>
      <c r="B374" s="31" t="n">
        <v>42856</v>
      </c>
      <c r="C374" s="56" t="n">
        <v>341317</v>
      </c>
      <c r="D374" s="29" t="s">
        <v>42</v>
      </c>
      <c r="E374" s="33" t="n">
        <f aca="false">IF(D374="totale",(C374/(A374*24))/F374,IF(D374="marché libre",(C374/(A374*24))/G374,"spécifier histo"))</f>
        <v>0.527975262350262</v>
      </c>
      <c r="F374" s="59" t="n">
        <v>962</v>
      </c>
      <c r="G374" s="59" t="n">
        <f aca="false">F374-H374</f>
        <v>962</v>
      </c>
      <c r="H374" s="59" t="n">
        <v>0</v>
      </c>
      <c r="J374" s="55"/>
      <c r="K374" s="55"/>
      <c r="L374" s="0"/>
      <c r="M374" s="0"/>
      <c r="Q374" s="0"/>
      <c r="V374" s="0"/>
    </row>
    <row r="375" customFormat="false" ht="19.85" hidden="false" customHeight="true" outlineLevel="0" collapsed="false">
      <c r="A375" s="0" t="n">
        <v>31</v>
      </c>
      <c r="B375" s="34" t="n">
        <v>42887</v>
      </c>
      <c r="C375" s="56" t="n">
        <v>24753</v>
      </c>
      <c r="D375" s="29" t="s">
        <v>42</v>
      </c>
      <c r="E375" s="33" t="n">
        <f aca="false">IF(D375="totale",(C375/(A375*24))/F375,IF(D375="marché libre",(C375/(A375*24))/G375,"spécifier histo"))</f>
        <v>0.0345843672456576</v>
      </c>
      <c r="F375" s="59" t="n">
        <v>962</v>
      </c>
      <c r="G375" s="59" t="n">
        <f aca="false">F375-H375</f>
        <v>962</v>
      </c>
      <c r="H375" s="59" t="n">
        <v>0</v>
      </c>
      <c r="J375" s="55"/>
      <c r="K375" s="55"/>
      <c r="L375" s="0"/>
      <c r="M375" s="0"/>
      <c r="Q375" s="0"/>
      <c r="V375" s="0"/>
    </row>
    <row r="376" customFormat="false" ht="19.85" hidden="false" customHeight="true" outlineLevel="0" collapsed="false">
      <c r="A376" s="0" t="n">
        <v>28</v>
      </c>
      <c r="B376" s="31" t="n">
        <v>42917</v>
      </c>
      <c r="C376" s="56" t="n">
        <v>1</v>
      </c>
      <c r="D376" s="29" t="s">
        <v>42</v>
      </c>
      <c r="E376" s="33" t="n">
        <f aca="false">IF(D376="totale",(C376/(A376*24))/F376,IF(D376="marché libre",(C376/(A376*24))/G376,"spécifier histo"))</f>
        <v>1.54687654687655E-006</v>
      </c>
      <c r="F376" s="59" t="n">
        <v>962</v>
      </c>
      <c r="G376" s="59" t="n">
        <f aca="false">F376-H376</f>
        <v>962</v>
      </c>
      <c r="H376" s="59" t="n">
        <v>0</v>
      </c>
      <c r="J376" s="55"/>
      <c r="K376" s="55"/>
      <c r="L376" s="0"/>
      <c r="M376" s="0"/>
      <c r="Q376" s="0"/>
      <c r="V376" s="0"/>
    </row>
    <row r="377" customFormat="false" ht="19.85" hidden="false" customHeight="true" outlineLevel="0" collapsed="false">
      <c r="A377" s="0" t="n">
        <v>31</v>
      </c>
      <c r="B377" s="34" t="n">
        <v>42948</v>
      </c>
      <c r="C377" s="56" t="n">
        <v>2</v>
      </c>
      <c r="D377" s="29" t="s">
        <v>42</v>
      </c>
      <c r="E377" s="33" t="n">
        <f aca="false">IF(D377="totale",(C377/(A377*24))/F377,IF(D377="marché libre",(C377/(A377*24))/G377,"spécifier histo"))</f>
        <v>2.79435763306731E-006</v>
      </c>
      <c r="F377" s="59" t="n">
        <v>962</v>
      </c>
      <c r="G377" s="59" t="n">
        <f aca="false">F377-H377</f>
        <v>962</v>
      </c>
      <c r="H377" s="59" t="n">
        <v>0</v>
      </c>
      <c r="J377" s="55"/>
      <c r="K377" s="55"/>
      <c r="L377" s="0"/>
      <c r="M377" s="0"/>
      <c r="Q377" s="0"/>
      <c r="V377" s="0"/>
    </row>
    <row r="378" customFormat="false" ht="19.85" hidden="false" customHeight="true" outlineLevel="0" collapsed="false">
      <c r="A378" s="0" t="n">
        <v>30</v>
      </c>
      <c r="B378" s="31" t="n">
        <v>42979</v>
      </c>
      <c r="C378" s="56" t="n">
        <v>4</v>
      </c>
      <c r="D378" s="29" t="s">
        <v>42</v>
      </c>
      <c r="E378" s="33" t="n">
        <f aca="false">IF(D378="totale",(C378/(A378*24))/F378,IF(D378="marché libre",(C378/(A378*24))/G378,"spécifier histo"))</f>
        <v>5.77500577500578E-006</v>
      </c>
      <c r="F378" s="59" t="n">
        <v>962</v>
      </c>
      <c r="G378" s="59" t="n">
        <f aca="false">F378-H378</f>
        <v>962</v>
      </c>
      <c r="H378" s="59" t="n">
        <v>0</v>
      </c>
      <c r="J378" s="55"/>
      <c r="K378" s="55"/>
      <c r="L378" s="0"/>
      <c r="M378" s="0"/>
      <c r="Q378" s="0"/>
      <c r="V378" s="0"/>
    </row>
    <row r="379" customFormat="false" ht="19.85" hidden="false" customHeight="true" outlineLevel="0" collapsed="false">
      <c r="A379" s="0" t="n">
        <v>31</v>
      </c>
      <c r="B379" s="34" t="n">
        <v>43009</v>
      </c>
      <c r="C379" s="56" t="n">
        <v>2</v>
      </c>
      <c r="D379" s="29" t="s">
        <v>42</v>
      </c>
      <c r="E379" s="33" t="n">
        <f aca="false">IF(D379="totale",(C379/(A379*24))/F379,IF(D379="marché libre",(C379/(A379*24))/G379,"spécifier histo"))</f>
        <v>2.79435763306731E-006</v>
      </c>
      <c r="F379" s="59" t="n">
        <v>962</v>
      </c>
      <c r="G379" s="59" t="n">
        <f aca="false">F379-H379</f>
        <v>962</v>
      </c>
      <c r="H379" s="59" t="n">
        <v>0</v>
      </c>
      <c r="J379" s="55"/>
      <c r="K379" s="55"/>
      <c r="L379" s="0"/>
      <c r="M379" s="0"/>
      <c r="Q379" s="0"/>
      <c r="V379" s="0"/>
    </row>
    <row r="380" customFormat="false" ht="19.85" hidden="false" customHeight="true" outlineLevel="0" collapsed="false">
      <c r="A380" s="0" t="n">
        <v>30</v>
      </c>
      <c r="B380" s="31" t="n">
        <v>43040</v>
      </c>
      <c r="C380" s="56" t="n">
        <v>0</v>
      </c>
      <c r="D380" s="29" t="s">
        <v>42</v>
      </c>
      <c r="E380" s="33" t="n">
        <f aca="false">IF(D380="totale",(C380/(A380*24))/F380,IF(D380="marché libre",(C380/(A380*24))/G380,"spécifier histo"))</f>
        <v>0</v>
      </c>
      <c r="F380" s="59" t="n">
        <v>962</v>
      </c>
      <c r="G380" s="59" t="n">
        <f aca="false">F380-H380</f>
        <v>962</v>
      </c>
      <c r="H380" s="59" t="n">
        <v>0</v>
      </c>
      <c r="J380" s="55"/>
      <c r="K380" s="55"/>
      <c r="L380" s="0"/>
      <c r="M380" s="0"/>
      <c r="Q380" s="0"/>
      <c r="V380" s="0"/>
    </row>
    <row r="381" customFormat="false" ht="19.85" hidden="false" customHeight="true" outlineLevel="0" collapsed="false">
      <c r="A381" s="0" t="n">
        <v>31</v>
      </c>
      <c r="B381" s="34" t="n">
        <v>43070</v>
      </c>
      <c r="C381" s="56" t="n">
        <v>111199</v>
      </c>
      <c r="D381" s="29" t="s">
        <v>42</v>
      </c>
      <c r="E381" s="33" t="n">
        <f aca="false">IF(D381="totale",(C381/(A381*24))/F381,IF(D381="marché libre",(C381/(A381*24))/G381,"spécifier histo"))</f>
        <v>0.155364887219726</v>
      </c>
      <c r="F381" s="59" t="n">
        <v>962</v>
      </c>
      <c r="G381" s="59" t="n">
        <f aca="false">F381-H381</f>
        <v>962</v>
      </c>
      <c r="H381" s="59" t="n">
        <v>0</v>
      </c>
      <c r="J381" s="55"/>
      <c r="K381" s="55"/>
      <c r="L381" s="0"/>
      <c r="M381" s="0"/>
      <c r="Q381" s="0"/>
      <c r="V381" s="0"/>
    </row>
    <row r="382" customFormat="false" ht="19.85" hidden="false" customHeight="true" outlineLevel="0" collapsed="false">
      <c r="A382" s="0" t="n">
        <v>31</v>
      </c>
      <c r="B382" s="31" t="n">
        <v>43101</v>
      </c>
      <c r="C382" s="56" t="n">
        <v>494550</v>
      </c>
      <c r="D382" s="29" t="s">
        <v>42</v>
      </c>
      <c r="E382" s="33" t="n">
        <f aca="false">IF(D382="totale",(C382/(A382*24))/F382,IF(D382="marché libre",(C382/(A382*24))/G382,"spécifier histo"))</f>
        <v>0.690974783716719</v>
      </c>
      <c r="F382" s="59" t="n">
        <v>962</v>
      </c>
      <c r="G382" s="59" t="n">
        <f aca="false">F382-H382</f>
        <v>962</v>
      </c>
      <c r="H382" s="59" t="n">
        <v>0</v>
      </c>
      <c r="J382" s="30"/>
      <c r="K382" s="55"/>
      <c r="L382" s="0"/>
      <c r="M382" s="0"/>
      <c r="Q382" s="0"/>
      <c r="V382" s="0"/>
    </row>
    <row r="383" customFormat="false" ht="19.85" hidden="false" customHeight="true" outlineLevel="0" collapsed="false">
      <c r="A383" s="0" t="n">
        <v>30</v>
      </c>
      <c r="B383" s="34" t="n">
        <v>43132</v>
      </c>
      <c r="C383" s="56" t="n">
        <v>375857</v>
      </c>
      <c r="D383" s="29" t="s">
        <v>42</v>
      </c>
      <c r="E383" s="33" t="n">
        <f aca="false">IF(D383="totale",(C383/(A383*24))/F383,IF(D383="marché libre",(C383/(A383*24))/G383,"spécifier histo"))</f>
        <v>0.542644086394086</v>
      </c>
      <c r="F383" s="59" t="n">
        <v>962</v>
      </c>
      <c r="G383" s="59" t="n">
        <f aca="false">F383-H383</f>
        <v>962</v>
      </c>
      <c r="H383" s="59" t="n">
        <v>0</v>
      </c>
      <c r="K383" s="55"/>
      <c r="M383" s="0"/>
      <c r="V383" s="0"/>
    </row>
    <row r="384" customFormat="false" ht="19.85" hidden="false" customHeight="true" outlineLevel="0" collapsed="false">
      <c r="A384" s="0" t="n">
        <v>31</v>
      </c>
      <c r="B384" s="31" t="n">
        <v>43160</v>
      </c>
      <c r="C384" s="56" t="n">
        <v>577990</v>
      </c>
      <c r="D384" s="29" t="s">
        <v>42</v>
      </c>
      <c r="E384" s="33" t="n">
        <f aca="false">IF(D384="totale",(C384/(A384*24))/F384,IF(D384="marché libre",(C384/(A384*24))/G384,"spécifier histo"))</f>
        <v>0.807555384168287</v>
      </c>
      <c r="F384" s="59" t="n">
        <v>962</v>
      </c>
      <c r="G384" s="59" t="n">
        <f aca="false">F384-H384</f>
        <v>962</v>
      </c>
      <c r="H384" s="59" t="n">
        <v>0</v>
      </c>
      <c r="K384" s="55"/>
      <c r="M384" s="0"/>
      <c r="V384" s="0"/>
    </row>
    <row r="385" customFormat="false" ht="19.85" hidden="false" customHeight="true" outlineLevel="0" collapsed="false">
      <c r="A385" s="0" t="n">
        <v>28</v>
      </c>
      <c r="B385" s="34" t="n">
        <v>43191</v>
      </c>
      <c r="C385" s="56" t="n">
        <v>497342.833333</v>
      </c>
      <c r="D385" s="29" t="s">
        <v>42</v>
      </c>
      <c r="E385" s="33" t="n">
        <f aca="false">IF(D385="totale",(C385/(A385*24))/F385,IF(D385="marché libre",(C385/(A385*24))/G385,"spécifier histo"))</f>
        <v>0.769327964639949</v>
      </c>
      <c r="F385" s="59" t="n">
        <v>962</v>
      </c>
      <c r="G385" s="59" t="n">
        <f aca="false">F385-H385</f>
        <v>962</v>
      </c>
      <c r="H385" s="59" t="n">
        <v>0</v>
      </c>
      <c r="K385" s="55"/>
      <c r="M385" s="0"/>
      <c r="V385" s="0"/>
    </row>
    <row r="386" customFormat="false" ht="19.85" hidden="false" customHeight="true" outlineLevel="0" collapsed="false">
      <c r="A386" s="0" t="n">
        <v>31</v>
      </c>
      <c r="B386" s="31" t="n">
        <v>43221</v>
      </c>
      <c r="C386" s="56" t="n">
        <v>227395</v>
      </c>
      <c r="D386" s="29" t="s">
        <v>42</v>
      </c>
      <c r="E386" s="33" t="n">
        <f aca="false">IF(D386="totale",(C386/(A386*24))/F386,IF(D386="marché libre",(C386/(A386*24))/G386,"spécifier histo"))</f>
        <v>0.31771147698567</v>
      </c>
      <c r="F386" s="59" t="n">
        <v>962</v>
      </c>
      <c r="G386" s="59" t="n">
        <f aca="false">F386-H386</f>
        <v>962</v>
      </c>
      <c r="H386" s="59" t="n">
        <v>0</v>
      </c>
      <c r="K386" s="55"/>
      <c r="M386" s="0"/>
      <c r="V386" s="0"/>
    </row>
    <row r="387" customFormat="false" ht="19.85" hidden="false" customHeight="true" outlineLevel="0" collapsed="false">
      <c r="A387" s="0" t="n">
        <v>30</v>
      </c>
      <c r="B387" s="34" t="n">
        <v>43252</v>
      </c>
      <c r="C387" s="56" t="n">
        <v>362793.666666667</v>
      </c>
      <c r="D387" s="29" t="s">
        <v>42</v>
      </c>
      <c r="E387" s="33" t="n">
        <f aca="false">IF(D387="totale",(C387/(A387*24))/F387,IF(D387="marché libre",(C387/(A387*24))/G387,"spécifier histo"))</f>
        <v>0.52378388003388</v>
      </c>
      <c r="F387" s="59" t="n">
        <v>962</v>
      </c>
      <c r="G387" s="59" t="n">
        <f aca="false">F387-H387</f>
        <v>962</v>
      </c>
      <c r="H387" s="59" t="n">
        <v>0</v>
      </c>
      <c r="K387" s="55"/>
      <c r="M387" s="0"/>
      <c r="V387" s="0"/>
    </row>
    <row r="388" customFormat="false" ht="19.85" hidden="false" customHeight="true" outlineLevel="0" collapsed="false">
      <c r="A388" s="0" t="n">
        <v>31</v>
      </c>
      <c r="B388" s="31" t="n">
        <v>43282</v>
      </c>
      <c r="C388" s="56" t="n">
        <v>7568</v>
      </c>
      <c r="D388" s="29" t="s">
        <v>42</v>
      </c>
      <c r="E388" s="33" t="n">
        <f aca="false">IF(D388="totale",(C388/(A388*24))/F388,IF(D388="marché libre",(C388/(A388*24))/G388,"spécifier histo"))</f>
        <v>0.0105738492835267</v>
      </c>
      <c r="F388" s="59" t="n">
        <v>962</v>
      </c>
      <c r="G388" s="59" t="n">
        <f aca="false">F388-H388</f>
        <v>962</v>
      </c>
      <c r="H388" s="59" t="n">
        <v>0</v>
      </c>
      <c r="K388" s="55"/>
      <c r="M388" s="0"/>
      <c r="V388" s="0"/>
    </row>
    <row r="389" customFormat="false" ht="19.85" hidden="false" customHeight="true" outlineLevel="0" collapsed="false">
      <c r="A389" s="0" t="n">
        <v>30</v>
      </c>
      <c r="B389" s="34" t="n">
        <v>43313</v>
      </c>
      <c r="C389" s="56" t="n">
        <v>0.67</v>
      </c>
      <c r="D389" s="29" t="s">
        <v>42</v>
      </c>
      <c r="E389" s="33" t="n">
        <f aca="false">IF(D389="totale",(C389/(A389*24))/F389,IF(D389="marché libre",(C389/(A389*24))/G389,"spécifier histo"))</f>
        <v>9.67313467313467E-007</v>
      </c>
      <c r="F389" s="59" t="n">
        <v>962</v>
      </c>
      <c r="G389" s="59" t="n">
        <f aca="false">F389-H389</f>
        <v>962</v>
      </c>
      <c r="H389" s="59" t="n">
        <v>0</v>
      </c>
      <c r="K389" s="55"/>
      <c r="M389" s="0"/>
      <c r="V389" s="0"/>
    </row>
    <row r="390" customFormat="false" ht="19.85" hidden="false" customHeight="true" outlineLevel="0" collapsed="false">
      <c r="C390" s="56"/>
      <c r="K390" s="55"/>
      <c r="M390" s="0"/>
      <c r="V390" s="0"/>
    </row>
    <row r="391" customFormat="false" ht="19.85" hidden="false" customHeight="true" outlineLevel="0" collapsed="false">
      <c r="C391" s="56"/>
      <c r="K391" s="55"/>
      <c r="M391" s="0"/>
      <c r="V391" s="0"/>
    </row>
    <row r="392" customFormat="false" ht="19.85" hidden="false" customHeight="true" outlineLevel="0" collapsed="false">
      <c r="C392" s="56"/>
      <c r="K392" s="55"/>
      <c r="V392" s="0"/>
    </row>
    <row r="393" customFormat="false" ht="19.85" hidden="false" customHeight="true" outlineLevel="0" collapsed="false">
      <c r="C393" s="56"/>
      <c r="K393" s="55"/>
      <c r="V393" s="0"/>
    </row>
    <row r="394" customFormat="false" ht="19.85" hidden="false" customHeight="true" outlineLevel="0" collapsed="false">
      <c r="C394" s="56"/>
      <c r="K394" s="55"/>
      <c r="V394" s="0"/>
    </row>
    <row r="395" customFormat="false" ht="19.85" hidden="false" customHeight="true" outlineLevel="0" collapsed="false">
      <c r="C395" s="56"/>
      <c r="K395" s="55"/>
      <c r="V395" s="0"/>
    </row>
    <row r="396" customFormat="false" ht="19.85" hidden="false" customHeight="true" outlineLevel="0" collapsed="false">
      <c r="C396" s="56"/>
      <c r="K396" s="55"/>
      <c r="V396" s="0"/>
    </row>
    <row r="397" customFormat="false" ht="19.85" hidden="false" customHeight="true" outlineLevel="0" collapsed="false">
      <c r="C397" s="56"/>
      <c r="K397" s="55"/>
      <c r="V397" s="0"/>
    </row>
    <row r="398" customFormat="false" ht="19.85" hidden="false" customHeight="true" outlineLevel="0" collapsed="false">
      <c r="K398" s="55"/>
      <c r="V398" s="0"/>
    </row>
    <row r="399" customFormat="false" ht="19.85" hidden="false" customHeight="true" outlineLevel="0" collapsed="false">
      <c r="K399" s="55"/>
      <c r="V399" s="0"/>
    </row>
    <row r="400" customFormat="false" ht="19.85" hidden="false" customHeight="true" outlineLevel="0" collapsed="false">
      <c r="K400" s="55"/>
      <c r="V400" s="0"/>
    </row>
    <row r="401" customFormat="false" ht="19.85" hidden="false" customHeight="true" outlineLevel="0" collapsed="false">
      <c r="K401" s="55"/>
      <c r="V401" s="0"/>
    </row>
    <row r="402" customFormat="false" ht="19.85" hidden="false" customHeight="true" outlineLevel="0" collapsed="false">
      <c r="K402" s="55"/>
      <c r="V402" s="0"/>
    </row>
    <row r="403" customFormat="false" ht="19.85" hidden="false" customHeight="true" outlineLevel="0" collapsed="false">
      <c r="K403" s="55"/>
      <c r="V403" s="0"/>
    </row>
    <row r="404" customFormat="false" ht="19.85" hidden="false" customHeight="true" outlineLevel="0" collapsed="false">
      <c r="K404" s="55"/>
      <c r="V404" s="0"/>
    </row>
    <row r="405" customFormat="false" ht="19.85" hidden="false" customHeight="true" outlineLevel="0" collapsed="false">
      <c r="K405" s="55"/>
      <c r="V405" s="0"/>
    </row>
    <row r="406" customFormat="false" ht="19.85" hidden="false" customHeight="true" outlineLevel="0" collapsed="false">
      <c r="K406" s="55"/>
      <c r="V406" s="0"/>
    </row>
    <row r="407" customFormat="false" ht="19.85" hidden="false" customHeight="true" outlineLevel="0" collapsed="false">
      <c r="K407" s="55"/>
      <c r="V407" s="0"/>
    </row>
    <row r="408" customFormat="false" ht="19.85" hidden="false" customHeight="true" outlineLevel="0" collapsed="false">
      <c r="K408" s="55"/>
    </row>
    <row r="409" customFormat="false" ht="19.85" hidden="false" customHeight="true" outlineLevel="0" collapsed="false">
      <c r="K409" s="55"/>
    </row>
    <row r="410" customFormat="false" ht="19.85" hidden="false" customHeight="true" outlineLevel="0" collapsed="false">
      <c r="K410" s="55"/>
    </row>
    <row r="411" customFormat="false" ht="19.85" hidden="false" customHeight="true" outlineLevel="0" collapsed="false">
      <c r="K411" s="55"/>
    </row>
    <row r="412" customFormat="false" ht="19.85" hidden="false" customHeight="true" outlineLevel="0" collapsed="false">
      <c r="K412" s="55"/>
    </row>
    <row r="413" customFormat="false" ht="19.85" hidden="false" customHeight="true" outlineLevel="0" collapsed="false">
      <c r="K413" s="55"/>
    </row>
    <row r="414" customFormat="false" ht="19.85" hidden="false" customHeight="true" outlineLevel="0" collapsed="false">
      <c r="K414" s="55"/>
    </row>
    <row r="415" customFormat="false" ht="19.85" hidden="false" customHeight="true" outlineLevel="0" collapsed="false">
      <c r="K415" s="55"/>
    </row>
    <row r="416" customFormat="false" ht="19.85" hidden="false" customHeight="true" outlineLevel="0" collapsed="false">
      <c r="K416" s="55"/>
    </row>
    <row r="417" customFormat="false" ht="19.85" hidden="false" customHeight="true" outlineLevel="0" collapsed="false">
      <c r="K417" s="55"/>
    </row>
    <row r="418" customFormat="false" ht="19.85" hidden="false" customHeight="true" outlineLevel="0" collapsed="false">
      <c r="K418" s="55"/>
    </row>
    <row r="419" customFormat="false" ht="19.85" hidden="false" customHeight="true" outlineLevel="0" collapsed="false">
      <c r="K419" s="55"/>
    </row>
    <row r="420" customFormat="false" ht="19.85" hidden="false" customHeight="true" outlineLevel="0" collapsed="false">
      <c r="K420" s="55"/>
    </row>
    <row r="421" customFormat="false" ht="19.85" hidden="false" customHeight="true" outlineLevel="0" collapsed="false">
      <c r="K421" s="55"/>
    </row>
    <row r="422" customFormat="false" ht="19.85" hidden="false" customHeight="true" outlineLevel="0" collapsed="false">
      <c r="K422" s="55"/>
    </row>
    <row r="423" customFormat="false" ht="19.85" hidden="false" customHeight="true" outlineLevel="0" collapsed="false">
      <c r="K423" s="55"/>
    </row>
    <row r="424" customFormat="false" ht="19.85" hidden="false" customHeight="true" outlineLevel="0" collapsed="false">
      <c r="K424" s="55"/>
    </row>
    <row r="425" customFormat="false" ht="19.85" hidden="false" customHeight="true" outlineLevel="0" collapsed="false">
      <c r="K425" s="55"/>
    </row>
    <row r="426" customFormat="false" ht="19.85" hidden="false" customHeight="true" outlineLevel="0" collapsed="false">
      <c r="K426" s="55"/>
    </row>
    <row r="427" customFormat="false" ht="19.85" hidden="false" customHeight="true" outlineLevel="0" collapsed="false">
      <c r="K427" s="55"/>
    </row>
    <row r="428" customFormat="false" ht="19.85" hidden="false" customHeight="true" outlineLevel="0" collapsed="false">
      <c r="K428" s="55"/>
    </row>
    <row r="429" customFormat="false" ht="19.85" hidden="false" customHeight="true" outlineLevel="0" collapsed="false">
      <c r="K429" s="55"/>
    </row>
    <row r="430" customFormat="false" ht="19.85" hidden="false" customHeight="true" outlineLevel="0" collapsed="false">
      <c r="K430" s="55"/>
    </row>
    <row r="431" customFormat="false" ht="19.85" hidden="false" customHeight="true" outlineLevel="0" collapsed="false">
      <c r="K431" s="55"/>
    </row>
    <row r="432" customFormat="false" ht="19.85" hidden="false" customHeight="true" outlineLevel="0" collapsed="false">
      <c r="K432" s="55"/>
    </row>
    <row r="433" customFormat="false" ht="19.85" hidden="false" customHeight="true" outlineLevel="0" collapsed="false">
      <c r="K433" s="55"/>
    </row>
    <row r="434" customFormat="false" ht="19.85" hidden="false" customHeight="true" outlineLevel="0" collapsed="false">
      <c r="K434" s="55"/>
    </row>
    <row r="435" customFormat="false" ht="19.85" hidden="false" customHeight="true" outlineLevel="0" collapsed="false">
      <c r="K435" s="55"/>
    </row>
    <row r="436" customFormat="false" ht="19.85" hidden="false" customHeight="true" outlineLevel="0" collapsed="false">
      <c r="K436" s="55"/>
    </row>
    <row r="437" customFormat="false" ht="19.85" hidden="false" customHeight="true" outlineLevel="0" collapsed="false">
      <c r="K437" s="55"/>
    </row>
    <row r="438" customFormat="false" ht="19.85" hidden="false" customHeight="true" outlineLevel="0" collapsed="false">
      <c r="K438" s="55"/>
    </row>
    <row r="439" customFormat="false" ht="19.85" hidden="false" customHeight="true" outlineLevel="0" collapsed="false">
      <c r="K439" s="55"/>
    </row>
    <row r="440" customFormat="false" ht="19.85" hidden="false" customHeight="true" outlineLevel="0" collapsed="false">
      <c r="K440" s="55"/>
    </row>
    <row r="441" customFormat="false" ht="19.85" hidden="false" customHeight="true" outlineLevel="0" collapsed="false">
      <c r="K441" s="55"/>
    </row>
    <row r="442" customFormat="false" ht="19.85" hidden="false" customHeight="true" outlineLevel="0" collapsed="false">
      <c r="K442" s="55"/>
      <c r="L442" s="63"/>
    </row>
    <row r="443" customFormat="false" ht="19.85" hidden="false" customHeight="true" outlineLevel="0" collapsed="false">
      <c r="K443" s="55"/>
      <c r="L443" s="63"/>
    </row>
    <row r="444" customFormat="false" ht="19.85" hidden="false" customHeight="true" outlineLevel="0" collapsed="false">
      <c r="K444" s="55"/>
      <c r="L444" s="63"/>
    </row>
    <row r="445" customFormat="false" ht="19.85" hidden="false" customHeight="true" outlineLevel="0" collapsed="false">
      <c r="K445" s="55"/>
    </row>
    <row r="446" customFormat="false" ht="19.85" hidden="false" customHeight="true" outlineLevel="0" collapsed="false">
      <c r="K446" s="55"/>
    </row>
    <row r="447" customFormat="false" ht="19.85" hidden="false" customHeight="true" outlineLevel="0" collapsed="false">
      <c r="K447" s="55"/>
    </row>
    <row r="448" customFormat="false" ht="19.85" hidden="false" customHeight="true" outlineLevel="0" collapsed="false">
      <c r="K448" s="55"/>
    </row>
    <row r="449" customFormat="false" ht="19.85" hidden="false" customHeight="true" outlineLevel="0" collapsed="false">
      <c r="K449" s="55"/>
    </row>
    <row r="450" customFormat="false" ht="19.85" hidden="false" customHeight="true" outlineLevel="0" collapsed="false">
      <c r="K450" s="55"/>
    </row>
    <row r="451" customFormat="false" ht="19.85" hidden="false" customHeight="true" outlineLevel="0" collapsed="false">
      <c r="K451" s="55"/>
    </row>
    <row r="452" customFormat="false" ht="19.85" hidden="false" customHeight="true" outlineLevel="0" collapsed="false">
      <c r="K452" s="55"/>
    </row>
    <row r="453" customFormat="false" ht="19.85" hidden="false" customHeight="true" outlineLevel="0" collapsed="false">
      <c r="K453" s="55"/>
    </row>
    <row r="454" customFormat="false" ht="19.85" hidden="false" customHeight="true" outlineLevel="0" collapsed="false">
      <c r="K454" s="55"/>
    </row>
    <row r="455" customFormat="false" ht="22.45" hidden="false" customHeight="true" outlineLevel="0" collapsed="false">
      <c r="K455" s="55"/>
    </row>
    <row r="456" customFormat="false" ht="21.65" hidden="false" customHeight="true" outlineLevel="0" collapsed="false">
      <c r="K456" s="55"/>
    </row>
    <row r="457" customFormat="false" ht="21.65" hidden="false" customHeight="true" outlineLevel="0" collapsed="false">
      <c r="K457" s="55"/>
    </row>
    <row r="458" customFormat="false" ht="21.65" hidden="false" customHeight="true" outlineLevel="0" collapsed="false">
      <c r="K458" s="55"/>
    </row>
    <row r="459" customFormat="false" ht="21.65" hidden="false" customHeight="true" outlineLevel="0" collapsed="false">
      <c r="K459" s="55"/>
    </row>
    <row r="460" customFormat="false" ht="21.65" hidden="false" customHeight="true" outlineLevel="0" collapsed="false">
      <c r="K460" s="55"/>
    </row>
    <row r="461" customFormat="false" ht="21.65" hidden="false" customHeight="true" outlineLevel="0" collapsed="false">
      <c r="K461" s="55"/>
    </row>
    <row r="462" customFormat="false" ht="28.35" hidden="false" customHeight="true" outlineLevel="0" collapsed="false">
      <c r="K462" s="30"/>
    </row>
    <row r="463" customFormat="false" ht="28.35" hidden="false" customHeight="true" outlineLevel="0" collapsed="false"/>
    <row r="464" customFormat="false" ht="28.35" hidden="false" customHeight="true" outlineLevel="0" collapsed="false"/>
    <row r="465" customFormat="false" ht="28.35" hidden="false" customHeight="true" outlineLevel="0" collapsed="false"/>
    <row r="466" customFormat="false" ht="28.35" hidden="false" customHeight="true" outlineLevel="0" collapsed="false"/>
    <row r="467" customFormat="false" ht="28.35" hidden="false" customHeight="true" outlineLevel="0" collapsed="false"/>
    <row r="468" customFormat="false" ht="28.35" hidden="false" customHeight="true" outlineLevel="0" collapsed="false"/>
    <row r="469" customFormat="false" ht="28.35" hidden="false" customHeight="true" outlineLevel="0" collapsed="false"/>
    <row r="470" customFormat="false" ht="28.35" hidden="false" customHeight="true" outlineLevel="0" collapsed="false"/>
    <row r="471" customFormat="false" ht="28.35" hidden="false" customHeight="true" outlineLevel="0" collapsed="false"/>
    <row r="472" customFormat="false" ht="28.35" hidden="false" customHeight="true" outlineLevel="0" collapsed="false"/>
    <row r="473" customFormat="false" ht="28.35" hidden="false" customHeight="true" outlineLevel="0" collapsed="false"/>
    <row r="474" customFormat="false" ht="28.35" hidden="false" customHeight="true" outlineLevel="0" collapsed="false"/>
    <row r="475" customFormat="false" ht="28.35" hidden="false" customHeight="true" outlineLevel="0" collapsed="false"/>
    <row r="476" customFormat="false" ht="28.35" hidden="false" customHeight="true" outlineLevel="0" collapsed="false"/>
    <row r="477" customFormat="false" ht="28.35" hidden="false" customHeight="true" outlineLevel="0" collapsed="false"/>
    <row r="478" customFormat="false" ht="28.35" hidden="false" customHeight="true" outlineLevel="0" collapsed="false"/>
    <row r="479" customFormat="false" ht="28.35" hidden="false" customHeight="true" outlineLevel="0" collapsed="false"/>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38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389">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tabColor rgb="FF168253"/>
    <pageSetUpPr fitToPage="false"/>
  </sheetPr>
  <dimension ref="A1:V11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G10" activeCellId="0" sqref="G1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339</v>
      </c>
      <c r="C4" s="16" t="n">
        <v>40817</v>
      </c>
      <c r="D4" s="5" t="s">
        <v>340</v>
      </c>
      <c r="E4" s="14" t="s">
        <v>341</v>
      </c>
      <c r="F4" s="15" t="n">
        <v>160</v>
      </c>
      <c r="G4" s="15" t="n">
        <v>160</v>
      </c>
      <c r="H4" s="15" t="n">
        <v>160</v>
      </c>
      <c r="I4" s="16"/>
      <c r="J4" s="15" t="n">
        <v>160</v>
      </c>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280" t="s">
        <v>342</v>
      </c>
      <c r="H6" s="280"/>
      <c r="I6" s="280"/>
      <c r="J6" s="280"/>
      <c r="K6" s="280"/>
      <c r="L6" s="280"/>
      <c r="M6" s="280"/>
      <c r="N6" s="280"/>
      <c r="P6" s="21" t="n">
        <v>41165</v>
      </c>
      <c r="Q6" s="19" t="s">
        <v>27</v>
      </c>
      <c r="R6" s="9"/>
      <c r="S6" s="22"/>
      <c r="T6" s="5" t="s">
        <v>28</v>
      </c>
    </row>
    <row r="7" customFormat="false" ht="41.65" hidden="false" customHeight="true" outlineLevel="0" collapsed="false">
      <c r="A7" s="0"/>
      <c r="B7" s="0"/>
      <c r="C7" s="126" t="s">
        <v>343</v>
      </c>
      <c r="D7" s="126"/>
      <c r="F7" s="20"/>
      <c r="G7" s="20"/>
      <c r="H7" s="280"/>
      <c r="I7" s="280"/>
      <c r="J7" s="280"/>
      <c r="K7" s="280"/>
      <c r="L7" s="280"/>
      <c r="M7" s="280"/>
      <c r="N7" s="28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205" t="s">
        <v>40</v>
      </c>
      <c r="K9" s="206"/>
    </row>
    <row r="10" customFormat="false" ht="21" hidden="false" customHeight="true" outlineLevel="0" collapsed="false">
      <c r="A10" s="281" t="n">
        <v>31</v>
      </c>
      <c r="B10" s="160" t="n">
        <v>41183</v>
      </c>
      <c r="C10" s="282" t="n">
        <v>111</v>
      </c>
      <c r="D10" s="283" t="s">
        <v>42</v>
      </c>
      <c r="E10" s="163" t="n">
        <f aca="false">IF(D10="totale",(C10/(A10*24))/F10,IF(D10="marché libre",(C10/(A10*24))/G10,"spécifier histo"))</f>
        <v>0.000932459677419355</v>
      </c>
      <c r="F10" s="284" t="n">
        <v>160</v>
      </c>
      <c r="G10" s="284" t="n">
        <f aca="false">F10-H10</f>
        <v>160</v>
      </c>
      <c r="H10" s="9" t="n">
        <f aca="false">0</f>
        <v>0</v>
      </c>
      <c r="I10" s="9"/>
      <c r="J10" s="205"/>
      <c r="K10" s="206"/>
    </row>
    <row r="11" customFormat="false" ht="21" hidden="false" customHeight="true" outlineLevel="0" collapsed="false">
      <c r="A11" s="0" t="n">
        <v>30</v>
      </c>
      <c r="B11" s="34" t="n">
        <v>41214</v>
      </c>
      <c r="C11" s="217" t="n">
        <v>21881</v>
      </c>
      <c r="D11" s="1" t="s">
        <v>42</v>
      </c>
      <c r="E11" s="33" t="n">
        <f aca="false">IF(D11="totale",(C11/(A11*24))/F11,IF(D11="marché libre",(C11/(A11*24))/G11,"spécifier histo"))</f>
        <v>0.189939236111111</v>
      </c>
      <c r="F11" s="59" t="n">
        <v>160</v>
      </c>
      <c r="G11" s="59" t="n">
        <f aca="false">F11-H11</f>
        <v>160</v>
      </c>
      <c r="H11" s="9" t="n">
        <f aca="false">0</f>
        <v>0</v>
      </c>
      <c r="I11" s="9"/>
      <c r="J11" s="205"/>
      <c r="K11" s="206"/>
    </row>
    <row r="12" customFormat="false" ht="21" hidden="false" customHeight="true" outlineLevel="0" collapsed="false">
      <c r="A12" s="0" t="n">
        <v>31</v>
      </c>
      <c r="B12" s="31" t="n">
        <v>41244</v>
      </c>
      <c r="C12" s="217" t="n">
        <v>0</v>
      </c>
      <c r="D12" s="1" t="s">
        <v>42</v>
      </c>
      <c r="E12" s="33" t="n">
        <f aca="false">IF(D12="totale",(C12/(A12*24))/F12,IF(D12="marché libre",(C12/(A12*24))/G12,"spécifier histo"))</f>
        <v>0</v>
      </c>
      <c r="F12" s="59" t="n">
        <v>160</v>
      </c>
      <c r="G12" s="59" t="n">
        <f aca="false">F12-H12</f>
        <v>160</v>
      </c>
      <c r="H12" s="9" t="n">
        <f aca="false">0</f>
        <v>0</v>
      </c>
      <c r="I12" s="9"/>
      <c r="J12" s="205"/>
      <c r="K12" s="206"/>
    </row>
    <row r="13" customFormat="false" ht="21" hidden="false" customHeight="true" outlineLevel="0" collapsed="false">
      <c r="A13" s="0" t="n">
        <v>31</v>
      </c>
      <c r="B13" s="31" t="n">
        <v>41275</v>
      </c>
      <c r="C13" s="217" t="n">
        <v>68119</v>
      </c>
      <c r="D13" s="1" t="s">
        <v>42</v>
      </c>
      <c r="E13" s="33" t="n">
        <f aca="false">IF(D13="totale",(C13/(A13*24))/F13,IF(D13="marché libre",(C13/(A13*24))/G13,"spécifier histo"))</f>
        <v>0.57223622311828</v>
      </c>
      <c r="F13" s="59" t="n">
        <v>160</v>
      </c>
      <c r="G13" s="59" t="n">
        <f aca="false">F13-H13</f>
        <v>160</v>
      </c>
      <c r="H13" s="9" t="n">
        <f aca="false">0</f>
        <v>0</v>
      </c>
      <c r="I13" s="9"/>
      <c r="J13" s="205"/>
      <c r="K13" s="206"/>
    </row>
    <row r="14" customFormat="false" ht="21" hidden="false" customHeight="true" outlineLevel="0" collapsed="false">
      <c r="A14" s="0" t="n">
        <v>28</v>
      </c>
      <c r="B14" s="34" t="n">
        <v>41306</v>
      </c>
      <c r="C14" s="217" t="n">
        <v>63978</v>
      </c>
      <c r="D14" s="1" t="s">
        <v>42</v>
      </c>
      <c r="E14" s="33" t="n">
        <f aca="false">IF(D14="totale",(C14/(A14*24))/F14,IF(D14="marché libre",(C14/(A14*24))/G14,"spécifier histo"))</f>
        <v>0.595033482142857</v>
      </c>
      <c r="F14" s="59" t="n">
        <v>160</v>
      </c>
      <c r="G14" s="59" t="n">
        <f aca="false">F14-H14</f>
        <v>160</v>
      </c>
      <c r="H14" s="9" t="n">
        <f aca="false">0</f>
        <v>0</v>
      </c>
      <c r="I14" s="9"/>
      <c r="J14" s="205"/>
      <c r="K14" s="206"/>
    </row>
    <row r="15" customFormat="false" ht="21" hidden="false" customHeight="true" outlineLevel="0" collapsed="false">
      <c r="A15" s="0" t="n">
        <v>31</v>
      </c>
      <c r="B15" s="31" t="n">
        <v>41334</v>
      </c>
      <c r="C15" s="217" t="n">
        <v>93115</v>
      </c>
      <c r="D15" s="1" t="s">
        <v>42</v>
      </c>
      <c r="E15" s="33" t="n">
        <f aca="false">IF(D15="totale",(C15/(A15*24))/F15,IF(D15="marché libre",(C15/(A15*24))/G15,"spécifier histo"))</f>
        <v>0.782216061827957</v>
      </c>
      <c r="F15" s="59" t="n">
        <v>160</v>
      </c>
      <c r="G15" s="59" t="n">
        <f aca="false">F15-H15</f>
        <v>160</v>
      </c>
      <c r="H15" s="9" t="n">
        <f aca="false">0</f>
        <v>0</v>
      </c>
      <c r="I15" s="9"/>
      <c r="J15" s="205"/>
      <c r="K15" s="206"/>
    </row>
    <row r="16" customFormat="false" ht="21" hidden="false" customHeight="true" outlineLevel="0" collapsed="false">
      <c r="A16" s="0" t="n">
        <v>30</v>
      </c>
      <c r="B16" s="31" t="n">
        <v>41365</v>
      </c>
      <c r="C16" s="217" t="n">
        <v>79340</v>
      </c>
      <c r="D16" s="1" t="s">
        <v>42</v>
      </c>
      <c r="E16" s="33" t="n">
        <f aca="false">IF(D16="totale",(C16/(A16*24))/F16,IF(D16="marché libre",(C16/(A16*24))/G16,"spécifier histo"))</f>
        <v>0.688715277777778</v>
      </c>
      <c r="F16" s="59" t="n">
        <v>160</v>
      </c>
      <c r="G16" s="59" t="n">
        <f aca="false">F16-H16</f>
        <v>160</v>
      </c>
      <c r="H16" s="9" t="n">
        <f aca="false">0</f>
        <v>0</v>
      </c>
      <c r="I16" s="9"/>
      <c r="J16" s="205"/>
      <c r="K16" s="206"/>
    </row>
    <row r="17" customFormat="false" ht="21" hidden="false" customHeight="true" outlineLevel="0" collapsed="false">
      <c r="A17" s="0" t="n">
        <v>31</v>
      </c>
      <c r="B17" s="34" t="n">
        <v>41395</v>
      </c>
      <c r="C17" s="217" t="n">
        <v>98769</v>
      </c>
      <c r="D17" s="1" t="s">
        <v>42</v>
      </c>
      <c r="E17" s="33" t="n">
        <f aca="false">IF(D17="totale",(C17/(A17*24))/F17,IF(D17="marché libre",(C17/(A17*24))/G17,"spécifier histo"))</f>
        <v>0.829712701612903</v>
      </c>
      <c r="F17" s="59" t="n">
        <v>160</v>
      </c>
      <c r="G17" s="59" t="n">
        <f aca="false">F17-H17</f>
        <v>160</v>
      </c>
      <c r="H17" s="9" t="n">
        <f aca="false">0</f>
        <v>0</v>
      </c>
      <c r="I17" s="9"/>
      <c r="J17" s="205"/>
      <c r="K17" s="206"/>
    </row>
    <row r="18" customFormat="false" ht="21" hidden="false" customHeight="true" outlineLevel="0" collapsed="false">
      <c r="A18" s="0" t="n">
        <v>30</v>
      </c>
      <c r="B18" s="31" t="n">
        <v>41426</v>
      </c>
      <c r="C18" s="217" t="n">
        <v>47261</v>
      </c>
      <c r="D18" s="1" t="s">
        <v>42</v>
      </c>
      <c r="E18" s="33" t="n">
        <f aca="false">IF(D18="totale",(C18/(A18*24))/F18,IF(D18="marché libre",(C18/(A18*24))/G18,"spécifier histo"))</f>
        <v>0.410251736111111</v>
      </c>
      <c r="F18" s="59" t="n">
        <v>160</v>
      </c>
      <c r="G18" s="59" t="n">
        <f aca="false">F18-H18</f>
        <v>160</v>
      </c>
      <c r="H18" s="9" t="n">
        <f aca="false">0</f>
        <v>0</v>
      </c>
      <c r="I18" s="9"/>
      <c r="J18" s="205"/>
      <c r="K18" s="206"/>
    </row>
    <row r="19" customFormat="false" ht="21" hidden="false" customHeight="true" outlineLevel="0" collapsed="false">
      <c r="A19" s="0" t="n">
        <v>31</v>
      </c>
      <c r="B19" s="31" t="n">
        <v>41456</v>
      </c>
      <c r="C19" s="217" t="n">
        <v>13651</v>
      </c>
      <c r="D19" s="1" t="s">
        <v>42</v>
      </c>
      <c r="E19" s="33" t="n">
        <f aca="false">IF(D19="totale",(C19/(A19*24))/F19,IF(D19="marché libre",(C19/(A19*24))/G19,"spécifier histo"))</f>
        <v>0.114675739247312</v>
      </c>
      <c r="F19" s="59" t="n">
        <v>160</v>
      </c>
      <c r="G19" s="59" t="n">
        <f aca="false">F19-H19</f>
        <v>160</v>
      </c>
      <c r="H19" s="9" t="n">
        <f aca="false">0</f>
        <v>0</v>
      </c>
      <c r="I19" s="9"/>
      <c r="J19" s="205"/>
      <c r="K19" s="206"/>
    </row>
    <row r="20" customFormat="false" ht="21" hidden="false" customHeight="true" outlineLevel="0" collapsed="false">
      <c r="A20" s="0" t="n">
        <v>31</v>
      </c>
      <c r="B20" s="34" t="n">
        <v>41487</v>
      </c>
      <c r="C20" s="217" t="n">
        <v>8503</v>
      </c>
      <c r="D20" s="1" t="s">
        <v>42</v>
      </c>
      <c r="E20" s="33" t="n">
        <f aca="false">IF(D20="totale",(C20/(A20*24))/F20,IF(D20="marché libre",(C20/(A20*24))/G20,"spécifier histo"))</f>
        <v>0.0714297715053764</v>
      </c>
      <c r="F20" s="59" t="n">
        <v>160</v>
      </c>
      <c r="G20" s="59" t="n">
        <f aca="false">F20-H20</f>
        <v>160</v>
      </c>
      <c r="H20" s="9" t="n">
        <f aca="false">0</f>
        <v>0</v>
      </c>
      <c r="I20" s="9"/>
      <c r="J20" s="205"/>
      <c r="K20" s="206"/>
    </row>
    <row r="21" customFormat="false" ht="21" hidden="false" customHeight="true" outlineLevel="0" collapsed="false">
      <c r="A21" s="0" t="n">
        <v>30</v>
      </c>
      <c r="B21" s="31" t="n">
        <v>41518</v>
      </c>
      <c r="C21" s="217" t="n">
        <v>0</v>
      </c>
      <c r="D21" s="1" t="s">
        <v>42</v>
      </c>
      <c r="E21" s="33" t="n">
        <f aca="false">IF(D21="totale",(C21/(A21*24))/F21,IF(D21="marché libre",(C21/(A21*24))/G21,"spécifier histo"))</f>
        <v>0</v>
      </c>
      <c r="F21" s="59" t="n">
        <v>160</v>
      </c>
      <c r="G21" s="59" t="n">
        <f aca="false">F21-H21</f>
        <v>160</v>
      </c>
      <c r="H21" s="9" t="n">
        <f aca="false">0</f>
        <v>0</v>
      </c>
      <c r="I21" s="9"/>
      <c r="J21" s="205"/>
      <c r="K21" s="206"/>
    </row>
    <row r="22" customFormat="false" ht="21" hidden="false" customHeight="true" outlineLevel="0" collapsed="false">
      <c r="A22" s="0" t="n">
        <v>31</v>
      </c>
      <c r="B22" s="31" t="n">
        <v>41548</v>
      </c>
      <c r="C22" s="217" t="n">
        <v>0</v>
      </c>
      <c r="D22" s="1" t="s">
        <v>42</v>
      </c>
      <c r="E22" s="33" t="n">
        <f aca="false">IF(D22="totale",(C22/(A22*24))/F22,IF(D22="marché libre",(C22/(A22*24))/G22,"spécifier histo"))</f>
        <v>0</v>
      </c>
      <c r="F22" s="59" t="n">
        <v>160</v>
      </c>
      <c r="G22" s="59" t="n">
        <f aca="false">F22-H22</f>
        <v>160</v>
      </c>
      <c r="H22" s="9" t="n">
        <f aca="false">0</f>
        <v>0</v>
      </c>
      <c r="I22" s="9"/>
      <c r="J22" s="205"/>
      <c r="K22" s="206"/>
    </row>
    <row r="23" customFormat="false" ht="21" hidden="false" customHeight="true" outlineLevel="0" collapsed="false">
      <c r="A23" s="0" t="n">
        <v>30</v>
      </c>
      <c r="B23" s="34" t="n">
        <v>41579</v>
      </c>
      <c r="C23" s="217" t="n">
        <v>31018</v>
      </c>
      <c r="D23" s="1" t="s">
        <v>42</v>
      </c>
      <c r="E23" s="33" t="n">
        <f aca="false">IF(D23="totale",(C23/(A23*24))/F23,IF(D23="marché libre",(C23/(A23*24))/G23,"spécifier histo"))</f>
        <v>0.269253472222222</v>
      </c>
      <c r="F23" s="59" t="n">
        <v>160</v>
      </c>
      <c r="G23" s="59" t="n">
        <f aca="false">F23-H23</f>
        <v>160</v>
      </c>
      <c r="H23" s="9" t="n">
        <f aca="false">0</f>
        <v>0</v>
      </c>
      <c r="I23" s="9"/>
      <c r="J23" s="205"/>
      <c r="K23" s="206"/>
    </row>
    <row r="24" customFormat="false" ht="21" hidden="false" customHeight="true" outlineLevel="0" collapsed="false">
      <c r="A24" s="0" t="n">
        <v>31</v>
      </c>
      <c r="B24" s="31" t="n">
        <v>41609</v>
      </c>
      <c r="C24" s="217" t="n">
        <v>29964</v>
      </c>
      <c r="D24" s="1" t="s">
        <v>42</v>
      </c>
      <c r="E24" s="33" t="n">
        <f aca="false">IF(D24="totale",(C24/(A24*24))/F24,IF(D24="marché libre",(C24/(A24*24))/G24,"spécifier histo"))</f>
        <v>0.251713709677419</v>
      </c>
      <c r="F24" s="59" t="n">
        <v>160</v>
      </c>
      <c r="G24" s="59" t="n">
        <f aca="false">F24-H24</f>
        <v>160</v>
      </c>
      <c r="H24" s="9" t="n">
        <f aca="false">0</f>
        <v>0</v>
      </c>
      <c r="I24" s="9"/>
      <c r="J24" s="205"/>
      <c r="K24" s="206"/>
    </row>
    <row r="25" customFormat="false" ht="21" hidden="false" customHeight="true" outlineLevel="0" collapsed="false">
      <c r="A25" s="0" t="n">
        <v>31</v>
      </c>
      <c r="B25" s="31" t="n">
        <v>41640</v>
      </c>
      <c r="C25" s="217" t="n">
        <v>99309</v>
      </c>
      <c r="D25" s="1" t="s">
        <v>42</v>
      </c>
      <c r="E25" s="33" t="n">
        <f aca="false">IF(D25="totale",(C25/(A25*24))/F25,IF(D25="marché libre",(C25/(A25*24))/G25,"spécifier histo"))</f>
        <v>0.834248991935484</v>
      </c>
      <c r="F25" s="59" t="n">
        <v>160</v>
      </c>
      <c r="G25" s="59" t="n">
        <f aca="false">F25-H25</f>
        <v>160</v>
      </c>
      <c r="H25" s="9" t="n">
        <f aca="false">0</f>
        <v>0</v>
      </c>
      <c r="I25" s="9"/>
      <c r="J25" s="205"/>
      <c r="K25" s="206"/>
    </row>
    <row r="26" customFormat="false" ht="21" hidden="false" customHeight="true" outlineLevel="0" collapsed="false">
      <c r="A26" s="0" t="n">
        <v>28</v>
      </c>
      <c r="B26" s="34" t="n">
        <v>41671</v>
      </c>
      <c r="C26" s="217" t="n">
        <v>89566</v>
      </c>
      <c r="D26" s="1" t="s">
        <v>42</v>
      </c>
      <c r="E26" s="33" t="n">
        <f aca="false">IF(D26="totale",(C26/(A26*24))/F26,IF(D26="marché libre",(C26/(A26*24))/G26,"spécifier histo"))</f>
        <v>0.833017113095238</v>
      </c>
      <c r="F26" s="59" t="n">
        <v>160</v>
      </c>
      <c r="G26" s="59" t="n">
        <f aca="false">F26-H26</f>
        <v>160</v>
      </c>
      <c r="H26" s="9" t="n">
        <f aca="false">0</f>
        <v>0</v>
      </c>
      <c r="I26" s="9"/>
      <c r="J26" s="205"/>
      <c r="K26" s="206"/>
    </row>
    <row r="27" customFormat="false" ht="21" hidden="false" customHeight="true" outlineLevel="0" collapsed="false">
      <c r="A27" s="0" t="n">
        <v>31</v>
      </c>
      <c r="B27" s="31" t="n">
        <v>41699</v>
      </c>
      <c r="C27" s="217" t="n">
        <v>94487</v>
      </c>
      <c r="D27" s="1" t="s">
        <v>42</v>
      </c>
      <c r="E27" s="33" t="n">
        <f aca="false">IF(D27="totale",(C27/(A27*24))/F27,IF(D27="marché libre",(C27/(A27*24))/G27,"spécifier histo"))</f>
        <v>0.793741599462366</v>
      </c>
      <c r="F27" s="59" t="n">
        <v>160</v>
      </c>
      <c r="G27" s="59" t="n">
        <f aca="false">F27-H27</f>
        <v>160</v>
      </c>
      <c r="H27" s="9" t="n">
        <f aca="false">0</f>
        <v>0</v>
      </c>
      <c r="I27" s="9"/>
      <c r="J27" s="205"/>
      <c r="K27" s="206"/>
    </row>
    <row r="28" customFormat="false" ht="21" hidden="false" customHeight="true" outlineLevel="0" collapsed="false">
      <c r="A28" s="0" t="n">
        <v>30</v>
      </c>
      <c r="B28" s="31" t="n">
        <v>41730</v>
      </c>
      <c r="C28" s="217" t="n">
        <v>41862</v>
      </c>
      <c r="D28" s="1" t="s">
        <v>42</v>
      </c>
      <c r="E28" s="33" t="n">
        <f aca="false">IF(D28="totale",(C28/(A28*24))/F28,IF(D28="marché libre",(C28/(A28*24))/G28,"spécifier histo"))</f>
        <v>0.363385416666667</v>
      </c>
      <c r="F28" s="59" t="n">
        <v>160</v>
      </c>
      <c r="G28" s="59" t="n">
        <f aca="false">F28-H28</f>
        <v>160</v>
      </c>
      <c r="H28" s="9" t="n">
        <f aca="false">0</f>
        <v>0</v>
      </c>
      <c r="I28" s="9"/>
      <c r="J28" s="205"/>
      <c r="K28" s="206"/>
    </row>
    <row r="29" customFormat="false" ht="21" hidden="false" customHeight="true" outlineLevel="0" collapsed="false">
      <c r="A29" s="0" t="n">
        <v>31</v>
      </c>
      <c r="B29" s="34" t="n">
        <v>41760</v>
      </c>
      <c r="C29" s="217" t="n">
        <v>16812</v>
      </c>
      <c r="D29" s="1" t="s">
        <v>42</v>
      </c>
      <c r="E29" s="33" t="n">
        <f aca="false">IF(D29="totale",(C29/(A29*24))/F29,IF(D29="marché libre",(C29/(A29*24))/G29,"spécifier histo"))</f>
        <v>0.141229838709677</v>
      </c>
      <c r="F29" s="59" t="n">
        <v>160</v>
      </c>
      <c r="G29" s="59" t="n">
        <f aca="false">F29-H29</f>
        <v>160</v>
      </c>
      <c r="H29" s="9" t="n">
        <f aca="false">0</f>
        <v>0</v>
      </c>
      <c r="I29" s="9"/>
      <c r="J29" s="205"/>
      <c r="K29" s="206"/>
    </row>
    <row r="30" customFormat="false" ht="21" hidden="false" customHeight="true" outlineLevel="0" collapsed="false">
      <c r="A30" s="0" t="n">
        <v>30</v>
      </c>
      <c r="B30" s="31" t="n">
        <v>41791</v>
      </c>
      <c r="C30" s="217" t="n">
        <v>4831</v>
      </c>
      <c r="D30" s="1" t="s">
        <v>42</v>
      </c>
      <c r="E30" s="33" t="n">
        <f aca="false">IF(D30="totale",(C30/(A30*24))/F30,IF(D30="marché libre",(C30/(A30*24))/G30,"spécifier histo"))</f>
        <v>0.0419357638888889</v>
      </c>
      <c r="F30" s="59" t="n">
        <v>160</v>
      </c>
      <c r="G30" s="59" t="n">
        <f aca="false">F30-H30</f>
        <v>160</v>
      </c>
      <c r="H30" s="9" t="n">
        <f aca="false">0</f>
        <v>0</v>
      </c>
      <c r="I30" s="9"/>
      <c r="J30" s="205"/>
      <c r="K30" s="206"/>
    </row>
    <row r="31" customFormat="false" ht="21" hidden="false" customHeight="true" outlineLevel="0" collapsed="false">
      <c r="A31" s="0" t="n">
        <v>31</v>
      </c>
      <c r="B31" s="31" t="n">
        <v>41821</v>
      </c>
      <c r="C31" s="217" t="n">
        <v>2077</v>
      </c>
      <c r="D31" s="1" t="s">
        <v>42</v>
      </c>
      <c r="E31" s="33" t="n">
        <f aca="false">IF(D31="totale",(C31/(A31*24))/F31,IF(D31="marché libre",(C31/(A31*24))/G31,"spécifier histo"))</f>
        <v>0.0174479166666667</v>
      </c>
      <c r="F31" s="59" t="n">
        <v>160</v>
      </c>
      <c r="G31" s="59" t="n">
        <f aca="false">F31-H31</f>
        <v>160</v>
      </c>
      <c r="H31" s="9" t="n">
        <f aca="false">0</f>
        <v>0</v>
      </c>
      <c r="I31" s="9"/>
      <c r="J31" s="205"/>
      <c r="K31" s="206"/>
    </row>
    <row r="32" customFormat="false" ht="21" hidden="false" customHeight="true" outlineLevel="0" collapsed="false">
      <c r="A32" s="0" t="n">
        <v>31</v>
      </c>
      <c r="B32" s="34" t="n">
        <v>41852</v>
      </c>
      <c r="C32" s="217" t="n">
        <v>0</v>
      </c>
      <c r="D32" s="1" t="s">
        <v>42</v>
      </c>
      <c r="E32" s="33" t="n">
        <f aca="false">IF(D32="totale",(C32/(A32*24))/F32,IF(D32="marché libre",(C32/(A32*24))/G32,"spécifier histo"))</f>
        <v>0</v>
      </c>
      <c r="F32" s="59" t="n">
        <v>160</v>
      </c>
      <c r="G32" s="59" t="n">
        <f aca="false">F32-H32</f>
        <v>160</v>
      </c>
      <c r="H32" s="9" t="n">
        <f aca="false">0</f>
        <v>0</v>
      </c>
      <c r="I32" s="9"/>
      <c r="J32" s="205"/>
      <c r="K32" s="206"/>
    </row>
    <row r="33" customFormat="false" ht="21" hidden="false" customHeight="true" outlineLevel="0" collapsed="false">
      <c r="A33" s="0" t="n">
        <v>30</v>
      </c>
      <c r="B33" s="31" t="n">
        <v>41883</v>
      </c>
      <c r="C33" s="217" t="n">
        <v>0</v>
      </c>
      <c r="D33" s="1" t="s">
        <v>42</v>
      </c>
      <c r="E33" s="33" t="n">
        <f aca="false">IF(D33="totale",(C33/(A33*24))/F33,IF(D33="marché libre",(C33/(A33*24))/G33,"spécifier histo"))</f>
        <v>0</v>
      </c>
      <c r="F33" s="59" t="n">
        <v>160</v>
      </c>
      <c r="G33" s="59" t="n">
        <f aca="false">F33-H33</f>
        <v>160</v>
      </c>
      <c r="H33" s="9" t="n">
        <f aca="false">0</f>
        <v>0</v>
      </c>
      <c r="I33" s="9"/>
      <c r="J33" s="205"/>
      <c r="K33" s="206"/>
    </row>
    <row r="34" customFormat="false" ht="21" hidden="false" customHeight="true" outlineLevel="0" collapsed="false">
      <c r="A34" s="0" t="n">
        <v>31</v>
      </c>
      <c r="B34" s="31" t="n">
        <v>41913</v>
      </c>
      <c r="C34" s="217" t="n">
        <v>0</v>
      </c>
      <c r="D34" s="1" t="s">
        <v>42</v>
      </c>
      <c r="E34" s="33" t="n">
        <f aca="false">IF(D34="totale",(C34/(A34*24))/F34,IF(D34="marché libre",(C34/(A34*24))/G34,"spécifier histo"))</f>
        <v>0</v>
      </c>
      <c r="F34" s="59" t="n">
        <v>160</v>
      </c>
      <c r="G34" s="59" t="n">
        <f aca="false">F34-H34</f>
        <v>160</v>
      </c>
      <c r="H34" s="9" t="n">
        <f aca="false">0</f>
        <v>0</v>
      </c>
      <c r="I34" s="9"/>
      <c r="J34" s="205"/>
      <c r="K34" s="206"/>
    </row>
    <row r="35" customFormat="false" ht="21" hidden="false" customHeight="true" outlineLevel="0" collapsed="false">
      <c r="A35" s="0" t="n">
        <v>30</v>
      </c>
      <c r="B35" s="34" t="n">
        <v>41944</v>
      </c>
      <c r="C35" s="217" t="n">
        <v>48447</v>
      </c>
      <c r="D35" s="1" t="s">
        <v>42</v>
      </c>
      <c r="E35" s="33" t="n">
        <f aca="false">IF(D35="totale",(C35/(A35*24))/F35,IF(D35="marché libre",(C35/(A35*24))/G35,"spécifier histo"))</f>
        <v>0.420546875</v>
      </c>
      <c r="F35" s="59" t="n">
        <v>160</v>
      </c>
      <c r="G35" s="59" t="n">
        <f aca="false">F35-H35</f>
        <v>160</v>
      </c>
      <c r="H35" s="9" t="n">
        <f aca="false">0</f>
        <v>0</v>
      </c>
      <c r="I35" s="9"/>
      <c r="J35" s="205"/>
      <c r="K35" s="206"/>
    </row>
    <row r="36" customFormat="false" ht="21" hidden="false" customHeight="true" outlineLevel="0" collapsed="false">
      <c r="A36" s="0" t="n">
        <v>31</v>
      </c>
      <c r="B36" s="31" t="n">
        <v>41974</v>
      </c>
      <c r="C36" s="217" t="n">
        <v>54700</v>
      </c>
      <c r="D36" s="1" t="s">
        <v>42</v>
      </c>
      <c r="E36" s="33" t="n">
        <f aca="false">IF(D36="totale",(C36/(A36*24))/F36,IF(D36="marché libre",(C36/(A36*24))/G36,"spécifier histo"))</f>
        <v>0.459509408602151</v>
      </c>
      <c r="F36" s="59" t="n">
        <v>160</v>
      </c>
      <c r="G36" s="59" t="n">
        <f aca="false">F36-H36</f>
        <v>160</v>
      </c>
      <c r="H36" s="9" t="n">
        <f aca="false">0</f>
        <v>0</v>
      </c>
      <c r="I36" s="9"/>
      <c r="J36" s="205"/>
      <c r="K36" s="206"/>
    </row>
    <row r="37" customFormat="false" ht="21" hidden="false" customHeight="true" outlineLevel="0" collapsed="false">
      <c r="A37" s="0" t="n">
        <v>31</v>
      </c>
      <c r="B37" s="31" t="n">
        <v>42005</v>
      </c>
      <c r="C37" s="217" t="n">
        <v>99309</v>
      </c>
      <c r="D37" s="1" t="s">
        <v>42</v>
      </c>
      <c r="E37" s="33" t="n">
        <f aca="false">IF(D37="totale",(C37/(A37*24))/F37,IF(D37="marché libre",(C37/(A37*24))/G37,"spécifier histo"))</f>
        <v>0.834248991935484</v>
      </c>
      <c r="F37" s="59" t="n">
        <v>160</v>
      </c>
      <c r="G37" s="59" t="n">
        <f aca="false">F37-H37</f>
        <v>160</v>
      </c>
      <c r="H37" s="9" t="n">
        <f aca="false">0</f>
        <v>0</v>
      </c>
      <c r="I37" s="9"/>
      <c r="J37" s="205"/>
      <c r="K37" s="206"/>
    </row>
    <row r="38" customFormat="false" ht="21" hidden="false" customHeight="true" outlineLevel="0" collapsed="false">
      <c r="A38" s="0" t="n">
        <v>28</v>
      </c>
      <c r="B38" s="34" t="n">
        <v>42036</v>
      </c>
      <c r="C38" s="217" t="n">
        <v>89566</v>
      </c>
      <c r="D38" s="1" t="s">
        <v>42</v>
      </c>
      <c r="E38" s="33" t="n">
        <f aca="false">IF(D38="totale",(C38/(A38*24))/F38,IF(D38="marché libre",(C38/(A38*24))/G38,"spécifier histo"))</f>
        <v>0.833017113095238</v>
      </c>
      <c r="F38" s="59" t="n">
        <v>160</v>
      </c>
      <c r="G38" s="59" t="n">
        <f aca="false">F38-H38</f>
        <v>160</v>
      </c>
      <c r="H38" s="9" t="n">
        <f aca="false">0</f>
        <v>0</v>
      </c>
      <c r="I38" s="9"/>
      <c r="J38" s="205"/>
      <c r="K38" s="206"/>
    </row>
    <row r="39" customFormat="false" ht="21" hidden="false" customHeight="true" outlineLevel="0" collapsed="false">
      <c r="A39" s="0" t="n">
        <v>31</v>
      </c>
      <c r="B39" s="31" t="n">
        <v>42064</v>
      </c>
      <c r="C39" s="217" t="n">
        <v>94487</v>
      </c>
      <c r="D39" s="1" t="s">
        <v>42</v>
      </c>
      <c r="E39" s="33" t="n">
        <f aca="false">IF(D39="totale",(C39/(A39*24))/F39,IF(D39="marché libre",(C39/(A39*24))/G39,"spécifier histo"))</f>
        <v>0.793741599462366</v>
      </c>
      <c r="F39" s="59" t="n">
        <v>160</v>
      </c>
      <c r="G39" s="59" t="n">
        <f aca="false">F39-H39</f>
        <v>160</v>
      </c>
      <c r="H39" s="9" t="n">
        <f aca="false">0</f>
        <v>0</v>
      </c>
      <c r="I39" s="9"/>
      <c r="J39" s="205"/>
      <c r="K39" s="206"/>
    </row>
    <row r="40" customFormat="false" ht="21" hidden="false" customHeight="true" outlineLevel="0" collapsed="false">
      <c r="A40" s="0" t="n">
        <v>30</v>
      </c>
      <c r="B40" s="31" t="n">
        <v>42095</v>
      </c>
      <c r="C40" s="217" t="n">
        <v>41862</v>
      </c>
      <c r="D40" s="1" t="s">
        <v>42</v>
      </c>
      <c r="E40" s="33" t="n">
        <f aca="false">IF(D40="totale",(C40/(A40*24))/F40,IF(D40="marché libre",(C40/(A40*24))/G40,"spécifier histo"))</f>
        <v>0.363385416666667</v>
      </c>
      <c r="F40" s="59" t="n">
        <v>160</v>
      </c>
      <c r="G40" s="59" t="n">
        <f aca="false">F40-H40</f>
        <v>160</v>
      </c>
      <c r="H40" s="9" t="n">
        <f aca="false">0</f>
        <v>0</v>
      </c>
      <c r="I40" s="9"/>
      <c r="J40" s="205"/>
      <c r="K40" s="206"/>
    </row>
    <row r="41" customFormat="false" ht="21" hidden="false" customHeight="true" outlineLevel="0" collapsed="false">
      <c r="A41" s="0" t="n">
        <v>31</v>
      </c>
      <c r="B41" s="34" t="n">
        <v>42125</v>
      </c>
      <c r="C41" s="217" t="n">
        <v>16812</v>
      </c>
      <c r="D41" s="1" t="s">
        <v>42</v>
      </c>
      <c r="E41" s="33" t="n">
        <f aca="false">IF(D41="totale",(C41/(A41*24))/F41,IF(D41="marché libre",(C41/(A41*24))/G41,"spécifier histo"))</f>
        <v>0.141229838709677</v>
      </c>
      <c r="F41" s="59" t="n">
        <v>160</v>
      </c>
      <c r="G41" s="59" t="n">
        <f aca="false">F41-H41</f>
        <v>160</v>
      </c>
      <c r="H41" s="9" t="n">
        <f aca="false">0</f>
        <v>0</v>
      </c>
      <c r="I41" s="9"/>
      <c r="J41" s="205"/>
      <c r="K41" s="206"/>
    </row>
    <row r="42" customFormat="false" ht="21" hidden="false" customHeight="true" outlineLevel="0" collapsed="false">
      <c r="A42" s="0" t="n">
        <v>30</v>
      </c>
      <c r="B42" s="31" t="n">
        <v>42156</v>
      </c>
      <c r="C42" s="217" t="n">
        <v>4831</v>
      </c>
      <c r="D42" s="1" t="s">
        <v>42</v>
      </c>
      <c r="E42" s="33" t="n">
        <f aca="false">IF(D42="totale",(C42/(A42*24))/F42,IF(D42="marché libre",(C42/(A42*24))/G42,"spécifier histo"))</f>
        <v>0.0419357638888889</v>
      </c>
      <c r="F42" s="59" t="n">
        <v>160</v>
      </c>
      <c r="G42" s="59" t="n">
        <f aca="false">F42-H42</f>
        <v>160</v>
      </c>
      <c r="H42" s="9" t="n">
        <f aca="false">0</f>
        <v>0</v>
      </c>
      <c r="I42" s="9"/>
      <c r="J42" s="205"/>
      <c r="K42" s="206"/>
    </row>
    <row r="43" customFormat="false" ht="21" hidden="false" customHeight="true" outlineLevel="0" collapsed="false">
      <c r="A43" s="0" t="n">
        <v>31</v>
      </c>
      <c r="B43" s="31" t="n">
        <v>42186</v>
      </c>
      <c r="C43" s="217" t="n">
        <v>2077</v>
      </c>
      <c r="D43" s="1" t="s">
        <v>42</v>
      </c>
      <c r="E43" s="33" t="n">
        <f aca="false">IF(D43="totale",(C43/(A43*24))/F43,IF(D43="marché libre",(C43/(A43*24))/G43,"spécifier histo"))</f>
        <v>0.0174479166666667</v>
      </c>
      <c r="F43" s="59" t="n">
        <v>160</v>
      </c>
      <c r="G43" s="59" t="n">
        <f aca="false">F43-H43</f>
        <v>160</v>
      </c>
      <c r="H43" s="9" t="n">
        <f aca="false">0</f>
        <v>0</v>
      </c>
      <c r="I43" s="9"/>
      <c r="J43" s="205"/>
      <c r="K43" s="206"/>
    </row>
    <row r="44" customFormat="false" ht="21" hidden="false" customHeight="true" outlineLevel="0" collapsed="false">
      <c r="A44" s="0" t="n">
        <v>31</v>
      </c>
      <c r="B44" s="34" t="n">
        <v>42217</v>
      </c>
      <c r="C44" s="217" t="n">
        <v>0</v>
      </c>
      <c r="D44" s="1" t="s">
        <v>42</v>
      </c>
      <c r="E44" s="33" t="n">
        <f aca="false">IF(D44="totale",(C44/(A44*24))/F44,IF(D44="marché libre",(C44/(A44*24))/G44,"spécifier histo"))</f>
        <v>0</v>
      </c>
      <c r="F44" s="59" t="n">
        <v>160</v>
      </c>
      <c r="G44" s="59" t="n">
        <f aca="false">F44-H44</f>
        <v>160</v>
      </c>
      <c r="H44" s="9" t="n">
        <f aca="false">0</f>
        <v>0</v>
      </c>
      <c r="I44" s="9"/>
      <c r="J44" s="205"/>
      <c r="K44" s="206"/>
    </row>
    <row r="45" customFormat="false" ht="21" hidden="false" customHeight="true" outlineLevel="0" collapsed="false">
      <c r="A45" s="0" t="n">
        <v>30</v>
      </c>
      <c r="B45" s="31" t="n">
        <v>42248</v>
      </c>
      <c r="C45" s="217" t="n">
        <v>0</v>
      </c>
      <c r="D45" s="1" t="s">
        <v>42</v>
      </c>
      <c r="E45" s="33" t="n">
        <f aca="false">IF(D45="totale",(C45/(A45*24))/F45,IF(D45="marché libre",(C45/(A45*24))/G45,"spécifier histo"))</f>
        <v>0</v>
      </c>
      <c r="F45" s="59" t="n">
        <v>160</v>
      </c>
      <c r="G45" s="59" t="n">
        <f aca="false">F45-H45</f>
        <v>160</v>
      </c>
      <c r="H45" s="9" t="n">
        <f aca="false">0</f>
        <v>0</v>
      </c>
      <c r="I45" s="9"/>
      <c r="J45" s="205"/>
      <c r="K45" s="206"/>
    </row>
    <row r="46" customFormat="false" ht="21" hidden="false" customHeight="true" outlineLevel="0" collapsed="false">
      <c r="A46" s="0" t="n">
        <v>31</v>
      </c>
      <c r="B46" s="31" t="n">
        <v>42278</v>
      </c>
      <c r="C46" s="217" t="n">
        <v>0</v>
      </c>
      <c r="D46" s="1" t="s">
        <v>42</v>
      </c>
      <c r="E46" s="33" t="n">
        <f aca="false">IF(D46="totale",(C46/(A46*24))/F46,IF(D46="marché libre",(C46/(A46*24))/G46,"spécifier histo"))</f>
        <v>0</v>
      </c>
      <c r="F46" s="59" t="n">
        <v>160</v>
      </c>
      <c r="G46" s="59" t="n">
        <f aca="false">F46-H46</f>
        <v>160</v>
      </c>
      <c r="H46" s="9" t="n">
        <f aca="false">0</f>
        <v>0</v>
      </c>
      <c r="I46" s="9"/>
      <c r="J46" s="205"/>
      <c r="K46" s="206"/>
    </row>
    <row r="47" customFormat="false" ht="21" hidden="false" customHeight="true" outlineLevel="0" collapsed="false">
      <c r="A47" s="0" t="n">
        <v>30</v>
      </c>
      <c r="B47" s="34" t="n">
        <v>42309</v>
      </c>
      <c r="C47" s="217" t="n">
        <v>48447</v>
      </c>
      <c r="D47" s="1" t="s">
        <v>42</v>
      </c>
      <c r="E47" s="33" t="n">
        <f aca="false">IF(D47="totale",(C47/(A47*24))/F47,IF(D47="marché libre",(C47/(A47*24))/G47,"spécifier histo"))</f>
        <v>0.420546875</v>
      </c>
      <c r="F47" s="59" t="n">
        <v>160</v>
      </c>
      <c r="G47" s="59" t="n">
        <f aca="false">F47-H47</f>
        <v>160</v>
      </c>
      <c r="H47" s="9" t="n">
        <f aca="false">0</f>
        <v>0</v>
      </c>
      <c r="I47" s="9"/>
      <c r="J47" s="205"/>
      <c r="K47" s="206"/>
    </row>
    <row r="48" customFormat="false" ht="21" hidden="false" customHeight="true" outlineLevel="0" collapsed="false">
      <c r="A48" s="0" t="n">
        <v>31</v>
      </c>
      <c r="B48" s="31" t="n">
        <v>42339</v>
      </c>
      <c r="C48" s="217" t="n">
        <v>54700</v>
      </c>
      <c r="D48" s="1" t="s">
        <v>42</v>
      </c>
      <c r="E48" s="33" t="n">
        <f aca="false">IF(D48="totale",(C48/(A48*24))/F48,IF(D48="marché libre",(C48/(A48*24))/G48,"spécifier histo"))</f>
        <v>0.459509408602151</v>
      </c>
      <c r="F48" s="59" t="n">
        <v>160</v>
      </c>
      <c r="G48" s="59" t="n">
        <f aca="false">F48-H48</f>
        <v>160</v>
      </c>
      <c r="H48" s="9" t="n">
        <f aca="false">0</f>
        <v>0</v>
      </c>
      <c r="I48" s="9"/>
      <c r="J48" s="205"/>
      <c r="K48" s="206"/>
    </row>
    <row r="49" customFormat="false" ht="21" hidden="false" customHeight="true" outlineLevel="0" collapsed="false">
      <c r="A49" s="0" t="n">
        <v>31</v>
      </c>
      <c r="B49" s="31" t="n">
        <v>42370</v>
      </c>
      <c r="C49" s="217" t="n">
        <v>53371</v>
      </c>
      <c r="D49" s="1" t="s">
        <v>42</v>
      </c>
      <c r="E49" s="33" t="n">
        <f aca="false">IF(D49="totale",(C49/(A49*24))/F49,IF(D49="marché libre",(C49/(A49*24))/G49,"spécifier histo"))</f>
        <v>0.448345094086022</v>
      </c>
      <c r="F49" s="59" t="n">
        <v>160</v>
      </c>
      <c r="G49" s="59" t="n">
        <f aca="false">F49-H49</f>
        <v>160</v>
      </c>
      <c r="H49" s="9" t="n">
        <f aca="false">0</f>
        <v>0</v>
      </c>
      <c r="I49" s="9"/>
      <c r="J49" s="205"/>
      <c r="K49" s="206"/>
    </row>
    <row r="50" customFormat="false" ht="21" hidden="false" customHeight="true" outlineLevel="0" collapsed="false">
      <c r="A50" s="0" t="n">
        <v>28</v>
      </c>
      <c r="B50" s="34" t="n">
        <v>42401</v>
      </c>
      <c r="C50" s="217" t="n">
        <v>88243</v>
      </c>
      <c r="D50" s="1" t="s">
        <v>42</v>
      </c>
      <c r="E50" s="33" t="n">
        <f aca="false">IF(D50="totale",(C50/(A50*24))/F50,IF(D50="marché libre",(C50/(A50*24))/G50,"spécifier histo"))</f>
        <v>0.820712425595238</v>
      </c>
      <c r="F50" s="59" t="n">
        <v>160</v>
      </c>
      <c r="G50" s="59" t="n">
        <f aca="false">F50-H50</f>
        <v>160</v>
      </c>
      <c r="H50" s="9" t="n">
        <f aca="false">0</f>
        <v>0</v>
      </c>
      <c r="I50" s="9"/>
      <c r="J50" s="205"/>
      <c r="K50" s="206"/>
    </row>
    <row r="51" customFormat="false" ht="21" hidden="false" customHeight="true" outlineLevel="0" collapsed="false">
      <c r="A51" s="0" t="n">
        <v>31</v>
      </c>
      <c r="B51" s="31" t="n">
        <v>42430</v>
      </c>
      <c r="C51" s="217" t="n">
        <v>88236</v>
      </c>
      <c r="D51" s="1" t="s">
        <v>42</v>
      </c>
      <c r="E51" s="33" t="n">
        <f aca="false">IF(D51="totale",(C51/(A51*24))/F51,IF(D51="marché libre",(C51/(A51*24))/G51,"spécifier histo"))</f>
        <v>0.741229838709677</v>
      </c>
      <c r="F51" s="59" t="n">
        <v>160</v>
      </c>
      <c r="G51" s="59" t="n">
        <f aca="false">F51-H51</f>
        <v>160</v>
      </c>
      <c r="H51" s="9" t="n">
        <f aca="false">0</f>
        <v>0</v>
      </c>
      <c r="I51" s="9"/>
      <c r="J51" s="205"/>
      <c r="K51" s="206"/>
    </row>
    <row r="52" customFormat="false" ht="21" hidden="false" customHeight="true" outlineLevel="0" collapsed="false">
      <c r="A52" s="0" t="n">
        <v>30</v>
      </c>
      <c r="B52" s="31" t="n">
        <v>42461</v>
      </c>
      <c r="C52" s="217" t="n">
        <v>34589</v>
      </c>
      <c r="D52" s="1" t="s">
        <v>42</v>
      </c>
      <c r="E52" s="33" t="n">
        <f aca="false">IF(D52="totale",(C52/(A52*24))/F52,IF(D52="marché libre",(C52/(A52*24))/G52,"spécifier histo"))</f>
        <v>0.300251736111111</v>
      </c>
      <c r="F52" s="59" t="n">
        <v>160</v>
      </c>
      <c r="G52" s="59" t="n">
        <f aca="false">F52-H52</f>
        <v>160</v>
      </c>
      <c r="H52" s="9" t="n">
        <f aca="false">0</f>
        <v>0</v>
      </c>
      <c r="I52" s="9"/>
      <c r="J52" s="205"/>
      <c r="K52" s="206"/>
    </row>
    <row r="53" customFormat="false" ht="21" hidden="false" customHeight="true" outlineLevel="0" collapsed="false">
      <c r="A53" s="0" t="n">
        <v>31</v>
      </c>
      <c r="B53" s="34" t="n">
        <v>42491</v>
      </c>
      <c r="C53" s="217" t="n">
        <v>17992</v>
      </c>
      <c r="D53" s="1" t="s">
        <v>42</v>
      </c>
      <c r="E53" s="33" t="n">
        <f aca="false">IF(D53="totale",(C53/(A53*24))/F53,IF(D53="marché libre",(C53/(A53*24))/G53,"spécifier histo"))</f>
        <v>0.15114247311828</v>
      </c>
      <c r="F53" s="59" t="n">
        <v>160</v>
      </c>
      <c r="G53" s="59" t="n">
        <f aca="false">F53-H53</f>
        <v>160</v>
      </c>
      <c r="H53" s="9" t="n">
        <f aca="false">0</f>
        <v>0</v>
      </c>
      <c r="I53" s="9"/>
      <c r="J53" s="205"/>
      <c r="K53" s="206"/>
    </row>
    <row r="54" customFormat="false" ht="21" hidden="false" customHeight="true" outlineLevel="0" collapsed="false">
      <c r="A54" s="0" t="n">
        <v>30</v>
      </c>
      <c r="B54" s="31" t="n">
        <v>42522</v>
      </c>
      <c r="C54" s="217" t="n">
        <v>24252</v>
      </c>
      <c r="D54" s="1" t="s">
        <v>42</v>
      </c>
      <c r="E54" s="33" t="n">
        <f aca="false">IF(D54="totale",(C54/(A54*24))/F54,IF(D54="marché libre",(C54/(A54*24))/G54,"spécifier histo"))</f>
        <v>0.210520833333333</v>
      </c>
      <c r="F54" s="59" t="n">
        <v>160</v>
      </c>
      <c r="G54" s="59" t="n">
        <f aca="false">F54-H54</f>
        <v>160</v>
      </c>
      <c r="H54" s="9" t="n">
        <f aca="false">0</f>
        <v>0</v>
      </c>
      <c r="I54" s="9"/>
      <c r="J54" s="205"/>
      <c r="K54" s="206"/>
    </row>
    <row r="55" customFormat="false" ht="21" hidden="false" customHeight="true" outlineLevel="0" collapsed="false">
      <c r="A55" s="0" t="n">
        <v>31</v>
      </c>
      <c r="B55" s="31" t="n">
        <v>42552</v>
      </c>
      <c r="C55" s="217" t="n">
        <v>0</v>
      </c>
      <c r="D55" s="1" t="s">
        <v>42</v>
      </c>
      <c r="E55" s="33" t="n">
        <f aca="false">IF(D55="totale",(C55/(A55*24))/F55,IF(D55="marché libre",(C55/(A55*24))/G55,"spécifier histo"))</f>
        <v>0</v>
      </c>
      <c r="F55" s="59" t="n">
        <v>160</v>
      </c>
      <c r="G55" s="59" t="n">
        <f aca="false">F55-H55</f>
        <v>160</v>
      </c>
      <c r="H55" s="9" t="n">
        <f aca="false">0</f>
        <v>0</v>
      </c>
      <c r="I55" s="9"/>
      <c r="J55" s="205"/>
      <c r="K55" s="206"/>
    </row>
    <row r="56" customFormat="false" ht="21" hidden="false" customHeight="true" outlineLevel="0" collapsed="false">
      <c r="A56" s="0" t="n">
        <v>31</v>
      </c>
      <c r="B56" s="34" t="n">
        <v>42583</v>
      </c>
      <c r="C56" s="217" t="n">
        <v>0</v>
      </c>
      <c r="D56" s="1" t="s">
        <v>42</v>
      </c>
      <c r="E56" s="33" t="n">
        <f aca="false">IF(D56="totale",(C56/(A56*24))/F56,IF(D56="marché libre",(C56/(A56*24))/G56,"spécifier histo"))</f>
        <v>0</v>
      </c>
      <c r="F56" s="59" t="n">
        <v>160</v>
      </c>
      <c r="G56" s="59" t="n">
        <f aca="false">F56-H56</f>
        <v>160</v>
      </c>
      <c r="H56" s="9" t="n">
        <f aca="false">0</f>
        <v>0</v>
      </c>
      <c r="I56" s="9"/>
      <c r="J56" s="205"/>
      <c r="K56" s="206"/>
    </row>
    <row r="57" customFormat="false" ht="21" hidden="false" customHeight="true" outlineLevel="0" collapsed="false">
      <c r="A57" s="0" t="n">
        <v>30</v>
      </c>
      <c r="B57" s="31" t="n">
        <v>42614</v>
      </c>
      <c r="C57" s="217" t="n">
        <v>0</v>
      </c>
      <c r="D57" s="1" t="s">
        <v>42</v>
      </c>
      <c r="E57" s="33" t="n">
        <f aca="false">IF(D57="totale",(C57/(A57*24))/F57,IF(D57="marché libre",(C57/(A57*24))/G57,"spécifier histo"))</f>
        <v>0</v>
      </c>
      <c r="F57" s="59" t="n">
        <v>160</v>
      </c>
      <c r="G57" s="59" t="n">
        <f aca="false">F57-H57</f>
        <v>160</v>
      </c>
      <c r="H57" s="9" t="n">
        <f aca="false">0</f>
        <v>0</v>
      </c>
      <c r="I57" s="9"/>
      <c r="J57" s="205"/>
      <c r="K57" s="206"/>
    </row>
    <row r="58" customFormat="false" ht="21" hidden="false" customHeight="true" outlineLevel="0" collapsed="false">
      <c r="A58" s="0" t="n">
        <v>31</v>
      </c>
      <c r="B58" s="31" t="n">
        <v>42644</v>
      </c>
      <c r="C58" s="217" t="n">
        <v>28992</v>
      </c>
      <c r="D58" s="1" t="s">
        <v>42</v>
      </c>
      <c r="E58" s="33" t="n">
        <f aca="false">IF(D58="totale",(C58/(A58*24))/F58,IF(D58="marché libre",(C58/(A58*24))/G58,"spécifier histo"))</f>
        <v>0.243548387096774</v>
      </c>
      <c r="F58" s="59" t="n">
        <v>160</v>
      </c>
      <c r="G58" s="59" t="n">
        <f aca="false">F58-H58</f>
        <v>160</v>
      </c>
      <c r="H58" s="9" t="n">
        <f aca="false">0</f>
        <v>0</v>
      </c>
      <c r="I58" s="205"/>
      <c r="J58" s="206"/>
      <c r="K58" s="205"/>
      <c r="L58" s="206"/>
      <c r="M58" s="205"/>
      <c r="N58" s="206"/>
    </row>
    <row r="59" customFormat="false" ht="21" hidden="false" customHeight="true" outlineLevel="0" collapsed="false">
      <c r="A59" s="0" t="n">
        <v>30</v>
      </c>
      <c r="B59" s="34" t="n">
        <v>42675</v>
      </c>
      <c r="C59" s="217" t="n">
        <v>29246</v>
      </c>
      <c r="D59" s="1" t="s">
        <v>42</v>
      </c>
      <c r="E59" s="33" t="n">
        <f aca="false">IF(D59="totale",(C59/(A59*24))/F59,IF(D59="marché libre",(C59/(A59*24))/G59,"spécifier histo"))</f>
        <v>0.253871527777778</v>
      </c>
      <c r="F59" s="59" t="n">
        <v>160</v>
      </c>
      <c r="G59" s="59" t="n">
        <f aca="false">F59-H59</f>
        <v>160</v>
      </c>
      <c r="H59" s="9" t="n">
        <f aca="false">0</f>
        <v>0</v>
      </c>
      <c r="I59" s="205"/>
      <c r="J59" s="206"/>
      <c r="K59" s="205"/>
      <c r="L59" s="206"/>
      <c r="M59" s="205"/>
      <c r="N59" s="206"/>
    </row>
    <row r="60" customFormat="false" ht="21" hidden="false" customHeight="true" outlineLevel="0" collapsed="false">
      <c r="A60" s="0" t="n">
        <v>31</v>
      </c>
      <c r="B60" s="31" t="n">
        <v>42705</v>
      </c>
      <c r="C60" s="217" t="n">
        <v>8624</v>
      </c>
      <c r="D60" s="1" t="s">
        <v>42</v>
      </c>
      <c r="E60" s="33" t="n">
        <f aca="false">IF(D60="totale",(C60/(A60*24))/F60,IF(D60="marché libre",(C60/(A60*24))/G60,"spécifier histo"))</f>
        <v>0.0724462365591398</v>
      </c>
      <c r="F60" s="59" t="n">
        <v>160</v>
      </c>
      <c r="G60" s="59" t="n">
        <f aca="false">F60-H60</f>
        <v>160</v>
      </c>
      <c r="H60" s="9" t="n">
        <f aca="false">0</f>
        <v>0</v>
      </c>
      <c r="I60" s="205"/>
      <c r="J60" s="206"/>
      <c r="K60" s="205"/>
      <c r="L60" s="206"/>
      <c r="M60" s="205"/>
      <c r="N60" s="206"/>
    </row>
    <row r="61" customFormat="false" ht="19.85" hidden="false" customHeight="true" outlineLevel="0" collapsed="false">
      <c r="A61" s="0" t="n">
        <v>31</v>
      </c>
      <c r="B61" s="31" t="n">
        <v>42736</v>
      </c>
      <c r="C61" s="217" t="n">
        <v>20997</v>
      </c>
      <c r="D61" s="1" t="s">
        <v>42</v>
      </c>
      <c r="E61" s="33" t="n">
        <f aca="false">IF(D61="totale",(C61/(A61*24))/F61,IF(D61="marché libre",(C61/(A61*24))/G61,"spécifier histo"))</f>
        <v>0.176386088709677</v>
      </c>
      <c r="F61" s="59" t="n">
        <v>160</v>
      </c>
      <c r="G61" s="59" t="n">
        <f aca="false">F61-H61</f>
        <v>160</v>
      </c>
      <c r="H61" s="9" t="n">
        <f aca="false">0</f>
        <v>0</v>
      </c>
      <c r="I61" s="205"/>
      <c r="J61" s="206"/>
      <c r="K61" s="205"/>
      <c r="L61" s="206"/>
      <c r="M61" s="205"/>
      <c r="N61" s="206"/>
    </row>
    <row r="62" customFormat="false" ht="19.85" hidden="false" customHeight="true" outlineLevel="0" collapsed="false">
      <c r="A62" s="0" t="n">
        <v>28</v>
      </c>
      <c r="B62" s="34" t="n">
        <v>42767</v>
      </c>
      <c r="C62" s="217" t="n">
        <v>48928</v>
      </c>
      <c r="D62" s="1" t="s">
        <v>42</v>
      </c>
      <c r="E62" s="33" t="n">
        <f aca="false">IF(D62="totale",(C62/(A62*24))/F62,IF(D62="marché libre",(C62/(A62*24))/G62,"spécifier histo"))</f>
        <v>0.455059523809524</v>
      </c>
      <c r="F62" s="59" t="n">
        <v>160</v>
      </c>
      <c r="G62" s="59" t="n">
        <f aca="false">F62-H62</f>
        <v>160</v>
      </c>
      <c r="H62" s="9" t="n">
        <f aca="false">0</f>
        <v>0</v>
      </c>
      <c r="I62" s="205"/>
      <c r="J62" s="206"/>
      <c r="K62" s="205"/>
      <c r="L62" s="206"/>
      <c r="M62" s="205"/>
      <c r="N62" s="206"/>
    </row>
    <row r="63" customFormat="false" ht="19.85" hidden="false" customHeight="true" outlineLevel="0" collapsed="false">
      <c r="A63" s="0" t="n">
        <v>31</v>
      </c>
      <c r="B63" s="31" t="n">
        <v>42795</v>
      </c>
      <c r="C63" s="217" t="n">
        <v>58281</v>
      </c>
      <c r="D63" s="1" t="s">
        <v>42</v>
      </c>
      <c r="E63" s="33" t="n">
        <f aca="false">IF(D63="totale",(C63/(A63*24))/F63,IF(D63="marché libre",(C63/(A63*24))/G63,"spécifier histo"))</f>
        <v>0.489591733870968</v>
      </c>
      <c r="F63" s="59" t="n">
        <v>160</v>
      </c>
      <c r="G63" s="59" t="n">
        <f aca="false">F63-H63</f>
        <v>160</v>
      </c>
      <c r="H63" s="9" t="n">
        <f aca="false">0</f>
        <v>0</v>
      </c>
      <c r="J63" s="208"/>
      <c r="K63" s="206"/>
    </row>
    <row r="64" customFormat="false" ht="19.85" hidden="false" customHeight="true" outlineLevel="0" collapsed="false">
      <c r="A64" s="0" t="n">
        <v>30</v>
      </c>
      <c r="B64" s="34" t="n">
        <v>42826</v>
      </c>
      <c r="C64" s="217" t="n">
        <v>46695</v>
      </c>
      <c r="D64" s="1" t="s">
        <v>42</v>
      </c>
      <c r="E64" s="33" t="n">
        <f aca="false">IF(D64="totale",(C64/(A64*24))/F64,IF(D64="marché libre",(C64/(A64*24))/G64,"spécifier histo"))</f>
        <v>0.405338541666667</v>
      </c>
      <c r="F64" s="59" t="n">
        <v>160</v>
      </c>
      <c r="G64" s="59" t="n">
        <f aca="false">F64-H64</f>
        <v>160</v>
      </c>
      <c r="H64" s="9" t="n">
        <f aca="false">0</f>
        <v>0</v>
      </c>
      <c r="J64" s="208"/>
      <c r="K64" s="206"/>
    </row>
    <row r="65" customFormat="false" ht="19.85" hidden="false" customHeight="true" outlineLevel="0" collapsed="false">
      <c r="A65" s="0" t="n">
        <v>31</v>
      </c>
      <c r="B65" s="31" t="n">
        <v>42856</v>
      </c>
      <c r="C65" s="217" t="n">
        <v>35774</v>
      </c>
      <c r="D65" s="1" t="s">
        <v>42</v>
      </c>
      <c r="E65" s="33" t="n">
        <f aca="false">IF(D65="totale",(C65/(A65*24))/F65,IF(D65="marché libre",(C65/(A65*24))/G65,"spécifier histo"))</f>
        <v>0.300520833333333</v>
      </c>
      <c r="F65" s="59" t="n">
        <v>160</v>
      </c>
      <c r="G65" s="59" t="n">
        <f aca="false">F65-H65</f>
        <v>160</v>
      </c>
      <c r="H65" s="9" t="n">
        <f aca="false">0</f>
        <v>0</v>
      </c>
      <c r="J65" s="208"/>
      <c r="K65" s="206"/>
    </row>
    <row r="66" customFormat="false" ht="22.45" hidden="false" customHeight="true" outlineLevel="0" collapsed="false">
      <c r="A66" s="0" t="n">
        <v>30</v>
      </c>
      <c r="B66" s="34" t="n">
        <v>42887</v>
      </c>
      <c r="C66" s="217" t="n">
        <v>2234</v>
      </c>
      <c r="D66" s="1" t="s">
        <v>42</v>
      </c>
      <c r="E66" s="33" t="n">
        <f aca="false">IF(D66="totale",(C66/(A66*24))/F66,IF(D66="marché libre",(C66/(A66*24))/G66,"spécifier histo"))</f>
        <v>0.0193923611111111</v>
      </c>
      <c r="F66" s="59" t="n">
        <v>160</v>
      </c>
      <c r="G66" s="59" t="n">
        <f aca="false">F66-H66</f>
        <v>160</v>
      </c>
      <c r="H66" s="9" t="n">
        <f aca="false">0</f>
        <v>0</v>
      </c>
      <c r="J66" s="208"/>
      <c r="K66" s="206"/>
    </row>
    <row r="67" customFormat="false" ht="21.65" hidden="false" customHeight="true" outlineLevel="0" collapsed="false">
      <c r="A67" s="0" t="n">
        <v>31</v>
      </c>
      <c r="B67" s="31" t="n">
        <v>42917</v>
      </c>
      <c r="C67" s="217" t="n">
        <v>1.5</v>
      </c>
      <c r="D67" s="1" t="s">
        <v>42</v>
      </c>
      <c r="E67" s="33" t="n">
        <f aca="false">IF(D67="totale",(C67/(A67*24))/F67,IF(D67="marché libre",(C67/(A67*24))/G67,"spécifier histo"))</f>
        <v>1.26008064516129E-005</v>
      </c>
      <c r="F67" s="59" t="n">
        <v>160</v>
      </c>
      <c r="G67" s="59" t="n">
        <f aca="false">F67-H67</f>
        <v>160</v>
      </c>
      <c r="H67" s="9" t="n">
        <f aca="false">0</f>
        <v>0</v>
      </c>
      <c r="J67" s="208"/>
      <c r="K67" s="206"/>
    </row>
    <row r="68" customFormat="false" ht="21.65" hidden="false" customHeight="true" outlineLevel="0" collapsed="false">
      <c r="A68" s="0" t="n">
        <v>31</v>
      </c>
      <c r="B68" s="34" t="n">
        <v>42948</v>
      </c>
      <c r="C68" s="217" t="n">
        <v>1.3</v>
      </c>
      <c r="D68" s="1" t="s">
        <v>42</v>
      </c>
      <c r="E68" s="33" t="n">
        <f aca="false">IF(D68="totale",(C68/(A68*24))/F68,IF(D68="marché libre",(C68/(A68*24))/G68,"spécifier histo"))</f>
        <v>1.09206989247312E-005</v>
      </c>
      <c r="F68" s="59" t="n">
        <v>160</v>
      </c>
      <c r="G68" s="59" t="n">
        <f aca="false">F68-H68</f>
        <v>160</v>
      </c>
      <c r="H68" s="9" t="n">
        <f aca="false">0</f>
        <v>0</v>
      </c>
      <c r="J68" s="208"/>
      <c r="K68" s="206"/>
    </row>
    <row r="69" customFormat="false" ht="21.65" hidden="false" customHeight="true" outlineLevel="0" collapsed="false">
      <c r="A69" s="0" t="n">
        <v>30</v>
      </c>
      <c r="B69" s="31" t="n">
        <v>42979</v>
      </c>
      <c r="C69" s="217" t="n">
        <v>4.8</v>
      </c>
      <c r="D69" s="1" t="s">
        <v>42</v>
      </c>
      <c r="E69" s="33" t="n">
        <f aca="false">IF(D69="totale",(C69/(A69*24))/F69,IF(D69="marché libre",(C69/(A69*24))/G69,"spécifier histo"))</f>
        <v>4.16666666666667E-005</v>
      </c>
      <c r="F69" s="59" t="n">
        <v>160</v>
      </c>
      <c r="G69" s="59" t="n">
        <f aca="false">F69-H69</f>
        <v>160</v>
      </c>
      <c r="H69" s="9" t="n">
        <f aca="false">0</f>
        <v>0</v>
      </c>
      <c r="J69" s="208"/>
      <c r="K69" s="206"/>
    </row>
    <row r="70" customFormat="false" ht="21.65" hidden="false" customHeight="true" outlineLevel="0" collapsed="false">
      <c r="A70" s="0" t="n">
        <v>31</v>
      </c>
      <c r="B70" s="34" t="n">
        <v>43009</v>
      </c>
      <c r="C70" s="217" t="n">
        <v>1.3</v>
      </c>
      <c r="D70" s="1" t="s">
        <v>42</v>
      </c>
      <c r="E70" s="33" t="n">
        <f aca="false">IF(D70="totale",(C70/(A70*24))/F70,IF(D70="marché libre",(C70/(A70*24))/G70,"spécifier histo"))</f>
        <v>1.09206989247312E-005</v>
      </c>
      <c r="F70" s="59" t="n">
        <v>160</v>
      </c>
      <c r="G70" s="59" t="n">
        <f aca="false">F70-H70</f>
        <v>160</v>
      </c>
      <c r="H70" s="9" t="n">
        <f aca="false">0</f>
        <v>0</v>
      </c>
      <c r="J70" s="208"/>
      <c r="K70" s="206"/>
    </row>
    <row r="71" customFormat="false" ht="21.65" hidden="false" customHeight="true" outlineLevel="0" collapsed="false">
      <c r="A71" s="0" t="n">
        <v>30</v>
      </c>
      <c r="B71" s="31" t="n">
        <v>43040</v>
      </c>
      <c r="C71" s="217" t="n">
        <v>7</v>
      </c>
      <c r="D71" s="1" t="s">
        <v>42</v>
      </c>
      <c r="E71" s="33" t="n">
        <f aca="false">IF(D71="totale",(C71/(A71*24))/F71,IF(D71="marché libre",(C71/(A71*24))/G71,"spécifier histo"))</f>
        <v>6.07638888888889E-005</v>
      </c>
      <c r="F71" s="59" t="n">
        <v>160</v>
      </c>
      <c r="G71" s="59" t="n">
        <f aca="false">F71-H71</f>
        <v>160</v>
      </c>
      <c r="H71" s="9" t="n">
        <f aca="false">0</f>
        <v>0</v>
      </c>
      <c r="J71" s="208"/>
      <c r="K71" s="206"/>
    </row>
    <row r="72" customFormat="false" ht="21.65" hidden="false" customHeight="true" outlineLevel="0" collapsed="false">
      <c r="A72" s="0" t="n">
        <v>31</v>
      </c>
      <c r="B72" s="34" t="n">
        <v>43070</v>
      </c>
      <c r="C72" s="217" t="n">
        <v>22127</v>
      </c>
      <c r="D72" s="1" t="s">
        <v>42</v>
      </c>
      <c r="E72" s="33" t="n">
        <f aca="false">IF(D72="totale",(C72/(A72*24))/F72,IF(D72="marché libre",(C72/(A72*24))/G72,"spécifier histo"))</f>
        <v>0.185878696236559</v>
      </c>
      <c r="F72" s="59" t="n">
        <v>160</v>
      </c>
      <c r="G72" s="59" t="n">
        <f aca="false">F72-H72</f>
        <v>160</v>
      </c>
      <c r="H72" s="9" t="n">
        <f aca="false">0</f>
        <v>0</v>
      </c>
      <c r="J72" s="208"/>
      <c r="K72" s="206"/>
    </row>
    <row r="73" customFormat="false" ht="28.35" hidden="false" customHeight="true" outlineLevel="0" collapsed="false">
      <c r="A73" s="0" t="n">
        <v>31</v>
      </c>
      <c r="B73" s="31" t="n">
        <v>43101</v>
      </c>
      <c r="C73" s="1" t="n">
        <v>94903</v>
      </c>
      <c r="D73" s="1" t="s">
        <v>42</v>
      </c>
      <c r="E73" s="33" t="n">
        <f aca="false">IF(D73="totale",(C73/(A73*24))/F73,IF(D73="marché libre",(C73/(A73*24))/G73,"spécifier histo"))</f>
        <v>0.79723622311828</v>
      </c>
      <c r="F73" s="59" t="n">
        <v>160</v>
      </c>
      <c r="G73" s="59" t="n">
        <f aca="false">F73-H73</f>
        <v>160</v>
      </c>
      <c r="H73" s="9" t="n">
        <f aca="false">0</f>
        <v>0</v>
      </c>
      <c r="J73" s="216"/>
      <c r="K73" s="206"/>
    </row>
    <row r="74" customFormat="false" ht="28.35" hidden="false" customHeight="true" outlineLevel="0" collapsed="false">
      <c r="A74" s="0" t="n">
        <v>28</v>
      </c>
      <c r="B74" s="34" t="n">
        <v>43132</v>
      </c>
      <c r="C74" s="1" t="n">
        <v>55238</v>
      </c>
      <c r="D74" s="1" t="s">
        <v>42</v>
      </c>
      <c r="E74" s="33" t="n">
        <f aca="false">IF(D74="totale",(C74/(A74*24))/F74,IF(D74="marché libre",(C74/(A74*24))/G74,"spécifier histo"))</f>
        <v>0.513746279761905</v>
      </c>
      <c r="F74" s="59" t="n">
        <v>160</v>
      </c>
      <c r="G74" s="59" t="n">
        <f aca="false">F74-H74</f>
        <v>160</v>
      </c>
      <c r="H74" s="9" t="n">
        <f aca="false">0</f>
        <v>0</v>
      </c>
      <c r="J74" s="180"/>
      <c r="K74" s="206"/>
    </row>
    <row r="75" customFormat="false" ht="28.35" hidden="false" customHeight="true" outlineLevel="0" collapsed="false">
      <c r="A75" s="0" t="n">
        <v>31</v>
      </c>
      <c r="B75" s="31" t="n">
        <v>43160</v>
      </c>
      <c r="C75" s="1" t="n">
        <v>102745</v>
      </c>
      <c r="D75" s="1" t="s">
        <v>42</v>
      </c>
      <c r="E75" s="33" t="n">
        <f aca="false">IF(D75="totale",(C75/(A75*24))/F75,IF(D75="marché libre",(C75/(A75*24))/G75,"spécifier histo"))</f>
        <v>0.863113239247312</v>
      </c>
      <c r="F75" s="59" t="n">
        <v>160</v>
      </c>
      <c r="G75" s="59" t="n">
        <f aca="false">F75-H75</f>
        <v>160</v>
      </c>
      <c r="H75" s="9" t="n">
        <f aca="false">0</f>
        <v>0</v>
      </c>
      <c r="J75" s="180"/>
      <c r="K75" s="206"/>
    </row>
    <row r="76" customFormat="false" ht="28.35" hidden="false" customHeight="true" outlineLevel="0" collapsed="false">
      <c r="A76" s="0" t="n">
        <v>30</v>
      </c>
      <c r="B76" s="34" t="n">
        <v>43191</v>
      </c>
      <c r="C76" s="1" t="n">
        <v>93030</v>
      </c>
      <c r="D76" s="1" t="s">
        <v>42</v>
      </c>
      <c r="E76" s="33" t="n">
        <f aca="false">IF(D76="totale",(C76/(A76*24))/F76,IF(D76="marché libre",(C76/(A76*24))/G76,"spécifier histo"))</f>
        <v>0.807552083333333</v>
      </c>
      <c r="F76" s="59" t="n">
        <v>160</v>
      </c>
      <c r="G76" s="59" t="n">
        <f aca="false">F76-H76</f>
        <v>160</v>
      </c>
      <c r="H76" s="9" t="n">
        <f aca="false">0</f>
        <v>0</v>
      </c>
      <c r="J76" s="180"/>
      <c r="K76" s="206"/>
    </row>
    <row r="77" customFormat="false" ht="28.35" hidden="false" customHeight="true" outlineLevel="0" collapsed="false">
      <c r="A77" s="0" t="n">
        <v>31</v>
      </c>
      <c r="B77" s="31" t="n">
        <v>43221</v>
      </c>
      <c r="C77" s="1" t="n">
        <v>87519</v>
      </c>
      <c r="D77" s="1" t="s">
        <v>42</v>
      </c>
      <c r="E77" s="33" t="n">
        <f aca="false">IF(D77="totale",(C77/(A77*24))/F77,IF(D77="marché libre",(C77/(A77*24))/G77,"spécifier histo"))</f>
        <v>0.735206653225806</v>
      </c>
      <c r="F77" s="59" t="n">
        <v>160</v>
      </c>
      <c r="G77" s="59" t="n">
        <f aca="false">F77-H77</f>
        <v>160</v>
      </c>
      <c r="H77" s="9" t="n">
        <f aca="false">0</f>
        <v>0</v>
      </c>
      <c r="J77" s="180"/>
      <c r="K77" s="206"/>
    </row>
    <row r="78" customFormat="false" ht="28.35" hidden="false" customHeight="true" outlineLevel="0" collapsed="false">
      <c r="A78" s="0" t="n">
        <v>30</v>
      </c>
      <c r="B78" s="34" t="n">
        <v>43252</v>
      </c>
      <c r="C78" s="1" t="n">
        <v>69459</v>
      </c>
      <c r="D78" s="1" t="s">
        <v>42</v>
      </c>
      <c r="E78" s="33" t="n">
        <f aca="false">IF(D78="totale",(C78/(A78*24))/F78,IF(D78="marché libre",(C78/(A78*24))/G78,"spécifier histo"))</f>
        <v>0.602942708333333</v>
      </c>
      <c r="F78" s="59" t="n">
        <v>160</v>
      </c>
      <c r="G78" s="59" t="n">
        <f aca="false">F78-H78</f>
        <v>160</v>
      </c>
      <c r="H78" s="9" t="n">
        <f aca="false">0</f>
        <v>0</v>
      </c>
      <c r="J78" s="180"/>
    </row>
    <row r="79" customFormat="false" ht="28.35" hidden="false" customHeight="true" outlineLevel="0" collapsed="false">
      <c r="A79" s="0"/>
      <c r="J79" s="180"/>
    </row>
    <row r="80" customFormat="false" ht="28.35" hidden="false" customHeight="true" outlineLevel="0" collapsed="false">
      <c r="A80" s="0"/>
      <c r="J80" s="180"/>
    </row>
    <row r="81" customFormat="false" ht="28.35" hidden="false" customHeight="true" outlineLevel="0" collapsed="false">
      <c r="A81" s="0"/>
      <c r="J81" s="180"/>
    </row>
    <row r="82" customFormat="false" ht="28.35" hidden="false" customHeight="true" outlineLevel="0" collapsed="false">
      <c r="A82" s="0"/>
      <c r="J82" s="180"/>
    </row>
    <row r="83" customFormat="false" ht="28.35" hidden="false" customHeight="true" outlineLevel="0" collapsed="false">
      <c r="A83" s="0"/>
      <c r="J83" s="180"/>
    </row>
    <row r="84" customFormat="false" ht="28.35" hidden="false" customHeight="true" outlineLevel="0" collapsed="false">
      <c r="A84" s="0"/>
      <c r="J84" s="180"/>
    </row>
    <row r="85" customFormat="false" ht="12.8" hidden="false" customHeight="false" outlineLevel="0" collapsed="false">
      <c r="A85" s="0"/>
      <c r="J85" s="180"/>
    </row>
    <row r="86" customFormat="false" ht="12.8" hidden="false" customHeight="false" outlineLevel="0" collapsed="false">
      <c r="A86" s="0"/>
      <c r="J86" s="180"/>
    </row>
    <row r="87" customFormat="false" ht="12.8" hidden="false" customHeight="false" outlineLevel="0" collapsed="false">
      <c r="A87" s="0"/>
      <c r="J87" s="180"/>
    </row>
    <row r="88" customFormat="false" ht="12.8" hidden="false" customHeight="false" outlineLevel="0" collapsed="false">
      <c r="A88" s="0"/>
      <c r="J88" s="180"/>
    </row>
    <row r="89" customFormat="false" ht="12.8" hidden="false" customHeight="false" outlineLevel="0" collapsed="false">
      <c r="A89" s="0"/>
      <c r="J89" s="180"/>
    </row>
    <row r="90" customFormat="false" ht="12.8" hidden="false" customHeight="false" outlineLevel="0" collapsed="false">
      <c r="A90" s="0"/>
      <c r="J90" s="180"/>
    </row>
    <row r="91" customFormat="false" ht="12.8" hidden="false" customHeight="false" outlineLevel="0" collapsed="false">
      <c r="A91" s="0"/>
      <c r="J91" s="180"/>
    </row>
    <row r="92" customFormat="false" ht="12.8" hidden="false" customHeight="false" outlineLevel="0" collapsed="false">
      <c r="A92" s="0"/>
      <c r="J92" s="180"/>
    </row>
    <row r="93" customFormat="false" ht="12.8" hidden="false" customHeight="false" outlineLevel="0" collapsed="false">
      <c r="A93" s="0"/>
      <c r="J93" s="180"/>
    </row>
    <row r="94" customFormat="false" ht="12.8" hidden="false" customHeight="false" outlineLevel="0" collapsed="false">
      <c r="A94" s="0"/>
      <c r="J94" s="180"/>
    </row>
    <row r="95" customFormat="false" ht="12.8" hidden="false" customHeight="false" outlineLevel="0" collapsed="false">
      <c r="A95" s="0"/>
      <c r="J95" s="180"/>
    </row>
    <row r="96" customFormat="false" ht="12.8" hidden="false" customHeight="false" outlineLevel="0" collapsed="false">
      <c r="A96" s="0"/>
      <c r="J96" s="180"/>
    </row>
    <row r="97" customFormat="false" ht="12.8" hidden="false" customHeight="false" outlineLevel="0" collapsed="false">
      <c r="A97" s="0"/>
    </row>
    <row r="98" customFormat="false" ht="12.8" hidden="false" customHeight="false" outlineLevel="0" collapsed="false">
      <c r="A98" s="0"/>
    </row>
    <row r="99" customFormat="false" ht="12.8" hidden="false" customHeight="false" outlineLevel="0" collapsed="false">
      <c r="A99" s="0"/>
    </row>
    <row r="100" customFormat="false" ht="12.8" hidden="false" customHeight="false" outlineLevel="0" collapsed="false">
      <c r="A100" s="0"/>
    </row>
    <row r="101" customFormat="false" ht="12.8" hidden="false" customHeight="false" outlineLevel="0" collapsed="false">
      <c r="A101" s="0"/>
    </row>
    <row r="102" customFormat="false" ht="12.8" hidden="false" customHeight="false" outlineLevel="0" collapsed="false">
      <c r="A102" s="0"/>
    </row>
    <row r="103" customFormat="false" ht="12.8" hidden="false" customHeight="false" outlineLevel="0" collapsed="false">
      <c r="A103" s="0"/>
    </row>
    <row r="104" customFormat="false" ht="12.8" hidden="false" customHeight="false" outlineLevel="0" collapsed="false">
      <c r="A104" s="0"/>
    </row>
    <row r="105" customFormat="false" ht="12.8" hidden="false" customHeight="false" outlineLevel="0" collapsed="false">
      <c r="A105" s="0"/>
    </row>
    <row r="106" customFormat="false" ht="12.8" hidden="false" customHeight="false" outlineLevel="0" collapsed="false">
      <c r="A106" s="0"/>
    </row>
    <row r="107" customFormat="false" ht="12.8" hidden="false" customHeight="false" outlineLevel="0" collapsed="false">
      <c r="A107" s="0"/>
    </row>
    <row r="108" customFormat="false" ht="12.8" hidden="false" customHeight="false" outlineLevel="0" collapsed="false">
      <c r="A108" s="0"/>
    </row>
    <row r="109" customFormat="false" ht="12.8" hidden="false" customHeight="false" outlineLevel="0" collapsed="false">
      <c r="A109" s="0"/>
    </row>
    <row r="110" customFormat="false" ht="12.8" hidden="false" customHeight="false" outlineLevel="0" collapsed="false">
      <c r="A110" s="0"/>
    </row>
    <row r="111" customFormat="false" ht="12.8" hidden="false" customHeight="false" outlineLevel="0" collapsed="false">
      <c r="A111" s="0"/>
    </row>
    <row r="112" customFormat="false" ht="12.8" hidden="false" customHeight="false" outlineLevel="0" collapsed="false">
      <c r="A112"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7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G6" r:id="rId1" display="Données demandées d’avant 2012 - ph.guyot@adest.fr"/>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tabColor rgb="FF168253"/>
    <pageSetUpPr fitToPage="false"/>
  </sheetPr>
  <dimension ref="A1:V244"/>
  <sheetViews>
    <sheetView showFormulas="false" showGridLines="true" showRowColHeaders="true" showZeros="true" rightToLeft="false" tabSelected="true" showOutlineSymbols="true" defaultGridColor="true" view="normal" topLeftCell="A1" colorId="64" zoomScale="90" zoomScaleNormal="90" zoomScalePageLayoutView="100" workbookViewId="0">
      <pane xSplit="1" ySplit="9" topLeftCell="B193" activePane="bottomRight" state="frozen"/>
      <selection pane="topLeft" activeCell="A1" activeCellId="0" sqref="A1"/>
      <selection pane="topRight" activeCell="B1" activeCellId="0" sqref="B1"/>
      <selection pane="bottomLeft" activeCell="A193" activeCellId="0" sqref="A193"/>
      <selection pane="bottomRight" activeCell="H207" activeCellId="0" sqref="H207"/>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344</v>
      </c>
      <c r="C4" s="16" t="n">
        <v>40818</v>
      </c>
      <c r="D4" s="5" t="s">
        <v>345</v>
      </c>
      <c r="E4" s="14" t="s">
        <v>346</v>
      </c>
      <c r="F4" s="15" t="n">
        <f aca="false">37*2</f>
        <v>74</v>
      </c>
      <c r="G4" s="15" t="n">
        <v>72</v>
      </c>
      <c r="H4" s="15" t="n">
        <v>60</v>
      </c>
      <c r="I4" s="16"/>
      <c r="J4" s="15"/>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c r="H6" s="19"/>
      <c r="I6" s="19"/>
      <c r="J6" s="19"/>
      <c r="K6" s="19"/>
      <c r="L6" s="19"/>
      <c r="M6" s="19"/>
      <c r="N6" s="19"/>
      <c r="P6" s="21" t="n">
        <v>41730</v>
      </c>
      <c r="Q6" s="19" t="s">
        <v>27</v>
      </c>
      <c r="R6" s="9"/>
      <c r="S6" s="22"/>
      <c r="T6" s="5" t="s">
        <v>28</v>
      </c>
    </row>
    <row r="7" customFormat="false" ht="41.65" hidden="false" customHeight="true" outlineLevel="0" collapsed="false">
      <c r="A7" s="0"/>
      <c r="B7" s="0"/>
      <c r="C7" s="126" t="s">
        <v>347</v>
      </c>
      <c r="D7" s="126"/>
      <c r="F7" s="20"/>
      <c r="G7" s="20"/>
      <c r="H7" s="19"/>
      <c r="I7" s="19"/>
      <c r="J7" s="19"/>
      <c r="K7" s="19"/>
      <c r="L7" s="19"/>
      <c r="M7" s="19"/>
      <c r="N7" s="19"/>
      <c r="P7" s="24"/>
      <c r="Q7" s="5" t="s">
        <v>29</v>
      </c>
      <c r="R7" s="9"/>
      <c r="S7" s="25"/>
      <c r="T7" s="5" t="s">
        <v>30</v>
      </c>
    </row>
    <row r="8" customFormat="false" ht="42.45" hidden="false" customHeight="true" outlineLevel="0" collapsed="false">
      <c r="A8" s="26" t="n">
        <f aca="false">_xlfn.SHEET()</f>
        <v>23</v>
      </c>
      <c r="F8" s="9"/>
      <c r="G8" s="9"/>
      <c r="H8" s="9"/>
      <c r="J8" s="9"/>
      <c r="R8" s="9"/>
      <c r="S8" s="27"/>
      <c r="T8" s="16" t="s">
        <v>31</v>
      </c>
    </row>
    <row r="9" customFormat="false" ht="36.65" hidden="false" customHeight="true" outlineLevel="0" collapsed="false">
      <c r="A9" s="26" t="n">
        <f aca="false">_xlfn.SHEETS()</f>
        <v>79</v>
      </c>
      <c r="B9" s="9" t="s">
        <v>32</v>
      </c>
      <c r="C9" s="28" t="s">
        <v>33</v>
      </c>
      <c r="E9" s="1" t="s">
        <v>35</v>
      </c>
      <c r="F9" s="9" t="s">
        <v>36</v>
      </c>
      <c r="G9" s="9" t="s">
        <v>37</v>
      </c>
      <c r="H9" s="9" t="s">
        <v>38</v>
      </c>
      <c r="I9" s="9" t="s">
        <v>39</v>
      </c>
      <c r="J9" s="205" t="s">
        <v>40</v>
      </c>
      <c r="K9" s="206"/>
    </row>
    <row r="10" customFormat="false" ht="23" hidden="false" customHeight="true" outlineLevel="0" collapsed="false">
      <c r="A10" s="0" t="n">
        <v>31</v>
      </c>
      <c r="B10" s="31" t="n">
        <v>37257</v>
      </c>
      <c r="C10" s="1" t="n">
        <v>0</v>
      </c>
      <c r="D10" s="1" t="s">
        <v>42</v>
      </c>
      <c r="E10" s="33" t="n">
        <f aca="false">IF(D10="totale",(C10/(A10*24))/F10,IF(D10="marché libre",(C10/(A10*24))/G10,"spécifier histo"))</f>
        <v>0</v>
      </c>
      <c r="F10" s="59" t="n">
        <v>72</v>
      </c>
      <c r="G10" s="59" t="n">
        <f aca="false">F10-H10</f>
        <v>72</v>
      </c>
      <c r="H10" s="59" t="n">
        <v>0</v>
      </c>
      <c r="I10" s="9"/>
      <c r="J10" s="205"/>
      <c r="K10" s="206"/>
      <c r="L10" s="0"/>
      <c r="N10" s="0"/>
      <c r="P10" s="0"/>
      <c r="R10" s="0"/>
      <c r="T10" s="0"/>
      <c r="V10" s="0"/>
    </row>
    <row r="11" customFormat="false" ht="23" hidden="false" customHeight="true" outlineLevel="0" collapsed="false">
      <c r="A11" s="0" t="n">
        <v>30</v>
      </c>
      <c r="B11" s="34" t="n">
        <v>37288</v>
      </c>
      <c r="C11" s="1" t="n">
        <v>34852</v>
      </c>
      <c r="D11" s="1" t="s">
        <v>42</v>
      </c>
      <c r="E11" s="33" t="n">
        <f aca="false">IF(D11="totale",(C11/(A11*24))/F11,IF(D11="marché libre",(C11/(A11*24))/G11,"spécifier histo"))</f>
        <v>0.672299382716049</v>
      </c>
      <c r="F11" s="59" t="n">
        <v>72</v>
      </c>
      <c r="G11" s="59" t="n">
        <f aca="false">F11-H11</f>
        <v>72</v>
      </c>
      <c r="H11" s="59" t="n">
        <v>0</v>
      </c>
      <c r="I11" s="9"/>
      <c r="J11" s="205"/>
      <c r="K11" s="206"/>
      <c r="L11" s="0"/>
      <c r="N11" s="0"/>
      <c r="P11" s="0"/>
      <c r="R11" s="0"/>
      <c r="T11" s="0"/>
      <c r="V11" s="0"/>
    </row>
    <row r="12" customFormat="false" ht="23" hidden="false" customHeight="true" outlineLevel="0" collapsed="false">
      <c r="A12" s="0" t="n">
        <v>31</v>
      </c>
      <c r="B12" s="31" t="n">
        <v>37316</v>
      </c>
      <c r="C12" s="1" t="n">
        <v>33228</v>
      </c>
      <c r="D12" s="1" t="s">
        <v>42</v>
      </c>
      <c r="E12" s="33" t="n">
        <f aca="false">IF(D12="totale",(C12/(A12*24))/F12,IF(D12="marché libre",(C12/(A12*24))/G12,"spécifier histo"))</f>
        <v>0.620295698924731</v>
      </c>
      <c r="F12" s="59" t="n">
        <v>72</v>
      </c>
      <c r="G12" s="59" t="n">
        <f aca="false">F12-H12</f>
        <v>72</v>
      </c>
      <c r="H12" s="59" t="n">
        <v>0</v>
      </c>
      <c r="I12" s="9"/>
      <c r="J12" s="205"/>
      <c r="K12" s="206"/>
      <c r="L12" s="0"/>
      <c r="N12" s="0"/>
      <c r="P12" s="0"/>
      <c r="R12" s="0"/>
      <c r="T12" s="0"/>
      <c r="V12" s="0"/>
    </row>
    <row r="13" customFormat="false" ht="23" hidden="false" customHeight="true" outlineLevel="0" collapsed="false">
      <c r="A13" s="0" t="n">
        <v>31</v>
      </c>
      <c r="B13" s="34" t="n">
        <v>37347</v>
      </c>
      <c r="C13" s="1" t="n">
        <v>0</v>
      </c>
      <c r="D13" s="1" t="s">
        <v>42</v>
      </c>
      <c r="E13" s="33" t="n">
        <f aca="false">IF(D13="totale",(C13/(A13*24))/F13,IF(D13="marché libre",(C13/(A13*24))/G13,"spécifier histo"))</f>
        <v>0</v>
      </c>
      <c r="F13" s="59" t="n">
        <v>72</v>
      </c>
      <c r="G13" s="59" t="n">
        <f aca="false">F13-H13</f>
        <v>72</v>
      </c>
      <c r="H13" s="59" t="n">
        <v>0</v>
      </c>
      <c r="I13" s="9"/>
      <c r="J13" s="205"/>
      <c r="K13" s="206"/>
      <c r="L13" s="0"/>
      <c r="N13" s="0"/>
      <c r="P13" s="0"/>
      <c r="R13" s="0"/>
      <c r="T13" s="0"/>
      <c r="V13" s="0"/>
    </row>
    <row r="14" customFormat="false" ht="23" hidden="false" customHeight="true" outlineLevel="0" collapsed="false">
      <c r="A14" s="0" t="n">
        <v>30</v>
      </c>
      <c r="B14" s="31" t="n">
        <v>37377</v>
      </c>
      <c r="C14" s="1" t="n">
        <v>48216</v>
      </c>
      <c r="D14" s="1" t="s">
        <v>42</v>
      </c>
      <c r="E14" s="33" t="n">
        <f aca="false">IF(D14="totale",(C14/(A14*24))/F14,IF(D14="marché libre",(C14/(A14*24))/G14,"spécifier histo"))</f>
        <v>0.930092592592593</v>
      </c>
      <c r="F14" s="59" t="n">
        <v>72</v>
      </c>
      <c r="G14" s="59" t="n">
        <f aca="false">F14-H14</f>
        <v>72</v>
      </c>
      <c r="H14" s="59" t="n">
        <v>0</v>
      </c>
      <c r="I14" s="9"/>
      <c r="J14" s="205"/>
      <c r="K14" s="206"/>
      <c r="L14" s="0"/>
      <c r="N14" s="0"/>
      <c r="P14" s="0"/>
      <c r="R14" s="0"/>
      <c r="T14" s="0"/>
      <c r="V14" s="0"/>
    </row>
    <row r="15" customFormat="false" ht="23" hidden="false" customHeight="true" outlineLevel="0" collapsed="false">
      <c r="A15" s="0" t="n">
        <v>31</v>
      </c>
      <c r="B15" s="34" t="n">
        <v>37408</v>
      </c>
      <c r="C15" s="1" t="n">
        <v>0</v>
      </c>
      <c r="D15" s="1" t="s">
        <v>42</v>
      </c>
      <c r="E15" s="33" t="n">
        <f aca="false">IF(D15="totale",(C15/(A15*24))/F15,IF(D15="marché libre",(C15/(A15*24))/G15,"spécifier histo"))</f>
        <v>0</v>
      </c>
      <c r="F15" s="59" t="n">
        <v>72</v>
      </c>
      <c r="G15" s="59" t="n">
        <f aca="false">F15-H15</f>
        <v>72</v>
      </c>
      <c r="H15" s="59" t="n">
        <v>0</v>
      </c>
      <c r="I15" s="9"/>
      <c r="J15" s="205"/>
      <c r="K15" s="206"/>
      <c r="L15" s="0"/>
      <c r="N15" s="0"/>
      <c r="P15" s="0"/>
      <c r="R15" s="0"/>
      <c r="T15" s="0"/>
      <c r="V15" s="0"/>
    </row>
    <row r="16" customFormat="false" ht="23" hidden="false" customHeight="true" outlineLevel="0" collapsed="false">
      <c r="A16" s="0" t="n">
        <v>30</v>
      </c>
      <c r="B16" s="31" t="n">
        <v>37438</v>
      </c>
      <c r="C16" s="1" t="n">
        <v>0</v>
      </c>
      <c r="D16" s="1" t="s">
        <v>42</v>
      </c>
      <c r="E16" s="33" t="n">
        <f aca="false">IF(D16="totale",(C16/(A16*24))/F16,IF(D16="marché libre",(C16/(A16*24))/G16,"spécifier histo"))</f>
        <v>0</v>
      </c>
      <c r="F16" s="59" t="n">
        <v>72</v>
      </c>
      <c r="G16" s="59" t="n">
        <f aca="false">F16-H16</f>
        <v>72</v>
      </c>
      <c r="H16" s="59" t="n">
        <v>0</v>
      </c>
      <c r="I16" s="9"/>
      <c r="J16" s="205"/>
      <c r="K16" s="206"/>
      <c r="L16" s="0"/>
      <c r="N16" s="0"/>
      <c r="P16" s="0"/>
      <c r="R16" s="0"/>
      <c r="T16" s="0"/>
      <c r="V16" s="0"/>
    </row>
    <row r="17" customFormat="false" ht="23" hidden="false" customHeight="true" outlineLevel="0" collapsed="false">
      <c r="A17" s="0" t="n">
        <v>31</v>
      </c>
      <c r="B17" s="34" t="n">
        <v>37469</v>
      </c>
      <c r="C17" s="1" t="n">
        <v>24662</v>
      </c>
      <c r="D17" s="1" t="s">
        <v>42</v>
      </c>
      <c r="E17" s="33" t="n">
        <f aca="false">IF(D17="totale",(C17/(A17*24))/F17,IF(D17="marché libre",(C17/(A17*24))/G17,"spécifier histo"))</f>
        <v>0.460386798088411</v>
      </c>
      <c r="F17" s="59" t="n">
        <v>72</v>
      </c>
      <c r="G17" s="59" t="n">
        <f aca="false">F17-H17</f>
        <v>72</v>
      </c>
      <c r="H17" s="59" t="n">
        <v>0</v>
      </c>
      <c r="I17" s="9"/>
      <c r="J17" s="205"/>
      <c r="K17" s="206"/>
      <c r="L17" s="0"/>
      <c r="N17" s="0"/>
      <c r="P17" s="0"/>
      <c r="R17" s="0"/>
      <c r="T17" s="0"/>
      <c r="V17" s="0"/>
    </row>
    <row r="18" customFormat="false" ht="23" hidden="false" customHeight="true" outlineLevel="0" collapsed="false">
      <c r="A18" s="0" t="n">
        <v>31</v>
      </c>
      <c r="B18" s="31" t="n">
        <v>37500</v>
      </c>
      <c r="C18" s="1" t="n">
        <v>24948</v>
      </c>
      <c r="D18" s="1" t="s">
        <v>42</v>
      </c>
      <c r="E18" s="33" t="n">
        <f aca="false">IF(D18="totale",(C18/(A18*24))/F18,IF(D18="marché libre",(C18/(A18*24))/G18,"spécifier histo"))</f>
        <v>0.465725806451613</v>
      </c>
      <c r="F18" s="59" t="n">
        <v>72</v>
      </c>
      <c r="G18" s="59" t="n">
        <f aca="false">F18-H18</f>
        <v>72</v>
      </c>
      <c r="H18" s="59" t="n">
        <v>0</v>
      </c>
      <c r="I18" s="9"/>
      <c r="J18" s="205"/>
      <c r="K18" s="206"/>
      <c r="L18" s="0"/>
      <c r="N18" s="0"/>
      <c r="P18" s="0"/>
      <c r="R18" s="0"/>
      <c r="T18" s="0"/>
    </row>
    <row r="19" customFormat="false" ht="12.8" hidden="false" customHeight="false" outlineLevel="0" collapsed="false">
      <c r="A19" s="0" t="n">
        <v>28</v>
      </c>
      <c r="B19" s="34" t="n">
        <v>37530</v>
      </c>
      <c r="C19" s="1" t="n">
        <v>27688</v>
      </c>
      <c r="D19" s="1" t="s">
        <v>42</v>
      </c>
      <c r="E19" s="33" t="n">
        <f aca="false">IF(D19="totale",(C19/(A19*24))/F19,IF(D19="marché libre",(C19/(A19*24))/G19,"spécifier histo"))</f>
        <v>0.572255291005291</v>
      </c>
      <c r="F19" s="59" t="n">
        <v>72</v>
      </c>
      <c r="G19" s="59" t="n">
        <f aca="false">F19-H19</f>
        <v>72</v>
      </c>
      <c r="H19" s="59" t="n">
        <v>0</v>
      </c>
      <c r="I19" s="9"/>
      <c r="J19" s="205"/>
      <c r="K19" s="206"/>
      <c r="L19" s="0"/>
      <c r="N19" s="0"/>
      <c r="P19" s="0"/>
      <c r="R19" s="0"/>
      <c r="T19" s="0"/>
    </row>
    <row r="20" customFormat="false" ht="12.8" hidden="false" customHeight="false" outlineLevel="0" collapsed="false">
      <c r="A20" s="0" t="n">
        <v>31</v>
      </c>
      <c r="B20" s="31" t="n">
        <v>37561</v>
      </c>
      <c r="C20" s="1" t="n">
        <v>25730</v>
      </c>
      <c r="D20" s="1" t="s">
        <v>42</v>
      </c>
      <c r="E20" s="33" t="n">
        <f aca="false">IF(D20="totale",(C20/(A20*24))/F20,IF(D20="marché libre",(C20/(A20*24))/G20,"spécifier histo"))</f>
        <v>0.480324074074074</v>
      </c>
      <c r="F20" s="59" t="n">
        <v>72</v>
      </c>
      <c r="G20" s="59" t="n">
        <f aca="false">F20-H20</f>
        <v>72</v>
      </c>
      <c r="H20" s="59" t="n">
        <v>0</v>
      </c>
      <c r="I20" s="9"/>
      <c r="J20" s="205"/>
      <c r="K20" s="206"/>
      <c r="L20" s="0"/>
      <c r="P20" s="0"/>
      <c r="T20" s="0"/>
    </row>
    <row r="21" customFormat="false" ht="12.8" hidden="false" customHeight="false" outlineLevel="0" collapsed="false">
      <c r="A21" s="0" t="n">
        <v>30</v>
      </c>
      <c r="B21" s="34" t="n">
        <v>37591</v>
      </c>
      <c r="C21" s="1" t="n">
        <v>36248</v>
      </c>
      <c r="D21" s="1" t="s">
        <v>42</v>
      </c>
      <c r="E21" s="33" t="n">
        <f aca="false">IF(D21="totale",(C21/(A21*24))/F21,IF(D21="marché libre",(C21/(A21*24))/G21,"spécifier histo"))</f>
        <v>0.699228395061728</v>
      </c>
      <c r="F21" s="59" t="n">
        <v>72</v>
      </c>
      <c r="G21" s="59" t="n">
        <f aca="false">F21-H21</f>
        <v>72</v>
      </c>
      <c r="H21" s="59" t="n">
        <v>0</v>
      </c>
      <c r="I21" s="9"/>
      <c r="J21" s="205"/>
      <c r="K21" s="206"/>
      <c r="L21" s="0"/>
      <c r="P21" s="0"/>
      <c r="T21" s="0"/>
    </row>
    <row r="22" customFormat="false" ht="12.8" hidden="false" customHeight="false" outlineLevel="0" collapsed="false">
      <c r="A22" s="0" t="n">
        <v>31</v>
      </c>
      <c r="B22" s="31" t="n">
        <v>37622</v>
      </c>
      <c r="C22" s="1" t="n">
        <v>36954</v>
      </c>
      <c r="D22" s="1" t="s">
        <v>42</v>
      </c>
      <c r="E22" s="33" t="n">
        <f aca="false">IF(D22="totale",(C22/(A22*24))/F22,IF(D22="marché libre",(C22/(A22*24))/G22,"spécifier histo"))</f>
        <v>0.689852150537635</v>
      </c>
      <c r="F22" s="59" t="n">
        <v>72</v>
      </c>
      <c r="G22" s="59" t="n">
        <f aca="false">F22-H22</f>
        <v>72</v>
      </c>
      <c r="H22" s="59" t="n">
        <v>0</v>
      </c>
      <c r="I22" s="9"/>
      <c r="J22" s="205"/>
      <c r="K22" s="206"/>
      <c r="L22" s="0"/>
      <c r="P22" s="0"/>
      <c r="T22" s="0"/>
    </row>
    <row r="23" customFormat="false" ht="12.8" hidden="false" customHeight="false" outlineLevel="0" collapsed="false">
      <c r="A23" s="0" t="n">
        <v>30</v>
      </c>
      <c r="B23" s="34" t="n">
        <v>37653</v>
      </c>
      <c r="C23" s="1" t="n">
        <v>28326</v>
      </c>
      <c r="D23" s="1" t="s">
        <v>42</v>
      </c>
      <c r="E23" s="33" t="n">
        <f aca="false">IF(D23="totale",(C23/(A23*24))/F23,IF(D23="marché libre",(C23/(A23*24))/G23,"spécifier histo"))</f>
        <v>0.546412037037037</v>
      </c>
      <c r="F23" s="59" t="n">
        <v>72</v>
      </c>
      <c r="G23" s="59" t="n">
        <f aca="false">F23-H23</f>
        <v>72</v>
      </c>
      <c r="H23" s="59" t="n">
        <v>0</v>
      </c>
      <c r="I23" s="9"/>
      <c r="J23" s="205"/>
      <c r="K23" s="206"/>
      <c r="L23" s="0"/>
      <c r="P23" s="0"/>
      <c r="T23" s="0"/>
    </row>
    <row r="24" customFormat="false" ht="12.8" hidden="false" customHeight="false" outlineLevel="0" collapsed="false">
      <c r="A24" s="0" t="n">
        <v>31</v>
      </c>
      <c r="B24" s="31" t="n">
        <v>37681</v>
      </c>
      <c r="C24" s="1" t="n">
        <v>21684</v>
      </c>
      <c r="D24" s="1" t="s">
        <v>42</v>
      </c>
      <c r="E24" s="33" t="n">
        <f aca="false">IF(D24="totale",(C24/(A24*24))/F24,IF(D24="marché libre",(C24/(A24*24))/G24,"spécifier histo"))</f>
        <v>0.404793906810036</v>
      </c>
      <c r="F24" s="59" t="n">
        <v>72</v>
      </c>
      <c r="G24" s="59" t="n">
        <f aca="false">F24-H24</f>
        <v>72</v>
      </c>
      <c r="H24" s="59" t="n">
        <v>0</v>
      </c>
      <c r="I24" s="9"/>
      <c r="J24" s="205"/>
      <c r="K24" s="206"/>
      <c r="L24" s="0"/>
      <c r="P24" s="0"/>
      <c r="T24" s="0"/>
    </row>
    <row r="25" customFormat="false" ht="12.8" hidden="false" customHeight="false" outlineLevel="0" collapsed="false">
      <c r="A25" s="0" t="n">
        <v>31</v>
      </c>
      <c r="B25" s="34" t="n">
        <v>37712</v>
      </c>
      <c r="C25" s="1" t="n">
        <v>0</v>
      </c>
      <c r="D25" s="1" t="s">
        <v>42</v>
      </c>
      <c r="E25" s="33" t="n">
        <f aca="false">IF(D25="totale",(C25/(A25*24))/F25,IF(D25="marché libre",(C25/(A25*24))/G25,"spécifier histo"))</f>
        <v>0</v>
      </c>
      <c r="F25" s="59" t="n">
        <v>72</v>
      </c>
      <c r="G25" s="59" t="n">
        <f aca="false">F25-H25</f>
        <v>72</v>
      </c>
      <c r="H25" s="59" t="n">
        <v>0</v>
      </c>
      <c r="I25" s="9"/>
      <c r="J25" s="205"/>
      <c r="K25" s="206"/>
      <c r="L25" s="0"/>
      <c r="P25" s="0"/>
      <c r="T25" s="0"/>
    </row>
    <row r="26" customFormat="false" ht="12.8" hidden="false" customHeight="false" outlineLevel="0" collapsed="false">
      <c r="A26" s="0" t="n">
        <v>30</v>
      </c>
      <c r="B26" s="31" t="n">
        <v>37742</v>
      </c>
      <c r="C26" s="1" t="n">
        <v>42304</v>
      </c>
      <c r="D26" s="1" t="s">
        <v>42</v>
      </c>
      <c r="E26" s="33" t="n">
        <f aca="false">IF(D26="totale",(C26/(A26*24))/F26,IF(D26="marché libre",(C26/(A26*24))/G26,"spécifier histo"))</f>
        <v>0.816049382716049</v>
      </c>
      <c r="F26" s="59" t="n">
        <v>72</v>
      </c>
      <c r="G26" s="59" t="n">
        <f aca="false">F26-H26</f>
        <v>72</v>
      </c>
      <c r="H26" s="59" t="n">
        <v>0</v>
      </c>
      <c r="I26" s="9"/>
      <c r="J26" s="205"/>
      <c r="K26" s="206"/>
      <c r="L26" s="0"/>
      <c r="P26" s="0"/>
      <c r="T26" s="0"/>
    </row>
    <row r="27" customFormat="false" ht="12.8" hidden="false" customHeight="false" outlineLevel="0" collapsed="false">
      <c r="A27" s="0" t="n">
        <v>31</v>
      </c>
      <c r="B27" s="34" t="n">
        <v>37773</v>
      </c>
      <c r="C27" s="1" t="n">
        <v>0</v>
      </c>
      <c r="D27" s="1" t="s">
        <v>42</v>
      </c>
      <c r="E27" s="33" t="n">
        <f aca="false">IF(D27="totale",(C27/(A27*24))/F27,IF(D27="marché libre",(C27/(A27*24))/G27,"spécifier histo"))</f>
        <v>0</v>
      </c>
      <c r="F27" s="59" t="n">
        <v>72</v>
      </c>
      <c r="G27" s="59" t="n">
        <f aca="false">F27-H27</f>
        <v>72</v>
      </c>
      <c r="H27" s="59" t="n">
        <v>0</v>
      </c>
      <c r="I27" s="9"/>
      <c r="J27" s="205"/>
      <c r="K27" s="206"/>
      <c r="L27" s="0"/>
      <c r="P27" s="0"/>
      <c r="T27" s="0"/>
    </row>
    <row r="28" customFormat="false" ht="12.8" hidden="false" customHeight="false" outlineLevel="0" collapsed="false">
      <c r="A28" s="0" t="n">
        <v>30</v>
      </c>
      <c r="B28" s="31" t="n">
        <v>37803</v>
      </c>
      <c r="C28" s="1" t="n">
        <v>0</v>
      </c>
      <c r="D28" s="1" t="s">
        <v>42</v>
      </c>
      <c r="E28" s="33" t="n">
        <f aca="false">IF(D28="totale",(C28/(A28*24))/F28,IF(D28="marché libre",(C28/(A28*24))/G28,"spécifier histo"))</f>
        <v>0</v>
      </c>
      <c r="F28" s="59" t="n">
        <v>72</v>
      </c>
      <c r="G28" s="59" t="n">
        <f aca="false">F28-H28</f>
        <v>72</v>
      </c>
      <c r="H28" s="59" t="n">
        <v>0</v>
      </c>
      <c r="I28" s="9"/>
      <c r="J28" s="205"/>
      <c r="K28" s="206"/>
      <c r="L28" s="0"/>
      <c r="P28" s="0"/>
      <c r="T28" s="0"/>
    </row>
    <row r="29" customFormat="false" ht="12.8" hidden="false" customHeight="false" outlineLevel="0" collapsed="false">
      <c r="A29" s="0" t="n">
        <v>31</v>
      </c>
      <c r="B29" s="34" t="n">
        <v>37834</v>
      </c>
      <c r="C29" s="1" t="n">
        <v>0</v>
      </c>
      <c r="D29" s="1" t="s">
        <v>42</v>
      </c>
      <c r="E29" s="33" t="n">
        <f aca="false">IF(D29="totale",(C29/(A29*24))/F29,IF(D29="marché libre",(C29/(A29*24))/G29,"spécifier histo"))</f>
        <v>0</v>
      </c>
      <c r="F29" s="59" t="n">
        <v>72</v>
      </c>
      <c r="G29" s="59" t="n">
        <f aca="false">F29-H29</f>
        <v>72</v>
      </c>
      <c r="H29" s="59" t="n">
        <v>0</v>
      </c>
      <c r="I29" s="9"/>
      <c r="J29" s="205"/>
      <c r="K29" s="206"/>
      <c r="L29" s="0"/>
      <c r="P29" s="0"/>
      <c r="T29" s="0"/>
    </row>
    <row r="30" customFormat="false" ht="12.8" hidden="false" customHeight="false" outlineLevel="0" collapsed="false">
      <c r="A30" s="0" t="n">
        <v>31</v>
      </c>
      <c r="B30" s="31" t="n">
        <v>37865</v>
      </c>
      <c r="C30" s="1" t="n">
        <v>0</v>
      </c>
      <c r="D30" s="1" t="s">
        <v>42</v>
      </c>
      <c r="E30" s="33" t="n">
        <f aca="false">IF(D30="totale",(C30/(A30*24))/F30,IF(D30="marché libre",(C30/(A30*24))/G30,"spécifier histo"))</f>
        <v>0</v>
      </c>
      <c r="F30" s="59" t="n">
        <v>72</v>
      </c>
      <c r="G30" s="59" t="n">
        <f aca="false">F30-H30</f>
        <v>72</v>
      </c>
      <c r="H30" s="59" t="n">
        <v>0</v>
      </c>
      <c r="I30" s="9"/>
      <c r="J30" s="205"/>
      <c r="K30" s="206"/>
      <c r="L30" s="0"/>
      <c r="P30" s="0"/>
      <c r="T30" s="0"/>
    </row>
    <row r="31" customFormat="false" ht="12.8" hidden="false" customHeight="false" outlineLevel="0" collapsed="false">
      <c r="A31" s="0" t="n">
        <v>28</v>
      </c>
      <c r="B31" s="34" t="n">
        <v>37895</v>
      </c>
      <c r="C31" s="1" t="n">
        <v>0</v>
      </c>
      <c r="D31" s="1" t="s">
        <v>42</v>
      </c>
      <c r="E31" s="33" t="n">
        <f aca="false">IF(D31="totale",(C31/(A31*24))/F31,IF(D31="marché libre",(C31/(A31*24))/G31,"spécifier histo"))</f>
        <v>0</v>
      </c>
      <c r="F31" s="59" t="n">
        <v>72</v>
      </c>
      <c r="G31" s="59" t="n">
        <f aca="false">F31-H31</f>
        <v>72</v>
      </c>
      <c r="H31" s="59" t="n">
        <v>0</v>
      </c>
      <c r="I31" s="9"/>
      <c r="J31" s="205"/>
      <c r="K31" s="206"/>
      <c r="L31" s="0"/>
      <c r="P31" s="0"/>
      <c r="T31" s="0"/>
    </row>
    <row r="32" customFormat="false" ht="12.8" hidden="false" customHeight="false" outlineLevel="0" collapsed="false">
      <c r="A32" s="0" t="n">
        <v>31</v>
      </c>
      <c r="B32" s="31" t="n">
        <v>37926</v>
      </c>
      <c r="C32" s="1" t="n">
        <v>29988</v>
      </c>
      <c r="D32" s="1" t="s">
        <v>42</v>
      </c>
      <c r="E32" s="33" t="n">
        <f aca="false">IF(D32="totale",(C32/(A32*24))/F32,IF(D32="marché libre",(C32/(A32*24))/G32,"spécifier histo"))</f>
        <v>0.559811827956989</v>
      </c>
      <c r="F32" s="59" t="n">
        <v>72</v>
      </c>
      <c r="G32" s="59" t="n">
        <f aca="false">F32-H32</f>
        <v>72</v>
      </c>
      <c r="H32" s="59" t="n">
        <v>0</v>
      </c>
      <c r="I32" s="9"/>
      <c r="J32" s="205"/>
      <c r="K32" s="206"/>
      <c r="L32" s="0"/>
      <c r="P32" s="0"/>
      <c r="T32" s="0"/>
    </row>
    <row r="33" customFormat="false" ht="12.8" hidden="false" customHeight="false" outlineLevel="0" collapsed="false">
      <c r="A33" s="0" t="n">
        <v>30</v>
      </c>
      <c r="B33" s="34" t="n">
        <v>37956</v>
      </c>
      <c r="C33" s="1" t="n">
        <v>35128</v>
      </c>
      <c r="D33" s="1" t="s">
        <v>42</v>
      </c>
      <c r="E33" s="33" t="n">
        <f aca="false">IF(D33="totale",(C33/(A33*24))/F33,IF(D33="marché libre",(C33/(A33*24))/G33,"spécifier histo"))</f>
        <v>0.677623456790123</v>
      </c>
      <c r="F33" s="59" t="n">
        <v>72</v>
      </c>
      <c r="G33" s="59" t="n">
        <f aca="false">F33-H33</f>
        <v>72</v>
      </c>
      <c r="H33" s="59" t="n">
        <v>0</v>
      </c>
      <c r="I33" s="9"/>
      <c r="J33" s="205"/>
      <c r="K33" s="206"/>
      <c r="L33" s="0"/>
      <c r="P33" s="0"/>
      <c r="T33" s="0"/>
    </row>
    <row r="34" customFormat="false" ht="12.8" hidden="false" customHeight="false" outlineLevel="0" collapsed="false">
      <c r="A34" s="0" t="n">
        <v>31</v>
      </c>
      <c r="B34" s="31" t="n">
        <v>37987</v>
      </c>
      <c r="C34" s="1" t="n">
        <v>34432</v>
      </c>
      <c r="D34" s="1" t="s">
        <v>42</v>
      </c>
      <c r="E34" s="33" t="n">
        <f aca="false">IF(D34="totale",(C34/(A34*24))/F34,IF(D34="marché libre",(C34/(A34*24))/G34,"spécifier histo"))</f>
        <v>0.642771804062127</v>
      </c>
      <c r="F34" s="59" t="n">
        <v>72</v>
      </c>
      <c r="G34" s="59" t="n">
        <f aca="false">F34-H34</f>
        <v>72</v>
      </c>
      <c r="H34" s="59" t="n">
        <v>0</v>
      </c>
      <c r="I34" s="9"/>
      <c r="J34" s="205"/>
      <c r="K34" s="206"/>
      <c r="L34" s="0"/>
      <c r="P34" s="0"/>
      <c r="T34" s="0"/>
    </row>
    <row r="35" customFormat="false" ht="12.8" hidden="false" customHeight="false" outlineLevel="0" collapsed="false">
      <c r="A35" s="0" t="n">
        <v>30</v>
      </c>
      <c r="B35" s="34" t="n">
        <v>38018</v>
      </c>
      <c r="C35" s="1" t="n">
        <v>29118</v>
      </c>
      <c r="D35" s="1" t="s">
        <v>42</v>
      </c>
      <c r="E35" s="33" t="n">
        <f aca="false">IF(D35="totale",(C35/(A35*24))/F35,IF(D35="marché libre",(C35/(A35*24))/G35,"spécifier histo"))</f>
        <v>0.561689814814815</v>
      </c>
      <c r="F35" s="59" t="n">
        <v>72</v>
      </c>
      <c r="G35" s="59" t="n">
        <f aca="false">F35-H35</f>
        <v>72</v>
      </c>
      <c r="H35" s="59" t="n">
        <v>0</v>
      </c>
      <c r="I35" s="9"/>
      <c r="J35" s="205"/>
      <c r="K35" s="206"/>
      <c r="L35" s="0"/>
      <c r="P35" s="0"/>
      <c r="T35" s="0"/>
    </row>
    <row r="36" customFormat="false" ht="12.8" hidden="false" customHeight="false" outlineLevel="0" collapsed="false">
      <c r="A36" s="0" t="n">
        <v>31</v>
      </c>
      <c r="B36" s="31" t="n">
        <v>38047</v>
      </c>
      <c r="C36" s="1" t="n">
        <v>32814</v>
      </c>
      <c r="D36" s="1" t="s">
        <v>42</v>
      </c>
      <c r="E36" s="33" t="n">
        <f aca="false">IF(D36="totale",(C36/(A36*24))/F36,IF(D36="marché libre",(C36/(A36*24))/G36,"spécifier histo"))</f>
        <v>0.612567204301075</v>
      </c>
      <c r="F36" s="59" t="n">
        <v>72</v>
      </c>
      <c r="G36" s="59" t="n">
        <f aca="false">F36-H36</f>
        <v>72</v>
      </c>
      <c r="H36" s="59" t="n">
        <v>0</v>
      </c>
      <c r="I36" s="9"/>
      <c r="J36" s="205"/>
      <c r="K36" s="206"/>
      <c r="L36" s="0"/>
      <c r="P36" s="0"/>
      <c r="T36" s="0"/>
    </row>
    <row r="37" customFormat="false" ht="12.8" hidden="false" customHeight="false" outlineLevel="0" collapsed="false">
      <c r="A37" s="0" t="n">
        <v>31</v>
      </c>
      <c r="B37" s="34" t="n">
        <v>38078</v>
      </c>
      <c r="C37" s="1" t="n">
        <v>0</v>
      </c>
      <c r="D37" s="1" t="s">
        <v>42</v>
      </c>
      <c r="E37" s="33" t="n">
        <f aca="false">IF(D37="totale",(C37/(A37*24))/F37,IF(D37="marché libre",(C37/(A37*24))/G37,"spécifier histo"))</f>
        <v>0</v>
      </c>
      <c r="F37" s="59" t="n">
        <v>72</v>
      </c>
      <c r="G37" s="59" t="n">
        <f aca="false">F37-H37</f>
        <v>72</v>
      </c>
      <c r="H37" s="59" t="n">
        <v>0</v>
      </c>
      <c r="I37" s="9"/>
      <c r="J37" s="205"/>
      <c r="K37" s="206"/>
      <c r="L37" s="0"/>
      <c r="P37" s="0"/>
      <c r="T37" s="0"/>
    </row>
    <row r="38" customFormat="false" ht="12.8" hidden="false" customHeight="false" outlineLevel="0" collapsed="false">
      <c r="A38" s="0" t="n">
        <v>30</v>
      </c>
      <c r="B38" s="31" t="n">
        <v>38108</v>
      </c>
      <c r="C38" s="1" t="n">
        <v>0</v>
      </c>
      <c r="D38" s="1" t="s">
        <v>42</v>
      </c>
      <c r="E38" s="33" t="n">
        <f aca="false">IF(D38="totale",(C38/(A38*24))/F38,IF(D38="marché libre",(C38/(A38*24))/G38,"spécifier histo"))</f>
        <v>0</v>
      </c>
      <c r="F38" s="59" t="n">
        <v>72</v>
      </c>
      <c r="G38" s="59" t="n">
        <f aca="false">F38-H38</f>
        <v>72</v>
      </c>
      <c r="H38" s="59" t="n">
        <v>0</v>
      </c>
      <c r="I38" s="9"/>
      <c r="J38" s="205"/>
      <c r="K38" s="206"/>
      <c r="L38" s="0"/>
      <c r="P38" s="0"/>
      <c r="T38" s="0"/>
    </row>
    <row r="39" customFormat="false" ht="12.8" hidden="false" customHeight="false" outlineLevel="0" collapsed="false">
      <c r="A39" s="0" t="n">
        <v>31</v>
      </c>
      <c r="B39" s="34" t="n">
        <v>38139</v>
      </c>
      <c r="C39" s="1" t="n">
        <v>0</v>
      </c>
      <c r="D39" s="1" t="s">
        <v>42</v>
      </c>
      <c r="E39" s="33" t="n">
        <f aca="false">IF(D39="totale",(C39/(A39*24))/F39,IF(D39="marché libre",(C39/(A39*24))/G39,"spécifier histo"))</f>
        <v>0</v>
      </c>
      <c r="F39" s="59" t="n">
        <v>72</v>
      </c>
      <c r="G39" s="59" t="n">
        <f aca="false">F39-H39</f>
        <v>72</v>
      </c>
      <c r="H39" s="59" t="n">
        <v>0</v>
      </c>
      <c r="I39" s="9"/>
      <c r="J39" s="205"/>
      <c r="K39" s="206"/>
      <c r="L39" s="0"/>
      <c r="P39" s="0"/>
      <c r="T39" s="0"/>
    </row>
    <row r="40" customFormat="false" ht="12.8" hidden="false" customHeight="false" outlineLevel="0" collapsed="false">
      <c r="A40" s="0" t="n">
        <v>30</v>
      </c>
      <c r="B40" s="31" t="n">
        <v>38169</v>
      </c>
      <c r="C40" s="1" t="n">
        <v>0</v>
      </c>
      <c r="D40" s="1" t="s">
        <v>42</v>
      </c>
      <c r="E40" s="33" t="n">
        <f aca="false">IF(D40="totale",(C40/(A40*24))/F40,IF(D40="marché libre",(C40/(A40*24))/G40,"spécifier histo"))</f>
        <v>0</v>
      </c>
      <c r="F40" s="59" t="n">
        <v>72</v>
      </c>
      <c r="G40" s="59" t="n">
        <f aca="false">F40-H40</f>
        <v>72</v>
      </c>
      <c r="H40" s="59" t="n">
        <v>0</v>
      </c>
      <c r="I40" s="9"/>
      <c r="J40" s="205"/>
      <c r="K40" s="206"/>
      <c r="L40" s="0"/>
      <c r="P40" s="0"/>
      <c r="T40" s="0"/>
    </row>
    <row r="41" customFormat="false" ht="12.8" hidden="false" customHeight="false" outlineLevel="0" collapsed="false">
      <c r="A41" s="0" t="n">
        <v>31</v>
      </c>
      <c r="B41" s="34" t="n">
        <v>38200</v>
      </c>
      <c r="C41" s="1" t="n">
        <v>0</v>
      </c>
      <c r="D41" s="1" t="s">
        <v>42</v>
      </c>
      <c r="E41" s="33" t="n">
        <f aca="false">IF(D41="totale",(C41/(A41*24))/F41,IF(D41="marché libre",(C41/(A41*24))/G41,"spécifier histo"))</f>
        <v>0</v>
      </c>
      <c r="F41" s="59" t="n">
        <v>72</v>
      </c>
      <c r="G41" s="59" t="n">
        <f aca="false">F41-H41</f>
        <v>72</v>
      </c>
      <c r="H41" s="59" t="n">
        <v>0</v>
      </c>
      <c r="I41" s="9"/>
      <c r="J41" s="205"/>
      <c r="K41" s="206"/>
      <c r="L41" s="0"/>
      <c r="P41" s="0"/>
      <c r="T41" s="0"/>
    </row>
    <row r="42" customFormat="false" ht="12.8" hidden="false" customHeight="false" outlineLevel="0" collapsed="false">
      <c r="A42" s="0" t="n">
        <v>31</v>
      </c>
      <c r="B42" s="31" t="n">
        <v>38231</v>
      </c>
      <c r="C42" s="1" t="n">
        <v>0</v>
      </c>
      <c r="D42" s="1" t="s">
        <v>42</v>
      </c>
      <c r="E42" s="33" t="n">
        <f aca="false">IF(D42="totale",(C42/(A42*24))/F42,IF(D42="marché libre",(C42/(A42*24))/G42,"spécifier histo"))</f>
        <v>0</v>
      </c>
      <c r="F42" s="59" t="n">
        <v>72</v>
      </c>
      <c r="G42" s="59" t="n">
        <f aca="false">F42-H42</f>
        <v>72</v>
      </c>
      <c r="H42" s="59" t="n">
        <v>0</v>
      </c>
      <c r="I42" s="9"/>
      <c r="J42" s="205"/>
      <c r="K42" s="206"/>
      <c r="L42" s="0"/>
      <c r="P42" s="0"/>
      <c r="T42" s="0"/>
    </row>
    <row r="43" customFormat="false" ht="12.8" hidden="false" customHeight="false" outlineLevel="0" collapsed="false">
      <c r="A43" s="0" t="n">
        <v>28</v>
      </c>
      <c r="B43" s="34" t="n">
        <v>38261</v>
      </c>
      <c r="C43" s="1" t="n">
        <v>10004</v>
      </c>
      <c r="D43" s="1" t="s">
        <v>42</v>
      </c>
      <c r="E43" s="33" t="n">
        <f aca="false">IF(D43="totale",(C43/(A43*24))/F43,IF(D43="marché libre",(C43/(A43*24))/G43,"spécifier histo"))</f>
        <v>0.206762566137566</v>
      </c>
      <c r="F43" s="59" t="n">
        <v>72</v>
      </c>
      <c r="G43" s="59" t="n">
        <f aca="false">F43-H43</f>
        <v>72</v>
      </c>
      <c r="H43" s="59" t="n">
        <v>0</v>
      </c>
      <c r="I43" s="9"/>
      <c r="J43" s="205"/>
      <c r="K43" s="206"/>
      <c r="L43" s="0"/>
      <c r="P43" s="0"/>
      <c r="T43" s="0"/>
    </row>
    <row r="44" customFormat="false" ht="12.8" hidden="false" customHeight="false" outlineLevel="0" collapsed="false">
      <c r="A44" s="0" t="n">
        <v>31</v>
      </c>
      <c r="B44" s="31" t="n">
        <v>38292</v>
      </c>
      <c r="C44" s="1" t="n">
        <v>17112</v>
      </c>
      <c r="D44" s="1" t="s">
        <v>42</v>
      </c>
      <c r="E44" s="33" t="n">
        <f aca="false">IF(D44="totale",(C44/(A44*24))/F44,IF(D44="marché libre",(C44/(A44*24))/G44,"spécifier histo"))</f>
        <v>0.319444444444444</v>
      </c>
      <c r="F44" s="59" t="n">
        <v>72</v>
      </c>
      <c r="G44" s="59" t="n">
        <f aca="false">F44-H44</f>
        <v>72</v>
      </c>
      <c r="H44" s="59" t="n">
        <v>0</v>
      </c>
      <c r="I44" s="9"/>
      <c r="J44" s="205"/>
      <c r="K44" s="206"/>
      <c r="L44" s="0"/>
    </row>
    <row r="45" customFormat="false" ht="12.8" hidden="false" customHeight="false" outlineLevel="0" collapsed="false">
      <c r="A45" s="0" t="n">
        <v>30</v>
      </c>
      <c r="B45" s="34" t="n">
        <v>38322</v>
      </c>
      <c r="C45" s="1" t="n">
        <v>12052</v>
      </c>
      <c r="D45" s="1" t="s">
        <v>42</v>
      </c>
      <c r="E45" s="33" t="n">
        <f aca="false">IF(D45="totale",(C45/(A45*24))/F45,IF(D45="marché libre",(C45/(A45*24))/G45,"spécifier histo"))</f>
        <v>0.232484567901235</v>
      </c>
      <c r="F45" s="59" t="n">
        <v>72</v>
      </c>
      <c r="G45" s="59" t="n">
        <f aca="false">F45-H45</f>
        <v>72</v>
      </c>
      <c r="H45" s="59" t="n">
        <v>0</v>
      </c>
      <c r="I45" s="9"/>
      <c r="J45" s="205"/>
      <c r="K45" s="206"/>
      <c r="L45" s="0"/>
    </row>
    <row r="46" customFormat="false" ht="12.8" hidden="false" customHeight="false" outlineLevel="0" collapsed="false">
      <c r="A46" s="0" t="n">
        <v>31</v>
      </c>
      <c r="B46" s="31" t="n">
        <v>38353</v>
      </c>
      <c r="C46" s="1" t="n">
        <v>13810</v>
      </c>
      <c r="D46" s="1" t="s">
        <v>42</v>
      </c>
      <c r="E46" s="33" t="n">
        <f aca="false">IF(D46="totale",(C46/(A46*24))/F46,IF(D46="marché libre",(C46/(A46*24))/G46,"spécifier histo"))</f>
        <v>0.257803166069295</v>
      </c>
      <c r="F46" s="59" t="n">
        <v>72</v>
      </c>
      <c r="G46" s="59" t="n">
        <f aca="false">F46-H46</f>
        <v>72</v>
      </c>
      <c r="H46" s="59" t="n">
        <v>0</v>
      </c>
      <c r="I46" s="9"/>
      <c r="J46" s="205"/>
      <c r="K46" s="206"/>
      <c r="L46" s="0"/>
    </row>
    <row r="47" customFormat="false" ht="12.8" hidden="false" customHeight="false" outlineLevel="0" collapsed="false">
      <c r="A47" s="0" t="n">
        <v>30</v>
      </c>
      <c r="B47" s="34" t="n">
        <v>38384</v>
      </c>
      <c r="C47" s="1" t="n">
        <v>6388</v>
      </c>
      <c r="D47" s="1" t="s">
        <v>42</v>
      </c>
      <c r="E47" s="33" t="n">
        <f aca="false">IF(D47="totale",(C47/(A47*24))/F47,IF(D47="marché libre",(C47/(A47*24))/G47,"spécifier histo"))</f>
        <v>0.123225308641975</v>
      </c>
      <c r="F47" s="59" t="n">
        <v>72</v>
      </c>
      <c r="G47" s="59" t="n">
        <f aca="false">F47-H47</f>
        <v>72</v>
      </c>
      <c r="H47" s="59" t="n">
        <v>0</v>
      </c>
      <c r="I47" s="9"/>
      <c r="J47" s="205"/>
      <c r="K47" s="206"/>
      <c r="L47" s="0"/>
    </row>
    <row r="48" customFormat="false" ht="12.8" hidden="false" customHeight="false" outlineLevel="0" collapsed="false">
      <c r="A48" s="0" t="n">
        <v>31</v>
      </c>
      <c r="B48" s="31" t="n">
        <v>38412</v>
      </c>
      <c r="C48" s="1" t="n">
        <v>5870</v>
      </c>
      <c r="D48" s="1" t="s">
        <v>42</v>
      </c>
      <c r="E48" s="33" t="n">
        <f aca="false">IF(D48="totale",(C48/(A48*24))/F48,IF(D48="marché libre",(C48/(A48*24))/G48,"spécifier histo"))</f>
        <v>0.109580346475508</v>
      </c>
      <c r="F48" s="59" t="n">
        <v>72</v>
      </c>
      <c r="G48" s="59" t="n">
        <f aca="false">F48-H48</f>
        <v>72</v>
      </c>
      <c r="H48" s="59" t="n">
        <v>0</v>
      </c>
      <c r="I48" s="9"/>
      <c r="J48" s="205"/>
      <c r="K48" s="206"/>
      <c r="L48" s="0"/>
    </row>
    <row r="49" customFormat="false" ht="12.8" hidden="false" customHeight="false" outlineLevel="0" collapsed="false">
      <c r="A49" s="0" t="n">
        <v>31</v>
      </c>
      <c r="B49" s="34" t="n">
        <v>38443</v>
      </c>
      <c r="C49" s="1" t="n">
        <v>24606</v>
      </c>
      <c r="D49" s="1" t="s">
        <v>42</v>
      </c>
      <c r="E49" s="33" t="n">
        <f aca="false">IF(D49="totale",(C49/(A49*24))/F49,IF(D49="marché libre",(C49/(A49*24))/G49,"spécifier histo"))</f>
        <v>0.459341397849462</v>
      </c>
      <c r="F49" s="59" t="n">
        <v>72</v>
      </c>
      <c r="G49" s="59" t="n">
        <f aca="false">F49-H49</f>
        <v>72</v>
      </c>
      <c r="H49" s="59" t="n">
        <v>0</v>
      </c>
      <c r="I49" s="9"/>
      <c r="J49" s="205"/>
      <c r="K49" s="206"/>
      <c r="L49" s="0"/>
    </row>
    <row r="50" customFormat="false" ht="12.8" hidden="false" customHeight="false" outlineLevel="0" collapsed="false">
      <c r="A50" s="0" t="n">
        <v>30</v>
      </c>
      <c r="B50" s="31" t="n">
        <v>38473</v>
      </c>
      <c r="C50" s="1" t="n">
        <v>31856</v>
      </c>
      <c r="D50" s="1" t="s">
        <v>42</v>
      </c>
      <c r="E50" s="33" t="n">
        <f aca="false">IF(D50="totale",(C50/(A50*24))/F50,IF(D50="marché libre",(C50/(A50*24))/G50,"spécifier histo"))</f>
        <v>0.614506172839506</v>
      </c>
      <c r="F50" s="59" t="n">
        <v>72</v>
      </c>
      <c r="G50" s="59" t="n">
        <f aca="false">F50-H50</f>
        <v>72</v>
      </c>
      <c r="H50" s="59" t="n">
        <v>0</v>
      </c>
      <c r="I50" s="9"/>
      <c r="J50" s="205"/>
      <c r="K50" s="206"/>
      <c r="L50" s="0"/>
    </row>
    <row r="51" customFormat="false" ht="12.8" hidden="false" customHeight="false" outlineLevel="0" collapsed="false">
      <c r="A51" s="0" t="n">
        <v>31</v>
      </c>
      <c r="B51" s="34" t="n">
        <v>38504</v>
      </c>
      <c r="C51" s="1" t="n">
        <v>0</v>
      </c>
      <c r="D51" s="1" t="s">
        <v>42</v>
      </c>
      <c r="E51" s="33" t="n">
        <f aca="false">IF(D51="totale",(C51/(A51*24))/F51,IF(D51="marché libre",(C51/(A51*24))/G51,"spécifier histo"))</f>
        <v>0</v>
      </c>
      <c r="F51" s="59" t="n">
        <v>72</v>
      </c>
      <c r="G51" s="59" t="n">
        <f aca="false">F51-H51</f>
        <v>72</v>
      </c>
      <c r="H51" s="59" t="n">
        <v>0</v>
      </c>
      <c r="I51" s="9"/>
      <c r="J51" s="205"/>
      <c r="K51" s="206"/>
      <c r="L51" s="0"/>
    </row>
    <row r="52" customFormat="false" ht="12.8" hidden="false" customHeight="false" outlineLevel="0" collapsed="false">
      <c r="A52" s="0" t="n">
        <v>30</v>
      </c>
      <c r="B52" s="31" t="n">
        <v>38534</v>
      </c>
      <c r="C52" s="1" t="n">
        <v>0</v>
      </c>
      <c r="D52" s="1" t="s">
        <v>42</v>
      </c>
      <c r="E52" s="33" t="n">
        <f aca="false">IF(D52="totale",(C52/(A52*24))/F52,IF(D52="marché libre",(C52/(A52*24))/G52,"spécifier histo"))</f>
        <v>0</v>
      </c>
      <c r="F52" s="59" t="n">
        <v>72</v>
      </c>
      <c r="G52" s="59" t="n">
        <f aca="false">F52-H52</f>
        <v>72</v>
      </c>
      <c r="H52" s="59" t="n">
        <v>0</v>
      </c>
      <c r="I52" s="9"/>
      <c r="J52" s="205"/>
      <c r="K52" s="206"/>
      <c r="L52" s="0"/>
    </row>
    <row r="53" customFormat="false" ht="12.8" hidden="false" customHeight="false" outlineLevel="0" collapsed="false">
      <c r="A53" s="0" t="n">
        <v>31</v>
      </c>
      <c r="B53" s="34" t="n">
        <v>38565</v>
      </c>
      <c r="C53" s="1" t="n">
        <v>0</v>
      </c>
      <c r="D53" s="1" t="s">
        <v>42</v>
      </c>
      <c r="E53" s="33" t="n">
        <f aca="false">IF(D53="totale",(C53/(A53*24))/F53,IF(D53="marché libre",(C53/(A53*24))/G53,"spécifier histo"))</f>
        <v>0</v>
      </c>
      <c r="F53" s="59" t="n">
        <v>72</v>
      </c>
      <c r="G53" s="59" t="n">
        <f aca="false">F53-H53</f>
        <v>72</v>
      </c>
      <c r="H53" s="59" t="n">
        <v>0</v>
      </c>
      <c r="I53" s="9"/>
      <c r="J53" s="205"/>
      <c r="K53" s="206"/>
      <c r="L53" s="0"/>
    </row>
    <row r="54" customFormat="false" ht="12.8" hidden="false" customHeight="false" outlineLevel="0" collapsed="false">
      <c r="A54" s="0" t="n">
        <v>31</v>
      </c>
      <c r="B54" s="31" t="n">
        <v>38596</v>
      </c>
      <c r="C54" s="1" t="n">
        <v>0</v>
      </c>
      <c r="D54" s="1" t="s">
        <v>42</v>
      </c>
      <c r="E54" s="33" t="n">
        <f aca="false">IF(D54="totale",(C54/(A54*24))/F54,IF(D54="marché libre",(C54/(A54*24))/G54,"spécifier histo"))</f>
        <v>0</v>
      </c>
      <c r="F54" s="59" t="n">
        <v>72</v>
      </c>
      <c r="G54" s="59" t="n">
        <f aca="false">F54-H54</f>
        <v>72</v>
      </c>
      <c r="H54" s="59" t="n">
        <v>0</v>
      </c>
      <c r="I54" s="9"/>
      <c r="J54" s="205"/>
      <c r="K54" s="206"/>
      <c r="L54" s="0"/>
    </row>
    <row r="55" customFormat="false" ht="12.8" hidden="false" customHeight="false" outlineLevel="0" collapsed="false">
      <c r="A55" s="0" t="n">
        <v>28</v>
      </c>
      <c r="B55" s="34" t="n">
        <v>38626</v>
      </c>
      <c r="C55" s="1" t="n">
        <v>10344</v>
      </c>
      <c r="D55" s="1" t="s">
        <v>42</v>
      </c>
      <c r="E55" s="33" t="n">
        <f aca="false">IF(D55="totale",(C55/(A55*24))/F55,IF(D55="marché libre",(C55/(A55*24))/G55,"spécifier histo"))</f>
        <v>0.213789682539683</v>
      </c>
      <c r="F55" s="59" t="n">
        <v>72</v>
      </c>
      <c r="G55" s="59" t="n">
        <f aca="false">F55-H55</f>
        <v>72</v>
      </c>
      <c r="H55" s="59" t="n">
        <v>0</v>
      </c>
      <c r="I55" s="9"/>
      <c r="J55" s="205"/>
      <c r="K55" s="206"/>
      <c r="L55" s="0"/>
    </row>
    <row r="56" customFormat="false" ht="12.8" hidden="false" customHeight="false" outlineLevel="0" collapsed="false">
      <c r="A56" s="0" t="n">
        <v>31</v>
      </c>
      <c r="B56" s="31" t="n">
        <v>38657</v>
      </c>
      <c r="C56" s="1" t="n">
        <v>0</v>
      </c>
      <c r="D56" s="1" t="s">
        <v>42</v>
      </c>
      <c r="E56" s="33" t="n">
        <f aca="false">IF(D56="totale",(C56/(A56*24))/F56,IF(D56="marché libre",(C56/(A56*24))/G56,"spécifier histo"))</f>
        <v>0</v>
      </c>
      <c r="F56" s="59" t="n">
        <v>72</v>
      </c>
      <c r="G56" s="59" t="n">
        <f aca="false">F56-H56</f>
        <v>72</v>
      </c>
      <c r="H56" s="59" t="n">
        <v>0</v>
      </c>
      <c r="I56" s="9"/>
      <c r="J56" s="205"/>
      <c r="K56" s="206"/>
      <c r="L56" s="0"/>
    </row>
    <row r="57" customFormat="false" ht="12.8" hidden="false" customHeight="false" outlineLevel="0" collapsed="false">
      <c r="A57" s="0" t="n">
        <v>30</v>
      </c>
      <c r="B57" s="34" t="n">
        <v>38687</v>
      </c>
      <c r="C57" s="1" t="n">
        <v>0</v>
      </c>
      <c r="D57" s="1" t="s">
        <v>42</v>
      </c>
      <c r="E57" s="33" t="n">
        <f aca="false">IF(D57="totale",(C57/(A57*24))/F57,IF(D57="marché libre",(C57/(A57*24))/G57,"spécifier histo"))</f>
        <v>0</v>
      </c>
      <c r="F57" s="59" t="n">
        <v>72</v>
      </c>
      <c r="G57" s="59" t="n">
        <f aca="false">F57-H57</f>
        <v>72</v>
      </c>
      <c r="H57" s="59" t="n">
        <v>0</v>
      </c>
      <c r="I57" s="9"/>
      <c r="J57" s="205"/>
      <c r="K57" s="206"/>
      <c r="L57" s="0"/>
    </row>
    <row r="58" customFormat="false" ht="12.8" hidden="false" customHeight="false" outlineLevel="0" collapsed="false">
      <c r="A58" s="0" t="n">
        <v>31</v>
      </c>
      <c r="B58" s="31" t="n">
        <v>38718</v>
      </c>
      <c r="C58" s="1" t="n">
        <v>0</v>
      </c>
      <c r="D58" s="1" t="s">
        <v>42</v>
      </c>
      <c r="E58" s="33" t="n">
        <f aca="false">IF(D58="totale",(C58/(A58*24))/F58,IF(D58="marché libre",(C58/(A58*24))/G58,"spécifier histo"))</f>
        <v>0</v>
      </c>
      <c r="F58" s="59" t="n">
        <v>72</v>
      </c>
      <c r="G58" s="59" t="n">
        <f aca="false">F58-H58</f>
        <v>72</v>
      </c>
      <c r="H58" s="59" t="n">
        <v>0</v>
      </c>
      <c r="I58" s="9"/>
      <c r="J58" s="205"/>
      <c r="K58" s="206"/>
      <c r="L58" s="0"/>
    </row>
    <row r="59" customFormat="false" ht="12.8" hidden="false" customHeight="false" outlineLevel="0" collapsed="false">
      <c r="A59" s="0" t="n">
        <v>30</v>
      </c>
      <c r="B59" s="34" t="n">
        <v>38749</v>
      </c>
      <c r="C59" s="1" t="n">
        <v>0</v>
      </c>
      <c r="D59" s="1" t="s">
        <v>42</v>
      </c>
      <c r="E59" s="33" t="n">
        <f aca="false">IF(D59="totale",(C59/(A59*24))/F59,IF(D59="marché libre",(C59/(A59*24))/G59,"spécifier histo"))</f>
        <v>0</v>
      </c>
      <c r="F59" s="59" t="n">
        <v>72</v>
      </c>
      <c r="G59" s="59" t="n">
        <f aca="false">F59-H59</f>
        <v>72</v>
      </c>
      <c r="H59" s="59" t="n">
        <v>0</v>
      </c>
      <c r="I59" s="9"/>
      <c r="J59" s="205"/>
      <c r="K59" s="206"/>
      <c r="L59" s="0"/>
    </row>
    <row r="60" customFormat="false" ht="12.8" hidden="false" customHeight="false" outlineLevel="0" collapsed="false">
      <c r="A60" s="0" t="n">
        <v>31</v>
      </c>
      <c r="B60" s="31" t="n">
        <v>38777</v>
      </c>
      <c r="C60" s="1" t="n">
        <v>0</v>
      </c>
      <c r="D60" s="1" t="s">
        <v>42</v>
      </c>
      <c r="E60" s="33" t="n">
        <f aca="false">IF(D60="totale",(C60/(A60*24))/F60,IF(D60="marché libre",(C60/(A60*24))/G60,"spécifier histo"))</f>
        <v>0</v>
      </c>
      <c r="F60" s="59" t="n">
        <v>72</v>
      </c>
      <c r="G60" s="59" t="n">
        <f aca="false">F60-H60</f>
        <v>72</v>
      </c>
      <c r="H60" s="59" t="n">
        <v>0</v>
      </c>
      <c r="I60" s="9"/>
      <c r="J60" s="205"/>
      <c r="K60" s="206"/>
      <c r="L60" s="0"/>
    </row>
    <row r="61" customFormat="false" ht="12.8" hidden="false" customHeight="false" outlineLevel="0" collapsed="false">
      <c r="A61" s="0" t="n">
        <v>31</v>
      </c>
      <c r="B61" s="34" t="n">
        <v>38808</v>
      </c>
      <c r="C61" s="1" t="n">
        <v>0</v>
      </c>
      <c r="D61" s="1" t="s">
        <v>42</v>
      </c>
      <c r="E61" s="33" t="n">
        <f aca="false">IF(D61="totale",(C61/(A61*24))/F61,IF(D61="marché libre",(C61/(A61*24))/G61,"spécifier histo"))</f>
        <v>0</v>
      </c>
      <c r="F61" s="59" t="n">
        <v>72</v>
      </c>
      <c r="G61" s="59" t="n">
        <f aca="false">F61-H61</f>
        <v>72</v>
      </c>
      <c r="H61" s="59" t="n">
        <v>0</v>
      </c>
      <c r="I61" s="9"/>
      <c r="J61" s="205"/>
      <c r="K61" s="206"/>
      <c r="L61" s="0"/>
    </row>
    <row r="62" customFormat="false" ht="12.8" hidden="false" customHeight="false" outlineLevel="0" collapsed="false">
      <c r="A62" s="0" t="n">
        <v>30</v>
      </c>
      <c r="B62" s="31" t="n">
        <v>38838</v>
      </c>
      <c r="C62" s="1" t="n">
        <v>0</v>
      </c>
      <c r="D62" s="1" t="s">
        <v>42</v>
      </c>
      <c r="E62" s="33" t="n">
        <f aca="false">IF(D62="totale",(C62/(A62*24))/F62,IF(D62="marché libre",(C62/(A62*24))/G62,"spécifier histo"))</f>
        <v>0</v>
      </c>
      <c r="F62" s="59" t="n">
        <v>72</v>
      </c>
      <c r="G62" s="59" t="n">
        <f aca="false">F62-H62</f>
        <v>72</v>
      </c>
      <c r="H62" s="59" t="n">
        <v>0</v>
      </c>
      <c r="I62" s="9"/>
      <c r="J62" s="205"/>
      <c r="K62" s="206"/>
      <c r="L62" s="0"/>
    </row>
    <row r="63" customFormat="false" ht="12.8" hidden="false" customHeight="false" outlineLevel="0" collapsed="false">
      <c r="A63" s="0" t="n">
        <v>31</v>
      </c>
      <c r="B63" s="34" t="n">
        <v>38869</v>
      </c>
      <c r="C63" s="1" t="n">
        <v>0</v>
      </c>
      <c r="D63" s="1" t="s">
        <v>42</v>
      </c>
      <c r="E63" s="33" t="n">
        <f aca="false">IF(D63="totale",(C63/(A63*24))/F63,IF(D63="marché libre",(C63/(A63*24))/G63,"spécifier histo"))</f>
        <v>0</v>
      </c>
      <c r="F63" s="59" t="n">
        <v>72</v>
      </c>
      <c r="G63" s="59" t="n">
        <f aca="false">F63-H63</f>
        <v>72</v>
      </c>
      <c r="H63" s="59" t="n">
        <v>0</v>
      </c>
      <c r="I63" s="9"/>
      <c r="J63" s="205"/>
      <c r="K63" s="206"/>
      <c r="L63" s="0"/>
    </row>
    <row r="64" customFormat="false" ht="12.8" hidden="false" customHeight="false" outlineLevel="0" collapsed="false">
      <c r="A64" s="0" t="n">
        <v>30</v>
      </c>
      <c r="B64" s="31" t="n">
        <v>38899</v>
      </c>
      <c r="C64" s="1" t="n">
        <v>0</v>
      </c>
      <c r="D64" s="1" t="s">
        <v>42</v>
      </c>
      <c r="E64" s="33" t="n">
        <f aca="false">IF(D64="totale",(C64/(A64*24))/F64,IF(D64="marché libre",(C64/(A64*24))/G64,"spécifier histo"))</f>
        <v>0</v>
      </c>
      <c r="F64" s="59" t="n">
        <v>72</v>
      </c>
      <c r="G64" s="59" t="n">
        <f aca="false">F64-H64</f>
        <v>72</v>
      </c>
      <c r="H64" s="59" t="n">
        <v>0</v>
      </c>
      <c r="I64" s="9"/>
      <c r="J64" s="205"/>
      <c r="K64" s="206"/>
      <c r="L64" s="0"/>
    </row>
    <row r="65" customFormat="false" ht="12.8" hidden="false" customHeight="false" outlineLevel="0" collapsed="false">
      <c r="A65" s="0" t="n">
        <v>31</v>
      </c>
      <c r="B65" s="34" t="n">
        <v>38930</v>
      </c>
      <c r="C65" s="1" t="n">
        <v>0</v>
      </c>
      <c r="D65" s="1" t="s">
        <v>42</v>
      </c>
      <c r="E65" s="33" t="n">
        <f aca="false">IF(D65="totale",(C65/(A65*24))/F65,IF(D65="marché libre",(C65/(A65*24))/G65,"spécifier histo"))</f>
        <v>0</v>
      </c>
      <c r="F65" s="59" t="n">
        <v>72</v>
      </c>
      <c r="G65" s="59" t="n">
        <f aca="false">F65-H65</f>
        <v>72</v>
      </c>
      <c r="H65" s="59" t="n">
        <v>0</v>
      </c>
      <c r="I65" s="9"/>
      <c r="J65" s="205"/>
      <c r="K65" s="206"/>
      <c r="L65" s="0"/>
    </row>
    <row r="66" customFormat="false" ht="12.8" hidden="false" customHeight="false" outlineLevel="0" collapsed="false">
      <c r="A66" s="0" t="n">
        <v>31</v>
      </c>
      <c r="B66" s="31" t="n">
        <v>38961</v>
      </c>
      <c r="C66" s="1" t="n">
        <v>0</v>
      </c>
      <c r="D66" s="1" t="s">
        <v>42</v>
      </c>
      <c r="E66" s="33" t="n">
        <f aca="false">IF(D66="totale",(C66/(A66*24))/F66,IF(D66="marché libre",(C66/(A66*24))/G66,"spécifier histo"))</f>
        <v>0</v>
      </c>
      <c r="F66" s="59" t="n">
        <v>72</v>
      </c>
      <c r="G66" s="59" t="n">
        <f aca="false">F66-H66</f>
        <v>72</v>
      </c>
      <c r="H66" s="59" t="n">
        <v>0</v>
      </c>
      <c r="I66" s="9"/>
      <c r="J66" s="205"/>
      <c r="K66" s="206"/>
      <c r="L66" s="0"/>
    </row>
    <row r="67" customFormat="false" ht="12.8" hidden="false" customHeight="false" outlineLevel="0" collapsed="false">
      <c r="A67" s="0" t="n">
        <v>30</v>
      </c>
      <c r="B67" s="34" t="n">
        <v>38991</v>
      </c>
      <c r="C67" s="1" t="n">
        <v>14776</v>
      </c>
      <c r="D67" s="1" t="s">
        <v>42</v>
      </c>
      <c r="E67" s="33" t="n">
        <f aca="false">IF(D67="totale",(C67/(A67*24))/F67,IF(D67="marché libre",(C67/(A67*24))/G67,"spécifier histo"))</f>
        <v>0.285030864197531</v>
      </c>
      <c r="F67" s="59" t="n">
        <v>72</v>
      </c>
      <c r="G67" s="59" t="n">
        <f aca="false">F67-H67</f>
        <v>72</v>
      </c>
      <c r="H67" s="59" t="n">
        <v>0</v>
      </c>
      <c r="I67" s="9"/>
      <c r="J67" s="205"/>
      <c r="K67" s="206"/>
      <c r="L67" s="0"/>
    </row>
    <row r="68" customFormat="false" ht="12.8" hidden="false" customHeight="false" outlineLevel="0" collapsed="false">
      <c r="A68" s="0" t="n">
        <v>31</v>
      </c>
      <c r="B68" s="31" t="n">
        <v>39022</v>
      </c>
      <c r="C68" s="1" t="n">
        <v>6638</v>
      </c>
      <c r="D68" s="1" t="s">
        <v>42</v>
      </c>
      <c r="E68" s="33" t="n">
        <f aca="false">IF(D68="totale",(C68/(A68*24))/F68,IF(D68="marché libre",(C68/(A68*24))/G68,"spécifier histo"))</f>
        <v>0.123917264038232</v>
      </c>
      <c r="F68" s="59" t="n">
        <v>72</v>
      </c>
      <c r="G68" s="59" t="n">
        <f aca="false">F68-H68</f>
        <v>72</v>
      </c>
      <c r="H68" s="59" t="n">
        <v>0</v>
      </c>
      <c r="I68" s="9"/>
      <c r="J68" s="205"/>
      <c r="K68" s="206"/>
      <c r="L68" s="0"/>
    </row>
    <row r="69" customFormat="false" ht="12.8" hidden="false" customHeight="false" outlineLevel="0" collapsed="false">
      <c r="A69" s="0" t="n">
        <v>31</v>
      </c>
      <c r="B69" s="34" t="n">
        <v>39052</v>
      </c>
      <c r="C69" s="1" t="n">
        <v>19740</v>
      </c>
      <c r="D69" s="1" t="s">
        <v>42</v>
      </c>
      <c r="E69" s="33" t="n">
        <f aca="false">IF(D69="totale",(C69/(A69*24))/F69,IF(D69="marché libre",(C69/(A69*24))/G69,"spécifier histo"))</f>
        <v>0.368503584229391</v>
      </c>
      <c r="F69" s="59" t="n">
        <v>72</v>
      </c>
      <c r="G69" s="59" t="n">
        <f aca="false">F69-H69</f>
        <v>72</v>
      </c>
      <c r="H69" s="59" t="n">
        <v>0</v>
      </c>
      <c r="I69" s="9"/>
      <c r="J69" s="205"/>
      <c r="K69" s="206"/>
      <c r="L69" s="0"/>
    </row>
    <row r="70" customFormat="false" ht="12.8" hidden="false" customHeight="false" outlineLevel="0" collapsed="false">
      <c r="A70" s="0" t="n">
        <v>30</v>
      </c>
      <c r="B70" s="31" t="n">
        <v>39083</v>
      </c>
      <c r="C70" s="1" t="n">
        <v>10796</v>
      </c>
      <c r="D70" s="1" t="s">
        <v>42</v>
      </c>
      <c r="E70" s="33" t="n">
        <f aca="false">IF(D70="totale",(C70/(A70*24))/F70,IF(D70="marché libre",(C70/(A70*24))/G70,"spécifier histo"))</f>
        <v>0.208256172839506</v>
      </c>
      <c r="F70" s="59" t="n">
        <v>72</v>
      </c>
      <c r="G70" s="59" t="n">
        <f aca="false">F70-H70</f>
        <v>72</v>
      </c>
      <c r="H70" s="59" t="n">
        <v>0</v>
      </c>
      <c r="I70" s="9"/>
      <c r="J70" s="205"/>
      <c r="K70" s="206"/>
      <c r="L70" s="0"/>
    </row>
    <row r="71" customFormat="false" ht="12.8" hidden="false" customHeight="false" outlineLevel="0" collapsed="false">
      <c r="A71" s="0" t="n">
        <v>31</v>
      </c>
      <c r="B71" s="34" t="n">
        <v>39114</v>
      </c>
      <c r="C71" s="1" t="n">
        <v>0</v>
      </c>
      <c r="D71" s="1" t="s">
        <v>42</v>
      </c>
      <c r="E71" s="33" t="n">
        <f aca="false">IF(D71="totale",(C71/(A71*24))/F71,IF(D71="marché libre",(C71/(A71*24))/G71,"spécifier histo"))</f>
        <v>0</v>
      </c>
      <c r="F71" s="59" t="n">
        <v>72</v>
      </c>
      <c r="G71" s="59" t="n">
        <f aca="false">F71-H71</f>
        <v>72</v>
      </c>
      <c r="H71" s="59" t="n">
        <v>0</v>
      </c>
      <c r="I71" s="9"/>
      <c r="J71" s="205"/>
      <c r="K71" s="206"/>
      <c r="L71" s="0"/>
    </row>
    <row r="72" customFormat="false" ht="12.8" hidden="false" customHeight="false" outlineLevel="0" collapsed="false">
      <c r="A72" s="0" t="n">
        <v>30</v>
      </c>
      <c r="B72" s="31" t="n">
        <v>39142</v>
      </c>
      <c r="C72" s="1" t="n">
        <v>0</v>
      </c>
      <c r="D72" s="1" t="s">
        <v>42</v>
      </c>
      <c r="E72" s="33" t="n">
        <f aca="false">IF(D72="totale",(C72/(A72*24))/F72,IF(D72="marché libre",(C72/(A72*24))/G72,"spécifier histo"))</f>
        <v>0</v>
      </c>
      <c r="F72" s="59" t="n">
        <v>72</v>
      </c>
      <c r="G72" s="59" t="n">
        <f aca="false">F72-H72</f>
        <v>72</v>
      </c>
      <c r="H72" s="59" t="n">
        <v>0</v>
      </c>
      <c r="I72" s="9"/>
      <c r="J72" s="205"/>
      <c r="K72" s="206"/>
      <c r="L72" s="0"/>
    </row>
    <row r="73" customFormat="false" ht="12.8" hidden="false" customHeight="false" outlineLevel="0" collapsed="false">
      <c r="A73" s="0" t="n">
        <v>31</v>
      </c>
      <c r="B73" s="34" t="n">
        <v>39173</v>
      </c>
      <c r="C73" s="1" t="n">
        <v>0</v>
      </c>
      <c r="D73" s="1" t="s">
        <v>42</v>
      </c>
      <c r="E73" s="33" t="n">
        <f aca="false">IF(D73="totale",(C73/(A73*24))/F73,IF(D73="marché libre",(C73/(A73*24))/G73,"spécifier histo"))</f>
        <v>0</v>
      </c>
      <c r="F73" s="59" t="n">
        <v>72</v>
      </c>
      <c r="G73" s="59" t="n">
        <f aca="false">F73-H73</f>
        <v>72</v>
      </c>
      <c r="H73" s="59" t="n">
        <v>0</v>
      </c>
      <c r="I73" s="9"/>
      <c r="J73" s="205"/>
      <c r="K73" s="206"/>
      <c r="L73" s="0"/>
    </row>
    <row r="74" customFormat="false" ht="12.8" hidden="false" customHeight="false" outlineLevel="0" collapsed="false">
      <c r="A74" s="0" t="n">
        <v>31</v>
      </c>
      <c r="B74" s="31" t="n">
        <v>39203</v>
      </c>
      <c r="C74" s="1" t="n">
        <v>20736</v>
      </c>
      <c r="D74" s="1" t="s">
        <v>42</v>
      </c>
      <c r="E74" s="33" t="n">
        <f aca="false">IF(D74="totale",(C74/(A74*24))/F74,IF(D74="marché libre",(C74/(A74*24))/G74,"spécifier histo"))</f>
        <v>0.387096774193548</v>
      </c>
      <c r="F74" s="59" t="n">
        <v>72</v>
      </c>
      <c r="G74" s="59" t="n">
        <f aca="false">F74-H74</f>
        <v>72</v>
      </c>
      <c r="H74" s="59" t="n">
        <v>0</v>
      </c>
      <c r="I74" s="9"/>
      <c r="J74" s="205"/>
      <c r="K74" s="206"/>
      <c r="L74" s="0"/>
    </row>
    <row r="75" customFormat="false" ht="12.8" hidden="false" customHeight="false" outlineLevel="0" collapsed="false">
      <c r="A75" s="0" t="n">
        <v>28</v>
      </c>
      <c r="B75" s="34" t="n">
        <v>39234</v>
      </c>
      <c r="C75" s="1" t="n">
        <v>0</v>
      </c>
      <c r="D75" s="1" t="s">
        <v>42</v>
      </c>
      <c r="E75" s="33" t="n">
        <f aca="false">IF(D75="totale",(C75/(A75*24))/F75,IF(D75="marché libre",(C75/(A75*24))/G75,"spécifier histo"))</f>
        <v>0</v>
      </c>
      <c r="F75" s="59" t="n">
        <v>72</v>
      </c>
      <c r="G75" s="59" t="n">
        <f aca="false">F75-H75</f>
        <v>72</v>
      </c>
      <c r="H75" s="59" t="n">
        <v>0</v>
      </c>
      <c r="I75" s="9"/>
      <c r="J75" s="205"/>
      <c r="K75" s="206"/>
      <c r="L75" s="0"/>
    </row>
    <row r="76" customFormat="false" ht="12.8" hidden="false" customHeight="false" outlineLevel="0" collapsed="false">
      <c r="A76" s="0" t="n">
        <v>31</v>
      </c>
      <c r="B76" s="31" t="n">
        <v>39264</v>
      </c>
      <c r="C76" s="1" t="n">
        <v>4030</v>
      </c>
      <c r="D76" s="1" t="s">
        <v>42</v>
      </c>
      <c r="E76" s="33" t="n">
        <f aca="false">IF(D76="totale",(C76/(A76*24))/F76,IF(D76="marché libre",(C76/(A76*24))/G76,"spécifier histo"))</f>
        <v>0.0752314814814815</v>
      </c>
      <c r="F76" s="59" t="n">
        <v>72</v>
      </c>
      <c r="G76" s="59" t="n">
        <f aca="false">F76-H76</f>
        <v>72</v>
      </c>
      <c r="H76" s="59" t="n">
        <v>0</v>
      </c>
      <c r="I76" s="9"/>
      <c r="J76" s="205"/>
      <c r="K76" s="206"/>
      <c r="L76" s="0"/>
    </row>
    <row r="77" customFormat="false" ht="12.8" hidden="false" customHeight="false" outlineLevel="0" collapsed="false">
      <c r="A77" s="0" t="n">
        <v>30</v>
      </c>
      <c r="B77" s="34" t="n">
        <v>39295</v>
      </c>
      <c r="C77" s="1" t="n">
        <v>0</v>
      </c>
      <c r="D77" s="1" t="s">
        <v>42</v>
      </c>
      <c r="E77" s="33" t="n">
        <f aca="false">IF(D77="totale",(C77/(A77*24))/F77,IF(D77="marché libre",(C77/(A77*24))/G77,"spécifier histo"))</f>
        <v>0</v>
      </c>
      <c r="F77" s="59" t="n">
        <v>72</v>
      </c>
      <c r="G77" s="59" t="n">
        <f aca="false">F77-H77</f>
        <v>72</v>
      </c>
      <c r="H77" s="59" t="n">
        <v>0</v>
      </c>
      <c r="I77" s="9"/>
      <c r="J77" s="205"/>
      <c r="K77" s="206"/>
      <c r="L77" s="0"/>
    </row>
    <row r="78" customFormat="false" ht="12.8" hidden="false" customHeight="false" outlineLevel="0" collapsed="false">
      <c r="A78" s="0" t="n">
        <v>31</v>
      </c>
      <c r="B78" s="31" t="n">
        <v>39326</v>
      </c>
      <c r="C78" s="1" t="n">
        <v>0</v>
      </c>
      <c r="D78" s="1" t="s">
        <v>42</v>
      </c>
      <c r="E78" s="33" t="n">
        <f aca="false">IF(D78="totale",(C78/(A78*24))/F78,IF(D78="marché libre",(C78/(A78*24))/G78,"spécifier histo"))</f>
        <v>0</v>
      </c>
      <c r="F78" s="59" t="n">
        <v>72</v>
      </c>
      <c r="G78" s="59" t="n">
        <f aca="false">F78-H78</f>
        <v>72</v>
      </c>
      <c r="H78" s="59" t="n">
        <v>0</v>
      </c>
      <c r="I78" s="9"/>
      <c r="J78" s="205"/>
      <c r="K78" s="206"/>
      <c r="L78" s="0"/>
    </row>
    <row r="79" customFormat="false" ht="12.8" hidden="false" customHeight="false" outlineLevel="0" collapsed="false">
      <c r="A79" s="0" t="n">
        <v>30</v>
      </c>
      <c r="B79" s="34" t="n">
        <v>39356</v>
      </c>
      <c r="D79" s="1" t="s">
        <v>42</v>
      </c>
      <c r="E79" s="33" t="n">
        <f aca="false">IF(D79="totale",(C79/(A79*24))/F79,IF(D79="marché libre",(C79/(A79*24))/G79,"spécifier histo"))</f>
        <v>0</v>
      </c>
      <c r="F79" s="59" t="n">
        <v>72</v>
      </c>
      <c r="G79" s="59" t="n">
        <f aca="false">F79-H79</f>
        <v>72</v>
      </c>
      <c r="H79" s="59" t="n">
        <v>0</v>
      </c>
      <c r="I79" s="9"/>
      <c r="J79" s="205"/>
      <c r="K79" s="206"/>
      <c r="L79" s="0"/>
    </row>
    <row r="80" customFormat="false" ht="12.8" hidden="false" customHeight="false" outlineLevel="0" collapsed="false">
      <c r="A80" s="0" t="n">
        <v>31</v>
      </c>
      <c r="B80" s="31" t="n">
        <v>39387</v>
      </c>
      <c r="C80" s="1" t="n">
        <v>3520</v>
      </c>
      <c r="D80" s="1" t="s">
        <v>42</v>
      </c>
      <c r="E80" s="33" t="n">
        <f aca="false">IF(D80="totale",(C80/(A80*24))/F80,IF(D80="marché libre",(C80/(A80*24))/G80,"spécifier histo"))</f>
        <v>0.0657108721624851</v>
      </c>
      <c r="F80" s="59" t="n">
        <v>72</v>
      </c>
      <c r="G80" s="59" t="n">
        <f aca="false">F80-H80</f>
        <v>72</v>
      </c>
      <c r="H80" s="59" t="n">
        <v>0</v>
      </c>
      <c r="I80" s="9"/>
      <c r="J80" s="205"/>
      <c r="K80" s="206"/>
      <c r="L80" s="0"/>
    </row>
    <row r="81" customFormat="false" ht="12.8" hidden="false" customHeight="false" outlineLevel="0" collapsed="false">
      <c r="A81" s="0" t="n">
        <v>31</v>
      </c>
      <c r="B81" s="34" t="n">
        <v>39417</v>
      </c>
      <c r="C81" s="1" t="n">
        <v>912</v>
      </c>
      <c r="D81" s="1" t="s">
        <v>42</v>
      </c>
      <c r="E81" s="33" t="n">
        <f aca="false">IF(D81="totale",(C81/(A81*24))/F81,IF(D81="marché libre",(C81/(A81*24))/G81,"spécifier histo"))</f>
        <v>0.0170250896057348</v>
      </c>
      <c r="F81" s="59" t="n">
        <v>72</v>
      </c>
      <c r="G81" s="59" t="n">
        <f aca="false">F81-H81</f>
        <v>72</v>
      </c>
      <c r="H81" s="59" t="n">
        <v>0</v>
      </c>
      <c r="I81" s="9"/>
      <c r="J81" s="205"/>
      <c r="K81" s="206"/>
      <c r="L81" s="0"/>
    </row>
    <row r="82" customFormat="false" ht="12.8" hidden="false" customHeight="false" outlineLevel="0" collapsed="false">
      <c r="A82" s="0" t="n">
        <v>30</v>
      </c>
      <c r="B82" s="31" t="n">
        <v>39448</v>
      </c>
      <c r="C82" s="1" t="n">
        <v>25772</v>
      </c>
      <c r="D82" s="1" t="s">
        <v>42</v>
      </c>
      <c r="E82" s="33" t="n">
        <f aca="false">IF(D82="totale",(C82/(A82*24))/F82,IF(D82="marché libre",(C82/(A82*24))/G82,"spécifier histo"))</f>
        <v>0.497145061728395</v>
      </c>
      <c r="F82" s="59" t="n">
        <v>72</v>
      </c>
      <c r="G82" s="59" t="n">
        <f aca="false">F82-H82</f>
        <v>72</v>
      </c>
      <c r="H82" s="59" t="n">
        <v>0</v>
      </c>
      <c r="I82" s="9"/>
      <c r="J82" s="205"/>
      <c r="K82" s="206"/>
      <c r="L82" s="0"/>
    </row>
    <row r="83" customFormat="false" ht="12.8" hidden="false" customHeight="false" outlineLevel="0" collapsed="false">
      <c r="A83" s="0" t="n">
        <v>31</v>
      </c>
      <c r="B83" s="34" t="n">
        <v>39479</v>
      </c>
      <c r="C83" s="1" t="n">
        <v>26292</v>
      </c>
      <c r="D83" s="1" t="s">
        <v>42</v>
      </c>
      <c r="E83" s="33" t="n">
        <f aca="false">IF(D83="totale",(C83/(A83*24))/F83,IF(D83="marché libre",(C83/(A83*24))/G83,"spécifier histo"))</f>
        <v>0.49081541218638</v>
      </c>
      <c r="F83" s="59" t="n">
        <v>72</v>
      </c>
      <c r="G83" s="59" t="n">
        <f aca="false">F83-H83</f>
        <v>72</v>
      </c>
      <c r="H83" s="59" t="n">
        <v>0</v>
      </c>
      <c r="I83" s="9"/>
      <c r="J83" s="205"/>
      <c r="K83" s="206"/>
      <c r="L83" s="0"/>
    </row>
    <row r="84" customFormat="false" ht="12.8" hidden="false" customHeight="false" outlineLevel="0" collapsed="false">
      <c r="A84" s="0" t="n">
        <v>30</v>
      </c>
      <c r="B84" s="31" t="n">
        <v>39508</v>
      </c>
      <c r="C84" s="1" t="n">
        <v>17802</v>
      </c>
      <c r="D84" s="1" t="s">
        <v>42</v>
      </c>
      <c r="E84" s="33" t="n">
        <f aca="false">IF(D84="totale",(C84/(A84*24))/F84,IF(D84="marché libre",(C84/(A84*24))/G84,"spécifier histo"))</f>
        <v>0.343402777777778</v>
      </c>
      <c r="F84" s="59" t="n">
        <v>72</v>
      </c>
      <c r="G84" s="59" t="n">
        <f aca="false">F84-H84</f>
        <v>72</v>
      </c>
      <c r="H84" s="59" t="n">
        <v>0</v>
      </c>
      <c r="I84" s="9"/>
      <c r="J84" s="205"/>
      <c r="K84" s="206"/>
      <c r="L84" s="0"/>
    </row>
    <row r="85" customFormat="false" ht="12.8" hidden="false" customHeight="false" outlineLevel="0" collapsed="false">
      <c r="A85" s="0" t="n">
        <v>31</v>
      </c>
      <c r="B85" s="34" t="n">
        <v>39539</v>
      </c>
      <c r="C85" s="1" t="n">
        <v>23038</v>
      </c>
      <c r="D85" s="1" t="s">
        <v>42</v>
      </c>
      <c r="E85" s="33" t="n">
        <f aca="false">IF(D85="totale",(C85/(A85*24))/F85,IF(D85="marché libre",(C85/(A85*24))/G85,"spécifier histo"))</f>
        <v>0.430070191158901</v>
      </c>
      <c r="F85" s="59" t="n">
        <v>72</v>
      </c>
      <c r="G85" s="59" t="n">
        <f aca="false">F85-H85</f>
        <v>72</v>
      </c>
      <c r="H85" s="59" t="n">
        <v>0</v>
      </c>
      <c r="I85" s="9"/>
      <c r="J85" s="205"/>
      <c r="K85" s="206"/>
      <c r="L85" s="0"/>
    </row>
    <row r="86" customFormat="false" ht="12.8" hidden="false" customHeight="false" outlineLevel="0" collapsed="false">
      <c r="A86" s="0" t="n">
        <v>31</v>
      </c>
      <c r="B86" s="31" t="n">
        <v>39569</v>
      </c>
      <c r="C86" s="1" t="n">
        <v>27310</v>
      </c>
      <c r="D86" s="1" t="s">
        <v>42</v>
      </c>
      <c r="E86" s="33" t="n">
        <f aca="false">IF(D86="totale",(C86/(A86*24))/F86,IF(D86="marché libre",(C86/(A86*24))/G86,"spécifier histo"))</f>
        <v>0.509819295101553</v>
      </c>
      <c r="F86" s="59" t="n">
        <v>72</v>
      </c>
      <c r="G86" s="59" t="n">
        <f aca="false">F86-H86</f>
        <v>72</v>
      </c>
      <c r="H86" s="59" t="n">
        <v>0</v>
      </c>
      <c r="I86" s="9"/>
      <c r="J86" s="205"/>
      <c r="K86" s="206"/>
      <c r="L86" s="0"/>
    </row>
    <row r="87" customFormat="false" ht="12.8" hidden="false" customHeight="false" outlineLevel="0" collapsed="false">
      <c r="A87" s="0" t="n">
        <v>28</v>
      </c>
      <c r="B87" s="34" t="n">
        <v>39600</v>
      </c>
      <c r="C87" s="1" t="n">
        <v>31928</v>
      </c>
      <c r="D87" s="1" t="s">
        <v>42</v>
      </c>
      <c r="E87" s="33" t="n">
        <f aca="false">IF(D87="totale",(C87/(A87*24))/F87,IF(D87="marché libre",(C87/(A87*24))/G87,"spécifier histo"))</f>
        <v>0.659887566137566</v>
      </c>
      <c r="F87" s="59" t="n">
        <v>72</v>
      </c>
      <c r="G87" s="59" t="n">
        <f aca="false">F87-H87</f>
        <v>72</v>
      </c>
      <c r="H87" s="59" t="n">
        <v>0</v>
      </c>
      <c r="I87" s="9"/>
      <c r="J87" s="205"/>
      <c r="K87" s="206"/>
      <c r="L87" s="0"/>
    </row>
    <row r="88" customFormat="false" ht="12.8" hidden="false" customHeight="false" outlineLevel="0" collapsed="false">
      <c r="A88" s="0" t="n">
        <v>31</v>
      </c>
      <c r="B88" s="31" t="n">
        <v>39630</v>
      </c>
      <c r="C88" s="1" t="n">
        <v>15894</v>
      </c>
      <c r="D88" s="1" t="s">
        <v>42</v>
      </c>
      <c r="E88" s="33" t="n">
        <f aca="false">IF(D88="totale",(C88/(A88*24))/F88,IF(D88="marché libre",(C88/(A88*24))/G88,"spécifier histo"))</f>
        <v>0.296706989247312</v>
      </c>
      <c r="F88" s="59" t="n">
        <v>72</v>
      </c>
      <c r="G88" s="59" t="n">
        <f aca="false">F88-H88</f>
        <v>72</v>
      </c>
      <c r="H88" s="59" t="n">
        <v>0</v>
      </c>
      <c r="I88" s="9"/>
      <c r="J88" s="205"/>
      <c r="K88" s="206"/>
      <c r="L88" s="0"/>
    </row>
    <row r="89" customFormat="false" ht="12.8" hidden="false" customHeight="false" outlineLevel="0" collapsed="false">
      <c r="A89" s="0" t="n">
        <v>30</v>
      </c>
      <c r="B89" s="34" t="n">
        <v>39661</v>
      </c>
      <c r="C89" s="1" t="n">
        <v>5680</v>
      </c>
      <c r="D89" s="1" t="s">
        <v>42</v>
      </c>
      <c r="E89" s="33" t="n">
        <f aca="false">IF(D89="totale",(C89/(A89*24))/F89,IF(D89="marché libre",(C89/(A89*24))/G89,"spécifier histo"))</f>
        <v>0.109567901234568</v>
      </c>
      <c r="F89" s="59" t="n">
        <v>72</v>
      </c>
      <c r="G89" s="59" t="n">
        <f aca="false">F89-H89</f>
        <v>72</v>
      </c>
      <c r="H89" s="59" t="n">
        <v>0</v>
      </c>
      <c r="I89" s="9"/>
      <c r="J89" s="205"/>
      <c r="K89" s="206"/>
      <c r="L89" s="0"/>
    </row>
    <row r="90" customFormat="false" ht="12.8" hidden="false" customHeight="false" outlineLevel="0" collapsed="false">
      <c r="A90" s="0" t="n">
        <v>31</v>
      </c>
      <c r="B90" s="31" t="n">
        <v>39692</v>
      </c>
      <c r="C90" s="1" t="n">
        <v>15430</v>
      </c>
      <c r="D90" s="1" t="s">
        <v>42</v>
      </c>
      <c r="E90" s="33" t="n">
        <f aca="false">IF(D90="totale",(C90/(A90*24))/F90,IF(D90="marché libre",(C90/(A90*24))/G90,"spécifier histo"))</f>
        <v>0.288045101553166</v>
      </c>
      <c r="F90" s="59" t="n">
        <v>72</v>
      </c>
      <c r="G90" s="59" t="n">
        <f aca="false">F90-H90</f>
        <v>72</v>
      </c>
      <c r="H90" s="59" t="n">
        <v>0</v>
      </c>
      <c r="I90" s="9"/>
      <c r="J90" s="205"/>
      <c r="K90" s="206"/>
      <c r="L90" s="0"/>
    </row>
    <row r="91" customFormat="false" ht="12.8" hidden="false" customHeight="false" outlineLevel="0" collapsed="false">
      <c r="A91" s="0" t="n">
        <v>30</v>
      </c>
      <c r="B91" s="34" t="n">
        <v>39722</v>
      </c>
      <c r="C91" s="1" t="n">
        <v>7244</v>
      </c>
      <c r="D91" s="1" t="s">
        <v>42</v>
      </c>
      <c r="E91" s="33" t="n">
        <f aca="false">IF(D91="totale",(C91/(A91*24))/F91,IF(D91="marché libre",(C91/(A91*24))/G91,"spécifier histo"))</f>
        <v>0.139737654320988</v>
      </c>
      <c r="F91" s="59" t="n">
        <v>72</v>
      </c>
      <c r="G91" s="59" t="n">
        <f aca="false">F91-H91</f>
        <v>72</v>
      </c>
      <c r="H91" s="59" t="n">
        <v>0</v>
      </c>
      <c r="I91" s="9"/>
      <c r="J91" s="205"/>
      <c r="K91" s="206"/>
      <c r="L91" s="0"/>
    </row>
    <row r="92" customFormat="false" ht="12.8" hidden="false" customHeight="false" outlineLevel="0" collapsed="false">
      <c r="A92" s="0" t="n">
        <v>31</v>
      </c>
      <c r="B92" s="31" t="n">
        <v>39753</v>
      </c>
      <c r="C92" s="1" t="n">
        <v>23270</v>
      </c>
      <c r="D92" s="1" t="s">
        <v>42</v>
      </c>
      <c r="E92" s="33" t="n">
        <f aca="false">IF(D92="totale",(C92/(A92*24))/F92,IF(D92="marché libre",(C92/(A92*24))/G92,"spécifier histo"))</f>
        <v>0.434401135005974</v>
      </c>
      <c r="F92" s="59" t="n">
        <v>72</v>
      </c>
      <c r="G92" s="59" t="n">
        <f aca="false">F92-H92</f>
        <v>72</v>
      </c>
      <c r="H92" s="59" t="n">
        <v>0</v>
      </c>
      <c r="I92" s="9"/>
      <c r="J92" s="205"/>
      <c r="K92" s="206"/>
      <c r="L92" s="0"/>
    </row>
    <row r="93" customFormat="false" ht="12.8" hidden="false" customHeight="false" outlineLevel="0" collapsed="false">
      <c r="A93" s="0" t="n">
        <v>31</v>
      </c>
      <c r="B93" s="34" t="n">
        <v>39783</v>
      </c>
      <c r="C93" s="1" t="n">
        <v>35565</v>
      </c>
      <c r="D93" s="1" t="s">
        <v>42</v>
      </c>
      <c r="E93" s="33" t="n">
        <f aca="false">IF(D93="totale",(C93/(A93*24))/F93,IF(D93="marché libre",(C93/(A93*24))/G93,"spécifier histo"))</f>
        <v>0.663922491039427</v>
      </c>
      <c r="F93" s="59" t="n">
        <v>72</v>
      </c>
      <c r="G93" s="59" t="n">
        <f aca="false">F93-H93</f>
        <v>72</v>
      </c>
      <c r="H93" s="59" t="n">
        <v>0</v>
      </c>
      <c r="I93" s="9"/>
      <c r="J93" s="205"/>
      <c r="K93" s="206"/>
      <c r="L93" s="0"/>
    </row>
    <row r="94" customFormat="false" ht="12.8" hidden="false" customHeight="false" outlineLevel="0" collapsed="false">
      <c r="A94" s="0" t="n">
        <v>30</v>
      </c>
      <c r="B94" s="31" t="n">
        <v>39814</v>
      </c>
      <c r="C94" s="1" t="n">
        <v>37180</v>
      </c>
      <c r="D94" s="1" t="s">
        <v>42</v>
      </c>
      <c r="E94" s="33" t="n">
        <f aca="false">IF(D94="totale",(C94/(A94*24))/F94,IF(D94="marché libre",(C94/(A94*24))/G94,"spécifier histo"))</f>
        <v>0.717206790123457</v>
      </c>
      <c r="F94" s="59" t="n">
        <v>72</v>
      </c>
      <c r="G94" s="59" t="n">
        <f aca="false">F94-H94</f>
        <v>72</v>
      </c>
      <c r="H94" s="59" t="n">
        <v>0</v>
      </c>
      <c r="I94" s="9"/>
      <c r="J94" s="205"/>
      <c r="K94" s="206"/>
      <c r="L94" s="0"/>
    </row>
    <row r="95" customFormat="false" ht="12.8" hidden="false" customHeight="false" outlineLevel="0" collapsed="false">
      <c r="A95" s="0" t="n">
        <v>31</v>
      </c>
      <c r="B95" s="34" t="n">
        <v>39845</v>
      </c>
      <c r="C95" s="1" t="n">
        <v>29616</v>
      </c>
      <c r="D95" s="1" t="s">
        <v>42</v>
      </c>
      <c r="E95" s="33" t="n">
        <f aca="false">IF(D95="totale",(C95/(A95*24))/F95,IF(D95="marché libre",(C95/(A95*24))/G95,"spécifier histo"))</f>
        <v>0.552867383512545</v>
      </c>
      <c r="F95" s="59" t="n">
        <v>72</v>
      </c>
      <c r="G95" s="59" t="n">
        <f aca="false">F95-H95</f>
        <v>72</v>
      </c>
      <c r="H95" s="59" t="n">
        <v>0</v>
      </c>
      <c r="I95" s="9"/>
      <c r="J95" s="205"/>
      <c r="K95" s="206"/>
      <c r="L95" s="0"/>
    </row>
    <row r="96" customFormat="false" ht="12.8" hidden="false" customHeight="false" outlineLevel="0" collapsed="false">
      <c r="A96" s="0" t="n">
        <v>30</v>
      </c>
      <c r="B96" s="31" t="n">
        <v>39873</v>
      </c>
      <c r="C96" s="1" t="n">
        <v>35278</v>
      </c>
      <c r="D96" s="1" t="s">
        <v>42</v>
      </c>
      <c r="E96" s="33" t="n">
        <f aca="false">IF(D96="totale",(C96/(A96*24))/F96,IF(D96="marché libre",(C96/(A96*24))/G96,"spécifier histo"))</f>
        <v>0.680516975308642</v>
      </c>
      <c r="F96" s="59" t="n">
        <v>72</v>
      </c>
      <c r="G96" s="59" t="n">
        <f aca="false">F96-H96</f>
        <v>72</v>
      </c>
      <c r="H96" s="59" t="n">
        <v>0</v>
      </c>
      <c r="I96" s="9"/>
      <c r="J96" s="205"/>
      <c r="K96" s="206"/>
      <c r="L96" s="0"/>
    </row>
    <row r="97" customFormat="false" ht="12.8" hidden="false" customHeight="false" outlineLevel="0" collapsed="false">
      <c r="A97" s="0" t="n">
        <v>31</v>
      </c>
      <c r="B97" s="34" t="n">
        <v>39904</v>
      </c>
      <c r="C97" s="1" t="n">
        <v>29280</v>
      </c>
      <c r="D97" s="1" t="s">
        <v>42</v>
      </c>
      <c r="E97" s="33" t="n">
        <f aca="false">IF(D97="totale",(C97/(A97*24))/F97,IF(D97="marché libre",(C97/(A97*24))/G97,"spécifier histo"))</f>
        <v>0.546594982078853</v>
      </c>
      <c r="F97" s="59" t="n">
        <v>72</v>
      </c>
      <c r="G97" s="59" t="n">
        <f aca="false">F97-H97</f>
        <v>72</v>
      </c>
      <c r="H97" s="59" t="n">
        <v>0</v>
      </c>
      <c r="I97" s="9"/>
      <c r="J97" s="205"/>
      <c r="K97" s="206"/>
      <c r="L97" s="0"/>
    </row>
    <row r="98" customFormat="false" ht="12.8" hidden="false" customHeight="false" outlineLevel="0" collapsed="false">
      <c r="A98" s="0" t="n">
        <v>31</v>
      </c>
      <c r="B98" s="31" t="n">
        <v>39934</v>
      </c>
      <c r="C98" s="1" t="n">
        <v>29968</v>
      </c>
      <c r="D98" s="1" t="s">
        <v>42</v>
      </c>
      <c r="E98" s="33" t="n">
        <f aca="false">IF(D98="totale",(C98/(A98*24))/F98,IF(D98="marché libre",(C98/(A98*24))/G98,"spécifier histo"))</f>
        <v>0.559438470728793</v>
      </c>
      <c r="F98" s="59" t="n">
        <v>72</v>
      </c>
      <c r="G98" s="59" t="n">
        <f aca="false">F98-H98</f>
        <v>72</v>
      </c>
      <c r="H98" s="59" t="n">
        <v>0</v>
      </c>
      <c r="I98" s="9"/>
      <c r="J98" s="205"/>
      <c r="K98" s="206"/>
      <c r="L98" s="0"/>
    </row>
    <row r="99" customFormat="false" ht="12.8" hidden="false" customHeight="false" outlineLevel="0" collapsed="false">
      <c r="A99" s="0" t="n">
        <v>28</v>
      </c>
      <c r="B99" s="34" t="n">
        <v>39965</v>
      </c>
      <c r="C99" s="1" t="n">
        <v>14308</v>
      </c>
      <c r="D99" s="1" t="s">
        <v>42</v>
      </c>
      <c r="E99" s="33" t="n">
        <f aca="false">IF(D99="totale",(C99/(A99*24))/F99,IF(D99="marché libre",(C99/(A99*24))/G99,"spécifier histo"))</f>
        <v>0.295717592592593</v>
      </c>
      <c r="F99" s="59" t="n">
        <v>72</v>
      </c>
      <c r="G99" s="59" t="n">
        <f aca="false">F99-H99</f>
        <v>72</v>
      </c>
      <c r="H99" s="59" t="n">
        <v>0</v>
      </c>
      <c r="I99" s="9"/>
      <c r="J99" s="205"/>
      <c r="K99" s="206"/>
      <c r="L99" s="0"/>
    </row>
    <row r="100" customFormat="false" ht="12.8" hidden="false" customHeight="false" outlineLevel="0" collapsed="false">
      <c r="A100" s="0" t="n">
        <v>31</v>
      </c>
      <c r="B100" s="31" t="n">
        <v>39995</v>
      </c>
      <c r="C100" s="1" t="n">
        <v>248</v>
      </c>
      <c r="D100" s="1" t="s">
        <v>42</v>
      </c>
      <c r="E100" s="33" t="n">
        <f aca="false">IF(D100="totale",(C100/(A100*24))/F100,IF(D100="marché libre",(C100/(A100*24))/G100,"spécifier histo"))</f>
        <v>0.00462962962962963</v>
      </c>
      <c r="F100" s="59" t="n">
        <v>72</v>
      </c>
      <c r="G100" s="59" t="n">
        <f aca="false">F100-H100</f>
        <v>72</v>
      </c>
      <c r="H100" s="59" t="n">
        <v>0</v>
      </c>
      <c r="I100" s="9"/>
      <c r="J100" s="205"/>
      <c r="K100" s="206"/>
      <c r="L100" s="0"/>
    </row>
    <row r="101" customFormat="false" ht="12.8" hidden="false" customHeight="false" outlineLevel="0" collapsed="false">
      <c r="A101" s="0" t="n">
        <v>30</v>
      </c>
      <c r="B101" s="34" t="n">
        <v>40026</v>
      </c>
      <c r="C101" s="1" t="n">
        <v>0</v>
      </c>
      <c r="D101" s="1" t="s">
        <v>42</v>
      </c>
      <c r="E101" s="33" t="n">
        <f aca="false">IF(D101="totale",(C101/(A101*24))/F101,IF(D101="marché libre",(C101/(A101*24))/G101,"spécifier histo"))</f>
        <v>0</v>
      </c>
      <c r="F101" s="59" t="n">
        <v>72</v>
      </c>
      <c r="G101" s="59" t="n">
        <f aca="false">F101-H101</f>
        <v>72</v>
      </c>
      <c r="H101" s="59" t="n">
        <v>0</v>
      </c>
      <c r="I101" s="9"/>
      <c r="J101" s="205"/>
      <c r="K101" s="206"/>
      <c r="L101" s="0"/>
    </row>
    <row r="102" customFormat="false" ht="12.8" hidden="false" customHeight="false" outlineLevel="0" collapsed="false">
      <c r="A102" s="0" t="n">
        <v>31</v>
      </c>
      <c r="B102" s="31" t="n">
        <v>40057</v>
      </c>
      <c r="C102" s="1" t="n">
        <v>0</v>
      </c>
      <c r="D102" s="1" t="s">
        <v>42</v>
      </c>
      <c r="E102" s="33" t="n">
        <f aca="false">IF(D102="totale",(C102/(A102*24))/F102,IF(D102="marché libre",(C102/(A102*24))/G102,"spécifier histo"))</f>
        <v>0</v>
      </c>
      <c r="F102" s="59" t="n">
        <v>72</v>
      </c>
      <c r="G102" s="59" t="n">
        <f aca="false">F102-H102</f>
        <v>72</v>
      </c>
      <c r="H102" s="59" t="n">
        <v>0</v>
      </c>
      <c r="I102" s="9"/>
      <c r="J102" s="205"/>
      <c r="K102" s="206"/>
      <c r="L102" s="0"/>
    </row>
    <row r="103" customFormat="false" ht="12.8" hidden="false" customHeight="false" outlineLevel="0" collapsed="false">
      <c r="A103" s="0" t="n">
        <v>30</v>
      </c>
      <c r="B103" s="34" t="n">
        <v>40087</v>
      </c>
      <c r="C103" s="1" t="n">
        <v>2352</v>
      </c>
      <c r="D103" s="1" t="s">
        <v>42</v>
      </c>
      <c r="E103" s="33" t="n">
        <f aca="false">IF(D103="totale",(C103/(A103*24))/F103,IF(D103="marché libre",(C103/(A103*24))/G103,"spécifier histo"))</f>
        <v>0.0453703703703704</v>
      </c>
      <c r="F103" s="59" t="n">
        <v>72</v>
      </c>
      <c r="G103" s="59" t="n">
        <f aca="false">F103-H103</f>
        <v>72</v>
      </c>
      <c r="H103" s="59" t="n">
        <v>0</v>
      </c>
      <c r="I103" s="9"/>
      <c r="J103" s="205"/>
      <c r="K103" s="206"/>
      <c r="L103" s="0"/>
    </row>
    <row r="104" customFormat="false" ht="12.8" hidden="false" customHeight="false" outlineLevel="0" collapsed="false">
      <c r="A104" s="0" t="n">
        <v>31</v>
      </c>
      <c r="B104" s="31" t="n">
        <v>40118</v>
      </c>
      <c r="C104" s="1" t="n">
        <v>7464</v>
      </c>
      <c r="D104" s="1" t="s">
        <v>42</v>
      </c>
      <c r="E104" s="33" t="n">
        <f aca="false">IF(D104="totale",(C104/(A104*24))/F104,IF(D104="marché libre",(C104/(A104*24))/G104,"spécifier histo"))</f>
        <v>0.139336917562724</v>
      </c>
      <c r="F104" s="59" t="n">
        <v>72</v>
      </c>
      <c r="G104" s="59" t="n">
        <f aca="false">F104-H104</f>
        <v>72</v>
      </c>
      <c r="H104" s="59" t="n">
        <v>0</v>
      </c>
      <c r="I104" s="9"/>
      <c r="J104" s="205"/>
      <c r="K104" s="206"/>
      <c r="L104" s="0"/>
    </row>
    <row r="105" customFormat="false" ht="12.8" hidden="false" customHeight="false" outlineLevel="0" collapsed="false">
      <c r="A105" s="0" t="n">
        <v>31</v>
      </c>
      <c r="B105" s="34" t="n">
        <v>40148</v>
      </c>
      <c r="C105" s="1" t="n">
        <v>21612</v>
      </c>
      <c r="D105" s="1" t="s">
        <v>42</v>
      </c>
      <c r="E105" s="33" t="n">
        <f aca="false">IF(D105="totale",(C105/(A105*24))/F105,IF(D105="marché libre",(C105/(A105*24))/G105,"spécifier histo"))</f>
        <v>0.40344982078853</v>
      </c>
      <c r="F105" s="59" t="n">
        <v>72</v>
      </c>
      <c r="G105" s="59" t="n">
        <f aca="false">F105-H105</f>
        <v>72</v>
      </c>
      <c r="H105" s="59" t="n">
        <v>0</v>
      </c>
      <c r="I105" s="9"/>
      <c r="J105" s="205"/>
      <c r="K105" s="206"/>
      <c r="L105" s="0"/>
    </row>
    <row r="106" customFormat="false" ht="12.8" hidden="false" customHeight="false" outlineLevel="0" collapsed="false">
      <c r="A106" s="0" t="n">
        <v>30</v>
      </c>
      <c r="B106" s="31" t="n">
        <v>40179</v>
      </c>
      <c r="C106" s="1" t="n">
        <v>37948</v>
      </c>
      <c r="D106" s="1" t="s">
        <v>42</v>
      </c>
      <c r="E106" s="33" t="n">
        <f aca="false">IF(D106="totale",(C106/(A106*24))/F106,IF(D106="marché libre",(C106/(A106*24))/G106,"spécifier histo"))</f>
        <v>0.732021604938272</v>
      </c>
      <c r="F106" s="59" t="n">
        <v>72</v>
      </c>
      <c r="G106" s="59" t="n">
        <f aca="false">F106-H106</f>
        <v>72</v>
      </c>
      <c r="H106" s="59" t="n">
        <v>0</v>
      </c>
      <c r="I106" s="9"/>
      <c r="J106" s="205"/>
      <c r="K106" s="206"/>
      <c r="L106" s="0"/>
    </row>
    <row r="107" customFormat="false" ht="12.8" hidden="false" customHeight="false" outlineLevel="0" collapsed="false">
      <c r="A107" s="0" t="n">
        <v>31</v>
      </c>
      <c r="B107" s="34" t="n">
        <v>40210</v>
      </c>
      <c r="C107" s="1" t="n">
        <v>32142</v>
      </c>
      <c r="D107" s="1" t="s">
        <v>42</v>
      </c>
      <c r="E107" s="33" t="n">
        <f aca="false">IF(D107="totale",(C107/(A107*24))/F107,IF(D107="marché libre",(C107/(A107*24))/G107,"spécifier histo"))</f>
        <v>0.600022401433692</v>
      </c>
      <c r="F107" s="59" t="n">
        <v>72</v>
      </c>
      <c r="G107" s="59" t="n">
        <f aca="false">F107-H107</f>
        <v>72</v>
      </c>
      <c r="H107" s="59" t="n">
        <v>0</v>
      </c>
      <c r="I107" s="9"/>
      <c r="J107" s="205"/>
      <c r="K107" s="206"/>
      <c r="L107" s="0"/>
    </row>
    <row r="108" customFormat="false" ht="12.8" hidden="false" customHeight="false" outlineLevel="0" collapsed="false">
      <c r="A108" s="0" t="n">
        <v>30</v>
      </c>
      <c r="B108" s="31" t="n">
        <v>40238</v>
      </c>
      <c r="C108" s="1" t="n">
        <v>38516</v>
      </c>
      <c r="D108" s="1" t="s">
        <v>42</v>
      </c>
      <c r="E108" s="33" t="n">
        <f aca="false">IF(D108="totale",(C108/(A108*24))/F108,IF(D108="marché libre",(C108/(A108*24))/G108,"spécifier histo"))</f>
        <v>0.742978395061728</v>
      </c>
      <c r="F108" s="59" t="n">
        <v>72</v>
      </c>
      <c r="G108" s="59" t="n">
        <f aca="false">F108-H108</f>
        <v>72</v>
      </c>
      <c r="H108" s="59" t="n">
        <v>0</v>
      </c>
      <c r="I108" s="9"/>
      <c r="J108" s="205"/>
      <c r="K108" s="206"/>
      <c r="L108" s="0"/>
    </row>
    <row r="109" customFormat="false" ht="12.8" hidden="false" customHeight="false" outlineLevel="0" collapsed="false">
      <c r="A109" s="0" t="n">
        <v>31</v>
      </c>
      <c r="B109" s="34" t="n">
        <v>40269</v>
      </c>
      <c r="C109" s="1" t="n">
        <v>12586</v>
      </c>
      <c r="D109" s="1" t="s">
        <v>42</v>
      </c>
      <c r="E109" s="33" t="n">
        <f aca="false">IF(D109="totale",(C109/(A109*24))/F109,IF(D109="marché libre",(C109/(A109*24))/G109,"spécifier histo"))</f>
        <v>0.234953703703704</v>
      </c>
      <c r="F109" s="59" t="n">
        <v>72</v>
      </c>
      <c r="G109" s="59" t="n">
        <f aca="false">F109-H109</f>
        <v>72</v>
      </c>
      <c r="H109" s="59" t="n">
        <v>0</v>
      </c>
      <c r="I109" s="9"/>
      <c r="J109" s="205"/>
      <c r="K109" s="206"/>
      <c r="L109" s="0"/>
    </row>
    <row r="110" customFormat="false" ht="12.8" hidden="false" customHeight="false" outlineLevel="0" collapsed="false">
      <c r="A110" s="0" t="n">
        <v>31</v>
      </c>
      <c r="B110" s="31" t="n">
        <v>40299</v>
      </c>
      <c r="C110" s="1" t="n">
        <v>26004</v>
      </c>
      <c r="D110" s="1" t="s">
        <v>42</v>
      </c>
      <c r="E110" s="33" t="n">
        <f aca="false">IF(D110="totale",(C110/(A110*24))/F110,IF(D110="marché libre",(C110/(A110*24))/G110,"spécifier histo"))</f>
        <v>0.485439068100358</v>
      </c>
      <c r="F110" s="59" t="n">
        <v>72</v>
      </c>
      <c r="G110" s="59" t="n">
        <f aca="false">F110-H110</f>
        <v>72</v>
      </c>
      <c r="H110" s="59" t="n">
        <v>0</v>
      </c>
      <c r="I110" s="9"/>
      <c r="J110" s="205"/>
      <c r="K110" s="206"/>
      <c r="L110" s="0"/>
    </row>
    <row r="111" customFormat="false" ht="12.8" hidden="false" customHeight="false" outlineLevel="0" collapsed="false">
      <c r="A111" s="0" t="n">
        <v>28</v>
      </c>
      <c r="B111" s="34" t="n">
        <v>40330</v>
      </c>
      <c r="C111" s="1" t="n">
        <v>22416</v>
      </c>
      <c r="D111" s="1" t="s">
        <v>42</v>
      </c>
      <c r="E111" s="33" t="n">
        <f aca="false">IF(D111="totale",(C111/(A111*24))/F111,IF(D111="marché libre",(C111/(A111*24))/G111,"spécifier histo"))</f>
        <v>0.463293650793651</v>
      </c>
      <c r="F111" s="59" t="n">
        <v>72</v>
      </c>
      <c r="G111" s="59" t="n">
        <f aca="false">F111-H111</f>
        <v>72</v>
      </c>
      <c r="H111" s="59" t="n">
        <v>0</v>
      </c>
      <c r="I111" s="9"/>
      <c r="J111" s="205"/>
      <c r="K111" s="206"/>
      <c r="L111" s="0"/>
    </row>
    <row r="112" customFormat="false" ht="12.8" hidden="false" customHeight="false" outlineLevel="0" collapsed="false">
      <c r="A112" s="0" t="n">
        <v>31</v>
      </c>
      <c r="B112" s="31" t="n">
        <v>40360</v>
      </c>
      <c r="C112" s="1" t="n">
        <v>2324</v>
      </c>
      <c r="D112" s="1" t="s">
        <v>42</v>
      </c>
      <c r="E112" s="33" t="n">
        <f aca="false">IF(D112="totale",(C112/(A112*24))/F112,IF(D112="marché libre",(C112/(A112*24))/G112,"spécifier histo"))</f>
        <v>0.043384109916368</v>
      </c>
      <c r="F112" s="59" t="n">
        <v>72</v>
      </c>
      <c r="G112" s="59" t="n">
        <f aca="false">F112-H112</f>
        <v>72</v>
      </c>
      <c r="H112" s="59" t="n">
        <v>0</v>
      </c>
      <c r="I112" s="9"/>
      <c r="J112" s="205"/>
      <c r="K112" s="206"/>
      <c r="L112" s="0"/>
    </row>
    <row r="113" customFormat="false" ht="12.8" hidden="false" customHeight="false" outlineLevel="0" collapsed="false">
      <c r="A113" s="0" t="n">
        <v>30</v>
      </c>
      <c r="B113" s="34" t="n">
        <v>40391</v>
      </c>
      <c r="C113" s="1" t="n">
        <v>0</v>
      </c>
      <c r="D113" s="1" t="s">
        <v>42</v>
      </c>
      <c r="E113" s="33" t="n">
        <f aca="false">IF(D113="totale",(C113/(A113*24))/F113,IF(D113="marché libre",(C113/(A113*24))/G113,"spécifier histo"))</f>
        <v>0</v>
      </c>
      <c r="F113" s="59" t="n">
        <v>72</v>
      </c>
      <c r="G113" s="59" t="n">
        <f aca="false">F113-H113</f>
        <v>72</v>
      </c>
      <c r="H113" s="59" t="n">
        <v>0</v>
      </c>
      <c r="I113" s="9"/>
      <c r="J113" s="205"/>
      <c r="K113" s="206"/>
      <c r="L113" s="0"/>
    </row>
    <row r="114" customFormat="false" ht="12.8" hidden="false" customHeight="false" outlineLevel="0" collapsed="false">
      <c r="A114" s="0" t="n">
        <v>31</v>
      </c>
      <c r="B114" s="31" t="n">
        <v>40422</v>
      </c>
      <c r="C114" s="1" t="n">
        <v>0</v>
      </c>
      <c r="D114" s="1" t="s">
        <v>42</v>
      </c>
      <c r="E114" s="33" t="n">
        <f aca="false">IF(D114="totale",(C114/(A114*24))/F114,IF(D114="marché libre",(C114/(A114*24))/G114,"spécifier histo"))</f>
        <v>0</v>
      </c>
      <c r="F114" s="59" t="n">
        <v>72</v>
      </c>
      <c r="G114" s="59" t="n">
        <f aca="false">F114-H114</f>
        <v>72</v>
      </c>
      <c r="H114" s="59" t="n">
        <v>0</v>
      </c>
      <c r="I114" s="9"/>
      <c r="J114" s="205"/>
      <c r="K114" s="206"/>
      <c r="L114" s="0"/>
    </row>
    <row r="115" customFormat="false" ht="12.8" hidden="false" customHeight="false" outlineLevel="0" collapsed="false">
      <c r="A115" s="0" t="n">
        <v>30</v>
      </c>
      <c r="B115" s="34" t="n">
        <v>40452</v>
      </c>
      <c r="C115" s="1" t="n">
        <v>2218</v>
      </c>
      <c r="D115" s="1" t="s">
        <v>42</v>
      </c>
      <c r="E115" s="33" t="n">
        <f aca="false">IF(D115="totale",(C115/(A115*24))/F115,IF(D115="marché libre",(C115/(A115*24))/G115,"spécifier histo"))</f>
        <v>0.0427854938271605</v>
      </c>
      <c r="F115" s="59" t="n">
        <v>72</v>
      </c>
      <c r="G115" s="59" t="n">
        <f aca="false">F115-H115</f>
        <v>72</v>
      </c>
      <c r="H115" s="59" t="n">
        <v>0</v>
      </c>
      <c r="I115" s="9"/>
      <c r="J115" s="205"/>
      <c r="K115" s="206"/>
      <c r="L115" s="0"/>
    </row>
    <row r="116" customFormat="false" ht="12.8" hidden="false" customHeight="false" outlineLevel="0" collapsed="false">
      <c r="A116" s="0" t="n">
        <v>31</v>
      </c>
      <c r="B116" s="31" t="n">
        <v>40483</v>
      </c>
      <c r="C116" s="1" t="n">
        <v>35668</v>
      </c>
      <c r="D116" s="1" t="s">
        <v>42</v>
      </c>
      <c r="E116" s="33" t="n">
        <f aca="false">IF(D116="totale",(C116/(A116*24))/F116,IF(D116="marché libre",(C116/(A116*24))/G116,"spécifier histo"))</f>
        <v>0.665845280764636</v>
      </c>
      <c r="F116" s="59" t="n">
        <v>72</v>
      </c>
      <c r="G116" s="59" t="n">
        <f aca="false">F116-H116</f>
        <v>72</v>
      </c>
      <c r="H116" s="59" t="n">
        <v>0</v>
      </c>
      <c r="I116" s="9"/>
      <c r="J116" s="205"/>
      <c r="K116" s="206"/>
      <c r="L116" s="0"/>
    </row>
    <row r="117" customFormat="false" ht="12.8" hidden="false" customHeight="false" outlineLevel="0" collapsed="false">
      <c r="A117" s="0" t="n">
        <v>31</v>
      </c>
      <c r="B117" s="34" t="n">
        <v>40513</v>
      </c>
      <c r="C117" s="1" t="n">
        <v>35478</v>
      </c>
      <c r="D117" s="1" t="s">
        <v>42</v>
      </c>
      <c r="E117" s="33" t="n">
        <f aca="false">IF(D117="totale",(C117/(A117*24))/F117,IF(D117="marché libre",(C117/(A117*24))/G117,"spécifier histo"))</f>
        <v>0.662298387096774</v>
      </c>
      <c r="F117" s="59" t="n">
        <v>72</v>
      </c>
      <c r="G117" s="59" t="n">
        <f aca="false">F117-H117</f>
        <v>72</v>
      </c>
      <c r="H117" s="59" t="n">
        <v>0</v>
      </c>
      <c r="I117" s="9"/>
      <c r="J117" s="205"/>
      <c r="K117" s="206"/>
      <c r="L117" s="0"/>
    </row>
    <row r="118" customFormat="false" ht="12.8" hidden="false" customHeight="false" outlineLevel="0" collapsed="false">
      <c r="A118" s="0" t="n">
        <v>30</v>
      </c>
      <c r="B118" s="31" t="n">
        <v>40544</v>
      </c>
      <c r="C118" s="1" t="n">
        <v>0</v>
      </c>
      <c r="D118" s="1" t="s">
        <v>42</v>
      </c>
      <c r="E118" s="33" t="n">
        <f aca="false">IF(D118="totale",(C118/(A118*24))/F118,IF(D118="marché libre",(C118/(A118*24))/G118,"spécifier histo"))</f>
        <v>0</v>
      </c>
      <c r="F118" s="59" t="n">
        <v>72</v>
      </c>
      <c r="G118" s="59" t="n">
        <f aca="false">F118-H118</f>
        <v>72</v>
      </c>
      <c r="H118" s="59" t="n">
        <v>0</v>
      </c>
      <c r="I118" s="9"/>
      <c r="J118" s="205"/>
      <c r="K118" s="206"/>
      <c r="L118" s="0"/>
    </row>
    <row r="119" customFormat="false" ht="12.8" hidden="false" customHeight="false" outlineLevel="0" collapsed="false">
      <c r="A119" s="0" t="n">
        <v>31</v>
      </c>
      <c r="B119" s="34" t="n">
        <v>40575</v>
      </c>
      <c r="C119" s="1" t="n">
        <v>27932</v>
      </c>
      <c r="D119" s="1" t="s">
        <v>42</v>
      </c>
      <c r="E119" s="33" t="n">
        <f aca="false">IF(D119="totale",(C119/(A119*24))/F119,IF(D119="marché libre",(C119/(A119*24))/G119,"spécifier histo"))</f>
        <v>0.521430704898447</v>
      </c>
      <c r="F119" s="59" t="n">
        <v>72</v>
      </c>
      <c r="G119" s="59" t="n">
        <f aca="false">F119-H119</f>
        <v>72</v>
      </c>
      <c r="H119" s="59" t="n">
        <v>0</v>
      </c>
      <c r="I119" s="9"/>
      <c r="J119" s="205"/>
      <c r="K119" s="206"/>
      <c r="L119" s="0"/>
    </row>
    <row r="120" customFormat="false" ht="12.8" hidden="false" customHeight="false" outlineLevel="0" collapsed="false">
      <c r="A120" s="0" t="n">
        <v>30</v>
      </c>
      <c r="B120" s="31" t="n">
        <v>40603</v>
      </c>
      <c r="C120" s="1" t="n">
        <v>34588</v>
      </c>
      <c r="D120" s="1" t="s">
        <v>42</v>
      </c>
      <c r="E120" s="33" t="n">
        <f aca="false">IF(D120="totale",(C120/(A120*24))/F120,IF(D120="marché libre",(C120/(A120*24))/G120,"spécifier histo"))</f>
        <v>0.667206790123457</v>
      </c>
      <c r="F120" s="59" t="n">
        <v>72</v>
      </c>
      <c r="G120" s="59" t="n">
        <f aca="false">F120-H120</f>
        <v>72</v>
      </c>
      <c r="H120" s="59" t="n">
        <v>0</v>
      </c>
      <c r="I120" s="9"/>
      <c r="J120" s="205"/>
      <c r="K120" s="206"/>
      <c r="L120" s="0"/>
    </row>
    <row r="121" customFormat="false" ht="12.8" hidden="false" customHeight="false" outlineLevel="0" collapsed="false">
      <c r="A121" s="0" t="n">
        <v>31</v>
      </c>
      <c r="B121" s="34" t="n">
        <v>40634</v>
      </c>
      <c r="C121" s="1" t="n">
        <v>31950</v>
      </c>
      <c r="D121" s="1" t="s">
        <v>42</v>
      </c>
      <c r="E121" s="33" t="n">
        <f aca="false">IF(D121="totale",(C121/(A121*24))/F121,IF(D121="marché libre",(C121/(A121*24))/G121,"spécifier histo"))</f>
        <v>0.596438172043011</v>
      </c>
      <c r="F121" s="59" t="n">
        <v>72</v>
      </c>
      <c r="G121" s="59" t="n">
        <f aca="false">F121-H121</f>
        <v>72</v>
      </c>
      <c r="H121" s="59" t="n">
        <v>0</v>
      </c>
      <c r="I121" s="9"/>
      <c r="J121" s="205"/>
      <c r="K121" s="206"/>
      <c r="L121" s="0"/>
    </row>
    <row r="122" customFormat="false" ht="12.8" hidden="false" customHeight="false" outlineLevel="0" collapsed="false">
      <c r="A122" s="0" t="n">
        <v>31</v>
      </c>
      <c r="B122" s="31" t="n">
        <v>40664</v>
      </c>
      <c r="C122" s="1" t="n">
        <v>15364</v>
      </c>
      <c r="D122" s="1" t="s">
        <v>42</v>
      </c>
      <c r="E122" s="33" t="n">
        <f aca="false">IF(D122="totale",(C122/(A122*24))/F122,IF(D122="marché libre",(C122/(A122*24))/G122,"spécifier histo"))</f>
        <v>0.286813022700119</v>
      </c>
      <c r="F122" s="59" t="n">
        <v>72</v>
      </c>
      <c r="G122" s="59" t="n">
        <f aca="false">F122-H122</f>
        <v>72</v>
      </c>
      <c r="H122" s="59" t="n">
        <v>0</v>
      </c>
      <c r="I122" s="9"/>
      <c r="J122" s="205"/>
      <c r="K122" s="206"/>
      <c r="L122" s="0"/>
    </row>
    <row r="123" customFormat="false" ht="12.8" hidden="false" customHeight="false" outlineLevel="0" collapsed="false">
      <c r="A123" s="0" t="n">
        <v>30</v>
      </c>
      <c r="B123" s="34" t="n">
        <v>40695</v>
      </c>
      <c r="C123" s="1" t="n">
        <v>0</v>
      </c>
      <c r="D123" s="1" t="s">
        <v>42</v>
      </c>
      <c r="E123" s="33" t="n">
        <f aca="false">IF(D123="totale",(C123/(A123*24))/F123,IF(D123="marché libre",(C123/(A123*24))/G123,"spécifier histo"))</f>
        <v>0</v>
      </c>
      <c r="F123" s="59" t="n">
        <v>72</v>
      </c>
      <c r="G123" s="59" t="n">
        <f aca="false">F123-H123</f>
        <v>72</v>
      </c>
      <c r="H123" s="59" t="n">
        <v>0</v>
      </c>
      <c r="I123" s="9"/>
      <c r="J123" s="205"/>
      <c r="K123" s="206"/>
      <c r="L123" s="0"/>
    </row>
    <row r="124" customFormat="false" ht="12.8" hidden="false" customHeight="false" outlineLevel="0" collapsed="false">
      <c r="A124" s="0" t="n">
        <v>31</v>
      </c>
      <c r="B124" s="31" t="n">
        <v>40725</v>
      </c>
      <c r="C124" s="1" t="n">
        <v>0</v>
      </c>
      <c r="D124" s="1" t="s">
        <v>42</v>
      </c>
      <c r="E124" s="33" t="n">
        <f aca="false">IF(D124="totale",(C124/(A124*24))/F124,IF(D124="marché libre",(C124/(A124*24))/G124,"spécifier histo"))</f>
        <v>0</v>
      </c>
      <c r="F124" s="59" t="n">
        <v>72</v>
      </c>
      <c r="G124" s="59" t="n">
        <f aca="false">F124-H124</f>
        <v>72</v>
      </c>
      <c r="H124" s="59" t="n">
        <v>0</v>
      </c>
      <c r="I124" s="9"/>
      <c r="J124" s="205"/>
      <c r="K124" s="206"/>
      <c r="L124" s="0"/>
    </row>
    <row r="125" customFormat="false" ht="12.8" hidden="false" customHeight="false" outlineLevel="0" collapsed="false">
      <c r="A125" s="0" t="n">
        <v>31</v>
      </c>
      <c r="B125" s="34" t="n">
        <v>40756</v>
      </c>
      <c r="C125" s="1" t="n">
        <v>0</v>
      </c>
      <c r="D125" s="1" t="s">
        <v>42</v>
      </c>
      <c r="E125" s="33" t="n">
        <f aca="false">IF(D125="totale",(C125/(A125*24))/F125,IF(D125="marché libre",(C125/(A125*24))/G125,"spécifier histo"))</f>
        <v>0</v>
      </c>
      <c r="F125" s="59" t="n">
        <v>72</v>
      </c>
      <c r="G125" s="59" t="n">
        <f aca="false">F125-H125</f>
        <v>72</v>
      </c>
      <c r="H125" s="59" t="n">
        <v>0</v>
      </c>
      <c r="I125" s="9"/>
      <c r="J125" s="205"/>
      <c r="K125" s="206"/>
      <c r="L125" s="0"/>
    </row>
    <row r="126" customFormat="false" ht="12.8" hidden="false" customHeight="false" outlineLevel="0" collapsed="false">
      <c r="A126" s="0" t="n">
        <v>30</v>
      </c>
      <c r="B126" s="31" t="n">
        <v>40787</v>
      </c>
      <c r="C126" s="1" t="n">
        <v>0</v>
      </c>
      <c r="D126" s="1" t="s">
        <v>42</v>
      </c>
      <c r="E126" s="33" t="n">
        <f aca="false">IF(D126="totale",(C126/(A126*24))/F126,IF(D126="marché libre",(C126/(A126*24))/G126,"spécifier histo"))</f>
        <v>0</v>
      </c>
      <c r="F126" s="59" t="n">
        <v>72</v>
      </c>
      <c r="G126" s="59" t="n">
        <f aca="false">F126-H126</f>
        <v>72</v>
      </c>
      <c r="H126" s="59" t="n">
        <v>0</v>
      </c>
      <c r="I126" s="9"/>
      <c r="J126" s="205"/>
      <c r="K126" s="206"/>
      <c r="L126" s="0"/>
    </row>
    <row r="127" customFormat="false" ht="12.8" hidden="false" customHeight="false" outlineLevel="0" collapsed="false">
      <c r="A127" s="0" t="n">
        <v>31</v>
      </c>
      <c r="B127" s="34" t="n">
        <v>40817</v>
      </c>
      <c r="C127" s="1" t="n">
        <v>0</v>
      </c>
      <c r="D127" s="1" t="s">
        <v>42</v>
      </c>
      <c r="E127" s="33" t="n">
        <f aca="false">IF(D127="totale",(C127/(A127*24))/F127,IF(D127="marché libre",(C127/(A127*24))/G127,"spécifier histo"))</f>
        <v>0</v>
      </c>
      <c r="F127" s="59" t="n">
        <v>72</v>
      </c>
      <c r="G127" s="59" t="n">
        <f aca="false">F127-H127</f>
        <v>72</v>
      </c>
      <c r="H127" s="59" t="n">
        <v>0</v>
      </c>
      <c r="I127" s="9"/>
      <c r="J127" s="205"/>
      <c r="K127" s="206"/>
      <c r="L127" s="0"/>
    </row>
    <row r="128" customFormat="false" ht="12.8" hidden="false" customHeight="false" outlineLevel="0" collapsed="false">
      <c r="A128" s="0" t="n">
        <v>30</v>
      </c>
      <c r="B128" s="31" t="n">
        <v>40848</v>
      </c>
      <c r="C128" s="1" t="n">
        <v>12746</v>
      </c>
      <c r="D128" s="1" t="s">
        <v>42</v>
      </c>
      <c r="E128" s="33" t="n">
        <f aca="false">IF(D128="totale",(C128/(A128*24))/F128,IF(D128="marché libre",(C128/(A128*24))/G128,"spécifier histo"))</f>
        <v>0.245871913580247</v>
      </c>
      <c r="F128" s="59" t="n">
        <v>72</v>
      </c>
      <c r="G128" s="59" t="n">
        <f aca="false">F128-H128</f>
        <v>72</v>
      </c>
      <c r="H128" s="59" t="n">
        <v>0</v>
      </c>
      <c r="I128" s="9"/>
      <c r="J128" s="205"/>
      <c r="K128" s="206"/>
      <c r="L128" s="0"/>
    </row>
    <row r="129" customFormat="false" ht="12.8" hidden="false" customHeight="false" outlineLevel="0" collapsed="false">
      <c r="A129" s="0" t="n">
        <v>31</v>
      </c>
      <c r="B129" s="34" t="n">
        <v>40878</v>
      </c>
      <c r="C129" s="1" t="n">
        <v>13850</v>
      </c>
      <c r="D129" s="1" t="s">
        <v>42</v>
      </c>
      <c r="E129" s="33" t="n">
        <f aca="false">IF(D129="totale",(C129/(A129*24))/F129,IF(D129="marché libre",(C129/(A129*24))/G129,"spécifier histo"))</f>
        <v>0.258549880525687</v>
      </c>
      <c r="F129" s="59" t="n">
        <v>72</v>
      </c>
      <c r="G129" s="59" t="n">
        <f aca="false">F129-H129</f>
        <v>72</v>
      </c>
      <c r="H129" s="59" t="n">
        <v>0</v>
      </c>
      <c r="I129" s="9"/>
      <c r="J129" s="205"/>
      <c r="K129" s="206"/>
      <c r="L129" s="0"/>
    </row>
    <row r="130" customFormat="false" ht="12.8" hidden="false" customHeight="false" outlineLevel="0" collapsed="false">
      <c r="A130" s="0" t="n">
        <v>31</v>
      </c>
      <c r="B130" s="31" t="n">
        <v>40909</v>
      </c>
      <c r="C130" s="1" t="n">
        <v>26454</v>
      </c>
      <c r="D130" s="1" t="s">
        <v>42</v>
      </c>
      <c r="E130" s="33" t="n">
        <f aca="false">IF(D130="totale",(C130/(A130*24))/F130,IF(D130="marché libre",(C130/(A130*24))/G130,"spécifier histo"))</f>
        <v>0.493839605734767</v>
      </c>
      <c r="F130" s="59" t="n">
        <v>72</v>
      </c>
      <c r="G130" s="59" t="n">
        <f aca="false">F130-H130</f>
        <v>72</v>
      </c>
      <c r="H130" s="59" t="n">
        <v>0</v>
      </c>
      <c r="I130" s="9"/>
      <c r="J130" s="205"/>
      <c r="K130" s="206"/>
      <c r="L130" s="0"/>
    </row>
    <row r="131" customFormat="false" ht="12.8" hidden="false" customHeight="false" outlineLevel="0" collapsed="false">
      <c r="A131" s="0" t="n">
        <v>28</v>
      </c>
      <c r="B131" s="34" t="n">
        <v>40940</v>
      </c>
      <c r="C131" s="1" t="n">
        <v>1066</v>
      </c>
      <c r="D131" s="1" t="s">
        <v>42</v>
      </c>
      <c r="E131" s="33" t="n">
        <f aca="false">IF(D131="totale",(C131/(A131*24))/F131,IF(D131="marché libre",(C131/(A131*24))/G131,"spécifier histo"))</f>
        <v>0.0220320767195767</v>
      </c>
      <c r="F131" s="59" t="n">
        <v>72</v>
      </c>
      <c r="G131" s="59" t="n">
        <f aca="false">F131-H131</f>
        <v>72</v>
      </c>
      <c r="H131" s="59" t="n">
        <v>0</v>
      </c>
      <c r="I131" s="9"/>
      <c r="J131" s="205"/>
      <c r="K131" s="206"/>
      <c r="L131" s="0"/>
    </row>
    <row r="132" customFormat="false" ht="12.8" hidden="false" customHeight="false" outlineLevel="0" collapsed="false">
      <c r="A132" s="0" t="n">
        <v>31</v>
      </c>
      <c r="B132" s="31" t="n">
        <v>40969</v>
      </c>
      <c r="C132" s="1" t="n">
        <v>5284</v>
      </c>
      <c r="D132" s="1" t="s">
        <v>42</v>
      </c>
      <c r="E132" s="33" t="n">
        <f aca="false">IF(D132="totale",(C132/(A132*24))/F132,IF(D132="marché libre",(C132/(A132*24))/G132,"spécifier histo"))</f>
        <v>0.0986409796893668</v>
      </c>
      <c r="F132" s="59" t="n">
        <v>72</v>
      </c>
      <c r="G132" s="59" t="n">
        <f aca="false">F132-H132</f>
        <v>72</v>
      </c>
      <c r="H132" s="59" t="n">
        <v>0</v>
      </c>
      <c r="I132" s="9"/>
      <c r="J132" s="205"/>
      <c r="K132" s="206"/>
      <c r="L132" s="0"/>
    </row>
    <row r="133" customFormat="false" ht="12.8" hidden="false" customHeight="false" outlineLevel="0" collapsed="false">
      <c r="A133" s="0" t="n">
        <v>30</v>
      </c>
      <c r="B133" s="34" t="n">
        <v>41000</v>
      </c>
      <c r="C133" s="1" t="n">
        <v>14274</v>
      </c>
      <c r="D133" s="1" t="s">
        <v>42</v>
      </c>
      <c r="E133" s="33" t="n">
        <f aca="false">IF(D133="totale",(C133/(A133*24))/F133,IF(D133="marché libre",(C133/(A133*24))/G133,"spécifier histo"))</f>
        <v>0.275347222222222</v>
      </c>
      <c r="F133" s="59" t="n">
        <v>72</v>
      </c>
      <c r="G133" s="59" t="n">
        <f aca="false">F133-H133</f>
        <v>72</v>
      </c>
      <c r="H133" s="59" t="n">
        <v>0</v>
      </c>
      <c r="I133" s="9"/>
      <c r="J133" s="205"/>
      <c r="K133" s="206"/>
      <c r="L133" s="0"/>
    </row>
    <row r="134" customFormat="false" ht="12.8" hidden="false" customHeight="false" outlineLevel="0" collapsed="false">
      <c r="A134" s="0" t="n">
        <v>31</v>
      </c>
      <c r="B134" s="31" t="n">
        <v>41030</v>
      </c>
      <c r="C134" s="1" t="n">
        <v>31922</v>
      </c>
      <c r="D134" s="1" t="s">
        <v>42</v>
      </c>
      <c r="E134" s="33" t="n">
        <f aca="false">IF(D134="totale",(C134/(A134*24))/F134,IF(D134="marché libre",(C134/(A134*24))/G134,"spécifier histo"))</f>
        <v>0.595915471923536</v>
      </c>
      <c r="F134" s="59" t="n">
        <v>72</v>
      </c>
      <c r="G134" s="59" t="n">
        <f aca="false">F134-H134</f>
        <v>72</v>
      </c>
      <c r="H134" s="59" t="n">
        <v>0</v>
      </c>
      <c r="I134" s="9"/>
      <c r="J134" s="205"/>
      <c r="K134" s="206"/>
      <c r="L134" s="0"/>
    </row>
    <row r="135" customFormat="false" ht="12.8" hidden="false" customHeight="false" outlineLevel="0" collapsed="false">
      <c r="A135" s="0" t="n">
        <v>30</v>
      </c>
      <c r="B135" s="34" t="n">
        <v>41061</v>
      </c>
      <c r="C135" s="1" t="n">
        <v>17992</v>
      </c>
      <c r="D135" s="1" t="s">
        <v>42</v>
      </c>
      <c r="E135" s="33" t="n">
        <f aca="false">IF(D135="totale",(C135/(A135*24))/F135,IF(D135="marché libre",(C135/(A135*24))/G135,"spécifier histo"))</f>
        <v>0.347067901234568</v>
      </c>
      <c r="F135" s="59" t="n">
        <v>72</v>
      </c>
      <c r="G135" s="59" t="n">
        <f aca="false">F135-H135</f>
        <v>72</v>
      </c>
      <c r="H135" s="59" t="n">
        <v>0</v>
      </c>
      <c r="I135" s="9"/>
      <c r="J135" s="205"/>
      <c r="K135" s="206"/>
      <c r="L135" s="0"/>
    </row>
    <row r="136" customFormat="false" ht="12.8" hidden="false" customHeight="false" outlineLevel="0" collapsed="false">
      <c r="A136" s="0" t="n">
        <v>31</v>
      </c>
      <c r="B136" s="31" t="n">
        <v>41091</v>
      </c>
      <c r="C136" s="1" t="n">
        <v>3658</v>
      </c>
      <c r="D136" s="1" t="s">
        <v>42</v>
      </c>
      <c r="E136" s="33" t="n">
        <f aca="false">IF(D136="totale",(C136/(A136*24))/F136,IF(D136="marché libre",(C136/(A136*24))/G136,"spécifier histo"))</f>
        <v>0.068287037037037</v>
      </c>
      <c r="F136" s="59" t="n">
        <v>72</v>
      </c>
      <c r="G136" s="59" t="n">
        <f aca="false">F136-H136</f>
        <v>72</v>
      </c>
      <c r="H136" s="59" t="n">
        <v>0</v>
      </c>
      <c r="I136" s="9"/>
      <c r="J136" s="205"/>
      <c r="K136" s="206"/>
      <c r="L136" s="0"/>
    </row>
    <row r="137" customFormat="false" ht="12.8" hidden="false" customHeight="false" outlineLevel="0" collapsed="false">
      <c r="A137" s="0" t="n">
        <v>31</v>
      </c>
      <c r="B137" s="34" t="n">
        <v>41122</v>
      </c>
      <c r="C137" s="1" t="n">
        <v>0</v>
      </c>
      <c r="D137" s="1" t="s">
        <v>42</v>
      </c>
      <c r="E137" s="33" t="n">
        <f aca="false">IF(D137="totale",(C137/(A137*24))/F137,IF(D137="marché libre",(C137/(A137*24))/G137,"spécifier histo"))</f>
        <v>0</v>
      </c>
      <c r="F137" s="59" t="n">
        <v>72</v>
      </c>
      <c r="G137" s="59" t="n">
        <f aca="false">F137-H137</f>
        <v>72</v>
      </c>
      <c r="H137" s="59" t="n">
        <v>0</v>
      </c>
      <c r="I137" s="9"/>
      <c r="J137" s="205"/>
      <c r="K137" s="206"/>
      <c r="L137" s="0"/>
    </row>
    <row r="138" customFormat="false" ht="12.8" hidden="false" customHeight="false" outlineLevel="0" collapsed="false">
      <c r="A138" s="0" t="n">
        <v>30</v>
      </c>
      <c r="B138" s="31" t="n">
        <v>41153</v>
      </c>
      <c r="C138" s="1" t="n">
        <v>256</v>
      </c>
      <c r="D138" s="1" t="s">
        <v>42</v>
      </c>
      <c r="E138" s="33" t="n">
        <f aca="false">IF(D138="totale",(C138/(A138*24))/F138,IF(D138="marché libre",(C138/(A138*24))/G138,"spécifier histo"))</f>
        <v>0.00493827160493827</v>
      </c>
      <c r="F138" s="59" t="n">
        <v>72</v>
      </c>
      <c r="G138" s="59" t="n">
        <f aca="false">F138-H138</f>
        <v>72</v>
      </c>
      <c r="H138" s="59" t="n">
        <v>0</v>
      </c>
      <c r="I138" s="9"/>
      <c r="J138" s="205"/>
      <c r="K138" s="206"/>
    </row>
    <row r="139" customFormat="false" ht="12.8" hidden="false" customHeight="false" outlineLevel="0" collapsed="false">
      <c r="A139" s="0" t="n">
        <v>31</v>
      </c>
      <c r="B139" s="34" t="n">
        <v>41183</v>
      </c>
      <c r="C139" s="1" t="n">
        <v>8878</v>
      </c>
      <c r="D139" s="1" t="s">
        <v>42</v>
      </c>
      <c r="E139" s="33" t="n">
        <f aca="false">IF(D139="totale",(C139/(A139*24))/F139,IF(D139="marché libre",(C139/(A139*24))/G139,"spécifier histo"))</f>
        <v>0.165733273596177</v>
      </c>
      <c r="F139" s="59" t="n">
        <v>72</v>
      </c>
      <c r="G139" s="59" t="n">
        <f aca="false">F139-H139</f>
        <v>72</v>
      </c>
      <c r="H139" s="59" t="n">
        <v>0</v>
      </c>
      <c r="I139" s="9"/>
      <c r="J139" s="205"/>
      <c r="K139" s="206"/>
    </row>
    <row r="140" customFormat="false" ht="12.8" hidden="false" customHeight="false" outlineLevel="0" collapsed="false">
      <c r="A140" s="0" t="n">
        <v>30</v>
      </c>
      <c r="B140" s="31" t="n">
        <v>41214</v>
      </c>
      <c r="C140" s="1" t="n">
        <v>26454</v>
      </c>
      <c r="D140" s="1" t="s">
        <v>42</v>
      </c>
      <c r="E140" s="33" t="n">
        <f aca="false">IF(D140="totale",(C140/(A140*24))/F140,IF(D140="marché libre",(C140/(A140*24))/G140,"spécifier histo"))</f>
        <v>0.510300925925926</v>
      </c>
      <c r="F140" s="59" t="n">
        <v>72</v>
      </c>
      <c r="G140" s="59" t="n">
        <f aca="false">F140-H140</f>
        <v>72</v>
      </c>
      <c r="H140" s="59" t="n">
        <v>0</v>
      </c>
      <c r="I140" s="9"/>
      <c r="J140" s="205"/>
      <c r="K140" s="206"/>
    </row>
    <row r="141" customFormat="false" ht="12.8" hidden="false" customHeight="false" outlineLevel="0" collapsed="false">
      <c r="A141" s="0" t="n">
        <v>31</v>
      </c>
      <c r="B141" s="34" t="n">
        <v>41244</v>
      </c>
      <c r="C141" s="1" t="n">
        <v>39556</v>
      </c>
      <c r="D141" s="1" t="s">
        <v>42</v>
      </c>
      <c r="E141" s="33" t="n">
        <f aca="false">IF(D141="totale",(C141/(A141*24))/F141,IF(D141="marché libre",(C141/(A141*24))/G141,"spécifier histo"))</f>
        <v>0.738425925925926</v>
      </c>
      <c r="F141" s="59" t="n">
        <v>72</v>
      </c>
      <c r="G141" s="59" t="n">
        <f aca="false">F141-H141</f>
        <v>72</v>
      </c>
      <c r="H141" s="59" t="n">
        <v>0</v>
      </c>
      <c r="I141" s="9"/>
      <c r="J141" s="205"/>
      <c r="K141" s="206"/>
    </row>
    <row r="142" customFormat="false" ht="12.8" hidden="false" customHeight="false" outlineLevel="0" collapsed="false">
      <c r="A142" s="0" t="n">
        <v>31</v>
      </c>
      <c r="B142" s="31" t="n">
        <v>41275</v>
      </c>
      <c r="C142" s="1" t="n">
        <v>35182</v>
      </c>
      <c r="D142" s="1" t="s">
        <v>42</v>
      </c>
      <c r="E142" s="33" t="n">
        <f aca="false">IF(D142="totale",(C142/(A142*24))/F142,IF(D142="marché libre",(C142/(A142*24))/G142,"spécifier histo"))</f>
        <v>0.656772700119474</v>
      </c>
      <c r="F142" s="59" t="n">
        <v>72</v>
      </c>
      <c r="G142" s="59" t="n">
        <f aca="false">F142-H142</f>
        <v>72</v>
      </c>
      <c r="H142" s="59" t="n">
        <v>0</v>
      </c>
      <c r="I142" s="9"/>
      <c r="J142" s="205"/>
      <c r="K142" s="206"/>
    </row>
    <row r="143" customFormat="false" ht="12.8" hidden="false" customHeight="false" outlineLevel="0" collapsed="false">
      <c r="A143" s="0" t="n">
        <v>28</v>
      </c>
      <c r="B143" s="34" t="n">
        <v>41306</v>
      </c>
      <c r="C143" s="1" t="n">
        <v>23982</v>
      </c>
      <c r="D143" s="1" t="s">
        <v>42</v>
      </c>
      <c r="E143" s="33" t="n">
        <f aca="false">IF(D143="totale",(C143/(A143*24))/F143,IF(D143="marché libre",(C143/(A143*24))/G143,"spécifier histo"))</f>
        <v>0.495659722222222</v>
      </c>
      <c r="F143" s="59" t="n">
        <v>72</v>
      </c>
      <c r="G143" s="59" t="n">
        <f aca="false">F143-H143</f>
        <v>72</v>
      </c>
      <c r="H143" s="59" t="n">
        <v>0</v>
      </c>
      <c r="I143" s="9"/>
      <c r="J143" s="205"/>
      <c r="K143" s="206"/>
    </row>
    <row r="144" customFormat="false" ht="12.8" hidden="false" customHeight="false" outlineLevel="0" collapsed="false">
      <c r="A144" s="0" t="n">
        <v>31</v>
      </c>
      <c r="B144" s="31" t="n">
        <v>41334</v>
      </c>
      <c r="C144" s="1" t="n">
        <v>37940</v>
      </c>
      <c r="D144" s="1" t="s">
        <v>42</v>
      </c>
      <c r="E144" s="33" t="n">
        <f aca="false">IF(D144="totale",(C144/(A144*24))/F144,IF(D144="marché libre",(C144/(A144*24))/G144,"spécifier histo"))</f>
        <v>0.708258661887694</v>
      </c>
      <c r="F144" s="59" t="n">
        <v>72</v>
      </c>
      <c r="G144" s="59" t="n">
        <f aca="false">F144-H144</f>
        <v>72</v>
      </c>
      <c r="H144" s="59" t="n">
        <v>0</v>
      </c>
      <c r="I144" s="9"/>
      <c r="J144" s="205"/>
      <c r="K144" s="206"/>
    </row>
    <row r="145" customFormat="false" ht="12.8" hidden="false" customHeight="false" outlineLevel="0" collapsed="false">
      <c r="A145" s="0" t="n">
        <v>30</v>
      </c>
      <c r="B145" s="34" t="n">
        <v>41365</v>
      </c>
      <c r="C145" s="1" t="n">
        <v>36194</v>
      </c>
      <c r="D145" s="1" t="s">
        <v>42</v>
      </c>
      <c r="E145" s="33" t="n">
        <f aca="false">IF(D145="totale",(C145/(A145*24))/F145,IF(D145="marché libre",(C145/(A145*24))/G145,"spécifier histo"))</f>
        <v>0.698186728395062</v>
      </c>
      <c r="F145" s="59" t="n">
        <v>72</v>
      </c>
      <c r="G145" s="59" t="n">
        <f aca="false">F145-H145</f>
        <v>72</v>
      </c>
      <c r="H145" s="59" t="n">
        <v>0</v>
      </c>
      <c r="I145" s="9"/>
      <c r="J145" s="205"/>
      <c r="K145" s="206"/>
    </row>
    <row r="146" customFormat="false" ht="12.8" hidden="false" customHeight="false" outlineLevel="0" collapsed="false">
      <c r="A146" s="0" t="n">
        <v>31</v>
      </c>
      <c r="B146" s="31" t="n">
        <v>41395</v>
      </c>
      <c r="C146" s="1" t="n">
        <v>27922</v>
      </c>
      <c r="D146" s="1" t="s">
        <v>42</v>
      </c>
      <c r="E146" s="33" t="n">
        <f aca="false">IF(D146="totale",(C146/(A146*24))/F146,IF(D146="marché libre",(C146/(A146*24))/G146,"spécifier histo"))</f>
        <v>0.521244026284349</v>
      </c>
      <c r="F146" s="59" t="n">
        <v>72</v>
      </c>
      <c r="G146" s="59" t="n">
        <f aca="false">F146-H146</f>
        <v>72</v>
      </c>
      <c r="H146" s="59" t="n">
        <v>0</v>
      </c>
      <c r="I146" s="9"/>
      <c r="J146" s="205"/>
      <c r="K146" s="206"/>
    </row>
    <row r="147" customFormat="false" ht="12.8" hidden="false" customHeight="false" outlineLevel="0" collapsed="false">
      <c r="A147" s="0" t="n">
        <v>30</v>
      </c>
      <c r="B147" s="34" t="n">
        <v>41426</v>
      </c>
      <c r="C147" s="1" t="n">
        <v>32634</v>
      </c>
      <c r="D147" s="1" t="s">
        <v>42</v>
      </c>
      <c r="E147" s="33" t="n">
        <f aca="false">IF(D147="totale",(C147/(A147*24))/F147,IF(D147="marché libre",(C147/(A147*24))/G147,"spécifier histo"))</f>
        <v>0.629513888888889</v>
      </c>
      <c r="F147" s="59" t="n">
        <v>72</v>
      </c>
      <c r="G147" s="59" t="n">
        <f aca="false">F147-H147</f>
        <v>72</v>
      </c>
      <c r="H147" s="59" t="n">
        <v>0</v>
      </c>
      <c r="I147" s="9"/>
      <c r="J147" s="205"/>
      <c r="K147" s="206"/>
    </row>
    <row r="148" customFormat="false" ht="12.8" hidden="false" customHeight="false" outlineLevel="0" collapsed="false">
      <c r="A148" s="0" t="n">
        <v>31</v>
      </c>
      <c r="B148" s="31" t="n">
        <v>41456</v>
      </c>
      <c r="C148" s="1" t="n">
        <v>12660</v>
      </c>
      <c r="D148" s="1" t="s">
        <v>42</v>
      </c>
      <c r="E148" s="33" t="n">
        <f aca="false">IF(D148="totale",(C148/(A148*24))/F148,IF(D148="marché libre",(C148/(A148*24))/G148,"spécifier histo"))</f>
        <v>0.236335125448029</v>
      </c>
      <c r="F148" s="59" t="n">
        <v>72</v>
      </c>
      <c r="G148" s="59" t="n">
        <f aca="false">F148-H148</f>
        <v>72</v>
      </c>
      <c r="H148" s="59" t="n">
        <v>0</v>
      </c>
      <c r="I148" s="9"/>
      <c r="J148" s="205"/>
      <c r="K148" s="206"/>
    </row>
    <row r="149" customFormat="false" ht="12.8" hidden="false" customHeight="false" outlineLevel="0" collapsed="false">
      <c r="A149" s="0" t="n">
        <v>31</v>
      </c>
      <c r="B149" s="34" t="n">
        <v>41487</v>
      </c>
      <c r="C149" s="1" t="n">
        <v>706</v>
      </c>
      <c r="D149" s="1" t="s">
        <v>42</v>
      </c>
      <c r="E149" s="33" t="n">
        <f aca="false">IF(D149="totale",(C149/(A149*24))/F149,IF(D149="marché libre",(C149/(A149*24))/G149,"spécifier histo"))</f>
        <v>0.0131795101553166</v>
      </c>
      <c r="F149" s="59" t="n">
        <v>72</v>
      </c>
      <c r="G149" s="59" t="n">
        <f aca="false">F149-H149</f>
        <v>72</v>
      </c>
      <c r="H149" s="59" t="n">
        <v>0</v>
      </c>
      <c r="I149" s="9"/>
      <c r="J149" s="205"/>
      <c r="K149" s="206"/>
    </row>
    <row r="150" customFormat="false" ht="12.8" hidden="false" customHeight="false" outlineLevel="0" collapsed="false">
      <c r="A150" s="0" t="n">
        <v>30</v>
      </c>
      <c r="B150" s="31" t="n">
        <v>41518</v>
      </c>
      <c r="C150" s="1" t="n">
        <v>0</v>
      </c>
      <c r="D150" s="1" t="s">
        <v>42</v>
      </c>
      <c r="E150" s="33" t="n">
        <f aca="false">IF(D150="totale",(C150/(A150*24))/F150,IF(D150="marché libre",(C150/(A150*24))/G150,"spécifier histo"))</f>
        <v>0</v>
      </c>
      <c r="F150" s="59" t="n">
        <v>72</v>
      </c>
      <c r="G150" s="59" t="n">
        <f aca="false">F150-H150</f>
        <v>72</v>
      </c>
      <c r="H150" s="59" t="n">
        <v>0</v>
      </c>
      <c r="I150" s="9"/>
      <c r="J150" s="205"/>
      <c r="K150" s="206"/>
    </row>
    <row r="151" customFormat="false" ht="12.8" hidden="false" customHeight="false" outlineLevel="0" collapsed="false">
      <c r="A151" s="0" t="n">
        <v>31</v>
      </c>
      <c r="B151" s="34" t="n">
        <v>41548</v>
      </c>
      <c r="C151" s="1" t="n">
        <v>6988</v>
      </c>
      <c r="D151" s="1" t="s">
        <v>42</v>
      </c>
      <c r="E151" s="33" t="n">
        <f aca="false">IF(D151="totale",(C151/(A151*24))/F151,IF(D151="marché libre",(C151/(A151*24))/G151,"spécifier histo"))</f>
        <v>0.130451015531661</v>
      </c>
      <c r="F151" s="59" t="n">
        <v>72</v>
      </c>
      <c r="G151" s="59" t="n">
        <f aca="false">F151-H151</f>
        <v>72</v>
      </c>
      <c r="H151" s="59" t="n">
        <v>0</v>
      </c>
      <c r="I151" s="9"/>
      <c r="J151" s="205"/>
      <c r="K151" s="206"/>
    </row>
    <row r="152" customFormat="false" ht="12.8" hidden="false" customHeight="false" outlineLevel="0" collapsed="false">
      <c r="A152" s="0" t="n">
        <v>30</v>
      </c>
      <c r="B152" s="31" t="n">
        <v>41579</v>
      </c>
      <c r="C152" s="56" t="n">
        <v>0</v>
      </c>
      <c r="D152" s="1" t="s">
        <v>42</v>
      </c>
      <c r="E152" s="33" t="n">
        <f aca="false">IF(D152="totale",(C152/(A152*24))/F152,IF(D152="marché libre",(C152/(A152*24))/G152,"spécifier histo"))</f>
        <v>0</v>
      </c>
      <c r="F152" s="59" t="n">
        <v>72</v>
      </c>
      <c r="G152" s="59" t="n">
        <f aca="false">F152-H152</f>
        <v>72</v>
      </c>
      <c r="H152" s="59" t="n">
        <v>0</v>
      </c>
      <c r="I152" s="9"/>
      <c r="J152" s="205"/>
      <c r="K152" s="206"/>
    </row>
    <row r="153" customFormat="false" ht="12.8" hidden="false" customHeight="false" outlineLevel="0" collapsed="false">
      <c r="A153" s="0" t="n">
        <v>31</v>
      </c>
      <c r="B153" s="34" t="n">
        <v>41609</v>
      </c>
      <c r="C153" s="56" t="n">
        <v>0</v>
      </c>
      <c r="D153" s="1" t="s">
        <v>42</v>
      </c>
      <c r="E153" s="33" t="n">
        <f aca="false">IF(D153="totale",(C153/(A153*24))/F153,IF(D153="marché libre",(C153/(A153*24))/G153,"spécifier histo"))</f>
        <v>0</v>
      </c>
      <c r="F153" s="59" t="n">
        <v>72</v>
      </c>
      <c r="G153" s="59" t="n">
        <f aca="false">F153-H153</f>
        <v>72</v>
      </c>
      <c r="H153" s="59" t="n">
        <v>0</v>
      </c>
      <c r="I153" s="9"/>
      <c r="J153" s="205"/>
      <c r="K153" s="202"/>
    </row>
    <row r="154" customFormat="false" ht="12.8" hidden="false" customHeight="false" outlineLevel="0" collapsed="false">
      <c r="A154" s="0" t="n">
        <v>31</v>
      </c>
      <c r="B154" s="31" t="n">
        <v>41640</v>
      </c>
      <c r="C154" s="285" t="n">
        <v>0</v>
      </c>
      <c r="D154" s="1" t="s">
        <v>42</v>
      </c>
      <c r="E154" s="33" t="n">
        <f aca="false">IF(D154="totale",(C154/(A154*24))/F154,IF(D154="marché libre",(C154/(A154*24))/G154,"spécifier histo"))</f>
        <v>0</v>
      </c>
      <c r="F154" s="59" t="n">
        <v>72</v>
      </c>
      <c r="G154" s="59" t="n">
        <f aca="false">F154-H154</f>
        <v>72</v>
      </c>
      <c r="H154" s="59" t="n">
        <v>0</v>
      </c>
      <c r="I154" s="286" t="s">
        <v>208</v>
      </c>
      <c r="J154" s="0" t="s">
        <v>348</v>
      </c>
      <c r="K154" s="202"/>
    </row>
    <row r="155" customFormat="false" ht="12.8" hidden="false" customHeight="false" outlineLevel="0" collapsed="false">
      <c r="A155" s="0" t="n">
        <v>28</v>
      </c>
      <c r="B155" s="34" t="n">
        <v>41671</v>
      </c>
      <c r="C155" s="287" t="n">
        <v>28412</v>
      </c>
      <c r="D155" s="1" t="s">
        <v>42</v>
      </c>
      <c r="E155" s="33" t="n">
        <f aca="false">IF(D155="totale",(C155/(A155*24))/F155,IF(D155="marché libre",(C155/(A155*24))/G155,"spécifier histo"))</f>
        <v>0.587218915343915</v>
      </c>
      <c r="F155" s="59" t="n">
        <v>72</v>
      </c>
      <c r="G155" s="59" t="n">
        <f aca="false">F155-H155</f>
        <v>72</v>
      </c>
      <c r="H155" s="59" t="n">
        <v>0</v>
      </c>
      <c r="I155" s="205"/>
      <c r="J155" s="0"/>
      <c r="K155" s="202"/>
    </row>
    <row r="156" customFormat="false" ht="12.8" hidden="false" customHeight="false" outlineLevel="0" collapsed="false">
      <c r="A156" s="0" t="n">
        <v>31</v>
      </c>
      <c r="B156" s="31" t="n">
        <v>41699</v>
      </c>
      <c r="C156" s="287" t="n">
        <v>29050</v>
      </c>
      <c r="D156" s="1" t="s">
        <v>42</v>
      </c>
      <c r="E156" s="33" t="n">
        <f aca="false">IF(D156="totale",(C156/(A156*24))/F156,IF(D156="marché libre",(C156/(A156*24))/G156,"spécifier histo"))</f>
        <v>0.5423013739546</v>
      </c>
      <c r="F156" s="59" t="n">
        <v>72</v>
      </c>
      <c r="G156" s="59" t="n">
        <f aca="false">F156-H156</f>
        <v>72</v>
      </c>
      <c r="H156" s="59" t="n">
        <v>0</v>
      </c>
      <c r="I156" s="9"/>
      <c r="J156" s="205"/>
      <c r="K156" s="202"/>
    </row>
    <row r="157" customFormat="false" ht="12.8" hidden="false" customHeight="false" outlineLevel="0" collapsed="false">
      <c r="A157" s="281" t="n">
        <v>30</v>
      </c>
      <c r="B157" s="160" t="n">
        <v>41730</v>
      </c>
      <c r="C157" s="288" t="n">
        <v>14185</v>
      </c>
      <c r="D157" s="283" t="s">
        <v>42</v>
      </c>
      <c r="E157" s="163" t="n">
        <f aca="false">IF(D157="totale",(C157/(A157*24))/F157,IF(D157="marché libre",(C157/(A157*24))/G157,"spécifier histo"))</f>
        <v>0.273630401234568</v>
      </c>
      <c r="F157" s="284" t="n">
        <v>72</v>
      </c>
      <c r="G157" s="284" t="n">
        <f aca="false">F157-H157</f>
        <v>72</v>
      </c>
      <c r="H157" s="284" t="n">
        <v>0</v>
      </c>
      <c r="I157" s="9"/>
      <c r="J157" s="0"/>
      <c r="K157" s="202"/>
    </row>
    <row r="158" customFormat="false" ht="12.8" hidden="false" customHeight="false" outlineLevel="0" collapsed="false">
      <c r="A158" s="0" t="n">
        <v>31</v>
      </c>
      <c r="B158" s="31" t="n">
        <v>41760</v>
      </c>
      <c r="C158" s="287" t="n">
        <v>13955</v>
      </c>
      <c r="D158" s="1" t="s">
        <v>42</v>
      </c>
      <c r="E158" s="33" t="n">
        <f aca="false">IF(D158="totale",(C158/(A158*24))/F158,IF(D158="marché libre",(C158/(A158*24))/G158,"spécifier histo"))</f>
        <v>0.260510005973716</v>
      </c>
      <c r="F158" s="59" t="n">
        <v>72</v>
      </c>
      <c r="G158" s="59" t="n">
        <f aca="false">F158-H158</f>
        <v>72</v>
      </c>
      <c r="H158" s="59" t="n">
        <v>0</v>
      </c>
      <c r="J158" s="0"/>
      <c r="K158" s="202"/>
    </row>
    <row r="159" customFormat="false" ht="12.8" hidden="false" customHeight="false" outlineLevel="0" collapsed="false">
      <c r="A159" s="0" t="n">
        <v>30</v>
      </c>
      <c r="B159" s="34" t="n">
        <v>41791</v>
      </c>
      <c r="C159" s="56" t="n">
        <v>0</v>
      </c>
      <c r="D159" s="1" t="s">
        <v>42</v>
      </c>
      <c r="E159" s="33" t="n">
        <f aca="false">IF(D159="totale",(C159/(A159*24))/F159,IF(D159="marché libre",(C159/(A159*24))/G159,"spécifier histo"))</f>
        <v>0</v>
      </c>
      <c r="F159" s="59" t="n">
        <v>72</v>
      </c>
      <c r="G159" s="59" t="n">
        <f aca="false">F159-H159</f>
        <v>72</v>
      </c>
      <c r="H159" s="59" t="n">
        <v>0</v>
      </c>
      <c r="J159" s="0"/>
      <c r="K159" s="202"/>
    </row>
    <row r="160" customFormat="false" ht="12.8" hidden="false" customHeight="false" outlineLevel="0" collapsed="false">
      <c r="A160" s="0" t="n">
        <v>31</v>
      </c>
      <c r="B160" s="31" t="n">
        <v>41821</v>
      </c>
      <c r="C160" s="56" t="n">
        <v>0</v>
      </c>
      <c r="D160" s="1" t="s">
        <v>42</v>
      </c>
      <c r="E160" s="33" t="n">
        <f aca="false">IF(D160="totale",(C160/(A160*24))/F160,IF(D160="marché libre",(C160/(A160*24))/G160,"spécifier histo"))</f>
        <v>0</v>
      </c>
      <c r="F160" s="59" t="n">
        <v>72</v>
      </c>
      <c r="G160" s="59" t="n">
        <f aca="false">F160-H160</f>
        <v>72</v>
      </c>
      <c r="H160" s="59" t="n">
        <v>0</v>
      </c>
      <c r="J160" s="0"/>
      <c r="K160" s="202"/>
    </row>
    <row r="161" customFormat="false" ht="12.8" hidden="false" customHeight="false" outlineLevel="0" collapsed="false">
      <c r="A161" s="0" t="n">
        <v>31</v>
      </c>
      <c r="B161" s="34" t="n">
        <v>41852</v>
      </c>
      <c r="C161" s="56" t="n">
        <v>0</v>
      </c>
      <c r="D161" s="1" t="s">
        <v>42</v>
      </c>
      <c r="E161" s="33" t="n">
        <f aca="false">IF(D161="totale",(C161/(A161*24))/F161,IF(D161="marché libre",(C161/(A161*24))/G161,"spécifier histo"))</f>
        <v>0</v>
      </c>
      <c r="F161" s="59" t="n">
        <v>72</v>
      </c>
      <c r="G161" s="59" t="n">
        <f aca="false">F161-H161</f>
        <v>72</v>
      </c>
      <c r="H161" s="59" t="n">
        <v>0</v>
      </c>
      <c r="J161" s="0"/>
      <c r="K161" s="202"/>
    </row>
    <row r="162" customFormat="false" ht="12.8" hidden="false" customHeight="false" outlineLevel="0" collapsed="false">
      <c r="A162" s="0" t="n">
        <v>30</v>
      </c>
      <c r="B162" s="31" t="n">
        <v>41883</v>
      </c>
      <c r="C162" s="56" t="n">
        <v>3500</v>
      </c>
      <c r="D162" s="1" t="s">
        <v>42</v>
      </c>
      <c r="E162" s="33" t="n">
        <f aca="false">IF(D162="totale",(C162/(A162*24))/F162,IF(D162="marché libre",(C162/(A162*24))/G162,"spécifier histo"))</f>
        <v>0.0675154320987654</v>
      </c>
      <c r="F162" s="59" t="n">
        <v>72</v>
      </c>
      <c r="G162" s="59" t="n">
        <f aca="false">F162-H162</f>
        <v>72</v>
      </c>
      <c r="H162" s="59" t="n">
        <v>0</v>
      </c>
      <c r="J162" s="0"/>
      <c r="K162" s="202"/>
    </row>
    <row r="163" customFormat="false" ht="12.8" hidden="false" customHeight="false" outlineLevel="0" collapsed="false">
      <c r="A163" s="0" t="n">
        <v>31</v>
      </c>
      <c r="B163" s="34" t="n">
        <v>41913</v>
      </c>
      <c r="C163" s="56" t="n">
        <v>2241</v>
      </c>
      <c r="D163" s="1" t="s">
        <v>42</v>
      </c>
      <c r="E163" s="33" t="n">
        <f aca="false">IF(D163="totale",(C163/(A163*24))/F163,IF(D163="marché libre",(C163/(A163*24))/G163,"spécifier histo"))</f>
        <v>0.0418346774193548</v>
      </c>
      <c r="F163" s="59" t="n">
        <v>72</v>
      </c>
      <c r="G163" s="59" t="n">
        <f aca="false">F163-H163</f>
        <v>72</v>
      </c>
      <c r="H163" s="59" t="n">
        <v>0</v>
      </c>
      <c r="J163" s="0"/>
      <c r="K163" s="202"/>
    </row>
    <row r="164" customFormat="false" ht="12.8" hidden="false" customHeight="false" outlineLevel="0" collapsed="false">
      <c r="A164" s="0" t="n">
        <v>30</v>
      </c>
      <c r="B164" s="31" t="n">
        <v>41944</v>
      </c>
      <c r="C164" s="56" t="n">
        <v>18291</v>
      </c>
      <c r="D164" s="1" t="s">
        <v>42</v>
      </c>
      <c r="E164" s="33" t="n">
        <f aca="false">IF(D164="totale",(C164/(A164*24))/F164,IF(D164="marché libre",(C164/(A164*24))/G164,"spécifier histo"))</f>
        <v>0.352835648148148</v>
      </c>
      <c r="F164" s="59" t="n">
        <v>72</v>
      </c>
      <c r="G164" s="59" t="n">
        <f aca="false">F164-H164</f>
        <v>72</v>
      </c>
      <c r="H164" s="59" t="n">
        <v>0</v>
      </c>
      <c r="J164" s="0"/>
      <c r="K164" s="202"/>
    </row>
    <row r="165" customFormat="false" ht="12.8" hidden="false" customHeight="false" outlineLevel="0" collapsed="false">
      <c r="A165" s="0" t="n">
        <v>31</v>
      </c>
      <c r="B165" s="34" t="n">
        <v>41974</v>
      </c>
      <c r="C165" s="56" t="n">
        <v>31200</v>
      </c>
      <c r="D165" s="1" t="s">
        <v>42</v>
      </c>
      <c r="E165" s="33" t="n">
        <f aca="false">IF(D165="totale",(C165/(A165*24))/F165,IF(D165="marché libre",(C165/(A165*24))/G165,"spécifier histo"))</f>
        <v>0.582437275985663</v>
      </c>
      <c r="F165" s="59" t="n">
        <v>72</v>
      </c>
      <c r="G165" s="59" t="n">
        <f aca="false">F165-H165</f>
        <v>72</v>
      </c>
      <c r="H165" s="59" t="n">
        <v>0</v>
      </c>
      <c r="J165" s="0"/>
      <c r="K165" s="0"/>
    </row>
    <row r="166" customFormat="false" ht="12.8" hidden="false" customHeight="false" outlineLevel="0" collapsed="false">
      <c r="A166" s="0" t="n">
        <v>31</v>
      </c>
      <c r="B166" s="31" t="n">
        <v>42005</v>
      </c>
      <c r="C166" s="56" t="n">
        <v>22276</v>
      </c>
      <c r="D166" s="1" t="s">
        <v>42</v>
      </c>
      <c r="E166" s="33" t="n">
        <f aca="false">IF(D166="totale",(C166/(A166*24))/F166,IF(D166="marché libre",(C166/(A166*24))/G166,"spécifier histo"))</f>
        <v>0.415845280764636</v>
      </c>
      <c r="F166" s="59" t="n">
        <v>72</v>
      </c>
      <c r="G166" s="59" t="n">
        <f aca="false">F166-H166</f>
        <v>72</v>
      </c>
      <c r="H166" s="59" t="n">
        <v>0</v>
      </c>
      <c r="J166" s="0"/>
      <c r="K166" s="0"/>
    </row>
    <row r="167" customFormat="false" ht="12.8" hidden="false" customHeight="false" outlineLevel="0" collapsed="false">
      <c r="A167" s="0" t="n">
        <v>28</v>
      </c>
      <c r="B167" s="34" t="n">
        <v>42036</v>
      </c>
      <c r="C167" s="56" t="n">
        <v>25827</v>
      </c>
      <c r="D167" s="1" t="s">
        <v>42</v>
      </c>
      <c r="E167" s="33" t="n">
        <f aca="false">IF(D167="totale",(C167/(A167*24))/F167,IF(D167="marché libre",(C167/(A167*24))/G167,"spécifier histo"))</f>
        <v>0.533792162698413</v>
      </c>
      <c r="F167" s="59" t="n">
        <v>72</v>
      </c>
      <c r="G167" s="59" t="n">
        <f aca="false">F167-H167</f>
        <v>72</v>
      </c>
      <c r="H167" s="59" t="n">
        <v>0</v>
      </c>
      <c r="J167" s="208"/>
      <c r="K167" s="0"/>
    </row>
    <row r="168" customFormat="false" ht="12.8" hidden="false" customHeight="false" outlineLevel="0" collapsed="false">
      <c r="A168" s="0" t="n">
        <v>31</v>
      </c>
      <c r="B168" s="31" t="n">
        <v>42064</v>
      </c>
      <c r="C168" s="56" t="n">
        <v>33178</v>
      </c>
      <c r="D168" s="1" t="s">
        <v>42</v>
      </c>
      <c r="E168" s="33" t="n">
        <f aca="false">IF(D168="totale",(C168/(A168*24))/F168,IF(D168="marché libre",(C168/(A168*24))/G168,"spécifier histo"))</f>
        <v>0.619362305854241</v>
      </c>
      <c r="F168" s="59" t="n">
        <v>72</v>
      </c>
      <c r="G168" s="59" t="n">
        <f aca="false">F168-H168</f>
        <v>72</v>
      </c>
      <c r="H168" s="59" t="n">
        <v>0</v>
      </c>
      <c r="J168" s="208"/>
      <c r="K168" s="0"/>
    </row>
    <row r="169" customFormat="false" ht="12.8" hidden="false" customHeight="false" outlineLevel="0" collapsed="false">
      <c r="A169" s="0" t="n">
        <v>30</v>
      </c>
      <c r="B169" s="34" t="n">
        <v>42095</v>
      </c>
      <c r="C169" s="56" t="n">
        <v>28227</v>
      </c>
      <c r="D169" s="1" t="s">
        <v>42</v>
      </c>
      <c r="E169" s="33" t="n">
        <f aca="false">IF(D169="totale",(C169/(A169*24))/F169,IF(D169="marché libre",(C169/(A169*24))/G169,"spécifier histo"))</f>
        <v>0.544502314814815</v>
      </c>
      <c r="F169" s="59" t="n">
        <v>72</v>
      </c>
      <c r="G169" s="59" t="n">
        <f aca="false">F169-H169</f>
        <v>72</v>
      </c>
      <c r="H169" s="59" t="n">
        <v>0</v>
      </c>
      <c r="J169" s="208"/>
      <c r="K169" s="0"/>
    </row>
    <row r="170" customFormat="false" ht="12.8" hidden="false" customHeight="false" outlineLevel="0" collapsed="false">
      <c r="A170" s="0" t="n">
        <v>31</v>
      </c>
      <c r="B170" s="31" t="n">
        <v>42125</v>
      </c>
      <c r="C170" s="56" t="n">
        <v>23796</v>
      </c>
      <c r="D170" s="1" t="s">
        <v>42</v>
      </c>
      <c r="E170" s="33" t="n">
        <f aca="false">IF(D170="totale",(C170/(A170*24))/F170,IF(D170="marché libre",(C170/(A170*24))/G170,"spécifier histo"))</f>
        <v>0.444220430107527</v>
      </c>
      <c r="F170" s="59" t="n">
        <v>72</v>
      </c>
      <c r="G170" s="59" t="n">
        <f aca="false">F170-H170</f>
        <v>72</v>
      </c>
      <c r="H170" s="59" t="n">
        <v>0</v>
      </c>
      <c r="J170" s="208"/>
      <c r="K170" s="0"/>
    </row>
    <row r="171" customFormat="false" ht="12.8" hidden="false" customHeight="false" outlineLevel="0" collapsed="false">
      <c r="A171" s="0" t="n">
        <v>30</v>
      </c>
      <c r="B171" s="34" t="n">
        <v>42156</v>
      </c>
      <c r="C171" s="56" t="n">
        <v>5805</v>
      </c>
      <c r="D171" s="1" t="s">
        <v>42</v>
      </c>
      <c r="E171" s="33" t="n">
        <f aca="false">IF(D171="totale",(C171/(A171*24))/F171,IF(D171="marché libre",(C171/(A171*24))/G171,"spécifier histo"))</f>
        <v>0.111979166666667</v>
      </c>
      <c r="F171" s="59" t="n">
        <v>72</v>
      </c>
      <c r="G171" s="59" t="n">
        <f aca="false">F171-H171</f>
        <v>72</v>
      </c>
      <c r="H171" s="59" t="n">
        <v>0</v>
      </c>
      <c r="J171" s="208"/>
      <c r="K171" s="0"/>
    </row>
    <row r="172" customFormat="false" ht="12.8" hidden="false" customHeight="false" outlineLevel="0" collapsed="false">
      <c r="A172" s="0" t="n">
        <v>31</v>
      </c>
      <c r="B172" s="31" t="n">
        <v>42186</v>
      </c>
      <c r="C172" s="56" t="n">
        <v>2</v>
      </c>
      <c r="D172" s="1" t="s">
        <v>42</v>
      </c>
      <c r="E172" s="33" t="n">
        <f aca="false">IF(D172="totale",(C172/(A172*24))/F172,IF(D172="marché libre",(C172/(A172*24))/G172,"spécifier histo"))</f>
        <v>3.73357228195938E-005</v>
      </c>
      <c r="F172" s="59" t="n">
        <v>72</v>
      </c>
      <c r="G172" s="59" t="n">
        <f aca="false">F172-H172</f>
        <v>72</v>
      </c>
      <c r="H172" s="59" t="n">
        <v>0</v>
      </c>
      <c r="J172" s="208"/>
      <c r="K172" s="0"/>
    </row>
    <row r="173" customFormat="false" ht="12.8" hidden="false" customHeight="false" outlineLevel="0" collapsed="false">
      <c r="A173" s="0" t="n">
        <v>31</v>
      </c>
      <c r="B173" s="34" t="n">
        <v>42217</v>
      </c>
      <c r="C173" s="56" t="n">
        <v>0</v>
      </c>
      <c r="D173" s="1" t="s">
        <v>42</v>
      </c>
      <c r="E173" s="33" t="n">
        <f aca="false">IF(D173="totale",(C173/(A173*24))/F173,IF(D173="marché libre",(C173/(A173*24))/G173,"spécifier histo"))</f>
        <v>0</v>
      </c>
      <c r="F173" s="59" t="n">
        <v>72</v>
      </c>
      <c r="G173" s="59" t="n">
        <f aca="false">F173-H173</f>
        <v>72</v>
      </c>
      <c r="H173" s="59" t="n">
        <v>0</v>
      </c>
      <c r="J173" s="208"/>
      <c r="K173" s="0"/>
    </row>
    <row r="174" customFormat="false" ht="12.8" hidden="false" customHeight="false" outlineLevel="0" collapsed="false">
      <c r="A174" s="0" t="n">
        <v>30</v>
      </c>
      <c r="B174" s="31" t="n">
        <v>42248</v>
      </c>
      <c r="C174" s="56" t="n">
        <v>2454</v>
      </c>
      <c r="D174" s="1" t="s">
        <v>42</v>
      </c>
      <c r="E174" s="33" t="n">
        <f aca="false">IF(D174="totale",(C174/(A174*24))/F174,IF(D174="marché libre",(C174/(A174*24))/G174,"spécifier histo"))</f>
        <v>0.047337962962963</v>
      </c>
      <c r="F174" s="59" t="n">
        <v>72</v>
      </c>
      <c r="G174" s="59" t="n">
        <f aca="false">F174-H174</f>
        <v>72</v>
      </c>
      <c r="H174" s="59" t="n">
        <v>0</v>
      </c>
      <c r="J174" s="208"/>
      <c r="K174" s="0"/>
    </row>
    <row r="175" customFormat="false" ht="12.8" hidden="false" customHeight="false" outlineLevel="0" collapsed="false">
      <c r="A175" s="0" t="n">
        <v>31</v>
      </c>
      <c r="B175" s="34" t="n">
        <v>42278</v>
      </c>
      <c r="C175" s="56" t="n">
        <v>9440</v>
      </c>
      <c r="D175" s="1" t="s">
        <v>42</v>
      </c>
      <c r="E175" s="33" t="n">
        <f aca="false">IF(D175="totale",(C175/(A175*24))/F175,IF(D175="marché libre",(C175/(A175*24))/G175,"spécifier histo"))</f>
        <v>0.176224611708483</v>
      </c>
      <c r="F175" s="59" t="n">
        <v>72</v>
      </c>
      <c r="G175" s="59" t="n">
        <f aca="false">F175-H175</f>
        <v>72</v>
      </c>
      <c r="H175" s="59" t="n">
        <v>0</v>
      </c>
      <c r="J175" s="208"/>
      <c r="K175" s="0"/>
    </row>
    <row r="176" customFormat="false" ht="12.8" hidden="false" customHeight="false" outlineLevel="0" collapsed="false">
      <c r="A176" s="0" t="n">
        <v>30</v>
      </c>
      <c r="B176" s="31" t="n">
        <v>42309</v>
      </c>
      <c r="C176" s="56" t="n">
        <v>13634</v>
      </c>
      <c r="D176" s="1" t="s">
        <v>42</v>
      </c>
      <c r="E176" s="33" t="n">
        <f aca="false">IF(D176="totale",(C176/(A176*24))/F176,IF(D176="marché libre",(C176/(A176*24))/G176,"spécifier histo"))</f>
        <v>0.263001543209876</v>
      </c>
      <c r="F176" s="59" t="n">
        <v>72</v>
      </c>
      <c r="G176" s="59" t="n">
        <f aca="false">F176-H176</f>
        <v>72</v>
      </c>
      <c r="H176" s="59" t="n">
        <v>0</v>
      </c>
      <c r="J176" s="208"/>
      <c r="K176" s="0"/>
    </row>
    <row r="177" customFormat="false" ht="12.8" hidden="false" customHeight="false" outlineLevel="0" collapsed="false">
      <c r="A177" s="0" t="n">
        <v>31</v>
      </c>
      <c r="B177" s="34" t="n">
        <v>42339</v>
      </c>
      <c r="C177" s="56" t="n">
        <v>1216</v>
      </c>
      <c r="D177" s="1" t="s">
        <v>42</v>
      </c>
      <c r="E177" s="33" t="n">
        <f aca="false">IF(D177="totale",(C177/(A177*24))/F177,IF(D177="marché libre",(C177/(A177*24))/G177,"spécifier histo"))</f>
        <v>0.022700119474313</v>
      </c>
      <c r="F177" s="59" t="n">
        <v>72</v>
      </c>
      <c r="G177" s="59" t="n">
        <f aca="false">F177-H177</f>
        <v>72</v>
      </c>
      <c r="H177" s="59" t="n">
        <v>0</v>
      </c>
      <c r="J177" s="208"/>
      <c r="K177" s="0"/>
    </row>
    <row r="178" customFormat="false" ht="12.8" hidden="false" customHeight="false" outlineLevel="0" collapsed="false">
      <c r="A178" s="0" t="n">
        <v>31</v>
      </c>
      <c r="B178" s="31" t="n">
        <v>42370</v>
      </c>
      <c r="C178" s="57" t="n">
        <v>0</v>
      </c>
      <c r="D178" s="1" t="s">
        <v>42</v>
      </c>
      <c r="E178" s="33" t="n">
        <f aca="false">IF(D178="totale",(C178/(A178*24))/F178,IF(D178="marché libre",(C178/(A178*24))/G178,"spécifier histo"))</f>
        <v>0</v>
      </c>
      <c r="F178" s="59" t="n">
        <v>72</v>
      </c>
      <c r="G178" s="59" t="n">
        <f aca="false">F178-H178</f>
        <v>72</v>
      </c>
      <c r="H178" s="59" t="n">
        <v>0</v>
      </c>
      <c r="J178" s="208"/>
      <c r="K178" s="0"/>
    </row>
    <row r="179" customFormat="false" ht="12.8" hidden="false" customHeight="false" outlineLevel="0" collapsed="false">
      <c r="A179" s="0" t="n">
        <v>28</v>
      </c>
      <c r="B179" s="34" t="n">
        <v>42401</v>
      </c>
      <c r="C179" s="57" t="n">
        <v>19592</v>
      </c>
      <c r="D179" s="1" t="s">
        <v>42</v>
      </c>
      <c r="E179" s="33" t="n">
        <f aca="false">IF(D179="totale",(C179/(A179*24))/F179,IF(D179="marché libre",(C179/(A179*24))/G179,"spécifier histo"))</f>
        <v>0.404927248677249</v>
      </c>
      <c r="F179" s="59" t="n">
        <v>72</v>
      </c>
      <c r="G179" s="59" t="n">
        <f aca="false">F179-H179</f>
        <v>72</v>
      </c>
      <c r="H179" s="59" t="n">
        <v>0</v>
      </c>
      <c r="J179" s="208"/>
      <c r="K179" s="0"/>
    </row>
    <row r="180" customFormat="false" ht="12.8" hidden="false" customHeight="false" outlineLevel="0" collapsed="false">
      <c r="A180" s="0" t="n">
        <v>31</v>
      </c>
      <c r="B180" s="31" t="n">
        <v>42430</v>
      </c>
      <c r="C180" s="57" t="n">
        <v>28225</v>
      </c>
      <c r="D180" s="1" t="s">
        <v>42</v>
      </c>
      <c r="E180" s="33" t="n">
        <f aca="false">IF(D180="totale",(C180/(A180*24))/F180,IF(D180="marché libre",(C180/(A180*24))/G180,"spécifier histo"))</f>
        <v>0.526900388291517</v>
      </c>
      <c r="F180" s="59" t="n">
        <v>72</v>
      </c>
      <c r="G180" s="59" t="n">
        <f aca="false">F180-H180</f>
        <v>72</v>
      </c>
      <c r="H180" s="59" t="n">
        <v>0</v>
      </c>
      <c r="J180" s="208"/>
      <c r="K180" s="0"/>
    </row>
    <row r="181" customFormat="false" ht="12.8" hidden="false" customHeight="false" outlineLevel="0" collapsed="false">
      <c r="A181" s="0" t="n">
        <v>30</v>
      </c>
      <c r="B181" s="34" t="n">
        <v>42461</v>
      </c>
      <c r="C181" s="57" t="n">
        <v>13507</v>
      </c>
      <c r="D181" s="1" t="s">
        <v>42</v>
      </c>
      <c r="E181" s="33" t="n">
        <f aca="false">IF(D181="totale",(C181/(A181*24))/F181,IF(D181="marché libre",(C181/(A181*24))/G181,"spécifier histo"))</f>
        <v>0.260551697530864</v>
      </c>
      <c r="F181" s="59" t="n">
        <v>72</v>
      </c>
      <c r="G181" s="59" t="n">
        <f aca="false">F181-H181</f>
        <v>72</v>
      </c>
      <c r="H181" s="59" t="n">
        <v>0</v>
      </c>
      <c r="J181" s="208"/>
      <c r="K181" s="0"/>
    </row>
    <row r="182" customFormat="false" ht="12.8" hidden="false" customHeight="false" outlineLevel="0" collapsed="false">
      <c r="A182" s="0" t="n">
        <v>31</v>
      </c>
      <c r="B182" s="31" t="n">
        <v>42491</v>
      </c>
      <c r="C182" s="57" t="n">
        <v>15262</v>
      </c>
      <c r="D182" s="1" t="s">
        <v>42</v>
      </c>
      <c r="E182" s="33" t="n">
        <f aca="false">IF(D182="totale",(C182/(A182*24))/F182,IF(D182="marché libre",(C182/(A182*24))/G182,"spécifier histo"))</f>
        <v>0.28490890083632</v>
      </c>
      <c r="F182" s="59" t="n">
        <v>72</v>
      </c>
      <c r="G182" s="59" t="n">
        <f aca="false">F182-H182</f>
        <v>72</v>
      </c>
      <c r="H182" s="59" t="n">
        <v>0</v>
      </c>
      <c r="J182" s="208"/>
      <c r="K182" s="0"/>
    </row>
    <row r="183" customFormat="false" ht="12.8" hidden="false" customHeight="false" outlineLevel="0" collapsed="false">
      <c r="A183" s="0" t="n">
        <v>30</v>
      </c>
      <c r="B183" s="34" t="n">
        <v>42522</v>
      </c>
      <c r="C183" s="57" t="n">
        <v>17324</v>
      </c>
      <c r="D183" s="1" t="s">
        <v>42</v>
      </c>
      <c r="E183" s="33" t="n">
        <f aca="false">IF(D183="totale",(C183/(A183*24))/F183,IF(D183="marché libre",(C183/(A183*24))/G183,"spécifier histo"))</f>
        <v>0.334182098765432</v>
      </c>
      <c r="F183" s="59" t="n">
        <v>72</v>
      </c>
      <c r="G183" s="59" t="n">
        <f aca="false">F183-H183</f>
        <v>72</v>
      </c>
      <c r="H183" s="59" t="n">
        <v>0</v>
      </c>
      <c r="J183" s="208"/>
      <c r="K183" s="0"/>
    </row>
    <row r="184" customFormat="false" ht="12.8" hidden="false" customHeight="false" outlineLevel="0" collapsed="false">
      <c r="A184" s="0" t="n">
        <v>31</v>
      </c>
      <c r="B184" s="31" t="n">
        <v>42552</v>
      </c>
      <c r="C184" s="57" t="n">
        <v>1942</v>
      </c>
      <c r="D184" s="1" t="s">
        <v>42</v>
      </c>
      <c r="E184" s="33" t="n">
        <f aca="false">IF(D184="totale",(C184/(A184*24))/F184,IF(D184="marché libre",(C184/(A184*24))/G184,"spécifier histo"))</f>
        <v>0.0362529868578256</v>
      </c>
      <c r="F184" s="59" t="n">
        <v>72</v>
      </c>
      <c r="G184" s="59" t="n">
        <f aca="false">F184-H184</f>
        <v>72</v>
      </c>
      <c r="H184" s="59" t="n">
        <v>0</v>
      </c>
      <c r="J184" s="208"/>
      <c r="K184" s="0"/>
    </row>
    <row r="185" customFormat="false" ht="12.8" hidden="false" customHeight="false" outlineLevel="0" collapsed="false">
      <c r="A185" s="0" t="n">
        <v>31</v>
      </c>
      <c r="B185" s="34" t="n">
        <v>42583</v>
      </c>
      <c r="C185" s="57" t="n">
        <v>0</v>
      </c>
      <c r="D185" s="1" t="s">
        <v>42</v>
      </c>
      <c r="E185" s="33" t="n">
        <f aca="false">IF(D185="totale",(C185/(A185*24))/F185,IF(D185="marché libre",(C185/(A185*24))/G185,"spécifier histo"))</f>
        <v>0</v>
      </c>
      <c r="F185" s="59" t="n">
        <v>72</v>
      </c>
      <c r="G185" s="59" t="n">
        <f aca="false">F185-H185</f>
        <v>72</v>
      </c>
      <c r="H185" s="59" t="n">
        <v>0</v>
      </c>
      <c r="J185" s="208"/>
      <c r="K185" s="0"/>
    </row>
    <row r="186" customFormat="false" ht="12.8" hidden="false" customHeight="false" outlineLevel="0" collapsed="false">
      <c r="A186" s="0" t="n">
        <v>30</v>
      </c>
      <c r="B186" s="31" t="n">
        <v>42614</v>
      </c>
      <c r="C186" s="57" t="n">
        <v>0</v>
      </c>
      <c r="D186" s="1" t="s">
        <v>42</v>
      </c>
      <c r="E186" s="33" t="n">
        <f aca="false">IF(D186="totale",(C186/(A186*24))/F186,IF(D186="marché libre",(C186/(A186*24))/G186,"spécifier histo"))</f>
        <v>0</v>
      </c>
      <c r="F186" s="59" t="n">
        <v>72</v>
      </c>
      <c r="G186" s="59" t="n">
        <f aca="false">F186-H186</f>
        <v>72</v>
      </c>
      <c r="H186" s="59" t="n">
        <v>0</v>
      </c>
      <c r="J186" s="208"/>
      <c r="K186" s="0"/>
    </row>
    <row r="187" customFormat="false" ht="12.8" hidden="false" customHeight="false" outlineLevel="0" collapsed="false">
      <c r="A187" s="0" t="n">
        <v>31</v>
      </c>
      <c r="B187" s="34" t="n">
        <v>42644</v>
      </c>
      <c r="C187" s="57" t="n">
        <v>2500</v>
      </c>
      <c r="D187" s="1" t="s">
        <v>42</v>
      </c>
      <c r="E187" s="33" t="n">
        <f aca="false">IF(D187="totale",(C187/(A187*24))/F187,IF(D187="marché libre",(C187/(A187*24))/G187,"spécifier histo"))</f>
        <v>0.0466696535244922</v>
      </c>
      <c r="F187" s="59" t="n">
        <v>72</v>
      </c>
      <c r="G187" s="59" t="n">
        <f aca="false">F187-H187</f>
        <v>72</v>
      </c>
      <c r="H187" s="59" t="n">
        <v>0</v>
      </c>
      <c r="J187" s="208"/>
      <c r="K187" s="0"/>
    </row>
    <row r="188" customFormat="false" ht="12.8" hidden="false" customHeight="false" outlineLevel="0" collapsed="false">
      <c r="A188" s="0" t="n">
        <v>30</v>
      </c>
      <c r="B188" s="31" t="n">
        <v>42675</v>
      </c>
      <c r="C188" s="28" t="n">
        <v>13926</v>
      </c>
      <c r="D188" s="1" t="s">
        <v>42</v>
      </c>
      <c r="E188" s="33" t="n">
        <f aca="false">IF(D188="totale",(C188/(A188*24))/F188,IF(D188="marché libre",(C188/(A188*24))/G188,"spécifier histo"))</f>
        <v>0.268634259259259</v>
      </c>
      <c r="F188" s="59" t="n">
        <v>72</v>
      </c>
      <c r="G188" s="59" t="n">
        <f aca="false">F188-H188</f>
        <v>72</v>
      </c>
      <c r="H188" s="59" t="n">
        <v>0</v>
      </c>
      <c r="J188" s="208"/>
      <c r="K188" s="0"/>
    </row>
    <row r="189" customFormat="false" ht="12.8" hidden="false" customHeight="false" outlineLevel="0" collapsed="false">
      <c r="A189" s="0" t="n">
        <v>31</v>
      </c>
      <c r="B189" s="34" t="n">
        <v>42705</v>
      </c>
      <c r="C189" s="28" t="n">
        <v>18511</v>
      </c>
      <c r="D189" s="1" t="s">
        <v>42</v>
      </c>
      <c r="E189" s="33" t="n">
        <f aca="false">IF(D189="totale",(C189/(A189*24))/F189,IF(D189="marché libre",(C189/(A189*24))/G189,"spécifier histo"))</f>
        <v>0.34556078255675</v>
      </c>
      <c r="F189" s="59" t="n">
        <v>72</v>
      </c>
      <c r="G189" s="59" t="n">
        <f aca="false">F189-H189</f>
        <v>72</v>
      </c>
      <c r="H189" s="59" t="n">
        <v>0</v>
      </c>
      <c r="J189" s="208"/>
      <c r="K189" s="206"/>
    </row>
    <row r="190" customFormat="false" ht="12.8" hidden="false" customHeight="false" outlineLevel="0" collapsed="false">
      <c r="A190" s="0" t="n">
        <v>31</v>
      </c>
      <c r="B190" s="31" t="n">
        <v>42736</v>
      </c>
      <c r="C190" s="121" t="n">
        <v>3105</v>
      </c>
      <c r="D190" s="1" t="s">
        <v>42</v>
      </c>
      <c r="E190" s="33" t="n">
        <f aca="false">IF(D190="totale",(C190/(A190*24))/F190,IF(D190="marché libre",(C190/(A190*24))/G190,"spécifier histo"))</f>
        <v>0.0579637096774194</v>
      </c>
      <c r="F190" s="59" t="n">
        <v>72</v>
      </c>
      <c r="G190" s="59" t="n">
        <f aca="false">F190-H190</f>
        <v>72</v>
      </c>
      <c r="H190" s="59" t="n">
        <v>0</v>
      </c>
      <c r="J190" s="216"/>
      <c r="K190" s="206"/>
    </row>
    <row r="191" customFormat="false" ht="12.8" hidden="false" customHeight="false" outlineLevel="0" collapsed="false">
      <c r="A191" s="0" t="n">
        <v>28</v>
      </c>
      <c r="B191" s="34" t="n">
        <v>42767</v>
      </c>
      <c r="C191" s="121" t="n">
        <v>16135</v>
      </c>
      <c r="D191" s="1" t="s">
        <v>42</v>
      </c>
      <c r="E191" s="33" t="n">
        <f aca="false">IF(D191="totale",(C191/(A191*24))/F191,IF(D191="marché libre",(C191/(A191*24))/G191,"spécifier histo"))</f>
        <v>0.333478009259259</v>
      </c>
      <c r="F191" s="59" t="n">
        <v>72</v>
      </c>
      <c r="G191" s="59" t="n">
        <f aca="false">F191-H191</f>
        <v>72</v>
      </c>
      <c r="H191" s="59" t="n">
        <v>0</v>
      </c>
      <c r="J191" s="208"/>
      <c r="K191" s="206"/>
    </row>
    <row r="192" customFormat="false" ht="12.8" hidden="false" customHeight="false" outlineLevel="0" collapsed="false">
      <c r="A192" s="0" t="n">
        <v>31</v>
      </c>
      <c r="B192" s="31" t="n">
        <v>42795</v>
      </c>
      <c r="C192" s="121" t="n">
        <v>12190</v>
      </c>
      <c r="D192" s="1" t="s">
        <v>42</v>
      </c>
      <c r="E192" s="33" t="n">
        <f aca="false">IF(D192="totale",(C192/(A192*24))/F192,IF(D192="marché libre",(C192/(A192*24))/G192,"spécifier histo"))</f>
        <v>0.227561230585424</v>
      </c>
      <c r="F192" s="59" t="n">
        <v>72</v>
      </c>
      <c r="G192" s="59" t="n">
        <f aca="false">F192-H192</f>
        <v>72</v>
      </c>
      <c r="H192" s="59" t="n">
        <v>0</v>
      </c>
      <c r="J192" s="208"/>
      <c r="K192" s="206"/>
    </row>
    <row r="193" customFormat="false" ht="12.8" hidden="false" customHeight="false" outlineLevel="0" collapsed="false">
      <c r="A193" s="0" t="n">
        <v>30</v>
      </c>
      <c r="B193" s="34" t="n">
        <v>42826</v>
      </c>
      <c r="C193" s="121" t="n">
        <v>20525</v>
      </c>
      <c r="D193" s="1" t="s">
        <v>42</v>
      </c>
      <c r="E193" s="33" t="n">
        <f aca="false">IF(D193="totale",(C193/(A193*24))/F193,IF(D193="marché libre",(C193/(A193*24))/G193,"spécifier histo"))</f>
        <v>0.395929783950617</v>
      </c>
      <c r="F193" s="59" t="n">
        <v>72</v>
      </c>
      <c r="G193" s="59" t="n">
        <f aca="false">F193-H193</f>
        <v>72</v>
      </c>
      <c r="H193" s="59" t="n">
        <v>0</v>
      </c>
      <c r="J193" s="208"/>
      <c r="K193" s="206"/>
    </row>
    <row r="194" customFormat="false" ht="12.8" hidden="false" customHeight="false" outlineLevel="0" collapsed="false">
      <c r="A194" s="0" t="n">
        <v>31</v>
      </c>
      <c r="B194" s="31" t="n">
        <v>42856</v>
      </c>
      <c r="C194" s="121" t="n">
        <v>27721</v>
      </c>
      <c r="D194" s="1" t="s">
        <v>42</v>
      </c>
      <c r="E194" s="33" t="n">
        <f aca="false">IF(D194="totale",(C194/(A194*24))/F194,IF(D194="marché libre",(C194/(A194*24))/G194,"spécifier histo"))</f>
        <v>0.51749178614098</v>
      </c>
      <c r="F194" s="59" t="n">
        <v>72</v>
      </c>
      <c r="G194" s="59" t="n">
        <f aca="false">F194-H194</f>
        <v>72</v>
      </c>
      <c r="H194" s="59" t="n">
        <v>0</v>
      </c>
      <c r="J194" s="208"/>
      <c r="K194" s="206"/>
    </row>
    <row r="195" customFormat="false" ht="12.8" hidden="false" customHeight="false" outlineLevel="0" collapsed="false">
      <c r="A195" s="0" t="n">
        <v>30</v>
      </c>
      <c r="B195" s="34" t="n">
        <v>42887</v>
      </c>
      <c r="C195" s="121" t="n">
        <v>6063</v>
      </c>
      <c r="D195" s="1" t="s">
        <v>42</v>
      </c>
      <c r="E195" s="33" t="n">
        <f aca="false">IF(D195="totale",(C195/(A195*24))/F195,IF(D195="marché libre",(C195/(A195*24))/G195,"spécifier histo"))</f>
        <v>0.116956018518519</v>
      </c>
      <c r="F195" s="59" t="n">
        <v>72</v>
      </c>
      <c r="G195" s="59" t="n">
        <f aca="false">F195-H195</f>
        <v>72</v>
      </c>
      <c r="H195" s="59" t="n">
        <v>0</v>
      </c>
      <c r="J195" s="205"/>
      <c r="K195" s="206"/>
    </row>
    <row r="196" customFormat="false" ht="12.8" hidden="false" customHeight="false" outlineLevel="0" collapsed="false">
      <c r="A196" s="0" t="n">
        <v>31</v>
      </c>
      <c r="B196" s="31" t="n">
        <v>42917</v>
      </c>
      <c r="C196" s="121" t="n">
        <v>0</v>
      </c>
      <c r="D196" s="1" t="s">
        <v>42</v>
      </c>
      <c r="E196" s="33" t="n">
        <f aca="false">IF(D196="totale",(C196/(A196*24))/F196,IF(D196="marché libre",(C196/(A196*24))/G196,"spécifier histo"))</f>
        <v>0</v>
      </c>
      <c r="F196" s="59" t="n">
        <v>72</v>
      </c>
      <c r="G196" s="59" t="n">
        <f aca="false">F196-H196</f>
        <v>72</v>
      </c>
      <c r="H196" s="59" t="n">
        <v>0</v>
      </c>
      <c r="J196" s="289" t="s">
        <v>349</v>
      </c>
      <c r="K196" s="206"/>
    </row>
    <row r="197" customFormat="false" ht="15" hidden="false" customHeight="false" outlineLevel="0" collapsed="false">
      <c r="A197" s="0" t="n">
        <v>31</v>
      </c>
      <c r="B197" s="34" t="n">
        <v>42948</v>
      </c>
      <c r="C197" s="121" t="n">
        <v>0</v>
      </c>
      <c r="D197" s="1" t="s">
        <v>42</v>
      </c>
      <c r="E197" s="33" t="n">
        <f aca="false">IF(D197="totale",(C197/(A197*24))/F197,IF(D197="marché libre",(C197/(A197*24))/G197,"spécifier histo"))</f>
        <v>0</v>
      </c>
      <c r="F197" s="59" t="n">
        <v>72</v>
      </c>
      <c r="G197" s="59" t="n">
        <f aca="false">F197-H197</f>
        <v>72</v>
      </c>
      <c r="H197" s="59" t="n">
        <v>0</v>
      </c>
      <c r="J197" s="290" t="s">
        <v>350</v>
      </c>
      <c r="K197" s="206"/>
    </row>
    <row r="198" customFormat="false" ht="15" hidden="false" customHeight="false" outlineLevel="0" collapsed="false">
      <c r="A198" s="0" t="n">
        <v>30</v>
      </c>
      <c r="B198" s="31" t="n">
        <v>42979</v>
      </c>
      <c r="C198" s="121" t="n">
        <v>0</v>
      </c>
      <c r="D198" s="1" t="s">
        <v>42</v>
      </c>
      <c r="E198" s="33" t="n">
        <f aca="false">IF(D198="totale",(C198/(A198*24))/F198,IF(D198="marché libre",(C198/(A198*24))/G198,"spécifier histo"))</f>
        <v>0</v>
      </c>
      <c r="F198" s="59" t="n">
        <v>72</v>
      </c>
      <c r="G198" s="59" t="n">
        <f aca="false">F198-H198</f>
        <v>72</v>
      </c>
      <c r="H198" s="59" t="n">
        <v>0</v>
      </c>
      <c r="J198" s="290" t="s">
        <v>351</v>
      </c>
      <c r="K198" s="206"/>
    </row>
    <row r="199" customFormat="false" ht="15" hidden="false" customHeight="false" outlineLevel="0" collapsed="false">
      <c r="A199" s="0" t="n">
        <v>31</v>
      </c>
      <c r="B199" s="34" t="n">
        <v>43009</v>
      </c>
      <c r="C199" s="121" t="n">
        <v>0</v>
      </c>
      <c r="D199" s="1" t="s">
        <v>42</v>
      </c>
      <c r="E199" s="33" t="n">
        <f aca="false">IF(D199="totale",(C199/(A199*24))/F199,IF(D199="marché libre",(C199/(A199*24))/G199,"spécifier histo"))</f>
        <v>0</v>
      </c>
      <c r="F199" s="59" t="n">
        <v>72</v>
      </c>
      <c r="G199" s="59" t="n">
        <f aca="false">F199-H199</f>
        <v>72</v>
      </c>
      <c r="H199" s="59" t="n">
        <v>0</v>
      </c>
      <c r="J199" s="290" t="s">
        <v>352</v>
      </c>
      <c r="K199" s="206"/>
    </row>
    <row r="200" customFormat="false" ht="15" hidden="false" customHeight="false" outlineLevel="0" collapsed="false">
      <c r="A200" s="0" t="n">
        <v>30</v>
      </c>
      <c r="B200" s="31" t="n">
        <v>43040</v>
      </c>
      <c r="C200" s="121" t="n">
        <v>0</v>
      </c>
      <c r="D200" s="1" t="s">
        <v>42</v>
      </c>
      <c r="E200" s="33" t="n">
        <f aca="false">IF(D200="totale",(C200/(A200*24))/F200,IF(D200="marché libre",(C200/(A200*24))/G200,"spécifier histo"))</f>
        <v>0</v>
      </c>
      <c r="F200" s="59" t="n">
        <v>72</v>
      </c>
      <c r="G200" s="59" t="n">
        <f aca="false">F200-H200</f>
        <v>72</v>
      </c>
      <c r="H200" s="59" t="n">
        <v>0</v>
      </c>
      <c r="J200" s="290" t="s">
        <v>353</v>
      </c>
      <c r="K200" s="206"/>
    </row>
    <row r="201" customFormat="false" ht="15" hidden="false" customHeight="false" outlineLevel="0" collapsed="false">
      <c r="A201" s="0" t="n">
        <v>31</v>
      </c>
      <c r="B201" s="34" t="n">
        <v>43070</v>
      </c>
      <c r="C201" s="121" t="n">
        <v>0</v>
      </c>
      <c r="D201" s="1" t="s">
        <v>42</v>
      </c>
      <c r="E201" s="33" t="n">
        <f aca="false">IF(D201="totale",(C201/(A201*24))/F201,IF(D201="marché libre",(C201/(A201*24))/G201,"spécifier histo"))</f>
        <v>0</v>
      </c>
      <c r="F201" s="59" t="n">
        <v>72</v>
      </c>
      <c r="G201" s="59" t="n">
        <f aca="false">F201-H201</f>
        <v>72</v>
      </c>
      <c r="H201" s="59" t="n">
        <v>0</v>
      </c>
      <c r="J201" s="290" t="s">
        <v>354</v>
      </c>
      <c r="K201" s="206"/>
    </row>
    <row r="202" customFormat="false" ht="15" hidden="false" customHeight="false" outlineLevel="0" collapsed="false">
      <c r="A202" s="0" t="n">
        <v>31</v>
      </c>
      <c r="B202" s="31" t="n">
        <v>43101</v>
      </c>
      <c r="C202" s="135" t="n">
        <v>8168</v>
      </c>
      <c r="D202" s="1" t="s">
        <v>42</v>
      </c>
      <c r="E202" s="33" t="n">
        <f aca="false">IF(D202="totale",(C202/(A202*24))/F202,IF(D202="marché libre",(C202/(A202*24))/G202,"spécifier histo"))</f>
        <v>0.152479091995221</v>
      </c>
      <c r="F202" s="59" t="n">
        <v>72</v>
      </c>
      <c r="G202" s="59" t="n">
        <f aca="false">F202-H202</f>
        <v>72</v>
      </c>
      <c r="H202" s="59" t="n">
        <v>0</v>
      </c>
      <c r="J202" s="290" t="s">
        <v>355</v>
      </c>
      <c r="K202" s="206"/>
    </row>
    <row r="203" customFormat="false" ht="15" hidden="false" customHeight="false" outlineLevel="0" collapsed="false">
      <c r="A203" s="0" t="n">
        <v>28</v>
      </c>
      <c r="B203" s="34" t="n">
        <v>43132</v>
      </c>
      <c r="C203" s="135" t="n">
        <v>0</v>
      </c>
      <c r="D203" s="1" t="s">
        <v>42</v>
      </c>
      <c r="E203" s="33" t="n">
        <f aca="false">IF(D203="totale",(C203/(A203*24))/F203,IF(D203="marché libre",(C203/(A203*24))/G203,"spécifier histo"))</f>
        <v>0</v>
      </c>
      <c r="F203" s="59" t="n">
        <v>72</v>
      </c>
      <c r="G203" s="59" t="n">
        <f aca="false">F203-H203</f>
        <v>72</v>
      </c>
      <c r="H203" s="59" t="n">
        <v>0</v>
      </c>
      <c r="J203" s="290" t="s">
        <v>356</v>
      </c>
      <c r="K203" s="206"/>
    </row>
    <row r="204" customFormat="false" ht="12.8" hidden="false" customHeight="false" outlineLevel="0" collapsed="false">
      <c r="A204" s="0" t="n">
        <v>31</v>
      </c>
      <c r="B204" s="31" t="n">
        <v>43160</v>
      </c>
      <c r="C204" s="135" t="n">
        <v>20332</v>
      </c>
      <c r="D204" s="1" t="s">
        <v>42</v>
      </c>
      <c r="E204" s="33" t="n">
        <f aca="false">IF(D204="totale",(C204/(A204*24))/F204,IF(D204="marché libre",(C204/(A204*24))/G204,"spécifier histo"))</f>
        <v>0.37955495818399</v>
      </c>
      <c r="F204" s="59" t="n">
        <v>72</v>
      </c>
      <c r="G204" s="59" t="n">
        <f aca="false">F204-H204</f>
        <v>72</v>
      </c>
      <c r="H204" s="59" t="n">
        <v>0</v>
      </c>
      <c r="J204" s="0"/>
      <c r="K204" s="206"/>
    </row>
    <row r="205" customFormat="false" ht="12.8" hidden="false" customHeight="false" outlineLevel="0" collapsed="false">
      <c r="A205" s="0" t="n">
        <v>30</v>
      </c>
      <c r="B205" s="34" t="n">
        <v>43191</v>
      </c>
      <c r="C205" s="135" t="n">
        <v>25745</v>
      </c>
      <c r="D205" s="1" t="s">
        <v>42</v>
      </c>
      <c r="E205" s="33" t="n">
        <f aca="false">IF(D205="totale",(C205/(A205*24))/F205,IF(D205="marché libre",(C205/(A205*24))/G205,"spécifier histo"))</f>
        <v>0.496624228395062</v>
      </c>
      <c r="F205" s="59" t="n">
        <v>72</v>
      </c>
      <c r="G205" s="59" t="n">
        <f aca="false">F205-H205</f>
        <v>72</v>
      </c>
      <c r="H205" s="59" t="n">
        <v>0</v>
      </c>
      <c r="J205" s="180"/>
      <c r="K205" s="206"/>
    </row>
    <row r="206" customFormat="false" ht="12.8" hidden="false" customHeight="false" outlineLevel="0" collapsed="false">
      <c r="A206" s="0" t="n">
        <v>31</v>
      </c>
      <c r="B206" s="31" t="n">
        <v>43221</v>
      </c>
      <c r="C206" s="135" t="n">
        <v>20368</v>
      </c>
      <c r="D206" s="1" t="s">
        <v>42</v>
      </c>
      <c r="E206" s="33" t="n">
        <f aca="false">IF(D206="totale",(C206/(A206*24))/F206,IF(D206="marché libre",(C206/(A206*24))/G206,"spécifier histo"))</f>
        <v>0.380227001194743</v>
      </c>
      <c r="F206" s="59" t="n">
        <v>72</v>
      </c>
      <c r="G206" s="59" t="n">
        <f aca="false">F206-H206</f>
        <v>72</v>
      </c>
      <c r="H206" s="59" t="n">
        <v>0</v>
      </c>
      <c r="J206" s="180"/>
      <c r="K206" s="206"/>
    </row>
    <row r="207" customFormat="false" ht="12.8" hidden="false" customHeight="false" outlineLevel="0" collapsed="false">
      <c r="A207" s="0" t="n">
        <v>30</v>
      </c>
      <c r="B207" s="34" t="n">
        <v>43252</v>
      </c>
      <c r="C207" s="135" t="n">
        <v>21070</v>
      </c>
      <c r="D207" s="1" t="s">
        <v>42</v>
      </c>
      <c r="E207" s="33" t="n">
        <f aca="false">IF(D207="totale",(C207/(A207*24))/F207,IF(D207="marché libre",(C207/(A207*24))/G207,"spécifier histo"))</f>
        <v>0.406442901234568</v>
      </c>
      <c r="F207" s="59" t="n">
        <v>72</v>
      </c>
      <c r="G207" s="59" t="n">
        <f aca="false">F207-H207</f>
        <v>72</v>
      </c>
      <c r="H207" s="59" t="n">
        <v>0</v>
      </c>
      <c r="J207" s="180"/>
    </row>
    <row r="208" customFormat="false" ht="12.8" hidden="false" customHeight="false" outlineLevel="0" collapsed="false">
      <c r="A208" s="0" t="n">
        <v>31</v>
      </c>
      <c r="B208" s="31" t="n">
        <v>43282</v>
      </c>
      <c r="C208" s="135" t="n">
        <v>6776</v>
      </c>
      <c r="D208" s="1" t="s">
        <v>42</v>
      </c>
      <c r="E208" s="33" t="n">
        <f aca="false">IF(D208="totale",(C208/(A208*24))/F208,IF(D208="marché libre",(C208/(A208*24))/G208,"spécifier histo"))</f>
        <v>0.126493428912784</v>
      </c>
      <c r="F208" s="59" t="n">
        <v>72</v>
      </c>
      <c r="G208" s="59" t="n">
        <f aca="false">F208-H208</f>
        <v>72</v>
      </c>
      <c r="H208" s="59" t="n">
        <v>0</v>
      </c>
      <c r="J208" s="180"/>
    </row>
    <row r="209" customFormat="false" ht="12.8" hidden="false" customHeight="false" outlineLevel="0" collapsed="false">
      <c r="A209" s="0" t="n">
        <v>31</v>
      </c>
      <c r="B209" s="34" t="n">
        <v>43313</v>
      </c>
      <c r="C209" s="135" t="n">
        <v>0</v>
      </c>
      <c r="D209" s="1" t="s">
        <v>42</v>
      </c>
      <c r="E209" s="33" t="n">
        <f aca="false">IF(D209="totale",(C209/(A209*24))/F209,IF(D209="marché libre",(C209/(A209*24))/G209,"spécifier histo"))</f>
        <v>0</v>
      </c>
      <c r="F209" s="59" t="n">
        <v>72</v>
      </c>
      <c r="G209" s="59" t="n">
        <f aca="false">F209-H209</f>
        <v>72</v>
      </c>
      <c r="H209" s="59" t="n">
        <v>0</v>
      </c>
      <c r="J209" s="180"/>
    </row>
    <row r="210" customFormat="false" ht="12.8" hidden="false" customHeight="false" outlineLevel="0" collapsed="false">
      <c r="A210" s="0" t="n">
        <v>30</v>
      </c>
      <c r="B210" s="31" t="n">
        <v>43344</v>
      </c>
      <c r="C210" s="135" t="n">
        <v>0</v>
      </c>
      <c r="D210" s="1" t="s">
        <v>42</v>
      </c>
      <c r="E210" s="33" t="n">
        <f aca="false">IF(D210="totale",(C210/(A210*24))/F210,IF(D210="marché libre",(C210/(A210*24))/G210,"spécifier histo"))</f>
        <v>0</v>
      </c>
      <c r="F210" s="59" t="n">
        <v>72</v>
      </c>
      <c r="G210" s="59" t="n">
        <f aca="false">F210-H210</f>
        <v>72</v>
      </c>
      <c r="H210" s="59" t="n">
        <v>0</v>
      </c>
      <c r="J210" s="180"/>
    </row>
    <row r="211" customFormat="false" ht="12.8" hidden="false" customHeight="false" outlineLevel="0" collapsed="false">
      <c r="A211" s="0"/>
      <c r="J211" s="180"/>
    </row>
    <row r="212" customFormat="false" ht="12.8" hidden="false" customHeight="false" outlineLevel="0" collapsed="false">
      <c r="A212" s="0"/>
      <c r="J212" s="180"/>
    </row>
    <row r="213" customFormat="false" ht="28.35" hidden="false" customHeight="true" outlineLevel="0" collapsed="false">
      <c r="A213" s="0"/>
      <c r="J213" s="180"/>
    </row>
    <row r="214" customFormat="false" ht="28.35" hidden="false" customHeight="true" outlineLevel="0" collapsed="false">
      <c r="A214" s="0"/>
      <c r="J214" s="180"/>
    </row>
    <row r="215" customFormat="false" ht="28.35" hidden="false" customHeight="true" outlineLevel="0" collapsed="false">
      <c r="A215" s="0"/>
      <c r="J215" s="180"/>
    </row>
    <row r="216" customFormat="false" ht="28.35" hidden="false" customHeight="true" outlineLevel="0" collapsed="false">
      <c r="A216" s="0"/>
      <c r="J216" s="180"/>
    </row>
    <row r="217" customFormat="false" ht="12.8" hidden="false" customHeight="false" outlineLevel="0" collapsed="false">
      <c r="A217" s="0"/>
      <c r="J217" s="180"/>
    </row>
    <row r="218" customFormat="false" ht="12.8" hidden="false" customHeight="false" outlineLevel="0" collapsed="false">
      <c r="A218" s="0"/>
      <c r="J218" s="180"/>
    </row>
    <row r="219" customFormat="false" ht="12.8" hidden="false" customHeight="false" outlineLevel="0" collapsed="false">
      <c r="A219" s="0"/>
      <c r="J219" s="180"/>
    </row>
    <row r="220" customFormat="false" ht="12.8" hidden="false" customHeight="false" outlineLevel="0" collapsed="false">
      <c r="A220" s="0"/>
      <c r="J220" s="180"/>
    </row>
    <row r="221" customFormat="false" ht="12.8" hidden="false" customHeight="false" outlineLevel="0" collapsed="false">
      <c r="A221" s="0"/>
      <c r="J221" s="180"/>
    </row>
    <row r="222" customFormat="false" ht="12.8" hidden="false" customHeight="false" outlineLevel="0" collapsed="false">
      <c r="A222" s="0"/>
      <c r="J222" s="180"/>
    </row>
    <row r="223" customFormat="false" ht="12.8" hidden="false" customHeight="false" outlineLevel="0" collapsed="false">
      <c r="A223" s="0"/>
      <c r="J223" s="180"/>
    </row>
    <row r="224" customFormat="false" ht="12.8" hidden="false" customHeight="false" outlineLevel="0" collapsed="false">
      <c r="A224" s="0"/>
      <c r="J224" s="180"/>
    </row>
    <row r="225" customFormat="false" ht="12.8" hidden="false" customHeight="false" outlineLevel="0" collapsed="false">
      <c r="A225" s="0"/>
      <c r="J225" s="180"/>
    </row>
    <row r="226" customFormat="false" ht="12.8" hidden="false" customHeight="false" outlineLevel="0" collapsed="false">
      <c r="A226" s="0"/>
      <c r="J226" s="180"/>
    </row>
    <row r="227" customFormat="false" ht="12.8" hidden="false" customHeight="false" outlineLevel="0" collapsed="false">
      <c r="A227" s="0"/>
      <c r="J227" s="180"/>
    </row>
    <row r="228" customFormat="false" ht="12.8" hidden="false" customHeight="false" outlineLevel="0" collapsed="false">
      <c r="A228" s="0"/>
      <c r="J228" s="180"/>
    </row>
    <row r="229" customFormat="false" ht="12.8" hidden="false" customHeight="false" outlineLevel="0" collapsed="false">
      <c r="A229" s="0"/>
    </row>
    <row r="230" customFormat="false" ht="12.8" hidden="false" customHeight="false" outlineLevel="0" collapsed="false">
      <c r="A230" s="0"/>
    </row>
    <row r="231" customFormat="false" ht="12.8" hidden="false" customHeight="fals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row r="239" customFormat="false" ht="12.8" hidden="false" customHeight="false" outlineLevel="0" collapsed="false">
      <c r="A239" s="0"/>
    </row>
    <row r="240" customFormat="false" ht="12.8" hidden="false" customHeight="false" outlineLevel="0" collapsed="false">
      <c r="A240" s="0"/>
    </row>
    <row r="241" customFormat="false" ht="12.8" hidden="false" customHeight="false" outlineLevel="0" collapsed="false">
      <c r="A241" s="0"/>
    </row>
    <row r="242" customFormat="false" ht="12.8" hidden="false" customHeight="false" outlineLevel="0" collapsed="false">
      <c r="A242" s="0"/>
    </row>
    <row r="243" customFormat="false" ht="12.8" hidden="false" customHeight="false" outlineLevel="0" collapsed="false">
      <c r="A243" s="0"/>
    </row>
    <row r="244" customFormat="false" ht="12.8" hidden="false" customHeight="false" outlineLevel="0" collapsed="false">
      <c r="A244"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1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J196" r:id="rId2" display=" https://kanboard.enercoop.org/project/70/task/3797"/>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3"/>
</worksheet>
</file>

<file path=xl/worksheets/sheet24.xml><?xml version="1.0" encoding="utf-8"?>
<worksheet xmlns="http://schemas.openxmlformats.org/spreadsheetml/2006/main" xmlns:r="http://schemas.openxmlformats.org/officeDocument/2006/relationships">
  <sheetPr filterMode="false">
    <tabColor rgb="FF00A933"/>
    <pageSetUpPr fitToPage="false"/>
  </sheetPr>
  <dimension ref="A1:AA11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H25" activeCellId="0" sqref="H25"/>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357</v>
      </c>
      <c r="C4" s="16" t="n">
        <v>40821</v>
      </c>
      <c r="D4" s="5" t="s">
        <v>358</v>
      </c>
      <c r="E4" s="14" t="s">
        <v>359</v>
      </c>
      <c r="F4" s="15" t="n">
        <v>400</v>
      </c>
      <c r="G4" s="15" t="s">
        <v>360</v>
      </c>
      <c r="H4" s="15" t="n">
        <v>400</v>
      </c>
      <c r="I4" s="16"/>
      <c r="J4" s="15" t="n">
        <v>400</v>
      </c>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291" t="s">
        <v>361</v>
      </c>
      <c r="H6" s="291"/>
      <c r="I6" s="291"/>
      <c r="J6" s="291"/>
      <c r="K6" s="291"/>
      <c r="L6" s="291"/>
      <c r="M6" s="291"/>
      <c r="N6" s="291"/>
      <c r="P6" s="21" t="n">
        <v>42309</v>
      </c>
      <c r="Q6" s="19" t="s">
        <v>27</v>
      </c>
      <c r="R6" s="9"/>
      <c r="S6" s="22"/>
      <c r="T6" s="5" t="s">
        <v>28</v>
      </c>
    </row>
    <row r="7" customFormat="false" ht="41.65" hidden="false" customHeight="true" outlineLevel="0" collapsed="false">
      <c r="A7" s="0"/>
      <c r="B7" s="0"/>
      <c r="C7" s="126" t="s">
        <v>362</v>
      </c>
      <c r="D7" s="126"/>
      <c r="F7" s="20"/>
      <c r="G7" s="20"/>
      <c r="H7" s="291"/>
      <c r="I7" s="291"/>
      <c r="J7" s="291"/>
      <c r="K7" s="291"/>
      <c r="L7" s="291"/>
      <c r="M7" s="291"/>
      <c r="N7" s="291"/>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205" t="s">
        <v>40</v>
      </c>
      <c r="K9" s="206"/>
    </row>
    <row r="10" customFormat="false" ht="15.75" hidden="false" customHeight="true" outlineLevel="0" collapsed="false">
      <c r="A10" s="210" t="n">
        <v>31</v>
      </c>
      <c r="B10" s="211" t="n">
        <v>42370</v>
      </c>
      <c r="C10" s="212" t="n">
        <v>51218</v>
      </c>
      <c r="D10" s="213" t="s">
        <v>42</v>
      </c>
      <c r="E10" s="214" t="n">
        <f aca="false">IF(D10="totale",(C10/(A10*24))/F10,IF(D10="marché libre",(C10/(A10*24))/G10,"spécifier histo"))</f>
        <v>0.172103494623656</v>
      </c>
      <c r="F10" s="215" t="n">
        <v>400</v>
      </c>
      <c r="G10" s="215" t="n">
        <f aca="false">F10-H10</f>
        <v>400</v>
      </c>
      <c r="H10" s="59"/>
      <c r="I10" s="9"/>
      <c r="J10" s="0"/>
      <c r="K10" s="0"/>
      <c r="L10" s="0"/>
      <c r="M10" s="0"/>
      <c r="N10" s="0"/>
      <c r="O10" s="0"/>
      <c r="P10" s="0"/>
      <c r="Q10" s="0"/>
      <c r="R10" s="0"/>
      <c r="S10" s="0"/>
      <c r="T10" s="0"/>
      <c r="U10" s="0"/>
      <c r="V10" s="0"/>
      <c r="W10" s="0"/>
      <c r="X10" s="0"/>
      <c r="Y10" s="0"/>
      <c r="Z10" s="0"/>
      <c r="AA10" s="292"/>
    </row>
    <row r="11" customFormat="false" ht="15.75" hidden="false" customHeight="true" outlineLevel="0" collapsed="false">
      <c r="A11" s="0" t="n">
        <v>28</v>
      </c>
      <c r="B11" s="34" t="n">
        <v>42401</v>
      </c>
      <c r="C11" s="217" t="n">
        <v>96858</v>
      </c>
      <c r="D11" s="1" t="s">
        <v>42</v>
      </c>
      <c r="E11" s="33" t="n">
        <f aca="false">IF(D11="totale",(C11/(A11*24))/F11,IF(D11="marché libre",(C11/(A11*24))/G11,"spécifier histo"))</f>
        <v>0.360334821428571</v>
      </c>
      <c r="F11" s="59" t="n">
        <v>400</v>
      </c>
      <c r="G11" s="59" t="n">
        <f aca="false">F11-H11</f>
        <v>400</v>
      </c>
      <c r="H11" s="59"/>
      <c r="I11" s="9"/>
      <c r="J11" s="0"/>
      <c r="K11" s="0"/>
      <c r="L11" s="0"/>
      <c r="M11" s="0"/>
      <c r="N11" s="0"/>
      <c r="O11" s="0"/>
      <c r="P11" s="0"/>
      <c r="Q11" s="0"/>
      <c r="R11" s="0"/>
      <c r="S11" s="0"/>
      <c r="T11" s="0"/>
      <c r="U11" s="0"/>
      <c r="V11" s="0"/>
      <c r="W11" s="0"/>
      <c r="X11" s="0"/>
      <c r="Y11" s="0"/>
      <c r="Z11" s="0"/>
      <c r="AA11" s="292"/>
    </row>
    <row r="12" customFormat="false" ht="15.75" hidden="false" customHeight="true" outlineLevel="0" collapsed="false">
      <c r="A12" s="0" t="n">
        <v>31</v>
      </c>
      <c r="B12" s="31" t="n">
        <v>42430</v>
      </c>
      <c r="C12" s="217" t="n">
        <v>112290</v>
      </c>
      <c r="D12" s="1" t="s">
        <v>42</v>
      </c>
      <c r="E12" s="33" t="n">
        <f aca="false">IF(D12="totale",(C12/(A12*24))/F12,IF(D12="marché libre",(C12/(A12*24))/G12,"spécifier histo"))</f>
        <v>0.377318548387097</v>
      </c>
      <c r="F12" s="59" t="n">
        <v>400</v>
      </c>
      <c r="G12" s="59" t="n">
        <f aca="false">F12-H12</f>
        <v>400</v>
      </c>
      <c r="H12" s="59"/>
      <c r="I12" s="9"/>
      <c r="J12" s="0"/>
      <c r="K12" s="293"/>
      <c r="L12" s="0"/>
      <c r="M12" s="292"/>
      <c r="N12" s="0"/>
      <c r="O12" s="292"/>
      <c r="P12" s="292"/>
      <c r="Q12" s="0"/>
      <c r="R12" s="292"/>
      <c r="S12" s="0"/>
      <c r="T12" s="292"/>
      <c r="U12" s="292"/>
      <c r="V12" s="0"/>
      <c r="Y12" s="0"/>
    </row>
    <row r="13" customFormat="false" ht="15.75" hidden="false" customHeight="true" outlineLevel="0" collapsed="false">
      <c r="A13" s="0" t="n">
        <v>30</v>
      </c>
      <c r="B13" s="31" t="n">
        <v>42461</v>
      </c>
      <c r="C13" s="217" t="n">
        <v>79094</v>
      </c>
      <c r="D13" s="1" t="s">
        <v>42</v>
      </c>
      <c r="E13" s="33" t="n">
        <f aca="false">IF(D13="totale",(C13/(A13*24))/F13,IF(D13="marché libre",(C13/(A13*24))/G13,"spécifier histo"))</f>
        <v>0.274631944444444</v>
      </c>
      <c r="F13" s="59" t="n">
        <v>400</v>
      </c>
      <c r="G13" s="59" t="n">
        <f aca="false">F13-H13</f>
        <v>400</v>
      </c>
      <c r="H13" s="59"/>
      <c r="I13" s="9"/>
      <c r="J13" s="0"/>
      <c r="K13" s="293"/>
      <c r="L13" s="0"/>
      <c r="M13" s="292"/>
      <c r="N13" s="0"/>
      <c r="O13" s="292"/>
      <c r="P13" s="292"/>
      <c r="Q13" s="0"/>
      <c r="R13" s="292"/>
      <c r="S13" s="0"/>
      <c r="T13" s="292"/>
      <c r="U13" s="292"/>
      <c r="V13" s="0"/>
      <c r="Y13" s="0"/>
    </row>
    <row r="14" customFormat="false" ht="15.75" hidden="false" customHeight="true" outlineLevel="0" collapsed="false">
      <c r="A14" s="0" t="n">
        <v>31</v>
      </c>
      <c r="B14" s="34" t="n">
        <v>42491</v>
      </c>
      <c r="C14" s="217" t="n">
        <v>70845</v>
      </c>
      <c r="D14" s="1" t="s">
        <v>42</v>
      </c>
      <c r="E14" s="33" t="n">
        <f aca="false">IF(D14="totale",(C14/(A14*24))/F14,IF(D14="marché libre",(C14/(A14*24))/G14,"spécifier histo"))</f>
        <v>0.238054435483871</v>
      </c>
      <c r="F14" s="59" t="n">
        <v>400</v>
      </c>
      <c r="G14" s="59" t="n">
        <f aca="false">F14-H14</f>
        <v>400</v>
      </c>
      <c r="H14" s="59"/>
      <c r="I14" s="9"/>
      <c r="J14" s="0"/>
      <c r="K14" s="293"/>
      <c r="L14" s="0"/>
      <c r="M14" s="292"/>
      <c r="N14" s="0"/>
      <c r="O14" s="292"/>
      <c r="P14" s="292"/>
      <c r="Q14" s="0"/>
      <c r="R14" s="292"/>
      <c r="S14" s="0"/>
      <c r="T14" s="292"/>
      <c r="U14" s="292"/>
      <c r="V14" s="0"/>
      <c r="Y14" s="0"/>
    </row>
    <row r="15" customFormat="false" ht="15.75" hidden="false" customHeight="true" outlineLevel="0" collapsed="false">
      <c r="A15" s="0" t="n">
        <v>30</v>
      </c>
      <c r="B15" s="31" t="n">
        <v>42522</v>
      </c>
      <c r="C15" s="217" t="n">
        <v>35378</v>
      </c>
      <c r="D15" s="1" t="s">
        <v>42</v>
      </c>
      <c r="E15" s="33" t="n">
        <f aca="false">IF(D15="totale",(C15/(A15*24))/F15,IF(D15="marché libre",(C15/(A15*24))/G15,"spécifier histo"))</f>
        <v>0.122840277777778</v>
      </c>
      <c r="F15" s="59" t="n">
        <v>400</v>
      </c>
      <c r="G15" s="59" t="n">
        <f aca="false">F15-H15</f>
        <v>400</v>
      </c>
      <c r="H15" s="59"/>
      <c r="I15" s="9"/>
      <c r="J15" s="0"/>
      <c r="K15" s="293"/>
      <c r="L15" s="0"/>
      <c r="M15" s="292"/>
      <c r="N15" s="0"/>
      <c r="O15" s="292"/>
      <c r="P15" s="292"/>
      <c r="Q15" s="0"/>
      <c r="R15" s="292"/>
      <c r="S15" s="0"/>
      <c r="T15" s="292"/>
      <c r="U15" s="292"/>
      <c r="V15" s="0"/>
      <c r="Y15" s="0"/>
    </row>
    <row r="16" customFormat="false" ht="15.75" hidden="false" customHeight="true" outlineLevel="0" collapsed="false">
      <c r="A16" s="0" t="n">
        <v>31</v>
      </c>
      <c r="B16" s="31" t="n">
        <v>42552</v>
      </c>
      <c r="C16" s="217" t="n">
        <v>0</v>
      </c>
      <c r="D16" s="1" t="s">
        <v>42</v>
      </c>
      <c r="E16" s="33" t="n">
        <f aca="false">IF(D16="totale",(C16/(A16*24))/F16,IF(D16="marché libre",(C16/(A16*24))/G16,"spécifier histo"))</f>
        <v>0</v>
      </c>
      <c r="F16" s="59" t="n">
        <v>400</v>
      </c>
      <c r="G16" s="59" t="n">
        <f aca="false">F16-H16</f>
        <v>400</v>
      </c>
      <c r="H16" s="59"/>
      <c r="I16" s="9"/>
      <c r="J16" s="0"/>
      <c r="K16" s="293"/>
      <c r="L16" s="0"/>
      <c r="M16" s="292"/>
      <c r="N16" s="0"/>
      <c r="O16" s="292"/>
      <c r="P16" s="292"/>
      <c r="Q16" s="0"/>
      <c r="R16" s="292"/>
      <c r="S16" s="0"/>
      <c r="T16" s="292"/>
      <c r="U16" s="292"/>
      <c r="V16" s="0"/>
      <c r="Y16" s="0"/>
    </row>
    <row r="17" customFormat="false" ht="15.75" hidden="false" customHeight="true" outlineLevel="0" collapsed="false">
      <c r="A17" s="0" t="n">
        <v>31</v>
      </c>
      <c r="B17" s="34" t="n">
        <v>42583</v>
      </c>
      <c r="C17" s="217" t="n">
        <v>0</v>
      </c>
      <c r="D17" s="1" t="s">
        <v>42</v>
      </c>
      <c r="E17" s="33" t="n">
        <f aca="false">IF(D17="totale",(C17/(A17*24))/F17,IF(D17="marché libre",(C17/(A17*24))/G17,"spécifier histo"))</f>
        <v>0</v>
      </c>
      <c r="F17" s="59" t="n">
        <v>400</v>
      </c>
      <c r="G17" s="59" t="n">
        <f aca="false">F17-H17</f>
        <v>400</v>
      </c>
      <c r="H17" s="59"/>
      <c r="I17" s="9"/>
      <c r="J17" s="0"/>
      <c r="K17" s="293"/>
      <c r="L17" s="0"/>
      <c r="M17" s="292"/>
      <c r="N17" s="0"/>
      <c r="O17" s="292"/>
      <c r="P17" s="292"/>
      <c r="Q17" s="0"/>
      <c r="R17" s="292"/>
      <c r="S17" s="0"/>
      <c r="T17" s="292"/>
      <c r="U17" s="292"/>
      <c r="V17" s="0"/>
      <c r="Y17" s="0"/>
    </row>
    <row r="18" customFormat="false" ht="15.75" hidden="false" customHeight="true" outlineLevel="0" collapsed="false">
      <c r="A18" s="0" t="n">
        <v>30</v>
      </c>
      <c r="B18" s="31" t="n">
        <v>42614</v>
      </c>
      <c r="C18" s="217" t="n">
        <v>0</v>
      </c>
      <c r="D18" s="1" t="s">
        <v>42</v>
      </c>
      <c r="E18" s="33" t="n">
        <f aca="false">IF(D18="totale",(C18/(A18*24))/F18,IF(D18="marché libre",(C18/(A18*24))/G18,"spécifier histo"))</f>
        <v>0</v>
      </c>
      <c r="F18" s="59" t="n">
        <v>400</v>
      </c>
      <c r="G18" s="59" t="n">
        <f aca="false">F18-H18</f>
        <v>400</v>
      </c>
      <c r="H18" s="59"/>
      <c r="I18" s="9"/>
      <c r="J18" s="0"/>
      <c r="K18" s="206"/>
      <c r="L18" s="0"/>
      <c r="N18" s="0"/>
      <c r="Q18" s="0"/>
      <c r="S18" s="0"/>
      <c r="V18" s="0"/>
      <c r="Y18" s="0"/>
    </row>
    <row r="19" customFormat="false" ht="15.75" hidden="false" customHeight="true" outlineLevel="0" collapsed="false">
      <c r="A19" s="0" t="n">
        <v>31</v>
      </c>
      <c r="B19" s="31" t="n">
        <v>42644</v>
      </c>
      <c r="C19" s="217" t="n">
        <v>0</v>
      </c>
      <c r="D19" s="1" t="s">
        <v>42</v>
      </c>
      <c r="E19" s="33" t="n">
        <f aca="false">IF(D19="totale",(C19/(A19*24))/F19,IF(D19="marché libre",(C19/(A19*24))/G19,"spécifier histo"))</f>
        <v>0</v>
      </c>
      <c r="F19" s="59" t="n">
        <v>400</v>
      </c>
      <c r="G19" s="59" t="n">
        <f aca="false">F19-H19</f>
        <v>400</v>
      </c>
      <c r="H19" s="59"/>
      <c r="I19" s="9"/>
      <c r="J19" s="0"/>
      <c r="K19" s="206"/>
      <c r="L19" s="0"/>
      <c r="N19" s="0"/>
      <c r="Q19" s="0"/>
      <c r="S19" s="0"/>
      <c r="V19" s="0"/>
      <c r="Y19" s="0"/>
    </row>
    <row r="20" customFormat="false" ht="15.75" hidden="false" customHeight="true" outlineLevel="0" collapsed="false">
      <c r="A20" s="0" t="n">
        <v>30</v>
      </c>
      <c r="B20" s="34" t="n">
        <v>42675</v>
      </c>
      <c r="C20" s="217" t="n">
        <v>0</v>
      </c>
      <c r="D20" s="1" t="s">
        <v>42</v>
      </c>
      <c r="E20" s="33" t="n">
        <f aca="false">IF(D20="totale",(C20/(A20*24))/F20,IF(D20="marché libre",(C20/(A20*24))/G20,"spécifier histo"))</f>
        <v>0</v>
      </c>
      <c r="F20" s="59" t="n">
        <v>400</v>
      </c>
      <c r="G20" s="59" t="n">
        <f aca="false">F20-H20</f>
        <v>400</v>
      </c>
      <c r="H20" s="59"/>
      <c r="I20" s="9"/>
      <c r="J20" s="0"/>
      <c r="K20" s="206"/>
      <c r="L20" s="0"/>
      <c r="N20" s="0"/>
      <c r="Q20" s="0"/>
      <c r="S20" s="0"/>
      <c r="V20" s="0"/>
      <c r="Y20" s="0"/>
    </row>
    <row r="21" customFormat="false" ht="15.75" hidden="false" customHeight="true" outlineLevel="0" collapsed="false">
      <c r="A21" s="0" t="n">
        <v>31</v>
      </c>
      <c r="B21" s="31" t="n">
        <v>42705</v>
      </c>
      <c r="C21" s="217" t="n">
        <v>76549</v>
      </c>
      <c r="D21" s="1" t="s">
        <v>42</v>
      </c>
      <c r="E21" s="33" t="n">
        <f aca="false">IF(D21="totale",(C21/(A21*24))/F21,IF(D21="marché libre",(C21/(A21*24))/G21,"spécifier histo"))</f>
        <v>0.257221102150538</v>
      </c>
      <c r="F21" s="59" t="n">
        <v>400</v>
      </c>
      <c r="G21" s="59" t="n">
        <f aca="false">F21-H21</f>
        <v>400</v>
      </c>
      <c r="H21" s="59"/>
      <c r="I21" s="9"/>
      <c r="J21" s="0"/>
      <c r="K21" s="206"/>
      <c r="L21" s="0"/>
      <c r="N21" s="0"/>
      <c r="Q21" s="0"/>
      <c r="S21" s="0"/>
      <c r="V21" s="0"/>
      <c r="Y21" s="0"/>
    </row>
    <row r="22" customFormat="false" ht="15.75" hidden="false" customHeight="true" outlineLevel="0" collapsed="false">
      <c r="A22" s="0" t="n">
        <v>31</v>
      </c>
      <c r="B22" s="31" t="n">
        <v>42736</v>
      </c>
      <c r="C22" s="217" t="n">
        <v>51187</v>
      </c>
      <c r="D22" s="1" t="s">
        <v>42</v>
      </c>
      <c r="E22" s="33" t="n">
        <f aca="false">IF(D22="totale",(C22/(A22*24))/F22,IF(D22="marché libre",(C22/(A22*24))/G22,"spécifier histo"))</f>
        <v>0.171999327956989</v>
      </c>
      <c r="F22" s="59" t="n">
        <v>400</v>
      </c>
      <c r="G22" s="59" t="n">
        <f aca="false">F22-H22</f>
        <v>400</v>
      </c>
      <c r="H22" s="59"/>
      <c r="J22" s="0"/>
      <c r="K22" s="206"/>
      <c r="L22" s="0"/>
      <c r="N22" s="0"/>
      <c r="Q22" s="0"/>
      <c r="S22" s="0"/>
      <c r="V22" s="0"/>
      <c r="Y22" s="0"/>
    </row>
    <row r="23" customFormat="false" ht="15.75" hidden="false" customHeight="true" outlineLevel="0" collapsed="false">
      <c r="A23" s="0" t="n">
        <v>28</v>
      </c>
      <c r="B23" s="34" t="n">
        <v>42767</v>
      </c>
      <c r="C23" s="217" t="n">
        <v>141877</v>
      </c>
      <c r="D23" s="1" t="s">
        <v>42</v>
      </c>
      <c r="E23" s="33" t="n">
        <f aca="false">IF(D23="totale",(C23/(A23*24))/F23,IF(D23="marché libre",(C23/(A23*24))/G23,"spécifier histo"))</f>
        <v>0.527816220238095</v>
      </c>
      <c r="F23" s="59" t="n">
        <v>400</v>
      </c>
      <c r="G23" s="59" t="n">
        <f aca="false">F23-H23</f>
        <v>400</v>
      </c>
      <c r="H23" s="59"/>
      <c r="I23" s="206"/>
      <c r="J23" s="0"/>
      <c r="K23" s="206"/>
      <c r="L23" s="0"/>
      <c r="M23" s="206"/>
      <c r="N23" s="0"/>
      <c r="Q23" s="0"/>
      <c r="S23" s="0"/>
      <c r="V23" s="0"/>
      <c r="Y23" s="0"/>
    </row>
    <row r="24" customFormat="false" ht="15.75" hidden="false" customHeight="true" outlineLevel="0" collapsed="false">
      <c r="A24" s="0" t="n">
        <v>31</v>
      </c>
      <c r="B24" s="31" t="n">
        <v>42795</v>
      </c>
      <c r="C24" s="217" t="n">
        <v>114528</v>
      </c>
      <c r="D24" s="1" t="s">
        <v>42</v>
      </c>
      <c r="E24" s="33" t="n">
        <f aca="false">IF(D24="totale",(C24/(A24*24))/F24,IF(D24="marché libre",(C24/(A24*24))/G24,"spécifier histo"))</f>
        <v>0.384838709677419</v>
      </c>
      <c r="F24" s="59" t="n">
        <v>400</v>
      </c>
      <c r="G24" s="59" t="n">
        <f aca="false">F24-H24</f>
        <v>400</v>
      </c>
      <c r="H24" s="59"/>
      <c r="J24" s="0"/>
      <c r="K24" s="206"/>
      <c r="L24" s="0"/>
      <c r="N24" s="0"/>
      <c r="Q24" s="0"/>
      <c r="S24" s="0"/>
      <c r="V24" s="0"/>
      <c r="Y24" s="0"/>
    </row>
    <row r="25" customFormat="false" ht="19.85" hidden="false" customHeight="true" outlineLevel="0" collapsed="false">
      <c r="A25" s="0" t="n">
        <v>30</v>
      </c>
      <c r="B25" s="34" t="n">
        <v>42826</v>
      </c>
      <c r="C25" s="217" t="n">
        <v>70442</v>
      </c>
      <c r="D25" s="1" t="s">
        <v>42</v>
      </c>
      <c r="E25" s="33" t="n">
        <f aca="false">IF(D25="totale",(C25/(A25*24))/F25,IF(D25="marché libre",(C25/(A25*24))/G25,"spécifier histo"))</f>
        <v>0.244590277777778</v>
      </c>
      <c r="F25" s="59" t="n">
        <v>400</v>
      </c>
      <c r="G25" s="59" t="n">
        <f aca="false">F25-H25</f>
        <v>400</v>
      </c>
      <c r="H25" s="59"/>
      <c r="J25" s="0"/>
      <c r="K25" s="206"/>
      <c r="L25" s="0"/>
      <c r="N25" s="0"/>
      <c r="Q25" s="0"/>
      <c r="S25" s="0"/>
      <c r="V25" s="0"/>
      <c r="Y25" s="0"/>
    </row>
    <row r="26" customFormat="false" ht="19.85" hidden="false" customHeight="true" outlineLevel="0" collapsed="false">
      <c r="A26" s="0" t="n">
        <v>31</v>
      </c>
      <c r="B26" s="31" t="n">
        <v>42856</v>
      </c>
      <c r="C26" s="217" t="n">
        <v>48086</v>
      </c>
      <c r="D26" s="1" t="s">
        <v>42</v>
      </c>
      <c r="E26" s="33" t="n">
        <f aca="false">IF(D26="totale",(C26/(A26*24))/F26,IF(D26="marché libre",(C26/(A26*24))/G26,"spécifier histo"))</f>
        <v>0.161579301075269</v>
      </c>
      <c r="F26" s="59" t="n">
        <v>400</v>
      </c>
      <c r="G26" s="59" t="n">
        <f aca="false">F26-H26</f>
        <v>400</v>
      </c>
      <c r="H26" s="59"/>
      <c r="J26" s="0"/>
      <c r="K26" s="206"/>
      <c r="L26" s="0"/>
      <c r="N26" s="0"/>
      <c r="Q26" s="0"/>
      <c r="S26" s="0"/>
      <c r="V26" s="0"/>
      <c r="Y26" s="0"/>
    </row>
    <row r="27" customFormat="false" ht="22.45" hidden="false" customHeight="true" outlineLevel="0" collapsed="false">
      <c r="A27" s="0" t="n">
        <v>30</v>
      </c>
      <c r="B27" s="34" t="n">
        <v>42887</v>
      </c>
      <c r="C27" s="217" t="n">
        <v>19</v>
      </c>
      <c r="D27" s="1" t="s">
        <v>42</v>
      </c>
      <c r="E27" s="33" t="n">
        <f aca="false">IF(D27="totale",(C27/(A27*24))/F27,IF(D27="marché libre",(C27/(A27*24))/G27,"spécifier histo"))</f>
        <v>6.59722222222222E-005</v>
      </c>
      <c r="F27" s="59" t="n">
        <v>400</v>
      </c>
      <c r="G27" s="59" t="n">
        <f aca="false">F27-H27</f>
        <v>400</v>
      </c>
      <c r="H27" s="59"/>
      <c r="J27" s="0"/>
      <c r="K27" s="206"/>
      <c r="L27" s="0"/>
      <c r="N27" s="0"/>
      <c r="Q27" s="0"/>
      <c r="S27" s="0"/>
      <c r="V27" s="0"/>
      <c r="Y27" s="0"/>
    </row>
    <row r="28" customFormat="false" ht="21.65" hidden="false" customHeight="true" outlineLevel="0" collapsed="false">
      <c r="A28" s="0" t="n">
        <v>31</v>
      </c>
      <c r="B28" s="31" t="n">
        <v>42917</v>
      </c>
      <c r="C28" s="217" t="n">
        <v>0</v>
      </c>
      <c r="D28" s="1" t="s">
        <v>42</v>
      </c>
      <c r="E28" s="33" t="n">
        <f aca="false">IF(D28="totale",(C28/(A28*24))/F28,IF(D28="marché libre",(C28/(A28*24))/G28,"spécifier histo"))</f>
        <v>0</v>
      </c>
      <c r="F28" s="59" t="n">
        <v>400</v>
      </c>
      <c r="G28" s="59" t="n">
        <f aca="false">F28-H28</f>
        <v>400</v>
      </c>
      <c r="H28" s="59"/>
      <c r="J28" s="0"/>
      <c r="K28" s="206"/>
      <c r="L28" s="0"/>
      <c r="N28" s="0"/>
      <c r="Q28" s="0"/>
      <c r="S28" s="0"/>
      <c r="V28" s="0"/>
      <c r="Y28" s="0"/>
    </row>
    <row r="29" customFormat="false" ht="21.65" hidden="false" customHeight="true" outlineLevel="0" collapsed="false">
      <c r="A29" s="0" t="n">
        <v>31</v>
      </c>
      <c r="B29" s="34" t="n">
        <v>42948</v>
      </c>
      <c r="C29" s="217" t="n">
        <v>0</v>
      </c>
      <c r="D29" s="1" t="s">
        <v>42</v>
      </c>
      <c r="E29" s="33" t="n">
        <f aca="false">IF(D29="totale",(C29/(A29*24))/F29,IF(D29="marché libre",(C29/(A29*24))/G29,"spécifier histo"))</f>
        <v>0</v>
      </c>
      <c r="F29" s="59" t="n">
        <v>400</v>
      </c>
      <c r="G29" s="59" t="n">
        <f aca="false">F29-H29</f>
        <v>400</v>
      </c>
      <c r="H29" s="59"/>
      <c r="J29" s="0"/>
      <c r="K29" s="206"/>
      <c r="L29" s="0"/>
      <c r="N29" s="0"/>
      <c r="Q29" s="0"/>
      <c r="S29" s="0"/>
      <c r="V29" s="0"/>
      <c r="Y29" s="0"/>
    </row>
    <row r="30" customFormat="false" ht="21.65" hidden="false" customHeight="true" outlineLevel="0" collapsed="false">
      <c r="A30" s="0" t="n">
        <v>30</v>
      </c>
      <c r="B30" s="31" t="n">
        <v>42979</v>
      </c>
      <c r="C30" s="217" t="n">
        <v>1.16</v>
      </c>
      <c r="D30" s="1" t="s">
        <v>42</v>
      </c>
      <c r="E30" s="33" t="n">
        <f aca="false">IF(D30="totale",(C30/(A30*24))/F30,IF(D30="marché libre",(C30/(A30*24))/G30,"spécifier histo"))</f>
        <v>4.02777777777778E-006</v>
      </c>
      <c r="F30" s="59" t="n">
        <v>400</v>
      </c>
      <c r="G30" s="59" t="n">
        <f aca="false">F30-H30</f>
        <v>400</v>
      </c>
      <c r="H30" s="59"/>
      <c r="J30" s="0"/>
      <c r="K30" s="206"/>
      <c r="L30" s="0"/>
      <c r="N30" s="0"/>
      <c r="Q30" s="0"/>
      <c r="S30" s="0"/>
      <c r="V30" s="0"/>
      <c r="Y30" s="0"/>
    </row>
    <row r="31" customFormat="false" ht="21.65" hidden="false" customHeight="true" outlineLevel="0" collapsed="false">
      <c r="A31" s="0" t="n">
        <v>31</v>
      </c>
      <c r="B31" s="34" t="n">
        <v>43009</v>
      </c>
      <c r="C31" s="217" t="n">
        <v>1.16</v>
      </c>
      <c r="D31" s="1" t="s">
        <v>42</v>
      </c>
      <c r="E31" s="33" t="n">
        <f aca="false">IF(D31="totale",(C31/(A31*24))/F31,IF(D31="marché libre",(C31/(A31*24))/G31,"spécifier histo"))</f>
        <v>3.89784946236559E-006</v>
      </c>
      <c r="F31" s="59" t="n">
        <v>400</v>
      </c>
      <c r="G31" s="59" t="n">
        <f aca="false">F31-H31</f>
        <v>400</v>
      </c>
      <c r="H31" s="59"/>
      <c r="J31" s="0"/>
      <c r="K31" s="206"/>
      <c r="L31" s="0"/>
      <c r="N31" s="0"/>
      <c r="Q31" s="0"/>
      <c r="S31" s="0"/>
      <c r="V31" s="0"/>
      <c r="Y31" s="0"/>
    </row>
    <row r="32" customFormat="false" ht="21.65" hidden="false" customHeight="true" outlineLevel="0" collapsed="false">
      <c r="A32" s="0" t="n">
        <v>30</v>
      </c>
      <c r="B32" s="31" t="n">
        <v>43040</v>
      </c>
      <c r="C32" s="217" t="n">
        <v>0</v>
      </c>
      <c r="D32" s="1" t="s">
        <v>42</v>
      </c>
      <c r="E32" s="33" t="n">
        <f aca="false">IF(D32="totale",(C32/(A32*24))/F32,IF(D32="marché libre",(C32/(A32*24))/G32,"spécifier histo"))</f>
        <v>0</v>
      </c>
      <c r="F32" s="59" t="n">
        <v>400</v>
      </c>
      <c r="G32" s="59" t="n">
        <f aca="false">F32-H32</f>
        <v>400</v>
      </c>
      <c r="H32" s="59"/>
      <c r="J32" s="0"/>
      <c r="K32" s="206"/>
      <c r="L32" s="0"/>
      <c r="N32" s="0"/>
      <c r="Q32" s="0"/>
      <c r="S32" s="0"/>
      <c r="V32" s="0"/>
    </row>
    <row r="33" customFormat="false" ht="21.65" hidden="false" customHeight="true" outlineLevel="0" collapsed="false">
      <c r="A33" s="0" t="n">
        <v>31</v>
      </c>
      <c r="B33" s="34" t="n">
        <v>43070</v>
      </c>
      <c r="C33" s="217" t="n">
        <v>0</v>
      </c>
      <c r="D33" s="1" t="s">
        <v>42</v>
      </c>
      <c r="E33" s="33" t="n">
        <f aca="false">IF(D33="totale",(C33/(A33*24))/F33,IF(D33="marché libre",(C33/(A33*24))/G33,"spécifier histo"))</f>
        <v>0</v>
      </c>
      <c r="F33" s="59" t="n">
        <v>400</v>
      </c>
      <c r="G33" s="59" t="n">
        <f aca="false">F33-H33</f>
        <v>400</v>
      </c>
      <c r="H33" s="59"/>
      <c r="J33" s="0"/>
      <c r="K33" s="206"/>
      <c r="L33" s="0"/>
      <c r="N33" s="0"/>
      <c r="Q33" s="0"/>
      <c r="S33" s="0"/>
      <c r="V33" s="0"/>
    </row>
    <row r="34" customFormat="false" ht="28.35" hidden="false" customHeight="true" outlineLevel="0" collapsed="false">
      <c r="A34" s="0" t="n">
        <v>31</v>
      </c>
      <c r="B34" s="31" t="n">
        <v>43101</v>
      </c>
      <c r="C34" s="1" t="n">
        <v>37298</v>
      </c>
      <c r="D34" s="1" t="s">
        <v>42</v>
      </c>
      <c r="E34" s="294" t="n">
        <f aca="false">IF(D34="totale",(C34/(A34*24))/F34,IF(D34="marché libre",(C34/(A34*24))/G34,"spécifier histo"))</f>
        <v>0.125329301075269</v>
      </c>
      <c r="F34" s="59" t="n">
        <v>400</v>
      </c>
      <c r="G34" s="59" t="n">
        <f aca="false">F34-H34</f>
        <v>400</v>
      </c>
      <c r="H34" s="59"/>
      <c r="J34" s="0"/>
      <c r="K34" s="206"/>
      <c r="L34" s="0"/>
      <c r="N34" s="0"/>
      <c r="Q34" s="0"/>
      <c r="S34" s="0"/>
      <c r="V34" s="0"/>
    </row>
    <row r="35" customFormat="false" ht="28.35" hidden="false" customHeight="true" outlineLevel="0" collapsed="false">
      <c r="A35" s="0" t="n">
        <v>28</v>
      </c>
      <c r="B35" s="34" t="n">
        <v>43132</v>
      </c>
      <c r="C35" s="1" t="n">
        <v>129742</v>
      </c>
      <c r="D35" s="1" t="s">
        <v>42</v>
      </c>
      <c r="E35" s="33" t="n">
        <f aca="false">IF(D35="totale",(C35/(A35*24))/F35,IF(D35="marché libre",(C35/(A35*24))/G35,"spécifier histo"))</f>
        <v>0.482671130952381</v>
      </c>
      <c r="F35" s="59" t="n">
        <v>400</v>
      </c>
      <c r="G35" s="59" t="n">
        <f aca="false">F35-H35</f>
        <v>400</v>
      </c>
      <c r="H35" s="59"/>
      <c r="J35" s="0"/>
      <c r="K35" s="206"/>
      <c r="L35" s="0"/>
      <c r="N35" s="0"/>
      <c r="Q35" s="0"/>
      <c r="S35" s="0"/>
      <c r="V35" s="0"/>
    </row>
    <row r="36" customFormat="false" ht="28.35" hidden="false" customHeight="true" outlineLevel="0" collapsed="false">
      <c r="A36" s="0" t="n">
        <v>31</v>
      </c>
      <c r="B36" s="31" t="n">
        <v>43160</v>
      </c>
      <c r="C36" s="1" t="n">
        <v>89841</v>
      </c>
      <c r="D36" s="1" t="s">
        <v>42</v>
      </c>
      <c r="E36" s="33" t="n">
        <f aca="false">IF(D36="totale",(C36/(A36*24))/F36,IF(D36="marché libre",(C36/(A36*24))/G36,"spécifier histo"))</f>
        <v>0.301885080645161</v>
      </c>
      <c r="F36" s="59" t="n">
        <v>400</v>
      </c>
      <c r="G36" s="59" t="n">
        <f aca="false">F36-H36</f>
        <v>400</v>
      </c>
      <c r="H36" s="59"/>
      <c r="J36" s="0"/>
      <c r="K36" s="206"/>
      <c r="L36" s="0"/>
      <c r="Q36" s="0"/>
      <c r="S36" s="0"/>
      <c r="V36" s="0"/>
    </row>
    <row r="37" customFormat="false" ht="28.35" hidden="false" customHeight="true" outlineLevel="0" collapsed="false">
      <c r="A37" s="0" t="n">
        <v>30</v>
      </c>
      <c r="B37" s="34" t="n">
        <v>43191</v>
      </c>
      <c r="C37" s="1" t="n">
        <v>72944</v>
      </c>
      <c r="D37" s="1" t="s">
        <v>42</v>
      </c>
      <c r="E37" s="33" t="n">
        <f aca="false">IF(D37="totale",(C37/(A37*24))/F37,IF(D37="marché libre",(C37/(A37*24))/G37,"spécifier histo"))</f>
        <v>0.253277777777778</v>
      </c>
      <c r="F37" s="59" t="n">
        <v>400</v>
      </c>
      <c r="G37" s="59" t="n">
        <f aca="false">F37-H37</f>
        <v>400</v>
      </c>
      <c r="H37" s="59"/>
      <c r="J37" s="0"/>
      <c r="K37" s="206"/>
      <c r="L37" s="0"/>
      <c r="Q37" s="0"/>
      <c r="S37" s="0"/>
    </row>
    <row r="38" customFormat="false" ht="28.35" hidden="false" customHeight="true" outlineLevel="0" collapsed="false">
      <c r="A38" s="0" t="n">
        <v>31</v>
      </c>
      <c r="B38" s="31" t="n">
        <v>43221</v>
      </c>
      <c r="C38" s="1" t="n">
        <v>34625</v>
      </c>
      <c r="D38" s="1" t="s">
        <v>42</v>
      </c>
      <c r="E38" s="33" t="n">
        <f aca="false">IF(D38="totale",(C38/(A38*24))/F38,IF(D38="marché libre",(C38/(A38*24))/G38,"spécifier histo"))</f>
        <v>0.116347446236559</v>
      </c>
      <c r="F38" s="59" t="n">
        <v>400</v>
      </c>
      <c r="G38" s="59" t="n">
        <f aca="false">F38-H38</f>
        <v>400</v>
      </c>
      <c r="H38" s="59"/>
      <c r="J38" s="0"/>
      <c r="K38" s="206"/>
      <c r="L38" s="0"/>
      <c r="Q38" s="0"/>
      <c r="S38" s="0"/>
    </row>
    <row r="39" customFormat="false" ht="28.35" hidden="false" customHeight="true" outlineLevel="0" collapsed="false">
      <c r="A39" s="0" t="n">
        <v>30</v>
      </c>
      <c r="B39" s="34" t="n">
        <v>43252</v>
      </c>
      <c r="C39" s="1" t="n">
        <v>46522</v>
      </c>
      <c r="D39" s="1" t="s">
        <v>42</v>
      </c>
      <c r="E39" s="33" t="n">
        <f aca="false">IF(D39="totale",(C39/(A39*24))/F39,IF(D39="marché libre",(C39/(A39*24))/G39,"spécifier histo"))</f>
        <v>0.161534722222222</v>
      </c>
      <c r="F39" s="59" t="n">
        <v>400</v>
      </c>
      <c r="G39" s="59" t="n">
        <f aca="false">F39-H39</f>
        <v>400</v>
      </c>
      <c r="H39" s="59"/>
      <c r="J39" s="0"/>
      <c r="L39" s="0"/>
      <c r="Q39" s="0"/>
      <c r="S39" s="0"/>
    </row>
    <row r="40" customFormat="false" ht="28.35" hidden="false" customHeight="true" outlineLevel="0" collapsed="false">
      <c r="A40" s="0" t="n">
        <v>31</v>
      </c>
      <c r="B40" s="31" t="n">
        <v>43282</v>
      </c>
      <c r="C40" s="1" t="n">
        <v>0</v>
      </c>
      <c r="D40" s="1" t="s">
        <v>42</v>
      </c>
      <c r="E40" s="33" t="n">
        <f aca="false">IF(D40="totale",(C40/(A40*24))/F40,IF(D40="marché libre",(C40/(A40*24))/G40,"spécifier histo"))</f>
        <v>0</v>
      </c>
      <c r="F40" s="59" t="n">
        <v>400</v>
      </c>
      <c r="G40" s="59" t="n">
        <f aca="false">F40-H40</f>
        <v>400</v>
      </c>
      <c r="H40" s="59"/>
      <c r="J40" s="0"/>
      <c r="L40" s="0"/>
      <c r="Q40" s="0"/>
      <c r="S40" s="0"/>
    </row>
    <row r="41" customFormat="false" ht="28.35" hidden="false" customHeight="true" outlineLevel="0" collapsed="false">
      <c r="A41" s="0" t="n">
        <v>31</v>
      </c>
      <c r="B41" s="34" t="n">
        <v>43313</v>
      </c>
      <c r="C41" s="1" t="n">
        <v>0</v>
      </c>
      <c r="D41" s="1" t="s">
        <v>42</v>
      </c>
      <c r="E41" s="33" t="n">
        <f aca="false">IF(D41="totale",(C41/(A41*24))/F41,IF(D41="marché libre",(C41/(A41*24))/G41,"spécifier histo"))</f>
        <v>0</v>
      </c>
      <c r="F41" s="59" t="n">
        <v>400</v>
      </c>
      <c r="G41" s="59" t="n">
        <f aca="false">F41-H41</f>
        <v>400</v>
      </c>
      <c r="H41" s="59"/>
      <c r="J41" s="0"/>
      <c r="L41" s="0"/>
      <c r="Q41" s="0"/>
      <c r="S41" s="0"/>
    </row>
    <row r="42" customFormat="false" ht="12.8" hidden="false" customHeight="false" outlineLevel="0" collapsed="false">
      <c r="A42" s="0"/>
      <c r="J42" s="0"/>
      <c r="L42" s="0"/>
      <c r="Q42" s="0"/>
      <c r="S42" s="0"/>
    </row>
    <row r="43" customFormat="false" ht="12.8" hidden="false" customHeight="false" outlineLevel="0" collapsed="false">
      <c r="A43" s="0"/>
      <c r="J43" s="0"/>
      <c r="L43" s="0"/>
      <c r="Q43" s="0"/>
      <c r="S43" s="0"/>
    </row>
    <row r="44" customFormat="false" ht="12.8" hidden="false" customHeight="false" outlineLevel="0" collapsed="false">
      <c r="A44" s="0"/>
      <c r="J44" s="0"/>
      <c r="L44" s="0"/>
      <c r="Q44" s="0"/>
      <c r="S44" s="0"/>
    </row>
    <row r="45" customFormat="false" ht="12.8" hidden="false" customHeight="false" outlineLevel="0" collapsed="false">
      <c r="A45" s="0"/>
      <c r="J45" s="0"/>
      <c r="L45" s="0"/>
      <c r="Q45" s="0"/>
      <c r="S45" s="0"/>
    </row>
    <row r="46" customFormat="false" ht="12.8" hidden="false" customHeight="false" outlineLevel="0" collapsed="false">
      <c r="A46" s="0"/>
      <c r="J46" s="0"/>
      <c r="L46" s="0"/>
      <c r="Q46" s="0"/>
      <c r="S46" s="0"/>
    </row>
    <row r="47" customFormat="false" ht="12.8" hidden="false" customHeight="false" outlineLevel="0" collapsed="false">
      <c r="A47" s="0"/>
      <c r="J47" s="0"/>
      <c r="L47" s="0"/>
      <c r="Q47" s="0"/>
      <c r="S47" s="0"/>
    </row>
    <row r="48" customFormat="false" ht="12.8" hidden="false" customHeight="false" outlineLevel="0" collapsed="false">
      <c r="A48" s="0"/>
      <c r="J48" s="0"/>
      <c r="L48" s="0"/>
      <c r="Q48" s="0"/>
      <c r="S48" s="0"/>
    </row>
    <row r="49" customFormat="false" ht="12.8" hidden="false" customHeight="false" outlineLevel="0" collapsed="false">
      <c r="A49" s="0"/>
      <c r="J49" s="0"/>
      <c r="L49" s="0"/>
      <c r="Q49" s="0"/>
      <c r="S49" s="0"/>
    </row>
    <row r="50" customFormat="false" ht="12.8" hidden="false" customHeight="false" outlineLevel="0" collapsed="false">
      <c r="A50" s="0"/>
      <c r="J50" s="0"/>
      <c r="Q50" s="0"/>
      <c r="S50" s="0"/>
    </row>
    <row r="51" customFormat="false" ht="12.8" hidden="false" customHeight="false" outlineLevel="0" collapsed="false">
      <c r="A51" s="0"/>
      <c r="J51" s="0"/>
      <c r="Q51" s="0"/>
      <c r="S51" s="0"/>
    </row>
    <row r="52" customFormat="false" ht="12.8" hidden="false" customHeight="false" outlineLevel="0" collapsed="false">
      <c r="A52" s="0"/>
      <c r="J52" s="0"/>
      <c r="Q52" s="0"/>
      <c r="S52" s="0"/>
    </row>
    <row r="53" customFormat="false" ht="12.8" hidden="false" customHeight="false" outlineLevel="0" collapsed="false">
      <c r="A53" s="0"/>
      <c r="J53" s="0"/>
      <c r="Q53" s="0"/>
      <c r="S53" s="0"/>
    </row>
    <row r="54" customFormat="false" ht="12.8" hidden="false" customHeight="false" outlineLevel="0" collapsed="false">
      <c r="A54" s="0"/>
      <c r="J54" s="0"/>
      <c r="Q54" s="0"/>
      <c r="S54" s="0"/>
    </row>
    <row r="55" customFormat="false" ht="12.8" hidden="false" customHeight="false" outlineLevel="0" collapsed="false">
      <c r="A55" s="0"/>
      <c r="J55" s="0"/>
      <c r="Q55" s="0"/>
      <c r="S55" s="0"/>
    </row>
    <row r="56" customFormat="false" ht="12.8" hidden="false" customHeight="false" outlineLevel="0" collapsed="false">
      <c r="A56" s="0"/>
      <c r="J56" s="0"/>
      <c r="Q56" s="0"/>
      <c r="S56" s="0"/>
    </row>
    <row r="57" customFormat="false" ht="12.8" hidden="false" customHeight="false" outlineLevel="0" collapsed="false">
      <c r="A57" s="0"/>
      <c r="J57" s="0"/>
      <c r="Q57" s="0"/>
      <c r="S57" s="0"/>
    </row>
    <row r="58" customFormat="false" ht="12.8" hidden="false" customHeight="false" outlineLevel="0" collapsed="false">
      <c r="A58" s="0"/>
      <c r="J58" s="0"/>
      <c r="Q58" s="0"/>
      <c r="S58" s="0"/>
    </row>
    <row r="59" customFormat="false" ht="12.8" hidden="false" customHeight="false" outlineLevel="0" collapsed="false">
      <c r="A59" s="0"/>
      <c r="J59" s="0"/>
      <c r="Q59" s="0"/>
      <c r="S59" s="0"/>
    </row>
    <row r="60" customFormat="false" ht="12.8" hidden="false" customHeight="false" outlineLevel="0" collapsed="false">
      <c r="A60" s="0"/>
      <c r="J60" s="0"/>
      <c r="Q60" s="0"/>
      <c r="S60" s="0"/>
    </row>
    <row r="61" customFormat="false" ht="12.8" hidden="false" customHeight="false" outlineLevel="0" collapsed="false">
      <c r="A61" s="0"/>
      <c r="J61" s="0"/>
      <c r="Q61" s="0"/>
      <c r="S61" s="0"/>
    </row>
    <row r="62" customFormat="false" ht="12.8" hidden="false" customHeight="false" outlineLevel="0" collapsed="false">
      <c r="A62" s="0"/>
      <c r="J62" s="0"/>
      <c r="Q62" s="0"/>
      <c r="S62" s="0"/>
    </row>
    <row r="63" customFormat="false" ht="12.8" hidden="false" customHeight="false" outlineLevel="0" collapsed="false">
      <c r="A63" s="0"/>
      <c r="J63" s="0"/>
      <c r="Q63" s="0"/>
      <c r="S63" s="0"/>
    </row>
    <row r="64" customFormat="false" ht="12.8" hidden="false" customHeight="false" outlineLevel="0" collapsed="false">
      <c r="A64" s="0"/>
      <c r="J64" s="0"/>
      <c r="Q64" s="0"/>
      <c r="S64" s="0"/>
    </row>
    <row r="65" customFormat="false" ht="12.8" hidden="false" customHeight="false" outlineLevel="0" collapsed="false">
      <c r="A65" s="0"/>
      <c r="J65" s="0"/>
      <c r="Q65" s="0"/>
      <c r="S65" s="0"/>
    </row>
    <row r="66" customFormat="false" ht="12.8" hidden="false" customHeight="false" outlineLevel="0" collapsed="false">
      <c r="A66" s="0"/>
      <c r="J66" s="0"/>
      <c r="Q66" s="0"/>
      <c r="S66" s="0"/>
    </row>
    <row r="67" customFormat="false" ht="12.8" hidden="false" customHeight="false" outlineLevel="0" collapsed="false">
      <c r="A67" s="0"/>
      <c r="J67" s="0"/>
      <c r="Q67" s="0"/>
      <c r="S67" s="0"/>
    </row>
    <row r="68" customFormat="false" ht="12.8" hidden="false" customHeight="false" outlineLevel="0" collapsed="false">
      <c r="A68" s="0"/>
      <c r="J68" s="0"/>
      <c r="Q68" s="0"/>
      <c r="S68" s="0"/>
    </row>
    <row r="69" customFormat="false" ht="12.8" hidden="false" customHeight="false" outlineLevel="0" collapsed="false">
      <c r="A69" s="0"/>
      <c r="J69" s="0"/>
      <c r="Q69" s="0"/>
      <c r="S69" s="0"/>
    </row>
    <row r="70" customFormat="false" ht="12.8" hidden="false" customHeight="false" outlineLevel="0" collapsed="false">
      <c r="J70" s="0"/>
      <c r="Q70" s="0"/>
      <c r="S70" s="0"/>
    </row>
    <row r="71" customFormat="false" ht="12.8" hidden="false" customHeight="false" outlineLevel="0" collapsed="false">
      <c r="J71" s="0"/>
      <c r="Q71" s="0"/>
    </row>
    <row r="72" customFormat="false" ht="12.8" hidden="false" customHeight="false" outlineLevel="0" collapsed="false">
      <c r="J72" s="0"/>
      <c r="Q72" s="0"/>
    </row>
    <row r="73" customFormat="false" ht="12.8" hidden="false" customHeight="false" outlineLevel="0" collapsed="false">
      <c r="J73" s="0"/>
      <c r="Q73" s="0"/>
    </row>
    <row r="74" customFormat="false" ht="12.8" hidden="false" customHeight="false" outlineLevel="0" collapsed="false">
      <c r="Q74" s="0"/>
    </row>
    <row r="75" customFormat="false" ht="12.8" hidden="false" customHeight="false" outlineLevel="0" collapsed="false">
      <c r="Q75" s="0"/>
    </row>
    <row r="76" customFormat="false" ht="12.8" hidden="false" customHeight="false" outlineLevel="0" collapsed="false">
      <c r="Q76" s="0"/>
    </row>
    <row r="77" customFormat="false" ht="12.8" hidden="false" customHeight="false" outlineLevel="0" collapsed="false">
      <c r="Q77" s="0"/>
    </row>
    <row r="78" customFormat="false" ht="12.8" hidden="false" customHeight="false" outlineLevel="0" collapsed="false">
      <c r="Q78" s="0"/>
    </row>
    <row r="79" customFormat="false" ht="12.8" hidden="false" customHeight="false" outlineLevel="0" collapsed="false">
      <c r="Q79" s="0"/>
    </row>
    <row r="80" customFormat="false" ht="12.8" hidden="false" customHeight="false" outlineLevel="0" collapsed="false">
      <c r="Q80" s="0"/>
    </row>
    <row r="81" customFormat="false" ht="12.8" hidden="false" customHeight="false" outlineLevel="0" collapsed="false">
      <c r="Q81" s="0"/>
    </row>
    <row r="82" customFormat="false" ht="12.8" hidden="false" customHeight="false" outlineLevel="0" collapsed="false">
      <c r="Q82" s="0"/>
    </row>
    <row r="83" customFormat="false" ht="12.8" hidden="false" customHeight="false" outlineLevel="0" collapsed="false">
      <c r="Q83" s="0"/>
    </row>
    <row r="84" customFormat="false" ht="12.8" hidden="false" customHeight="false" outlineLevel="0" collapsed="false">
      <c r="Q84" s="0"/>
    </row>
    <row r="85" customFormat="false" ht="12.8" hidden="false" customHeight="false" outlineLevel="0" collapsed="false">
      <c r="Q85" s="0"/>
    </row>
    <row r="86" customFormat="false" ht="12.8" hidden="false" customHeight="false" outlineLevel="0" collapsed="false">
      <c r="Q86" s="0"/>
    </row>
    <row r="87" customFormat="false" ht="12.8" hidden="false" customHeight="false" outlineLevel="0" collapsed="false">
      <c r="Q87" s="0"/>
    </row>
    <row r="88" customFormat="false" ht="12.8" hidden="false" customHeight="false" outlineLevel="0" collapsed="false">
      <c r="Q88" s="0"/>
    </row>
    <row r="89" customFormat="false" ht="12.8" hidden="false" customHeight="false" outlineLevel="0" collapsed="false">
      <c r="Q89" s="0"/>
    </row>
    <row r="90" customFormat="false" ht="12.8" hidden="false" customHeight="false" outlineLevel="0" collapsed="false">
      <c r="Q90" s="0"/>
    </row>
    <row r="91" customFormat="false" ht="12.8" hidden="false" customHeight="false" outlineLevel="0" collapsed="false">
      <c r="Q91" s="0"/>
    </row>
    <row r="92" customFormat="false" ht="12.8" hidden="false" customHeight="false" outlineLevel="0" collapsed="false">
      <c r="Q92" s="0"/>
    </row>
    <row r="93" customFormat="false" ht="12.8" hidden="false" customHeight="false" outlineLevel="0" collapsed="false">
      <c r="Q93" s="0"/>
    </row>
    <row r="94" customFormat="false" ht="12.8" hidden="false" customHeight="false" outlineLevel="0" collapsed="false">
      <c r="Q94" s="0"/>
    </row>
    <row r="95" customFormat="false" ht="12.8" hidden="false" customHeight="false" outlineLevel="0" collapsed="false">
      <c r="Q95" s="0"/>
    </row>
    <row r="96" customFormat="false" ht="12.8" hidden="false" customHeight="false" outlineLevel="0" collapsed="false">
      <c r="Q96" s="0"/>
    </row>
    <row r="97" customFormat="false" ht="12.8" hidden="false" customHeight="false" outlineLevel="0" collapsed="false">
      <c r="Q97" s="0"/>
    </row>
    <row r="98" customFormat="false" ht="12.8" hidden="false" customHeight="false" outlineLevel="0" collapsed="false">
      <c r="Q98" s="0"/>
    </row>
    <row r="99" customFormat="false" ht="12.8" hidden="false" customHeight="false" outlineLevel="0" collapsed="false">
      <c r="Q99" s="0"/>
    </row>
    <row r="100" customFormat="false" ht="12.8" hidden="false" customHeight="false" outlineLevel="0" collapsed="false">
      <c r="Q100" s="0"/>
    </row>
    <row r="101" customFormat="false" ht="12.8" hidden="false" customHeight="false" outlineLevel="0" collapsed="false">
      <c r="Q101" s="0"/>
    </row>
    <row r="102" customFormat="false" ht="12.8" hidden="false" customHeight="false" outlineLevel="0" collapsed="false">
      <c r="Q102" s="0"/>
    </row>
    <row r="103" customFormat="false" ht="12.8" hidden="false" customHeight="false" outlineLevel="0" collapsed="false">
      <c r="Q103" s="0"/>
    </row>
    <row r="104" customFormat="false" ht="12.8" hidden="false" customHeight="false" outlineLevel="0" collapsed="false">
      <c r="Q104" s="0"/>
    </row>
    <row r="105" customFormat="false" ht="12.8" hidden="false" customHeight="false" outlineLevel="0" collapsed="false">
      <c r="Q105" s="0"/>
    </row>
    <row r="106" customFormat="false" ht="12.8" hidden="false" customHeight="false" outlineLevel="0" collapsed="false">
      <c r="Q106" s="0"/>
    </row>
    <row r="107" customFormat="false" ht="12.8" hidden="false" customHeight="false" outlineLevel="0" collapsed="false">
      <c r="Q107" s="0"/>
    </row>
    <row r="108" customFormat="false" ht="12.8" hidden="false" customHeight="false" outlineLevel="0" collapsed="false">
      <c r="Q108" s="0"/>
    </row>
    <row r="109" customFormat="false" ht="12.8" hidden="false" customHeight="false" outlineLevel="0" collapsed="false">
      <c r="Q109" s="0"/>
    </row>
    <row r="110" customFormat="false" ht="12.8" hidden="false" customHeight="false" outlineLevel="0" collapsed="false">
      <c r="Q110" s="0"/>
    </row>
    <row r="111" customFormat="false" ht="12.8" hidden="false" customHeight="false" outlineLevel="0" collapsed="false">
      <c r="Q111" s="0"/>
    </row>
    <row r="112" customFormat="false" ht="12.8" hidden="false" customHeight="false" outlineLevel="0" collapsed="false">
      <c r="Q112" s="0"/>
    </row>
    <row r="113" customFormat="false" ht="12.8" hidden="false" customHeight="false" outlineLevel="0" collapsed="false">
      <c r="Q113" s="0"/>
    </row>
    <row r="114" customFormat="false" ht="12.8" hidden="false" customHeight="false" outlineLevel="0" collapsed="false">
      <c r="Q114" s="0"/>
    </row>
    <row r="115" customFormat="false" ht="12.8" hidden="false" customHeight="false" outlineLevel="0" collapsed="false">
      <c r="Q115" s="0"/>
    </row>
    <row r="116" customFormat="false" ht="12.8" hidden="false" customHeight="false" outlineLevel="0" collapsed="false">
      <c r="Q116"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4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tabColor rgb="FF069A2E"/>
    <pageSetUpPr fitToPage="false"/>
  </sheetPr>
  <dimension ref="A1:AA290"/>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05" activePane="bottomRight" state="frozen"/>
      <selection pane="topLeft" activeCell="A1" activeCellId="0" sqref="A1"/>
      <selection pane="topRight" activeCell="B1" activeCellId="0" sqref="B1"/>
      <selection pane="bottomLeft" activeCell="A205" activeCellId="0" sqref="A205"/>
      <selection pane="bottomRight" activeCell="C142" activeCellId="0" sqref="C142"/>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363</v>
      </c>
      <c r="C4" s="16" t="n">
        <v>51167</v>
      </c>
      <c r="D4" s="5" t="s">
        <v>364</v>
      </c>
      <c r="E4" s="14" t="s">
        <v>365</v>
      </c>
      <c r="F4" s="15" t="n">
        <v>250</v>
      </c>
      <c r="G4" s="15" t="n">
        <v>250</v>
      </c>
      <c r="H4" s="15" t="n">
        <v>250</v>
      </c>
      <c r="I4" s="16"/>
      <c r="J4" s="15" t="n">
        <v>250</v>
      </c>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t="s">
        <v>118</v>
      </c>
      <c r="H6" s="19"/>
      <c r="I6" s="19"/>
      <c r="J6" s="19"/>
      <c r="K6" s="19"/>
      <c r="L6" s="19"/>
      <c r="M6" s="19"/>
      <c r="N6" s="19"/>
      <c r="P6" s="21" t="n">
        <v>41165</v>
      </c>
      <c r="Q6" s="19" t="s">
        <v>27</v>
      </c>
      <c r="R6" s="9"/>
      <c r="S6" s="22"/>
      <c r="T6" s="5" t="s">
        <v>28</v>
      </c>
    </row>
    <row r="7" customFormat="false" ht="41.65" hidden="false" customHeight="true" outlineLevel="0" collapsed="false">
      <c r="A7" s="0"/>
      <c r="B7" s="0"/>
      <c r="C7" s="126" t="s">
        <v>366</v>
      </c>
      <c r="D7" s="126"/>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205" t="s">
        <v>40</v>
      </c>
      <c r="K9" s="206"/>
    </row>
    <row r="10" customFormat="false" ht="23" hidden="false" customHeight="true" outlineLevel="0" collapsed="false">
      <c r="A10" s="0" t="n">
        <v>31</v>
      </c>
      <c r="B10" s="31" t="n">
        <v>37257</v>
      </c>
      <c r="C10" s="1" t="n">
        <v>0</v>
      </c>
      <c r="D10" s="1" t="s">
        <v>42</v>
      </c>
      <c r="E10" s="33" t="n">
        <f aca="false">IF(D10="totale",(C10/(A10*24))/F10,IF(D10="marché libre",(C10/(A10*24))/G10,"spécifier histo"))</f>
        <v>0</v>
      </c>
      <c r="F10" s="59" t="n">
        <v>250</v>
      </c>
      <c r="G10" s="59" t="n">
        <f aca="false">F10-H10</f>
        <v>250</v>
      </c>
      <c r="H10" s="59" t="n">
        <v>0</v>
      </c>
      <c r="I10" s="9"/>
      <c r="J10" s="205"/>
      <c r="K10" s="206"/>
    </row>
    <row r="11" customFormat="false" ht="23" hidden="false" customHeight="true" outlineLevel="0" collapsed="false">
      <c r="A11" s="0" t="n">
        <v>31</v>
      </c>
      <c r="B11" s="34" t="n">
        <v>37288</v>
      </c>
      <c r="C11" s="1" t="n">
        <v>11165</v>
      </c>
      <c r="D11" s="1" t="s">
        <v>42</v>
      </c>
      <c r="E11" s="33" t="n">
        <f aca="false">IF(D11="totale",(C11/(A11*24))/F11,IF(D11="marché libre",(C11/(A11*24))/G11,"spécifier histo"))</f>
        <v>0.0600268817204301</v>
      </c>
      <c r="F11" s="59" t="n">
        <v>250</v>
      </c>
      <c r="G11" s="59" t="n">
        <f aca="false">F11-H11</f>
        <v>250</v>
      </c>
      <c r="H11" s="59" t="n">
        <v>0</v>
      </c>
      <c r="I11" s="9"/>
      <c r="J11" s="205"/>
      <c r="K11" s="206"/>
    </row>
    <row r="12" customFormat="false" ht="23" hidden="false" customHeight="true" outlineLevel="0" collapsed="false">
      <c r="A12" s="0" t="n">
        <v>30</v>
      </c>
      <c r="B12" s="31" t="n">
        <v>37316</v>
      </c>
      <c r="C12" s="1" t="n">
        <v>30115</v>
      </c>
      <c r="D12" s="1" t="s">
        <v>42</v>
      </c>
      <c r="E12" s="33" t="n">
        <f aca="false">IF(D12="totale",(C12/(A12*24))/F12,IF(D12="marché libre",(C12/(A12*24))/G12,"spécifier histo"))</f>
        <v>0.167305555555556</v>
      </c>
      <c r="F12" s="59" t="n">
        <v>250</v>
      </c>
      <c r="G12" s="59" t="n">
        <f aca="false">F12-H12</f>
        <v>250</v>
      </c>
      <c r="H12" s="59" t="n">
        <v>0</v>
      </c>
      <c r="I12" s="9"/>
      <c r="J12" s="205"/>
      <c r="K12" s="206"/>
    </row>
    <row r="13" customFormat="false" ht="23" hidden="false" customHeight="true" outlineLevel="0" collapsed="false">
      <c r="A13" s="0" t="n">
        <v>31</v>
      </c>
      <c r="B13" s="34" t="n">
        <v>37347</v>
      </c>
      <c r="C13" s="1" t="n">
        <v>43410</v>
      </c>
      <c r="D13" s="1" t="s">
        <v>42</v>
      </c>
      <c r="E13" s="33" t="n">
        <f aca="false">IF(D13="totale",(C13/(A13*24))/F13,IF(D13="marché libre",(C13/(A13*24))/G13,"spécifier histo"))</f>
        <v>0.233387096774194</v>
      </c>
      <c r="F13" s="59" t="n">
        <v>250</v>
      </c>
      <c r="G13" s="59" t="n">
        <f aca="false">F13-H13</f>
        <v>250</v>
      </c>
      <c r="H13" s="59" t="n">
        <v>0</v>
      </c>
      <c r="I13" s="9"/>
      <c r="J13" s="205"/>
      <c r="K13" s="206"/>
    </row>
    <row r="14" customFormat="false" ht="23" hidden="false" customHeight="true" outlineLevel="0" collapsed="false">
      <c r="A14" s="0" t="n">
        <v>30</v>
      </c>
      <c r="B14" s="31" t="n">
        <v>37377</v>
      </c>
      <c r="C14" s="1" t="n">
        <v>17250</v>
      </c>
      <c r="D14" s="1" t="s">
        <v>42</v>
      </c>
      <c r="E14" s="33" t="n">
        <f aca="false">IF(D14="totale",(C14/(A14*24))/F14,IF(D14="marché libre",(C14/(A14*24))/G14,"spécifier histo"))</f>
        <v>0.0958333333333333</v>
      </c>
      <c r="F14" s="59" t="n">
        <v>250</v>
      </c>
      <c r="G14" s="59" t="n">
        <f aca="false">F14-H14</f>
        <v>250</v>
      </c>
      <c r="H14" s="59" t="n">
        <v>0</v>
      </c>
      <c r="I14" s="9"/>
      <c r="J14" s="205"/>
      <c r="K14" s="206"/>
    </row>
    <row r="15" customFormat="false" ht="23" hidden="false" customHeight="true" outlineLevel="0" collapsed="false">
      <c r="A15" s="0" t="n">
        <v>31</v>
      </c>
      <c r="B15" s="34" t="n">
        <v>37408</v>
      </c>
      <c r="C15" s="1" t="n">
        <v>12765</v>
      </c>
      <c r="D15" s="1" t="s">
        <v>42</v>
      </c>
      <c r="E15" s="33" t="n">
        <f aca="false">IF(D15="totale",(C15/(A15*24))/F15,IF(D15="marché libre",(C15/(A15*24))/G15,"spécifier histo"))</f>
        <v>0.0686290322580645</v>
      </c>
      <c r="F15" s="59" t="n">
        <v>250</v>
      </c>
      <c r="G15" s="59" t="n">
        <f aca="false">F15-H15</f>
        <v>250</v>
      </c>
      <c r="H15" s="59" t="n">
        <v>0</v>
      </c>
      <c r="I15" s="9"/>
      <c r="J15" s="205"/>
      <c r="K15" s="206"/>
    </row>
    <row r="16" customFormat="false" ht="23" hidden="false" customHeight="true" outlineLevel="0" collapsed="false">
      <c r="A16" s="0" t="n">
        <v>31</v>
      </c>
      <c r="B16" s="31" t="n">
        <v>37438</v>
      </c>
      <c r="C16" s="1" t="n">
        <v>0</v>
      </c>
      <c r="D16" s="1" t="s">
        <v>42</v>
      </c>
      <c r="E16" s="33" t="n">
        <f aca="false">IF(D16="totale",(C16/(A16*24))/F16,IF(D16="marché libre",(C16/(A16*24))/G16,"spécifier histo"))</f>
        <v>0</v>
      </c>
      <c r="F16" s="59" t="n">
        <v>250</v>
      </c>
      <c r="G16" s="59" t="n">
        <f aca="false">F16-H16</f>
        <v>250</v>
      </c>
      <c r="H16" s="59" t="n">
        <v>0</v>
      </c>
      <c r="I16" s="9"/>
      <c r="J16" s="205"/>
      <c r="K16" s="206"/>
    </row>
    <row r="17" customFormat="false" ht="23" hidden="false" customHeight="true" outlineLevel="0" collapsed="false">
      <c r="A17" s="0" t="n">
        <v>31</v>
      </c>
      <c r="B17" s="34" t="n">
        <v>37469</v>
      </c>
      <c r="C17" s="1" t="n">
        <v>0</v>
      </c>
      <c r="D17" s="1" t="s">
        <v>42</v>
      </c>
      <c r="E17" s="33" t="n">
        <f aca="false">IF(D17="totale",(C17/(A17*24))/F17,IF(D17="marché libre",(C17/(A17*24))/G17,"spécifier histo"))</f>
        <v>0</v>
      </c>
      <c r="F17" s="59" t="n">
        <v>250</v>
      </c>
      <c r="G17" s="59" t="n">
        <f aca="false">F17-H17</f>
        <v>250</v>
      </c>
      <c r="H17" s="59" t="n">
        <v>0</v>
      </c>
      <c r="I17" s="9"/>
      <c r="J17" s="205"/>
      <c r="K17" s="206"/>
    </row>
    <row r="18" customFormat="false" ht="23" hidden="false" customHeight="true" outlineLevel="0" collapsed="false">
      <c r="A18" s="0" t="n">
        <v>30</v>
      </c>
      <c r="B18" s="31" t="n">
        <v>37500</v>
      </c>
      <c r="C18" s="1" t="n">
        <v>0</v>
      </c>
      <c r="D18" s="1" t="s">
        <v>42</v>
      </c>
      <c r="E18" s="33" t="n">
        <f aca="false">IF(D18="totale",(C18/(A18*24))/F18,IF(D18="marché libre",(C18/(A18*24))/G18,"spécifier histo"))</f>
        <v>0</v>
      </c>
      <c r="F18" s="59" t="n">
        <v>250</v>
      </c>
      <c r="G18" s="59" t="n">
        <f aca="false">F18-H18</f>
        <v>250</v>
      </c>
      <c r="H18" s="59" t="n">
        <v>0</v>
      </c>
      <c r="I18" s="9"/>
      <c r="J18" s="205"/>
      <c r="K18" s="206"/>
    </row>
    <row r="19" customFormat="false" ht="23" hidden="false" customHeight="true" outlineLevel="0" collapsed="false">
      <c r="A19" s="0" t="n">
        <v>31</v>
      </c>
      <c r="B19" s="34" t="n">
        <v>37530</v>
      </c>
      <c r="C19" s="1" t="n">
        <v>45665</v>
      </c>
      <c r="D19" s="1" t="s">
        <v>42</v>
      </c>
      <c r="E19" s="33" t="n">
        <f aca="false">IF(D19="totale",(C19/(A19*24))/F19,IF(D19="marché libre",(C19/(A19*24))/G19,"spécifier histo"))</f>
        <v>0.245510752688172</v>
      </c>
      <c r="F19" s="59" t="n">
        <v>250</v>
      </c>
      <c r="G19" s="59" t="n">
        <f aca="false">F19-H19</f>
        <v>250</v>
      </c>
      <c r="H19" s="59" t="n">
        <v>0</v>
      </c>
      <c r="I19" s="9"/>
      <c r="J19" s="205"/>
      <c r="K19" s="206"/>
    </row>
    <row r="20" customFormat="false" ht="23" hidden="false" customHeight="true" outlineLevel="0" collapsed="false">
      <c r="A20" s="0" t="n">
        <v>30</v>
      </c>
      <c r="B20" s="31" t="n">
        <v>37561</v>
      </c>
      <c r="C20" s="1" t="n">
        <v>85365</v>
      </c>
      <c r="D20" s="1" t="s">
        <v>42</v>
      </c>
      <c r="E20" s="33" t="n">
        <f aca="false">IF(D20="totale",(C20/(A20*24))/F20,IF(D20="marché libre",(C20/(A20*24))/G20,"spécifier histo"))</f>
        <v>0.47425</v>
      </c>
      <c r="F20" s="59" t="n">
        <v>250</v>
      </c>
      <c r="G20" s="59" t="n">
        <f aca="false">F20-H20</f>
        <v>250</v>
      </c>
      <c r="H20" s="59" t="n">
        <v>0</v>
      </c>
      <c r="I20" s="9"/>
      <c r="J20" s="205"/>
      <c r="K20" s="206"/>
    </row>
    <row r="21" customFormat="false" ht="23" hidden="false" customHeight="true" outlineLevel="0" collapsed="false">
      <c r="A21" s="0" t="n">
        <v>31</v>
      </c>
      <c r="B21" s="34" t="n">
        <v>37591</v>
      </c>
      <c r="C21" s="1" t="n">
        <v>117045</v>
      </c>
      <c r="D21" s="1" t="s">
        <v>42</v>
      </c>
      <c r="E21" s="33" t="n">
        <f aca="false">IF(D21="totale",(C21/(A21*24))/F21,IF(D21="marché libre",(C21/(A21*24))/G21,"spécifier histo"))</f>
        <v>0.629274193548387</v>
      </c>
      <c r="F21" s="59" t="n">
        <v>250</v>
      </c>
      <c r="G21" s="59" t="n">
        <f aca="false">F21-H21</f>
        <v>250</v>
      </c>
      <c r="H21" s="59" t="n">
        <v>0</v>
      </c>
      <c r="I21" s="9"/>
      <c r="J21" s="205"/>
      <c r="K21" s="206"/>
    </row>
    <row r="22" customFormat="false" ht="23" hidden="false" customHeight="true" outlineLevel="0" collapsed="false">
      <c r="A22" s="0" t="n">
        <v>31</v>
      </c>
      <c r="B22" s="31" t="n">
        <v>37622</v>
      </c>
      <c r="C22" s="1" t="n">
        <v>77395</v>
      </c>
      <c r="D22" s="1" t="s">
        <v>42</v>
      </c>
      <c r="E22" s="33" t="n">
        <f aca="false">IF(D22="totale",(C22/(A22*24))/F22,IF(D22="marché libre",(C22/(A22*24))/G22,"spécifier histo"))</f>
        <v>0.416102150537634</v>
      </c>
      <c r="F22" s="59" t="n">
        <v>250</v>
      </c>
      <c r="G22" s="59" t="n">
        <f aca="false">F22-H22</f>
        <v>250</v>
      </c>
      <c r="H22" s="59" t="n">
        <v>0</v>
      </c>
      <c r="I22" s="9"/>
      <c r="J22" s="205"/>
      <c r="K22" s="206"/>
    </row>
    <row r="23" customFormat="false" ht="23" hidden="false" customHeight="true" outlineLevel="0" collapsed="false">
      <c r="A23" s="0" t="n">
        <v>28</v>
      </c>
      <c r="B23" s="34" t="n">
        <v>37653</v>
      </c>
      <c r="C23" s="1" t="n">
        <v>45125</v>
      </c>
      <c r="D23" s="1" t="s">
        <v>42</v>
      </c>
      <c r="E23" s="33" t="n">
        <f aca="false">IF(D23="totale",(C23/(A23*24))/F23,IF(D23="marché libre",(C23/(A23*24))/G23,"spécifier histo"))</f>
        <v>0.26860119047619</v>
      </c>
      <c r="F23" s="59" t="n">
        <v>250</v>
      </c>
      <c r="G23" s="59" t="n">
        <f aca="false">F23-H23</f>
        <v>250</v>
      </c>
      <c r="H23" s="59" t="n">
        <v>0</v>
      </c>
      <c r="I23" s="9"/>
      <c r="J23" s="205"/>
      <c r="K23" s="206"/>
    </row>
    <row r="24" customFormat="false" ht="23" hidden="false" customHeight="true" outlineLevel="0" collapsed="false">
      <c r="A24" s="0" t="n">
        <v>31</v>
      </c>
      <c r="B24" s="31" t="n">
        <v>37681</v>
      </c>
      <c r="C24" s="1" t="n">
        <v>98855</v>
      </c>
      <c r="D24" s="1" t="s">
        <v>42</v>
      </c>
      <c r="E24" s="33" t="n">
        <f aca="false">IF(D24="totale",(C24/(A24*24))/F24,IF(D24="marché libre",(C24/(A24*24))/G24,"spécifier histo"))</f>
        <v>0.531478494623656</v>
      </c>
      <c r="F24" s="59" t="n">
        <v>250</v>
      </c>
      <c r="G24" s="59" t="n">
        <f aca="false">F24-H24</f>
        <v>250</v>
      </c>
      <c r="H24" s="59" t="n">
        <v>0</v>
      </c>
      <c r="I24" s="9"/>
      <c r="J24" s="205"/>
      <c r="K24" s="206"/>
    </row>
    <row r="25" customFormat="false" ht="23" hidden="false" customHeight="true" outlineLevel="0" collapsed="false">
      <c r="A25" s="0" t="n">
        <v>30</v>
      </c>
      <c r="B25" s="34" t="n">
        <v>37712</v>
      </c>
      <c r="C25" s="1" t="n">
        <v>50165</v>
      </c>
      <c r="D25" s="1" t="s">
        <v>42</v>
      </c>
      <c r="E25" s="33" t="n">
        <f aca="false">IF(D25="totale",(C25/(A25*24))/F25,IF(D25="marché libre",(C25/(A25*24))/G25,"spécifier histo"))</f>
        <v>0.278694444444444</v>
      </c>
      <c r="F25" s="59" t="n">
        <v>250</v>
      </c>
      <c r="G25" s="59" t="n">
        <f aca="false">F25-H25</f>
        <v>250</v>
      </c>
      <c r="H25" s="59" t="n">
        <v>0</v>
      </c>
      <c r="I25" s="9"/>
      <c r="J25" s="205"/>
      <c r="K25" s="206"/>
    </row>
    <row r="26" customFormat="false" ht="23" hidden="false" customHeight="true" outlineLevel="0" collapsed="false">
      <c r="A26" s="0" t="n">
        <v>31</v>
      </c>
      <c r="B26" s="31" t="n">
        <v>37742</v>
      </c>
      <c r="C26" s="1" t="n">
        <v>28710</v>
      </c>
      <c r="D26" s="1" t="s">
        <v>42</v>
      </c>
      <c r="E26" s="33" t="n">
        <f aca="false">IF(D26="totale",(C26/(A26*24))/F26,IF(D26="marché libre",(C26/(A26*24))/G26,"spécifier histo"))</f>
        <v>0.154354838709677</v>
      </c>
      <c r="F26" s="59" t="n">
        <v>250</v>
      </c>
      <c r="G26" s="59" t="n">
        <f aca="false">F26-H26</f>
        <v>250</v>
      </c>
      <c r="H26" s="59" t="n">
        <v>0</v>
      </c>
      <c r="I26" s="9"/>
      <c r="J26" s="205"/>
      <c r="K26" s="206"/>
    </row>
    <row r="27" customFormat="false" ht="23" hidden="false" customHeight="true" outlineLevel="0" collapsed="false">
      <c r="A27" s="0" t="n">
        <v>30</v>
      </c>
      <c r="B27" s="34" t="n">
        <v>37773</v>
      </c>
      <c r="C27" s="1" t="n">
        <v>0</v>
      </c>
      <c r="D27" s="1" t="s">
        <v>42</v>
      </c>
      <c r="E27" s="33" t="n">
        <f aca="false">IF(D27="totale",(C27/(A27*24))/F27,IF(D27="marché libre",(C27/(A27*24))/G27,"spécifier histo"))</f>
        <v>0</v>
      </c>
      <c r="F27" s="59" t="n">
        <v>250</v>
      </c>
      <c r="G27" s="59" t="n">
        <f aca="false">F27-H27</f>
        <v>250</v>
      </c>
      <c r="H27" s="59" t="n">
        <v>0</v>
      </c>
      <c r="I27" s="9"/>
      <c r="J27" s="205"/>
      <c r="K27" s="206"/>
    </row>
    <row r="28" customFormat="false" ht="23" hidden="false" customHeight="true" outlineLevel="0" collapsed="false">
      <c r="A28" s="0" t="n">
        <v>31</v>
      </c>
      <c r="B28" s="31" t="n">
        <v>37803</v>
      </c>
      <c r="C28" s="1" t="n">
        <v>0</v>
      </c>
      <c r="D28" s="1" t="s">
        <v>42</v>
      </c>
      <c r="E28" s="33" t="n">
        <f aca="false">IF(D28="totale",(C28/(A28*24))/F28,IF(D28="marché libre",(C28/(A28*24))/G28,"spécifier histo"))</f>
        <v>0</v>
      </c>
      <c r="F28" s="59" t="n">
        <v>250</v>
      </c>
      <c r="G28" s="59" t="n">
        <f aca="false">F28-H28</f>
        <v>250</v>
      </c>
      <c r="H28" s="59" t="n">
        <v>0</v>
      </c>
      <c r="I28" s="9"/>
      <c r="J28" s="205"/>
      <c r="K28" s="206"/>
    </row>
    <row r="29" customFormat="false" ht="23" hidden="false" customHeight="true" outlineLevel="0" collapsed="false">
      <c r="A29" s="0" t="n">
        <v>31</v>
      </c>
      <c r="B29" s="34" t="n">
        <v>37834</v>
      </c>
      <c r="C29" s="1" t="n">
        <v>0</v>
      </c>
      <c r="D29" s="1" t="s">
        <v>42</v>
      </c>
      <c r="E29" s="33" t="n">
        <f aca="false">IF(D29="totale",(C29/(A29*24))/F29,IF(D29="marché libre",(C29/(A29*24))/G29,"spécifier histo"))</f>
        <v>0</v>
      </c>
      <c r="F29" s="59" t="n">
        <v>250</v>
      </c>
      <c r="G29" s="59" t="n">
        <f aca="false">F29-H29</f>
        <v>250</v>
      </c>
      <c r="H29" s="59" t="n">
        <v>0</v>
      </c>
      <c r="I29" s="9"/>
      <c r="J29" s="205"/>
      <c r="K29" s="206"/>
    </row>
    <row r="30" customFormat="false" ht="23" hidden="false" customHeight="true" outlineLevel="0" collapsed="false">
      <c r="A30" s="0" t="n">
        <v>30</v>
      </c>
      <c r="B30" s="31" t="n">
        <v>37865</v>
      </c>
      <c r="C30" s="1" t="n">
        <v>0</v>
      </c>
      <c r="D30" s="1" t="s">
        <v>42</v>
      </c>
      <c r="E30" s="33" t="n">
        <f aca="false">IF(D30="totale",(C30/(A30*24))/F30,IF(D30="marché libre",(C30/(A30*24))/G30,"spécifier histo"))</f>
        <v>0</v>
      </c>
      <c r="F30" s="59" t="n">
        <v>250</v>
      </c>
      <c r="G30" s="59" t="n">
        <f aca="false">F30-H30</f>
        <v>250</v>
      </c>
      <c r="H30" s="59" t="n">
        <v>0</v>
      </c>
      <c r="I30" s="9"/>
      <c r="J30" s="205"/>
      <c r="K30" s="206"/>
    </row>
    <row r="31" customFormat="false" ht="23" hidden="false" customHeight="true" outlineLevel="0" collapsed="false">
      <c r="A31" s="0" t="n">
        <v>31</v>
      </c>
      <c r="B31" s="34" t="n">
        <v>37895</v>
      </c>
      <c r="C31" s="1" t="n">
        <v>29450</v>
      </c>
      <c r="D31" s="1" t="s">
        <v>42</v>
      </c>
      <c r="E31" s="33" t="n">
        <f aca="false">IF(D31="totale",(C31/(A31*24))/F31,IF(D31="marché libre",(C31/(A31*24))/G31,"spécifier histo"))</f>
        <v>0.158333333333333</v>
      </c>
      <c r="F31" s="59" t="n">
        <v>250</v>
      </c>
      <c r="G31" s="59" t="n">
        <f aca="false">F31-H31</f>
        <v>250</v>
      </c>
      <c r="H31" s="59" t="n">
        <v>0</v>
      </c>
      <c r="I31" s="9"/>
      <c r="J31" s="205"/>
      <c r="K31" s="206"/>
    </row>
    <row r="32" customFormat="false" ht="23" hidden="false" customHeight="true" outlineLevel="0" collapsed="false">
      <c r="A32" s="0" t="n">
        <v>30</v>
      </c>
      <c r="B32" s="31" t="n">
        <v>37926</v>
      </c>
      <c r="C32" s="1" t="n">
        <v>102065</v>
      </c>
      <c r="D32" s="1" t="s">
        <v>42</v>
      </c>
      <c r="E32" s="33" t="n">
        <f aca="false">IF(D32="totale",(C32/(A32*24))/F32,IF(D32="marché libre",(C32/(A32*24))/G32,"spécifier histo"))</f>
        <v>0.567027777777778</v>
      </c>
      <c r="F32" s="59" t="n">
        <v>250</v>
      </c>
      <c r="G32" s="59" t="n">
        <f aca="false">F32-H32</f>
        <v>250</v>
      </c>
      <c r="H32" s="59" t="n">
        <v>0</v>
      </c>
      <c r="I32" s="9"/>
      <c r="J32" s="205"/>
      <c r="K32" s="206"/>
    </row>
    <row r="33" customFormat="false" ht="23" hidden="false" customHeight="true" outlineLevel="0" collapsed="false">
      <c r="A33" s="0" t="n">
        <v>31</v>
      </c>
      <c r="B33" s="34" t="n">
        <v>37956</v>
      </c>
      <c r="C33" s="1" t="n">
        <v>110110</v>
      </c>
      <c r="D33" s="1" t="s">
        <v>42</v>
      </c>
      <c r="E33" s="33" t="n">
        <f aca="false">IF(D33="totale",(C33/(A33*24))/F33,IF(D33="marché libre",(C33/(A33*24))/G33,"spécifier histo"))</f>
        <v>0.591989247311828</v>
      </c>
      <c r="F33" s="59" t="n">
        <v>250</v>
      </c>
      <c r="G33" s="59" t="n">
        <f aca="false">F33-H33</f>
        <v>250</v>
      </c>
      <c r="H33" s="59" t="n">
        <v>0</v>
      </c>
      <c r="I33" s="9"/>
      <c r="J33" s="205"/>
      <c r="K33" s="206"/>
    </row>
    <row r="34" customFormat="false" ht="23" hidden="false" customHeight="true" outlineLevel="0" collapsed="false">
      <c r="A34" s="0" t="n">
        <v>31</v>
      </c>
      <c r="B34" s="31" t="n">
        <v>37987</v>
      </c>
      <c r="C34" s="1" t="n">
        <v>97940</v>
      </c>
      <c r="D34" s="1" t="s">
        <v>42</v>
      </c>
      <c r="E34" s="33" t="n">
        <f aca="false">IF(D34="totale",(C34/(A34*24))/F34,IF(D34="marché libre",(C34/(A34*24))/G34,"spécifier histo"))</f>
        <v>0.526559139784946</v>
      </c>
      <c r="F34" s="59" t="n">
        <v>250</v>
      </c>
      <c r="G34" s="59" t="n">
        <f aca="false">F34-H34</f>
        <v>250</v>
      </c>
      <c r="H34" s="59" t="n">
        <v>0</v>
      </c>
      <c r="I34" s="9"/>
      <c r="J34" s="205"/>
      <c r="K34" s="206"/>
    </row>
    <row r="35" customFormat="false" ht="23" hidden="false" customHeight="true" outlineLevel="0" collapsed="false">
      <c r="A35" s="0" t="n">
        <v>28</v>
      </c>
      <c r="B35" s="34" t="n">
        <v>38018</v>
      </c>
      <c r="C35" s="1" t="n">
        <v>41550</v>
      </c>
      <c r="D35" s="1" t="s">
        <v>42</v>
      </c>
      <c r="E35" s="33" t="n">
        <f aca="false">IF(D35="totale",(C35/(A35*24))/F35,IF(D35="marché libre",(C35/(A35*24))/G35,"spécifier histo"))</f>
        <v>0.247321428571429</v>
      </c>
      <c r="F35" s="59" t="n">
        <v>250</v>
      </c>
      <c r="G35" s="59" t="n">
        <f aca="false">F35-H35</f>
        <v>250</v>
      </c>
      <c r="H35" s="59" t="n">
        <v>0</v>
      </c>
      <c r="I35" s="9"/>
      <c r="J35" s="205"/>
      <c r="K35" s="206"/>
    </row>
    <row r="36" customFormat="false" ht="23" hidden="false" customHeight="true" outlineLevel="0" collapsed="false">
      <c r="A36" s="0" t="n">
        <v>31</v>
      </c>
      <c r="B36" s="31" t="n">
        <v>38047</v>
      </c>
      <c r="C36" s="1" t="n">
        <v>128305</v>
      </c>
      <c r="D36" s="1" t="s">
        <v>42</v>
      </c>
      <c r="E36" s="33" t="n">
        <f aca="false">IF(D36="totale",(C36/(A36*24))/F36,IF(D36="marché libre",(C36/(A36*24))/G36,"spécifier histo"))</f>
        <v>0.689811827956989</v>
      </c>
      <c r="F36" s="59" t="n">
        <v>250</v>
      </c>
      <c r="G36" s="59" t="n">
        <f aca="false">F36-H36</f>
        <v>250</v>
      </c>
      <c r="H36" s="59" t="n">
        <v>0</v>
      </c>
      <c r="I36" s="9"/>
      <c r="J36" s="205"/>
      <c r="K36" s="206"/>
    </row>
    <row r="37" customFormat="false" ht="23" hidden="false" customHeight="true" outlineLevel="0" collapsed="false">
      <c r="A37" s="0" t="n">
        <v>30</v>
      </c>
      <c r="B37" s="34" t="n">
        <v>38078</v>
      </c>
      <c r="C37" s="1" t="n">
        <v>92875</v>
      </c>
      <c r="D37" s="1" t="s">
        <v>42</v>
      </c>
      <c r="E37" s="33" t="n">
        <f aca="false">IF(D37="totale",(C37/(A37*24))/F37,IF(D37="marché libre",(C37/(A37*24))/G37,"spécifier histo"))</f>
        <v>0.515972222222222</v>
      </c>
      <c r="F37" s="59" t="n">
        <v>250</v>
      </c>
      <c r="G37" s="59" t="n">
        <f aca="false">F37-H37</f>
        <v>250</v>
      </c>
      <c r="H37" s="59" t="n">
        <v>0</v>
      </c>
      <c r="I37" s="9"/>
      <c r="J37" s="205"/>
      <c r="K37" s="206"/>
    </row>
    <row r="38" customFormat="false" ht="23" hidden="false" customHeight="true" outlineLevel="0" collapsed="false">
      <c r="A38" s="0" t="n">
        <v>31</v>
      </c>
      <c r="B38" s="31" t="n">
        <v>38108</v>
      </c>
      <c r="C38" s="1" t="n">
        <v>81865</v>
      </c>
      <c r="D38" s="1" t="s">
        <v>42</v>
      </c>
      <c r="E38" s="33" t="n">
        <f aca="false">IF(D38="totale",(C38/(A38*24))/F38,IF(D38="marché libre",(C38/(A38*24))/G38,"spécifier histo"))</f>
        <v>0.440134408602151</v>
      </c>
      <c r="F38" s="59" t="n">
        <v>250</v>
      </c>
      <c r="G38" s="59" t="n">
        <f aca="false">F38-H38</f>
        <v>250</v>
      </c>
      <c r="H38" s="59" t="n">
        <v>0</v>
      </c>
      <c r="I38" s="9"/>
      <c r="J38" s="205"/>
      <c r="K38" s="206"/>
    </row>
    <row r="39" customFormat="false" ht="23" hidden="false" customHeight="true" outlineLevel="0" collapsed="false">
      <c r="A39" s="0" t="n">
        <v>30</v>
      </c>
      <c r="B39" s="34" t="n">
        <v>38139</v>
      </c>
      <c r="C39" s="1" t="n">
        <v>0</v>
      </c>
      <c r="D39" s="1" t="s">
        <v>42</v>
      </c>
      <c r="E39" s="33" t="n">
        <f aca="false">IF(D39="totale",(C39/(A39*24))/F39,IF(D39="marché libre",(C39/(A39*24))/G39,"spécifier histo"))</f>
        <v>0</v>
      </c>
      <c r="F39" s="59" t="n">
        <v>250</v>
      </c>
      <c r="G39" s="59" t="n">
        <f aca="false">F39-H39</f>
        <v>250</v>
      </c>
      <c r="H39" s="59" t="n">
        <v>0</v>
      </c>
      <c r="I39" s="9"/>
      <c r="J39" s="205"/>
      <c r="K39" s="206"/>
    </row>
    <row r="40" customFormat="false" ht="23" hidden="false" customHeight="true" outlineLevel="0" collapsed="false">
      <c r="A40" s="0" t="n">
        <v>31</v>
      </c>
      <c r="B40" s="31" t="n">
        <v>38169</v>
      </c>
      <c r="C40" s="1" t="n">
        <v>0</v>
      </c>
      <c r="D40" s="1" t="s">
        <v>42</v>
      </c>
      <c r="E40" s="33" t="n">
        <f aca="false">IF(D40="totale",(C40/(A40*24))/F40,IF(D40="marché libre",(C40/(A40*24))/G40,"spécifier histo"))</f>
        <v>0</v>
      </c>
      <c r="F40" s="59" t="n">
        <v>250</v>
      </c>
      <c r="G40" s="59" t="n">
        <f aca="false">F40-H40</f>
        <v>250</v>
      </c>
      <c r="H40" s="59" t="n">
        <v>0</v>
      </c>
      <c r="I40" s="9"/>
      <c r="J40" s="205"/>
      <c r="K40" s="206"/>
    </row>
    <row r="41" customFormat="false" ht="23" hidden="false" customHeight="true" outlineLevel="0" collapsed="false">
      <c r="A41" s="0" t="n">
        <v>31</v>
      </c>
      <c r="B41" s="34" t="n">
        <v>38200</v>
      </c>
      <c r="C41" s="1" t="n">
        <v>0</v>
      </c>
      <c r="D41" s="1" t="s">
        <v>42</v>
      </c>
      <c r="E41" s="33" t="n">
        <f aca="false">IF(D41="totale",(C41/(A41*24))/F41,IF(D41="marché libre",(C41/(A41*24))/G41,"spécifier histo"))</f>
        <v>0</v>
      </c>
      <c r="F41" s="59" t="n">
        <v>250</v>
      </c>
      <c r="G41" s="59" t="n">
        <f aca="false">F41-H41</f>
        <v>250</v>
      </c>
      <c r="H41" s="59" t="n">
        <v>0</v>
      </c>
      <c r="I41" s="9"/>
      <c r="J41" s="205"/>
      <c r="K41" s="206"/>
    </row>
    <row r="42" customFormat="false" ht="23" hidden="false" customHeight="true" outlineLevel="0" collapsed="false">
      <c r="A42" s="0" t="n">
        <v>30</v>
      </c>
      <c r="B42" s="31" t="n">
        <v>38231</v>
      </c>
      <c r="C42" s="1" t="n">
        <v>0</v>
      </c>
      <c r="D42" s="1" t="s">
        <v>42</v>
      </c>
      <c r="E42" s="33" t="n">
        <f aca="false">IF(D42="totale",(C42/(A42*24))/F42,IF(D42="marché libre",(C42/(A42*24))/G42,"spécifier histo"))</f>
        <v>0</v>
      </c>
      <c r="F42" s="59" t="n">
        <v>250</v>
      </c>
      <c r="G42" s="59" t="n">
        <f aca="false">F42-H42</f>
        <v>250</v>
      </c>
      <c r="H42" s="59" t="n">
        <v>0</v>
      </c>
      <c r="I42" s="9"/>
      <c r="J42" s="205"/>
      <c r="K42" s="206"/>
    </row>
    <row r="43" customFormat="false" ht="23" hidden="false" customHeight="true" outlineLevel="0" collapsed="false">
      <c r="A43" s="0" t="n">
        <v>31</v>
      </c>
      <c r="B43" s="34" t="n">
        <v>38261</v>
      </c>
      <c r="C43" s="1" t="n">
        <v>10790</v>
      </c>
      <c r="D43" s="1" t="s">
        <v>42</v>
      </c>
      <c r="E43" s="33" t="n">
        <f aca="false">IF(D43="totale",(C43/(A43*24))/F43,IF(D43="marché libre",(C43/(A43*24))/G43,"spécifier histo"))</f>
        <v>0.058010752688172</v>
      </c>
      <c r="F43" s="59" t="n">
        <v>250</v>
      </c>
      <c r="G43" s="59" t="n">
        <f aca="false">F43-H43</f>
        <v>250</v>
      </c>
      <c r="H43" s="59" t="n">
        <v>0</v>
      </c>
      <c r="I43" s="9"/>
      <c r="J43" s="205"/>
      <c r="K43" s="206"/>
    </row>
    <row r="44" customFormat="false" ht="23" hidden="false" customHeight="true" outlineLevel="0" collapsed="false">
      <c r="A44" s="0" t="n">
        <v>30</v>
      </c>
      <c r="B44" s="31" t="n">
        <v>38292</v>
      </c>
      <c r="C44" s="1" t="n">
        <v>36580</v>
      </c>
      <c r="D44" s="1" t="s">
        <v>42</v>
      </c>
      <c r="E44" s="33" t="n">
        <f aca="false">IF(D44="totale",(C44/(A44*24))/F44,IF(D44="marché libre",(C44/(A44*24))/G44,"spécifier histo"))</f>
        <v>0.203222222222222</v>
      </c>
      <c r="F44" s="59" t="n">
        <v>250</v>
      </c>
      <c r="G44" s="59" t="n">
        <f aca="false">F44-H44</f>
        <v>250</v>
      </c>
      <c r="H44" s="59" t="n">
        <v>0</v>
      </c>
      <c r="I44" s="9"/>
      <c r="J44" s="205"/>
      <c r="K44" s="206"/>
    </row>
    <row r="45" customFormat="false" ht="23" hidden="false" customHeight="true" outlineLevel="0" collapsed="false">
      <c r="A45" s="0" t="n">
        <v>31</v>
      </c>
      <c r="B45" s="34" t="n">
        <v>38322</v>
      </c>
      <c r="C45" s="1" t="n">
        <v>21035</v>
      </c>
      <c r="D45" s="1" t="s">
        <v>42</v>
      </c>
      <c r="E45" s="33" t="n">
        <f aca="false">IF(D45="totale",(C45/(A45*24))/F45,IF(D45="marché libre",(C45/(A45*24))/G45,"spécifier histo"))</f>
        <v>0.113091397849462</v>
      </c>
      <c r="F45" s="59" t="n">
        <v>250</v>
      </c>
      <c r="G45" s="59" t="n">
        <f aca="false">F45-H45</f>
        <v>250</v>
      </c>
      <c r="H45" s="59" t="n">
        <v>0</v>
      </c>
      <c r="I45" s="9"/>
      <c r="J45" s="205"/>
      <c r="K45" s="206"/>
    </row>
    <row r="46" customFormat="false" ht="23" hidden="false" customHeight="true" outlineLevel="0" collapsed="false">
      <c r="A46" s="0" t="n">
        <v>31</v>
      </c>
      <c r="B46" s="31" t="n">
        <v>38353</v>
      </c>
      <c r="C46" s="1" t="n">
        <v>16180</v>
      </c>
      <c r="D46" s="1" t="s">
        <v>42</v>
      </c>
      <c r="E46" s="33" t="n">
        <f aca="false">IF(D46="totale",(C46/(A46*24))/F46,IF(D46="marché libre",(C46/(A46*24))/G46,"spécifier histo"))</f>
        <v>0.086989247311828</v>
      </c>
      <c r="F46" s="59" t="n">
        <v>250</v>
      </c>
      <c r="G46" s="59" t="n">
        <f aca="false">F46-H46</f>
        <v>250</v>
      </c>
      <c r="H46" s="59" t="n">
        <v>0</v>
      </c>
      <c r="I46" s="9"/>
      <c r="J46" s="205"/>
      <c r="K46" s="206"/>
    </row>
    <row r="47" customFormat="false" ht="23" hidden="false" customHeight="true" outlineLevel="0" collapsed="false">
      <c r="A47" s="0" t="n">
        <v>28</v>
      </c>
      <c r="B47" s="34" t="n">
        <v>38384</v>
      </c>
      <c r="C47" s="1" t="n">
        <v>1480</v>
      </c>
      <c r="D47" s="1" t="s">
        <v>42</v>
      </c>
      <c r="E47" s="33" t="n">
        <f aca="false">IF(D47="totale",(C47/(A47*24))/F47,IF(D47="marché libre",(C47/(A47*24))/G47,"spécifier histo"))</f>
        <v>0.00880952380952381</v>
      </c>
      <c r="F47" s="59" t="n">
        <v>250</v>
      </c>
      <c r="G47" s="59" t="n">
        <f aca="false">F47-H47</f>
        <v>250</v>
      </c>
      <c r="H47" s="59" t="n">
        <v>0</v>
      </c>
      <c r="I47" s="9"/>
      <c r="J47" s="205"/>
      <c r="K47" s="206"/>
    </row>
    <row r="48" customFormat="false" ht="23" hidden="false" customHeight="true" outlineLevel="0" collapsed="false">
      <c r="A48" s="0" t="n">
        <v>31</v>
      </c>
      <c r="B48" s="31" t="n">
        <v>38412</v>
      </c>
      <c r="C48" s="1" t="n">
        <v>0</v>
      </c>
      <c r="D48" s="1" t="s">
        <v>42</v>
      </c>
      <c r="E48" s="33" t="n">
        <f aca="false">IF(D48="totale",(C48/(A48*24))/F48,IF(D48="marché libre",(C48/(A48*24))/G48,"spécifier histo"))</f>
        <v>0</v>
      </c>
      <c r="F48" s="59" t="n">
        <v>250</v>
      </c>
      <c r="G48" s="59" t="n">
        <f aca="false">F48-H48</f>
        <v>250</v>
      </c>
      <c r="H48" s="59" t="n">
        <v>0</v>
      </c>
      <c r="I48" s="9"/>
      <c r="J48" s="205"/>
      <c r="K48" s="206"/>
    </row>
    <row r="49" customFormat="false" ht="23" hidden="false" customHeight="true" outlineLevel="0" collapsed="false">
      <c r="A49" s="0" t="n">
        <v>30</v>
      </c>
      <c r="B49" s="34" t="n">
        <v>38443</v>
      </c>
      <c r="C49" s="1" t="n">
        <v>5805</v>
      </c>
      <c r="D49" s="1" t="s">
        <v>42</v>
      </c>
      <c r="E49" s="33" t="n">
        <f aca="false">IF(D49="totale",(C49/(A49*24))/F49,IF(D49="marché libre",(C49/(A49*24))/G49,"spécifier histo"))</f>
        <v>0.03225</v>
      </c>
      <c r="F49" s="59" t="n">
        <v>250</v>
      </c>
      <c r="G49" s="59" t="n">
        <f aca="false">F49-H49</f>
        <v>250</v>
      </c>
      <c r="H49" s="59" t="n">
        <v>0</v>
      </c>
      <c r="I49" s="9"/>
      <c r="J49" s="205"/>
      <c r="K49" s="206"/>
    </row>
    <row r="50" customFormat="false" ht="23" hidden="false" customHeight="true" outlineLevel="0" collapsed="false">
      <c r="A50" s="0" t="n">
        <v>31</v>
      </c>
      <c r="B50" s="31" t="n">
        <v>38473</v>
      </c>
      <c r="C50" s="1" t="n">
        <v>9290</v>
      </c>
      <c r="D50" s="1" t="s">
        <v>42</v>
      </c>
      <c r="E50" s="33" t="n">
        <f aca="false">IF(D50="totale",(C50/(A50*24))/F50,IF(D50="marché libre",(C50/(A50*24))/G50,"spécifier histo"))</f>
        <v>0.0499462365591398</v>
      </c>
      <c r="F50" s="59" t="n">
        <v>250</v>
      </c>
      <c r="G50" s="59" t="n">
        <f aca="false">F50-H50</f>
        <v>250</v>
      </c>
      <c r="H50" s="59" t="n">
        <v>0</v>
      </c>
      <c r="I50" s="9"/>
      <c r="J50" s="205"/>
      <c r="K50" s="206"/>
    </row>
    <row r="51" customFormat="false" ht="23" hidden="false" customHeight="true" outlineLevel="0" collapsed="false">
      <c r="A51" s="0" t="n">
        <v>30</v>
      </c>
      <c r="B51" s="34" t="n">
        <v>38504</v>
      </c>
      <c r="C51" s="1" t="n">
        <v>0</v>
      </c>
      <c r="D51" s="1" t="s">
        <v>42</v>
      </c>
      <c r="E51" s="33" t="n">
        <f aca="false">IF(D51="totale",(C51/(A51*24))/F51,IF(D51="marché libre",(C51/(A51*24))/G51,"spécifier histo"))</f>
        <v>0</v>
      </c>
      <c r="F51" s="59" t="n">
        <v>250</v>
      </c>
      <c r="G51" s="59" t="n">
        <f aca="false">F51-H51</f>
        <v>250</v>
      </c>
      <c r="H51" s="59" t="n">
        <v>0</v>
      </c>
      <c r="I51" s="9"/>
      <c r="J51" s="205"/>
      <c r="K51" s="206"/>
    </row>
    <row r="52" customFormat="false" ht="23" hidden="false" customHeight="true" outlineLevel="0" collapsed="false">
      <c r="A52" s="0" t="n">
        <v>31</v>
      </c>
      <c r="B52" s="31" t="n">
        <v>38534</v>
      </c>
      <c r="C52" s="1" t="n">
        <v>0</v>
      </c>
      <c r="D52" s="1" t="s">
        <v>42</v>
      </c>
      <c r="E52" s="33" t="n">
        <f aca="false">IF(D52="totale",(C52/(A52*24))/F52,IF(D52="marché libre",(C52/(A52*24))/G52,"spécifier histo"))</f>
        <v>0</v>
      </c>
      <c r="F52" s="59" t="n">
        <v>250</v>
      </c>
      <c r="G52" s="59" t="n">
        <f aca="false">F52-H52</f>
        <v>250</v>
      </c>
      <c r="H52" s="59" t="n">
        <v>0</v>
      </c>
      <c r="I52" s="9"/>
      <c r="J52" s="205"/>
      <c r="K52" s="206"/>
    </row>
    <row r="53" customFormat="false" ht="23" hidden="false" customHeight="true" outlineLevel="0" collapsed="false">
      <c r="A53" s="0" t="n">
        <v>31</v>
      </c>
      <c r="B53" s="34" t="n">
        <v>38565</v>
      </c>
      <c r="C53" s="1" t="n">
        <v>0</v>
      </c>
      <c r="D53" s="1" t="s">
        <v>42</v>
      </c>
      <c r="E53" s="33" t="n">
        <f aca="false">IF(D53="totale",(C53/(A53*24))/F53,IF(D53="marché libre",(C53/(A53*24))/G53,"spécifier histo"))</f>
        <v>0</v>
      </c>
      <c r="F53" s="59" t="n">
        <v>250</v>
      </c>
      <c r="G53" s="59" t="n">
        <f aca="false">F53-H53</f>
        <v>250</v>
      </c>
      <c r="H53" s="59" t="n">
        <v>0</v>
      </c>
      <c r="I53" s="9"/>
      <c r="J53" s="205"/>
      <c r="K53" s="206"/>
    </row>
    <row r="54" customFormat="false" ht="23" hidden="false" customHeight="true" outlineLevel="0" collapsed="false">
      <c r="A54" s="0" t="n">
        <v>30</v>
      </c>
      <c r="B54" s="31" t="n">
        <v>38596</v>
      </c>
      <c r="C54" s="1" t="n">
        <v>0</v>
      </c>
      <c r="D54" s="1" t="s">
        <v>42</v>
      </c>
      <c r="E54" s="33" t="n">
        <f aca="false">IF(D54="totale",(C54/(A54*24))/F54,IF(D54="marché libre",(C54/(A54*24))/G54,"spécifier histo"))</f>
        <v>0</v>
      </c>
      <c r="F54" s="59" t="n">
        <v>250</v>
      </c>
      <c r="G54" s="59" t="n">
        <f aca="false">F54-H54</f>
        <v>250</v>
      </c>
      <c r="H54" s="59" t="n">
        <v>0</v>
      </c>
      <c r="I54" s="9"/>
      <c r="J54" s="205"/>
      <c r="K54" s="206"/>
    </row>
    <row r="55" customFormat="false" ht="23" hidden="false" customHeight="true" outlineLevel="0" collapsed="false">
      <c r="A55" s="0" t="n">
        <v>31</v>
      </c>
      <c r="B55" s="34" t="n">
        <v>38626</v>
      </c>
      <c r="C55" s="1" t="n">
        <v>60485</v>
      </c>
      <c r="D55" s="1" t="s">
        <v>42</v>
      </c>
      <c r="E55" s="33" t="n">
        <f aca="false">IF(D55="totale",(C55/(A55*24))/F55,IF(D55="marché libre",(C55/(A55*24))/G55,"spécifier histo"))</f>
        <v>0.325188172043011</v>
      </c>
      <c r="F55" s="59" t="n">
        <v>250</v>
      </c>
      <c r="G55" s="59" t="n">
        <f aca="false">F55-H55</f>
        <v>250</v>
      </c>
      <c r="H55" s="59" t="n">
        <v>0</v>
      </c>
      <c r="I55" s="9"/>
      <c r="J55" s="205"/>
      <c r="K55" s="206"/>
    </row>
    <row r="56" customFormat="false" ht="23" hidden="false" customHeight="true" outlineLevel="0" collapsed="false">
      <c r="A56" s="0" t="n">
        <v>30</v>
      </c>
      <c r="B56" s="31" t="n">
        <v>38657</v>
      </c>
      <c r="C56" s="1" t="n">
        <v>86400</v>
      </c>
      <c r="D56" s="1" t="s">
        <v>42</v>
      </c>
      <c r="E56" s="33" t="n">
        <f aca="false">IF(D56="totale",(C56/(A56*24))/F56,IF(D56="marché libre",(C56/(A56*24))/G56,"spécifier histo"))</f>
        <v>0.48</v>
      </c>
      <c r="F56" s="59" t="n">
        <v>250</v>
      </c>
      <c r="G56" s="59" t="n">
        <f aca="false">F56-H56</f>
        <v>250</v>
      </c>
      <c r="H56" s="59" t="n">
        <v>0</v>
      </c>
      <c r="I56" s="9"/>
      <c r="J56" s="205"/>
      <c r="K56" s="206"/>
    </row>
    <row r="57" customFormat="false" ht="23" hidden="false" customHeight="true" outlineLevel="0" collapsed="false">
      <c r="A57" s="0" t="n">
        <v>31</v>
      </c>
      <c r="B57" s="34" t="n">
        <v>38687</v>
      </c>
      <c r="C57" s="1" t="n">
        <v>29285</v>
      </c>
      <c r="D57" s="1" t="s">
        <v>42</v>
      </c>
      <c r="E57" s="33" t="n">
        <f aca="false">IF(D57="totale",(C57/(A57*24))/F57,IF(D57="marché libre",(C57/(A57*24))/G57,"spécifier histo"))</f>
        <v>0.15744623655914</v>
      </c>
      <c r="F57" s="59" t="n">
        <v>250</v>
      </c>
      <c r="G57" s="59" t="n">
        <f aca="false">F57-H57</f>
        <v>250</v>
      </c>
      <c r="H57" s="59" t="n">
        <v>0</v>
      </c>
      <c r="I57" s="9"/>
      <c r="J57" s="205"/>
      <c r="K57" s="206"/>
    </row>
    <row r="58" customFormat="false" ht="23" hidden="false" customHeight="true" outlineLevel="0" collapsed="false">
      <c r="A58" s="0" t="n">
        <v>31</v>
      </c>
      <c r="B58" s="31" t="n">
        <v>38718</v>
      </c>
      <c r="C58" s="1" t="n">
        <v>50235</v>
      </c>
      <c r="D58" s="1" t="s">
        <v>42</v>
      </c>
      <c r="E58" s="33" t="n">
        <f aca="false">IF(D58="totale",(C58/(A58*24))/F58,IF(D58="marché libre",(C58/(A58*24))/G58,"spécifier histo"))</f>
        <v>0.27008064516129</v>
      </c>
      <c r="F58" s="59" t="n">
        <v>250</v>
      </c>
      <c r="G58" s="59" t="n">
        <f aca="false">F58-H58</f>
        <v>250</v>
      </c>
      <c r="H58" s="59" t="n">
        <v>0</v>
      </c>
      <c r="I58" s="9"/>
      <c r="J58" s="205"/>
      <c r="K58" s="206"/>
    </row>
    <row r="59" customFormat="false" ht="23" hidden="false" customHeight="true" outlineLevel="0" collapsed="false">
      <c r="A59" s="0" t="n">
        <v>28</v>
      </c>
      <c r="B59" s="34" t="n">
        <v>38749</v>
      </c>
      <c r="C59" s="1" t="n">
        <v>95955</v>
      </c>
      <c r="D59" s="1" t="s">
        <v>42</v>
      </c>
      <c r="E59" s="33" t="n">
        <f aca="false">IF(D59="totale",(C59/(A59*24))/F59,IF(D59="marché libre",(C59/(A59*24))/G59,"spécifier histo"))</f>
        <v>0.571160714285714</v>
      </c>
      <c r="F59" s="59" t="n">
        <v>250</v>
      </c>
      <c r="G59" s="59" t="n">
        <f aca="false">F59-H59</f>
        <v>250</v>
      </c>
      <c r="H59" s="59" t="n">
        <v>0</v>
      </c>
      <c r="I59" s="9"/>
      <c r="J59" s="205"/>
      <c r="K59" s="206"/>
    </row>
    <row r="60" customFormat="false" ht="23" hidden="false" customHeight="true" outlineLevel="0" collapsed="false">
      <c r="A60" s="0" t="n">
        <v>31</v>
      </c>
      <c r="B60" s="31" t="n">
        <v>38777</v>
      </c>
      <c r="C60" s="1" t="n">
        <v>51800</v>
      </c>
      <c r="D60" s="1" t="s">
        <v>42</v>
      </c>
      <c r="E60" s="33" t="n">
        <f aca="false">IF(D60="totale",(C60/(A60*24))/F60,IF(D60="marché libre",(C60/(A60*24))/G60,"spécifier histo"))</f>
        <v>0.278494623655914</v>
      </c>
      <c r="F60" s="59" t="n">
        <v>250</v>
      </c>
      <c r="G60" s="59" t="n">
        <f aca="false">F60-H60</f>
        <v>250</v>
      </c>
      <c r="H60" s="59" t="n">
        <v>0</v>
      </c>
      <c r="I60" s="9"/>
      <c r="J60" s="205"/>
      <c r="K60" s="206"/>
    </row>
    <row r="61" customFormat="false" ht="23" hidden="false" customHeight="true" outlineLevel="0" collapsed="false">
      <c r="A61" s="0" t="n">
        <v>30</v>
      </c>
      <c r="B61" s="34" t="n">
        <v>38808</v>
      </c>
      <c r="C61" s="1" t="n">
        <v>37300</v>
      </c>
      <c r="D61" s="1" t="s">
        <v>42</v>
      </c>
      <c r="E61" s="33" t="n">
        <f aca="false">IF(D61="totale",(C61/(A61*24))/F61,IF(D61="marché libre",(C61/(A61*24))/G61,"spécifier histo"))</f>
        <v>0.207222222222222</v>
      </c>
      <c r="F61" s="59" t="n">
        <v>250</v>
      </c>
      <c r="G61" s="59" t="n">
        <f aca="false">F61-H61</f>
        <v>250</v>
      </c>
      <c r="H61" s="59" t="n">
        <v>0</v>
      </c>
      <c r="I61" s="9"/>
      <c r="J61" s="205"/>
      <c r="K61" s="206"/>
    </row>
    <row r="62" customFormat="false" ht="23" hidden="false" customHeight="true" outlineLevel="0" collapsed="false">
      <c r="A62" s="0" t="n">
        <v>31</v>
      </c>
      <c r="B62" s="31" t="n">
        <v>38838</v>
      </c>
      <c r="C62" s="1" t="n">
        <v>13270</v>
      </c>
      <c r="D62" s="1" t="s">
        <v>42</v>
      </c>
      <c r="E62" s="33" t="n">
        <f aca="false">IF(D62="totale",(C62/(A62*24))/F62,IF(D62="marché libre",(C62/(A62*24))/G62,"spécifier histo"))</f>
        <v>0.0713440860215054</v>
      </c>
      <c r="F62" s="59" t="n">
        <v>250</v>
      </c>
      <c r="G62" s="59" t="n">
        <f aca="false">F62-H62</f>
        <v>250</v>
      </c>
      <c r="H62" s="59" t="n">
        <v>0</v>
      </c>
      <c r="I62" s="9"/>
      <c r="J62" s="205"/>
      <c r="K62" s="206"/>
    </row>
    <row r="63" customFormat="false" ht="23" hidden="false" customHeight="true" outlineLevel="0" collapsed="false">
      <c r="A63" s="0" t="n">
        <v>30</v>
      </c>
      <c r="B63" s="34" t="n">
        <v>38869</v>
      </c>
      <c r="C63" s="1" t="n">
        <v>0</v>
      </c>
      <c r="D63" s="1" t="s">
        <v>42</v>
      </c>
      <c r="E63" s="33" t="n">
        <f aca="false">IF(D63="totale",(C63/(A63*24))/F63,IF(D63="marché libre",(C63/(A63*24))/G63,"spécifier histo"))</f>
        <v>0</v>
      </c>
      <c r="F63" s="59" t="n">
        <v>250</v>
      </c>
      <c r="G63" s="59" t="n">
        <f aca="false">F63-H63</f>
        <v>250</v>
      </c>
      <c r="H63" s="59" t="n">
        <v>0</v>
      </c>
      <c r="I63" s="9"/>
      <c r="J63" s="205"/>
      <c r="K63" s="206"/>
    </row>
    <row r="64" customFormat="false" ht="23" hidden="false" customHeight="true" outlineLevel="0" collapsed="false">
      <c r="A64" s="0" t="n">
        <v>31</v>
      </c>
      <c r="B64" s="31" t="n">
        <v>38899</v>
      </c>
      <c r="C64" s="1" t="n">
        <v>0</v>
      </c>
      <c r="D64" s="1" t="s">
        <v>42</v>
      </c>
      <c r="E64" s="33" t="n">
        <f aca="false">IF(D64="totale",(C64/(A64*24))/F64,IF(D64="marché libre",(C64/(A64*24))/G64,"spécifier histo"))</f>
        <v>0</v>
      </c>
      <c r="F64" s="59" t="n">
        <v>250</v>
      </c>
      <c r="G64" s="59" t="n">
        <f aca="false">F64-H64</f>
        <v>250</v>
      </c>
      <c r="H64" s="59" t="n">
        <v>0</v>
      </c>
      <c r="I64" s="9"/>
      <c r="J64" s="205"/>
      <c r="K64" s="206"/>
    </row>
    <row r="65" customFormat="false" ht="23" hidden="false" customHeight="true" outlineLevel="0" collapsed="false">
      <c r="A65" s="0" t="n">
        <v>31</v>
      </c>
      <c r="B65" s="34" t="n">
        <v>38930</v>
      </c>
      <c r="C65" s="1" t="n">
        <v>0</v>
      </c>
      <c r="D65" s="1" t="s">
        <v>42</v>
      </c>
      <c r="E65" s="33" t="n">
        <f aca="false">IF(D65="totale",(C65/(A65*24))/F65,IF(D65="marché libre",(C65/(A65*24))/G65,"spécifier histo"))</f>
        <v>0</v>
      </c>
      <c r="F65" s="59" t="n">
        <v>250</v>
      </c>
      <c r="G65" s="59" t="n">
        <f aca="false">F65-H65</f>
        <v>250</v>
      </c>
      <c r="H65" s="59" t="n">
        <v>0</v>
      </c>
      <c r="I65" s="9"/>
      <c r="J65" s="205"/>
      <c r="K65" s="206"/>
    </row>
    <row r="66" customFormat="false" ht="23" hidden="false" customHeight="true" outlineLevel="0" collapsed="false">
      <c r="A66" s="0" t="n">
        <v>30</v>
      </c>
      <c r="B66" s="31" t="n">
        <v>38961</v>
      </c>
      <c r="C66" s="1" t="n">
        <v>35195</v>
      </c>
      <c r="D66" s="1" t="s">
        <v>42</v>
      </c>
      <c r="E66" s="33" t="n">
        <f aca="false">IF(D66="totale",(C66/(A66*24))/F66,IF(D66="marché libre",(C66/(A66*24))/G66,"spécifier histo"))</f>
        <v>0.195527777777778</v>
      </c>
      <c r="F66" s="59" t="n">
        <v>250</v>
      </c>
      <c r="G66" s="59" t="n">
        <f aca="false">F66-H66</f>
        <v>250</v>
      </c>
      <c r="H66" s="59" t="n">
        <v>0</v>
      </c>
      <c r="I66" s="9"/>
      <c r="J66" s="205"/>
      <c r="K66" s="206"/>
    </row>
    <row r="67" customFormat="false" ht="23" hidden="false" customHeight="true" outlineLevel="0" collapsed="false">
      <c r="A67" s="0" t="n">
        <v>31</v>
      </c>
      <c r="B67" s="34" t="n">
        <v>38991</v>
      </c>
      <c r="C67" s="1" t="n">
        <v>57925</v>
      </c>
      <c r="D67" s="1" t="s">
        <v>42</v>
      </c>
      <c r="E67" s="33" t="n">
        <f aca="false">IF(D67="totale",(C67/(A67*24))/F67,IF(D67="marché libre",(C67/(A67*24))/G67,"spécifier histo"))</f>
        <v>0.311424731182796</v>
      </c>
      <c r="F67" s="59" t="n">
        <v>250</v>
      </c>
      <c r="G67" s="59" t="n">
        <f aca="false">F67-H67</f>
        <v>250</v>
      </c>
      <c r="H67" s="59" t="n">
        <v>0</v>
      </c>
      <c r="I67" s="9"/>
      <c r="J67" s="205"/>
      <c r="K67" s="206"/>
    </row>
    <row r="68" customFormat="false" ht="23" hidden="false" customHeight="true" outlineLevel="0" collapsed="false">
      <c r="A68" s="0" t="n">
        <v>30</v>
      </c>
      <c r="B68" s="31" t="n">
        <v>39022</v>
      </c>
      <c r="C68" s="1" t="n">
        <v>47320</v>
      </c>
      <c r="D68" s="1" t="s">
        <v>42</v>
      </c>
      <c r="E68" s="33" t="n">
        <f aca="false">IF(D68="totale",(C68/(A68*24))/F68,IF(D68="marché libre",(C68/(A68*24))/G68,"spécifier histo"))</f>
        <v>0.262888888888889</v>
      </c>
      <c r="F68" s="59" t="n">
        <v>250</v>
      </c>
      <c r="G68" s="59" t="n">
        <f aca="false">F68-H68</f>
        <v>250</v>
      </c>
      <c r="H68" s="59" t="n">
        <v>0</v>
      </c>
      <c r="I68" s="9"/>
      <c r="J68" s="205"/>
      <c r="K68" s="206"/>
    </row>
    <row r="69" customFormat="false" ht="23" hidden="false" customHeight="true" outlineLevel="0" collapsed="false">
      <c r="A69" s="0" t="n">
        <v>31</v>
      </c>
      <c r="B69" s="34" t="n">
        <v>39052</v>
      </c>
      <c r="C69" s="1" t="n">
        <v>39820</v>
      </c>
      <c r="D69" s="1" t="s">
        <v>42</v>
      </c>
      <c r="E69" s="33" t="n">
        <f aca="false">IF(D69="totale",(C69/(A69*24))/F69,IF(D69="marché libre",(C69/(A69*24))/G69,"spécifier histo"))</f>
        <v>0.214086021505376</v>
      </c>
      <c r="F69" s="59" t="n">
        <v>250</v>
      </c>
      <c r="G69" s="59" t="n">
        <f aca="false">F69-H69</f>
        <v>250</v>
      </c>
      <c r="H69" s="59" t="n">
        <v>0</v>
      </c>
      <c r="I69" s="9"/>
      <c r="J69" s="205"/>
      <c r="K69" s="206"/>
    </row>
    <row r="70" customFormat="false" ht="23" hidden="false" customHeight="true" outlineLevel="0" collapsed="false">
      <c r="A70" s="0" t="n">
        <v>31</v>
      </c>
      <c r="B70" s="31" t="n">
        <v>39083</v>
      </c>
      <c r="C70" s="1" t="n">
        <v>48250</v>
      </c>
      <c r="D70" s="1" t="s">
        <v>42</v>
      </c>
      <c r="E70" s="33" t="n">
        <f aca="false">IF(D70="totale",(C70/(A70*24))/F70,IF(D70="marché libre",(C70/(A70*24))/G70,"spécifier histo"))</f>
        <v>0.259408602150538</v>
      </c>
      <c r="F70" s="59" t="n">
        <v>250</v>
      </c>
      <c r="G70" s="59" t="n">
        <f aca="false">F70-H70</f>
        <v>250</v>
      </c>
      <c r="H70" s="59" t="n">
        <v>0</v>
      </c>
      <c r="I70" s="9"/>
      <c r="J70" s="205"/>
      <c r="K70" s="206"/>
    </row>
    <row r="71" customFormat="false" ht="23" hidden="false" customHeight="true" outlineLevel="0" collapsed="false">
      <c r="A71" s="0" t="n">
        <v>31</v>
      </c>
      <c r="B71" s="34" t="n">
        <v>39114</v>
      </c>
      <c r="C71" s="1" t="n">
        <v>28740</v>
      </c>
      <c r="D71" s="1" t="s">
        <v>42</v>
      </c>
      <c r="E71" s="33" t="n">
        <f aca="false">IF(D71="totale",(C71/(A71*24))/F71,IF(D71="marché libre",(C71/(A71*24))/G71,"spécifier histo"))</f>
        <v>0.154516129032258</v>
      </c>
      <c r="F71" s="59" t="n">
        <v>250</v>
      </c>
      <c r="G71" s="59" t="n">
        <f aca="false">F71-H71</f>
        <v>250</v>
      </c>
      <c r="H71" s="59" t="n">
        <v>0</v>
      </c>
      <c r="I71" s="9"/>
      <c r="J71" s="205"/>
      <c r="K71" s="206"/>
    </row>
    <row r="72" customFormat="false" ht="23" hidden="false" customHeight="true" outlineLevel="0" collapsed="false">
      <c r="A72" s="0" t="n">
        <v>30</v>
      </c>
      <c r="B72" s="31" t="n">
        <v>39142</v>
      </c>
      <c r="C72" s="1" t="n">
        <v>28235</v>
      </c>
      <c r="D72" s="1" t="s">
        <v>42</v>
      </c>
      <c r="E72" s="33" t="n">
        <f aca="false">IF(D72="totale",(C72/(A72*24))/F72,IF(D72="marché libre",(C72/(A72*24))/G72,"spécifier histo"))</f>
        <v>0.156861111111111</v>
      </c>
      <c r="F72" s="59" t="n">
        <v>250</v>
      </c>
      <c r="G72" s="59" t="n">
        <f aca="false">F72-H72</f>
        <v>250</v>
      </c>
      <c r="H72" s="59" t="n">
        <v>0</v>
      </c>
      <c r="I72" s="9"/>
      <c r="J72" s="205"/>
      <c r="K72" s="206"/>
    </row>
    <row r="73" customFormat="false" ht="23" hidden="false" customHeight="true" outlineLevel="0" collapsed="false">
      <c r="A73" s="0" t="n">
        <v>31</v>
      </c>
      <c r="B73" s="34" t="n">
        <v>39173</v>
      </c>
      <c r="C73" s="1" t="n">
        <v>38275</v>
      </c>
      <c r="D73" s="1" t="s">
        <v>42</v>
      </c>
      <c r="E73" s="33" t="n">
        <f aca="false">IF(D73="totale",(C73/(A73*24))/F73,IF(D73="marché libre",(C73/(A73*24))/G73,"spécifier histo"))</f>
        <v>0.205779569892473</v>
      </c>
      <c r="F73" s="59" t="n">
        <v>250</v>
      </c>
      <c r="G73" s="59" t="n">
        <f aca="false">F73-H73</f>
        <v>250</v>
      </c>
      <c r="H73" s="59" t="n">
        <v>0</v>
      </c>
      <c r="I73" s="9"/>
      <c r="J73" s="205"/>
      <c r="K73" s="206"/>
    </row>
    <row r="74" customFormat="false" ht="23" hidden="false" customHeight="true" outlineLevel="0" collapsed="false">
      <c r="A74" s="0" t="n">
        <v>30</v>
      </c>
      <c r="B74" s="31" t="n">
        <v>39203</v>
      </c>
      <c r="C74" s="1" t="n">
        <v>37040</v>
      </c>
      <c r="D74" s="1" t="s">
        <v>42</v>
      </c>
      <c r="E74" s="33" t="n">
        <f aca="false">IF(D74="totale",(C74/(A74*24))/F74,IF(D74="marché libre",(C74/(A74*24))/G74,"spécifier histo"))</f>
        <v>0.205777777777778</v>
      </c>
      <c r="F74" s="59" t="n">
        <v>250</v>
      </c>
      <c r="G74" s="59" t="n">
        <f aca="false">F74-H74</f>
        <v>250</v>
      </c>
      <c r="H74" s="59" t="n">
        <v>0</v>
      </c>
      <c r="I74" s="9"/>
      <c r="J74" s="205"/>
      <c r="K74" s="206"/>
    </row>
    <row r="75" customFormat="false" ht="23" hidden="false" customHeight="true" outlineLevel="0" collapsed="false">
      <c r="A75" s="0" t="n">
        <v>31</v>
      </c>
      <c r="B75" s="34" t="n">
        <v>39234</v>
      </c>
      <c r="C75" s="1" t="n">
        <v>21965</v>
      </c>
      <c r="D75" s="1" t="s">
        <v>42</v>
      </c>
      <c r="E75" s="33" t="n">
        <f aca="false">IF(D75="totale",(C75/(A75*24))/F75,IF(D75="marché libre",(C75/(A75*24))/G75,"spécifier histo"))</f>
        <v>0.118091397849462</v>
      </c>
      <c r="F75" s="59" t="n">
        <v>250</v>
      </c>
      <c r="G75" s="59" t="n">
        <f aca="false">F75-H75</f>
        <v>250</v>
      </c>
      <c r="H75" s="59" t="n">
        <v>0</v>
      </c>
      <c r="I75" s="9"/>
      <c r="J75" s="205"/>
      <c r="K75" s="206"/>
    </row>
    <row r="76" customFormat="false" ht="23" hidden="false" customHeight="true" outlineLevel="0" collapsed="false">
      <c r="A76" s="0" t="n">
        <v>31</v>
      </c>
      <c r="B76" s="31" t="n">
        <v>39264</v>
      </c>
      <c r="C76" s="1" t="n">
        <v>120</v>
      </c>
      <c r="D76" s="1" t="s">
        <v>42</v>
      </c>
      <c r="E76" s="33" t="n">
        <f aca="false">IF(D76="totale",(C76/(A76*24))/F76,IF(D76="marché libre",(C76/(A76*24))/G76,"spécifier histo"))</f>
        <v>0.000645161290322581</v>
      </c>
      <c r="F76" s="59" t="n">
        <v>250</v>
      </c>
      <c r="G76" s="59" t="n">
        <f aca="false">F76-H76</f>
        <v>250</v>
      </c>
      <c r="H76" s="59" t="n">
        <v>0</v>
      </c>
      <c r="I76" s="9"/>
      <c r="J76" s="205"/>
      <c r="K76" s="206"/>
    </row>
    <row r="77" customFormat="false" ht="23" hidden="false" customHeight="true" outlineLevel="0" collapsed="false">
      <c r="A77" s="0" t="n">
        <v>31</v>
      </c>
      <c r="B77" s="34" t="n">
        <v>39295</v>
      </c>
      <c r="C77" s="1" t="n">
        <v>0</v>
      </c>
      <c r="D77" s="1" t="s">
        <v>42</v>
      </c>
      <c r="E77" s="33" t="n">
        <f aca="false">IF(D77="totale",(C77/(A77*24))/F77,IF(D77="marché libre",(C77/(A77*24))/G77,"spécifier histo"))</f>
        <v>0</v>
      </c>
      <c r="F77" s="59" t="n">
        <v>250</v>
      </c>
      <c r="G77" s="59" t="n">
        <f aca="false">F77-H77</f>
        <v>250</v>
      </c>
      <c r="H77" s="59" t="n">
        <v>0</v>
      </c>
      <c r="I77" s="9"/>
      <c r="J77" s="205"/>
      <c r="K77" s="206"/>
    </row>
    <row r="78" customFormat="false" ht="23" hidden="false" customHeight="true" outlineLevel="0" collapsed="false">
      <c r="A78" s="0" t="n">
        <v>30</v>
      </c>
      <c r="B78" s="31" t="n">
        <v>39326</v>
      </c>
      <c r="C78" s="1" t="n">
        <v>0</v>
      </c>
      <c r="D78" s="1" t="s">
        <v>42</v>
      </c>
      <c r="E78" s="33" t="n">
        <f aca="false">IF(D78="totale",(C78/(A78*24))/F78,IF(D78="marché libre",(C78/(A78*24))/G78,"spécifier histo"))</f>
        <v>0</v>
      </c>
      <c r="F78" s="59" t="n">
        <v>250</v>
      </c>
      <c r="G78" s="59" t="n">
        <f aca="false">F78-H78</f>
        <v>250</v>
      </c>
      <c r="H78" s="59" t="n">
        <v>0</v>
      </c>
      <c r="I78" s="9"/>
      <c r="J78" s="205"/>
      <c r="K78" s="206"/>
    </row>
    <row r="79" customFormat="false" ht="23" hidden="false" customHeight="true" outlineLevel="0" collapsed="false">
      <c r="A79" s="0" t="n">
        <v>31</v>
      </c>
      <c r="B79" s="34" t="n">
        <v>39356</v>
      </c>
      <c r="C79" s="1" t="n">
        <v>1870</v>
      </c>
      <c r="D79" s="1" t="s">
        <v>42</v>
      </c>
      <c r="E79" s="33" t="n">
        <f aca="false">IF(D79="totale",(C79/(A79*24))/F79,IF(D79="marché libre",(C79/(A79*24))/G79,"spécifier histo"))</f>
        <v>0.0100537634408602</v>
      </c>
      <c r="F79" s="59" t="n">
        <v>250</v>
      </c>
      <c r="G79" s="59" t="n">
        <f aca="false">F79-H79</f>
        <v>250</v>
      </c>
      <c r="H79" s="59" t="n">
        <v>0</v>
      </c>
      <c r="I79" s="9"/>
      <c r="J79" s="205"/>
      <c r="K79" s="206"/>
    </row>
    <row r="80" customFormat="false" ht="23" hidden="false" customHeight="true" outlineLevel="0" collapsed="false">
      <c r="A80" s="0" t="n">
        <v>30</v>
      </c>
      <c r="B80" s="31" t="n">
        <v>39387</v>
      </c>
      <c r="C80" s="1" t="n">
        <v>25920</v>
      </c>
      <c r="D80" s="1" t="s">
        <v>42</v>
      </c>
      <c r="E80" s="33" t="n">
        <f aca="false">IF(D80="totale",(C80/(A80*24))/F80,IF(D80="marché libre",(C80/(A80*24))/G80,"spécifier histo"))</f>
        <v>0.144</v>
      </c>
      <c r="F80" s="59" t="n">
        <v>250</v>
      </c>
      <c r="G80" s="59" t="n">
        <f aca="false">F80-H80</f>
        <v>250</v>
      </c>
      <c r="H80" s="59" t="n">
        <v>0</v>
      </c>
      <c r="I80" s="9"/>
      <c r="J80" s="205"/>
      <c r="K80" s="206"/>
    </row>
    <row r="81" customFormat="false" ht="23" hidden="false" customHeight="true" outlineLevel="0" collapsed="false">
      <c r="A81" s="0" t="n">
        <v>31</v>
      </c>
      <c r="B81" s="34" t="n">
        <v>39417</v>
      </c>
      <c r="C81" s="1" t="n">
        <v>35810</v>
      </c>
      <c r="D81" s="1" t="s">
        <v>42</v>
      </c>
      <c r="E81" s="33" t="n">
        <f aca="false">IF(D81="totale",(C81/(A81*24))/F81,IF(D81="marché libre",(C81/(A81*24))/G81,"spécifier histo"))</f>
        <v>0.19252688172043</v>
      </c>
      <c r="F81" s="59" t="n">
        <v>250</v>
      </c>
      <c r="G81" s="59" t="n">
        <f aca="false">F81-H81</f>
        <v>250</v>
      </c>
      <c r="H81" s="59" t="n">
        <v>0</v>
      </c>
      <c r="I81" s="9"/>
      <c r="J81" s="205"/>
      <c r="K81" s="206"/>
    </row>
    <row r="82" customFormat="false" ht="23" hidden="false" customHeight="true" outlineLevel="0" collapsed="false">
      <c r="A82" s="0" t="n">
        <v>31</v>
      </c>
      <c r="B82" s="31" t="n">
        <v>39448</v>
      </c>
      <c r="C82" s="1" t="n">
        <v>123100</v>
      </c>
      <c r="D82" s="1" t="s">
        <v>42</v>
      </c>
      <c r="E82" s="33" t="n">
        <f aca="false">IF(D82="totale",(C82/(A82*24))/F82,IF(D82="marché libre",(C82/(A82*24))/G82,"spécifier histo"))</f>
        <v>0.661827956989247</v>
      </c>
      <c r="F82" s="59" t="n">
        <v>250</v>
      </c>
      <c r="G82" s="59" t="n">
        <f aca="false">F82-H82</f>
        <v>250</v>
      </c>
      <c r="H82" s="59" t="n">
        <v>0</v>
      </c>
      <c r="I82" s="9"/>
      <c r="J82" s="205"/>
      <c r="K82" s="206"/>
    </row>
    <row r="83" customFormat="false" ht="23" hidden="false" customHeight="true" outlineLevel="0" collapsed="false">
      <c r="A83" s="0" t="n">
        <v>28</v>
      </c>
      <c r="B83" s="34" t="n">
        <v>39479</v>
      </c>
      <c r="C83" s="1" t="n">
        <v>83040</v>
      </c>
      <c r="D83" s="1" t="s">
        <v>42</v>
      </c>
      <c r="E83" s="33" t="n">
        <f aca="false">IF(D83="totale",(C83/(A83*24))/F83,IF(D83="marché libre",(C83/(A83*24))/G83,"spécifier histo"))</f>
        <v>0.494285714285714</v>
      </c>
      <c r="F83" s="59" t="n">
        <v>250</v>
      </c>
      <c r="G83" s="59" t="n">
        <f aca="false">F83-H83</f>
        <v>250</v>
      </c>
      <c r="H83" s="59" t="n">
        <v>0</v>
      </c>
      <c r="I83" s="9"/>
      <c r="J83" s="205"/>
      <c r="K83" s="206"/>
    </row>
    <row r="84" customFormat="false" ht="23" hidden="false" customHeight="true" outlineLevel="0" collapsed="false">
      <c r="A84" s="0" t="n">
        <v>31</v>
      </c>
      <c r="B84" s="31" t="n">
        <v>39508</v>
      </c>
      <c r="C84" s="1" t="n">
        <v>41915</v>
      </c>
      <c r="D84" s="1" t="s">
        <v>42</v>
      </c>
      <c r="E84" s="33" t="n">
        <f aca="false">IF(D84="totale",(C84/(A84*24))/F84,IF(D84="marché libre",(C84/(A84*24))/G84,"spécifier histo"))</f>
        <v>0.225349462365591</v>
      </c>
      <c r="F84" s="59" t="n">
        <v>250</v>
      </c>
      <c r="G84" s="59" t="n">
        <f aca="false">F84-H84</f>
        <v>250</v>
      </c>
      <c r="H84" s="59" t="n">
        <v>0</v>
      </c>
      <c r="I84" s="9"/>
      <c r="J84" s="205"/>
      <c r="K84" s="206"/>
    </row>
    <row r="85" customFormat="false" ht="23" hidden="false" customHeight="true" outlineLevel="0" collapsed="false">
      <c r="A85" s="0" t="n">
        <v>30</v>
      </c>
      <c r="B85" s="34" t="n">
        <v>39539</v>
      </c>
      <c r="C85" s="1" t="n">
        <v>62260</v>
      </c>
      <c r="D85" s="1" t="s">
        <v>42</v>
      </c>
      <c r="E85" s="33" t="n">
        <f aca="false">IF(D85="totale",(C85/(A85*24))/F85,IF(D85="marché libre",(C85/(A85*24))/G85,"spécifier histo"))</f>
        <v>0.345888888888889</v>
      </c>
      <c r="F85" s="59" t="n">
        <v>250</v>
      </c>
      <c r="G85" s="59" t="n">
        <f aca="false">F85-H85</f>
        <v>250</v>
      </c>
      <c r="H85" s="59" t="n">
        <v>0</v>
      </c>
      <c r="I85" s="9"/>
      <c r="J85" s="205"/>
      <c r="K85" s="206"/>
    </row>
    <row r="86" customFormat="false" ht="23" hidden="false" customHeight="true" outlineLevel="0" collapsed="false">
      <c r="A86" s="0" t="n">
        <v>31</v>
      </c>
      <c r="B86" s="31" t="n">
        <v>39569</v>
      </c>
      <c r="C86" s="1" t="n">
        <v>63570</v>
      </c>
      <c r="D86" s="1" t="s">
        <v>42</v>
      </c>
      <c r="E86" s="33" t="n">
        <f aca="false">IF(D86="totale",(C86/(A86*24))/F86,IF(D86="marché libre",(C86/(A86*24))/G86,"spécifier histo"))</f>
        <v>0.341774193548387</v>
      </c>
      <c r="F86" s="59" t="n">
        <v>250</v>
      </c>
      <c r="G86" s="59" t="n">
        <f aca="false">F86-H86</f>
        <v>250</v>
      </c>
      <c r="H86" s="59" t="n">
        <v>0</v>
      </c>
      <c r="I86" s="9"/>
      <c r="J86" s="205"/>
      <c r="K86" s="206"/>
    </row>
    <row r="87" customFormat="false" ht="23" hidden="false" customHeight="true" outlineLevel="0" collapsed="false">
      <c r="A87" s="0" t="n">
        <v>30</v>
      </c>
      <c r="B87" s="34" t="n">
        <v>39600</v>
      </c>
      <c r="C87" s="1" t="n">
        <v>109100</v>
      </c>
      <c r="D87" s="1" t="s">
        <v>42</v>
      </c>
      <c r="E87" s="33" t="n">
        <f aca="false">IF(D87="totale",(C87/(A87*24))/F87,IF(D87="marché libre",(C87/(A87*24))/G87,"spécifier histo"))</f>
        <v>0.606111111111111</v>
      </c>
      <c r="F87" s="59" t="n">
        <v>250</v>
      </c>
      <c r="G87" s="59" t="n">
        <f aca="false">F87-H87</f>
        <v>250</v>
      </c>
      <c r="H87" s="59" t="n">
        <v>0</v>
      </c>
      <c r="I87" s="9"/>
      <c r="J87" s="205"/>
      <c r="K87" s="206"/>
    </row>
    <row r="88" customFormat="false" ht="23" hidden="false" customHeight="true" outlineLevel="0" collapsed="false">
      <c r="A88" s="0" t="n">
        <v>31</v>
      </c>
      <c r="B88" s="31" t="n">
        <v>39630</v>
      </c>
      <c r="C88" s="1" t="n">
        <v>21045</v>
      </c>
      <c r="D88" s="1" t="s">
        <v>42</v>
      </c>
      <c r="E88" s="33" t="n">
        <f aca="false">IF(D88="totale",(C88/(A88*24))/F88,IF(D88="marché libre",(C88/(A88*24))/G88,"spécifier histo"))</f>
        <v>0.113145161290323</v>
      </c>
      <c r="F88" s="59" t="n">
        <v>250</v>
      </c>
      <c r="G88" s="59" t="n">
        <f aca="false">F88-H88</f>
        <v>250</v>
      </c>
      <c r="H88" s="59" t="n">
        <v>0</v>
      </c>
      <c r="I88" s="9"/>
      <c r="J88" s="205"/>
      <c r="K88" s="206"/>
    </row>
    <row r="89" customFormat="false" ht="23" hidden="false" customHeight="true" outlineLevel="0" collapsed="false">
      <c r="A89" s="0" t="n">
        <v>31</v>
      </c>
      <c r="B89" s="34" t="n">
        <v>39661</v>
      </c>
      <c r="C89" s="1" t="n">
        <v>0</v>
      </c>
      <c r="D89" s="1" t="s">
        <v>42</v>
      </c>
      <c r="E89" s="33" t="n">
        <f aca="false">IF(D89="totale",(C89/(A89*24))/F89,IF(D89="marché libre",(C89/(A89*24))/G89,"spécifier histo"))</f>
        <v>0</v>
      </c>
      <c r="F89" s="59" t="n">
        <v>250</v>
      </c>
      <c r="G89" s="59" t="n">
        <f aca="false">F89-H89</f>
        <v>250</v>
      </c>
      <c r="H89" s="59" t="n">
        <v>0</v>
      </c>
      <c r="I89" s="9"/>
      <c r="J89" s="205"/>
      <c r="K89" s="206"/>
    </row>
    <row r="90" customFormat="false" ht="23" hidden="false" customHeight="true" outlineLevel="0" collapsed="false">
      <c r="A90" s="0" t="n">
        <v>30</v>
      </c>
      <c r="B90" s="31" t="n">
        <v>39692</v>
      </c>
      <c r="C90" s="1" t="n">
        <v>0</v>
      </c>
      <c r="D90" s="1" t="s">
        <v>42</v>
      </c>
      <c r="E90" s="33" t="n">
        <f aca="false">IF(D90="totale",(C90/(A90*24))/F90,IF(D90="marché libre",(C90/(A90*24))/G90,"spécifier histo"))</f>
        <v>0</v>
      </c>
      <c r="F90" s="59" t="n">
        <v>250</v>
      </c>
      <c r="G90" s="59" t="n">
        <f aca="false">F90-H90</f>
        <v>250</v>
      </c>
      <c r="H90" s="59" t="n">
        <v>0</v>
      </c>
      <c r="I90" s="9"/>
      <c r="J90" s="205"/>
      <c r="K90" s="206"/>
    </row>
    <row r="91" customFormat="false" ht="23" hidden="false" customHeight="true" outlineLevel="0" collapsed="false">
      <c r="A91" s="0" t="n">
        <v>31</v>
      </c>
      <c r="B91" s="34" t="n">
        <v>39722</v>
      </c>
      <c r="C91" s="1" t="n">
        <v>0</v>
      </c>
      <c r="D91" s="1" t="s">
        <v>42</v>
      </c>
      <c r="E91" s="33" t="n">
        <f aca="false">IF(D91="totale",(C91/(A91*24))/F91,IF(D91="marché libre",(C91/(A91*24))/G91,"spécifier histo"))</f>
        <v>0</v>
      </c>
      <c r="F91" s="59" t="n">
        <v>250</v>
      </c>
      <c r="G91" s="59" t="n">
        <f aca="false">F91-H91</f>
        <v>250</v>
      </c>
      <c r="H91" s="59" t="n">
        <v>0</v>
      </c>
      <c r="I91" s="9"/>
      <c r="J91" s="205"/>
      <c r="K91" s="206"/>
    </row>
    <row r="92" customFormat="false" ht="23" hidden="false" customHeight="true" outlineLevel="0" collapsed="false">
      <c r="A92" s="0" t="n">
        <v>30</v>
      </c>
      <c r="B92" s="31" t="n">
        <v>39753</v>
      </c>
      <c r="C92" s="1" t="n">
        <v>60975</v>
      </c>
      <c r="D92" s="1" t="s">
        <v>42</v>
      </c>
      <c r="E92" s="33" t="n">
        <f aca="false">IF(D92="totale",(C92/(A92*24))/F92,IF(D92="marché libre",(C92/(A92*24))/G92,"spécifier histo"))</f>
        <v>0.33875</v>
      </c>
      <c r="F92" s="59" t="n">
        <v>250</v>
      </c>
      <c r="G92" s="59" t="n">
        <f aca="false">F92-H92</f>
        <v>250</v>
      </c>
      <c r="H92" s="59" t="n">
        <v>0</v>
      </c>
      <c r="I92" s="9"/>
      <c r="J92" s="205"/>
      <c r="K92" s="206"/>
    </row>
    <row r="93" customFormat="false" ht="23" hidden="false" customHeight="true" outlineLevel="0" collapsed="false">
      <c r="A93" s="0" t="n">
        <v>31</v>
      </c>
      <c r="B93" s="34" t="n">
        <v>39783</v>
      </c>
      <c r="C93" s="1" t="n">
        <v>54945</v>
      </c>
      <c r="D93" s="1" t="s">
        <v>42</v>
      </c>
      <c r="E93" s="33" t="n">
        <f aca="false">IF(D93="totale",(C93/(A93*24))/F93,IF(D93="marché libre",(C93/(A93*24))/G93,"spécifier histo"))</f>
        <v>0.295403225806452</v>
      </c>
      <c r="F93" s="59" t="n">
        <v>250</v>
      </c>
      <c r="G93" s="59" t="n">
        <f aca="false">F93-H93</f>
        <v>250</v>
      </c>
      <c r="H93" s="59" t="n">
        <v>0</v>
      </c>
      <c r="I93" s="9"/>
      <c r="J93" s="205"/>
      <c r="K93" s="206"/>
    </row>
    <row r="94" customFormat="false" ht="23" hidden="false" customHeight="true" outlineLevel="0" collapsed="false">
      <c r="A94" s="0" t="n">
        <v>31</v>
      </c>
      <c r="B94" s="31" t="n">
        <v>39814</v>
      </c>
      <c r="C94" s="1" t="n">
        <v>104115</v>
      </c>
      <c r="D94" s="1" t="s">
        <v>42</v>
      </c>
      <c r="E94" s="33" t="n">
        <f aca="false">IF(D94="totale",(C94/(A94*24))/F94,IF(D94="marché libre",(C94/(A94*24))/G94,"spécifier histo"))</f>
        <v>0.559758064516129</v>
      </c>
      <c r="F94" s="59" t="n">
        <v>250</v>
      </c>
      <c r="G94" s="59" t="n">
        <f aca="false">F94-H94</f>
        <v>250</v>
      </c>
      <c r="H94" s="59" t="n">
        <v>0</v>
      </c>
      <c r="I94" s="9"/>
      <c r="J94" s="205"/>
      <c r="K94" s="206"/>
    </row>
    <row r="95" customFormat="false" ht="23" hidden="false" customHeight="true" outlineLevel="0" collapsed="false">
      <c r="A95" s="0" t="n">
        <v>28</v>
      </c>
      <c r="B95" s="34" t="n">
        <v>39845</v>
      </c>
      <c r="C95" s="1" t="n">
        <v>101465</v>
      </c>
      <c r="D95" s="1" t="s">
        <v>42</v>
      </c>
      <c r="E95" s="33" t="n">
        <f aca="false">IF(D95="totale",(C95/(A95*24))/F95,IF(D95="marché libre",(C95/(A95*24))/G95,"spécifier histo"))</f>
        <v>0.603958333333333</v>
      </c>
      <c r="F95" s="59" t="n">
        <v>250</v>
      </c>
      <c r="G95" s="59" t="n">
        <f aca="false">F95-H95</f>
        <v>250</v>
      </c>
      <c r="H95" s="59" t="n">
        <v>0</v>
      </c>
      <c r="I95" s="9"/>
      <c r="J95" s="205"/>
      <c r="K95" s="206"/>
    </row>
    <row r="96" customFormat="false" ht="23" hidden="false" customHeight="true" outlineLevel="0" collapsed="false">
      <c r="A96" s="0" t="n">
        <v>31</v>
      </c>
      <c r="B96" s="31" t="n">
        <v>39873</v>
      </c>
      <c r="C96" s="1" t="n">
        <v>41870</v>
      </c>
      <c r="D96" s="1" t="s">
        <v>42</v>
      </c>
      <c r="E96" s="33" t="n">
        <f aca="false">IF(D96="totale",(C96/(A96*24))/F96,IF(D96="marché libre",(C96/(A96*24))/G96,"spécifier histo"))</f>
        <v>0.22510752688172</v>
      </c>
      <c r="F96" s="59" t="n">
        <v>250</v>
      </c>
      <c r="G96" s="59" t="n">
        <f aca="false">F96-H96</f>
        <v>250</v>
      </c>
      <c r="H96" s="59" t="n">
        <v>0</v>
      </c>
      <c r="I96" s="9"/>
      <c r="J96" s="205"/>
      <c r="K96" s="206"/>
    </row>
    <row r="97" customFormat="false" ht="23" hidden="false" customHeight="true" outlineLevel="0" collapsed="false">
      <c r="A97" s="0" t="n">
        <v>30</v>
      </c>
      <c r="B97" s="34" t="n">
        <v>39904</v>
      </c>
      <c r="C97" s="1" t="n">
        <v>92200</v>
      </c>
      <c r="D97" s="1" t="s">
        <v>42</v>
      </c>
      <c r="E97" s="33" t="n">
        <f aca="false">IF(D97="totale",(C97/(A97*24))/F97,IF(D97="marché libre",(C97/(A97*24))/G97,"spécifier histo"))</f>
        <v>0.512222222222222</v>
      </c>
      <c r="F97" s="59" t="n">
        <v>250</v>
      </c>
      <c r="G97" s="59" t="n">
        <f aca="false">F97-H97</f>
        <v>250</v>
      </c>
      <c r="H97" s="59" t="n">
        <v>0</v>
      </c>
      <c r="I97" s="9"/>
      <c r="J97" s="205"/>
      <c r="K97" s="206"/>
    </row>
    <row r="98" customFormat="false" ht="23" hidden="false" customHeight="true" outlineLevel="0" collapsed="false">
      <c r="A98" s="0" t="n">
        <v>31</v>
      </c>
      <c r="B98" s="31" t="n">
        <v>39934</v>
      </c>
      <c r="C98" s="1" t="n">
        <v>55015</v>
      </c>
      <c r="D98" s="1" t="s">
        <v>42</v>
      </c>
      <c r="E98" s="33" t="n">
        <f aca="false">IF(D98="totale",(C98/(A98*24))/F98,IF(D98="marché libre",(C98/(A98*24))/G98,"spécifier histo"))</f>
        <v>0.295779569892473</v>
      </c>
      <c r="F98" s="59" t="n">
        <v>250</v>
      </c>
      <c r="G98" s="59" t="n">
        <f aca="false">F98-H98</f>
        <v>250</v>
      </c>
      <c r="H98" s="59" t="n">
        <v>0</v>
      </c>
      <c r="I98" s="9"/>
      <c r="J98" s="205"/>
      <c r="K98" s="206"/>
    </row>
    <row r="99" customFormat="false" ht="23" hidden="false" customHeight="true" outlineLevel="0" collapsed="false">
      <c r="A99" s="0" t="n">
        <v>30</v>
      </c>
      <c r="B99" s="34" t="n">
        <v>39965</v>
      </c>
      <c r="C99" s="1" t="n">
        <v>10520</v>
      </c>
      <c r="D99" s="1" t="s">
        <v>42</v>
      </c>
      <c r="E99" s="33" t="n">
        <f aca="false">IF(D99="totale",(C99/(A99*24))/F99,IF(D99="marché libre",(C99/(A99*24))/G99,"spécifier histo"))</f>
        <v>0.0584444444444444</v>
      </c>
      <c r="F99" s="59" t="n">
        <v>250</v>
      </c>
      <c r="G99" s="59" t="n">
        <f aca="false">F99-H99</f>
        <v>250</v>
      </c>
      <c r="H99" s="59" t="n">
        <v>0</v>
      </c>
      <c r="I99" s="9"/>
      <c r="J99" s="205"/>
      <c r="K99" s="206"/>
    </row>
    <row r="100" customFormat="false" ht="23" hidden="false" customHeight="true" outlineLevel="0" collapsed="false">
      <c r="A100" s="0" t="n">
        <v>31</v>
      </c>
      <c r="B100" s="31" t="n">
        <v>39995</v>
      </c>
      <c r="C100" s="1" t="n">
        <v>0</v>
      </c>
      <c r="D100" s="1" t="s">
        <v>42</v>
      </c>
      <c r="E100" s="33" t="n">
        <f aca="false">IF(D100="totale",(C100/(A100*24))/F100,IF(D100="marché libre",(C100/(A100*24))/G100,"spécifier histo"))</f>
        <v>0</v>
      </c>
      <c r="F100" s="59" t="n">
        <v>250</v>
      </c>
      <c r="G100" s="59" t="n">
        <f aca="false">F100-H100</f>
        <v>250</v>
      </c>
      <c r="H100" s="59" t="n">
        <v>0</v>
      </c>
      <c r="I100" s="9"/>
      <c r="J100" s="205"/>
      <c r="K100" s="206"/>
    </row>
    <row r="101" customFormat="false" ht="23" hidden="false" customHeight="true" outlineLevel="0" collapsed="false">
      <c r="A101" s="0" t="n">
        <v>31</v>
      </c>
      <c r="B101" s="34" t="n">
        <v>40026</v>
      </c>
      <c r="C101" s="1" t="n">
        <v>0</v>
      </c>
      <c r="D101" s="1" t="s">
        <v>42</v>
      </c>
      <c r="E101" s="33" t="n">
        <f aca="false">IF(D101="totale",(C101/(A101*24))/F101,IF(D101="marché libre",(C101/(A101*24))/G101,"spécifier histo"))</f>
        <v>0</v>
      </c>
      <c r="F101" s="59" t="n">
        <v>250</v>
      </c>
      <c r="G101" s="59" t="n">
        <f aca="false">F101-H101</f>
        <v>250</v>
      </c>
      <c r="H101" s="59" t="n">
        <v>0</v>
      </c>
      <c r="I101" s="9"/>
      <c r="J101" s="205"/>
      <c r="K101" s="206"/>
    </row>
    <row r="102" customFormat="false" ht="23" hidden="false" customHeight="true" outlineLevel="0" collapsed="false">
      <c r="A102" s="0" t="n">
        <v>30</v>
      </c>
      <c r="B102" s="31" t="n">
        <v>40057</v>
      </c>
      <c r="C102" s="1" t="n">
        <v>0</v>
      </c>
      <c r="D102" s="1" t="s">
        <v>42</v>
      </c>
      <c r="E102" s="33" t="n">
        <f aca="false">IF(D102="totale",(C102/(A102*24))/F102,IF(D102="marché libre",(C102/(A102*24))/G102,"spécifier histo"))</f>
        <v>0</v>
      </c>
      <c r="F102" s="59" t="n">
        <v>250</v>
      </c>
      <c r="G102" s="59" t="n">
        <f aca="false">F102-H102</f>
        <v>250</v>
      </c>
      <c r="H102" s="59" t="n">
        <v>0</v>
      </c>
      <c r="I102" s="9"/>
      <c r="J102" s="205"/>
      <c r="K102" s="206"/>
    </row>
    <row r="103" customFormat="false" ht="23" hidden="false" customHeight="true" outlineLevel="0" collapsed="false">
      <c r="A103" s="0" t="n">
        <v>31</v>
      </c>
      <c r="B103" s="34" t="n">
        <v>40087</v>
      </c>
      <c r="C103" s="1" t="n">
        <v>0</v>
      </c>
      <c r="D103" s="1" t="s">
        <v>42</v>
      </c>
      <c r="E103" s="33" t="n">
        <f aca="false">IF(D103="totale",(C103/(A103*24))/F103,IF(D103="marché libre",(C103/(A103*24))/G103,"spécifier histo"))</f>
        <v>0</v>
      </c>
      <c r="F103" s="59" t="n">
        <v>250</v>
      </c>
      <c r="G103" s="59" t="n">
        <f aca="false">F103-H103</f>
        <v>250</v>
      </c>
      <c r="H103" s="59" t="n">
        <v>0</v>
      </c>
      <c r="I103" s="9"/>
      <c r="J103" s="205"/>
      <c r="K103" s="206"/>
    </row>
    <row r="104" customFormat="false" ht="23" hidden="false" customHeight="true" outlineLevel="0" collapsed="false">
      <c r="A104" s="0" t="n">
        <v>30</v>
      </c>
      <c r="B104" s="31" t="n">
        <v>40118</v>
      </c>
      <c r="C104" s="1" t="n">
        <v>20005</v>
      </c>
      <c r="D104" s="1" t="s">
        <v>42</v>
      </c>
      <c r="E104" s="33" t="n">
        <f aca="false">IF(D104="totale",(C104/(A104*24))/F104,IF(D104="marché libre",(C104/(A104*24))/G104,"spécifier histo"))</f>
        <v>0.111138888888889</v>
      </c>
      <c r="F104" s="59" t="n">
        <v>250</v>
      </c>
      <c r="G104" s="59" t="n">
        <f aca="false">F104-H104</f>
        <v>250</v>
      </c>
      <c r="H104" s="59" t="n">
        <v>0</v>
      </c>
      <c r="I104" s="9"/>
      <c r="J104" s="205"/>
      <c r="K104" s="206"/>
    </row>
    <row r="105" customFormat="false" ht="23" hidden="false" customHeight="true" outlineLevel="0" collapsed="false">
      <c r="A105" s="0" t="n">
        <v>31</v>
      </c>
      <c r="B105" s="34" t="n">
        <v>40148</v>
      </c>
      <c r="C105" s="1" t="n">
        <v>13990</v>
      </c>
      <c r="D105" s="1" t="s">
        <v>42</v>
      </c>
      <c r="E105" s="33" t="n">
        <f aca="false">IF(D105="totale",(C105/(A105*24))/F105,IF(D105="marché libre",(C105/(A105*24))/G105,"spécifier histo"))</f>
        <v>0.0752150537634409</v>
      </c>
      <c r="F105" s="59" t="n">
        <v>250</v>
      </c>
      <c r="G105" s="59" t="n">
        <f aca="false">F105-H105</f>
        <v>250</v>
      </c>
      <c r="H105" s="59" t="n">
        <v>0</v>
      </c>
      <c r="I105" s="9"/>
      <c r="J105" s="205"/>
      <c r="K105" s="206"/>
    </row>
    <row r="106" customFormat="false" ht="23" hidden="false" customHeight="true" outlineLevel="0" collapsed="false">
      <c r="A106" s="0" t="n">
        <v>31</v>
      </c>
      <c r="B106" s="31" t="n">
        <v>40179</v>
      </c>
      <c r="C106" s="1" t="n">
        <v>49770</v>
      </c>
      <c r="D106" s="1" t="s">
        <v>42</v>
      </c>
      <c r="E106" s="33" t="n">
        <f aca="false">IF(D106="totale",(C106/(A106*24))/F106,IF(D106="marché libre",(C106/(A106*24))/G106,"spécifier histo"))</f>
        <v>0.26758064516129</v>
      </c>
      <c r="F106" s="59" t="n">
        <v>250</v>
      </c>
      <c r="G106" s="59" t="n">
        <f aca="false">F106-H106</f>
        <v>250</v>
      </c>
      <c r="H106" s="59" t="n">
        <v>0</v>
      </c>
      <c r="I106" s="9"/>
      <c r="J106" s="205"/>
      <c r="K106" s="206"/>
    </row>
    <row r="107" customFormat="false" ht="23" hidden="false" customHeight="true" outlineLevel="0" collapsed="false">
      <c r="A107" s="0" t="n">
        <v>28</v>
      </c>
      <c r="B107" s="34" t="n">
        <v>40210</v>
      </c>
      <c r="C107" s="1" t="n">
        <v>83900</v>
      </c>
      <c r="D107" s="1" t="s">
        <v>42</v>
      </c>
      <c r="E107" s="33" t="n">
        <f aca="false">IF(D107="totale",(C107/(A107*24))/F107,IF(D107="marché libre",(C107/(A107*24))/G107,"spécifier histo"))</f>
        <v>0.499404761904762</v>
      </c>
      <c r="F107" s="59" t="n">
        <v>250</v>
      </c>
      <c r="G107" s="59" t="n">
        <f aca="false">F107-H107</f>
        <v>250</v>
      </c>
      <c r="H107" s="59" t="n">
        <v>0</v>
      </c>
      <c r="I107" s="9"/>
      <c r="J107" s="205"/>
      <c r="K107" s="206"/>
    </row>
    <row r="108" customFormat="false" ht="23" hidden="false" customHeight="true" outlineLevel="0" collapsed="false">
      <c r="A108" s="0" t="n">
        <v>31</v>
      </c>
      <c r="B108" s="31" t="n">
        <v>40238</v>
      </c>
      <c r="C108" s="1" t="n">
        <v>137740</v>
      </c>
      <c r="D108" s="1" t="s">
        <v>42</v>
      </c>
      <c r="E108" s="33" t="n">
        <f aca="false">IF(D108="totale",(C108/(A108*24))/F108,IF(D108="marché libre",(C108/(A108*24))/G108,"spécifier histo"))</f>
        <v>0.740537634408602</v>
      </c>
      <c r="F108" s="59" t="n">
        <v>250</v>
      </c>
      <c r="G108" s="59" t="n">
        <f aca="false">F108-H108</f>
        <v>250</v>
      </c>
      <c r="H108" s="59" t="n">
        <v>0</v>
      </c>
      <c r="I108" s="9"/>
      <c r="J108" s="205"/>
      <c r="K108" s="206"/>
    </row>
    <row r="109" customFormat="false" ht="23" hidden="false" customHeight="true" outlineLevel="0" collapsed="false">
      <c r="A109" s="0" t="n">
        <v>30</v>
      </c>
      <c r="B109" s="34" t="n">
        <v>40269</v>
      </c>
      <c r="C109" s="1" t="n">
        <v>77595</v>
      </c>
      <c r="D109" s="1" t="s">
        <v>42</v>
      </c>
      <c r="E109" s="33" t="n">
        <f aca="false">IF(D109="totale",(C109/(A109*24))/F109,IF(D109="marché libre",(C109/(A109*24))/G109,"spécifier histo"))</f>
        <v>0.431083333333333</v>
      </c>
      <c r="F109" s="59" t="n">
        <v>250</v>
      </c>
      <c r="G109" s="59" t="n">
        <f aca="false">F109-H109</f>
        <v>250</v>
      </c>
      <c r="H109" s="59" t="n">
        <v>0</v>
      </c>
      <c r="I109" s="9"/>
      <c r="J109" s="205"/>
      <c r="K109" s="206"/>
    </row>
    <row r="110" customFormat="false" ht="23" hidden="false" customHeight="true" outlineLevel="0" collapsed="false">
      <c r="A110" s="0" t="n">
        <v>31</v>
      </c>
      <c r="B110" s="31" t="n">
        <v>40299</v>
      </c>
      <c r="C110" s="1" t="n">
        <v>37365</v>
      </c>
      <c r="D110" s="1" t="s">
        <v>42</v>
      </c>
      <c r="E110" s="33" t="n">
        <f aca="false">IF(D110="totale",(C110/(A110*24))/F110,IF(D110="marché libre",(C110/(A110*24))/G110,"spécifier histo"))</f>
        <v>0.200887096774193</v>
      </c>
      <c r="F110" s="59" t="n">
        <v>250</v>
      </c>
      <c r="G110" s="59" t="n">
        <f aca="false">F110-H110</f>
        <v>250</v>
      </c>
      <c r="H110" s="59" t="n">
        <v>0</v>
      </c>
      <c r="I110" s="9"/>
      <c r="J110" s="205"/>
      <c r="K110" s="206"/>
    </row>
    <row r="111" customFormat="false" ht="23" hidden="false" customHeight="true" outlineLevel="0" collapsed="false">
      <c r="A111" s="0" t="n">
        <v>30</v>
      </c>
      <c r="B111" s="34" t="n">
        <v>40330</v>
      </c>
      <c r="C111" s="1" t="n">
        <v>22780</v>
      </c>
      <c r="D111" s="1" t="s">
        <v>42</v>
      </c>
      <c r="E111" s="33" t="n">
        <f aca="false">IF(D111="totale",(C111/(A111*24))/F111,IF(D111="marché libre",(C111/(A111*24))/G111,"spécifier histo"))</f>
        <v>0.126555555555556</v>
      </c>
      <c r="F111" s="59" t="n">
        <v>250</v>
      </c>
      <c r="G111" s="59" t="n">
        <f aca="false">F111-H111</f>
        <v>250</v>
      </c>
      <c r="H111" s="59" t="n">
        <v>0</v>
      </c>
      <c r="I111" s="9"/>
      <c r="J111" s="205"/>
      <c r="K111" s="206"/>
    </row>
    <row r="112" customFormat="false" ht="23" hidden="false" customHeight="true" outlineLevel="0" collapsed="false">
      <c r="A112" s="0" t="n">
        <v>31</v>
      </c>
      <c r="B112" s="31" t="n">
        <v>40360</v>
      </c>
      <c r="C112" s="1" t="n">
        <v>5625</v>
      </c>
      <c r="D112" s="1" t="s">
        <v>42</v>
      </c>
      <c r="E112" s="33" t="n">
        <f aca="false">IF(D112="totale",(C112/(A112*24))/F112,IF(D112="marché libre",(C112/(A112*24))/G112,"spécifier histo"))</f>
        <v>0.030241935483871</v>
      </c>
      <c r="F112" s="59" t="n">
        <v>250</v>
      </c>
      <c r="G112" s="59" t="n">
        <f aca="false">F112-H112</f>
        <v>250</v>
      </c>
      <c r="H112" s="59" t="n">
        <v>0</v>
      </c>
      <c r="I112" s="9"/>
      <c r="J112" s="205"/>
      <c r="K112" s="206"/>
    </row>
    <row r="113" customFormat="false" ht="23" hidden="false" customHeight="true" outlineLevel="0" collapsed="false">
      <c r="A113" s="0" t="n">
        <v>31</v>
      </c>
      <c r="B113" s="34" t="n">
        <v>40391</v>
      </c>
      <c r="C113" s="1" t="n">
        <v>0</v>
      </c>
      <c r="D113" s="1" t="s">
        <v>42</v>
      </c>
      <c r="E113" s="33" t="n">
        <f aca="false">IF(D113="totale",(C113/(A113*24))/F113,IF(D113="marché libre",(C113/(A113*24))/G113,"spécifier histo"))</f>
        <v>0</v>
      </c>
      <c r="F113" s="59" t="n">
        <v>250</v>
      </c>
      <c r="G113" s="59" t="n">
        <f aca="false">F113-H113</f>
        <v>250</v>
      </c>
      <c r="H113" s="59" t="n">
        <v>0</v>
      </c>
      <c r="I113" s="9"/>
      <c r="J113" s="205"/>
      <c r="K113" s="206"/>
    </row>
    <row r="114" customFormat="false" ht="23" hidden="false" customHeight="true" outlineLevel="0" collapsed="false">
      <c r="A114" s="0" t="n">
        <v>30</v>
      </c>
      <c r="B114" s="31" t="n">
        <v>40422</v>
      </c>
      <c r="C114" s="1" t="n">
        <v>0</v>
      </c>
      <c r="D114" s="1" t="s">
        <v>42</v>
      </c>
      <c r="E114" s="33" t="n">
        <f aca="false">IF(D114="totale",(C114/(A114*24))/F114,IF(D114="marché libre",(C114/(A114*24))/G114,"spécifier histo"))</f>
        <v>0</v>
      </c>
      <c r="F114" s="59" t="n">
        <v>250</v>
      </c>
      <c r="G114" s="59" t="n">
        <f aca="false">F114-H114</f>
        <v>250</v>
      </c>
      <c r="H114" s="59" t="n">
        <v>0</v>
      </c>
      <c r="I114" s="9"/>
      <c r="J114" s="205"/>
      <c r="K114" s="206"/>
    </row>
    <row r="115" customFormat="false" ht="23" hidden="false" customHeight="true" outlineLevel="0" collapsed="false">
      <c r="A115" s="0" t="n">
        <v>31</v>
      </c>
      <c r="B115" s="34" t="n">
        <v>40452</v>
      </c>
      <c r="C115" s="1" t="n">
        <v>24470</v>
      </c>
      <c r="D115" s="1" t="s">
        <v>42</v>
      </c>
      <c r="E115" s="33" t="n">
        <f aca="false">IF(D115="totale",(C115/(A115*24))/F115,IF(D115="marché libre",(C115/(A115*24))/G115,"spécifier histo"))</f>
        <v>0.131559139784946</v>
      </c>
      <c r="F115" s="59" t="n">
        <v>250</v>
      </c>
      <c r="G115" s="59" t="n">
        <f aca="false">F115-H115</f>
        <v>250</v>
      </c>
      <c r="H115" s="59" t="n">
        <v>0</v>
      </c>
      <c r="I115" s="9"/>
      <c r="J115" s="205"/>
      <c r="K115" s="206"/>
    </row>
    <row r="116" customFormat="false" ht="23" hidden="false" customHeight="true" outlineLevel="0" collapsed="false">
      <c r="A116" s="0" t="n">
        <v>30</v>
      </c>
      <c r="B116" s="31" t="n">
        <v>40483</v>
      </c>
      <c r="C116" s="1" t="n">
        <v>45355</v>
      </c>
      <c r="D116" s="1" t="s">
        <v>42</v>
      </c>
      <c r="E116" s="33" t="n">
        <f aca="false">IF(D116="totale",(C116/(A116*24))/F116,IF(D116="marché libre",(C116/(A116*24))/G116,"spécifier histo"))</f>
        <v>0.251972222222222</v>
      </c>
      <c r="F116" s="59" t="n">
        <v>250</v>
      </c>
      <c r="G116" s="59" t="n">
        <f aca="false">F116-H116</f>
        <v>250</v>
      </c>
      <c r="H116" s="59" t="n">
        <v>0</v>
      </c>
      <c r="I116" s="9"/>
      <c r="J116" s="205"/>
      <c r="K116" s="206"/>
    </row>
    <row r="117" customFormat="false" ht="23" hidden="false" customHeight="true" outlineLevel="0" collapsed="false">
      <c r="A117" s="0" t="n">
        <v>31</v>
      </c>
      <c r="B117" s="34" t="n">
        <v>40513</v>
      </c>
      <c r="C117" s="1" t="n">
        <v>54535</v>
      </c>
      <c r="D117" s="1" t="s">
        <v>42</v>
      </c>
      <c r="E117" s="33" t="n">
        <f aca="false">IF(D117="totale",(C117/(A117*24))/F117,IF(D117="marché libre",(C117/(A117*24))/G117,"spécifier histo"))</f>
        <v>0.293198924731183</v>
      </c>
      <c r="F117" s="59" t="n">
        <v>250</v>
      </c>
      <c r="G117" s="59" t="n">
        <f aca="false">F117-H117</f>
        <v>250</v>
      </c>
      <c r="H117" s="59" t="n">
        <v>0</v>
      </c>
      <c r="I117" s="9"/>
      <c r="J117" s="205"/>
      <c r="K117" s="206"/>
    </row>
    <row r="118" customFormat="false" ht="23" hidden="false" customHeight="true" outlineLevel="0" collapsed="false">
      <c r="A118" s="0" t="n">
        <v>31</v>
      </c>
      <c r="B118" s="31" t="n">
        <v>40544</v>
      </c>
      <c r="C118" s="1" t="n">
        <v>97915</v>
      </c>
      <c r="D118" s="1" t="s">
        <v>42</v>
      </c>
      <c r="E118" s="33" t="n">
        <f aca="false">IF(D118="totale",(C118/(A118*24))/F118,IF(D118="marché libre",(C118/(A118*24))/G118,"spécifier histo"))</f>
        <v>0.526424731182796</v>
      </c>
      <c r="F118" s="59" t="n">
        <v>250</v>
      </c>
      <c r="G118" s="59" t="n">
        <f aca="false">F118-H118</f>
        <v>250</v>
      </c>
      <c r="H118" s="59" t="n">
        <v>0</v>
      </c>
      <c r="I118" s="9"/>
      <c r="J118" s="205"/>
      <c r="K118" s="206"/>
    </row>
    <row r="119" customFormat="false" ht="23" hidden="false" customHeight="true" outlineLevel="0" collapsed="false">
      <c r="A119" s="0" t="n">
        <v>28</v>
      </c>
      <c r="B119" s="34" t="n">
        <v>40575</v>
      </c>
      <c r="C119" s="1" t="n">
        <v>25835</v>
      </c>
      <c r="D119" s="1" t="s">
        <v>42</v>
      </c>
      <c r="E119" s="33" t="n">
        <f aca="false">IF(D119="totale",(C119/(A119*24))/F119,IF(D119="marché libre",(C119/(A119*24))/G119,"spécifier histo"))</f>
        <v>0.153779761904762</v>
      </c>
      <c r="F119" s="59" t="n">
        <v>250</v>
      </c>
      <c r="G119" s="59" t="n">
        <f aca="false">F119-H119</f>
        <v>250</v>
      </c>
      <c r="H119" s="59" t="n">
        <v>0</v>
      </c>
      <c r="I119" s="9"/>
      <c r="J119" s="205"/>
      <c r="K119" s="206"/>
    </row>
    <row r="120" customFormat="false" ht="23" hidden="false" customHeight="true" outlineLevel="0" collapsed="false">
      <c r="A120" s="0" t="n">
        <v>31</v>
      </c>
      <c r="B120" s="31" t="n">
        <v>40603</v>
      </c>
      <c r="C120" s="1" t="n">
        <v>98695</v>
      </c>
      <c r="D120" s="1" t="s">
        <v>42</v>
      </c>
      <c r="E120" s="33" t="n">
        <f aca="false">IF(D120="totale",(C120/(A120*24))/F120,IF(D120="marché libre",(C120/(A120*24))/G120,"spécifier histo"))</f>
        <v>0.530618279569892</v>
      </c>
      <c r="F120" s="59" t="n">
        <v>250</v>
      </c>
      <c r="G120" s="59" t="n">
        <f aca="false">F120-H120</f>
        <v>250</v>
      </c>
      <c r="H120" s="59" t="n">
        <v>0</v>
      </c>
      <c r="I120" s="9"/>
      <c r="J120" s="205"/>
      <c r="K120" s="206"/>
    </row>
    <row r="121" customFormat="false" ht="23" hidden="false" customHeight="true" outlineLevel="0" collapsed="false">
      <c r="A121" s="0" t="n">
        <v>30</v>
      </c>
      <c r="B121" s="34" t="n">
        <v>40634</v>
      </c>
      <c r="C121" s="1" t="n">
        <v>39950</v>
      </c>
      <c r="D121" s="1" t="s">
        <v>42</v>
      </c>
      <c r="E121" s="33" t="n">
        <f aca="false">IF(D121="totale",(C121/(A121*24))/F121,IF(D121="marché libre",(C121/(A121*24))/G121,"spécifier histo"))</f>
        <v>0.221944444444444</v>
      </c>
      <c r="F121" s="59" t="n">
        <v>250</v>
      </c>
      <c r="G121" s="59" t="n">
        <f aca="false">F121-H121</f>
        <v>250</v>
      </c>
      <c r="H121" s="59" t="n">
        <v>0</v>
      </c>
      <c r="I121" s="9"/>
      <c r="J121" s="205"/>
      <c r="K121" s="206"/>
    </row>
    <row r="122" customFormat="false" ht="23" hidden="false" customHeight="true" outlineLevel="0" collapsed="false">
      <c r="A122" s="0" t="n">
        <v>31</v>
      </c>
      <c r="B122" s="31" t="n">
        <v>40664</v>
      </c>
      <c r="C122" s="1" t="n">
        <v>17510</v>
      </c>
      <c r="D122" s="1" t="s">
        <v>42</v>
      </c>
      <c r="E122" s="33" t="n">
        <f aca="false">IF(D122="totale",(C122/(A122*24))/F122,IF(D122="marché libre",(C122/(A122*24))/G122,"spécifier histo"))</f>
        <v>0.0941397849462366</v>
      </c>
      <c r="F122" s="59" t="n">
        <v>250</v>
      </c>
      <c r="G122" s="59" t="n">
        <f aca="false">F122-H122</f>
        <v>250</v>
      </c>
      <c r="H122" s="59" t="n">
        <v>0</v>
      </c>
      <c r="I122" s="9"/>
      <c r="J122" s="205"/>
      <c r="K122" s="206"/>
    </row>
    <row r="123" customFormat="false" ht="23" hidden="false" customHeight="true" outlineLevel="0" collapsed="false">
      <c r="A123" s="0" t="n">
        <v>30</v>
      </c>
      <c r="B123" s="34" t="n">
        <v>40695</v>
      </c>
      <c r="C123" s="1" t="n">
        <v>3760</v>
      </c>
      <c r="D123" s="1" t="s">
        <v>42</v>
      </c>
      <c r="E123" s="33" t="n">
        <f aca="false">IF(D123="totale",(C123/(A123*24))/F123,IF(D123="marché libre",(C123/(A123*24))/G123,"spécifier histo"))</f>
        <v>0.0208888888888889</v>
      </c>
      <c r="F123" s="59" t="n">
        <v>250</v>
      </c>
      <c r="G123" s="59" t="n">
        <f aca="false">F123-H123</f>
        <v>250</v>
      </c>
      <c r="H123" s="59" t="n">
        <v>0</v>
      </c>
      <c r="I123" s="9"/>
      <c r="J123" s="205"/>
      <c r="K123" s="206"/>
    </row>
    <row r="124" customFormat="false" ht="23" hidden="false" customHeight="true" outlineLevel="0" collapsed="false">
      <c r="A124" s="0" t="n">
        <v>31</v>
      </c>
      <c r="B124" s="31" t="n">
        <v>40725</v>
      </c>
      <c r="C124" s="1" t="n">
        <v>0</v>
      </c>
      <c r="D124" s="1" t="s">
        <v>42</v>
      </c>
      <c r="E124" s="33" t="n">
        <f aca="false">IF(D124="totale",(C124/(A124*24))/F124,IF(D124="marché libre",(C124/(A124*24))/G124,"spécifier histo"))</f>
        <v>0</v>
      </c>
      <c r="F124" s="59" t="n">
        <v>250</v>
      </c>
      <c r="G124" s="59" t="n">
        <f aca="false">F124-H124</f>
        <v>250</v>
      </c>
      <c r="H124" s="59" t="n">
        <v>0</v>
      </c>
      <c r="I124" s="9"/>
      <c r="J124" s="205"/>
      <c r="K124" s="206"/>
    </row>
    <row r="125" customFormat="false" ht="23" hidden="false" customHeight="true" outlineLevel="0" collapsed="false">
      <c r="A125" s="0" t="n">
        <v>31</v>
      </c>
      <c r="B125" s="34" t="n">
        <v>40756</v>
      </c>
      <c r="C125" s="1" t="n">
        <v>0</v>
      </c>
      <c r="D125" s="1" t="s">
        <v>42</v>
      </c>
      <c r="E125" s="33" t="n">
        <f aca="false">IF(D125="totale",(C125/(A125*24))/F125,IF(D125="marché libre",(C125/(A125*24))/G125,"spécifier histo"))</f>
        <v>0</v>
      </c>
      <c r="F125" s="59" t="n">
        <v>250</v>
      </c>
      <c r="G125" s="59" t="n">
        <f aca="false">F125-H125</f>
        <v>250</v>
      </c>
      <c r="H125" s="59" t="n">
        <v>0</v>
      </c>
      <c r="I125" s="9"/>
      <c r="J125" s="205"/>
      <c r="K125" s="206"/>
    </row>
    <row r="126" customFormat="false" ht="23" hidden="false" customHeight="true" outlineLevel="0" collapsed="false">
      <c r="A126" s="0" t="n">
        <v>30</v>
      </c>
      <c r="B126" s="31" t="n">
        <v>40787</v>
      </c>
      <c r="C126" s="1" t="n">
        <v>0</v>
      </c>
      <c r="D126" s="1" t="s">
        <v>42</v>
      </c>
      <c r="E126" s="33" t="n">
        <f aca="false">IF(D126="totale",(C126/(A126*24))/F126,IF(D126="marché libre",(C126/(A126*24))/G126,"spécifier histo"))</f>
        <v>0</v>
      </c>
      <c r="F126" s="59" t="n">
        <v>250</v>
      </c>
      <c r="G126" s="59" t="n">
        <f aca="false">F126-H126</f>
        <v>250</v>
      </c>
      <c r="H126" s="59" t="n">
        <v>0</v>
      </c>
      <c r="I126" s="9"/>
      <c r="J126" s="205"/>
      <c r="K126" s="206"/>
    </row>
    <row r="127" customFormat="false" ht="23" hidden="false" customHeight="true" outlineLevel="0" collapsed="false">
      <c r="A127" s="0" t="n">
        <v>31</v>
      </c>
      <c r="B127" s="34" t="n">
        <v>40817</v>
      </c>
      <c r="C127" s="1" t="n">
        <v>7105</v>
      </c>
      <c r="D127" s="1" t="s">
        <v>42</v>
      </c>
      <c r="E127" s="33" t="n">
        <f aca="false">IF(D127="totale",(C127/(A127*24))/F127,IF(D127="marché libre",(C127/(A127*24))/G127,"spécifier histo"))</f>
        <v>0.0381989247311828</v>
      </c>
      <c r="F127" s="59" t="n">
        <v>250</v>
      </c>
      <c r="G127" s="59" t="n">
        <f aca="false">F127-H127</f>
        <v>250</v>
      </c>
      <c r="H127" s="59" t="n">
        <v>0</v>
      </c>
      <c r="I127" s="9"/>
      <c r="J127" s="205"/>
      <c r="K127" s="206"/>
    </row>
    <row r="128" customFormat="false" ht="23" hidden="false" customHeight="true" outlineLevel="0" collapsed="false">
      <c r="A128" s="0" t="n">
        <v>30</v>
      </c>
      <c r="B128" s="31" t="n">
        <v>40848</v>
      </c>
      <c r="C128" s="1" t="n">
        <v>81950</v>
      </c>
      <c r="D128" s="1" t="s">
        <v>42</v>
      </c>
      <c r="E128" s="33" t="n">
        <f aca="false">IF(D128="totale",(C128/(A128*24))/F128,IF(D128="marché libre",(C128/(A128*24))/G128,"spécifier histo"))</f>
        <v>0.455277777777778</v>
      </c>
      <c r="F128" s="59" t="n">
        <v>250</v>
      </c>
      <c r="G128" s="59" t="n">
        <f aca="false">F128-H128</f>
        <v>250</v>
      </c>
      <c r="H128" s="59" t="n">
        <v>0</v>
      </c>
      <c r="I128" s="9"/>
      <c r="J128" s="205"/>
      <c r="K128" s="206"/>
    </row>
    <row r="129" customFormat="false" ht="23" hidden="false" customHeight="true" outlineLevel="0" collapsed="false">
      <c r="A129" s="0" t="n">
        <v>31</v>
      </c>
      <c r="B129" s="34" t="n">
        <v>40878</v>
      </c>
      <c r="C129" s="1" t="n">
        <v>72560</v>
      </c>
      <c r="D129" s="1" t="s">
        <v>42</v>
      </c>
      <c r="E129" s="33" t="n">
        <f aca="false">IF(D129="totale",(C129/(A129*24))/F129,IF(D129="marché libre",(C129/(A129*24))/G129,"spécifier histo"))</f>
        <v>0.39010752688172</v>
      </c>
      <c r="F129" s="59" t="n">
        <v>250</v>
      </c>
      <c r="G129" s="59" t="n">
        <f aca="false">F129-H129</f>
        <v>250</v>
      </c>
      <c r="H129" s="59" t="n">
        <v>0</v>
      </c>
      <c r="I129" s="9"/>
      <c r="J129" s="205"/>
      <c r="K129" s="206"/>
    </row>
    <row r="130" customFormat="false" ht="23" hidden="false" customHeight="true" outlineLevel="0" collapsed="false">
      <c r="A130" s="0" t="n">
        <v>31</v>
      </c>
      <c r="B130" s="31" t="n">
        <v>40909</v>
      </c>
      <c r="C130" s="1" t="n">
        <v>27505</v>
      </c>
      <c r="D130" s="1" t="s">
        <v>42</v>
      </c>
      <c r="E130" s="33" t="n">
        <f aca="false">IF(D130="totale",(C130/(A130*24))/F130,IF(D130="marché libre",(C130/(A130*24))/G130,"spécifier histo"))</f>
        <v>0.147876344086022</v>
      </c>
      <c r="F130" s="59" t="n">
        <v>250</v>
      </c>
      <c r="G130" s="59" t="n">
        <f aca="false">F130-H130</f>
        <v>250</v>
      </c>
      <c r="H130" s="59" t="n">
        <v>0</v>
      </c>
      <c r="I130" s="9"/>
      <c r="J130" s="205"/>
      <c r="K130" s="206"/>
    </row>
    <row r="131" customFormat="false" ht="23" hidden="false" customHeight="true" outlineLevel="0" collapsed="false">
      <c r="A131" s="0" t="n">
        <v>31</v>
      </c>
      <c r="B131" s="34" t="n">
        <v>40940</v>
      </c>
      <c r="C131" s="1" t="n">
        <v>9505</v>
      </c>
      <c r="D131" s="1" t="s">
        <v>42</v>
      </c>
      <c r="E131" s="33" t="n">
        <f aca="false">IF(D131="totale",(C131/(A131*24))/F131,IF(D131="marché libre",(C131/(A131*24))/G131,"spécifier histo"))</f>
        <v>0.0511021505376344</v>
      </c>
      <c r="F131" s="59" t="n">
        <v>250</v>
      </c>
      <c r="G131" s="59" t="n">
        <f aca="false">F131-H131</f>
        <v>250</v>
      </c>
      <c r="H131" s="59" t="n">
        <v>0</v>
      </c>
      <c r="I131" s="9"/>
      <c r="J131" s="205"/>
      <c r="K131" s="206"/>
    </row>
    <row r="132" customFormat="false" ht="23" hidden="false" customHeight="true" outlineLevel="0" collapsed="false">
      <c r="A132" s="0" t="n">
        <v>30</v>
      </c>
      <c r="B132" s="31" t="n">
        <v>40969</v>
      </c>
      <c r="C132" s="1" t="n">
        <v>2995</v>
      </c>
      <c r="D132" s="1" t="s">
        <v>42</v>
      </c>
      <c r="E132" s="33" t="n">
        <f aca="false">IF(D132="totale",(C132/(A132*24))/F132,IF(D132="marché libre",(C132/(A132*24))/G132,"spécifier histo"))</f>
        <v>0.0166388888888889</v>
      </c>
      <c r="F132" s="59" t="n">
        <v>250</v>
      </c>
      <c r="G132" s="59" t="n">
        <f aca="false">F132-H132</f>
        <v>250</v>
      </c>
      <c r="H132" s="59" t="n">
        <v>0</v>
      </c>
      <c r="I132" s="9"/>
      <c r="J132" s="205"/>
      <c r="K132" s="206"/>
    </row>
    <row r="133" customFormat="false" ht="23" hidden="false" customHeight="true" outlineLevel="0" collapsed="false">
      <c r="A133" s="0" t="n">
        <v>31</v>
      </c>
      <c r="B133" s="34" t="n">
        <v>41000</v>
      </c>
      <c r="C133" s="1" t="n">
        <v>38540</v>
      </c>
      <c r="D133" s="1" t="s">
        <v>42</v>
      </c>
      <c r="E133" s="33" t="n">
        <f aca="false">IF(D133="totale",(C133/(A133*24))/F133,IF(D133="marché libre",(C133/(A133*24))/G133,"spécifier histo"))</f>
        <v>0.207204301075269</v>
      </c>
      <c r="F133" s="59" t="n">
        <v>250</v>
      </c>
      <c r="G133" s="59" t="n">
        <f aca="false">F133-H133</f>
        <v>250</v>
      </c>
      <c r="H133" s="59" t="n">
        <v>0</v>
      </c>
      <c r="I133" s="9"/>
      <c r="J133" s="205"/>
      <c r="K133" s="206"/>
    </row>
    <row r="134" customFormat="false" ht="23" hidden="false" customHeight="true" outlineLevel="0" collapsed="false">
      <c r="A134" s="0" t="n">
        <v>30</v>
      </c>
      <c r="B134" s="31" t="n">
        <v>41030</v>
      </c>
      <c r="C134" s="1" t="n">
        <v>64912</v>
      </c>
      <c r="D134" s="1" t="s">
        <v>42</v>
      </c>
      <c r="E134" s="33" t="n">
        <f aca="false">IF(D134="totale",(C134/(A134*24))/F134,IF(D134="marché libre",(C134/(A134*24))/G134,"spécifier histo"))</f>
        <v>0.360622222222222</v>
      </c>
      <c r="F134" s="59" t="n">
        <v>250</v>
      </c>
      <c r="G134" s="59" t="n">
        <f aca="false">F134-H134</f>
        <v>250</v>
      </c>
      <c r="H134" s="59" t="n">
        <v>0</v>
      </c>
      <c r="I134" s="9"/>
      <c r="J134" s="205"/>
      <c r="K134" s="206"/>
    </row>
    <row r="135" customFormat="false" ht="23" hidden="false" customHeight="true" outlineLevel="0" collapsed="false">
      <c r="A135" s="0" t="n">
        <v>31</v>
      </c>
      <c r="B135" s="34" t="n">
        <v>41061</v>
      </c>
      <c r="C135" s="1" t="n">
        <v>17208</v>
      </c>
      <c r="D135" s="1" t="s">
        <v>42</v>
      </c>
      <c r="E135" s="33" t="n">
        <f aca="false">IF(D135="totale",(C135/(A135*24))/F135,IF(D135="marché libre",(C135/(A135*24))/G135,"spécifier histo"))</f>
        <v>0.0925161290322581</v>
      </c>
      <c r="F135" s="59" t="n">
        <v>250</v>
      </c>
      <c r="G135" s="59" t="n">
        <f aca="false">F135-H135</f>
        <v>250</v>
      </c>
      <c r="H135" s="59" t="n">
        <v>0</v>
      </c>
      <c r="I135" s="9"/>
      <c r="J135" s="205"/>
      <c r="K135" s="206"/>
    </row>
    <row r="136" customFormat="false" ht="23" hidden="false" customHeight="true" outlineLevel="0" collapsed="false">
      <c r="A136" s="0" t="n">
        <v>31</v>
      </c>
      <c r="B136" s="31" t="n">
        <v>41091</v>
      </c>
      <c r="C136" s="1" t="n">
        <v>0</v>
      </c>
      <c r="D136" s="1" t="s">
        <v>42</v>
      </c>
      <c r="E136" s="33" t="n">
        <f aca="false">IF(D136="totale",(C136/(A136*24))/F136,IF(D136="marché libre",(C136/(A136*24))/G136,"spécifier histo"))</f>
        <v>0</v>
      </c>
      <c r="F136" s="59" t="n">
        <v>250</v>
      </c>
      <c r="G136" s="59" t="n">
        <f aca="false">F136-H136</f>
        <v>250</v>
      </c>
      <c r="H136" s="59" t="n">
        <v>0</v>
      </c>
      <c r="I136" s="9"/>
      <c r="J136" s="205"/>
      <c r="K136" s="206"/>
    </row>
    <row r="137" customFormat="false" ht="23" hidden="false" customHeight="true" outlineLevel="0" collapsed="false">
      <c r="A137" s="0" t="n">
        <v>31</v>
      </c>
      <c r="B137" s="34" t="n">
        <v>41122</v>
      </c>
      <c r="C137" s="1" t="n">
        <v>0</v>
      </c>
      <c r="D137" s="1" t="s">
        <v>42</v>
      </c>
      <c r="E137" s="33" t="n">
        <f aca="false">IF(D137="totale",(C137/(A137*24))/F137,IF(D137="marché libre",(C137/(A137*24))/G137,"spécifier histo"))</f>
        <v>0</v>
      </c>
      <c r="F137" s="59" t="n">
        <v>250</v>
      </c>
      <c r="G137" s="59" t="n">
        <f aca="false">F137-H137</f>
        <v>250</v>
      </c>
      <c r="H137" s="59" t="n">
        <v>0</v>
      </c>
      <c r="I137" s="9"/>
      <c r="J137" s="205"/>
      <c r="K137" s="206"/>
    </row>
    <row r="138" customFormat="false" ht="23" hidden="false" customHeight="true" outlineLevel="0" collapsed="false">
      <c r="A138" s="0" t="n">
        <v>30</v>
      </c>
      <c r="B138" s="31" t="n">
        <v>41153</v>
      </c>
      <c r="C138" s="1" t="n">
        <v>0</v>
      </c>
      <c r="D138" s="1" t="s">
        <v>42</v>
      </c>
      <c r="E138" s="33" t="n">
        <f aca="false">IF(D138="totale",(C138/(A138*24))/F138,IF(D138="marché libre",(C138/(A138*24))/G138,"spécifier histo"))</f>
        <v>0</v>
      </c>
      <c r="F138" s="59" t="n">
        <v>250</v>
      </c>
      <c r="G138" s="59" t="n">
        <f aca="false">F138-H138</f>
        <v>250</v>
      </c>
      <c r="H138" s="59" t="n">
        <v>0</v>
      </c>
      <c r="I138" s="9"/>
      <c r="J138" s="205"/>
      <c r="K138" s="206"/>
    </row>
    <row r="139" customFormat="false" ht="20.5" hidden="false" customHeight="true" outlineLevel="0" collapsed="false">
      <c r="A139" s="0" t="n">
        <v>31</v>
      </c>
      <c r="B139" s="160" t="n">
        <v>41183</v>
      </c>
      <c r="C139" s="284" t="n">
        <v>23211</v>
      </c>
      <c r="D139" s="283" t="s">
        <v>42</v>
      </c>
      <c r="E139" s="163" t="n">
        <f aca="false">IF(D139="totale",(C139/(A139*24))/F139,IF(D139="marché libre",(C139/(A139*24))/G139,"spécifier histo"))</f>
        <v>0.124790322580645</v>
      </c>
      <c r="F139" s="284" t="n">
        <v>250</v>
      </c>
      <c r="G139" s="284" t="n">
        <f aca="false">F139-H139</f>
        <v>250</v>
      </c>
      <c r="H139" s="284" t="n">
        <v>0</v>
      </c>
      <c r="I139" s="9"/>
    </row>
    <row r="140" customFormat="false" ht="20.5" hidden="false" customHeight="true" outlineLevel="0" collapsed="false">
      <c r="A140" s="0" t="n">
        <v>30</v>
      </c>
      <c r="B140" s="31" t="n">
        <v>41214</v>
      </c>
      <c r="C140" s="1" t="n">
        <v>57436</v>
      </c>
      <c r="D140" s="1" t="s">
        <v>42</v>
      </c>
      <c r="E140" s="33" t="n">
        <f aca="false">IF(D140="totale",(C140/(A140*24))/F140,IF(D140="marché libre",(C140/(A140*24))/G140,"spécifier histo"))</f>
        <v>0.319088888888889</v>
      </c>
      <c r="F140" s="59" t="n">
        <v>250</v>
      </c>
      <c r="G140" s="59" t="n">
        <f aca="false">F140-H140</f>
        <v>250</v>
      </c>
      <c r="H140" s="59" t="n">
        <v>0</v>
      </c>
      <c r="I140" s="9"/>
      <c r="J140" s="0"/>
      <c r="K140" s="0"/>
      <c r="L140" s="0"/>
      <c r="M140" s="0"/>
      <c r="N140" s="0"/>
      <c r="O140" s="0"/>
      <c r="P140" s="0"/>
      <c r="Q140" s="0"/>
      <c r="R140" s="0"/>
      <c r="S140" s="0"/>
      <c r="T140" s="0"/>
      <c r="U140" s="0"/>
      <c r="V140" s="0"/>
    </row>
    <row r="141" customFormat="false" ht="20.5" hidden="false" customHeight="true" outlineLevel="0" collapsed="false">
      <c r="A141" s="0" t="n">
        <v>31</v>
      </c>
      <c r="B141" s="34" t="n">
        <v>41244</v>
      </c>
      <c r="C141" s="1" t="n">
        <v>57176</v>
      </c>
      <c r="D141" s="1" t="s">
        <v>42</v>
      </c>
      <c r="E141" s="33" t="n">
        <f aca="false">IF(D141="totale",(C141/(A141*24))/F141,IF(D141="marché libre",(C141/(A141*24))/G141,"spécifier histo"))</f>
        <v>0.307397849462366</v>
      </c>
      <c r="F141" s="59" t="n">
        <v>250</v>
      </c>
      <c r="G141" s="59" t="n">
        <f aca="false">F141-H141</f>
        <v>250</v>
      </c>
      <c r="H141" s="59" t="n">
        <v>0</v>
      </c>
      <c r="I141" s="9"/>
      <c r="J141" s="0"/>
      <c r="K141" s="0"/>
      <c r="L141" s="0"/>
      <c r="M141" s="0"/>
      <c r="N141" s="0"/>
      <c r="O141" s="0"/>
      <c r="P141" s="0"/>
      <c r="Q141" s="0"/>
      <c r="R141" s="0"/>
      <c r="S141" s="0"/>
      <c r="T141" s="0"/>
      <c r="U141" s="0"/>
      <c r="V141" s="0"/>
    </row>
    <row r="142" customFormat="false" ht="20.5" hidden="false" customHeight="true" outlineLevel="0" collapsed="false">
      <c r="A142" s="0" t="n">
        <v>31</v>
      </c>
      <c r="B142" s="31" t="n">
        <v>41275</v>
      </c>
      <c r="C142" s="104" t="n">
        <v>48293</v>
      </c>
      <c r="D142" s="1" t="s">
        <v>42</v>
      </c>
      <c r="E142" s="33" t="n">
        <f aca="false">IF(D142="totale",(C142/(A142*24))/F142,IF(D142="marché libre",(C142/(A142*24))/G142,"spécifier histo"))</f>
        <v>0.259639784946236</v>
      </c>
      <c r="F142" s="59" t="n">
        <v>250</v>
      </c>
      <c r="G142" s="59" t="n">
        <f aca="false">F142-H142</f>
        <v>250</v>
      </c>
      <c r="H142" s="59" t="n">
        <v>0</v>
      </c>
      <c r="I142" s="9"/>
      <c r="J142" s="0"/>
      <c r="K142" s="0"/>
      <c r="L142" s="0"/>
      <c r="M142" s="0"/>
      <c r="N142" s="0"/>
      <c r="O142" s="0"/>
      <c r="P142" s="0"/>
      <c r="Q142" s="0"/>
      <c r="R142" s="0"/>
      <c r="S142" s="0"/>
      <c r="T142" s="0"/>
      <c r="U142" s="0"/>
      <c r="V142" s="0"/>
    </row>
    <row r="143" customFormat="false" ht="20.5" hidden="false" customHeight="true" outlineLevel="0" collapsed="false">
      <c r="A143" s="0" t="n">
        <v>28</v>
      </c>
      <c r="B143" s="34" t="n">
        <v>41306</v>
      </c>
      <c r="C143" s="36" t="n">
        <v>35438</v>
      </c>
      <c r="D143" s="1" t="s">
        <v>42</v>
      </c>
      <c r="E143" s="33" t="n">
        <f aca="false">IF(D143="totale",(C143/(A143*24))/F143,IF(D143="marché libre",(C143/(A143*24))/G143,"spécifier histo"))</f>
        <v>0.210940476190476</v>
      </c>
      <c r="F143" s="59" t="n">
        <v>250</v>
      </c>
      <c r="G143" s="59" t="n">
        <f aca="false">F143-H143</f>
        <v>250</v>
      </c>
      <c r="H143" s="59" t="n">
        <v>0</v>
      </c>
      <c r="I143" s="9"/>
      <c r="J143" s="0"/>
      <c r="K143" s="0"/>
      <c r="L143" s="0"/>
      <c r="M143" s="0"/>
      <c r="N143" s="0"/>
      <c r="O143" s="0"/>
      <c r="P143" s="0"/>
      <c r="Q143" s="0"/>
      <c r="R143" s="0"/>
      <c r="S143" s="0"/>
      <c r="T143" s="0"/>
      <c r="U143" s="0"/>
      <c r="V143" s="0"/>
    </row>
    <row r="144" customFormat="false" ht="20.5" hidden="false" customHeight="true" outlineLevel="0" collapsed="false">
      <c r="A144" s="0" t="n">
        <v>31</v>
      </c>
      <c r="B144" s="31" t="n">
        <v>41334</v>
      </c>
      <c r="C144" s="36" t="n">
        <v>125694</v>
      </c>
      <c r="D144" s="1" t="s">
        <v>42</v>
      </c>
      <c r="E144" s="33" t="n">
        <f aca="false">IF(D144="totale",(C144/(A144*24))/F144,IF(D144="marché libre",(C144/(A144*24))/G144,"spécifier histo"))</f>
        <v>0.675774193548387</v>
      </c>
      <c r="F144" s="59" t="n">
        <v>250</v>
      </c>
      <c r="G144" s="59" t="n">
        <f aca="false">F144-H144</f>
        <v>250</v>
      </c>
      <c r="H144" s="59" t="n">
        <v>0</v>
      </c>
      <c r="I144" s="9"/>
      <c r="J144" s="0"/>
      <c r="K144" s="0"/>
      <c r="L144" s="0"/>
      <c r="M144" s="0"/>
      <c r="N144" s="0"/>
      <c r="O144" s="0"/>
      <c r="P144" s="0"/>
      <c r="Q144" s="0"/>
      <c r="R144" s="0"/>
      <c r="S144" s="0"/>
      <c r="T144" s="0"/>
      <c r="U144" s="0"/>
      <c r="V144" s="0"/>
    </row>
    <row r="145" customFormat="false" ht="20.5" hidden="false" customHeight="true" outlineLevel="0" collapsed="false">
      <c r="A145" s="0" t="n">
        <v>30</v>
      </c>
      <c r="B145" s="34" t="n">
        <v>41365</v>
      </c>
      <c r="C145" s="36" t="n">
        <v>96742</v>
      </c>
      <c r="D145" s="1" t="s">
        <v>42</v>
      </c>
      <c r="E145" s="33" t="n">
        <f aca="false">IF(D145="totale",(C145/(A145*24))/F145,IF(D145="marché libre",(C145/(A145*24))/G145,"spécifier histo"))</f>
        <v>0.537455555555556</v>
      </c>
      <c r="F145" s="59" t="n">
        <v>250</v>
      </c>
      <c r="G145" s="59" t="n">
        <f aca="false">F145-H145</f>
        <v>250</v>
      </c>
      <c r="H145" s="59" t="n">
        <v>0</v>
      </c>
      <c r="I145" s="9"/>
      <c r="J145" s="0"/>
      <c r="K145" s="0"/>
      <c r="L145" s="0"/>
      <c r="M145" s="0"/>
      <c r="N145" s="0"/>
      <c r="O145" s="0"/>
      <c r="P145" s="0"/>
      <c r="Q145" s="0"/>
      <c r="R145" s="0"/>
      <c r="S145" s="0"/>
      <c r="T145" s="0"/>
      <c r="U145" s="0"/>
      <c r="V145" s="0"/>
    </row>
    <row r="146" customFormat="false" ht="20.5" hidden="false" customHeight="true" outlineLevel="0" collapsed="false">
      <c r="A146" s="0" t="n">
        <v>31</v>
      </c>
      <c r="B146" s="31" t="n">
        <v>41395</v>
      </c>
      <c r="C146" s="36" t="n">
        <v>97104</v>
      </c>
      <c r="D146" s="1" t="s">
        <v>42</v>
      </c>
      <c r="E146" s="33" t="n">
        <f aca="false">IF(D146="totale",(C146/(A146*24))/F146,IF(D146="marché libre",(C146/(A146*24))/G146,"spécifier histo"))</f>
        <v>0.522064516129032</v>
      </c>
      <c r="F146" s="59" t="n">
        <v>250</v>
      </c>
      <c r="G146" s="59" t="n">
        <f aca="false">F146-H146</f>
        <v>250</v>
      </c>
      <c r="H146" s="59" t="n">
        <v>0</v>
      </c>
      <c r="I146" s="9"/>
      <c r="J146" s="0"/>
      <c r="K146" s="0"/>
      <c r="L146" s="0"/>
      <c r="M146" s="0"/>
      <c r="N146" s="0"/>
      <c r="O146" s="0"/>
      <c r="P146" s="0"/>
      <c r="Q146" s="0"/>
      <c r="R146" s="0"/>
      <c r="S146" s="0"/>
      <c r="T146" s="0"/>
      <c r="U146" s="0"/>
      <c r="V146" s="0"/>
    </row>
    <row r="147" customFormat="false" ht="20.5" hidden="false" customHeight="true" outlineLevel="0" collapsed="false">
      <c r="A147" s="0" t="n">
        <v>30</v>
      </c>
      <c r="B147" s="34" t="n">
        <v>41426</v>
      </c>
      <c r="C147" s="36" t="n">
        <v>31227.57</v>
      </c>
      <c r="D147" s="1" t="s">
        <v>42</v>
      </c>
      <c r="E147" s="33" t="n">
        <f aca="false">IF(D147="totale",(C147/(A147*24))/F147,IF(D147="marché libre",(C147/(A147*24))/G147,"spécifier histo"))</f>
        <v>0.1734865</v>
      </c>
      <c r="F147" s="59" t="n">
        <v>250</v>
      </c>
      <c r="G147" s="59" t="n">
        <f aca="false">F147-H147</f>
        <v>250</v>
      </c>
      <c r="H147" s="59" t="n">
        <v>0</v>
      </c>
      <c r="I147" s="9"/>
      <c r="J147" s="0"/>
      <c r="K147" s="0"/>
      <c r="L147" s="0"/>
      <c r="M147" s="0"/>
      <c r="N147" s="0"/>
      <c r="O147" s="0"/>
      <c r="P147" s="0"/>
      <c r="Q147" s="0"/>
      <c r="R147" s="0"/>
      <c r="S147" s="0"/>
      <c r="T147" s="0"/>
      <c r="U147" s="0"/>
      <c r="V147" s="0"/>
    </row>
    <row r="148" customFormat="false" ht="20.5" hidden="false" customHeight="true" outlineLevel="0" collapsed="false">
      <c r="A148" s="0" t="n">
        <v>31</v>
      </c>
      <c r="B148" s="31" t="n">
        <v>41456</v>
      </c>
      <c r="C148" s="36" t="n">
        <v>4829</v>
      </c>
      <c r="D148" s="1" t="s">
        <v>42</v>
      </c>
      <c r="E148" s="33" t="n">
        <f aca="false">IF(D148="totale",(C148/(A148*24))/F148,IF(D148="marché libre",(C148/(A148*24))/G148,"spécifier histo"))</f>
        <v>0.0259623655913978</v>
      </c>
      <c r="F148" s="59" t="n">
        <v>250</v>
      </c>
      <c r="G148" s="59" t="n">
        <f aca="false">F148-H148</f>
        <v>250</v>
      </c>
      <c r="H148" s="59" t="n">
        <v>0</v>
      </c>
      <c r="I148" s="9"/>
      <c r="J148" s="0"/>
      <c r="K148" s="0"/>
      <c r="L148" s="0"/>
      <c r="M148" s="0"/>
      <c r="N148" s="0"/>
      <c r="O148" s="0"/>
      <c r="P148" s="0"/>
      <c r="Q148" s="0"/>
      <c r="R148" s="0"/>
      <c r="S148" s="0"/>
      <c r="T148" s="0"/>
      <c r="U148" s="0"/>
      <c r="V148" s="0"/>
    </row>
    <row r="149" customFormat="false" ht="20.5" hidden="false" customHeight="true" outlineLevel="0" collapsed="false">
      <c r="A149" s="0" t="n">
        <v>31</v>
      </c>
      <c r="B149" s="34" t="n">
        <v>41487</v>
      </c>
      <c r="C149" s="36" t="n">
        <v>0</v>
      </c>
      <c r="D149" s="1" t="s">
        <v>42</v>
      </c>
      <c r="E149" s="33" t="n">
        <f aca="false">IF(D149="totale",(C149/(A149*24))/F149,IF(D149="marché libre",(C149/(A149*24))/G149,"spécifier histo"))</f>
        <v>0</v>
      </c>
      <c r="F149" s="59" t="n">
        <v>250</v>
      </c>
      <c r="G149" s="59" t="n">
        <f aca="false">F149-H149</f>
        <v>250</v>
      </c>
      <c r="H149" s="59" t="n">
        <v>0</v>
      </c>
      <c r="I149" s="9"/>
    </row>
    <row r="150" customFormat="false" ht="20.5" hidden="false" customHeight="true" outlineLevel="0" collapsed="false">
      <c r="A150" s="0" t="n">
        <v>30</v>
      </c>
      <c r="B150" s="31" t="n">
        <v>41518</v>
      </c>
      <c r="C150" s="36" t="n">
        <v>0</v>
      </c>
      <c r="D150" s="1" t="s">
        <v>42</v>
      </c>
      <c r="E150" s="33" t="n">
        <f aca="false">IF(D150="totale",(C150/(A150*24))/F150,IF(D150="marché libre",(C150/(A150*24))/G150,"spécifier histo"))</f>
        <v>0</v>
      </c>
      <c r="F150" s="59" t="n">
        <v>250</v>
      </c>
      <c r="G150" s="59" t="n">
        <f aca="false">F150-H150</f>
        <v>250</v>
      </c>
      <c r="H150" s="59" t="n">
        <v>0</v>
      </c>
      <c r="I150" s="9"/>
      <c r="L150" s="0"/>
      <c r="M150" s="0"/>
      <c r="N150" s="0"/>
      <c r="O150" s="0"/>
      <c r="P150" s="0"/>
      <c r="Q150" s="0"/>
      <c r="R150" s="0"/>
      <c r="S150" s="0"/>
      <c r="T150" s="0"/>
      <c r="U150" s="0"/>
      <c r="V150" s="0"/>
    </row>
    <row r="151" customFormat="false" ht="20.5" hidden="false" customHeight="true" outlineLevel="0" collapsed="false">
      <c r="A151" s="0" t="n">
        <v>31</v>
      </c>
      <c r="B151" s="34" t="n">
        <v>41548</v>
      </c>
      <c r="C151" s="36" t="n">
        <v>32146</v>
      </c>
      <c r="D151" s="1" t="s">
        <v>42</v>
      </c>
      <c r="E151" s="33" t="n">
        <f aca="false">IF(D151="totale",(C151/(A151*24))/F151,IF(D151="marché libre",(C151/(A151*24))/G151,"spécifier histo"))</f>
        <v>0.172827956989247</v>
      </c>
      <c r="F151" s="59" t="n">
        <v>250</v>
      </c>
      <c r="G151" s="59" t="n">
        <f aca="false">F151-H151</f>
        <v>250</v>
      </c>
      <c r="H151" s="59" t="n">
        <v>0</v>
      </c>
      <c r="I151" s="9"/>
      <c r="L151" s="0"/>
      <c r="M151" s="0"/>
      <c r="N151" s="0"/>
      <c r="O151" s="0"/>
      <c r="P151" s="0"/>
      <c r="Q151" s="0"/>
      <c r="R151" s="0"/>
      <c r="S151" s="0"/>
      <c r="T151" s="0"/>
      <c r="U151" s="0"/>
      <c r="V151" s="0"/>
    </row>
    <row r="152" customFormat="false" ht="20.5" hidden="false" customHeight="true" outlineLevel="0" collapsed="false">
      <c r="A152" s="0" t="n">
        <v>30</v>
      </c>
      <c r="B152" s="31" t="n">
        <v>41579</v>
      </c>
      <c r="C152" s="36" t="n">
        <v>32410</v>
      </c>
      <c r="D152" s="1" t="s">
        <v>42</v>
      </c>
      <c r="E152" s="33" t="n">
        <f aca="false">IF(D152="totale",(C152/(A152*24))/F152,IF(D152="marché libre",(C152/(A152*24))/G152,"spécifier histo"))</f>
        <v>0.180055555555556</v>
      </c>
      <c r="F152" s="59" t="n">
        <v>250</v>
      </c>
      <c r="G152" s="59" t="n">
        <f aca="false">F152-H152</f>
        <v>250</v>
      </c>
      <c r="H152" s="59" t="n">
        <v>0</v>
      </c>
      <c r="I152" s="9"/>
      <c r="L152" s="0"/>
      <c r="M152" s="0"/>
      <c r="N152" s="0"/>
      <c r="O152" s="0"/>
      <c r="P152" s="0"/>
      <c r="Q152" s="0"/>
      <c r="R152" s="0"/>
      <c r="S152" s="0"/>
      <c r="T152" s="0"/>
      <c r="U152" s="0"/>
      <c r="V152" s="0"/>
    </row>
    <row r="153" customFormat="false" ht="20.5" hidden="false" customHeight="true" outlineLevel="0" collapsed="false">
      <c r="A153" s="0" t="n">
        <v>31</v>
      </c>
      <c r="B153" s="34" t="n">
        <v>41609</v>
      </c>
      <c r="C153" s="36" t="n">
        <v>24154</v>
      </c>
      <c r="D153" s="1" t="s">
        <v>42</v>
      </c>
      <c r="E153" s="33" t="n">
        <f aca="false">IF(D153="totale",(C153/(A153*24))/F153,IF(D153="marché libre",(C153/(A153*24))/G153,"spécifier histo"))</f>
        <v>0.129860215053763</v>
      </c>
      <c r="F153" s="59" t="n">
        <v>250</v>
      </c>
      <c r="G153" s="59" t="n">
        <f aca="false">F153-H153</f>
        <v>250</v>
      </c>
      <c r="H153" s="59" t="n">
        <v>0</v>
      </c>
      <c r="I153" s="9"/>
      <c r="L153" s="0"/>
      <c r="M153" s="0"/>
      <c r="N153" s="0"/>
      <c r="O153" s="0"/>
      <c r="P153" s="0"/>
      <c r="Q153" s="0"/>
      <c r="R153" s="0"/>
      <c r="S153" s="0"/>
      <c r="T153" s="0"/>
      <c r="U153" s="0"/>
      <c r="V153" s="0"/>
    </row>
    <row r="154" customFormat="false" ht="20.5" hidden="false" customHeight="true" outlineLevel="0" collapsed="false">
      <c r="A154" s="0" t="n">
        <v>31</v>
      </c>
      <c r="B154" s="31" t="n">
        <v>41640</v>
      </c>
      <c r="C154" s="129" t="n">
        <v>87730</v>
      </c>
      <c r="D154" s="1" t="s">
        <v>42</v>
      </c>
      <c r="E154" s="33" t="n">
        <f aca="false">IF(D154="totale",(C154/(A154*24))/F154,IF(D154="marché libre",(C154/(A154*24))/G154,"spécifier histo"))</f>
        <v>0.471666666666667</v>
      </c>
      <c r="F154" s="59" t="n">
        <v>250</v>
      </c>
      <c r="G154" s="59" t="n">
        <f aca="false">F154-H154</f>
        <v>250</v>
      </c>
      <c r="H154" s="59" t="n">
        <v>0</v>
      </c>
      <c r="I154" s="9"/>
      <c r="L154" s="0"/>
      <c r="M154" s="0"/>
      <c r="N154" s="0"/>
      <c r="O154" s="0"/>
      <c r="P154" s="0"/>
      <c r="Q154" s="0"/>
      <c r="R154" s="0"/>
      <c r="S154" s="0"/>
      <c r="T154" s="0"/>
      <c r="U154" s="0"/>
      <c r="V154" s="0"/>
    </row>
    <row r="155" customFormat="false" ht="20.5" hidden="false" customHeight="true" outlineLevel="0" collapsed="false">
      <c r="A155" s="0" t="n">
        <v>28</v>
      </c>
      <c r="B155" s="34" t="n">
        <v>41671</v>
      </c>
      <c r="C155" s="129" t="n">
        <v>97146</v>
      </c>
      <c r="D155" s="1" t="s">
        <v>42</v>
      </c>
      <c r="E155" s="33" t="n">
        <f aca="false">IF(D155="totale",(C155/(A155*24))/F155,IF(D155="marché libre",(C155/(A155*24))/G155,"spécifier histo"))</f>
        <v>0.57825</v>
      </c>
      <c r="F155" s="59" t="n">
        <v>250</v>
      </c>
      <c r="G155" s="59" t="n">
        <f aca="false">F155-H155</f>
        <v>250</v>
      </c>
      <c r="H155" s="59" t="n">
        <v>0</v>
      </c>
      <c r="I155" s="9"/>
      <c r="L155" s="0"/>
      <c r="M155" s="0"/>
      <c r="N155" s="0"/>
      <c r="O155" s="0"/>
      <c r="P155" s="0"/>
      <c r="Q155" s="0"/>
      <c r="R155" s="0"/>
      <c r="S155" s="0"/>
      <c r="T155" s="0"/>
      <c r="U155" s="0"/>
      <c r="V155" s="0"/>
    </row>
    <row r="156" customFormat="false" ht="20.5" hidden="false" customHeight="true" outlineLevel="0" collapsed="false">
      <c r="A156" s="0" t="n">
        <v>31</v>
      </c>
      <c r="B156" s="31" t="n">
        <v>41699</v>
      </c>
      <c r="C156" s="129" t="n">
        <v>48056</v>
      </c>
      <c r="D156" s="1" t="s">
        <v>42</v>
      </c>
      <c r="E156" s="33" t="n">
        <f aca="false">IF(D156="totale",(C156/(A156*24))/F156,IF(D156="marché libre",(C156/(A156*24))/G156,"spécifier histo"))</f>
        <v>0.258365591397849</v>
      </c>
      <c r="F156" s="59" t="n">
        <v>250</v>
      </c>
      <c r="G156" s="59" t="n">
        <f aca="false">F156-H156</f>
        <v>250</v>
      </c>
      <c r="H156" s="59" t="n">
        <v>0</v>
      </c>
      <c r="I156" s="9"/>
      <c r="L156" s="0"/>
      <c r="M156" s="0"/>
      <c r="N156" s="0"/>
      <c r="O156" s="0"/>
      <c r="P156" s="0"/>
      <c r="Q156" s="0"/>
      <c r="R156" s="0"/>
      <c r="S156" s="0"/>
      <c r="T156" s="0"/>
      <c r="U156" s="0"/>
      <c r="V156" s="0"/>
    </row>
    <row r="157" customFormat="false" ht="20.5" hidden="false" customHeight="true" outlineLevel="0" collapsed="false">
      <c r="A157" s="0" t="n">
        <v>30</v>
      </c>
      <c r="B157" s="34" t="n">
        <v>41730</v>
      </c>
      <c r="C157" s="129" t="n">
        <v>24225</v>
      </c>
      <c r="D157" s="1" t="s">
        <v>42</v>
      </c>
      <c r="E157" s="33" t="n">
        <f aca="false">IF(D157="totale",(C157/(A157*24))/F157,IF(D157="marché libre",(C157/(A157*24))/G157,"spécifier histo"))</f>
        <v>0.134583333333333</v>
      </c>
      <c r="F157" s="59" t="n">
        <v>250</v>
      </c>
      <c r="G157" s="59" t="n">
        <f aca="false">F157-H157</f>
        <v>250</v>
      </c>
      <c r="H157" s="59" t="n">
        <v>0</v>
      </c>
      <c r="I157" s="9"/>
      <c r="L157" s="0"/>
      <c r="M157" s="0"/>
      <c r="N157" s="0"/>
      <c r="O157" s="0"/>
      <c r="P157" s="0"/>
      <c r="Q157" s="0"/>
      <c r="R157" s="0"/>
      <c r="S157" s="0"/>
      <c r="T157" s="0"/>
      <c r="U157" s="0"/>
      <c r="V157" s="0"/>
    </row>
    <row r="158" customFormat="false" ht="20.5" hidden="false" customHeight="true" outlineLevel="0" collapsed="false">
      <c r="A158" s="0" t="n">
        <v>31</v>
      </c>
      <c r="B158" s="31" t="n">
        <v>41760</v>
      </c>
      <c r="C158" s="129" t="n">
        <v>23675</v>
      </c>
      <c r="D158" s="1" t="s">
        <v>42</v>
      </c>
      <c r="E158" s="33" t="n">
        <f aca="false">IF(D158="totale",(C158/(A158*24))/F158,IF(D158="marché libre",(C158/(A158*24))/G158,"spécifier histo"))</f>
        <v>0.127284946236559</v>
      </c>
      <c r="F158" s="59" t="n">
        <v>250</v>
      </c>
      <c r="G158" s="59" t="n">
        <f aca="false">F158-H158</f>
        <v>250</v>
      </c>
      <c r="H158" s="59" t="n">
        <v>0</v>
      </c>
      <c r="I158" s="9"/>
      <c r="L158" s="0"/>
      <c r="M158" s="0"/>
      <c r="N158" s="0"/>
      <c r="O158" s="0"/>
      <c r="P158" s="0"/>
      <c r="Q158" s="0"/>
      <c r="R158" s="0"/>
      <c r="S158" s="0"/>
      <c r="T158" s="0"/>
      <c r="U158" s="0"/>
      <c r="V158" s="0"/>
    </row>
    <row r="159" customFormat="false" ht="20.5" hidden="false" customHeight="true" outlineLevel="0" collapsed="false">
      <c r="A159" s="0" t="n">
        <v>30</v>
      </c>
      <c r="B159" s="34" t="n">
        <v>41791</v>
      </c>
      <c r="C159" s="129" t="n">
        <v>7981</v>
      </c>
      <c r="D159" s="1" t="s">
        <v>42</v>
      </c>
      <c r="E159" s="33" t="n">
        <f aca="false">IF(D159="totale",(C159/(A159*24))/F159,IF(D159="marché libre",(C159/(A159*24))/G159,"spécifier histo"))</f>
        <v>0.0443388888888889</v>
      </c>
      <c r="F159" s="59" t="n">
        <v>250</v>
      </c>
      <c r="G159" s="59" t="n">
        <f aca="false">F159-H159</f>
        <v>250</v>
      </c>
      <c r="H159" s="59" t="n">
        <v>0</v>
      </c>
      <c r="I159" s="9"/>
      <c r="L159" s="0"/>
      <c r="M159" s="0"/>
      <c r="N159" s="0"/>
      <c r="O159" s="0"/>
      <c r="P159" s="0"/>
      <c r="Q159" s="0"/>
      <c r="R159" s="0"/>
      <c r="S159" s="0"/>
      <c r="T159" s="0"/>
      <c r="U159" s="0"/>
      <c r="V159" s="0"/>
    </row>
    <row r="160" customFormat="false" ht="20.5" hidden="false" customHeight="true" outlineLevel="0" collapsed="false">
      <c r="A160" s="0" t="n">
        <v>31</v>
      </c>
      <c r="B160" s="31" t="n">
        <v>41821</v>
      </c>
      <c r="C160" s="129" t="n">
        <v>15830</v>
      </c>
      <c r="D160" s="1" t="s">
        <v>42</v>
      </c>
      <c r="E160" s="33" t="n">
        <f aca="false">IF(D160="totale",(C160/(A160*24))/F160,IF(D160="marché libre",(C160/(A160*24))/G160,"spécifier histo"))</f>
        <v>0.0851075268817204</v>
      </c>
      <c r="F160" s="59" t="n">
        <v>250</v>
      </c>
      <c r="G160" s="59" t="n">
        <f aca="false">F160-H160</f>
        <v>250</v>
      </c>
      <c r="H160" s="59" t="n">
        <v>0</v>
      </c>
      <c r="I160" s="9"/>
      <c r="L160" s="0"/>
      <c r="M160" s="0"/>
      <c r="N160" s="0"/>
      <c r="O160" s="0"/>
      <c r="P160" s="0"/>
      <c r="Q160" s="0"/>
      <c r="R160" s="0"/>
      <c r="S160" s="0"/>
      <c r="T160" s="0"/>
      <c r="U160" s="0"/>
      <c r="V160" s="0"/>
    </row>
    <row r="161" customFormat="false" ht="20.5" hidden="false" customHeight="true" outlineLevel="0" collapsed="false">
      <c r="A161" s="0" t="n">
        <v>31</v>
      </c>
      <c r="B161" s="34" t="n">
        <v>41852</v>
      </c>
      <c r="C161" s="295" t="n">
        <v>2558</v>
      </c>
      <c r="D161" s="1" t="s">
        <v>42</v>
      </c>
      <c r="E161" s="33" t="n">
        <f aca="false">IF(D161="totale",(C161/(A161*24))/F161,IF(D161="marché libre",(C161/(A161*24))/G161,"spécifier histo"))</f>
        <v>0.013752688172043</v>
      </c>
      <c r="F161" s="59" t="n">
        <v>250</v>
      </c>
      <c r="G161" s="59" t="n">
        <f aca="false">F161-H161</f>
        <v>250</v>
      </c>
      <c r="H161" s="59" t="n">
        <v>0</v>
      </c>
      <c r="I161" s="9"/>
      <c r="L161" s="0"/>
      <c r="M161" s="0"/>
      <c r="N161" s="0"/>
      <c r="O161" s="0"/>
      <c r="P161" s="0"/>
      <c r="Q161" s="0"/>
      <c r="R161" s="0"/>
      <c r="S161" s="0"/>
      <c r="T161" s="0"/>
      <c r="U161" s="0"/>
      <c r="V161" s="0"/>
    </row>
    <row r="162" customFormat="false" ht="20.5" hidden="false" customHeight="true" outlineLevel="0" collapsed="false">
      <c r="A162" s="0" t="n">
        <v>30</v>
      </c>
      <c r="B162" s="31" t="n">
        <v>41883</v>
      </c>
      <c r="C162" s="295" t="n">
        <v>35723</v>
      </c>
      <c r="D162" s="1" t="s">
        <v>42</v>
      </c>
      <c r="E162" s="33" t="n">
        <f aca="false">IF(D162="totale",(C162/(A162*24))/F162,IF(D162="marché libre",(C162/(A162*24))/G162,"spécifier histo"))</f>
        <v>0.198461111111111</v>
      </c>
      <c r="F162" s="59" t="n">
        <v>250</v>
      </c>
      <c r="G162" s="59" t="n">
        <f aca="false">F162-H162</f>
        <v>250</v>
      </c>
      <c r="H162" s="59" t="n">
        <v>0</v>
      </c>
      <c r="I162" s="9"/>
      <c r="J162" s="205"/>
      <c r="K162" s="206"/>
      <c r="L162" s="0"/>
      <c r="Q162" s="0"/>
      <c r="T162" s="0"/>
    </row>
    <row r="163" customFormat="false" ht="20.5" hidden="false" customHeight="true" outlineLevel="0" collapsed="false">
      <c r="A163" s="0" t="n">
        <v>31</v>
      </c>
      <c r="B163" s="34" t="n">
        <v>41913</v>
      </c>
      <c r="C163" s="295" t="n">
        <v>59507</v>
      </c>
      <c r="D163" s="1" t="s">
        <v>42</v>
      </c>
      <c r="E163" s="33" t="n">
        <f aca="false">IF(D163="totale",(C163/(A163*24))/F163,IF(D163="marché libre",(C163/(A163*24))/G163,"spécifier histo"))</f>
        <v>0.319930107526882</v>
      </c>
      <c r="F163" s="59" t="n">
        <v>250</v>
      </c>
      <c r="G163" s="59" t="n">
        <f aca="false">F163-H163</f>
        <v>250</v>
      </c>
      <c r="H163" s="59" t="n">
        <v>0</v>
      </c>
      <c r="I163" s="9"/>
      <c r="J163" s="205"/>
      <c r="K163" s="206"/>
      <c r="L163" s="0"/>
      <c r="Q163" s="0"/>
      <c r="T163" s="0"/>
    </row>
    <row r="164" customFormat="false" ht="20.5" hidden="false" customHeight="true" outlineLevel="0" collapsed="false">
      <c r="A164" s="0" t="n">
        <v>30</v>
      </c>
      <c r="B164" s="31" t="n">
        <v>41944</v>
      </c>
      <c r="C164" s="295" t="n">
        <v>67522</v>
      </c>
      <c r="D164" s="1" t="s">
        <v>42</v>
      </c>
      <c r="E164" s="33" t="n">
        <f aca="false">IF(D164="totale",(C164/(A164*24))/F164,IF(D164="marché libre",(C164/(A164*24))/G164,"spécifier histo"))</f>
        <v>0.375122222222222</v>
      </c>
      <c r="F164" s="59" t="n">
        <v>250</v>
      </c>
      <c r="G164" s="57" t="n">
        <f aca="false">F164-H164</f>
        <v>250</v>
      </c>
      <c r="H164" s="57" t="n">
        <v>0</v>
      </c>
      <c r="I164" s="9"/>
      <c r="J164" s="205"/>
      <c r="K164" s="206"/>
      <c r="L164" s="0"/>
      <c r="Q164" s="0"/>
      <c r="T164" s="0"/>
    </row>
    <row r="165" customFormat="false" ht="20.5" hidden="false" customHeight="true" outlineLevel="0" collapsed="false">
      <c r="A165" s="0" t="n">
        <v>31</v>
      </c>
      <c r="B165" s="34" t="n">
        <v>41974</v>
      </c>
      <c r="C165" s="295" t="n">
        <v>108327</v>
      </c>
      <c r="D165" s="1" t="s">
        <v>42</v>
      </c>
      <c r="E165" s="33" t="n">
        <f aca="false">IF(D165="totale",(C165/(A165*24))/F165,IF(D165="marché libre",(C165/(A165*24))/G165,"spécifier histo"))</f>
        <v>0.582403225806452</v>
      </c>
      <c r="F165" s="59" t="n">
        <v>250</v>
      </c>
      <c r="G165" s="59" t="n">
        <f aca="false">F165-H165</f>
        <v>250</v>
      </c>
      <c r="H165" s="59" t="n">
        <v>0</v>
      </c>
      <c r="I165" s="9"/>
      <c r="J165" s="205"/>
      <c r="K165" s="206"/>
      <c r="L165" s="0"/>
      <c r="Q165" s="0"/>
      <c r="T165" s="0"/>
    </row>
    <row r="166" customFormat="false" ht="15.75" hidden="false" customHeight="true" outlineLevel="0" collapsed="false">
      <c r="A166" s="0" t="n">
        <v>31</v>
      </c>
      <c r="B166" s="31" t="n">
        <v>42005</v>
      </c>
      <c r="C166" s="296" t="n">
        <v>32850</v>
      </c>
      <c r="D166" s="1" t="s">
        <v>42</v>
      </c>
      <c r="E166" s="33" t="n">
        <f aca="false">IF(D166="totale",(C166/(A166*24))/F166,IF(D166="marché libre",(C166/(A166*24))/G166,"spécifier histo"))</f>
        <v>0.176612903225806</v>
      </c>
      <c r="F166" s="59" t="n">
        <v>250</v>
      </c>
      <c r="G166" s="59" t="n">
        <f aca="false">F166-H166</f>
        <v>250</v>
      </c>
      <c r="H166" s="59" t="n">
        <v>0</v>
      </c>
      <c r="I166" s="9"/>
      <c r="J166" s="205"/>
      <c r="K166" s="206"/>
      <c r="L166" s="0"/>
      <c r="Q166" s="0"/>
      <c r="T166" s="0"/>
    </row>
    <row r="167" customFormat="false" ht="15.75" hidden="false" customHeight="true" outlineLevel="0" collapsed="false">
      <c r="A167" s="0" t="n">
        <v>28</v>
      </c>
      <c r="B167" s="34" t="n">
        <v>42036</v>
      </c>
      <c r="C167" s="296" t="n">
        <v>25783</v>
      </c>
      <c r="D167" s="1" t="s">
        <v>42</v>
      </c>
      <c r="E167" s="33" t="n">
        <f aca="false">IF(D167="totale",(C167/(A167*24))/F167,IF(D167="marché libre",(C167/(A167*24))/G167,"spécifier histo"))</f>
        <v>0.153470238095238</v>
      </c>
      <c r="F167" s="59" t="n">
        <v>250</v>
      </c>
      <c r="G167" s="59" t="n">
        <f aca="false">F167-H167</f>
        <v>250</v>
      </c>
      <c r="H167" s="59" t="n">
        <v>0</v>
      </c>
      <c r="I167" s="9"/>
      <c r="J167" s="205"/>
      <c r="K167" s="206"/>
      <c r="L167" s="0"/>
      <c r="Q167" s="0"/>
      <c r="T167" s="0"/>
    </row>
    <row r="168" customFormat="false" ht="15.75" hidden="false" customHeight="true" outlineLevel="0" collapsed="false">
      <c r="A168" s="0" t="n">
        <v>31</v>
      </c>
      <c r="B168" s="31" t="n">
        <v>42064</v>
      </c>
      <c r="C168" s="296" t="n">
        <v>34890</v>
      </c>
      <c r="D168" s="1" t="s">
        <v>42</v>
      </c>
      <c r="E168" s="33" t="n">
        <f aca="false">IF(D168="totale",(C168/(A168*24))/F168,IF(D168="marché libre",(C168/(A168*24))/G168,"spécifier histo"))</f>
        <v>0.18758064516129</v>
      </c>
      <c r="F168" s="59" t="n">
        <v>250</v>
      </c>
      <c r="G168" s="57" t="n">
        <f aca="false">F168-H168</f>
        <v>250</v>
      </c>
      <c r="H168" s="59" t="n">
        <v>0</v>
      </c>
      <c r="I168" s="9"/>
      <c r="J168" s="0"/>
      <c r="K168" s="0"/>
      <c r="L168" s="0"/>
      <c r="M168" s="0"/>
      <c r="N168" s="0"/>
      <c r="O168" s="0"/>
      <c r="P168" s="0"/>
      <c r="Q168" s="0"/>
      <c r="R168" s="0"/>
      <c r="S168" s="0"/>
      <c r="T168" s="0"/>
      <c r="U168" s="0"/>
      <c r="V168" s="0"/>
      <c r="W168" s="0"/>
      <c r="X168" s="0"/>
      <c r="Y168" s="0"/>
      <c r="Z168" s="0"/>
      <c r="AA168" s="0"/>
    </row>
    <row r="169" customFormat="false" ht="15.75" hidden="false" customHeight="true" outlineLevel="0" collapsed="false">
      <c r="A169" s="0" t="n">
        <v>30</v>
      </c>
      <c r="B169" s="31" t="n">
        <v>42095</v>
      </c>
      <c r="C169" s="296" t="n">
        <v>44670</v>
      </c>
      <c r="D169" s="1" t="s">
        <v>42</v>
      </c>
      <c r="E169" s="33" t="n">
        <f aca="false">IF(D169="totale",(C169/(A169*24))/F169,IF(D169="marché libre",(C169/(A169*24))/G169,"spécifier histo"))</f>
        <v>0.248166666666667</v>
      </c>
      <c r="F169" s="59" t="n">
        <v>250</v>
      </c>
      <c r="G169" s="59" t="n">
        <f aca="false">F169-H169</f>
        <v>250</v>
      </c>
      <c r="H169" s="59" t="n">
        <v>0</v>
      </c>
      <c r="I169" s="9"/>
      <c r="J169" s="0"/>
      <c r="K169" s="0"/>
      <c r="L169" s="0"/>
      <c r="M169" s="0"/>
      <c r="N169" s="0"/>
      <c r="O169" s="0"/>
      <c r="P169" s="0"/>
      <c r="Q169" s="0"/>
      <c r="R169" s="0"/>
      <c r="S169" s="0"/>
      <c r="T169" s="0"/>
      <c r="U169" s="0"/>
      <c r="V169" s="0"/>
      <c r="W169" s="0"/>
      <c r="X169" s="0"/>
      <c r="Y169" s="0"/>
      <c r="Z169" s="0"/>
      <c r="AA169" s="0"/>
    </row>
    <row r="170" customFormat="false" ht="15.75" hidden="false" customHeight="true" outlineLevel="0" collapsed="false">
      <c r="A170" s="0" t="n">
        <v>31</v>
      </c>
      <c r="B170" s="34" t="n">
        <v>42125</v>
      </c>
      <c r="C170" s="296" t="n">
        <v>42392</v>
      </c>
      <c r="D170" s="1" t="s">
        <v>42</v>
      </c>
      <c r="E170" s="33" t="n">
        <f aca="false">IF(D170="totale",(C170/(A170*24))/F170,IF(D170="marché libre",(C170/(A170*24))/G170,"spécifier histo"))</f>
        <v>0.227913978494624</v>
      </c>
      <c r="F170" s="59" t="n">
        <v>250</v>
      </c>
      <c r="G170" s="59" t="n">
        <f aca="false">F170-H170</f>
        <v>250</v>
      </c>
      <c r="H170" s="59" t="n">
        <v>0</v>
      </c>
      <c r="I170" s="9"/>
      <c r="J170" s="0"/>
      <c r="K170" s="0"/>
      <c r="L170" s="0"/>
      <c r="M170" s="0"/>
      <c r="N170" s="0"/>
      <c r="O170" s="0"/>
      <c r="P170" s="0"/>
      <c r="Q170" s="0"/>
      <c r="R170" s="0"/>
      <c r="S170" s="0"/>
      <c r="T170" s="0"/>
      <c r="U170" s="0"/>
      <c r="V170" s="0"/>
      <c r="W170" s="0"/>
      <c r="X170" s="0"/>
      <c r="Y170" s="0"/>
      <c r="Z170" s="0"/>
      <c r="AA170" s="0"/>
    </row>
    <row r="171" customFormat="false" ht="15.75" hidden="false" customHeight="true" outlineLevel="0" collapsed="false">
      <c r="A171" s="0" t="n">
        <v>30</v>
      </c>
      <c r="B171" s="31" t="n">
        <v>42156</v>
      </c>
      <c r="C171" s="296" t="n">
        <v>7003</v>
      </c>
      <c r="D171" s="1" t="s">
        <v>42</v>
      </c>
      <c r="E171" s="33" t="n">
        <f aca="false">IF(D171="totale",(C171/(A171*24))/F171,IF(D171="marché libre",(C171/(A171*24))/G171,"spécifier histo"))</f>
        <v>0.0389055555555556</v>
      </c>
      <c r="F171" s="59" t="n">
        <v>250</v>
      </c>
      <c r="G171" s="59" t="n">
        <f aca="false">F171-H171</f>
        <v>250</v>
      </c>
      <c r="H171" s="59" t="n">
        <v>0</v>
      </c>
      <c r="I171" s="9"/>
      <c r="J171" s="0"/>
      <c r="K171" s="0"/>
      <c r="L171" s="0"/>
      <c r="M171" s="0"/>
      <c r="N171" s="0"/>
      <c r="O171" s="0"/>
      <c r="P171" s="0"/>
      <c r="Q171" s="0"/>
      <c r="R171" s="0"/>
      <c r="S171" s="0"/>
      <c r="T171" s="0"/>
      <c r="U171" s="0"/>
      <c r="V171" s="0"/>
      <c r="W171" s="0"/>
      <c r="X171" s="0"/>
      <c r="Y171" s="0"/>
      <c r="Z171" s="0"/>
      <c r="AA171" s="0"/>
    </row>
    <row r="172" customFormat="false" ht="15.75" hidden="false" customHeight="true" outlineLevel="0" collapsed="false">
      <c r="A172" s="0" t="n">
        <v>31</v>
      </c>
      <c r="B172" s="31" t="n">
        <v>42186</v>
      </c>
      <c r="C172" s="296" t="n">
        <v>1236</v>
      </c>
      <c r="D172" s="1" t="s">
        <v>42</v>
      </c>
      <c r="E172" s="33" t="n">
        <f aca="false">IF(D172="totale",(C172/(A172*24))/F172,IF(D172="marché libre",(C172/(A172*24))/G172,"spécifier histo"))</f>
        <v>0.00664516129032258</v>
      </c>
      <c r="F172" s="59" t="n">
        <v>250</v>
      </c>
      <c r="G172" s="59" t="n">
        <f aca="false">F172-H172</f>
        <v>250</v>
      </c>
      <c r="H172" s="59" t="n">
        <v>0</v>
      </c>
      <c r="I172" s="9"/>
      <c r="J172" s="0"/>
      <c r="K172" s="0"/>
      <c r="L172" s="0"/>
      <c r="M172" s="0"/>
      <c r="N172" s="0"/>
      <c r="O172" s="0"/>
      <c r="P172" s="0"/>
      <c r="Q172" s="0"/>
      <c r="R172" s="0"/>
      <c r="S172" s="0"/>
      <c r="T172" s="0"/>
      <c r="U172" s="0"/>
      <c r="V172" s="0"/>
      <c r="W172" s="0"/>
      <c r="X172" s="0"/>
      <c r="Y172" s="0"/>
      <c r="Z172" s="0"/>
      <c r="AA172" s="0"/>
    </row>
    <row r="173" customFormat="false" ht="15.75" hidden="false" customHeight="true" outlineLevel="0" collapsed="false">
      <c r="A173" s="0" t="n">
        <v>31</v>
      </c>
      <c r="B173" s="34" t="n">
        <v>42217</v>
      </c>
      <c r="C173" s="296" t="n">
        <v>2200</v>
      </c>
      <c r="D173" s="1" t="s">
        <v>42</v>
      </c>
      <c r="E173" s="33" t="n">
        <f aca="false">IF(D173="totale",(C173/(A173*24))/F173,IF(D173="marché libre",(C173/(A173*24))/G173,"spécifier histo"))</f>
        <v>0.0118279569892473</v>
      </c>
      <c r="F173" s="59" t="n">
        <v>250</v>
      </c>
      <c r="G173" s="59" t="n">
        <f aca="false">F173-H173</f>
        <v>250</v>
      </c>
      <c r="H173" s="59" t="n">
        <v>0</v>
      </c>
      <c r="I173" s="9"/>
      <c r="J173" s="0"/>
      <c r="K173" s="0"/>
      <c r="L173" s="0"/>
      <c r="M173" s="0"/>
      <c r="N173" s="0"/>
      <c r="O173" s="0"/>
      <c r="P173" s="0"/>
      <c r="Q173" s="0"/>
      <c r="R173" s="0"/>
      <c r="S173" s="0"/>
      <c r="T173" s="0"/>
      <c r="U173" s="0"/>
      <c r="V173" s="0"/>
      <c r="W173" s="0"/>
      <c r="X173" s="0"/>
      <c r="Y173" s="0"/>
      <c r="Z173" s="0"/>
      <c r="AA173" s="0"/>
    </row>
    <row r="174" customFormat="false" ht="15.75" hidden="false" customHeight="true" outlineLevel="0" collapsed="false">
      <c r="A174" s="0" t="n">
        <v>30</v>
      </c>
      <c r="B174" s="31" t="n">
        <v>42248</v>
      </c>
      <c r="C174" s="296" t="n">
        <v>20858</v>
      </c>
      <c r="D174" s="1" t="s">
        <v>42</v>
      </c>
      <c r="E174" s="33" t="n">
        <f aca="false">IF(D174="totale",(C174/(A174*24))/F174,IF(D174="marché libre",(C174/(A174*24))/G174,"spécifier histo"))</f>
        <v>0.115877777777778</v>
      </c>
      <c r="F174" s="59" t="n">
        <v>250</v>
      </c>
      <c r="G174" s="59" t="n">
        <f aca="false">F174-H174</f>
        <v>250</v>
      </c>
      <c r="H174" s="59" t="n">
        <v>0</v>
      </c>
      <c r="I174" s="9"/>
      <c r="J174" s="0"/>
      <c r="K174" s="0"/>
      <c r="L174" s="0"/>
      <c r="M174" s="0"/>
      <c r="N174" s="0"/>
      <c r="O174" s="0"/>
      <c r="P174" s="0"/>
      <c r="Q174" s="0"/>
      <c r="R174" s="0"/>
      <c r="S174" s="0"/>
      <c r="T174" s="0"/>
      <c r="U174" s="0"/>
      <c r="V174" s="0"/>
      <c r="W174" s="0"/>
      <c r="X174" s="0"/>
      <c r="Y174" s="0"/>
      <c r="Z174" s="0"/>
      <c r="AA174" s="0"/>
    </row>
    <row r="175" customFormat="false" ht="15.75" hidden="false" customHeight="true" outlineLevel="0" collapsed="false">
      <c r="A175" s="0" t="n">
        <v>31</v>
      </c>
      <c r="B175" s="31" t="n">
        <v>42278</v>
      </c>
      <c r="C175" s="296" t="n">
        <v>20676</v>
      </c>
      <c r="D175" s="1" t="s">
        <v>42</v>
      </c>
      <c r="E175" s="33" t="n">
        <f aca="false">IF(D175="totale",(C175/(A175*24))/F175,IF(D175="marché libre",(C175/(A175*24))/G175,"spécifier histo"))</f>
        <v>0.111161290322581</v>
      </c>
      <c r="F175" s="59" t="n">
        <v>250</v>
      </c>
      <c r="G175" s="59" t="n">
        <f aca="false">F175-H175</f>
        <v>250</v>
      </c>
      <c r="H175" s="59" t="n">
        <v>0</v>
      </c>
      <c r="I175" s="9"/>
      <c r="J175" s="0"/>
      <c r="K175" s="0"/>
      <c r="L175" s="0"/>
      <c r="M175" s="0"/>
      <c r="N175" s="0"/>
      <c r="O175" s="0"/>
      <c r="P175" s="0"/>
      <c r="Q175" s="0"/>
      <c r="R175" s="0"/>
      <c r="S175" s="0"/>
      <c r="T175" s="0"/>
      <c r="U175" s="0"/>
      <c r="V175" s="0"/>
      <c r="W175" s="0"/>
      <c r="X175" s="0"/>
      <c r="Y175" s="0"/>
      <c r="Z175" s="0"/>
      <c r="AA175" s="292"/>
    </row>
    <row r="176" customFormat="false" ht="15.75" hidden="false" customHeight="true" outlineLevel="0" collapsed="false">
      <c r="A176" s="0" t="n">
        <v>30</v>
      </c>
      <c r="B176" s="34" t="n">
        <v>42309</v>
      </c>
      <c r="C176" s="296" t="n">
        <v>49637</v>
      </c>
      <c r="D176" s="1" t="s">
        <v>42</v>
      </c>
      <c r="E176" s="33" t="n">
        <f aca="false">IF(D176="totale",(C176/(A176*24))/F176,IF(D176="marché libre",(C176/(A176*24))/G176,"spécifier histo"))</f>
        <v>0.275761111111111</v>
      </c>
      <c r="F176" s="59" t="n">
        <v>250</v>
      </c>
      <c r="G176" s="59" t="n">
        <f aca="false">F176-H176</f>
        <v>250</v>
      </c>
      <c r="H176" s="59" t="n">
        <v>0</v>
      </c>
      <c r="I176" s="9"/>
      <c r="J176" s="0"/>
      <c r="K176" s="0"/>
      <c r="L176" s="0"/>
      <c r="M176" s="0"/>
      <c r="N176" s="0"/>
      <c r="O176" s="0"/>
      <c r="P176" s="0"/>
      <c r="Q176" s="0"/>
      <c r="R176" s="0"/>
      <c r="S176" s="0"/>
      <c r="T176" s="0"/>
      <c r="U176" s="0"/>
      <c r="V176" s="0"/>
      <c r="W176" s="0"/>
      <c r="X176" s="0"/>
      <c r="Y176" s="0"/>
      <c r="Z176" s="0"/>
      <c r="AA176" s="292"/>
    </row>
    <row r="177" customFormat="false" ht="15.75" hidden="false" customHeight="true" outlineLevel="0" collapsed="false">
      <c r="A177" s="0" t="n">
        <v>31</v>
      </c>
      <c r="B177" s="31" t="n">
        <v>42339</v>
      </c>
      <c r="C177" s="296" t="n">
        <v>29566</v>
      </c>
      <c r="D177" s="1" t="s">
        <v>42</v>
      </c>
      <c r="E177" s="33" t="n">
        <f aca="false">IF(D177="totale",(C177/(A177*24))/F177,IF(D177="marché libre",(C177/(A177*24))/G177,"spécifier histo"))</f>
        <v>0.158956989247312</v>
      </c>
      <c r="F177" s="59" t="n">
        <v>250</v>
      </c>
      <c r="G177" s="59" t="n">
        <f aca="false">F177-H177</f>
        <v>250</v>
      </c>
      <c r="H177" s="59" t="n">
        <v>0</v>
      </c>
      <c r="I177" s="9"/>
      <c r="J177" s="0"/>
      <c r="K177" s="0"/>
      <c r="L177" s="0"/>
      <c r="M177" s="0"/>
      <c r="N177" s="0"/>
      <c r="O177" s="0"/>
      <c r="P177" s="0"/>
      <c r="Q177" s="0"/>
      <c r="R177" s="0"/>
      <c r="S177" s="0"/>
      <c r="T177" s="0"/>
      <c r="U177" s="0"/>
      <c r="V177" s="0"/>
      <c r="W177" s="0"/>
      <c r="X177" s="0"/>
      <c r="Y177" s="0"/>
      <c r="Z177" s="0"/>
      <c r="AA177" s="292"/>
    </row>
    <row r="178" customFormat="false" ht="15.75" hidden="false" customHeight="true" outlineLevel="0" collapsed="false">
      <c r="A178" s="0" t="n">
        <v>31</v>
      </c>
      <c r="B178" s="31" t="n">
        <v>42370</v>
      </c>
      <c r="C178" s="296" t="n">
        <v>64293</v>
      </c>
      <c r="D178" s="1" t="s">
        <v>42</v>
      </c>
      <c r="E178" s="33" t="n">
        <f aca="false">IF(D178="totale",(C178/(A178*24))/F178,IF(D178="marché libre",(C178/(A178*24))/G178,"spécifier histo"))</f>
        <v>0.345661290322581</v>
      </c>
      <c r="F178" s="59" t="n">
        <v>250</v>
      </c>
      <c r="G178" s="59" t="n">
        <f aca="false">F178-H178</f>
        <v>250</v>
      </c>
      <c r="H178" s="59" t="n">
        <v>0</v>
      </c>
      <c r="I178" s="9"/>
      <c r="J178" s="0"/>
      <c r="K178" s="0"/>
      <c r="L178" s="0"/>
      <c r="M178" s="0"/>
      <c r="N178" s="0"/>
      <c r="O178" s="0"/>
      <c r="P178" s="0"/>
      <c r="Q178" s="0"/>
      <c r="R178" s="0"/>
      <c r="S178" s="0"/>
      <c r="T178" s="0"/>
      <c r="U178" s="0"/>
      <c r="V178" s="0"/>
      <c r="W178" s="0"/>
      <c r="X178" s="0"/>
      <c r="Y178" s="0"/>
      <c r="Z178" s="0"/>
      <c r="AA178" s="292"/>
    </row>
    <row r="179" customFormat="false" ht="15.75" hidden="false" customHeight="true" outlineLevel="0" collapsed="false">
      <c r="A179" s="0" t="n">
        <v>28</v>
      </c>
      <c r="B179" s="34" t="n">
        <v>42401</v>
      </c>
      <c r="C179" s="296" t="n">
        <v>82012</v>
      </c>
      <c r="D179" s="1" t="s">
        <v>42</v>
      </c>
      <c r="E179" s="33" t="n">
        <f aca="false">IF(D179="totale",(C179/(A179*24))/F179,IF(D179="marché libre",(C179/(A179*24))/G179,"spécifier histo"))</f>
        <v>0.488166666666667</v>
      </c>
      <c r="F179" s="59" t="n">
        <v>250</v>
      </c>
      <c r="G179" s="59" t="n">
        <f aca="false">F179-H179</f>
        <v>250</v>
      </c>
      <c r="H179" s="59" t="n">
        <v>0</v>
      </c>
      <c r="I179" s="9"/>
      <c r="J179" s="0"/>
      <c r="K179" s="0"/>
      <c r="L179" s="0"/>
      <c r="M179" s="0"/>
      <c r="N179" s="0"/>
      <c r="O179" s="0"/>
      <c r="P179" s="0"/>
      <c r="Q179" s="0"/>
      <c r="R179" s="0"/>
      <c r="S179" s="0"/>
      <c r="T179" s="0"/>
      <c r="U179" s="0"/>
      <c r="V179" s="0"/>
      <c r="W179" s="0"/>
      <c r="X179" s="0"/>
      <c r="Y179" s="0"/>
      <c r="Z179" s="0"/>
      <c r="AA179" s="292"/>
    </row>
    <row r="180" customFormat="false" ht="15.75" hidden="false" customHeight="true" outlineLevel="0" collapsed="false">
      <c r="A180" s="0" t="n">
        <v>31</v>
      </c>
      <c r="B180" s="31" t="n">
        <v>42430</v>
      </c>
      <c r="C180" s="296" t="n">
        <v>83671</v>
      </c>
      <c r="D180" s="1" t="s">
        <v>42</v>
      </c>
      <c r="E180" s="33" t="n">
        <f aca="false">IF(D180="totale",(C180/(A180*24))/F180,IF(D180="marché libre",(C180/(A180*24))/G180,"spécifier histo"))</f>
        <v>0.449844086021505</v>
      </c>
      <c r="F180" s="59" t="n">
        <v>250</v>
      </c>
      <c r="G180" s="59" t="n">
        <f aca="false">F180-H180</f>
        <v>250</v>
      </c>
      <c r="H180" s="59" t="n">
        <v>0</v>
      </c>
      <c r="I180" s="9"/>
      <c r="J180" s="0"/>
      <c r="K180" s="293"/>
      <c r="L180" s="0"/>
      <c r="M180" s="292"/>
      <c r="N180" s="0"/>
      <c r="O180" s="292"/>
      <c r="P180" s="292"/>
      <c r="Q180" s="0"/>
      <c r="R180" s="292"/>
      <c r="S180" s="0"/>
      <c r="T180" s="0"/>
      <c r="U180" s="292"/>
      <c r="V180" s="0"/>
      <c r="Y180" s="0"/>
    </row>
    <row r="181" customFormat="false" ht="15.75" hidden="false" customHeight="true" outlineLevel="0" collapsed="false">
      <c r="A181" s="0" t="n">
        <v>30</v>
      </c>
      <c r="B181" s="31" t="n">
        <v>42461</v>
      </c>
      <c r="C181" s="296" t="n">
        <v>77501</v>
      </c>
      <c r="D181" s="1" t="s">
        <v>42</v>
      </c>
      <c r="E181" s="33" t="n">
        <f aca="false">IF(D181="totale",(C181/(A181*24))/F181,IF(D181="marché libre",(C181/(A181*24))/G181,"spécifier histo"))</f>
        <v>0.430561111111111</v>
      </c>
      <c r="F181" s="59" t="n">
        <v>250</v>
      </c>
      <c r="G181" s="59" t="n">
        <f aca="false">F181-H181</f>
        <v>250</v>
      </c>
      <c r="H181" s="59" t="n">
        <v>0</v>
      </c>
      <c r="I181" s="9"/>
      <c r="J181" s="0"/>
      <c r="K181" s="293"/>
      <c r="L181" s="0"/>
      <c r="M181" s="292"/>
      <c r="N181" s="0"/>
      <c r="O181" s="292"/>
      <c r="P181" s="292"/>
      <c r="Q181" s="0"/>
      <c r="R181" s="292"/>
      <c r="S181" s="0"/>
      <c r="T181" s="0"/>
      <c r="U181" s="292"/>
      <c r="V181" s="0"/>
      <c r="Y181" s="0"/>
    </row>
    <row r="182" customFormat="false" ht="15.75" hidden="false" customHeight="true" outlineLevel="0" collapsed="false">
      <c r="A182" s="0" t="n">
        <v>31</v>
      </c>
      <c r="B182" s="34" t="n">
        <v>42491</v>
      </c>
      <c r="C182" s="296" t="n">
        <v>68553</v>
      </c>
      <c r="D182" s="1" t="s">
        <v>42</v>
      </c>
      <c r="E182" s="33" t="n">
        <f aca="false">IF(D182="totale",(C182/(A182*24))/F182,IF(D182="marché libre",(C182/(A182*24))/G182,"spécifier histo"))</f>
        <v>0.368564516129032</v>
      </c>
      <c r="F182" s="59" t="n">
        <v>250</v>
      </c>
      <c r="G182" s="59" t="n">
        <f aca="false">F182-H182</f>
        <v>250</v>
      </c>
      <c r="H182" s="59" t="n">
        <v>0</v>
      </c>
      <c r="I182" s="9"/>
      <c r="J182" s="0"/>
      <c r="K182" s="293"/>
      <c r="L182" s="0"/>
      <c r="M182" s="292"/>
      <c r="N182" s="0"/>
      <c r="O182" s="292"/>
      <c r="P182" s="292"/>
      <c r="Q182" s="0"/>
      <c r="R182" s="292"/>
      <c r="S182" s="0"/>
      <c r="T182" s="0"/>
      <c r="U182" s="292"/>
      <c r="V182" s="0"/>
      <c r="Y182" s="0"/>
    </row>
    <row r="183" customFormat="false" ht="15.75" hidden="false" customHeight="true" outlineLevel="0" collapsed="false">
      <c r="A183" s="0" t="n">
        <v>30</v>
      </c>
      <c r="B183" s="31" t="n">
        <v>42522</v>
      </c>
      <c r="C183" s="296" t="n">
        <v>24649</v>
      </c>
      <c r="D183" s="1" t="s">
        <v>42</v>
      </c>
      <c r="E183" s="33" t="n">
        <f aca="false">IF(D183="totale",(C183/(A183*24))/F183,IF(D183="marché libre",(C183/(A183*24))/G183,"spécifier histo"))</f>
        <v>0.136938888888889</v>
      </c>
      <c r="F183" s="59" t="n">
        <v>250</v>
      </c>
      <c r="G183" s="59" t="n">
        <f aca="false">F183-H183</f>
        <v>250</v>
      </c>
      <c r="H183" s="59" t="n">
        <v>0</v>
      </c>
      <c r="I183" s="9"/>
      <c r="J183" s="0"/>
      <c r="K183" s="293"/>
      <c r="L183" s="0"/>
      <c r="M183" s="292"/>
      <c r="N183" s="0"/>
      <c r="O183" s="292"/>
      <c r="P183" s="292"/>
      <c r="Q183" s="0"/>
      <c r="R183" s="292"/>
      <c r="S183" s="0"/>
      <c r="T183" s="0"/>
      <c r="U183" s="292"/>
      <c r="V183" s="0"/>
      <c r="Y183" s="0"/>
    </row>
    <row r="184" customFormat="false" ht="15.75" hidden="false" customHeight="true" outlineLevel="0" collapsed="false">
      <c r="A184" s="0" t="n">
        <v>31</v>
      </c>
      <c r="B184" s="31" t="n">
        <v>42552</v>
      </c>
      <c r="C184" s="296" t="n">
        <v>4602</v>
      </c>
      <c r="D184" s="1" t="s">
        <v>42</v>
      </c>
      <c r="E184" s="33" t="n">
        <f aca="false">IF(D184="totale",(C184/(A184*24))/F184,IF(D184="marché libre",(C184/(A184*24))/G184,"spécifier histo"))</f>
        <v>0.024741935483871</v>
      </c>
      <c r="F184" s="59" t="n">
        <v>250</v>
      </c>
      <c r="G184" s="59" t="n">
        <f aca="false">F184-H184</f>
        <v>250</v>
      </c>
      <c r="H184" s="59" t="n">
        <v>0</v>
      </c>
      <c r="I184" s="9"/>
      <c r="J184" s="0"/>
      <c r="K184" s="293"/>
      <c r="L184" s="0"/>
      <c r="M184" s="292"/>
      <c r="N184" s="0"/>
      <c r="O184" s="292"/>
      <c r="P184" s="292"/>
      <c r="Q184" s="0"/>
      <c r="R184" s="292"/>
      <c r="S184" s="0"/>
      <c r="T184" s="0"/>
      <c r="U184" s="292"/>
      <c r="V184" s="0"/>
      <c r="Y184" s="0"/>
    </row>
    <row r="185" customFormat="false" ht="15.75" hidden="false" customHeight="true" outlineLevel="0" collapsed="false">
      <c r="A185" s="0" t="n">
        <v>31</v>
      </c>
      <c r="B185" s="34" t="n">
        <v>42583</v>
      </c>
      <c r="C185" s="296" t="n">
        <v>39</v>
      </c>
      <c r="D185" s="1" t="s">
        <v>42</v>
      </c>
      <c r="E185" s="33" t="n">
        <f aca="false">IF(D185="totale",(C185/(A185*24))/F185,IF(D185="marché libre",(C185/(A185*24))/G185,"spécifier histo"))</f>
        <v>0.000209677419354839</v>
      </c>
      <c r="F185" s="59" t="n">
        <v>250</v>
      </c>
      <c r="G185" s="59" t="n">
        <f aca="false">F185-H185</f>
        <v>250</v>
      </c>
      <c r="H185" s="59" t="n">
        <v>0</v>
      </c>
      <c r="I185" s="9"/>
      <c r="J185" s="0"/>
      <c r="K185" s="293"/>
      <c r="L185" s="0"/>
      <c r="M185" s="292"/>
      <c r="N185" s="0"/>
      <c r="O185" s="292"/>
      <c r="P185" s="292"/>
      <c r="Q185" s="0"/>
      <c r="R185" s="292"/>
      <c r="S185" s="0"/>
      <c r="T185" s="0"/>
      <c r="U185" s="292"/>
      <c r="V185" s="0"/>
      <c r="Y185" s="0"/>
    </row>
    <row r="186" customFormat="false" ht="15.75" hidden="false" customHeight="true" outlineLevel="0" collapsed="false">
      <c r="A186" s="0" t="n">
        <v>30</v>
      </c>
      <c r="B186" s="31" t="n">
        <v>42614</v>
      </c>
      <c r="C186" s="296" t="n">
        <v>2580</v>
      </c>
      <c r="D186" s="1" t="s">
        <v>42</v>
      </c>
      <c r="E186" s="33" t="n">
        <f aca="false">IF(D186="totale",(C186/(A186*24))/F186,IF(D186="marché libre",(C186/(A186*24))/G186,"spécifier histo"))</f>
        <v>0.0143333333333333</v>
      </c>
      <c r="F186" s="59" t="n">
        <v>250</v>
      </c>
      <c r="G186" s="59" t="n">
        <f aca="false">F186-H186</f>
        <v>250</v>
      </c>
      <c r="H186" s="59" t="n">
        <v>0</v>
      </c>
      <c r="I186" s="9"/>
      <c r="J186" s="0"/>
      <c r="K186" s="206"/>
      <c r="L186" s="0"/>
      <c r="N186" s="0"/>
      <c r="Q186" s="0"/>
      <c r="S186" s="0"/>
      <c r="V186" s="0"/>
      <c r="Y186" s="0"/>
    </row>
    <row r="187" customFormat="false" ht="15.75" hidden="false" customHeight="true" outlineLevel="0" collapsed="false">
      <c r="A187" s="0" t="n">
        <v>31</v>
      </c>
      <c r="B187" s="31" t="n">
        <v>42644</v>
      </c>
      <c r="C187" s="296" t="n">
        <v>27872</v>
      </c>
      <c r="D187" s="1" t="s">
        <v>42</v>
      </c>
      <c r="E187" s="33" t="n">
        <f aca="false">IF(D187="totale",(C187/(A187*24))/F187,IF(D187="marché libre",(C187/(A187*24))/G187,"spécifier histo"))</f>
        <v>0.149849462365591</v>
      </c>
      <c r="F187" s="59" t="n">
        <v>250</v>
      </c>
      <c r="G187" s="59" t="n">
        <f aca="false">F187-H187</f>
        <v>250</v>
      </c>
      <c r="H187" s="59" t="n">
        <v>0</v>
      </c>
      <c r="I187" s="9"/>
      <c r="J187" s="0"/>
      <c r="K187" s="206"/>
      <c r="L187" s="0"/>
      <c r="N187" s="0"/>
      <c r="Q187" s="0"/>
      <c r="S187" s="0"/>
      <c r="V187" s="0"/>
      <c r="Y187" s="0"/>
    </row>
    <row r="188" customFormat="false" ht="15.75" hidden="false" customHeight="true" outlineLevel="0" collapsed="false">
      <c r="A188" s="0" t="n">
        <v>30</v>
      </c>
      <c r="B188" s="34" t="n">
        <v>42675</v>
      </c>
      <c r="C188" s="296" t="n">
        <v>42289</v>
      </c>
      <c r="D188" s="1" t="s">
        <v>42</v>
      </c>
      <c r="E188" s="33" t="n">
        <f aca="false">IF(D188="totale",(C188/(A188*24))/F188,IF(D188="marché libre",(C188/(A188*24))/G188,"spécifier histo"))</f>
        <v>0.234938888888889</v>
      </c>
      <c r="F188" s="59" t="n">
        <v>250</v>
      </c>
      <c r="G188" s="59" t="n">
        <f aca="false">F188-H188</f>
        <v>250</v>
      </c>
      <c r="H188" s="59" t="n">
        <v>0</v>
      </c>
      <c r="I188" s="9"/>
      <c r="J188" s="0"/>
      <c r="K188" s="206"/>
      <c r="L188" s="0"/>
      <c r="N188" s="0"/>
      <c r="Q188" s="0"/>
      <c r="S188" s="0"/>
      <c r="V188" s="0"/>
      <c r="Y188" s="0"/>
    </row>
    <row r="189" customFormat="false" ht="15.75" hidden="false" customHeight="true" outlineLevel="0" collapsed="false">
      <c r="A189" s="0" t="n">
        <v>31</v>
      </c>
      <c r="B189" s="31" t="n">
        <v>42705</v>
      </c>
      <c r="C189" s="296" t="n">
        <v>87742</v>
      </c>
      <c r="D189" s="1" t="s">
        <v>42</v>
      </c>
      <c r="E189" s="33" t="n">
        <f aca="false">IF(D189="totale",(C189/(A189*24))/F189,IF(D189="marché libre",(C189/(A189*24))/G189,"spécifier histo"))</f>
        <v>0.471731182795699</v>
      </c>
      <c r="F189" s="59" t="n">
        <v>250</v>
      </c>
      <c r="G189" s="59" t="n">
        <f aca="false">F189-H189</f>
        <v>250</v>
      </c>
      <c r="H189" s="59" t="n">
        <v>0</v>
      </c>
      <c r="I189" s="9"/>
      <c r="J189" s="0"/>
      <c r="K189" s="206"/>
      <c r="L189" s="0"/>
      <c r="N189" s="0"/>
      <c r="Q189" s="0"/>
      <c r="S189" s="0"/>
      <c r="V189" s="0"/>
      <c r="Y189" s="0"/>
    </row>
    <row r="190" customFormat="false" ht="15.75" hidden="false" customHeight="true" outlineLevel="0" collapsed="false">
      <c r="A190" s="0" t="n">
        <v>31</v>
      </c>
      <c r="B190" s="31" t="n">
        <v>42736</v>
      </c>
      <c r="C190" s="296" t="n">
        <v>37163</v>
      </c>
      <c r="D190" s="1" t="s">
        <v>42</v>
      </c>
      <c r="E190" s="33" t="n">
        <f aca="false">IF(D190="totale",(C190/(A190*24))/F190,IF(D190="marché libre",(C190/(A190*24))/G190,"spécifier histo"))</f>
        <v>0.199801075268817</v>
      </c>
      <c r="F190" s="59" t="n">
        <v>250</v>
      </c>
      <c r="G190" s="59" t="n">
        <f aca="false">F190-H190</f>
        <v>250</v>
      </c>
      <c r="H190" s="59" t="n">
        <v>0</v>
      </c>
      <c r="J190" s="0"/>
      <c r="K190" s="206"/>
      <c r="L190" s="0"/>
      <c r="N190" s="0"/>
      <c r="Q190" s="0"/>
      <c r="S190" s="0"/>
      <c r="V190" s="0"/>
      <c r="Y190" s="0"/>
    </row>
    <row r="191" customFormat="false" ht="15.75" hidden="false" customHeight="true" outlineLevel="0" collapsed="false">
      <c r="A191" s="0" t="n">
        <v>31</v>
      </c>
      <c r="B191" s="34" t="n">
        <v>42767</v>
      </c>
      <c r="C191" s="296" t="n">
        <v>120330</v>
      </c>
      <c r="D191" s="1" t="s">
        <v>42</v>
      </c>
      <c r="E191" s="33" t="n">
        <f aca="false">IF(D191="totale",(C191/(A191*24))/F191,IF(D191="marché libre",(C191/(A191*24))/G191,"spécifier histo"))</f>
        <v>0.646935483870968</v>
      </c>
      <c r="F191" s="59" t="n">
        <v>250</v>
      </c>
      <c r="G191" s="59" t="n">
        <f aca="false">F191-H191</f>
        <v>250</v>
      </c>
      <c r="H191" s="59" t="n">
        <v>0</v>
      </c>
      <c r="I191" s="206"/>
      <c r="J191" s="0"/>
      <c r="K191" s="206"/>
      <c r="L191" s="0"/>
      <c r="M191" s="206"/>
      <c r="N191" s="0"/>
      <c r="Q191" s="0"/>
      <c r="S191" s="0"/>
      <c r="V191" s="0"/>
      <c r="Y191" s="0"/>
    </row>
    <row r="192" customFormat="false" ht="15.75" hidden="false" customHeight="true" outlineLevel="0" collapsed="false">
      <c r="A192" s="0" t="n">
        <v>30</v>
      </c>
      <c r="B192" s="31" t="n">
        <v>42795</v>
      </c>
      <c r="C192" s="296" t="n">
        <v>101383</v>
      </c>
      <c r="D192" s="1" t="s">
        <v>42</v>
      </c>
      <c r="E192" s="33" t="n">
        <f aca="false">IF(D192="totale",(C192/(A192*24))/F192,IF(D192="marché libre",(C192/(A192*24))/G192,"spécifier histo"))</f>
        <v>0.563238888888889</v>
      </c>
      <c r="F192" s="59" t="n">
        <v>250</v>
      </c>
      <c r="G192" s="59" t="n">
        <f aca="false">F192-H192</f>
        <v>250</v>
      </c>
      <c r="H192" s="59" t="n">
        <v>0</v>
      </c>
      <c r="J192" s="0"/>
      <c r="K192" s="206"/>
      <c r="L192" s="0"/>
      <c r="N192" s="0"/>
      <c r="Q192" s="0"/>
      <c r="S192" s="0"/>
      <c r="V192" s="0"/>
      <c r="Y192" s="0"/>
    </row>
    <row r="193" customFormat="false" ht="19.85" hidden="false" customHeight="true" outlineLevel="0" collapsed="false">
      <c r="A193" s="0" t="n">
        <v>31</v>
      </c>
      <c r="B193" s="34" t="n">
        <v>42826</v>
      </c>
      <c r="C193" s="296" t="n">
        <v>44853</v>
      </c>
      <c r="D193" s="1" t="s">
        <v>42</v>
      </c>
      <c r="E193" s="33" t="n">
        <f aca="false">IF(D193="totale",(C193/(A193*24))/F193,IF(D193="marché libre",(C193/(A193*24))/G193,"spécifier histo"))</f>
        <v>0.241145161290323</v>
      </c>
      <c r="F193" s="59" t="n">
        <v>250</v>
      </c>
      <c r="G193" s="59" t="n">
        <f aca="false">F193-H193</f>
        <v>250</v>
      </c>
      <c r="H193" s="59" t="n">
        <v>0</v>
      </c>
      <c r="J193" s="0"/>
      <c r="K193" s="206"/>
      <c r="L193" s="0"/>
      <c r="N193" s="0"/>
      <c r="Q193" s="0"/>
      <c r="S193" s="0"/>
      <c r="V193" s="0"/>
      <c r="Y193" s="0"/>
    </row>
    <row r="194" customFormat="false" ht="19.85" hidden="false" customHeight="true" outlineLevel="0" collapsed="false">
      <c r="A194" s="0" t="n">
        <v>30</v>
      </c>
      <c r="B194" s="31" t="n">
        <v>42856</v>
      </c>
      <c r="C194" s="296" t="n">
        <v>57831</v>
      </c>
      <c r="D194" s="1" t="s">
        <v>42</v>
      </c>
      <c r="E194" s="33" t="n">
        <f aca="false">IF(D194="totale",(C194/(A194*24))/F194,IF(D194="marché libre",(C194/(A194*24))/G194,"spécifier histo"))</f>
        <v>0.321283333333333</v>
      </c>
      <c r="F194" s="59" t="n">
        <v>250</v>
      </c>
      <c r="G194" s="59" t="n">
        <f aca="false">F194-H194</f>
        <v>250</v>
      </c>
      <c r="H194" s="59" t="n">
        <v>0</v>
      </c>
      <c r="J194" s="0"/>
      <c r="K194" s="206"/>
      <c r="L194" s="0"/>
      <c r="N194" s="0"/>
      <c r="Q194" s="0"/>
      <c r="S194" s="0"/>
      <c r="V194" s="0"/>
      <c r="Y194" s="0"/>
    </row>
    <row r="195" customFormat="false" ht="22.45" hidden="false" customHeight="true" outlineLevel="0" collapsed="false">
      <c r="A195" s="0" t="n">
        <v>31</v>
      </c>
      <c r="B195" s="34" t="n">
        <v>42887</v>
      </c>
      <c r="C195" s="296" t="n">
        <v>11932</v>
      </c>
      <c r="D195" s="1" t="s">
        <v>42</v>
      </c>
      <c r="E195" s="33" t="n">
        <f aca="false">IF(D195="totale",(C195/(A195*24))/F195,IF(D195="marché libre",(C195/(A195*24))/G195,"spécifier histo"))</f>
        <v>0.0641505376344086</v>
      </c>
      <c r="F195" s="59" t="n">
        <v>250</v>
      </c>
      <c r="G195" s="59" t="n">
        <f aca="false">F195-H195</f>
        <v>250</v>
      </c>
      <c r="H195" s="59" t="n">
        <v>0</v>
      </c>
      <c r="J195" s="0"/>
      <c r="K195" s="206"/>
      <c r="L195" s="0"/>
      <c r="N195" s="0"/>
      <c r="Q195" s="0"/>
      <c r="S195" s="0"/>
      <c r="V195" s="0"/>
      <c r="Y195" s="0"/>
    </row>
    <row r="196" customFormat="false" ht="21.65" hidden="false" customHeight="true" outlineLevel="0" collapsed="false">
      <c r="A196" s="0" t="n">
        <v>31</v>
      </c>
      <c r="B196" s="31" t="n">
        <v>42917</v>
      </c>
      <c r="C196" s="296" t="n">
        <v>2496</v>
      </c>
      <c r="D196" s="1" t="s">
        <v>42</v>
      </c>
      <c r="E196" s="33" t="n">
        <f aca="false">IF(D196="totale",(C196/(A196*24))/F196,IF(D196="marché libre",(C196/(A196*24))/G196,"spécifier histo"))</f>
        <v>0.0134193548387097</v>
      </c>
      <c r="F196" s="59" t="n">
        <v>250</v>
      </c>
      <c r="G196" s="59" t="n">
        <f aca="false">F196-H196</f>
        <v>250</v>
      </c>
      <c r="H196" s="59" t="n">
        <v>0</v>
      </c>
      <c r="J196" s="0"/>
      <c r="K196" s="206"/>
      <c r="L196" s="0"/>
      <c r="N196" s="0"/>
      <c r="Q196" s="0"/>
      <c r="S196" s="0"/>
      <c r="V196" s="0"/>
      <c r="Y196" s="0"/>
    </row>
    <row r="197" customFormat="false" ht="21.65" hidden="false" customHeight="true" outlineLevel="0" collapsed="false">
      <c r="A197" s="0" t="n">
        <v>31</v>
      </c>
      <c r="B197" s="34" t="n">
        <v>42948</v>
      </c>
      <c r="C197" s="296" t="n">
        <v>0</v>
      </c>
      <c r="D197" s="1" t="s">
        <v>42</v>
      </c>
      <c r="E197" s="33" t="n">
        <f aca="false">IF(D197="totale",(C197/(A197*24))/F197,IF(D197="marché libre",(C197/(A197*24))/G197,"spécifier histo"))</f>
        <v>0</v>
      </c>
      <c r="F197" s="59" t="n">
        <v>250</v>
      </c>
      <c r="G197" s="59" t="n">
        <f aca="false">F197-H197</f>
        <v>250</v>
      </c>
      <c r="H197" s="59" t="n">
        <v>0</v>
      </c>
      <c r="J197" s="0"/>
      <c r="K197" s="206"/>
      <c r="L197" s="0"/>
      <c r="N197" s="0"/>
      <c r="Q197" s="0"/>
      <c r="S197" s="0"/>
      <c r="V197" s="0"/>
      <c r="Y197" s="0"/>
    </row>
    <row r="198" customFormat="false" ht="21.65" hidden="false" customHeight="true" outlineLevel="0" collapsed="false">
      <c r="A198" s="0" t="n">
        <v>30</v>
      </c>
      <c r="B198" s="31" t="n">
        <v>42979</v>
      </c>
      <c r="C198" s="296" t="n">
        <v>196</v>
      </c>
      <c r="D198" s="1" t="s">
        <v>42</v>
      </c>
      <c r="E198" s="33" t="n">
        <f aca="false">IF(D198="totale",(C198/(A198*24))/F198,IF(D198="marché libre",(C198/(A198*24))/G198,"spécifier histo"))</f>
        <v>0.00108888888888889</v>
      </c>
      <c r="F198" s="59" t="n">
        <v>250</v>
      </c>
      <c r="G198" s="59" t="n">
        <f aca="false">F198-H198</f>
        <v>250</v>
      </c>
      <c r="H198" s="59" t="n">
        <v>0</v>
      </c>
      <c r="J198" s="0"/>
      <c r="K198" s="206"/>
      <c r="L198" s="0"/>
      <c r="N198" s="0"/>
      <c r="Q198" s="0"/>
      <c r="S198" s="0"/>
      <c r="V198" s="0"/>
      <c r="Y198" s="0"/>
    </row>
    <row r="199" customFormat="false" ht="21.65" hidden="false" customHeight="true" outlineLevel="0" collapsed="false">
      <c r="A199" s="0" t="n">
        <v>31</v>
      </c>
      <c r="B199" s="34" t="n">
        <v>43009</v>
      </c>
      <c r="C199" s="296" t="n">
        <v>210</v>
      </c>
      <c r="D199" s="1" t="s">
        <v>42</v>
      </c>
      <c r="E199" s="33" t="n">
        <f aca="false">IF(D199="totale",(C199/(A199*24))/F199,IF(D199="marché libre",(C199/(A199*24))/G199,"spécifier histo"))</f>
        <v>0.00112903225806452</v>
      </c>
      <c r="F199" s="59" t="n">
        <v>250</v>
      </c>
      <c r="G199" s="59" t="n">
        <f aca="false">F199-H199</f>
        <v>250</v>
      </c>
      <c r="H199" s="59" t="n">
        <v>0</v>
      </c>
      <c r="J199" s="0"/>
      <c r="K199" s="206"/>
      <c r="L199" s="0"/>
      <c r="N199" s="0"/>
      <c r="Q199" s="0"/>
      <c r="S199" s="0"/>
      <c r="V199" s="0"/>
      <c r="Y199" s="0"/>
    </row>
    <row r="200" customFormat="false" ht="21.65" hidden="false" customHeight="true" outlineLevel="0" collapsed="false">
      <c r="A200" s="0" t="n">
        <v>30</v>
      </c>
      <c r="B200" s="31" t="n">
        <v>43040</v>
      </c>
      <c r="C200" s="296" t="n">
        <v>13262</v>
      </c>
      <c r="D200" s="1" t="s">
        <v>42</v>
      </c>
      <c r="E200" s="33" t="n">
        <f aca="false">IF(D200="totale",(C200/(A200*24))/F200,IF(D200="marché libre",(C200/(A200*24))/G200,"spécifier histo"))</f>
        <v>0.0736777777777778</v>
      </c>
      <c r="F200" s="59" t="n">
        <v>250</v>
      </c>
      <c r="G200" s="59" t="n">
        <f aca="false">F200-H200</f>
        <v>250</v>
      </c>
      <c r="H200" s="59" t="n">
        <v>0</v>
      </c>
      <c r="J200" s="0"/>
      <c r="K200" s="206"/>
      <c r="L200" s="0"/>
      <c r="N200" s="0"/>
      <c r="Q200" s="0"/>
      <c r="S200" s="0"/>
      <c r="V200" s="0"/>
    </row>
    <row r="201" customFormat="false" ht="21.65" hidden="false" customHeight="true" outlineLevel="0" collapsed="false">
      <c r="A201" s="0" t="n">
        <v>31</v>
      </c>
      <c r="B201" s="34" t="n">
        <v>43070</v>
      </c>
      <c r="C201" s="296" t="n">
        <v>13921</v>
      </c>
      <c r="D201" s="1" t="s">
        <v>42</v>
      </c>
      <c r="E201" s="33" t="n">
        <f aca="false">IF(D201="totale",(C201/(A201*24))/F201,IF(D201="marché libre",(C201/(A201*24))/G201,"spécifier histo"))</f>
        <v>0.0748440860215054</v>
      </c>
      <c r="F201" s="59" t="n">
        <v>250</v>
      </c>
      <c r="G201" s="59" t="n">
        <f aca="false">F201-H201</f>
        <v>250</v>
      </c>
      <c r="H201" s="59" t="n">
        <v>0</v>
      </c>
      <c r="J201" s="0"/>
      <c r="K201" s="206"/>
      <c r="L201" s="0"/>
      <c r="N201" s="0"/>
      <c r="Q201" s="0"/>
      <c r="S201" s="0"/>
      <c r="V201" s="0"/>
    </row>
    <row r="202" customFormat="false" ht="28.35" hidden="false" customHeight="true" outlineLevel="0" collapsed="false">
      <c r="A202" s="0" t="n">
        <v>31</v>
      </c>
      <c r="B202" s="31" t="n">
        <v>43101</v>
      </c>
      <c r="C202" s="133" t="n">
        <v>96859</v>
      </c>
      <c r="D202" s="1" t="s">
        <v>42</v>
      </c>
      <c r="E202" s="33" t="n">
        <f aca="false">IF(D202="totale",(C202/(A202*24))/F202,IF(D202="marché libre",(C202/(A202*24))/G202,"spécifier histo"))</f>
        <v>0.520747311827957</v>
      </c>
      <c r="F202" s="59" t="n">
        <v>250</v>
      </c>
      <c r="G202" s="59" t="n">
        <f aca="false">F202-H202</f>
        <v>250</v>
      </c>
      <c r="H202" s="59" t="n">
        <v>0</v>
      </c>
      <c r="J202" s="0"/>
      <c r="K202" s="206"/>
      <c r="L202" s="0"/>
      <c r="N202" s="0"/>
      <c r="Q202" s="0"/>
      <c r="S202" s="0"/>
      <c r="V202" s="0"/>
    </row>
    <row r="203" customFormat="false" ht="28.35" hidden="false" customHeight="true" outlineLevel="0" collapsed="false">
      <c r="A203" s="0" t="n">
        <v>28</v>
      </c>
      <c r="B203" s="34" t="n">
        <v>43132</v>
      </c>
      <c r="C203" s="133" t="n">
        <v>71936</v>
      </c>
      <c r="D203" s="1" t="s">
        <v>42</v>
      </c>
      <c r="E203" s="33" t="n">
        <f aca="false">IF(D203="totale",(C203/(A203*24))/F203,IF(D203="marché libre",(C203/(A203*24))/G203,"spécifier histo"))</f>
        <v>0.428190476190476</v>
      </c>
      <c r="F203" s="59" t="n">
        <v>250</v>
      </c>
      <c r="G203" s="59" t="n">
        <f aca="false">F203-H203</f>
        <v>250</v>
      </c>
      <c r="H203" s="59" t="n">
        <v>0</v>
      </c>
      <c r="J203" s="0"/>
      <c r="K203" s="206"/>
      <c r="L203" s="0"/>
      <c r="N203" s="0"/>
      <c r="Q203" s="0"/>
      <c r="S203" s="0"/>
      <c r="V203" s="0"/>
    </row>
    <row r="204" customFormat="false" ht="28.35" hidden="false" customHeight="true" outlineLevel="0" collapsed="false">
      <c r="A204" s="0" t="n">
        <v>31</v>
      </c>
      <c r="B204" s="31" t="n">
        <v>43160</v>
      </c>
      <c r="C204" s="133" t="n">
        <v>126077</v>
      </c>
      <c r="D204" s="1" t="s">
        <v>42</v>
      </c>
      <c r="E204" s="33" t="n">
        <f aca="false">IF(D204="totale",(C204/(A204*24))/F204,IF(D204="marché libre",(C204/(A204*24))/G204,"spécifier histo"))</f>
        <v>0.677833333333333</v>
      </c>
      <c r="F204" s="59" t="n">
        <v>250</v>
      </c>
      <c r="G204" s="59" t="n">
        <f aca="false">F204-H204</f>
        <v>250</v>
      </c>
      <c r="H204" s="59" t="n">
        <v>0</v>
      </c>
      <c r="J204" s="0"/>
      <c r="K204" s="206"/>
      <c r="L204" s="0"/>
      <c r="Q204" s="0"/>
      <c r="S204" s="0"/>
      <c r="V204" s="0"/>
    </row>
    <row r="205" customFormat="false" ht="28.35" hidden="false" customHeight="true" outlineLevel="0" collapsed="false">
      <c r="A205" s="0" t="n">
        <v>30</v>
      </c>
      <c r="B205" s="34" t="n">
        <v>43191</v>
      </c>
      <c r="C205" s="133" t="n">
        <v>98501</v>
      </c>
      <c r="D205" s="1" t="s">
        <v>42</v>
      </c>
      <c r="E205" s="33" t="n">
        <f aca="false">IF(D205="totale",(C205/(A205*24))/F205,IF(D205="marché libre",(C205/(A205*24))/G205,"spécifier histo"))</f>
        <v>0.547227777777778</v>
      </c>
      <c r="F205" s="59" t="n">
        <v>250</v>
      </c>
      <c r="G205" s="59" t="n">
        <f aca="false">F205-H205</f>
        <v>250</v>
      </c>
      <c r="H205" s="59" t="n">
        <v>0</v>
      </c>
      <c r="J205" s="0"/>
      <c r="K205" s="206"/>
      <c r="L205" s="0"/>
      <c r="Q205" s="0"/>
      <c r="S205" s="0"/>
    </row>
    <row r="206" customFormat="false" ht="28.35" hidden="false" customHeight="true" outlineLevel="0" collapsed="false">
      <c r="A206" s="0" t="n">
        <v>31</v>
      </c>
      <c r="B206" s="31" t="n">
        <v>43221</v>
      </c>
      <c r="C206" s="133" t="n">
        <v>101961</v>
      </c>
      <c r="D206" s="1" t="s">
        <v>42</v>
      </c>
      <c r="E206" s="33" t="n">
        <f aca="false">IF(D206="totale",(C206/(A206*24))/F206,IF(D206="marché libre",(C206/(A206*24))/G206,"spécifier histo"))</f>
        <v>0.548177419354839</v>
      </c>
      <c r="F206" s="59" t="n">
        <v>250</v>
      </c>
      <c r="G206" s="59" t="n">
        <f aca="false">F206-H206</f>
        <v>250</v>
      </c>
      <c r="H206" s="59" t="n">
        <v>0</v>
      </c>
      <c r="J206" s="0"/>
      <c r="K206" s="206"/>
      <c r="L206" s="0"/>
      <c r="Q206" s="0"/>
      <c r="S206" s="0"/>
    </row>
    <row r="207" customFormat="false" ht="28.35" hidden="false" customHeight="true" outlineLevel="0" collapsed="false">
      <c r="A207" s="0" t="n">
        <v>30</v>
      </c>
      <c r="B207" s="34" t="n">
        <v>43252</v>
      </c>
      <c r="C207" s="133" t="n">
        <v>62174</v>
      </c>
      <c r="D207" s="1" t="s">
        <v>42</v>
      </c>
      <c r="E207" s="33" t="n">
        <f aca="false">IF(D207="totale",(C207/(A207*24))/F207,IF(D207="marché libre",(C207/(A207*24))/G207,"spécifier histo"))</f>
        <v>0.345411111111111</v>
      </c>
      <c r="F207" s="59" t="n">
        <v>250</v>
      </c>
      <c r="G207" s="59" t="n">
        <f aca="false">F207-H207</f>
        <v>250</v>
      </c>
      <c r="H207" s="59" t="n">
        <v>0</v>
      </c>
      <c r="J207" s="0"/>
      <c r="L207" s="0"/>
      <c r="Q207" s="0"/>
      <c r="S207" s="0"/>
    </row>
    <row r="208" customFormat="false" ht="28.35" hidden="false" customHeight="true" outlineLevel="0" collapsed="false">
      <c r="A208" s="0" t="n">
        <v>31</v>
      </c>
      <c r="B208" s="31" t="n">
        <v>43282</v>
      </c>
      <c r="C208" s="133" t="n">
        <v>9104</v>
      </c>
      <c r="D208" s="1" t="s">
        <v>42</v>
      </c>
      <c r="E208" s="33" t="n">
        <f aca="false">IF(D208="totale",(C208/(A208*24))/F208,IF(D208="marché libre",(C208/(A208*24))/G208,"spécifier histo"))</f>
        <v>0.0489462365591398</v>
      </c>
      <c r="F208" s="59" t="n">
        <v>250</v>
      </c>
      <c r="G208" s="59" t="n">
        <f aca="false">F208-H208</f>
        <v>250</v>
      </c>
      <c r="H208" s="59" t="n">
        <v>0</v>
      </c>
      <c r="J208" s="0"/>
      <c r="L208" s="0"/>
      <c r="Q208" s="0"/>
      <c r="S208" s="0"/>
    </row>
    <row r="209" customFormat="false" ht="28.35" hidden="false" customHeight="true" outlineLevel="0" collapsed="false">
      <c r="A209" s="0" t="n">
        <v>31</v>
      </c>
      <c r="B209" s="34" t="n">
        <v>43313</v>
      </c>
      <c r="C209" s="133" t="n">
        <v>3717</v>
      </c>
      <c r="D209" s="1" t="s">
        <v>42</v>
      </c>
      <c r="E209" s="33" t="n">
        <f aca="false">IF(D209="totale",(C209/(A209*24))/F209,IF(D209="marché libre",(C209/(A209*24))/G209,"spécifier histo"))</f>
        <v>0.0199838709677419</v>
      </c>
      <c r="F209" s="59" t="n">
        <v>250</v>
      </c>
      <c r="G209" s="59" t="n">
        <f aca="false">F209-H209</f>
        <v>250</v>
      </c>
      <c r="H209" s="59" t="n">
        <v>0</v>
      </c>
      <c r="J209" s="0"/>
      <c r="L209" s="0"/>
      <c r="Q209" s="0"/>
      <c r="S209" s="0"/>
    </row>
    <row r="210" customFormat="false" ht="28.35" hidden="false" customHeight="true" outlineLevel="0" collapsed="false">
      <c r="A210" s="0" t="n">
        <v>31</v>
      </c>
      <c r="J210" s="0"/>
      <c r="L210" s="0"/>
      <c r="Q210" s="0"/>
      <c r="S210" s="0"/>
    </row>
    <row r="211" customFormat="false" ht="28.35" hidden="false" customHeight="true" outlineLevel="0" collapsed="false">
      <c r="A211" s="0" t="n">
        <v>28</v>
      </c>
      <c r="C211" s="104"/>
      <c r="J211" s="0"/>
      <c r="L211" s="0"/>
      <c r="Q211" s="0"/>
      <c r="S211" s="0"/>
    </row>
    <row r="212" customFormat="false" ht="28.35" hidden="false" customHeight="true" outlineLevel="0" collapsed="false">
      <c r="A212" s="0" t="n">
        <v>31</v>
      </c>
      <c r="C212" s="36"/>
      <c r="J212" s="0"/>
      <c r="L212" s="0"/>
      <c r="Q212" s="0"/>
      <c r="S212" s="0"/>
    </row>
    <row r="213" customFormat="false" ht="28.35" hidden="false" customHeight="true" outlineLevel="0" collapsed="false">
      <c r="A213" s="0" t="n">
        <v>30</v>
      </c>
      <c r="C213" s="36"/>
      <c r="J213" s="0"/>
      <c r="L213" s="0"/>
      <c r="Q213" s="0"/>
      <c r="S213" s="0"/>
    </row>
    <row r="214" customFormat="false" ht="28.35" hidden="false" customHeight="true" outlineLevel="0" collapsed="false">
      <c r="A214" s="0" t="n">
        <v>31</v>
      </c>
      <c r="C214" s="36"/>
      <c r="J214" s="0"/>
      <c r="L214" s="0"/>
      <c r="Q214" s="0"/>
      <c r="S214" s="0"/>
    </row>
    <row r="215" customFormat="false" ht="28.35" hidden="false" customHeight="true" outlineLevel="0" collapsed="false">
      <c r="A215" s="0" t="n">
        <v>30</v>
      </c>
      <c r="C215" s="36"/>
      <c r="J215" s="0"/>
      <c r="L215" s="0"/>
      <c r="Q215" s="0"/>
      <c r="S215" s="0"/>
    </row>
    <row r="216" customFormat="false" ht="13.8" hidden="false" customHeight="false" outlineLevel="0" collapsed="false">
      <c r="A216" s="0" t="n">
        <v>31</v>
      </c>
      <c r="C216" s="36"/>
      <c r="J216" s="0"/>
      <c r="L216" s="0"/>
      <c r="Q216" s="0"/>
      <c r="S216" s="0"/>
    </row>
    <row r="217" customFormat="false" ht="13.8" hidden="false" customHeight="false" outlineLevel="0" collapsed="false">
      <c r="A217" s="0" t="n">
        <v>31</v>
      </c>
      <c r="C217" s="36"/>
      <c r="J217" s="0"/>
      <c r="L217" s="0"/>
      <c r="Q217" s="0"/>
      <c r="S217" s="0"/>
    </row>
    <row r="218" customFormat="false" ht="13.8" hidden="false" customHeight="false" outlineLevel="0" collapsed="false">
      <c r="A218" s="0" t="n">
        <v>30</v>
      </c>
      <c r="C218" s="36"/>
      <c r="J218" s="0"/>
      <c r="L218" s="0"/>
      <c r="Q218" s="0"/>
      <c r="S218" s="0"/>
    </row>
    <row r="219" customFormat="false" ht="13.8" hidden="false" customHeight="false" outlineLevel="0" collapsed="false">
      <c r="A219" s="0" t="n">
        <v>31</v>
      </c>
      <c r="C219" s="36"/>
      <c r="J219" s="0"/>
      <c r="L219" s="0"/>
      <c r="Q219" s="0"/>
      <c r="S219" s="0"/>
    </row>
    <row r="220" customFormat="false" ht="13.8" hidden="false" customHeight="false" outlineLevel="0" collapsed="false">
      <c r="A220" s="0" t="n">
        <v>30</v>
      </c>
      <c r="C220" s="36"/>
      <c r="J220" s="0"/>
      <c r="L220" s="0"/>
      <c r="Q220" s="0"/>
      <c r="S220" s="0"/>
    </row>
    <row r="221" customFormat="false" ht="13.8" hidden="false" customHeight="false" outlineLevel="0" collapsed="false">
      <c r="A221" s="0" t="n">
        <v>31</v>
      </c>
      <c r="C221" s="36"/>
      <c r="J221" s="0"/>
      <c r="L221" s="0"/>
      <c r="Q221" s="0"/>
      <c r="S221" s="0"/>
    </row>
    <row r="222" customFormat="false" ht="13.8" hidden="false" customHeight="false" outlineLevel="0" collapsed="false">
      <c r="A222" s="0" t="n">
        <v>31</v>
      </c>
      <c r="C222" s="36"/>
      <c r="J222" s="0"/>
      <c r="L222" s="0"/>
      <c r="Q222" s="0"/>
      <c r="S222" s="0"/>
    </row>
    <row r="223" customFormat="false" ht="13.8" hidden="false" customHeight="false" outlineLevel="0" collapsed="false">
      <c r="A223" s="0" t="n">
        <v>28</v>
      </c>
      <c r="C223" s="129"/>
      <c r="J223" s="0"/>
      <c r="L223" s="0"/>
      <c r="Q223" s="0"/>
      <c r="S223" s="0"/>
    </row>
    <row r="224" customFormat="false" ht="13.8" hidden="false" customHeight="false" outlineLevel="0" collapsed="false">
      <c r="A224" s="0" t="n">
        <v>31</v>
      </c>
      <c r="C224" s="129"/>
      <c r="J224" s="0"/>
      <c r="L224" s="0"/>
      <c r="Q224" s="0"/>
      <c r="S224" s="0"/>
    </row>
    <row r="225" customFormat="false" ht="13.8" hidden="false" customHeight="false" outlineLevel="0" collapsed="false">
      <c r="A225" s="0" t="n">
        <v>30</v>
      </c>
      <c r="C225" s="129"/>
      <c r="J225" s="0"/>
      <c r="L225" s="0"/>
      <c r="Q225" s="0"/>
      <c r="S225" s="0"/>
    </row>
    <row r="226" customFormat="false" ht="13.8" hidden="false" customHeight="false" outlineLevel="0" collapsed="false">
      <c r="A226" s="0" t="n">
        <v>31</v>
      </c>
      <c r="C226" s="129"/>
      <c r="J226" s="0"/>
      <c r="L226" s="0"/>
      <c r="Q226" s="0"/>
      <c r="S226" s="0"/>
    </row>
    <row r="227" customFormat="false" ht="13.8" hidden="false" customHeight="false" outlineLevel="0" collapsed="false">
      <c r="A227" s="0" t="n">
        <v>30</v>
      </c>
      <c r="C227" s="129"/>
      <c r="J227" s="0"/>
      <c r="L227" s="0"/>
      <c r="Q227" s="0"/>
      <c r="S227" s="0"/>
    </row>
    <row r="228" customFormat="false" ht="13.8" hidden="false" customHeight="false" outlineLevel="0" collapsed="false">
      <c r="A228" s="0" t="n">
        <v>31</v>
      </c>
      <c r="C228" s="129"/>
      <c r="J228" s="0"/>
      <c r="L228" s="0"/>
      <c r="Q228" s="0"/>
      <c r="S228" s="0"/>
    </row>
    <row r="229" customFormat="false" ht="13.8" hidden="false" customHeight="false" outlineLevel="0" collapsed="false">
      <c r="A229" s="0" t="n">
        <v>31</v>
      </c>
      <c r="C229" s="129"/>
      <c r="J229" s="0"/>
      <c r="L229" s="0"/>
      <c r="Q229" s="0"/>
      <c r="S229" s="0"/>
    </row>
    <row r="230" customFormat="false" ht="14.65" hidden="false" customHeight="false" outlineLevel="0" collapsed="false">
      <c r="A230" s="0" t="n">
        <v>30</v>
      </c>
      <c r="C230" s="295"/>
      <c r="J230" s="0"/>
      <c r="L230" s="0"/>
      <c r="Q230" s="0"/>
      <c r="S230" s="0"/>
    </row>
    <row r="231" customFormat="false" ht="14.65" hidden="false" customHeight="false" outlineLevel="0" collapsed="false">
      <c r="A231" s="0" t="n">
        <v>31</v>
      </c>
      <c r="C231" s="295"/>
      <c r="J231" s="0"/>
      <c r="L231" s="0"/>
      <c r="Q231" s="0"/>
      <c r="S231" s="0"/>
    </row>
    <row r="232" customFormat="false" ht="14.65" hidden="false" customHeight="false" outlineLevel="0" collapsed="false">
      <c r="A232" s="0" t="n">
        <v>30</v>
      </c>
      <c r="C232" s="295"/>
      <c r="J232" s="0"/>
      <c r="L232" s="0"/>
      <c r="Q232" s="0"/>
      <c r="S232" s="0"/>
    </row>
    <row r="233" customFormat="false" ht="14.65" hidden="false" customHeight="false" outlineLevel="0" collapsed="false">
      <c r="A233" s="0" t="n">
        <v>31</v>
      </c>
      <c r="C233" s="295"/>
      <c r="J233" s="0"/>
      <c r="L233" s="0"/>
      <c r="Q233" s="0"/>
      <c r="S233" s="0"/>
    </row>
    <row r="234" customFormat="false" ht="14.65" hidden="false" customHeight="false" outlineLevel="0" collapsed="false">
      <c r="A234" s="0" t="n">
        <v>31</v>
      </c>
      <c r="C234" s="295"/>
      <c r="J234" s="0"/>
      <c r="L234" s="0"/>
      <c r="Q234" s="0"/>
      <c r="S234" s="0"/>
    </row>
    <row r="235" customFormat="false" ht="12.8" hidden="false" customHeight="false" outlineLevel="0" collapsed="false">
      <c r="A235" s="0" t="n">
        <v>28</v>
      </c>
      <c r="C235" s="296"/>
      <c r="J235" s="0"/>
      <c r="L235" s="0"/>
      <c r="Q235" s="0"/>
      <c r="S235" s="0"/>
    </row>
    <row r="236" customFormat="false" ht="12.8" hidden="false" customHeight="false" outlineLevel="0" collapsed="false">
      <c r="A236" s="0" t="n">
        <v>31</v>
      </c>
      <c r="C236" s="296"/>
      <c r="J236" s="0"/>
      <c r="L236" s="0"/>
      <c r="Q236" s="0"/>
      <c r="S236" s="0"/>
    </row>
    <row r="237" customFormat="false" ht="12.8" hidden="false" customHeight="false" outlineLevel="0" collapsed="false">
      <c r="A237" s="0" t="n">
        <v>30</v>
      </c>
      <c r="C237" s="296"/>
      <c r="J237" s="0"/>
      <c r="L237" s="0"/>
      <c r="Q237" s="0"/>
      <c r="S237" s="0"/>
    </row>
    <row r="238" customFormat="false" ht="12.8" hidden="false" customHeight="false" outlineLevel="0" collapsed="false">
      <c r="A238" s="0" t="n">
        <v>31</v>
      </c>
      <c r="C238" s="296"/>
      <c r="J238" s="0"/>
      <c r="L238" s="0"/>
      <c r="Q238" s="0"/>
      <c r="S238" s="0"/>
    </row>
    <row r="239" customFormat="false" ht="12.8" hidden="false" customHeight="false" outlineLevel="0" collapsed="false">
      <c r="A239" s="0" t="n">
        <v>30</v>
      </c>
      <c r="C239" s="296"/>
      <c r="J239" s="0"/>
      <c r="L239" s="0"/>
      <c r="Q239" s="0"/>
      <c r="S239" s="0"/>
    </row>
    <row r="240" customFormat="false" ht="12.8" hidden="false" customHeight="false" outlineLevel="0" collapsed="false">
      <c r="A240" s="0" t="n">
        <v>31</v>
      </c>
      <c r="C240" s="296"/>
      <c r="J240" s="0"/>
      <c r="L240" s="0"/>
      <c r="Q240" s="0"/>
      <c r="S240" s="0"/>
    </row>
    <row r="241" customFormat="false" ht="12.8" hidden="false" customHeight="false" outlineLevel="0" collapsed="false">
      <c r="A241" s="0" t="n">
        <v>31</v>
      </c>
      <c r="C241" s="296"/>
      <c r="J241" s="0"/>
      <c r="L241" s="0"/>
      <c r="Q241" s="0"/>
      <c r="S241" s="0"/>
    </row>
    <row r="242" customFormat="false" ht="12.8" hidden="false" customHeight="false" outlineLevel="0" collapsed="false">
      <c r="A242" s="0" t="n">
        <v>30</v>
      </c>
      <c r="C242" s="296"/>
      <c r="J242" s="0"/>
      <c r="L242" s="0"/>
      <c r="Q242" s="0"/>
      <c r="S242" s="0"/>
    </row>
    <row r="243" customFormat="false" ht="12.8" hidden="false" customHeight="false" outlineLevel="0" collapsed="false">
      <c r="A243" s="0" t="n">
        <v>31</v>
      </c>
      <c r="C243" s="296"/>
      <c r="J243" s="0"/>
      <c r="L243" s="0"/>
      <c r="Q243" s="0"/>
      <c r="S243" s="0"/>
    </row>
    <row r="244" customFormat="false" ht="12.8" hidden="false" customHeight="false" outlineLevel="0" collapsed="false">
      <c r="A244" s="0" t="n">
        <v>30</v>
      </c>
      <c r="C244" s="296"/>
      <c r="J244" s="0"/>
      <c r="L244" s="0"/>
      <c r="Q244" s="0"/>
      <c r="S244" s="0"/>
    </row>
    <row r="245" customFormat="false" ht="12.8" hidden="false" customHeight="false" outlineLevel="0" collapsed="false">
      <c r="A245" s="0" t="n">
        <v>31</v>
      </c>
      <c r="C245" s="296"/>
      <c r="J245" s="0"/>
      <c r="L245" s="0"/>
      <c r="Q245" s="0"/>
    </row>
    <row r="246" customFormat="false" ht="12.8" hidden="false" customHeight="false" outlineLevel="0" collapsed="false">
      <c r="C246" s="296"/>
      <c r="J246" s="0"/>
      <c r="L246" s="0"/>
      <c r="Q246" s="0"/>
    </row>
    <row r="247" customFormat="false" ht="12.8" hidden="false" customHeight="false" outlineLevel="0" collapsed="false">
      <c r="C247" s="296"/>
      <c r="J247" s="0"/>
      <c r="L247" s="0"/>
      <c r="Q247" s="0"/>
    </row>
    <row r="248" customFormat="false" ht="12.8" hidden="false" customHeight="false" outlineLevel="0" collapsed="false">
      <c r="C248" s="296"/>
      <c r="L248" s="0"/>
      <c r="Q248" s="0"/>
    </row>
    <row r="249" customFormat="false" ht="12.8" hidden="false" customHeight="false" outlineLevel="0" collapsed="false">
      <c r="C249" s="296"/>
      <c r="L249" s="0"/>
      <c r="Q249" s="0"/>
    </row>
    <row r="250" customFormat="false" ht="12.8" hidden="false" customHeight="false" outlineLevel="0" collapsed="false">
      <c r="C250" s="296"/>
      <c r="L250" s="0"/>
      <c r="Q250" s="0"/>
    </row>
    <row r="251" customFormat="false" ht="12.8" hidden="false" customHeight="false" outlineLevel="0" collapsed="false">
      <c r="C251" s="296"/>
      <c r="L251" s="0"/>
      <c r="Q251" s="0"/>
    </row>
    <row r="252" customFormat="false" ht="12.8" hidden="false" customHeight="false" outlineLevel="0" collapsed="false">
      <c r="C252" s="296"/>
      <c r="L252" s="0"/>
      <c r="Q252" s="0"/>
    </row>
    <row r="253" customFormat="false" ht="12.8" hidden="false" customHeight="false" outlineLevel="0" collapsed="false">
      <c r="C253" s="296"/>
      <c r="L253" s="0"/>
      <c r="Q253" s="0"/>
    </row>
    <row r="254" customFormat="false" ht="12.8" hidden="false" customHeight="false" outlineLevel="0" collapsed="false">
      <c r="C254" s="296"/>
      <c r="L254" s="0"/>
      <c r="Q254" s="0"/>
    </row>
    <row r="255" customFormat="false" ht="12.8" hidden="false" customHeight="false" outlineLevel="0" collapsed="false">
      <c r="C255" s="296"/>
      <c r="L255" s="0"/>
      <c r="Q255" s="0"/>
    </row>
    <row r="256" customFormat="false" ht="12.8" hidden="false" customHeight="false" outlineLevel="0" collapsed="false">
      <c r="C256" s="296"/>
      <c r="L256" s="0"/>
      <c r="Q256" s="0"/>
    </row>
    <row r="257" customFormat="false" ht="12.8" hidden="false" customHeight="false" outlineLevel="0" collapsed="false">
      <c r="C257" s="296"/>
      <c r="L257" s="0"/>
      <c r="Q257" s="0"/>
    </row>
    <row r="258" customFormat="false" ht="12.8" hidden="false" customHeight="false" outlineLevel="0" collapsed="false">
      <c r="C258" s="296"/>
      <c r="L258" s="0"/>
      <c r="Q258" s="0"/>
    </row>
    <row r="259" customFormat="false" ht="12.8" hidden="false" customHeight="false" outlineLevel="0" collapsed="false">
      <c r="C259" s="296"/>
      <c r="L259" s="0"/>
      <c r="Q259" s="0"/>
    </row>
    <row r="260" customFormat="false" ht="12.8" hidden="false" customHeight="false" outlineLevel="0" collapsed="false">
      <c r="C260" s="296"/>
      <c r="L260" s="0"/>
      <c r="Q260" s="0"/>
    </row>
    <row r="261" customFormat="false" ht="12.8" hidden="false" customHeight="false" outlineLevel="0" collapsed="false">
      <c r="C261" s="296"/>
      <c r="L261" s="0"/>
      <c r="Q261" s="0"/>
    </row>
    <row r="262" customFormat="false" ht="12.8" hidden="false" customHeight="false" outlineLevel="0" collapsed="false">
      <c r="C262" s="296"/>
      <c r="L262" s="0"/>
      <c r="Q262" s="0"/>
    </row>
    <row r="263" customFormat="false" ht="12.8" hidden="false" customHeight="false" outlineLevel="0" collapsed="false">
      <c r="C263" s="296"/>
      <c r="L263" s="0"/>
      <c r="Q263" s="0"/>
    </row>
    <row r="264" customFormat="false" ht="12.8" hidden="false" customHeight="false" outlineLevel="0" collapsed="false">
      <c r="C264" s="296"/>
      <c r="L264" s="0"/>
      <c r="Q264" s="0"/>
    </row>
    <row r="265" customFormat="false" ht="12.8" hidden="false" customHeight="false" outlineLevel="0" collapsed="false">
      <c r="C265" s="296"/>
      <c r="L265" s="0"/>
      <c r="Q265" s="0"/>
    </row>
    <row r="266" customFormat="false" ht="12.8" hidden="false" customHeight="false" outlineLevel="0" collapsed="false">
      <c r="C266" s="296"/>
      <c r="L266" s="0"/>
      <c r="Q266" s="0"/>
    </row>
    <row r="267" customFormat="false" ht="12.8" hidden="false" customHeight="false" outlineLevel="0" collapsed="false">
      <c r="C267" s="296"/>
      <c r="L267" s="0"/>
      <c r="Q267" s="0"/>
    </row>
    <row r="268" customFormat="false" ht="12.8" hidden="false" customHeight="false" outlineLevel="0" collapsed="false">
      <c r="C268" s="296"/>
      <c r="L268" s="0"/>
      <c r="Q268" s="0"/>
    </row>
    <row r="269" customFormat="false" ht="12.8" hidden="false" customHeight="false" outlineLevel="0" collapsed="false">
      <c r="C269" s="296"/>
      <c r="L269" s="0"/>
      <c r="Q269" s="0"/>
    </row>
    <row r="270" customFormat="false" ht="12.8" hidden="false" customHeight="false" outlineLevel="0" collapsed="false">
      <c r="C270" s="296"/>
      <c r="L270" s="0"/>
      <c r="Q270" s="0"/>
    </row>
    <row r="271" customFormat="false" ht="12.8" hidden="false" customHeight="false" outlineLevel="0" collapsed="false">
      <c r="C271" s="133"/>
      <c r="L271" s="0"/>
      <c r="Q271" s="0"/>
    </row>
    <row r="272" customFormat="false" ht="12.8" hidden="false" customHeight="false" outlineLevel="0" collapsed="false">
      <c r="C272" s="133"/>
      <c r="L272" s="0"/>
      <c r="Q272" s="0"/>
    </row>
    <row r="273" customFormat="false" ht="12.8" hidden="false" customHeight="false" outlineLevel="0" collapsed="false">
      <c r="L273" s="0"/>
      <c r="Q273" s="0"/>
    </row>
    <row r="274" customFormat="false" ht="12.8" hidden="false" customHeight="false" outlineLevel="0" collapsed="false">
      <c r="L274" s="0"/>
      <c r="Q274" s="0"/>
    </row>
    <row r="275" customFormat="false" ht="12.8" hidden="false" customHeight="false" outlineLevel="0" collapsed="false">
      <c r="L275" s="0"/>
      <c r="Q275" s="0"/>
    </row>
    <row r="276" customFormat="false" ht="12.8" hidden="false" customHeight="false" outlineLevel="0" collapsed="false">
      <c r="L276" s="0"/>
      <c r="Q276" s="0"/>
    </row>
    <row r="277" customFormat="false" ht="12.8" hidden="false" customHeight="false" outlineLevel="0" collapsed="false">
      <c r="L277" s="0"/>
      <c r="Q277" s="0"/>
    </row>
    <row r="278" customFormat="false" ht="12.8" hidden="false" customHeight="false" outlineLevel="0" collapsed="false">
      <c r="Q278" s="0"/>
    </row>
    <row r="279" customFormat="false" ht="12.8" hidden="false" customHeight="false" outlineLevel="0" collapsed="false">
      <c r="Q279" s="0"/>
    </row>
    <row r="280" customFormat="false" ht="12.8" hidden="false" customHeight="false" outlineLevel="0" collapsed="false">
      <c r="Q280" s="0"/>
    </row>
    <row r="281" customFormat="false" ht="12.8" hidden="false" customHeight="false" outlineLevel="0" collapsed="false">
      <c r="Q281" s="0"/>
    </row>
    <row r="282" customFormat="false" ht="12.8" hidden="false" customHeight="false" outlineLevel="0" collapsed="false">
      <c r="Q282" s="0"/>
    </row>
    <row r="283" customFormat="false" ht="12.8" hidden="false" customHeight="false" outlineLevel="0" collapsed="false">
      <c r="Q283" s="0"/>
    </row>
    <row r="284" customFormat="false" ht="12.8" hidden="false" customHeight="false" outlineLevel="0" collapsed="false">
      <c r="Q284" s="0"/>
    </row>
    <row r="285" customFormat="false" ht="12.8" hidden="false" customHeight="false" outlineLevel="0" collapsed="false">
      <c r="Q285" s="0"/>
    </row>
    <row r="286" customFormat="false" ht="12.8" hidden="false" customHeight="false" outlineLevel="0" collapsed="false">
      <c r="Q286" s="0"/>
    </row>
    <row r="287" customFormat="false" ht="12.8" hidden="false" customHeight="false" outlineLevel="0" collapsed="false">
      <c r="Q287" s="0"/>
    </row>
    <row r="288" customFormat="false" ht="12.8" hidden="false" customHeight="false" outlineLevel="0" collapsed="false">
      <c r="Q288" s="0"/>
    </row>
    <row r="289" customFormat="false" ht="12.8" hidden="false" customHeight="false" outlineLevel="0" collapsed="false">
      <c r="Q289" s="0"/>
    </row>
    <row r="290" customFormat="false" ht="12.8" hidden="false" customHeight="false" outlineLevel="0" collapsed="false">
      <c r="Q290"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0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tabColor rgb="FF009933"/>
    <pageSetUpPr fitToPage="false"/>
  </sheetPr>
  <dimension ref="A1:V18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63" activePane="bottomRight" state="frozen"/>
      <selection pane="topLeft" activeCell="A1" activeCellId="0" sqref="A1"/>
      <selection pane="topRight" activeCell="B1" activeCellId="0" sqref="B1"/>
      <selection pane="bottomLeft" activeCell="A63" activeCellId="0" sqref="A63"/>
      <selection pane="bottomRight" activeCell="B67" activeCellId="0" sqref="B67"/>
    </sheetView>
  </sheetViews>
  <sheetFormatPr defaultRowHeight="12.8" zeroHeight="false" outlineLevelRow="0" outlineLevelCol="0"/>
  <cols>
    <col collapsed="false" customWidth="true" hidden="false" outlineLevel="0" max="1" min="1" style="1" width="5.09"/>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56" width="24.68"/>
    <col collapsed="false" customWidth="true" hidden="false" outlineLevel="0" max="11" min="11" style="256" width="19.45"/>
    <col collapsed="false" customWidth="true" hidden="false" outlineLevel="0" max="12" min="12" style="256" width="24.54"/>
    <col collapsed="false" customWidth="false" hidden="false" outlineLevel="0" max="13" min="13" style="256" width="11.52"/>
    <col collapsed="false" customWidth="true" hidden="false" outlineLevel="0" max="14" min="14" style="256" width="10.8"/>
    <col collapsed="false" customWidth="true" hidden="false" outlineLevel="0" max="15" min="15" style="256" width="4.02"/>
    <col collapsed="false" customWidth="false" hidden="false" outlineLevel="0" max="16" min="16" style="256" width="11.52"/>
    <col collapsed="false" customWidth="true" hidden="false" outlineLevel="0" max="17" min="17" style="256" width="15.28"/>
    <col collapsed="false" customWidth="true" hidden="false" outlineLevel="0" max="18" min="18" style="256" width="3.85"/>
    <col collapsed="false" customWidth="false" hidden="false" outlineLevel="0" max="20" min="19" style="256" width="11.52"/>
    <col collapsed="false" customWidth="false" hidden="false" outlineLevel="0" max="1025" min="21" style="1" width="11.52"/>
  </cols>
  <sheetData>
    <row r="1" s="1" customFormat="true" ht="30.8" hidden="false" customHeight="true" outlineLevel="0" collapsed="false">
      <c r="A1" s="0"/>
      <c r="B1" s="2" t="s">
        <v>0</v>
      </c>
      <c r="C1" s="2"/>
      <c r="D1" s="2"/>
      <c r="E1" s="2"/>
      <c r="F1" s="3" t="s">
        <v>1</v>
      </c>
      <c r="G1" s="3"/>
      <c r="H1" s="3"/>
      <c r="I1" s="3"/>
      <c r="J1" s="3"/>
      <c r="K1" s="3"/>
      <c r="L1" s="3"/>
      <c r="M1" s="3"/>
      <c r="N1" s="3"/>
    </row>
    <row r="2" s="1" customFormat="true" ht="30.8" hidden="false" customHeight="true" outlineLevel="0" collapsed="false">
      <c r="A2" s="0"/>
      <c r="B2" s="2"/>
      <c r="C2" s="2"/>
      <c r="D2" s="2"/>
      <c r="E2" s="2"/>
      <c r="F2" s="3" t="s">
        <v>305</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16" t="s">
        <v>367</v>
      </c>
      <c r="C4" s="16" t="n">
        <v>51204</v>
      </c>
      <c r="D4" s="273" t="s">
        <v>368</v>
      </c>
      <c r="E4" s="219" t="s">
        <v>369</v>
      </c>
      <c r="F4" s="15" t="n">
        <v>900</v>
      </c>
      <c r="G4" s="15" t="n">
        <v>497</v>
      </c>
      <c r="H4" s="15" t="n">
        <v>200</v>
      </c>
      <c r="I4" s="5" t="s">
        <v>370</v>
      </c>
      <c r="J4" s="15" t="n">
        <v>595</v>
      </c>
      <c r="K4" s="16" t="s">
        <v>371</v>
      </c>
      <c r="L4" s="16" t="s">
        <v>372</v>
      </c>
      <c r="M4" s="16" t="s">
        <v>373</v>
      </c>
      <c r="N4" s="16"/>
      <c r="P4" s="17"/>
      <c r="Q4" s="16" t="s">
        <v>23</v>
      </c>
      <c r="S4" s="18"/>
      <c r="T4" s="19" t="s">
        <v>24</v>
      </c>
      <c r="U4" s="19"/>
      <c r="V4" s="19"/>
    </row>
    <row r="5" s="1" customFormat="true" ht="28.35" hidden="false" customHeight="true" outlineLevel="0" collapsed="false">
      <c r="A5" s="0"/>
      <c r="F5" s="9"/>
      <c r="G5" s="9"/>
      <c r="H5" s="9"/>
      <c r="J5" s="9"/>
      <c r="P5" s="9"/>
      <c r="Q5" s="9"/>
    </row>
    <row r="6" s="1" customFormat="true" ht="28.35" hidden="false" customHeight="true" outlineLevel="0" collapsed="false">
      <c r="A6" s="0"/>
      <c r="B6" s="0"/>
      <c r="C6" s="10" t="s">
        <v>25</v>
      </c>
      <c r="D6" s="10"/>
      <c r="F6" s="20" t="s">
        <v>26</v>
      </c>
      <c r="G6" s="297" t="s">
        <v>374</v>
      </c>
      <c r="H6" s="297"/>
      <c r="I6" s="297"/>
      <c r="J6" s="297"/>
      <c r="K6" s="297"/>
      <c r="L6" s="297"/>
      <c r="M6" s="297"/>
      <c r="N6" s="297"/>
      <c r="P6" s="21" t="n">
        <v>41244</v>
      </c>
      <c r="Q6" s="19" t="s">
        <v>27</v>
      </c>
      <c r="R6" s="9"/>
      <c r="S6" s="22"/>
      <c r="T6" s="5" t="s">
        <v>28</v>
      </c>
    </row>
    <row r="7" s="1" customFormat="true" ht="41.65" hidden="false" customHeight="true" outlineLevel="0" collapsed="false">
      <c r="A7" s="0"/>
      <c r="B7" s="0"/>
      <c r="C7" s="123" t="s">
        <v>375</v>
      </c>
      <c r="D7" s="123"/>
      <c r="F7" s="20"/>
      <c r="G7" s="20"/>
      <c r="H7" s="297"/>
      <c r="I7" s="297"/>
      <c r="J7" s="297"/>
      <c r="K7" s="297"/>
      <c r="L7" s="297"/>
      <c r="M7" s="297"/>
      <c r="N7" s="297"/>
      <c r="P7" s="24"/>
      <c r="Q7" s="5" t="s">
        <v>29</v>
      </c>
      <c r="R7" s="9"/>
      <c r="S7" s="25"/>
      <c r="T7" s="5" t="s">
        <v>30</v>
      </c>
    </row>
    <row r="8" s="1" customFormat="true" ht="42.45" hidden="false" customHeight="true" outlineLevel="0" collapsed="false">
      <c r="A8" s="26"/>
      <c r="F8" s="9"/>
      <c r="G8" s="9"/>
      <c r="H8" s="9"/>
      <c r="J8" s="9"/>
      <c r="R8" s="9"/>
      <c r="S8" s="27"/>
      <c r="T8" s="16" t="s">
        <v>31</v>
      </c>
    </row>
    <row r="9" s="1" customFormat="true" ht="36.65" hidden="false" customHeight="true" outlineLevel="0" collapsed="false">
      <c r="A9" s="26"/>
      <c r="B9" s="9" t="s">
        <v>32</v>
      </c>
      <c r="C9" s="28" t="s">
        <v>33</v>
      </c>
      <c r="D9" s="29"/>
      <c r="E9" s="1" t="s">
        <v>35</v>
      </c>
      <c r="F9" s="9" t="s">
        <v>36</v>
      </c>
      <c r="G9" s="9" t="s">
        <v>37</v>
      </c>
      <c r="H9" s="9" t="s">
        <v>38</v>
      </c>
      <c r="I9" s="9" t="s">
        <v>39</v>
      </c>
      <c r="J9" s="205" t="s">
        <v>40</v>
      </c>
    </row>
    <row r="10" customFormat="false" ht="19.85" hidden="false" customHeight="true" outlineLevel="0" collapsed="false">
      <c r="A10" s="0" t="n">
        <v>31</v>
      </c>
      <c r="B10" s="34" t="n">
        <v>41244</v>
      </c>
      <c r="C10" s="56" t="n">
        <v>34883</v>
      </c>
      <c r="D10" s="260" t="s">
        <v>42</v>
      </c>
      <c r="E10" s="33" t="n">
        <f aca="false">IF(D10="totale",(C10/(A10*24))/F10,IF(D10="marché libre",(C10/(A10*24))/G10,"spécifier histo"))</f>
        <v>0.240439757375241</v>
      </c>
      <c r="F10" s="59" t="n">
        <v>595</v>
      </c>
      <c r="G10" s="59" t="n">
        <f aca="false">F10-H10</f>
        <v>195</v>
      </c>
      <c r="H10" s="59" t="n">
        <v>400</v>
      </c>
      <c r="J10" s="70"/>
    </row>
    <row r="11" customFormat="false" ht="19.85" hidden="false" customHeight="true" outlineLevel="0" collapsed="false">
      <c r="A11" s="0" t="n">
        <v>31</v>
      </c>
      <c r="B11" s="31" t="n">
        <v>41275</v>
      </c>
      <c r="C11" s="56" t="n">
        <v>204955</v>
      </c>
      <c r="D11" s="260" t="s">
        <v>42</v>
      </c>
      <c r="E11" s="33" t="n">
        <f aca="false">IF(D11="totale",(C11/(A11*24))/F11,IF(D11="marché libre",(C11/(A11*24))/G11,"spécifier histo"))</f>
        <v>1.41270333609043</v>
      </c>
      <c r="F11" s="59" t="n">
        <v>595</v>
      </c>
      <c r="G11" s="59" t="n">
        <f aca="false">F11-H11</f>
        <v>195</v>
      </c>
      <c r="H11" s="59" t="n">
        <v>400</v>
      </c>
      <c r="J11" s="70"/>
    </row>
    <row r="12" customFormat="false" ht="19.85" hidden="false" customHeight="true" outlineLevel="0" collapsed="false">
      <c r="A12" s="0" t="n">
        <v>28</v>
      </c>
      <c r="B12" s="34" t="n">
        <v>41306</v>
      </c>
      <c r="C12" s="56" t="n">
        <v>82417</v>
      </c>
      <c r="D12" s="260" t="s">
        <v>42</v>
      </c>
      <c r="E12" s="33" t="n">
        <f aca="false">IF(D12="totale",(C12/(A12*24))/F12,IF(D12="marché libre",(C12/(A12*24))/G12,"spécifier histo"))</f>
        <v>0.62894536019536</v>
      </c>
      <c r="F12" s="59" t="n">
        <v>595</v>
      </c>
      <c r="G12" s="59" t="n">
        <f aca="false">F12-H12</f>
        <v>195</v>
      </c>
      <c r="H12" s="59" t="n">
        <v>400</v>
      </c>
      <c r="J12" s="70"/>
      <c r="K12" s="0"/>
      <c r="L12" s="29" t="s">
        <v>376</v>
      </c>
    </row>
    <row r="13" customFormat="false" ht="19.85" hidden="false" customHeight="true" outlineLevel="0" collapsed="false">
      <c r="A13" s="0" t="n">
        <v>31</v>
      </c>
      <c r="B13" s="31" t="n">
        <v>41334</v>
      </c>
      <c r="C13" s="56" t="n">
        <v>111488</v>
      </c>
      <c r="D13" s="260" t="s">
        <v>42</v>
      </c>
      <c r="E13" s="33" t="n">
        <f aca="false">IF(D13="totale",(C13/(A13*24))/F13,IF(D13="marché libre",(C13/(A13*24))/G13,"spécifier histo"))</f>
        <v>0.768458781362007</v>
      </c>
      <c r="F13" s="59" t="n">
        <v>595</v>
      </c>
      <c r="G13" s="59" t="n">
        <f aca="false">F13-H13</f>
        <v>195</v>
      </c>
      <c r="H13" s="59" t="n">
        <v>400</v>
      </c>
      <c r="J13" s="70"/>
      <c r="K13" s="0"/>
      <c r="L13" s="29" t="s">
        <v>377</v>
      </c>
    </row>
    <row r="14" customFormat="false" ht="19.85" hidden="false" customHeight="true" outlineLevel="0" collapsed="false">
      <c r="A14" s="0" t="n">
        <v>30</v>
      </c>
      <c r="B14" s="34" t="n">
        <v>41365</v>
      </c>
      <c r="C14" s="56" t="n">
        <v>106478</v>
      </c>
      <c r="D14" s="260" t="s">
        <v>42</v>
      </c>
      <c r="E14" s="33" t="n">
        <f aca="false">IF(D14="totale",(C14/(A14*24))/F14,IF(D14="marché libre",(C14/(A14*24))/G14,"spécifier histo"))</f>
        <v>0.758390313390313</v>
      </c>
      <c r="F14" s="59" t="n">
        <v>595</v>
      </c>
      <c r="G14" s="59" t="n">
        <f aca="false">F14-H14</f>
        <v>195</v>
      </c>
      <c r="H14" s="59" t="n">
        <v>400</v>
      </c>
      <c r="J14" s="70"/>
      <c r="K14" s="0"/>
      <c r="L14" s="29" t="s">
        <v>229</v>
      </c>
    </row>
    <row r="15" customFormat="false" ht="19.85" hidden="false" customHeight="true" outlineLevel="0" collapsed="false">
      <c r="A15" s="0" t="n">
        <v>31</v>
      </c>
      <c r="B15" s="31" t="n">
        <v>41395</v>
      </c>
      <c r="C15" s="56" t="n">
        <v>94547</v>
      </c>
      <c r="D15" s="260" t="s">
        <v>42</v>
      </c>
      <c r="E15" s="33" t="n">
        <f aca="false">IF(D15="totale",(C15/(A15*24))/F15,IF(D15="marché libre",(C15/(A15*24))/G15,"spécifier histo"))</f>
        <v>0.651688723462917</v>
      </c>
      <c r="F15" s="59" t="n">
        <v>595</v>
      </c>
      <c r="G15" s="59" t="n">
        <f aca="false">F15-H15</f>
        <v>195</v>
      </c>
      <c r="H15" s="59" t="n">
        <v>400</v>
      </c>
      <c r="J15" s="70"/>
      <c r="K15" s="0"/>
      <c r="L15" s="29" t="s">
        <v>378</v>
      </c>
    </row>
    <row r="16" customFormat="false" ht="19.85" hidden="false" customHeight="true" outlineLevel="0" collapsed="false">
      <c r="A16" s="0" t="n">
        <v>30</v>
      </c>
      <c r="B16" s="34" t="n">
        <v>41426</v>
      </c>
      <c r="C16" s="56" t="n">
        <v>114312</v>
      </c>
      <c r="D16" s="260" t="s">
        <v>42</v>
      </c>
      <c r="E16" s="33" t="n">
        <f aca="false">IF(D16="totale",(C16/(A16*24))/F16,IF(D16="marché libre",(C16/(A16*24))/G16,"spécifier histo"))</f>
        <v>0.814188034188034</v>
      </c>
      <c r="F16" s="59" t="n">
        <v>595</v>
      </c>
      <c r="G16" s="59" t="n">
        <f aca="false">F16-H16</f>
        <v>195</v>
      </c>
      <c r="H16" s="59" t="n">
        <v>400</v>
      </c>
      <c r="J16" s="70"/>
      <c r="K16" s="0"/>
      <c r="L16" s="29" t="s">
        <v>379</v>
      </c>
    </row>
    <row r="17" customFormat="false" ht="19.85" hidden="false" customHeight="true" outlineLevel="0" collapsed="false">
      <c r="A17" s="0" t="n">
        <v>31</v>
      </c>
      <c r="B17" s="31" t="n">
        <v>41456</v>
      </c>
      <c r="C17" s="56" t="n">
        <v>100967</v>
      </c>
      <c r="D17" s="260" t="s">
        <v>42</v>
      </c>
      <c r="E17" s="33" t="n">
        <f aca="false">IF(D17="totale",(C17/(A17*24))/F17,IF(D17="marché libre",(C17/(A17*24))/G17,"spécifier histo"))</f>
        <v>0.695940170940171</v>
      </c>
      <c r="F17" s="59" t="n">
        <v>595</v>
      </c>
      <c r="G17" s="59" t="n">
        <f aca="false">F17-H17</f>
        <v>195</v>
      </c>
      <c r="H17" s="59" t="n">
        <v>400</v>
      </c>
      <c r="J17" s="70"/>
    </row>
    <row r="18" customFormat="false" ht="19.85" hidden="false" customHeight="true" outlineLevel="0" collapsed="false">
      <c r="A18" s="0" t="n">
        <v>31</v>
      </c>
      <c r="B18" s="34" t="n">
        <v>41487</v>
      </c>
      <c r="C18" s="56" t="n">
        <v>105417</v>
      </c>
      <c r="D18" s="260" t="s">
        <v>42</v>
      </c>
      <c r="E18" s="33" t="n">
        <f aca="false">IF(D18="totale",(C18/(A18*24))/F18,IF(D18="marché libre",(C18/(A18*24))/G18,"spécifier histo"))</f>
        <v>0.726612903225806</v>
      </c>
      <c r="F18" s="59" t="n">
        <v>595</v>
      </c>
      <c r="G18" s="59" t="n">
        <f aca="false">F18-H18</f>
        <v>195</v>
      </c>
      <c r="H18" s="59" t="n">
        <v>400</v>
      </c>
      <c r="J18" s="70"/>
      <c r="K18" s="298" t="n">
        <v>43040</v>
      </c>
    </row>
    <row r="19" customFormat="false" ht="19.85" hidden="false" customHeight="true" outlineLevel="0" collapsed="false">
      <c r="A19" s="0" t="n">
        <v>30</v>
      </c>
      <c r="B19" s="31" t="n">
        <v>41518</v>
      </c>
      <c r="C19" s="56" t="n">
        <v>94024</v>
      </c>
      <c r="D19" s="260" t="s">
        <v>42</v>
      </c>
      <c r="E19" s="33" t="n">
        <f aca="false">IF(D19="totale",(C19/(A19*24))/F19,IF(D19="marché libre",(C19/(A19*24))/G19,"spécifier histo"))</f>
        <v>0.66968660968661</v>
      </c>
      <c r="F19" s="59" t="n">
        <v>595</v>
      </c>
      <c r="G19" s="59" t="n">
        <f aca="false">F19-H19</f>
        <v>195</v>
      </c>
      <c r="H19" s="59" t="n">
        <v>400</v>
      </c>
      <c r="J19" s="70"/>
      <c r="K19" s="298" t="n">
        <v>43769</v>
      </c>
    </row>
    <row r="20" customFormat="false" ht="19.85" hidden="false" customHeight="true" outlineLevel="0" collapsed="false">
      <c r="A20" s="0" t="n">
        <v>31</v>
      </c>
      <c r="B20" s="34" t="n">
        <v>41548</v>
      </c>
      <c r="C20" s="56" t="n">
        <v>81070</v>
      </c>
      <c r="D20" s="260" t="s">
        <v>42</v>
      </c>
      <c r="E20" s="33" t="n">
        <f aca="false">IF(D20="totale",(C20/(A20*24))/F20,IF(D20="marché libre",(C20/(A20*24))/G20,"spécifier histo"))</f>
        <v>0.558795147504825</v>
      </c>
      <c r="F20" s="59" t="n">
        <v>595</v>
      </c>
      <c r="G20" s="59" t="n">
        <f aca="false">F20-H20</f>
        <v>195</v>
      </c>
      <c r="H20" s="59" t="n">
        <v>400</v>
      </c>
      <c r="J20" s="70"/>
      <c r="K20" s="256" t="s">
        <v>2</v>
      </c>
    </row>
    <row r="21" customFormat="false" ht="19.85" hidden="false" customHeight="true" outlineLevel="0" collapsed="false">
      <c r="A21" s="0" t="n">
        <v>30</v>
      </c>
      <c r="B21" s="31" t="n">
        <v>41579</v>
      </c>
      <c r="C21" s="56" t="n">
        <v>111555</v>
      </c>
      <c r="D21" s="260" t="s">
        <v>42</v>
      </c>
      <c r="E21" s="33" t="n">
        <f aca="false">IF(D21="totale",(C21/(A21*24))/F21,IF(D21="marché libre",(C21/(A21*24))/G21,"spécifier histo"))</f>
        <v>0.794551282051282</v>
      </c>
      <c r="F21" s="59" t="n">
        <v>595</v>
      </c>
      <c r="G21" s="59" t="n">
        <f aca="false">F21-H21</f>
        <v>195</v>
      </c>
      <c r="H21" s="59" t="n">
        <v>400</v>
      </c>
      <c r="J21" s="55"/>
    </row>
    <row r="22" customFormat="false" ht="19.85" hidden="false" customHeight="true" outlineLevel="0" collapsed="false">
      <c r="A22" s="0" t="n">
        <v>31</v>
      </c>
      <c r="B22" s="34" t="n">
        <v>41609</v>
      </c>
      <c r="C22" s="56" t="n">
        <v>96774</v>
      </c>
      <c r="D22" s="260" t="s">
        <v>42</v>
      </c>
      <c r="E22" s="33" t="n">
        <f aca="false">IF(D22="totale",(C22/(A22*24))/F22,IF(D22="marché libre",(C22/(A22*24))/G22,"spécifier histo"))</f>
        <v>0.667038875103391</v>
      </c>
      <c r="F22" s="59" t="n">
        <v>595</v>
      </c>
      <c r="G22" s="59" t="n">
        <f aca="false">F22-H22</f>
        <v>195</v>
      </c>
      <c r="H22" s="59" t="n">
        <v>400</v>
      </c>
      <c r="J22" s="55"/>
    </row>
    <row r="23" customFormat="false" ht="19.85" hidden="false" customHeight="true" outlineLevel="0" collapsed="false">
      <c r="A23" s="0" t="n">
        <v>31</v>
      </c>
      <c r="B23" s="31" t="n">
        <v>41640</v>
      </c>
      <c r="C23" s="56" t="n">
        <v>48557</v>
      </c>
      <c r="D23" s="260" t="s">
        <v>42</v>
      </c>
      <c r="E23" s="33" t="n">
        <f aca="false">IF(D23="totale",(C23/(A23*24))/F23,IF(D23="marché libre",(C23/(A23*24))/G23,"spécifier histo"))</f>
        <v>0.334691204852495</v>
      </c>
      <c r="F23" s="59" t="n">
        <v>595</v>
      </c>
      <c r="G23" s="59" t="n">
        <f aca="false">F23-H23</f>
        <v>195</v>
      </c>
      <c r="H23" s="59" t="n">
        <v>400</v>
      </c>
      <c r="J23" s="55"/>
    </row>
    <row r="24" customFormat="false" ht="19.85" hidden="false" customHeight="true" outlineLevel="0" collapsed="false">
      <c r="A24" s="0" t="n">
        <v>28</v>
      </c>
      <c r="B24" s="34" t="n">
        <v>41671</v>
      </c>
      <c r="C24" s="56" t="n">
        <v>36180</v>
      </c>
      <c r="D24" s="260" t="s">
        <v>42</v>
      </c>
      <c r="E24" s="33" t="n">
        <f aca="false">IF(D24="totale",(C24/(A24*24))/F24,IF(D24="marché libre",(C24/(A24*24))/G24,"spécifier histo"))</f>
        <v>0.276098901098901</v>
      </c>
      <c r="F24" s="59" t="n">
        <v>595</v>
      </c>
      <c r="G24" s="59" t="n">
        <f aca="false">F24-H24</f>
        <v>195</v>
      </c>
      <c r="H24" s="59" t="n">
        <v>400</v>
      </c>
      <c r="J24" s="55"/>
    </row>
    <row r="25" customFormat="false" ht="19.85" hidden="false" customHeight="true" outlineLevel="0" collapsed="false">
      <c r="A25" s="0" t="n">
        <v>31</v>
      </c>
      <c r="B25" s="31" t="n">
        <v>41699</v>
      </c>
      <c r="C25" s="56" t="n">
        <v>96796</v>
      </c>
      <c r="D25" s="260" t="s">
        <v>42</v>
      </c>
      <c r="E25" s="33" t="n">
        <f aca="false">IF(D25="totale",(C25/(A25*24))/F25,IF(D25="marché libre",(C25/(A25*24))/G25,"spécifier histo"))</f>
        <v>0.667190515577612</v>
      </c>
      <c r="F25" s="59" t="n">
        <v>595</v>
      </c>
      <c r="G25" s="59" t="n">
        <f aca="false">F25-H25</f>
        <v>195</v>
      </c>
      <c r="H25" s="59" t="n">
        <v>400</v>
      </c>
      <c r="J25" s="55"/>
    </row>
    <row r="26" customFormat="false" ht="19.85" hidden="false" customHeight="true" outlineLevel="0" collapsed="false">
      <c r="A26" s="0" t="n">
        <v>30</v>
      </c>
      <c r="B26" s="34" t="n">
        <v>41730</v>
      </c>
      <c r="C26" s="56" t="n">
        <v>107943</v>
      </c>
      <c r="D26" s="260" t="s">
        <v>42</v>
      </c>
      <c r="E26" s="33" t="n">
        <f aca="false">IF(D26="totale",(C26/(A26*24))/F26,IF(D26="marché libre",(C26/(A26*24))/G26,"spécifier histo"))</f>
        <v>0.768824786324786</v>
      </c>
      <c r="F26" s="59" t="n">
        <v>595</v>
      </c>
      <c r="G26" s="59" t="n">
        <f aca="false">F26-H26</f>
        <v>195</v>
      </c>
      <c r="H26" s="59" t="n">
        <v>400</v>
      </c>
      <c r="J26" s="55"/>
    </row>
    <row r="27" customFormat="false" ht="19.85" hidden="false" customHeight="true" outlineLevel="0" collapsed="false">
      <c r="A27" s="0" t="n">
        <v>31</v>
      </c>
      <c r="B27" s="31" t="n">
        <v>41760</v>
      </c>
      <c r="C27" s="56" t="n">
        <v>97651</v>
      </c>
      <c r="D27" s="260" t="s">
        <v>42</v>
      </c>
      <c r="E27" s="33" t="n">
        <f aca="false">IF(D27="totale",(C27/(A27*24))/F27,IF(D27="marché libre",(C27/(A27*24))/G27,"spécifier histo"))</f>
        <v>0.673083815825751</v>
      </c>
      <c r="F27" s="59" t="n">
        <v>595</v>
      </c>
      <c r="G27" s="59" t="n">
        <f aca="false">F27-H27</f>
        <v>195</v>
      </c>
      <c r="H27" s="59" t="n">
        <v>400</v>
      </c>
      <c r="J27" s="55"/>
    </row>
    <row r="28" customFormat="false" ht="19.85" hidden="false" customHeight="true" outlineLevel="0" collapsed="false">
      <c r="A28" s="0" t="n">
        <v>30</v>
      </c>
      <c r="B28" s="34" t="n">
        <v>41791</v>
      </c>
      <c r="C28" s="56" t="n">
        <v>124732</v>
      </c>
      <c r="D28" s="260" t="s">
        <v>42</v>
      </c>
      <c r="E28" s="33" t="n">
        <f aca="false">IF(D28="totale",(C28/(A28*24))/F28,IF(D28="marché libre",(C28/(A28*24))/G28,"spécifier histo"))</f>
        <v>0.888404558404558</v>
      </c>
      <c r="F28" s="59" t="n">
        <v>595</v>
      </c>
      <c r="G28" s="59" t="n">
        <f aca="false">F28-H28</f>
        <v>195</v>
      </c>
      <c r="H28" s="59" t="n">
        <v>400</v>
      </c>
      <c r="J28" s="55"/>
    </row>
    <row r="29" customFormat="false" ht="19.85" hidden="false" customHeight="true" outlineLevel="0" collapsed="false">
      <c r="A29" s="0" t="n">
        <v>31</v>
      </c>
      <c r="B29" s="31" t="n">
        <v>41821</v>
      </c>
      <c r="C29" s="56" t="n">
        <v>100770</v>
      </c>
      <c r="D29" s="260" t="s">
        <v>42</v>
      </c>
      <c r="E29" s="33" t="n">
        <f aca="false">IF(D29="totale",(C29/(A29*24))/F29,IF(D29="marché libre",(C29/(A29*24))/G29,"spécifier histo"))</f>
        <v>0.694582299421009</v>
      </c>
      <c r="F29" s="59" t="n">
        <v>595</v>
      </c>
      <c r="G29" s="59" t="n">
        <f aca="false">F29-H29</f>
        <v>195</v>
      </c>
      <c r="H29" s="59" t="n">
        <v>400</v>
      </c>
      <c r="J29" s="55"/>
    </row>
    <row r="30" customFormat="false" ht="19.85" hidden="false" customHeight="true" outlineLevel="0" collapsed="false">
      <c r="A30" s="0" t="n">
        <v>31</v>
      </c>
      <c r="B30" s="34" t="n">
        <v>41852</v>
      </c>
      <c r="C30" s="56" t="n">
        <v>96700</v>
      </c>
      <c r="D30" s="260" t="s">
        <v>42</v>
      </c>
      <c r="E30" s="33" t="n">
        <f aca="false">IF(D30="totale",(C30/(A30*24))/F30,IF(D30="marché libre",(C30/(A30*24))/G30,"spécifier histo"))</f>
        <v>0.666528811690102</v>
      </c>
      <c r="F30" s="59" t="n">
        <v>595</v>
      </c>
      <c r="G30" s="59" t="n">
        <f aca="false">F30-H30</f>
        <v>195</v>
      </c>
      <c r="H30" s="59" t="n">
        <v>400</v>
      </c>
      <c r="J30" s="55"/>
    </row>
    <row r="31" customFormat="false" ht="19.85" hidden="false" customHeight="true" outlineLevel="0" collapsed="false">
      <c r="A31" s="0" t="n">
        <v>30</v>
      </c>
      <c r="B31" s="31" t="n">
        <v>41883</v>
      </c>
      <c r="C31" s="56" t="n">
        <v>99732</v>
      </c>
      <c r="D31" s="260" t="s">
        <v>42</v>
      </c>
      <c r="E31" s="33" t="n">
        <f aca="false">IF(D31="totale",(C31/(A31*24))/F31,IF(D31="marché libre",(C31/(A31*24))/G31,"spécifier histo"))</f>
        <v>0.71034188034188</v>
      </c>
      <c r="F31" s="59" t="n">
        <v>595</v>
      </c>
      <c r="G31" s="59" t="n">
        <f aca="false">F31-H31</f>
        <v>195</v>
      </c>
      <c r="H31" s="59" t="n">
        <v>400</v>
      </c>
      <c r="J31" s="55"/>
      <c r="K31" s="256" t="s">
        <v>380</v>
      </c>
    </row>
    <row r="32" customFormat="false" ht="19.85" hidden="false" customHeight="true" outlineLevel="0" collapsed="false">
      <c r="A32" s="0" t="n">
        <v>31</v>
      </c>
      <c r="B32" s="34" t="n">
        <v>41913</v>
      </c>
      <c r="C32" s="56" t="n">
        <v>96833</v>
      </c>
      <c r="D32" s="260" t="s">
        <v>42</v>
      </c>
      <c r="E32" s="33" t="n">
        <f aca="false">IF(D32="totale",(C32/(A32*24))/F32,IF(D32="marché libre",(C32/(A32*24))/G32,"spécifier histo"))</f>
        <v>0.667445547284257</v>
      </c>
      <c r="F32" s="59" t="n">
        <v>595</v>
      </c>
      <c r="G32" s="59" t="n">
        <f aca="false">F32-H32</f>
        <v>195</v>
      </c>
      <c r="H32" s="59" t="n">
        <v>400</v>
      </c>
      <c r="J32" s="55"/>
    </row>
    <row r="33" customFormat="false" ht="19.85" hidden="false" customHeight="true" outlineLevel="0" collapsed="false">
      <c r="A33" s="0" t="n">
        <v>30</v>
      </c>
      <c r="B33" s="31" t="n">
        <v>41944</v>
      </c>
      <c r="C33" s="56" t="n">
        <v>102653</v>
      </c>
      <c r="D33" s="260" t="s">
        <v>42</v>
      </c>
      <c r="E33" s="33" t="n">
        <f aca="false">IF(D33="totale",(C33/(A33*24))/F33,IF(D33="marché libre",(C33/(A33*24))/G33,"spécifier histo"))</f>
        <v>0.731146723646724</v>
      </c>
      <c r="F33" s="59" t="n">
        <v>595</v>
      </c>
      <c r="G33" s="59" t="n">
        <f aca="false">F33-H33</f>
        <v>195</v>
      </c>
      <c r="H33" s="59" t="n">
        <v>400</v>
      </c>
      <c r="J33" s="55"/>
    </row>
    <row r="34" customFormat="false" ht="19.85" hidden="false" customHeight="true" outlineLevel="0" collapsed="false">
      <c r="A34" s="0" t="n">
        <v>31</v>
      </c>
      <c r="B34" s="34" t="n">
        <v>41974</v>
      </c>
      <c r="C34" s="56" t="n">
        <v>93806</v>
      </c>
      <c r="D34" s="260" t="s">
        <v>42</v>
      </c>
      <c r="E34" s="33" t="n">
        <f aca="false">IF(D34="totale",(C34/(A34*24))/F34,IF(D34="marché libre",(C34/(A34*24))/G34,"spécifier histo"))</f>
        <v>0.646581196581197</v>
      </c>
      <c r="F34" s="59" t="n">
        <v>595</v>
      </c>
      <c r="G34" s="59" t="n">
        <f aca="false">F34-H34</f>
        <v>195</v>
      </c>
      <c r="H34" s="59" t="n">
        <v>400</v>
      </c>
      <c r="J34" s="55"/>
    </row>
    <row r="35" customFormat="false" ht="19.85" hidden="false" customHeight="true" outlineLevel="0" collapsed="false">
      <c r="A35" s="0" t="n">
        <v>31</v>
      </c>
      <c r="B35" s="31" t="n">
        <v>42005</v>
      </c>
      <c r="C35" s="56" t="n">
        <v>13325</v>
      </c>
      <c r="D35" s="260" t="s">
        <v>42</v>
      </c>
      <c r="E35" s="33" t="n">
        <f aca="false">IF(D35="totale",(C35/(A35*24))/F35,IF(D35="marché libre",(C35/(A35*24))/G35,"spécifier histo"))</f>
        <v>0.0918458781362007</v>
      </c>
      <c r="F35" s="59" t="n">
        <v>595</v>
      </c>
      <c r="G35" s="59" t="n">
        <f aca="false">F35-H35</f>
        <v>195</v>
      </c>
      <c r="H35" s="59" t="n">
        <v>400</v>
      </c>
      <c r="J35" s="55"/>
    </row>
    <row r="36" customFormat="false" ht="19.85" hidden="false" customHeight="true" outlineLevel="0" collapsed="false">
      <c r="A36" s="0" t="n">
        <v>28</v>
      </c>
      <c r="B36" s="34" t="n">
        <v>42036</v>
      </c>
      <c r="C36" s="56" t="n">
        <v>4793</v>
      </c>
      <c r="D36" s="260" t="s">
        <v>42</v>
      </c>
      <c r="E36" s="33" t="n">
        <f aca="false">IF(D36="totale",(C36/(A36*24))/F36,IF(D36="marché libre",(C36/(A36*24))/G36,"spécifier histo"))</f>
        <v>0.0365766178266178</v>
      </c>
      <c r="F36" s="59" t="n">
        <v>595</v>
      </c>
      <c r="G36" s="59" t="n">
        <f aca="false">F36-H36</f>
        <v>195</v>
      </c>
      <c r="H36" s="59" t="n">
        <v>400</v>
      </c>
      <c r="J36" s="55"/>
    </row>
    <row r="37" customFormat="false" ht="19.85" hidden="false" customHeight="true" outlineLevel="0" collapsed="false">
      <c r="A37" s="0" t="n">
        <v>31</v>
      </c>
      <c r="B37" s="31" t="n">
        <v>42064</v>
      </c>
      <c r="C37" s="56" t="n">
        <v>90693</v>
      </c>
      <c r="D37" s="260" t="s">
        <v>42</v>
      </c>
      <c r="E37" s="33" t="n">
        <f aca="false">IF(D37="totale",(C37/(A37*24))/F37,IF(D37="marché libre",(C37/(A37*24))/G37,"spécifier histo"))</f>
        <v>0.625124069478908</v>
      </c>
      <c r="F37" s="59" t="n">
        <v>595</v>
      </c>
      <c r="G37" s="59" t="n">
        <f aca="false">F37-H37</f>
        <v>195</v>
      </c>
      <c r="H37" s="59" t="n">
        <v>400</v>
      </c>
      <c r="J37" s="55"/>
    </row>
    <row r="38" customFormat="false" ht="19.85" hidden="false" customHeight="true" outlineLevel="0" collapsed="false">
      <c r="A38" s="0" t="n">
        <v>30</v>
      </c>
      <c r="B38" s="34" t="n">
        <v>42095</v>
      </c>
      <c r="C38" s="56" t="n">
        <v>99353</v>
      </c>
      <c r="D38" s="260" t="s">
        <v>42</v>
      </c>
      <c r="E38" s="33" t="n">
        <f aca="false">IF(D38="totale",(C38/(A38*24))/F38,IF(D38="marché libre",(C38/(A38*24))/G38,"spécifier histo"))</f>
        <v>0.70764245014245</v>
      </c>
      <c r="F38" s="59" t="n">
        <v>595</v>
      </c>
      <c r="G38" s="59" t="n">
        <f aca="false">F38-H38</f>
        <v>195</v>
      </c>
      <c r="H38" s="59" t="n">
        <v>400</v>
      </c>
      <c r="J38" s="55"/>
    </row>
    <row r="39" customFormat="false" ht="19.85" hidden="false" customHeight="true" outlineLevel="0" collapsed="false">
      <c r="A39" s="0" t="n">
        <v>31</v>
      </c>
      <c r="B39" s="31" t="n">
        <v>42125</v>
      </c>
      <c r="C39" s="56" t="n">
        <v>94135</v>
      </c>
      <c r="D39" s="260" t="s">
        <v>42</v>
      </c>
      <c r="E39" s="33" t="n">
        <f aca="false">IF(D39="totale",(C39/(A39*24))/F39,IF(D39="marché libre",(C39/(A39*24))/G39,"spécifier histo"))</f>
        <v>0.648848910945685</v>
      </c>
      <c r="F39" s="59" t="n">
        <v>595</v>
      </c>
      <c r="G39" s="59" t="n">
        <f aca="false">F39-H39</f>
        <v>195</v>
      </c>
      <c r="H39" s="59" t="n">
        <v>400</v>
      </c>
      <c r="J39" s="55"/>
      <c r="K39" s="299" t="s">
        <v>381</v>
      </c>
    </row>
    <row r="40" customFormat="false" ht="19.85" hidden="false" customHeight="true" outlineLevel="0" collapsed="false">
      <c r="A40" s="0" t="n">
        <v>30</v>
      </c>
      <c r="B40" s="34" t="n">
        <v>42156</v>
      </c>
      <c r="C40" s="56" t="n">
        <v>104999</v>
      </c>
      <c r="D40" s="260" t="s">
        <v>42</v>
      </c>
      <c r="E40" s="33" t="n">
        <f aca="false">IF(D40="totale",(C40/(A40*24))/F40,IF(D40="marché libre",(C40/(A40*24))/G40,"spécifier histo"))</f>
        <v>0.747856125356125</v>
      </c>
      <c r="F40" s="59" t="n">
        <v>595</v>
      </c>
      <c r="G40" s="59" t="n">
        <f aca="false">F40-H40</f>
        <v>195</v>
      </c>
      <c r="H40" s="59" t="n">
        <v>400</v>
      </c>
      <c r="J40" s="55"/>
      <c r="K40" s="299" t="s">
        <v>382</v>
      </c>
    </row>
    <row r="41" customFormat="false" ht="19.85" hidden="false" customHeight="true" outlineLevel="0" collapsed="false">
      <c r="A41" s="0" t="n">
        <v>31</v>
      </c>
      <c r="B41" s="31" t="n">
        <v>42186</v>
      </c>
      <c r="C41" s="56" t="n">
        <v>99439</v>
      </c>
      <c r="D41" s="260" t="s">
        <v>42</v>
      </c>
      <c r="E41" s="33" t="n">
        <f aca="false">IF(D41="totale",(C41/(A41*24))/F41,IF(D41="marché libre",(C41/(A41*24))/G41,"spécifier histo"))</f>
        <v>0.685408050730631</v>
      </c>
      <c r="F41" s="59" t="n">
        <v>595</v>
      </c>
      <c r="G41" s="59" t="n">
        <f aca="false">F41-H41</f>
        <v>195</v>
      </c>
      <c r="H41" s="59" t="n">
        <v>400</v>
      </c>
      <c r="J41" s="55"/>
      <c r="K41" s="299" t="s">
        <v>383</v>
      </c>
    </row>
    <row r="42" customFormat="false" ht="19.85" hidden="false" customHeight="true" outlineLevel="0" collapsed="false">
      <c r="A42" s="0" t="n">
        <v>31</v>
      </c>
      <c r="B42" s="34" t="n">
        <v>42217</v>
      </c>
      <c r="C42" s="56" t="n">
        <v>103186</v>
      </c>
      <c r="D42" s="260" t="s">
        <v>42</v>
      </c>
      <c r="E42" s="33" t="n">
        <f aca="false">IF(D42="totale",(C42/(A42*24))/F42,IF(D42="marché libre",(C42/(A42*24))/G42,"spécifier histo"))</f>
        <v>0.711235180590019</v>
      </c>
      <c r="F42" s="59" t="n">
        <v>595</v>
      </c>
      <c r="G42" s="59" t="n">
        <f aca="false">F42-H42</f>
        <v>195</v>
      </c>
      <c r="H42" s="59" t="n">
        <v>400</v>
      </c>
      <c r="J42" s="55"/>
      <c r="K42" s="299" t="s">
        <v>384</v>
      </c>
    </row>
    <row r="43" customFormat="false" ht="19.85" hidden="false" customHeight="true" outlineLevel="0" collapsed="false">
      <c r="A43" s="0" t="n">
        <v>30</v>
      </c>
      <c r="B43" s="31" t="n">
        <v>42248</v>
      </c>
      <c r="C43" s="56" t="n">
        <v>110588</v>
      </c>
      <c r="D43" s="260" t="s">
        <v>42</v>
      </c>
      <c r="E43" s="33" t="n">
        <f aca="false">IF(D43="totale",(C43/(A43*24))/F43,IF(D43="marché libre",(C43/(A43*24))/G43,"spécifier histo"))</f>
        <v>0.787663817663818</v>
      </c>
      <c r="F43" s="59" t="n">
        <v>595</v>
      </c>
      <c r="G43" s="59" t="n">
        <f aca="false">F43-H43</f>
        <v>195</v>
      </c>
      <c r="H43" s="59" t="n">
        <v>400</v>
      </c>
      <c r="J43" s="55"/>
      <c r="K43" s="299" t="s">
        <v>385</v>
      </c>
    </row>
    <row r="44" customFormat="false" ht="19.85" hidden="false" customHeight="true" outlineLevel="0" collapsed="false">
      <c r="A44" s="0" t="n">
        <v>31</v>
      </c>
      <c r="B44" s="34" t="n">
        <v>42278</v>
      </c>
      <c r="C44" s="56" t="n">
        <v>97427</v>
      </c>
      <c r="D44" s="260" t="s">
        <v>42</v>
      </c>
      <c r="E44" s="33" t="n">
        <f aca="false">IF(D44="totale",(C44/(A44*24))/F44,IF(D44="marché libre",(C44/(A44*24))/G44,"spécifier histo"))</f>
        <v>0.671539840088227</v>
      </c>
      <c r="F44" s="59" t="n">
        <v>595</v>
      </c>
      <c r="G44" s="59" t="n">
        <f aca="false">F44-H44</f>
        <v>195</v>
      </c>
      <c r="H44" s="59" t="n">
        <v>400</v>
      </c>
      <c r="J44" s="55"/>
      <c r="K44" s="299" t="s">
        <v>386</v>
      </c>
    </row>
    <row r="45" customFormat="false" ht="19.85" hidden="false" customHeight="true" outlineLevel="0" collapsed="false">
      <c r="A45" s="0" t="n">
        <v>30</v>
      </c>
      <c r="B45" s="31" t="n">
        <v>42309</v>
      </c>
      <c r="C45" s="56" t="n">
        <v>102009</v>
      </c>
      <c r="D45" s="260" t="s">
        <v>42</v>
      </c>
      <c r="E45" s="33" t="n">
        <f aca="false">IF(D45="totale",(C45/(A45*24))/F45,IF(D45="marché libre",(C45/(A45*24))/G45,"spécifier histo"))</f>
        <v>0.726559829059829</v>
      </c>
      <c r="F45" s="59" t="n">
        <v>595</v>
      </c>
      <c r="G45" s="59" t="n">
        <f aca="false">F45-H45</f>
        <v>195</v>
      </c>
      <c r="H45" s="59" t="n">
        <v>400</v>
      </c>
      <c r="J45" s="55"/>
      <c r="K45" s="0"/>
    </row>
    <row r="46" customFormat="false" ht="19.85" hidden="false" customHeight="true" outlineLevel="0" collapsed="false">
      <c r="A46" s="0" t="n">
        <v>31</v>
      </c>
      <c r="B46" s="34" t="n">
        <v>42339</v>
      </c>
      <c r="C46" s="56" t="n">
        <v>52158</v>
      </c>
      <c r="D46" s="260" t="s">
        <v>42</v>
      </c>
      <c r="E46" s="33" t="n">
        <f aca="false">IF(D46="totale",(C46/(A46*24))/F46,IF(D46="marché libre",(C46/(A46*24))/G46,"spécifier histo"))</f>
        <v>0.359511993382961</v>
      </c>
      <c r="F46" s="59" t="n">
        <v>595</v>
      </c>
      <c r="G46" s="59" t="n">
        <f aca="false">F46-H46</f>
        <v>195</v>
      </c>
      <c r="H46" s="59" t="n">
        <v>400</v>
      </c>
      <c r="J46" s="55"/>
      <c r="K46" s="0"/>
    </row>
    <row r="47" customFormat="false" ht="19.85" hidden="false" customHeight="true" outlineLevel="0" collapsed="false">
      <c r="A47" s="0" t="n">
        <v>31</v>
      </c>
      <c r="B47" s="31" t="n">
        <v>42370</v>
      </c>
      <c r="C47" s="56" t="n">
        <v>11512</v>
      </c>
      <c r="D47" s="260" t="s">
        <v>42</v>
      </c>
      <c r="E47" s="33" t="n">
        <f aca="false">IF(D47="totale",(C47/(A47*24))/F47,IF(D47="marché libre",(C47/(A47*24))/G47,"spécifier histo"))</f>
        <v>0.0793493245106148</v>
      </c>
      <c r="F47" s="59" t="n">
        <v>595</v>
      </c>
      <c r="G47" s="59" t="n">
        <f aca="false">F47-H47</f>
        <v>195</v>
      </c>
      <c r="H47" s="59" t="n">
        <v>400</v>
      </c>
      <c r="J47" s="55"/>
      <c r="K47" s="0"/>
    </row>
    <row r="48" customFormat="false" ht="19.85" hidden="false" customHeight="true" outlineLevel="0" collapsed="false">
      <c r="A48" s="0" t="n">
        <v>28</v>
      </c>
      <c r="B48" s="34" t="n">
        <v>42401</v>
      </c>
      <c r="C48" s="56" t="n">
        <v>27981</v>
      </c>
      <c r="D48" s="260" t="s">
        <v>42</v>
      </c>
      <c r="E48" s="33" t="n">
        <f aca="false">IF(D48="totale",(C48/(A48*24))/F48,IF(D48="marché libre",(C48/(A48*24))/G48,"spécifier histo"))</f>
        <v>0.21353021978022</v>
      </c>
      <c r="F48" s="59" t="n">
        <v>595</v>
      </c>
      <c r="G48" s="59" t="n">
        <f aca="false">F48-H48</f>
        <v>195</v>
      </c>
      <c r="H48" s="59" t="n">
        <v>400</v>
      </c>
      <c r="J48" s="55"/>
      <c r="K48" s="299" t="s">
        <v>387</v>
      </c>
    </row>
    <row r="49" customFormat="false" ht="19.85" hidden="false" customHeight="true" outlineLevel="0" collapsed="false">
      <c r="A49" s="0" t="n">
        <v>31</v>
      </c>
      <c r="B49" s="31" t="n">
        <v>42430</v>
      </c>
      <c r="C49" s="56" t="n">
        <v>92120</v>
      </c>
      <c r="D49" s="260" t="s">
        <v>42</v>
      </c>
      <c r="E49" s="33" t="n">
        <f aca="false">IF(D49="totale",(C49/(A49*24))/F49,IF(D49="marché libre",(C49/(A49*24))/G49,"spécifier histo"))</f>
        <v>0.634960022056796</v>
      </c>
      <c r="F49" s="59" t="n">
        <v>595</v>
      </c>
      <c r="G49" s="59" t="n">
        <f aca="false">F49-H49</f>
        <v>195</v>
      </c>
      <c r="H49" s="59" t="n">
        <v>400</v>
      </c>
      <c r="J49" s="55"/>
    </row>
    <row r="50" customFormat="false" ht="19.85" hidden="false" customHeight="true" outlineLevel="0" collapsed="false">
      <c r="A50" s="0" t="n">
        <v>30</v>
      </c>
      <c r="B50" s="34" t="n">
        <v>42461</v>
      </c>
      <c r="C50" s="56" t="n">
        <v>103864</v>
      </c>
      <c r="D50" s="260" t="s">
        <v>42</v>
      </c>
      <c r="E50" s="33" t="n">
        <f aca="false">IF(D50="totale",(C50/(A50*24))/F50,IF(D50="marché libre",(C50/(A50*24))/G50,"spécifier histo"))</f>
        <v>0.73977207977208</v>
      </c>
      <c r="F50" s="59" t="n">
        <v>595</v>
      </c>
      <c r="G50" s="59" t="n">
        <f aca="false">F50-H50</f>
        <v>195</v>
      </c>
      <c r="H50" s="59" t="n">
        <v>400</v>
      </c>
      <c r="J50" s="55"/>
    </row>
    <row r="51" customFormat="false" ht="19.85" hidden="false" customHeight="true" outlineLevel="0" collapsed="false">
      <c r="A51" s="0" t="n">
        <v>31</v>
      </c>
      <c r="B51" s="31" t="n">
        <v>42491</v>
      </c>
      <c r="C51" s="56" t="n">
        <v>100113</v>
      </c>
      <c r="D51" s="260" t="s">
        <v>42</v>
      </c>
      <c r="E51" s="33" t="n">
        <f aca="false">IF(D51="totale",(C51/(A51*24))/F51,IF(D51="marché libre",(C51/(A51*24))/G51,"spécifier histo"))</f>
        <v>0.69005376344086</v>
      </c>
      <c r="F51" s="59" t="n">
        <v>595</v>
      </c>
      <c r="G51" s="59" t="n">
        <f aca="false">F51-H51</f>
        <v>195</v>
      </c>
      <c r="H51" s="59" t="n">
        <v>400</v>
      </c>
      <c r="J51" s="55"/>
    </row>
    <row r="52" customFormat="false" ht="19.85" hidden="false" customHeight="true" outlineLevel="0" collapsed="false">
      <c r="A52" s="0" t="n">
        <v>30</v>
      </c>
      <c r="B52" s="34" t="n">
        <v>42522</v>
      </c>
      <c r="C52" s="56" t="n">
        <v>145700</v>
      </c>
      <c r="D52" s="260" t="s">
        <v>42</v>
      </c>
      <c r="E52" s="33" t="n">
        <f aca="false">IF(D52="totale",(C52/(A52*24))/F52,IF(D52="marché libre",(C52/(A52*24))/G52,"spécifier histo"))</f>
        <v>1.03774928774929</v>
      </c>
      <c r="F52" s="59" t="n">
        <v>595</v>
      </c>
      <c r="G52" s="59" t="n">
        <f aca="false">F52-H52</f>
        <v>195</v>
      </c>
      <c r="H52" s="59" t="n">
        <v>400</v>
      </c>
      <c r="J52" s="55"/>
    </row>
    <row r="53" customFormat="false" ht="19.85" hidden="false" customHeight="true" outlineLevel="0" collapsed="false">
      <c r="A53" s="0" t="n">
        <v>31</v>
      </c>
      <c r="B53" s="31" t="n">
        <v>42552</v>
      </c>
      <c r="C53" s="56" t="n">
        <v>95496</v>
      </c>
      <c r="D53" s="260" t="s">
        <v>42</v>
      </c>
      <c r="E53" s="33" t="n">
        <f aca="false">IF(D53="totale",(C53/(A53*24))/F53,IF(D53="marché libre",(C53/(A53*24))/G53,"spécifier histo"))</f>
        <v>0.65822994210091</v>
      </c>
      <c r="F53" s="59" t="n">
        <v>595</v>
      </c>
      <c r="G53" s="59" t="n">
        <f aca="false">F53-H53</f>
        <v>195</v>
      </c>
      <c r="H53" s="59" t="n">
        <v>400</v>
      </c>
      <c r="J53" s="55"/>
    </row>
    <row r="54" customFormat="false" ht="19.85" hidden="false" customHeight="true" outlineLevel="0" collapsed="false">
      <c r="A54" s="0" t="n">
        <v>31</v>
      </c>
      <c r="B54" s="34" t="n">
        <v>42583</v>
      </c>
      <c r="C54" s="56" t="n">
        <v>104067</v>
      </c>
      <c r="D54" s="260" t="s">
        <v>42</v>
      </c>
      <c r="E54" s="33" t="n">
        <f aca="false">IF(D54="totale",(C54/(A54*24))/F54,IF(D54="marché libre",(C54/(A54*24))/G54,"spécifier histo"))</f>
        <v>0.717307692307692</v>
      </c>
      <c r="F54" s="59" t="n">
        <v>595</v>
      </c>
      <c r="G54" s="59" t="n">
        <f aca="false">F54-H54</f>
        <v>195</v>
      </c>
      <c r="H54" s="59" t="n">
        <v>400</v>
      </c>
      <c r="J54" s="55"/>
    </row>
    <row r="55" customFormat="false" ht="19.85" hidden="false" customHeight="true" outlineLevel="0" collapsed="false">
      <c r="A55" s="0" t="n">
        <v>30</v>
      </c>
      <c r="B55" s="31" t="n">
        <v>42614</v>
      </c>
      <c r="C55" s="56" t="n">
        <v>121091</v>
      </c>
      <c r="D55" s="260" t="s">
        <v>42</v>
      </c>
      <c r="E55" s="33" t="n">
        <f aca="false">IF(D55="totale",(C55/(A55*24))/F55,IF(D55="marché libre",(C55/(A55*24))/G55,"spécifier histo"))</f>
        <v>0.86247150997151</v>
      </c>
      <c r="F55" s="59" t="n">
        <v>595</v>
      </c>
      <c r="G55" s="59" t="n">
        <f aca="false">F55-H55</f>
        <v>195</v>
      </c>
      <c r="H55" s="59" t="n">
        <v>400</v>
      </c>
      <c r="J55" s="55"/>
    </row>
    <row r="56" customFormat="false" ht="19.85" hidden="false" customHeight="true" outlineLevel="0" collapsed="false">
      <c r="A56" s="0" t="n">
        <v>31</v>
      </c>
      <c r="B56" s="34" t="n">
        <v>42644</v>
      </c>
      <c r="C56" s="56" t="n">
        <v>98799</v>
      </c>
      <c r="D56" s="260" t="s">
        <v>42</v>
      </c>
      <c r="E56" s="33" t="n">
        <f aca="false">IF(D56="totale",(C56/(A56*24))/F56,IF(D56="marché libre",(C56/(A56*24))/G56,"spécifier histo"))</f>
        <v>0.680996691480562</v>
      </c>
      <c r="F56" s="59" t="n">
        <v>595</v>
      </c>
      <c r="G56" s="59" t="n">
        <f aca="false">F56-H56</f>
        <v>195</v>
      </c>
      <c r="H56" s="59" t="n">
        <v>400</v>
      </c>
      <c r="J56" s="55"/>
    </row>
    <row r="57" customFormat="false" ht="19.85" hidden="false" customHeight="true" outlineLevel="0" collapsed="false">
      <c r="A57" s="0" t="n">
        <v>30</v>
      </c>
      <c r="B57" s="31" t="n">
        <v>42675</v>
      </c>
      <c r="C57" s="56" t="n">
        <v>112813</v>
      </c>
      <c r="D57" s="260" t="s">
        <v>42</v>
      </c>
      <c r="E57" s="33" t="n">
        <f aca="false">IF(D57="totale",(C57/(A57*24))/F57,IF(D57="marché libre",(C57/(A57*24))/G57,"spécifier histo"))</f>
        <v>0.803511396011396</v>
      </c>
      <c r="F57" s="59" t="n">
        <v>595</v>
      </c>
      <c r="G57" s="59" t="n">
        <f aca="false">F57-H57</f>
        <v>195</v>
      </c>
      <c r="H57" s="59" t="n">
        <v>400</v>
      </c>
      <c r="J57" s="55"/>
    </row>
    <row r="58" customFormat="false" ht="19.85" hidden="false" customHeight="true" outlineLevel="0" collapsed="false">
      <c r="A58" s="0" t="n">
        <v>31</v>
      </c>
      <c r="B58" s="34" t="n">
        <v>42705</v>
      </c>
      <c r="C58" s="56" t="n">
        <v>107657</v>
      </c>
      <c r="D58" s="260" t="s">
        <v>42</v>
      </c>
      <c r="E58" s="33" t="n">
        <f aca="false">IF(D58="totale",(C58/(A58*24))/F58,IF(D58="marché libre",(C58/(A58*24))/G58,"spécifier histo"))</f>
        <v>0.742052660601048</v>
      </c>
      <c r="F58" s="59" t="n">
        <v>595</v>
      </c>
      <c r="G58" s="59" t="n">
        <f aca="false">F58-H58</f>
        <v>195</v>
      </c>
      <c r="H58" s="59" t="n">
        <v>400</v>
      </c>
      <c r="J58" s="55"/>
    </row>
    <row r="59" customFormat="false" ht="19.85" hidden="false" customHeight="true" outlineLevel="0" collapsed="false">
      <c r="A59" s="0" t="n">
        <v>31</v>
      </c>
      <c r="B59" s="31" t="n">
        <v>42736</v>
      </c>
      <c r="C59" s="56" t="n">
        <v>14671</v>
      </c>
      <c r="D59" s="260" t="s">
        <v>42</v>
      </c>
      <c r="E59" s="33" t="n">
        <f aca="false">IF(D59="totale",(C59/(A59*24))/F59,IF(D59="marché libre",(C59/(A59*24))/G59,"spécifier histo"))</f>
        <v>0.101123518059002</v>
      </c>
      <c r="F59" s="59" t="n">
        <v>595</v>
      </c>
      <c r="G59" s="59" t="n">
        <f aca="false">F59-H59</f>
        <v>195</v>
      </c>
      <c r="H59" s="59" t="n">
        <v>400</v>
      </c>
      <c r="J59" s="55"/>
    </row>
    <row r="60" customFormat="false" ht="19.85" hidden="false" customHeight="true" outlineLevel="0" collapsed="false">
      <c r="A60" s="0" t="n">
        <v>28</v>
      </c>
      <c r="B60" s="34" t="n">
        <v>42767</v>
      </c>
      <c r="C60" s="56" t="n">
        <v>30023</v>
      </c>
      <c r="D60" s="260" t="s">
        <v>42</v>
      </c>
      <c r="E60" s="33" t="n">
        <f aca="false">IF(D60="totale",(C60/(A60*24))/F60,IF(D60="marché libre",(C60/(A60*24))/G60,"spécifier histo"))</f>
        <v>0.229113247863248</v>
      </c>
      <c r="F60" s="59" t="n">
        <v>595</v>
      </c>
      <c r="G60" s="59" t="n">
        <f aca="false">F60-H60</f>
        <v>195</v>
      </c>
      <c r="H60" s="59" t="n">
        <v>400</v>
      </c>
      <c r="J60" s="55"/>
    </row>
    <row r="61" customFormat="false" ht="19.85" hidden="false" customHeight="true" outlineLevel="0" collapsed="false">
      <c r="A61" s="0" t="n">
        <v>31</v>
      </c>
      <c r="B61" s="31" t="n">
        <v>42795</v>
      </c>
      <c r="C61" s="56" t="n">
        <v>249127</v>
      </c>
      <c r="D61" s="260" t="s">
        <v>42</v>
      </c>
      <c r="E61" s="33" t="n">
        <f aca="false">IF(D61="totale",(C61/(A61*24))/F61,IF(D61="marché libre",(C61/(A61*24))/G61,"spécifier histo"))</f>
        <v>0.562769946688353</v>
      </c>
      <c r="F61" s="59" t="n">
        <v>595</v>
      </c>
      <c r="G61" s="59" t="n">
        <f aca="false">F61-H61</f>
        <v>595</v>
      </c>
      <c r="H61" s="59" t="n">
        <v>0</v>
      </c>
      <c r="I61" s="300" t="s">
        <v>388</v>
      </c>
      <c r="J61" s="299" t="s">
        <v>389</v>
      </c>
    </row>
    <row r="62" customFormat="false" ht="19.85" hidden="false" customHeight="true" outlineLevel="0" collapsed="false">
      <c r="A62" s="0" t="n">
        <v>30</v>
      </c>
      <c r="B62" s="34" t="n">
        <v>42826</v>
      </c>
      <c r="C62" s="56" t="n">
        <v>192976</v>
      </c>
      <c r="D62" s="260" t="s">
        <v>42</v>
      </c>
      <c r="E62" s="33" t="n">
        <f aca="false">IF(D62="totale",(C62/(A62*24))/F62,IF(D62="marché libre",(C62/(A62*24))/G62,"spécifier histo"))</f>
        <v>0.450457516339869</v>
      </c>
      <c r="F62" s="59" t="n">
        <v>595</v>
      </c>
      <c r="G62" s="59" t="n">
        <f aca="false">F62-H62</f>
        <v>595</v>
      </c>
      <c r="H62" s="59" t="n">
        <v>0</v>
      </c>
      <c r="I62" s="300"/>
      <c r="J62" s="299" t="s">
        <v>390</v>
      </c>
    </row>
    <row r="63" customFormat="false" ht="19.85" hidden="false" customHeight="true" outlineLevel="0" collapsed="false">
      <c r="A63" s="0" t="n">
        <v>31</v>
      </c>
      <c r="B63" s="31" t="n">
        <v>42856</v>
      </c>
      <c r="C63" s="9" t="n">
        <v>167800</v>
      </c>
      <c r="D63" s="260" t="s">
        <v>42</v>
      </c>
      <c r="E63" s="33" t="n">
        <f aca="false">IF(D63="totale",(C63/(A63*24))/F63,IF(D63="marché libre",(C63/(A63*24))/G63,"spécifier histo"))</f>
        <v>0.37905484774555</v>
      </c>
      <c r="F63" s="59" t="n">
        <v>595</v>
      </c>
      <c r="G63" s="59" t="n">
        <f aca="false">F63-H63</f>
        <v>595</v>
      </c>
      <c r="H63" s="59" t="n">
        <v>0</v>
      </c>
      <c r="I63" s="300"/>
      <c r="J63" s="299" t="s">
        <v>391</v>
      </c>
    </row>
    <row r="64" customFormat="false" ht="19.85" hidden="false" customHeight="true" outlineLevel="0" collapsed="false">
      <c r="A64" s="0" t="n">
        <v>30</v>
      </c>
      <c r="B64" s="34" t="n">
        <v>42887</v>
      </c>
      <c r="C64" s="9" t="n">
        <v>168752</v>
      </c>
      <c r="D64" s="260" t="s">
        <v>42</v>
      </c>
      <c r="E64" s="33" t="n">
        <f aca="false">IF(D64="totale",(C64/(A64*24))/F64,IF(D64="marché libre",(C64/(A64*24))/G64,"spécifier histo"))</f>
        <v>0.39391223155929</v>
      </c>
      <c r="F64" s="59" t="n">
        <v>595</v>
      </c>
      <c r="G64" s="59" t="n">
        <f aca="false">F64-H64</f>
        <v>595</v>
      </c>
      <c r="H64" s="59" t="n">
        <v>0</v>
      </c>
      <c r="I64" s="300"/>
      <c r="J64" s="55"/>
    </row>
    <row r="65" customFormat="false" ht="19.85" hidden="false" customHeight="true" outlineLevel="0" collapsed="false">
      <c r="A65" s="0" t="n">
        <v>31</v>
      </c>
      <c r="B65" s="31" t="n">
        <v>42917</v>
      </c>
      <c r="C65" s="9" t="n">
        <v>179475</v>
      </c>
      <c r="D65" s="260" t="s">
        <v>42</v>
      </c>
      <c r="E65" s="33" t="n">
        <f aca="false">IF(D65="totale",(C65/(A65*24))/F65,IF(D65="marché libre",(C65/(A65*24))/G65,"spécifier histo"))</f>
        <v>0.405428300352399</v>
      </c>
      <c r="F65" s="59" t="n">
        <v>595</v>
      </c>
      <c r="G65" s="59" t="n">
        <f aca="false">F65-H65</f>
        <v>595</v>
      </c>
      <c r="H65" s="59" t="n">
        <v>0</v>
      </c>
      <c r="I65" s="300"/>
      <c r="J65" s="55"/>
    </row>
    <row r="66" customFormat="false" ht="19.85" hidden="false" customHeight="true" outlineLevel="0" collapsed="false">
      <c r="A66" s="0" t="n">
        <v>31</v>
      </c>
      <c r="B66" s="34" t="n">
        <v>42948</v>
      </c>
      <c r="C66" s="9" t="n">
        <v>134425</v>
      </c>
      <c r="D66" s="260" t="s">
        <v>42</v>
      </c>
      <c r="E66" s="33" t="n">
        <f aca="false">IF(D66="totale",(C66/(A66*24))/F66,IF(D66="marché libre",(C66/(A66*24))/G66,"spécifier histo"))</f>
        <v>0.926557761235181</v>
      </c>
      <c r="F66" s="59" t="n">
        <v>595</v>
      </c>
      <c r="G66" s="59" t="n">
        <f aca="false">F66-H66</f>
        <v>195</v>
      </c>
      <c r="H66" s="59" t="n">
        <v>400</v>
      </c>
      <c r="J66" s="55"/>
    </row>
    <row r="67" customFormat="false" ht="19.85" hidden="false" customHeight="true" outlineLevel="0" collapsed="false">
      <c r="A67" s="0"/>
      <c r="H67" s="59"/>
      <c r="J67" s="55"/>
      <c r="K67" s="0"/>
      <c r="L67" s="0"/>
      <c r="M67" s="0"/>
      <c r="N67" s="0"/>
      <c r="O67" s="0"/>
    </row>
    <row r="68" customFormat="false" ht="19.85" hidden="false" customHeight="true" outlineLevel="0" collapsed="false">
      <c r="A68" s="0"/>
      <c r="H68" s="59"/>
      <c r="J68" s="55"/>
      <c r="K68" s="0"/>
      <c r="L68" s="0"/>
      <c r="M68" s="0"/>
      <c r="N68" s="0"/>
      <c r="O68" s="0"/>
    </row>
    <row r="69" customFormat="false" ht="19.85" hidden="false" customHeight="true" outlineLevel="0" collapsed="false">
      <c r="A69" s="0"/>
      <c r="H69" s="59"/>
      <c r="J69" s="55"/>
      <c r="K69" s="0"/>
      <c r="L69" s="0"/>
      <c r="M69" s="0"/>
      <c r="N69" s="0"/>
      <c r="O69" s="0"/>
    </row>
    <row r="70" customFormat="false" ht="19.85" hidden="false" customHeight="true" outlineLevel="0" collapsed="false">
      <c r="A70" s="0"/>
      <c r="H70" s="59"/>
      <c r="J70" s="55"/>
      <c r="K70" s="0"/>
      <c r="L70" s="0"/>
      <c r="M70" s="0"/>
      <c r="N70" s="0"/>
      <c r="O70" s="0"/>
    </row>
    <row r="71" customFormat="false" ht="19.85" hidden="false" customHeight="true" outlineLevel="0" collapsed="false">
      <c r="A71" s="0"/>
      <c r="H71" s="59"/>
      <c r="J71" s="55"/>
      <c r="K71" s="0"/>
      <c r="L71" s="0"/>
      <c r="M71" s="0"/>
      <c r="N71" s="0"/>
      <c r="O71" s="0"/>
    </row>
    <row r="72" customFormat="false" ht="19.85" hidden="false" customHeight="true" outlineLevel="0" collapsed="false">
      <c r="A72" s="0"/>
      <c r="H72" s="59"/>
      <c r="J72" s="55"/>
      <c r="K72" s="0"/>
      <c r="L72" s="0"/>
      <c r="M72" s="0"/>
      <c r="N72" s="0"/>
      <c r="O72" s="0"/>
    </row>
    <row r="73" customFormat="false" ht="19.85" hidden="false" customHeight="true" outlineLevel="0" collapsed="false">
      <c r="A73" s="0"/>
      <c r="H73" s="59"/>
      <c r="J73" s="55"/>
      <c r="K73" s="0"/>
      <c r="L73" s="0"/>
      <c r="M73" s="0"/>
      <c r="N73" s="0"/>
      <c r="O73" s="0"/>
    </row>
    <row r="74" customFormat="false" ht="19.85" hidden="false" customHeight="true" outlineLevel="0" collapsed="false">
      <c r="A74" s="0"/>
      <c r="H74" s="59"/>
      <c r="J74" s="55"/>
    </row>
    <row r="75" customFormat="false" ht="19.85" hidden="false" customHeight="true" outlineLevel="0" collapsed="false">
      <c r="A75" s="0"/>
      <c r="H75" s="59"/>
      <c r="J75" s="55"/>
    </row>
    <row r="76" customFormat="false" ht="19.85" hidden="false" customHeight="true" outlineLevel="0" collapsed="false">
      <c r="A76" s="0"/>
      <c r="H76" s="0"/>
      <c r="I76" s="0"/>
      <c r="J76" s="55"/>
    </row>
    <row r="77" customFormat="false" ht="19.85" hidden="false" customHeight="true" outlineLevel="0" collapsed="false">
      <c r="A77" s="0"/>
      <c r="H77" s="0"/>
      <c r="I77" s="0"/>
      <c r="J77" s="301" t="s">
        <v>379</v>
      </c>
    </row>
    <row r="78" customFormat="false" ht="19.85" hidden="false" customHeight="true" outlineLevel="0" collapsed="false">
      <c r="A78" s="0"/>
      <c r="H78" s="0"/>
      <c r="I78" s="0"/>
      <c r="J78" s="55"/>
    </row>
    <row r="79" customFormat="false" ht="19.85" hidden="false" customHeight="true" outlineLevel="0" collapsed="false">
      <c r="A79" s="0"/>
      <c r="H79" s="0"/>
      <c r="I79" s="0"/>
      <c r="J79" s="55"/>
    </row>
    <row r="80" customFormat="false" ht="19.85" hidden="false" customHeight="true" outlineLevel="0" collapsed="false">
      <c r="A80" s="0"/>
      <c r="H80" s="0"/>
      <c r="I80" s="0"/>
      <c r="J80" s="55"/>
    </row>
    <row r="81" customFormat="false" ht="19.85" hidden="false" customHeight="true" outlineLevel="0" collapsed="false">
      <c r="A81" s="0"/>
      <c r="H81" s="0"/>
      <c r="I81" s="0"/>
      <c r="J81" s="55"/>
    </row>
    <row r="82" customFormat="false" ht="19.85" hidden="false" customHeight="true" outlineLevel="0" collapsed="false">
      <c r="A82" s="0"/>
      <c r="H82" s="0"/>
      <c r="I82" s="0"/>
      <c r="J82" s="55"/>
    </row>
    <row r="83" customFormat="false" ht="19.85" hidden="false" customHeight="true" outlineLevel="0" collapsed="false">
      <c r="A83" s="0"/>
      <c r="H83" s="0"/>
      <c r="I83" s="0"/>
      <c r="J83" s="55"/>
    </row>
    <row r="84" customFormat="false" ht="19.85" hidden="false" customHeight="true" outlineLevel="0" collapsed="false">
      <c r="A84" s="0"/>
      <c r="H84" s="0"/>
      <c r="I84" s="0"/>
      <c r="J84" s="55"/>
    </row>
    <row r="85" customFormat="false" ht="19.85" hidden="false" customHeight="true" outlineLevel="0" collapsed="false">
      <c r="A85" s="0"/>
      <c r="H85" s="0"/>
      <c r="I85" s="0"/>
      <c r="J85" s="55"/>
    </row>
    <row r="86" customFormat="false" ht="19.85" hidden="false" customHeight="true" outlineLevel="0" collapsed="false">
      <c r="A86" s="0"/>
      <c r="H86" s="0"/>
      <c r="I86" s="0"/>
      <c r="J86" s="55"/>
    </row>
    <row r="87" customFormat="false" ht="19.85" hidden="false" customHeight="true" outlineLevel="0" collapsed="false">
      <c r="A87" s="0"/>
      <c r="H87" s="0"/>
      <c r="I87" s="0"/>
      <c r="J87" s="55"/>
    </row>
    <row r="88" customFormat="false" ht="19.85" hidden="false" customHeight="true" outlineLevel="0" collapsed="false">
      <c r="A88" s="0"/>
      <c r="H88" s="0"/>
      <c r="I88" s="0"/>
      <c r="J88" s="55"/>
    </row>
    <row r="89" customFormat="false" ht="19.85" hidden="false" customHeight="true" outlineLevel="0" collapsed="false">
      <c r="A89" s="0"/>
      <c r="H89" s="0"/>
      <c r="I89" s="0"/>
      <c r="J89" s="55"/>
    </row>
    <row r="90" customFormat="false" ht="19.85" hidden="false" customHeight="true" outlineLevel="0" collapsed="false">
      <c r="A90" s="0"/>
      <c r="H90" s="0"/>
      <c r="I90" s="0"/>
      <c r="J90" s="55"/>
    </row>
    <row r="91" customFormat="false" ht="19.85" hidden="false" customHeight="true" outlineLevel="0" collapsed="false">
      <c r="A91" s="0"/>
      <c r="H91" s="0"/>
      <c r="I91" s="0"/>
      <c r="J91" s="55"/>
    </row>
    <row r="92" customFormat="false" ht="19.85" hidden="false" customHeight="true" outlineLevel="0" collapsed="false">
      <c r="A92" s="0"/>
      <c r="H92" s="0"/>
      <c r="I92" s="0"/>
      <c r="J92" s="55"/>
    </row>
    <row r="93" customFormat="false" ht="19.85" hidden="false" customHeight="true" outlineLevel="0" collapsed="false">
      <c r="A93" s="0"/>
      <c r="H93" s="0"/>
      <c r="I93" s="0"/>
      <c r="J93" s="55"/>
    </row>
    <row r="94" customFormat="false" ht="19.85" hidden="false" customHeight="true" outlineLevel="0" collapsed="false">
      <c r="A94" s="0"/>
      <c r="H94" s="0"/>
      <c r="I94" s="0"/>
      <c r="J94" s="55"/>
    </row>
    <row r="95" customFormat="false" ht="19.85" hidden="false" customHeight="true" outlineLevel="0" collapsed="false">
      <c r="A95" s="0"/>
      <c r="H95" s="0"/>
      <c r="I95" s="0"/>
      <c r="J95" s="55"/>
    </row>
    <row r="96" customFormat="false" ht="19.85" hidden="false" customHeight="true" outlineLevel="0" collapsed="false">
      <c r="A96" s="0"/>
      <c r="H96" s="0"/>
      <c r="I96" s="0"/>
      <c r="J96" s="55"/>
    </row>
    <row r="97" customFormat="false" ht="19.85" hidden="false" customHeight="true" outlineLevel="0" collapsed="false">
      <c r="A97" s="0"/>
      <c r="H97" s="0"/>
      <c r="I97" s="0"/>
      <c r="J97" s="55"/>
    </row>
    <row r="98" customFormat="false" ht="19.85" hidden="false" customHeight="true" outlineLevel="0" collapsed="false">
      <c r="A98" s="0"/>
      <c r="H98" s="0"/>
      <c r="I98" s="0"/>
      <c r="J98" s="55"/>
    </row>
    <row r="99" customFormat="false" ht="19.85" hidden="false" customHeight="true" outlineLevel="0" collapsed="false">
      <c r="A99" s="0"/>
      <c r="H99" s="0"/>
      <c r="I99" s="0"/>
      <c r="J99" s="55"/>
    </row>
    <row r="100" customFormat="false" ht="19.85" hidden="false" customHeight="true" outlineLevel="0" collapsed="false">
      <c r="A100" s="0"/>
      <c r="H100" s="0"/>
      <c r="I100" s="0"/>
      <c r="J100" s="55"/>
    </row>
    <row r="101" customFormat="false" ht="19.85" hidden="false" customHeight="true" outlineLevel="0" collapsed="false">
      <c r="A101" s="0"/>
      <c r="H101" s="0"/>
      <c r="I101" s="0"/>
      <c r="J101" s="55"/>
    </row>
    <row r="102" customFormat="false" ht="19.95" hidden="false" customHeight="true" outlineLevel="0" collapsed="false">
      <c r="A102" s="0"/>
      <c r="H102" s="0"/>
      <c r="I102" s="0"/>
      <c r="J102" s="55"/>
    </row>
    <row r="103" customFormat="false" ht="19.85" hidden="false" customHeight="true" outlineLevel="0" collapsed="false">
      <c r="A103" s="0"/>
      <c r="H103" s="0"/>
      <c r="I103" s="0"/>
      <c r="J103" s="55"/>
    </row>
    <row r="104" customFormat="false" ht="19.85" hidden="false" customHeight="true" outlineLevel="0" collapsed="false">
      <c r="A104" s="0"/>
      <c r="H104" s="0"/>
      <c r="I104" s="0"/>
      <c r="J104" s="55"/>
    </row>
    <row r="105" customFormat="false" ht="19.85" hidden="false" customHeight="true" outlineLevel="0" collapsed="false">
      <c r="A105" s="0"/>
      <c r="H105" s="0"/>
      <c r="I105" s="0"/>
      <c r="J105" s="55"/>
    </row>
    <row r="106" customFormat="false" ht="19.85" hidden="false" customHeight="true" outlineLevel="0" collapsed="false">
      <c r="A106" s="0"/>
      <c r="H106" s="0"/>
      <c r="I106" s="0"/>
      <c r="J106" s="55"/>
    </row>
    <row r="107" customFormat="false" ht="19.85" hidden="false" customHeight="true" outlineLevel="0" collapsed="false">
      <c r="A107" s="0"/>
      <c r="H107" s="0"/>
      <c r="I107" s="0"/>
      <c r="J107" s="55"/>
    </row>
    <row r="108" customFormat="false" ht="19.85" hidden="false" customHeight="true" outlineLevel="0" collapsed="false">
      <c r="A108" s="0"/>
      <c r="H108" s="0"/>
      <c r="I108" s="0"/>
      <c r="J108" s="55"/>
    </row>
    <row r="109" customFormat="false" ht="19.85" hidden="false" customHeight="true" outlineLevel="0" collapsed="false">
      <c r="A109" s="0"/>
      <c r="H109" s="0"/>
      <c r="I109" s="0"/>
      <c r="J109" s="55"/>
    </row>
    <row r="110" customFormat="false" ht="19.85" hidden="false" customHeight="true" outlineLevel="0" collapsed="false">
      <c r="A110" s="0"/>
      <c r="H110" s="0"/>
      <c r="I110" s="0"/>
      <c r="J110" s="55"/>
    </row>
    <row r="111" customFormat="false" ht="19.85" hidden="false" customHeight="true" outlineLevel="0" collapsed="false">
      <c r="A111" s="0"/>
      <c r="H111" s="0"/>
      <c r="I111" s="0"/>
      <c r="J111" s="55"/>
    </row>
    <row r="112" customFormat="false" ht="19.85" hidden="false" customHeight="true" outlineLevel="0" collapsed="false">
      <c r="A112" s="0"/>
      <c r="H112" s="0"/>
      <c r="I112" s="0"/>
      <c r="J112" s="55"/>
    </row>
    <row r="113" customFormat="false" ht="19.85" hidden="false" customHeight="true" outlineLevel="0" collapsed="false">
      <c r="A113" s="0"/>
      <c r="H113" s="0"/>
      <c r="I113" s="0"/>
      <c r="J113" s="55"/>
    </row>
    <row r="114" customFormat="false" ht="19.85" hidden="false" customHeight="true" outlineLevel="0" collapsed="false">
      <c r="A114" s="0"/>
      <c r="H114" s="0"/>
      <c r="I114" s="0"/>
      <c r="J114" s="55"/>
    </row>
    <row r="115" customFormat="false" ht="19.85" hidden="false" customHeight="true" outlineLevel="0" collapsed="false">
      <c r="A115" s="0"/>
      <c r="H115" s="0"/>
      <c r="I115" s="0"/>
      <c r="J115" s="55"/>
    </row>
    <row r="116" customFormat="false" ht="19.85" hidden="false" customHeight="true" outlineLevel="0" collapsed="false">
      <c r="A116" s="0"/>
      <c r="H116" s="0"/>
      <c r="I116" s="0"/>
      <c r="J116" s="55"/>
    </row>
    <row r="117" customFormat="false" ht="19.85" hidden="false" customHeight="true" outlineLevel="0" collapsed="false">
      <c r="A117" s="0"/>
      <c r="H117" s="0"/>
      <c r="I117" s="0"/>
      <c r="J117" s="55"/>
    </row>
    <row r="118" customFormat="false" ht="19.85" hidden="false" customHeight="true" outlineLevel="0" collapsed="false">
      <c r="A118" s="0"/>
      <c r="H118" s="0"/>
      <c r="I118" s="0"/>
      <c r="J118" s="55"/>
    </row>
    <row r="119" customFormat="false" ht="19.85" hidden="false" customHeight="true" outlineLevel="0" collapsed="false">
      <c r="A119" s="0"/>
      <c r="H119" s="0"/>
      <c r="I119" s="0"/>
      <c r="J119" s="55"/>
    </row>
    <row r="120" customFormat="false" ht="19.85" hidden="false" customHeight="true" outlineLevel="0" collapsed="false">
      <c r="A120" s="0"/>
      <c r="H120" s="0"/>
      <c r="I120" s="0"/>
      <c r="J120" s="55"/>
    </row>
    <row r="121" customFormat="false" ht="19.85" hidden="false" customHeight="true" outlineLevel="0" collapsed="false">
      <c r="A121" s="0"/>
      <c r="H121" s="0"/>
      <c r="I121" s="0"/>
      <c r="J121" s="55"/>
    </row>
    <row r="122" customFormat="false" ht="19.85" hidden="false" customHeight="true" outlineLevel="0" collapsed="false">
      <c r="A122" s="0"/>
      <c r="H122" s="0"/>
      <c r="I122" s="0"/>
      <c r="J122" s="55"/>
    </row>
    <row r="123" customFormat="false" ht="19.85" hidden="false" customHeight="true" outlineLevel="0" collapsed="false">
      <c r="A123" s="0"/>
      <c r="H123" s="0"/>
      <c r="I123" s="0"/>
      <c r="J123" s="55"/>
    </row>
    <row r="124" customFormat="false" ht="19.85" hidden="false" customHeight="true" outlineLevel="0" collapsed="false">
      <c r="A124" s="0"/>
      <c r="H124" s="0"/>
      <c r="I124" s="0"/>
      <c r="J124" s="55"/>
    </row>
    <row r="125" customFormat="false" ht="19.85" hidden="false" customHeight="true" outlineLevel="0" collapsed="false">
      <c r="A125" s="0"/>
      <c r="H125" s="0"/>
      <c r="I125" s="0"/>
      <c r="J125" s="55"/>
    </row>
    <row r="126" customFormat="false" ht="19.85" hidden="false" customHeight="true" outlineLevel="0" collapsed="false">
      <c r="A126" s="0"/>
      <c r="H126" s="0"/>
      <c r="I126" s="0"/>
      <c r="J126" s="55"/>
    </row>
    <row r="127" customFormat="false" ht="19.85" hidden="false" customHeight="true" outlineLevel="0" collapsed="false">
      <c r="A127" s="0"/>
      <c r="H127" s="0"/>
      <c r="I127" s="0"/>
      <c r="J127" s="55"/>
    </row>
    <row r="128" customFormat="false" ht="19.85" hidden="false" customHeight="true" outlineLevel="0" collapsed="false">
      <c r="A128" s="0"/>
      <c r="H128" s="0"/>
      <c r="I128" s="0"/>
      <c r="J128" s="55"/>
    </row>
    <row r="129" customFormat="false" ht="19.85" hidden="false" customHeight="true" outlineLevel="0" collapsed="false">
      <c r="A129" s="0"/>
      <c r="H129" s="0"/>
      <c r="I129" s="0"/>
      <c r="J129" s="55"/>
    </row>
    <row r="130" customFormat="false" ht="19.85" hidden="false" customHeight="true" outlineLevel="0" collapsed="false">
      <c r="A130" s="0"/>
      <c r="H130" s="0"/>
      <c r="I130" s="0"/>
      <c r="J130" s="55"/>
    </row>
    <row r="131" customFormat="false" ht="19.85" hidden="false" customHeight="true" outlineLevel="0" collapsed="false">
      <c r="A131" s="0"/>
      <c r="H131" s="0"/>
      <c r="I131" s="0"/>
      <c r="J131" s="55"/>
    </row>
    <row r="132" customFormat="false" ht="22.45" hidden="false" customHeight="true" outlineLevel="0" collapsed="false">
      <c r="A132" s="0"/>
      <c r="H132" s="0"/>
      <c r="I132" s="0"/>
      <c r="J132" s="55"/>
    </row>
    <row r="133" customFormat="false" ht="21.65" hidden="false" customHeight="true" outlineLevel="0" collapsed="false">
      <c r="A133" s="0"/>
      <c r="H133" s="0"/>
      <c r="I133" s="0"/>
      <c r="J133" s="55"/>
    </row>
    <row r="134" customFormat="false" ht="21.65" hidden="false" customHeight="true" outlineLevel="0" collapsed="false">
      <c r="A134" s="0"/>
      <c r="H134" s="0"/>
      <c r="I134" s="0"/>
      <c r="J134" s="55"/>
    </row>
    <row r="135" customFormat="false" ht="21.65" hidden="false" customHeight="true" outlineLevel="0" collapsed="false">
      <c r="A135" s="0"/>
      <c r="H135" s="0"/>
      <c r="I135" s="0"/>
      <c r="J135" s="55"/>
    </row>
    <row r="136" customFormat="false" ht="21.65" hidden="false" customHeight="true" outlineLevel="0" collapsed="false">
      <c r="A136" s="0"/>
      <c r="H136" s="0"/>
      <c r="I136" s="0"/>
      <c r="J136" s="55"/>
    </row>
    <row r="137" customFormat="false" ht="21.65" hidden="false" customHeight="true" outlineLevel="0" collapsed="false">
      <c r="A137" s="0"/>
      <c r="H137" s="0"/>
      <c r="I137" s="0"/>
      <c r="J137" s="55"/>
    </row>
    <row r="138" customFormat="false" ht="21.65" hidden="false" customHeight="true" outlineLevel="0" collapsed="false">
      <c r="A138" s="0"/>
      <c r="H138" s="0"/>
      <c r="I138" s="0"/>
      <c r="J138" s="55"/>
    </row>
    <row r="139" customFormat="false" ht="28.35" hidden="false" customHeight="true" outlineLevel="0" collapsed="false">
      <c r="A139" s="0"/>
      <c r="H139" s="59" t="n">
        <v>400</v>
      </c>
      <c r="J139" s="55"/>
    </row>
    <row r="140" customFormat="false" ht="28.35" hidden="false" customHeight="true" outlineLevel="0" collapsed="false">
      <c r="A140" s="0"/>
    </row>
    <row r="141" customFormat="false" ht="28.35" hidden="false" customHeight="true" outlineLevel="0" collapsed="false">
      <c r="A141" s="0"/>
    </row>
    <row r="142" customFormat="false" ht="28.35" hidden="false" customHeight="true" outlineLevel="0" collapsed="false">
      <c r="A142" s="0"/>
    </row>
    <row r="143" customFormat="false" ht="28.35" hidden="false" customHeight="true" outlineLevel="0" collapsed="false">
      <c r="A143" s="0"/>
    </row>
    <row r="144" customFormat="false" ht="28.35" hidden="false" customHeight="true" outlineLevel="0" collapsed="false">
      <c r="A144" s="0"/>
    </row>
    <row r="145" customFormat="false" ht="28.35" hidden="false" customHeight="true" outlineLevel="0" collapsed="false">
      <c r="A145" s="0"/>
    </row>
    <row r="146" customFormat="false" ht="28.35" hidden="false" customHeight="true" outlineLevel="0" collapsed="false">
      <c r="A146" s="0"/>
    </row>
    <row r="147" customFormat="false" ht="28.35" hidden="false" customHeight="true" outlineLevel="0" collapsed="false">
      <c r="A147" s="0"/>
    </row>
    <row r="148" customFormat="false" ht="28.35" hidden="false" customHeight="true" outlineLevel="0" collapsed="false">
      <c r="A148" s="0"/>
    </row>
    <row r="149" customFormat="false" ht="28.35" hidden="false" customHeight="true" outlineLevel="0" collapsed="false">
      <c r="A149" s="0"/>
    </row>
    <row r="150" customFormat="false" ht="28.35" hidden="false" customHeight="true" outlineLevel="0" collapsed="false">
      <c r="A150" s="0"/>
    </row>
    <row r="151" customFormat="false" ht="28.35" hidden="false" customHeight="true" outlineLevel="0" collapsed="false">
      <c r="A151" s="0"/>
    </row>
    <row r="152" customFormat="false" ht="28.35" hidden="false" customHeight="true" outlineLevel="0" collapsed="false">
      <c r="A152" s="0"/>
    </row>
    <row r="153" customFormat="false" ht="28.35" hidden="false" customHeight="true" outlineLevel="0" collapsed="false">
      <c r="A153" s="0"/>
    </row>
    <row r="154" customFormat="false" ht="28.35" hidden="false" customHeight="true" outlineLevel="0" collapsed="false">
      <c r="A154" s="0"/>
    </row>
    <row r="155" customFormat="false" ht="28.35" hidden="false" customHeight="true" outlineLevel="0" collapsed="false">
      <c r="A155" s="0"/>
    </row>
    <row r="156" customFormat="false" ht="28.35" hidden="false" customHeight="true" outlineLevel="0" collapsed="false">
      <c r="A156" s="0"/>
    </row>
    <row r="157" customFormat="false" ht="12.8" hidden="false" customHeight="false" outlineLevel="0" collapsed="false">
      <c r="A157" s="0"/>
    </row>
    <row r="158" customFormat="false" ht="12.8" hidden="false" customHeight="false" outlineLevel="0" collapsed="false">
      <c r="A158" s="0"/>
    </row>
    <row r="159" customFormat="false" ht="12.8" hidden="false" customHeight="false" outlineLevel="0" collapsed="false">
      <c r="A159" s="0"/>
    </row>
    <row r="160" customFormat="false" ht="12.8" hidden="false" customHeight="false" outlineLevel="0" collapsed="false">
      <c r="A160" s="0"/>
    </row>
    <row r="161" customFormat="false" ht="12.8" hidden="false" customHeight="false" outlineLevel="0" collapsed="false">
      <c r="A161" s="0"/>
    </row>
    <row r="162" customFormat="false" ht="12.8" hidden="false" customHeight="false" outlineLevel="0" collapsed="false">
      <c r="A162" s="0"/>
    </row>
    <row r="163" customFormat="false" ht="12.8" hidden="false" customHeight="false" outlineLevel="0" collapsed="false">
      <c r="A163" s="0"/>
    </row>
    <row r="164" customFormat="false" ht="12.8" hidden="false" customHeight="false" outlineLevel="0" collapsed="false">
      <c r="A164" s="0"/>
    </row>
    <row r="165" customFormat="false" ht="12.8" hidden="false" customHeight="false" outlineLevel="0" collapsed="false">
      <c r="A165" s="0"/>
    </row>
    <row r="166" customFormat="false" ht="12.8" hidden="false" customHeight="false" outlineLevel="0" collapsed="false">
      <c r="A166" s="0"/>
    </row>
    <row r="167" customFormat="false" ht="12.8" hidden="false" customHeight="false" outlineLevel="0" collapsed="false">
      <c r="A167" s="0"/>
    </row>
    <row r="168" customFormat="false" ht="12.8" hidden="false" customHeight="false" outlineLevel="0" collapsed="false">
      <c r="A168" s="0"/>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row r="173" customFormat="false" ht="12.8" hidden="false" customHeight="false" outlineLevel="0" collapsed="false">
      <c r="A173" s="0"/>
    </row>
    <row r="174" customFormat="false" ht="12.8" hidden="false" customHeight="false" outlineLevel="0" collapsed="false">
      <c r="A174" s="0"/>
    </row>
    <row r="175" customFormat="false" ht="12.8" hidden="false" customHeight="false" outlineLevel="0" collapsed="false">
      <c r="A175" s="0"/>
    </row>
    <row r="176" customFormat="false" ht="12.8" hidden="false" customHeight="false" outlineLevel="0" collapsed="false">
      <c r="A176" s="0"/>
    </row>
    <row r="177" customFormat="false" ht="12.8" hidden="false" customHeight="false" outlineLevel="0" collapsed="false">
      <c r="A177" s="0"/>
    </row>
    <row r="178" customFormat="false" ht="12.8" hidden="false" customHeight="false" outlineLevel="0" collapsed="false">
      <c r="A178" s="0"/>
    </row>
    <row r="179" customFormat="false" ht="12.8" hidden="false" customHeight="false" outlineLevel="0" collapsed="false">
      <c r="A179" s="0"/>
    </row>
    <row r="180" customFormat="false" ht="12.8" hidden="false" customHeight="false" outlineLevel="0" collapsed="false">
      <c r="A180" s="0"/>
    </row>
    <row r="181" customFormat="false" ht="12.8" hidden="false" customHeight="false" outlineLevel="0" collapsed="false">
      <c r="A181" s="0"/>
    </row>
    <row r="182" customFormat="false" ht="12.8" hidden="false" customHeight="false" outlineLevel="0" collapsed="false">
      <c r="A182" s="0"/>
    </row>
    <row r="183" customFormat="false" ht="12.8" hidden="false" customHeight="false" outlineLevel="0" collapsed="false">
      <c r="A183" s="0"/>
    </row>
    <row r="184" customFormat="false" ht="12.8" hidden="false" customHeight="false" outlineLevel="0" collapsed="false">
      <c r="A184"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1:E66">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66">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xl/worksheets/sheet27.xml><?xml version="1.0" encoding="utf-8"?>
<worksheet xmlns="http://schemas.openxmlformats.org/spreadsheetml/2006/main" xmlns:r="http://schemas.openxmlformats.org/officeDocument/2006/relationships">
  <sheetPr filterMode="false">
    <tabColor rgb="FF00CC33"/>
    <pageSetUpPr fitToPage="false"/>
  </sheetPr>
  <dimension ref="A1:Z42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B389" activeCellId="0" sqref="B389"/>
    </sheetView>
  </sheetViews>
  <sheetFormatPr defaultRowHeight="12.8" zeroHeight="false" outlineLevelRow="0" outlineLevelCol="0"/>
  <cols>
    <col collapsed="false" customWidth="true" hidden="false" outlineLevel="0" max="1" min="1" style="1" width="4.17"/>
    <col collapsed="false" customWidth="true" hidden="false" outlineLevel="0" max="2" min="2" style="1" width="17.13"/>
    <col collapsed="false" customWidth="true" hidden="false" outlineLevel="0" max="3" min="3" style="1" width="18.85"/>
    <col collapsed="false" customWidth="true" hidden="false" outlineLevel="0" max="4" min="4" style="1" width="16.07"/>
    <col collapsed="false" customWidth="true" hidden="false" outlineLevel="0" max="5" min="5" style="1" width="17.59"/>
    <col collapsed="false" customWidth="true" hidden="false" outlineLevel="0" max="6" min="6" style="1" width="15.42"/>
    <col collapsed="false" customWidth="true" hidden="false" outlineLevel="0" max="7" min="7" style="1" width="16.21"/>
    <col collapsed="false" customWidth="true" hidden="false" outlineLevel="0" max="8" min="8" style="1" width="15.28"/>
    <col collapsed="false" customWidth="true" hidden="false" outlineLevel="0" max="9" min="9" style="1" width="21.3"/>
    <col collapsed="false" customWidth="true" hidden="false" outlineLevel="0" max="10" min="10" style="1" width="27.94"/>
    <col collapsed="false" customWidth="true" hidden="false" outlineLevel="0" max="11" min="11" style="1" width="17.44"/>
    <col collapsed="false" customWidth="true" hidden="false" outlineLevel="0" max="12" min="12" style="1" width="23.61"/>
    <col collapsed="false" customWidth="false" hidden="false" outlineLevel="0" max="13" min="13" style="1" width="11.52"/>
    <col collapsed="false" customWidth="true" hidden="false" outlineLevel="0" max="14" min="14" style="1" width="10.8"/>
    <col collapsed="false" customWidth="true" hidden="false" outlineLevel="0" max="15" min="15" style="1" width="4.93"/>
    <col collapsed="false" customWidth="false" hidden="false" outlineLevel="0" max="16" min="16" style="1" width="11.52"/>
    <col collapsed="false" customWidth="true" hidden="false" outlineLevel="0" max="17" min="17" style="1" width="15.28"/>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0.8" hidden="false" customHeight="true" outlineLevel="0" collapsed="false">
      <c r="A4" s="0"/>
      <c r="B4" s="16" t="s">
        <v>392</v>
      </c>
      <c r="C4" s="16" t="n">
        <v>51205</v>
      </c>
      <c r="D4" s="5" t="s">
        <v>393</v>
      </c>
      <c r="E4" s="14" t="s">
        <v>394</v>
      </c>
      <c r="F4" s="15"/>
      <c r="G4" s="15" t="n">
        <v>1290</v>
      </c>
      <c r="H4" s="15"/>
      <c r="I4" s="16" t="s">
        <v>395</v>
      </c>
      <c r="J4" s="15" t="n">
        <v>1290</v>
      </c>
      <c r="K4" s="16" t="s">
        <v>396</v>
      </c>
      <c r="L4" s="16" t="s">
        <v>397</v>
      </c>
      <c r="M4" s="16" t="n">
        <v>890</v>
      </c>
      <c r="N4" s="4"/>
      <c r="P4" s="17"/>
      <c r="Q4" s="16" t="s">
        <v>23</v>
      </c>
      <c r="S4" s="18"/>
      <c r="T4" s="19" t="s">
        <v>24</v>
      </c>
      <c r="U4" s="19"/>
      <c r="V4" s="19"/>
    </row>
    <row r="5" customFormat="false" ht="35.8" hidden="false" customHeight="true" outlineLevel="0" collapsed="false">
      <c r="A5" s="0"/>
      <c r="F5" s="9"/>
      <c r="G5" s="9"/>
      <c r="H5" s="9"/>
      <c r="J5" s="9"/>
      <c r="P5" s="9"/>
      <c r="Q5" s="9"/>
    </row>
    <row r="6" customFormat="false" ht="39.95" hidden="false" customHeight="true" outlineLevel="0" collapsed="false">
      <c r="A6" s="0"/>
      <c r="B6" s="0"/>
      <c r="C6" s="10" t="s">
        <v>25</v>
      </c>
      <c r="D6" s="10"/>
      <c r="F6" s="20" t="s">
        <v>26</v>
      </c>
      <c r="G6" s="19" t="s">
        <v>398</v>
      </c>
      <c r="H6" s="19"/>
      <c r="I6" s="19"/>
      <c r="J6" s="19"/>
      <c r="K6" s="19"/>
      <c r="L6" s="19"/>
      <c r="M6" s="19"/>
      <c r="N6" s="19"/>
      <c r="P6" s="21" t="n">
        <v>41165</v>
      </c>
      <c r="Q6" s="19" t="s">
        <v>27</v>
      </c>
      <c r="R6" s="9"/>
      <c r="S6" s="22"/>
      <c r="T6" s="5" t="s">
        <v>28</v>
      </c>
    </row>
    <row r="7" customFormat="false" ht="38.3" hidden="false" customHeight="true" outlineLevel="0" collapsed="false">
      <c r="A7" s="0"/>
      <c r="B7" s="0"/>
      <c r="C7" s="126" t="s">
        <v>399</v>
      </c>
      <c r="D7" s="126"/>
      <c r="F7" s="20"/>
      <c r="G7" s="20"/>
      <c r="H7" s="19"/>
      <c r="I7" s="19"/>
      <c r="J7" s="19"/>
      <c r="K7" s="19"/>
      <c r="L7" s="19"/>
      <c r="M7" s="19"/>
      <c r="N7" s="19"/>
      <c r="P7" s="24"/>
      <c r="Q7" s="5" t="s">
        <v>29</v>
      </c>
      <c r="R7" s="9"/>
      <c r="S7" s="25"/>
      <c r="T7" s="5" t="s">
        <v>30</v>
      </c>
    </row>
    <row r="8" customFormat="false" ht="41.65" hidden="false" customHeight="true" outlineLevel="0" collapsed="false">
      <c r="A8" s="26"/>
      <c r="F8" s="9"/>
      <c r="G8" s="9"/>
      <c r="H8" s="9"/>
      <c r="J8" s="9"/>
      <c r="R8" s="9"/>
      <c r="S8" s="27"/>
      <c r="T8" s="16" t="s">
        <v>31</v>
      </c>
    </row>
    <row r="9" customFormat="false" ht="38.3" hidden="false" customHeight="true" outlineLevel="0" collapsed="false">
      <c r="B9" s="9" t="s">
        <v>32</v>
      </c>
      <c r="C9" s="28" t="s">
        <v>33</v>
      </c>
      <c r="D9" s="29" t="s">
        <v>52</v>
      </c>
      <c r="E9" s="1" t="s">
        <v>35</v>
      </c>
      <c r="F9" s="9" t="s">
        <v>36</v>
      </c>
      <c r="G9" s="9" t="s">
        <v>37</v>
      </c>
      <c r="H9" s="9" t="s">
        <v>38</v>
      </c>
      <c r="I9" s="9" t="s">
        <v>39</v>
      </c>
      <c r="J9" s="30" t="s">
        <v>40</v>
      </c>
    </row>
    <row r="10" customFormat="false" ht="20.95" hidden="false" customHeight="true" outlineLevel="0" collapsed="false">
      <c r="A10" s="1" t="n">
        <v>28</v>
      </c>
      <c r="B10" s="34" t="n">
        <v>31809</v>
      </c>
      <c r="C10" s="302" t="n">
        <v>104800</v>
      </c>
      <c r="D10" s="29" t="s">
        <v>41</v>
      </c>
      <c r="E10" s="33" t="n">
        <f aca="false">IF(D10="totale",(C10/(A10*24))/F10,IF(D10="marché libre",(C10/(A10*24))/G10,"spécifier histo"))</f>
        <v>0.120893318567737</v>
      </c>
      <c r="F10" s="59" t="n">
        <v>1290</v>
      </c>
      <c r="G10" s="59" t="n">
        <f aca="false">F10-H10</f>
        <v>1290</v>
      </c>
      <c r="H10" s="59" t="n">
        <v>0</v>
      </c>
      <c r="I10" s="9"/>
      <c r="J10" s="30"/>
    </row>
    <row r="11" customFormat="false" ht="20.95" hidden="false" customHeight="true" outlineLevel="0" collapsed="false">
      <c r="A11" s="1" t="n">
        <v>31</v>
      </c>
      <c r="B11" s="31" t="n">
        <v>31837</v>
      </c>
      <c r="C11" s="302" t="n">
        <v>56800</v>
      </c>
      <c r="D11" s="29" t="s">
        <v>41</v>
      </c>
      <c r="E11" s="33" t="n">
        <f aca="false">IF(D11="totale",(C11/(A11*24))/F11,IF(D11="marché libre",(C11/(A11*24))/G11,"spécifier histo"))</f>
        <v>0.0591814620321747</v>
      </c>
      <c r="F11" s="59" t="n">
        <v>1290</v>
      </c>
      <c r="G11" s="59" t="n">
        <f aca="false">F11-H11</f>
        <v>1290</v>
      </c>
      <c r="H11" s="59" t="n">
        <v>0</v>
      </c>
      <c r="I11" s="9"/>
      <c r="J11" s="30"/>
    </row>
    <row r="12" customFormat="false" ht="20.95" hidden="false" customHeight="true" outlineLevel="0" collapsed="false">
      <c r="A12" s="1" t="n">
        <v>30</v>
      </c>
      <c r="B12" s="34" t="n">
        <v>31868</v>
      </c>
      <c r="C12" s="302" t="n">
        <v>399800</v>
      </c>
      <c r="D12" s="29" t="s">
        <v>41</v>
      </c>
      <c r="E12" s="33" t="n">
        <f aca="false">IF(D12="totale",(C12/(A12*24))/F12,IF(D12="marché libre",(C12/(A12*24))/G12,"spécifier histo"))</f>
        <v>0.430447889750215</v>
      </c>
      <c r="F12" s="59" t="n">
        <v>1290</v>
      </c>
      <c r="G12" s="59" t="n">
        <f aca="false">F12-H12</f>
        <v>1290</v>
      </c>
      <c r="H12" s="59" t="n">
        <v>0</v>
      </c>
      <c r="I12" s="9"/>
      <c r="J12" s="30"/>
    </row>
    <row r="13" customFormat="false" ht="20.95" hidden="false" customHeight="true" outlineLevel="0" collapsed="false">
      <c r="A13" s="1" t="n">
        <v>31</v>
      </c>
      <c r="B13" s="31" t="n">
        <v>31898</v>
      </c>
      <c r="C13" s="302" t="n">
        <v>381200</v>
      </c>
      <c r="D13" s="29" t="s">
        <v>41</v>
      </c>
      <c r="E13" s="33" t="n">
        <f aca="false">IF(D13="totale",(C13/(A13*24))/F13,IF(D13="marché libre",(C13/(A13*24))/G13,"spécifier histo"))</f>
        <v>0.397182628990581</v>
      </c>
      <c r="F13" s="59" t="n">
        <v>1290</v>
      </c>
      <c r="G13" s="59" t="n">
        <f aca="false">F13-H13</f>
        <v>1290</v>
      </c>
      <c r="H13" s="59" t="n">
        <v>0</v>
      </c>
      <c r="I13" s="9"/>
      <c r="J13" s="30"/>
    </row>
    <row r="14" customFormat="false" ht="20.95" hidden="false" customHeight="true" outlineLevel="0" collapsed="false">
      <c r="A14" s="1" t="n">
        <v>30</v>
      </c>
      <c r="B14" s="34" t="n">
        <v>31929</v>
      </c>
      <c r="C14" s="302" t="n">
        <v>419800</v>
      </c>
      <c r="D14" s="29" t="s">
        <v>41</v>
      </c>
      <c r="E14" s="33" t="n">
        <f aca="false">IF(D14="totale",(C14/(A14*24))/F14,IF(D14="marché libre",(C14/(A14*24))/G14,"spécifier histo"))</f>
        <v>0.45198105081826</v>
      </c>
      <c r="F14" s="59" t="n">
        <v>1290</v>
      </c>
      <c r="G14" s="59" t="n">
        <f aca="false">F14-H14</f>
        <v>1290</v>
      </c>
      <c r="H14" s="59" t="n">
        <v>0</v>
      </c>
      <c r="I14" s="9"/>
      <c r="J14" s="30"/>
    </row>
    <row r="15" customFormat="false" ht="20.95" hidden="false" customHeight="true" outlineLevel="0" collapsed="false">
      <c r="A15" s="1" t="n">
        <v>31</v>
      </c>
      <c r="B15" s="31" t="n">
        <v>31959</v>
      </c>
      <c r="C15" s="302" t="n">
        <v>417400</v>
      </c>
      <c r="D15" s="29" t="s">
        <v>41</v>
      </c>
      <c r="E15" s="33" t="n">
        <f aca="false">IF(D15="totale",(C15/(A15*24))/F15,IF(D15="marché libre",(C15/(A15*24))/G15,"spécifier histo"))</f>
        <v>0.434900391764608</v>
      </c>
      <c r="F15" s="59" t="n">
        <v>1290</v>
      </c>
      <c r="G15" s="59" t="n">
        <f aca="false">F15-H15</f>
        <v>1290</v>
      </c>
      <c r="H15" s="59" t="n">
        <v>0</v>
      </c>
      <c r="I15" s="9"/>
      <c r="J15" s="30"/>
    </row>
    <row r="16" customFormat="false" ht="20.95" hidden="false" customHeight="true" outlineLevel="0" collapsed="false">
      <c r="A16" s="1" t="n">
        <v>31</v>
      </c>
      <c r="B16" s="34" t="n">
        <v>31990</v>
      </c>
      <c r="C16" s="302" t="n">
        <v>336400</v>
      </c>
      <c r="D16" s="29" t="s">
        <v>41</v>
      </c>
      <c r="E16" s="33" t="n">
        <f aca="false">IF(D16="totale",(C16/(A16*24))/F16,IF(D16="marché libre",(C16/(A16*24))/G16,"spécifier histo"))</f>
        <v>0.350504292739852</v>
      </c>
      <c r="F16" s="59" t="n">
        <v>1290</v>
      </c>
      <c r="G16" s="59" t="n">
        <f aca="false">F16-H16</f>
        <v>1290</v>
      </c>
      <c r="H16" s="59" t="n">
        <v>0</v>
      </c>
      <c r="I16" s="9"/>
      <c r="J16" s="30"/>
    </row>
    <row r="17" customFormat="false" ht="20.95" hidden="false" customHeight="true" outlineLevel="0" collapsed="false">
      <c r="A17" s="1" t="n">
        <v>30</v>
      </c>
      <c r="B17" s="31" t="n">
        <v>32021</v>
      </c>
      <c r="C17" s="302" t="n">
        <v>298600</v>
      </c>
      <c r="D17" s="29" t="s">
        <v>41</v>
      </c>
      <c r="E17" s="33" t="n">
        <f aca="false">IF(D17="totale",(C17/(A17*24))/F17,IF(D17="marché libre",(C17/(A17*24))/G17,"spécifier histo"))</f>
        <v>0.321490094745909</v>
      </c>
      <c r="F17" s="59" t="n">
        <v>1290</v>
      </c>
      <c r="G17" s="59" t="n">
        <f aca="false">F17-H17</f>
        <v>1290</v>
      </c>
      <c r="H17" s="59" t="n">
        <v>0</v>
      </c>
      <c r="I17" s="9"/>
      <c r="J17" s="30"/>
    </row>
    <row r="18" customFormat="false" ht="20.95" hidden="false" customHeight="true" outlineLevel="0" collapsed="false">
      <c r="A18" s="1" t="n">
        <v>31</v>
      </c>
      <c r="B18" s="34" t="n">
        <v>32051</v>
      </c>
      <c r="C18" s="302" t="n">
        <v>335000</v>
      </c>
      <c r="D18" s="29" t="s">
        <v>41</v>
      </c>
      <c r="E18" s="33" t="n">
        <f aca="false">IF(D18="totale",(C18/(A18*24))/F18,IF(D18="marché libre",(C18/(A18*24))/G18,"spécifier histo"))</f>
        <v>0.349045594732016</v>
      </c>
      <c r="F18" s="59" t="n">
        <v>1290</v>
      </c>
      <c r="G18" s="59" t="n">
        <f aca="false">F18-H18</f>
        <v>1290</v>
      </c>
      <c r="H18" s="59" t="n">
        <v>0</v>
      </c>
      <c r="I18" s="9"/>
      <c r="J18" s="30"/>
    </row>
    <row r="19" customFormat="false" ht="20.95" hidden="false" customHeight="true" outlineLevel="0" collapsed="false">
      <c r="A19" s="1" t="n">
        <v>30</v>
      </c>
      <c r="B19" s="31" t="n">
        <v>32082</v>
      </c>
      <c r="C19" s="302" t="n">
        <v>252200</v>
      </c>
      <c r="D19" s="29" t="s">
        <v>41</v>
      </c>
      <c r="E19" s="33" t="n">
        <f aca="false">IF(D19="totale",(C19/(A19*24))/F19,IF(D19="marché libre",(C19/(A19*24))/G19,"spécifier histo"))</f>
        <v>0.271533161068045</v>
      </c>
      <c r="F19" s="59" t="n">
        <v>1290</v>
      </c>
      <c r="G19" s="59" t="n">
        <f aca="false">F19-H19</f>
        <v>1290</v>
      </c>
      <c r="H19" s="59" t="n">
        <v>0</v>
      </c>
      <c r="I19" s="9"/>
      <c r="J19" s="30"/>
    </row>
    <row r="20" customFormat="false" ht="20.95" hidden="false" customHeight="true" outlineLevel="0" collapsed="false">
      <c r="A20" s="1" t="n">
        <v>31</v>
      </c>
      <c r="B20" s="34" t="n">
        <v>32112</v>
      </c>
      <c r="C20" s="302" t="n">
        <v>219800</v>
      </c>
      <c r="D20" s="29" t="s">
        <v>41</v>
      </c>
      <c r="E20" s="33" t="n">
        <f aca="false">IF(D20="totale",(C20/(A20*24))/F20,IF(D20="marché libre",(C20/(A20*24))/G20,"spécifier histo"))</f>
        <v>0.229015587230141</v>
      </c>
      <c r="F20" s="59" t="n">
        <v>1290</v>
      </c>
      <c r="G20" s="59" t="n">
        <f aca="false">F20-H20</f>
        <v>1290</v>
      </c>
      <c r="H20" s="59" t="n">
        <v>0</v>
      </c>
      <c r="I20" s="9"/>
      <c r="J20" s="30"/>
    </row>
    <row r="21" customFormat="false" ht="20.95" hidden="false" customHeight="true" outlineLevel="0" collapsed="false">
      <c r="A21" s="1" t="n">
        <v>31</v>
      </c>
      <c r="B21" s="31" t="n">
        <v>32143</v>
      </c>
      <c r="C21" s="302" t="n">
        <v>209600</v>
      </c>
      <c r="D21" s="29" t="s">
        <v>41</v>
      </c>
      <c r="E21" s="33" t="n">
        <f aca="false">IF(D21="totale",(C21/(A21*24))/F21,IF(D21="marché libre",(C21/(A21*24))/G21,"spécifier histo"))</f>
        <v>0.218387930315912</v>
      </c>
      <c r="F21" s="59" t="n">
        <v>1290</v>
      </c>
      <c r="G21" s="59" t="n">
        <f aca="false">F21-H21</f>
        <v>1290</v>
      </c>
      <c r="H21" s="59" t="n">
        <v>0</v>
      </c>
      <c r="I21" s="9"/>
      <c r="J21" s="30"/>
    </row>
    <row r="22" customFormat="false" ht="20.95" hidden="false" customHeight="true" outlineLevel="0" collapsed="false">
      <c r="A22" s="1" t="n">
        <v>28</v>
      </c>
      <c r="B22" s="34" t="n">
        <v>32174</v>
      </c>
      <c r="C22" s="302" t="n">
        <v>121400</v>
      </c>
      <c r="D22" s="29" t="s">
        <v>41</v>
      </c>
      <c r="E22" s="33" t="n">
        <f aca="false">IF(D22="totale",(C22/(A22*24))/F22,IF(D22="marché libre",(C22/(A22*24))/G22,"spécifier histo"))</f>
        <v>0.140042451088963</v>
      </c>
      <c r="F22" s="59" t="n">
        <v>1290</v>
      </c>
      <c r="G22" s="59" t="n">
        <f aca="false">F22-H22</f>
        <v>1290</v>
      </c>
      <c r="H22" s="59" t="n">
        <v>0</v>
      </c>
      <c r="I22" s="9"/>
      <c r="J22" s="30"/>
    </row>
    <row r="23" customFormat="false" ht="20.95" hidden="false" customHeight="true" outlineLevel="0" collapsed="false">
      <c r="A23" s="1" t="n">
        <v>31</v>
      </c>
      <c r="B23" s="31" t="n">
        <v>32203</v>
      </c>
      <c r="C23" s="302" t="n">
        <v>171800</v>
      </c>
      <c r="D23" s="29" t="s">
        <v>41</v>
      </c>
      <c r="E23" s="33" t="n">
        <f aca="false">IF(D23="totale",(C23/(A23*24))/F23,IF(D23="marché libre",(C23/(A23*24))/G23,"spécifier histo"))</f>
        <v>0.179003084104359</v>
      </c>
      <c r="F23" s="59" t="n">
        <v>1290</v>
      </c>
      <c r="G23" s="59" t="n">
        <f aca="false">F23-H23</f>
        <v>1290</v>
      </c>
      <c r="H23" s="59" t="n">
        <v>0</v>
      </c>
      <c r="I23" s="9"/>
      <c r="J23" s="30"/>
    </row>
    <row r="24" customFormat="false" ht="20.95" hidden="false" customHeight="true" outlineLevel="0" collapsed="false">
      <c r="A24" s="1" t="n">
        <v>30</v>
      </c>
      <c r="B24" s="34" t="n">
        <v>32234</v>
      </c>
      <c r="C24" s="302" t="n">
        <v>340000</v>
      </c>
      <c r="D24" s="29" t="s">
        <v>41</v>
      </c>
      <c r="E24" s="33" t="n">
        <f aca="false">IF(D24="totale",(C24/(A24*24))/F24,IF(D24="marché libre",(C24/(A24*24))/G24,"spécifier histo"))</f>
        <v>0.366063738156761</v>
      </c>
      <c r="F24" s="59" t="n">
        <v>1290</v>
      </c>
      <c r="G24" s="59" t="n">
        <f aca="false">F24-H24</f>
        <v>1290</v>
      </c>
      <c r="H24" s="59" t="n">
        <v>0</v>
      </c>
      <c r="I24" s="9"/>
      <c r="J24" s="30"/>
    </row>
    <row r="25" customFormat="false" ht="20.95" hidden="false" customHeight="true" outlineLevel="0" collapsed="false">
      <c r="A25" s="1" t="n">
        <v>31</v>
      </c>
      <c r="B25" s="31" t="n">
        <v>32264</v>
      </c>
      <c r="C25" s="302" t="n">
        <v>396600</v>
      </c>
      <c r="D25" s="29" t="s">
        <v>41</v>
      </c>
      <c r="E25" s="33" t="n">
        <f aca="false">IF(D25="totale",(C25/(A25*24))/F25,IF(D25="marché libre",(C25/(A25*24))/G25,"spécifier histo"))</f>
        <v>0.413228307076769</v>
      </c>
      <c r="F25" s="59" t="n">
        <v>1290</v>
      </c>
      <c r="G25" s="59" t="n">
        <f aca="false">F25-H25</f>
        <v>1290</v>
      </c>
      <c r="H25" s="59" t="n">
        <v>0</v>
      </c>
      <c r="I25" s="9"/>
      <c r="J25" s="30"/>
    </row>
    <row r="26" customFormat="false" ht="20.95" hidden="false" customHeight="true" outlineLevel="0" collapsed="false">
      <c r="A26" s="1" t="n">
        <v>30</v>
      </c>
      <c r="B26" s="34" t="n">
        <v>32295</v>
      </c>
      <c r="C26" s="302" t="n">
        <v>380200</v>
      </c>
      <c r="D26" s="29" t="s">
        <v>41</v>
      </c>
      <c r="E26" s="33" t="n">
        <f aca="false">IF(D26="totale",(C26/(A26*24))/F26,IF(D26="marché libre",(C26/(A26*24))/G26,"spécifier histo"))</f>
        <v>0.409345391903531</v>
      </c>
      <c r="F26" s="59" t="n">
        <v>1290</v>
      </c>
      <c r="G26" s="59" t="n">
        <f aca="false">F26-H26</f>
        <v>1290</v>
      </c>
      <c r="H26" s="59" t="n">
        <v>0</v>
      </c>
      <c r="I26" s="9"/>
      <c r="J26" s="30"/>
    </row>
    <row r="27" customFormat="false" ht="20.95" hidden="false" customHeight="true" outlineLevel="0" collapsed="false">
      <c r="A27" s="1" t="n">
        <v>31</v>
      </c>
      <c r="B27" s="31" t="n">
        <v>32325</v>
      </c>
      <c r="C27" s="302" t="n">
        <v>463200</v>
      </c>
      <c r="D27" s="29" t="s">
        <v>41</v>
      </c>
      <c r="E27" s="33" t="n">
        <f aca="false">IF(D27="totale",(C27/(A27*24))/F27,IF(D27="marché libre",(C27/(A27*24))/G27,"spécifier histo"))</f>
        <v>0.482620655163791</v>
      </c>
      <c r="F27" s="59" t="n">
        <v>1290</v>
      </c>
      <c r="G27" s="59" t="n">
        <f aca="false">F27-H27</f>
        <v>1290</v>
      </c>
      <c r="H27" s="59" t="n">
        <v>0</v>
      </c>
      <c r="I27" s="9"/>
      <c r="J27" s="30"/>
    </row>
    <row r="28" customFormat="false" ht="20.95" hidden="false" customHeight="true" outlineLevel="0" collapsed="false">
      <c r="A28" s="1" t="n">
        <v>31</v>
      </c>
      <c r="B28" s="34" t="n">
        <v>32356</v>
      </c>
      <c r="C28" s="302" t="n">
        <v>425600</v>
      </c>
      <c r="D28" s="29" t="s">
        <v>41</v>
      </c>
      <c r="E28" s="33" t="n">
        <f aca="false">IF(D28="totale",(C28/(A28*24))/F28,IF(D28="marché libre",(C28/(A28*24))/G28,"spécifier histo"))</f>
        <v>0.443444194381929</v>
      </c>
      <c r="F28" s="59" t="n">
        <v>1290</v>
      </c>
      <c r="G28" s="59" t="n">
        <f aca="false">F28-H28</f>
        <v>1290</v>
      </c>
      <c r="H28" s="59" t="n">
        <v>0</v>
      </c>
      <c r="I28" s="9"/>
      <c r="J28" s="30"/>
    </row>
    <row r="29" customFormat="false" ht="20.95" hidden="false" customHeight="true" outlineLevel="0" collapsed="false">
      <c r="A29" s="1" t="n">
        <v>30</v>
      </c>
      <c r="B29" s="31" t="n">
        <v>32387</v>
      </c>
      <c r="C29" s="302" t="n">
        <v>345400</v>
      </c>
      <c r="D29" s="29" t="s">
        <v>41</v>
      </c>
      <c r="E29" s="33" t="n">
        <f aca="false">IF(D29="totale",(C29/(A29*24))/F29,IF(D29="marché libre",(C29/(A29*24))/G29,"spécifier histo"))</f>
        <v>0.371877691645133</v>
      </c>
      <c r="F29" s="59" t="n">
        <v>1290</v>
      </c>
      <c r="G29" s="59" t="n">
        <f aca="false">F29-H29</f>
        <v>1290</v>
      </c>
      <c r="H29" s="59" t="n">
        <v>0</v>
      </c>
      <c r="I29" s="9"/>
      <c r="J29" s="30"/>
    </row>
    <row r="30" customFormat="false" ht="20.95" hidden="false" customHeight="true" outlineLevel="0" collapsed="false">
      <c r="A30" s="1" t="n">
        <v>31</v>
      </c>
      <c r="B30" s="34" t="n">
        <v>32417</v>
      </c>
      <c r="C30" s="302" t="n">
        <v>679400</v>
      </c>
      <c r="D30" s="29" t="s">
        <v>41</v>
      </c>
      <c r="E30" s="33" t="n">
        <f aca="false">IF(D30="totale",(C30/(A30*24))/F30,IF(D30="marché libre",(C30/(A30*24))/G30,"spécifier histo"))</f>
        <v>0.707885304659498</v>
      </c>
      <c r="F30" s="59" t="n">
        <v>1290</v>
      </c>
      <c r="G30" s="59" t="n">
        <f aca="false">F30-H30</f>
        <v>1290</v>
      </c>
      <c r="H30" s="59" t="n">
        <v>0</v>
      </c>
      <c r="I30" s="9"/>
      <c r="J30" s="30"/>
    </row>
    <row r="31" customFormat="false" ht="20.95" hidden="false" customHeight="true" outlineLevel="0" collapsed="false">
      <c r="A31" s="1" t="n">
        <v>30</v>
      </c>
      <c r="B31" s="31" t="n">
        <v>32448</v>
      </c>
      <c r="C31" s="302" t="n">
        <v>220200</v>
      </c>
      <c r="D31" s="29" t="s">
        <v>41</v>
      </c>
      <c r="E31" s="33" t="n">
        <f aca="false">IF(D31="totale",(C31/(A31*24))/F31,IF(D31="marché libre",(C31/(A31*24))/G31,"spécifier histo"))</f>
        <v>0.237080103359173</v>
      </c>
      <c r="F31" s="59" t="n">
        <v>1290</v>
      </c>
      <c r="G31" s="59" t="n">
        <f aca="false">F31-H31</f>
        <v>1290</v>
      </c>
      <c r="H31" s="59" t="n">
        <v>0</v>
      </c>
      <c r="I31" s="9"/>
      <c r="J31" s="30"/>
    </row>
    <row r="32" customFormat="false" ht="20.95" hidden="false" customHeight="true" outlineLevel="0" collapsed="false">
      <c r="A32" s="1" t="n">
        <v>31</v>
      </c>
      <c r="B32" s="34" t="n">
        <v>32478</v>
      </c>
      <c r="C32" s="302" t="n">
        <v>103200</v>
      </c>
      <c r="D32" s="29" t="s">
        <v>41</v>
      </c>
      <c r="E32" s="33" t="n">
        <f aca="false">IF(D32="totale",(C32/(A32*24))/F32,IF(D32="marché libre",(C32/(A32*24))/G32,"spécifier histo"))</f>
        <v>0.10752688172043</v>
      </c>
      <c r="F32" s="59" t="n">
        <v>1290</v>
      </c>
      <c r="G32" s="59" t="n">
        <f aca="false">F32-H32</f>
        <v>1290</v>
      </c>
      <c r="H32" s="59" t="n">
        <v>0</v>
      </c>
      <c r="I32" s="9"/>
      <c r="J32" s="30"/>
    </row>
    <row r="33" customFormat="false" ht="20.95" hidden="false" customHeight="true" outlineLevel="0" collapsed="false">
      <c r="A33" s="1" t="n">
        <v>31</v>
      </c>
      <c r="B33" s="31" t="n">
        <v>32509</v>
      </c>
      <c r="C33" s="302" t="n">
        <v>57400</v>
      </c>
      <c r="D33" s="29" t="s">
        <v>41</v>
      </c>
      <c r="E33" s="33" t="n">
        <f aca="false">IF(D33="totale",(C33/(A33*24))/F33,IF(D33="marché libre",(C33/(A33*24))/G33,"spécifier histo"))</f>
        <v>0.059806618321247</v>
      </c>
      <c r="F33" s="59" t="n">
        <v>1290</v>
      </c>
      <c r="G33" s="59" t="n">
        <f aca="false">F33-H33</f>
        <v>1290</v>
      </c>
      <c r="H33" s="59" t="n">
        <v>0</v>
      </c>
      <c r="I33" s="9"/>
      <c r="J33" s="30"/>
    </row>
    <row r="34" customFormat="false" ht="20.95" hidden="false" customHeight="true" outlineLevel="0" collapsed="false">
      <c r="A34" s="1" t="n">
        <v>28</v>
      </c>
      <c r="B34" s="34" t="n">
        <v>32540</v>
      </c>
      <c r="C34" s="302" t="n">
        <v>27200</v>
      </c>
      <c r="D34" s="29" t="s">
        <v>41</v>
      </c>
      <c r="E34" s="33" t="n">
        <f aca="false">IF(D34="totale",(C34/(A34*24))/F34,IF(D34="marché libre",(C34/(A34*24))/G34,"spécifier histo"))</f>
        <v>0.0313768918420081</v>
      </c>
      <c r="F34" s="59" t="n">
        <v>1290</v>
      </c>
      <c r="G34" s="59" t="n">
        <f aca="false">F34-H34</f>
        <v>1290</v>
      </c>
      <c r="H34" s="59" t="n">
        <v>0</v>
      </c>
      <c r="I34" s="9"/>
      <c r="J34" s="30"/>
    </row>
    <row r="35" customFormat="false" ht="20.95" hidden="false" customHeight="true" outlineLevel="0" collapsed="false">
      <c r="A35" s="1" t="n">
        <v>31</v>
      </c>
      <c r="B35" s="31" t="n">
        <v>32568</v>
      </c>
      <c r="C35" s="302" t="n">
        <v>134200</v>
      </c>
      <c r="D35" s="29" t="s">
        <v>41</v>
      </c>
      <c r="E35" s="33" t="n">
        <f aca="false">IF(D35="totale",(C35/(A35*24))/F35,IF(D35="marché libre",(C35/(A35*24))/G35,"spécifier histo"))</f>
        <v>0.139826623322497</v>
      </c>
      <c r="F35" s="59" t="n">
        <v>1290</v>
      </c>
      <c r="G35" s="59" t="n">
        <f aca="false">F35-H35</f>
        <v>1290</v>
      </c>
      <c r="H35" s="59" t="n">
        <v>0</v>
      </c>
      <c r="I35" s="9"/>
      <c r="J35" s="30"/>
    </row>
    <row r="36" customFormat="false" ht="20.95" hidden="false" customHeight="true" outlineLevel="0" collapsed="false">
      <c r="A36" s="1" t="n">
        <v>30</v>
      </c>
      <c r="B36" s="34" t="n">
        <v>32599</v>
      </c>
      <c r="C36" s="302" t="n">
        <v>178800</v>
      </c>
      <c r="D36" s="29" t="s">
        <v>41</v>
      </c>
      <c r="E36" s="33" t="n">
        <f aca="false">IF(D36="totale",(C36/(A36*24))/F36,IF(D36="marché libre",(C36/(A36*24))/G36,"spécifier histo"))</f>
        <v>0.19250645994832</v>
      </c>
      <c r="F36" s="59" t="n">
        <v>1290</v>
      </c>
      <c r="G36" s="59" t="n">
        <f aca="false">F36-H36</f>
        <v>1290</v>
      </c>
      <c r="H36" s="59" t="n">
        <v>0</v>
      </c>
      <c r="I36" s="9"/>
      <c r="J36" s="30"/>
    </row>
    <row r="37" customFormat="false" ht="20.95" hidden="false" customHeight="true" outlineLevel="0" collapsed="false">
      <c r="A37" s="1" t="n">
        <v>31</v>
      </c>
      <c r="B37" s="31" t="n">
        <v>32629</v>
      </c>
      <c r="C37" s="302" t="n">
        <v>456800</v>
      </c>
      <c r="D37" s="29" t="s">
        <v>41</v>
      </c>
      <c r="E37" s="33" t="n">
        <f aca="false">IF(D37="totale",(C37/(A37*24))/F37,IF(D37="marché libre",(C37/(A37*24))/G37,"spécifier histo"))</f>
        <v>0.475952321413687</v>
      </c>
      <c r="F37" s="59" t="n">
        <v>1290</v>
      </c>
      <c r="G37" s="59" t="n">
        <f aca="false">F37-H37</f>
        <v>1290</v>
      </c>
      <c r="H37" s="59" t="n">
        <v>0</v>
      </c>
      <c r="I37" s="9"/>
      <c r="J37" s="30"/>
    </row>
    <row r="38" customFormat="false" ht="20.95" hidden="false" customHeight="true" outlineLevel="0" collapsed="false">
      <c r="A38" s="1" t="n">
        <v>30</v>
      </c>
      <c r="B38" s="34" t="n">
        <v>32660</v>
      </c>
      <c r="C38" s="302" t="n">
        <v>425200</v>
      </c>
      <c r="D38" s="29" t="s">
        <v>41</v>
      </c>
      <c r="E38" s="33" t="n">
        <f aca="false">IF(D38="totale",(C38/(A38*24))/F38,IF(D38="marché libre",(C38/(A38*24))/G38,"spécifier histo"))</f>
        <v>0.457795004306632</v>
      </c>
      <c r="F38" s="59" t="n">
        <v>1290</v>
      </c>
      <c r="G38" s="59" t="n">
        <f aca="false">F38-H38</f>
        <v>1290</v>
      </c>
      <c r="H38" s="59" t="n">
        <v>0</v>
      </c>
      <c r="I38" s="9"/>
      <c r="J38" s="30"/>
    </row>
    <row r="39" customFormat="false" ht="20.95" hidden="false" customHeight="true" outlineLevel="0" collapsed="false">
      <c r="A39" s="1" t="n">
        <v>31</v>
      </c>
      <c r="B39" s="31" t="n">
        <v>32690</v>
      </c>
      <c r="C39" s="302" t="n">
        <v>226000</v>
      </c>
      <c r="D39" s="29" t="s">
        <v>41</v>
      </c>
      <c r="E39" s="33" t="n">
        <f aca="false">IF(D39="totale",(C39/(A39*24))/F39,IF(D39="marché libre",(C39/(A39*24))/G39,"spécifier histo"))</f>
        <v>0.235475535550554</v>
      </c>
      <c r="F39" s="59" t="n">
        <v>1290</v>
      </c>
      <c r="G39" s="59" t="n">
        <f aca="false">F39-H39</f>
        <v>1290</v>
      </c>
      <c r="H39" s="59" t="n">
        <v>0</v>
      </c>
      <c r="I39" s="9"/>
      <c r="J39" s="30"/>
    </row>
    <row r="40" customFormat="false" ht="20.95" hidden="false" customHeight="true" outlineLevel="0" collapsed="false">
      <c r="A40" s="1" t="n">
        <v>31</v>
      </c>
      <c r="B40" s="34" t="n">
        <v>32721</v>
      </c>
      <c r="C40" s="302" t="n">
        <v>134000</v>
      </c>
      <c r="D40" s="29" t="s">
        <v>41</v>
      </c>
      <c r="E40" s="33" t="n">
        <f aca="false">IF(D40="totale",(C40/(A40*24))/F40,IF(D40="marché libre",(C40/(A40*24))/G40,"spécifier histo"))</f>
        <v>0.139618237892807</v>
      </c>
      <c r="F40" s="59" t="n">
        <v>1290</v>
      </c>
      <c r="G40" s="59" t="n">
        <f aca="false">F40-H40</f>
        <v>1290</v>
      </c>
      <c r="H40" s="59" t="n">
        <v>0</v>
      </c>
      <c r="I40" s="9"/>
      <c r="J40" s="30"/>
    </row>
    <row r="41" customFormat="false" ht="20.95" hidden="false" customHeight="true" outlineLevel="0" collapsed="false">
      <c r="A41" s="1" t="n">
        <v>30</v>
      </c>
      <c r="B41" s="31" t="n">
        <v>32752</v>
      </c>
      <c r="C41" s="302" t="n">
        <v>33400</v>
      </c>
      <c r="D41" s="29" t="s">
        <v>41</v>
      </c>
      <c r="E41" s="33" t="n">
        <f aca="false">IF(D41="totale",(C41/(A41*24))/F41,IF(D41="marché libre",(C41/(A41*24))/G41,"spécifier histo"))</f>
        <v>0.0359603789836348</v>
      </c>
      <c r="F41" s="59" t="n">
        <v>1290</v>
      </c>
      <c r="G41" s="59" t="n">
        <f aca="false">F41-H41</f>
        <v>1290</v>
      </c>
      <c r="H41" s="59" t="n">
        <v>0</v>
      </c>
      <c r="I41" s="9"/>
      <c r="J41" s="30"/>
    </row>
    <row r="42" customFormat="false" ht="20.95" hidden="false" customHeight="true" outlineLevel="0" collapsed="false">
      <c r="A42" s="1" t="n">
        <v>31</v>
      </c>
      <c r="B42" s="34" t="n">
        <v>32782</v>
      </c>
      <c r="C42" s="302" t="n">
        <v>6800</v>
      </c>
      <c r="D42" s="29" t="s">
        <v>41</v>
      </c>
      <c r="E42" s="33" t="n">
        <f aca="false">IF(D42="totale",(C42/(A42*24))/F42,IF(D42="marché libre",(C42/(A42*24))/G42,"spécifier histo"))</f>
        <v>0.00708510460948571</v>
      </c>
      <c r="F42" s="59" t="n">
        <v>1290</v>
      </c>
      <c r="G42" s="59" t="n">
        <f aca="false">F42-H42</f>
        <v>1290</v>
      </c>
      <c r="H42" s="59" t="n">
        <v>0</v>
      </c>
      <c r="I42" s="9"/>
      <c r="J42" s="30"/>
    </row>
    <row r="43" customFormat="false" ht="20.95" hidden="false" customHeight="true" outlineLevel="0" collapsed="false">
      <c r="A43" s="1" t="n">
        <v>30</v>
      </c>
      <c r="B43" s="31" t="n">
        <v>32813</v>
      </c>
      <c r="C43" s="302" t="n">
        <v>36400</v>
      </c>
      <c r="D43" s="29" t="s">
        <v>41</v>
      </c>
      <c r="E43" s="33" t="n">
        <f aca="false">IF(D43="totale",(C43/(A43*24))/F43,IF(D43="marché libre",(C43/(A43*24))/G43,"spécifier histo"))</f>
        <v>0.0391903531438415</v>
      </c>
      <c r="F43" s="59" t="n">
        <v>1290</v>
      </c>
      <c r="G43" s="59" t="n">
        <f aca="false">F43-H43</f>
        <v>1290</v>
      </c>
      <c r="H43" s="59" t="n">
        <v>0</v>
      </c>
      <c r="I43" s="9"/>
      <c r="J43" s="30"/>
    </row>
    <row r="44" customFormat="false" ht="20.95" hidden="false" customHeight="true" outlineLevel="0" collapsed="false">
      <c r="A44" s="1" t="n">
        <v>31</v>
      </c>
      <c r="B44" s="34" t="n">
        <v>32843</v>
      </c>
      <c r="C44" s="302" t="n">
        <v>72000</v>
      </c>
      <c r="D44" s="29" t="s">
        <v>41</v>
      </c>
      <c r="E44" s="33" t="n">
        <f aca="false">IF(D44="totale",(C44/(A44*24))/F44,IF(D44="marché libre",(C44/(A44*24))/G44,"spécifier histo"))</f>
        <v>0.0750187546886722</v>
      </c>
      <c r="F44" s="59" t="n">
        <v>1290</v>
      </c>
      <c r="G44" s="59" t="n">
        <f aca="false">F44-H44</f>
        <v>1290</v>
      </c>
      <c r="H44" s="59" t="n">
        <v>0</v>
      </c>
      <c r="I44" s="9"/>
      <c r="J44" s="30"/>
    </row>
    <row r="45" customFormat="false" ht="20.95" hidden="false" customHeight="true" outlineLevel="0" collapsed="false">
      <c r="A45" s="1" t="n">
        <v>31</v>
      </c>
      <c r="B45" s="31" t="n">
        <v>32874</v>
      </c>
      <c r="C45" s="302" t="n">
        <v>60200</v>
      </c>
      <c r="D45" s="29" t="s">
        <v>41</v>
      </c>
      <c r="E45" s="33" t="n">
        <f aca="false">IF(D45="totale",(C45/(A45*24))/F45,IF(D45="marché libre",(C45/(A45*24))/G45,"spécifier histo"))</f>
        <v>0.0627240143369176</v>
      </c>
      <c r="F45" s="59" t="n">
        <v>1290</v>
      </c>
      <c r="G45" s="59" t="n">
        <f aca="false">F45-H45</f>
        <v>1290</v>
      </c>
      <c r="H45" s="59" t="n">
        <v>0</v>
      </c>
      <c r="I45" s="9"/>
      <c r="J45" s="30"/>
    </row>
    <row r="46" customFormat="false" ht="20.95" hidden="false" customHeight="true" outlineLevel="0" collapsed="false">
      <c r="A46" s="1" t="n">
        <v>28</v>
      </c>
      <c r="B46" s="34" t="n">
        <v>32905</v>
      </c>
      <c r="C46" s="302" t="n">
        <v>61800</v>
      </c>
      <c r="D46" s="29" t="s">
        <v>41</v>
      </c>
      <c r="E46" s="33" t="n">
        <f aca="false">IF(D46="totale",(C46/(A46*24))/F46,IF(D46="marché libre",(C46/(A46*24))/G46,"spécifier histo"))</f>
        <v>0.0712901439645626</v>
      </c>
      <c r="F46" s="59" t="n">
        <v>1290</v>
      </c>
      <c r="G46" s="59" t="n">
        <f aca="false">F46-H46</f>
        <v>1290</v>
      </c>
      <c r="H46" s="59" t="n">
        <v>0</v>
      </c>
      <c r="I46" s="9"/>
      <c r="J46" s="30"/>
    </row>
    <row r="47" customFormat="false" ht="20.95" hidden="false" customHeight="true" outlineLevel="0" collapsed="false">
      <c r="A47" s="1" t="n">
        <v>31</v>
      </c>
      <c r="B47" s="31" t="n">
        <v>32933</v>
      </c>
      <c r="C47" s="302" t="n">
        <v>223800</v>
      </c>
      <c r="D47" s="29" t="s">
        <v>41</v>
      </c>
      <c r="E47" s="33" t="n">
        <f aca="false">IF(D47="totale",(C47/(A47*24))/F47,IF(D47="marché libre",(C47/(A47*24))/G47,"spécifier histo"))</f>
        <v>0.233183295823956</v>
      </c>
      <c r="F47" s="59" t="n">
        <v>1290</v>
      </c>
      <c r="G47" s="59" t="n">
        <f aca="false">F47-H47</f>
        <v>1290</v>
      </c>
      <c r="H47" s="59" t="n">
        <v>0</v>
      </c>
      <c r="I47" s="9"/>
      <c r="J47" s="30"/>
    </row>
    <row r="48" customFormat="false" ht="20.95" hidden="false" customHeight="true" outlineLevel="0" collapsed="false">
      <c r="A48" s="1" t="n">
        <v>30</v>
      </c>
      <c r="B48" s="34" t="n">
        <v>32964</v>
      </c>
      <c r="C48" s="302" t="n">
        <v>204600</v>
      </c>
      <c r="D48" s="29" t="s">
        <v>41</v>
      </c>
      <c r="E48" s="33" t="n">
        <f aca="false">IF(D48="totale",(C48/(A48*24))/F48,IF(D48="marché libre",(C48/(A48*24))/G48,"spécifier histo"))</f>
        <v>0.220284237726098</v>
      </c>
      <c r="F48" s="59" t="n">
        <v>1290</v>
      </c>
      <c r="G48" s="59" t="n">
        <f aca="false">F48-H48</f>
        <v>1290</v>
      </c>
      <c r="H48" s="59" t="n">
        <v>0</v>
      </c>
      <c r="I48" s="9"/>
      <c r="J48" s="30"/>
    </row>
    <row r="49" customFormat="false" ht="20.95" hidden="false" customHeight="true" outlineLevel="0" collapsed="false">
      <c r="A49" s="1" t="n">
        <v>31</v>
      </c>
      <c r="B49" s="31" t="n">
        <v>32994</v>
      </c>
      <c r="C49" s="302" t="n">
        <v>767200</v>
      </c>
      <c r="D49" s="29" t="s">
        <v>41</v>
      </c>
      <c r="E49" s="33" t="n">
        <f aca="false">IF(D49="totale",(C49/(A49*24))/F49,IF(D49="marché libre",(C49/(A49*24))/G49,"spécifier histo"))</f>
        <v>0.79936650829374</v>
      </c>
      <c r="F49" s="59" t="n">
        <v>1290</v>
      </c>
      <c r="G49" s="59" t="n">
        <f aca="false">F49-H49</f>
        <v>1290</v>
      </c>
      <c r="H49" s="59" t="n">
        <v>0</v>
      </c>
      <c r="I49" s="9"/>
      <c r="J49" s="30"/>
    </row>
    <row r="50" customFormat="false" ht="20.95" hidden="false" customHeight="true" outlineLevel="0" collapsed="false">
      <c r="A50" s="1" t="n">
        <v>30</v>
      </c>
      <c r="B50" s="34" t="n">
        <v>33025</v>
      </c>
      <c r="C50" s="302" t="n">
        <v>340800</v>
      </c>
      <c r="D50" s="29" t="s">
        <v>41</v>
      </c>
      <c r="E50" s="33" t="n">
        <f aca="false">IF(D50="totale",(C50/(A50*24))/F50,IF(D50="marché libre",(C50/(A50*24))/G50,"spécifier histo"))</f>
        <v>0.366925064599483</v>
      </c>
      <c r="F50" s="59" t="n">
        <v>1290</v>
      </c>
      <c r="G50" s="59" t="n">
        <f aca="false">F50-H50</f>
        <v>1290</v>
      </c>
      <c r="H50" s="59" t="n">
        <v>0</v>
      </c>
      <c r="I50" s="9"/>
      <c r="J50" s="30"/>
    </row>
    <row r="51" customFormat="false" ht="20.95" hidden="false" customHeight="true" outlineLevel="0" collapsed="false">
      <c r="A51" s="1" t="n">
        <v>31</v>
      </c>
      <c r="B51" s="31" t="n">
        <v>33055</v>
      </c>
      <c r="C51" s="302" t="n">
        <v>184600</v>
      </c>
      <c r="D51" s="29" t="s">
        <v>41</v>
      </c>
      <c r="E51" s="33" t="n">
        <f aca="false">IF(D51="totale",(C51/(A51*24))/F51,IF(D51="marché libre",(C51/(A51*24))/G51,"spécifier histo"))</f>
        <v>0.192339751604568</v>
      </c>
      <c r="F51" s="59" t="n">
        <v>1290</v>
      </c>
      <c r="G51" s="59" t="n">
        <f aca="false">F51-H51</f>
        <v>1290</v>
      </c>
      <c r="H51" s="59" t="n">
        <v>0</v>
      </c>
      <c r="I51" s="9"/>
      <c r="J51" s="30"/>
    </row>
    <row r="52" customFormat="false" ht="20.95" hidden="false" customHeight="true" outlineLevel="0" collapsed="false">
      <c r="A52" s="1" t="n">
        <v>31</v>
      </c>
      <c r="B52" s="34" t="n">
        <v>33086</v>
      </c>
      <c r="C52" s="302" t="n">
        <v>100400</v>
      </c>
      <c r="D52" s="29" t="s">
        <v>41</v>
      </c>
      <c r="E52" s="33" t="n">
        <f aca="false">IF(D52="totale",(C52/(A52*24))/F52,IF(D52="marché libre",(C52/(A52*24))/G52,"spécifier histo"))</f>
        <v>0.10460948570476</v>
      </c>
      <c r="F52" s="59" t="n">
        <v>1290</v>
      </c>
      <c r="G52" s="59" t="n">
        <f aca="false">F52-H52</f>
        <v>1290</v>
      </c>
      <c r="H52" s="59" t="n">
        <v>0</v>
      </c>
      <c r="I52" s="9"/>
      <c r="J52" s="30"/>
    </row>
    <row r="53" customFormat="false" ht="20.95" hidden="false" customHeight="true" outlineLevel="0" collapsed="false">
      <c r="A53" s="1" t="n">
        <v>30</v>
      </c>
      <c r="B53" s="31" t="n">
        <v>33117</v>
      </c>
      <c r="C53" s="302" t="n">
        <v>61200</v>
      </c>
      <c r="D53" s="29" t="s">
        <v>41</v>
      </c>
      <c r="E53" s="33" t="n">
        <f aca="false">IF(D53="totale",(C53/(A53*24))/F53,IF(D53="marché libre",(C53/(A53*24))/G53,"spécifier histo"))</f>
        <v>0.0658914728682171</v>
      </c>
      <c r="F53" s="59" t="n">
        <v>1290</v>
      </c>
      <c r="G53" s="59" t="n">
        <f aca="false">F53-H53</f>
        <v>1290</v>
      </c>
      <c r="H53" s="59" t="n">
        <v>0</v>
      </c>
      <c r="I53" s="9"/>
      <c r="J53" s="30"/>
    </row>
    <row r="54" customFormat="false" ht="20.95" hidden="false" customHeight="true" outlineLevel="0" collapsed="false">
      <c r="A54" s="1" t="n">
        <v>31</v>
      </c>
      <c r="B54" s="34" t="n">
        <v>33147</v>
      </c>
      <c r="C54" s="302" t="n">
        <v>243200</v>
      </c>
      <c r="D54" s="29" t="s">
        <v>41</v>
      </c>
      <c r="E54" s="33" t="n">
        <f aca="false">IF(D54="totale",(C54/(A54*24))/F54,IF(D54="marché libre",(C54/(A54*24))/G54,"spécifier histo"))</f>
        <v>0.253396682503959</v>
      </c>
      <c r="F54" s="59" t="n">
        <v>1290</v>
      </c>
      <c r="G54" s="59" t="n">
        <f aca="false">F54-H54</f>
        <v>1290</v>
      </c>
      <c r="H54" s="59" t="n">
        <v>0</v>
      </c>
      <c r="I54" s="9"/>
      <c r="J54" s="30"/>
    </row>
    <row r="55" customFormat="false" ht="20.95" hidden="false" customHeight="true" outlineLevel="0" collapsed="false">
      <c r="A55" s="1" t="n">
        <v>30</v>
      </c>
      <c r="B55" s="31" t="n">
        <v>33178</v>
      </c>
      <c r="C55" s="302" t="n">
        <v>382800</v>
      </c>
      <c r="D55" s="29" t="s">
        <v>41</v>
      </c>
      <c r="E55" s="33" t="n">
        <f aca="false">IF(D55="totale",(C55/(A55*24))/F55,IF(D55="marché libre",(C55/(A55*24))/G55,"spécifier histo"))</f>
        <v>0.412144702842377</v>
      </c>
      <c r="F55" s="59" t="n">
        <v>1290</v>
      </c>
      <c r="G55" s="59" t="n">
        <f aca="false">F55-H55</f>
        <v>1290</v>
      </c>
      <c r="H55" s="59" t="n">
        <v>0</v>
      </c>
      <c r="I55" s="9"/>
      <c r="J55" s="30"/>
    </row>
    <row r="56" customFormat="false" ht="20.95" hidden="false" customHeight="true" outlineLevel="0" collapsed="false">
      <c r="A56" s="1" t="n">
        <v>31</v>
      </c>
      <c r="B56" s="34" t="n">
        <v>33208</v>
      </c>
      <c r="C56" s="302" t="n">
        <v>183200</v>
      </c>
      <c r="D56" s="29" t="s">
        <v>41</v>
      </c>
      <c r="E56" s="33" t="n">
        <f aca="false">IF(D56="totale",(C56/(A56*24))/F56,IF(D56="marché libre",(C56/(A56*24))/G56,"spécifier histo"))</f>
        <v>0.190881053596733</v>
      </c>
      <c r="F56" s="59" t="n">
        <v>1290</v>
      </c>
      <c r="G56" s="59" t="n">
        <f aca="false">F56-H56</f>
        <v>1290</v>
      </c>
      <c r="H56" s="59" t="n">
        <v>0</v>
      </c>
      <c r="I56" s="9"/>
      <c r="J56" s="30"/>
    </row>
    <row r="57" customFormat="false" ht="20.95" hidden="false" customHeight="true" outlineLevel="0" collapsed="false">
      <c r="A57" s="1" t="n">
        <v>31</v>
      </c>
      <c r="B57" s="31" t="n">
        <v>33239</v>
      </c>
      <c r="C57" s="302" t="n">
        <v>131000</v>
      </c>
      <c r="D57" s="29" t="s">
        <v>41</v>
      </c>
      <c r="E57" s="33" t="n">
        <f aca="false">IF(D57="totale",(C57/(A57*24))/F57,IF(D57="marché libre",(C57/(A57*24))/G57,"spécifier histo"))</f>
        <v>0.136492456447445</v>
      </c>
      <c r="F57" s="59" t="n">
        <v>1290</v>
      </c>
      <c r="G57" s="59" t="n">
        <f aca="false">F57-H57</f>
        <v>1290</v>
      </c>
      <c r="H57" s="59" t="n">
        <v>0</v>
      </c>
      <c r="I57" s="9"/>
      <c r="J57" s="30"/>
    </row>
    <row r="58" customFormat="false" ht="20.95" hidden="false" customHeight="true" outlineLevel="0" collapsed="false">
      <c r="A58" s="1" t="n">
        <v>28</v>
      </c>
      <c r="B58" s="34" t="n">
        <v>33270</v>
      </c>
      <c r="C58" s="302" t="n">
        <v>77200</v>
      </c>
      <c r="D58" s="29" t="s">
        <v>41</v>
      </c>
      <c r="E58" s="33" t="n">
        <f aca="false">IF(D58="totale",(C58/(A58*24))/F58,IF(D58="marché libre",(C58/(A58*24))/G58,"spécifier histo"))</f>
        <v>0.0890550018456995</v>
      </c>
      <c r="F58" s="59" t="n">
        <v>1290</v>
      </c>
      <c r="G58" s="59" t="n">
        <f aca="false">F58-H58</f>
        <v>1290</v>
      </c>
      <c r="H58" s="59" t="n">
        <v>0</v>
      </c>
      <c r="I58" s="9"/>
      <c r="J58" s="30"/>
    </row>
    <row r="59" customFormat="false" ht="20.95" hidden="false" customHeight="true" outlineLevel="0" collapsed="false">
      <c r="A59" s="1" t="n">
        <v>31</v>
      </c>
      <c r="B59" s="31" t="n">
        <v>33298</v>
      </c>
      <c r="C59" s="302" t="n">
        <v>285200</v>
      </c>
      <c r="D59" s="29" t="s">
        <v>41</v>
      </c>
      <c r="E59" s="33" t="n">
        <f aca="false">IF(D59="totale",(C59/(A59*24))/F59,IF(D59="marché libre",(C59/(A59*24))/G59,"spécifier histo"))</f>
        <v>0.297157622739018</v>
      </c>
      <c r="F59" s="59" t="n">
        <v>1290</v>
      </c>
      <c r="G59" s="59" t="n">
        <f aca="false">F59-H59</f>
        <v>1290</v>
      </c>
      <c r="H59" s="59" t="n">
        <v>0</v>
      </c>
      <c r="I59" s="9"/>
      <c r="J59" s="30"/>
    </row>
    <row r="60" customFormat="false" ht="20.95" hidden="false" customHeight="true" outlineLevel="0" collapsed="false">
      <c r="A60" s="1" t="n">
        <v>30</v>
      </c>
      <c r="B60" s="34" t="n">
        <v>33329</v>
      </c>
      <c r="C60" s="302" t="n">
        <v>473400</v>
      </c>
      <c r="D60" s="29" t="s">
        <v>41</v>
      </c>
      <c r="E60" s="33" t="n">
        <f aca="false">IF(D60="totale",(C60/(A60*24))/F60,IF(D60="marché libre",(C60/(A60*24))/G60,"spécifier histo"))</f>
        <v>0.50968992248062</v>
      </c>
      <c r="F60" s="59" t="n">
        <v>1290</v>
      </c>
      <c r="G60" s="59" t="n">
        <f aca="false">F60-H60</f>
        <v>1290</v>
      </c>
      <c r="H60" s="59" t="n">
        <v>0</v>
      </c>
      <c r="I60" s="9"/>
      <c r="J60" s="30"/>
    </row>
    <row r="61" customFormat="false" ht="20.95" hidden="false" customHeight="true" outlineLevel="0" collapsed="false">
      <c r="A61" s="1" t="n">
        <v>31</v>
      </c>
      <c r="B61" s="31" t="n">
        <v>33359</v>
      </c>
      <c r="C61" s="302" t="n">
        <v>618800</v>
      </c>
      <c r="D61" s="29" t="s">
        <v>41</v>
      </c>
      <c r="E61" s="33" t="n">
        <f aca="false">IF(D61="totale",(C61/(A61*24))/F61,IF(D61="marché libre",(C61/(A61*24))/G61,"spécifier histo"))</f>
        <v>0.644744519463199</v>
      </c>
      <c r="F61" s="59" t="n">
        <v>1290</v>
      </c>
      <c r="G61" s="59" t="n">
        <f aca="false">F61-H61</f>
        <v>1290</v>
      </c>
      <c r="H61" s="59" t="n">
        <v>0</v>
      </c>
      <c r="I61" s="9"/>
      <c r="J61" s="30"/>
    </row>
    <row r="62" customFormat="false" ht="20.95" hidden="false" customHeight="true" outlineLevel="0" collapsed="false">
      <c r="A62" s="1" t="n">
        <v>30</v>
      </c>
      <c r="B62" s="34" t="n">
        <v>33390</v>
      </c>
      <c r="C62" s="302" t="n">
        <v>518200</v>
      </c>
      <c r="D62" s="29" t="s">
        <v>41</v>
      </c>
      <c r="E62" s="33" t="n">
        <f aca="false">IF(D62="totale",(C62/(A62*24))/F62,IF(D62="marché libre",(C62/(A62*24))/G62,"spécifier histo"))</f>
        <v>0.557924203273041</v>
      </c>
      <c r="F62" s="59" t="n">
        <v>1290</v>
      </c>
      <c r="G62" s="59" t="n">
        <f aca="false">F62-H62</f>
        <v>1290</v>
      </c>
      <c r="H62" s="59" t="n">
        <v>0</v>
      </c>
      <c r="I62" s="9"/>
      <c r="J62" s="30"/>
    </row>
    <row r="63" customFormat="false" ht="20.95" hidden="false" customHeight="true" outlineLevel="0" collapsed="false">
      <c r="A63" s="1" t="n">
        <v>31</v>
      </c>
      <c r="B63" s="31" t="n">
        <v>33420</v>
      </c>
      <c r="C63" s="302" t="n">
        <v>254000</v>
      </c>
      <c r="D63" s="29" t="s">
        <v>41</v>
      </c>
      <c r="E63" s="33" t="n">
        <f aca="false">IF(D63="totale",(C63/(A63*24))/F63,IF(D63="marché libre",(C63/(A63*24))/G63,"spécifier histo"))</f>
        <v>0.26464949570726</v>
      </c>
      <c r="F63" s="59" t="n">
        <v>1290</v>
      </c>
      <c r="G63" s="59" t="n">
        <f aca="false">F63-H63</f>
        <v>1290</v>
      </c>
      <c r="H63" s="59" t="n">
        <v>0</v>
      </c>
      <c r="I63" s="9"/>
      <c r="J63" s="30"/>
    </row>
    <row r="64" customFormat="false" ht="20.95" hidden="false" customHeight="true" outlineLevel="0" collapsed="false">
      <c r="A64" s="1" t="n">
        <v>31</v>
      </c>
      <c r="B64" s="34" t="n">
        <v>33451</v>
      </c>
      <c r="C64" s="302" t="n">
        <v>109200</v>
      </c>
      <c r="D64" s="29" t="s">
        <v>41</v>
      </c>
      <c r="E64" s="33" t="n">
        <f aca="false">IF(D64="totale",(C64/(A64*24))/F64,IF(D64="marché libre",(C64/(A64*24))/G64,"spécifier histo"))</f>
        <v>0.113778444611153</v>
      </c>
      <c r="F64" s="59" t="n">
        <v>1290</v>
      </c>
      <c r="G64" s="59" t="n">
        <f aca="false">F64-H64</f>
        <v>1290</v>
      </c>
      <c r="H64" s="59" t="n">
        <v>0</v>
      </c>
      <c r="I64" s="9"/>
      <c r="J64" s="30"/>
    </row>
    <row r="65" customFormat="false" ht="20.95" hidden="false" customHeight="true" outlineLevel="0" collapsed="false">
      <c r="A65" s="1" t="n">
        <v>30</v>
      </c>
      <c r="B65" s="31" t="n">
        <v>33482</v>
      </c>
      <c r="C65" s="302" t="n">
        <v>73200</v>
      </c>
      <c r="D65" s="29" t="s">
        <v>41</v>
      </c>
      <c r="E65" s="33" t="n">
        <f aca="false">IF(D65="totale",(C65/(A65*24))/F65,IF(D65="marché libre",(C65/(A65*24))/G65,"spécifier histo"))</f>
        <v>0.0788113695090439</v>
      </c>
      <c r="F65" s="59" t="n">
        <v>1290</v>
      </c>
      <c r="G65" s="59" t="n">
        <f aca="false">F65-H65</f>
        <v>1290</v>
      </c>
      <c r="H65" s="59" t="n">
        <v>0</v>
      </c>
      <c r="I65" s="9"/>
      <c r="J65" s="30"/>
    </row>
    <row r="66" customFormat="false" ht="20.95" hidden="false" customHeight="true" outlineLevel="0" collapsed="false">
      <c r="A66" s="1" t="n">
        <v>31</v>
      </c>
      <c r="B66" s="34" t="n">
        <v>33512</v>
      </c>
      <c r="C66" s="302" t="n">
        <v>470200</v>
      </c>
      <c r="D66" s="29" t="s">
        <v>41</v>
      </c>
      <c r="E66" s="33" t="n">
        <f aca="false">IF(D66="totale",(C66/(A66*24))/F66,IF(D66="marché libre",(C66/(A66*24))/G66,"spécifier histo"))</f>
        <v>0.489914145202967</v>
      </c>
      <c r="F66" s="59" t="n">
        <v>1290</v>
      </c>
      <c r="G66" s="59" t="n">
        <f aca="false">F66-H66</f>
        <v>1290</v>
      </c>
      <c r="H66" s="59" t="n">
        <v>0</v>
      </c>
      <c r="I66" s="9"/>
      <c r="J66" s="30"/>
    </row>
    <row r="67" customFormat="false" ht="20.95" hidden="false" customHeight="true" outlineLevel="0" collapsed="false">
      <c r="A67" s="1" t="n">
        <v>30</v>
      </c>
      <c r="B67" s="31" t="n">
        <v>33543</v>
      </c>
      <c r="C67" s="302" t="n">
        <v>362000</v>
      </c>
      <c r="D67" s="29" t="s">
        <v>41</v>
      </c>
      <c r="E67" s="33" t="n">
        <f aca="false">IF(D67="totale",(C67/(A67*24))/F67,IF(D67="marché libre",(C67/(A67*24))/G67,"spécifier histo"))</f>
        <v>0.389750215331611</v>
      </c>
      <c r="F67" s="59" t="n">
        <v>1290</v>
      </c>
      <c r="G67" s="59" t="n">
        <f aca="false">F67-H67</f>
        <v>1290</v>
      </c>
      <c r="H67" s="59" t="n">
        <v>0</v>
      </c>
      <c r="I67" s="9"/>
      <c r="J67" s="30"/>
    </row>
    <row r="68" customFormat="false" ht="20.95" hidden="false" customHeight="true" outlineLevel="0" collapsed="false">
      <c r="A68" s="1" t="n">
        <v>31</v>
      </c>
      <c r="B68" s="34" t="n">
        <v>33573</v>
      </c>
      <c r="C68" s="302" t="n">
        <v>121600</v>
      </c>
      <c r="D68" s="29" t="s">
        <v>41</v>
      </c>
      <c r="E68" s="33" t="n">
        <f aca="false">IF(D68="totale",(C68/(A68*24))/F68,IF(D68="marché libre",(C68/(A68*24))/G68,"spécifier histo"))</f>
        <v>0.12669834125198</v>
      </c>
      <c r="F68" s="59" t="n">
        <v>1290</v>
      </c>
      <c r="G68" s="59" t="n">
        <f aca="false">F68-H68</f>
        <v>1290</v>
      </c>
      <c r="H68" s="59" t="n">
        <v>0</v>
      </c>
      <c r="I68" s="9"/>
      <c r="J68" s="30"/>
    </row>
    <row r="69" customFormat="false" ht="20.95" hidden="false" customHeight="true" outlineLevel="0" collapsed="false">
      <c r="A69" s="1" t="n">
        <v>31</v>
      </c>
      <c r="B69" s="31" t="n">
        <v>33604</v>
      </c>
      <c r="C69" s="302" t="n">
        <v>48000</v>
      </c>
      <c r="D69" s="29" t="s">
        <v>41</v>
      </c>
      <c r="E69" s="33" t="n">
        <f aca="false">IF(D69="totale",(C69/(A69*24))/F69,IF(D69="marché libre",(C69/(A69*24))/G69,"spécifier histo"))</f>
        <v>0.0500125031257814</v>
      </c>
      <c r="F69" s="59" t="n">
        <v>1290</v>
      </c>
      <c r="G69" s="59" t="n">
        <f aca="false">F69-H69</f>
        <v>1290</v>
      </c>
      <c r="H69" s="59" t="n">
        <v>0</v>
      </c>
      <c r="I69" s="9"/>
      <c r="J69" s="30"/>
    </row>
    <row r="70" customFormat="false" ht="20.95" hidden="false" customHeight="true" outlineLevel="0" collapsed="false">
      <c r="A70" s="1" t="n">
        <v>28</v>
      </c>
      <c r="B70" s="34" t="n">
        <v>33635</v>
      </c>
      <c r="C70" s="302" t="n">
        <v>45000</v>
      </c>
      <c r="D70" s="29" t="s">
        <v>41</v>
      </c>
      <c r="E70" s="33" t="n">
        <f aca="false">IF(D70="totale",(C70/(A70*24))/F70,IF(D70="marché libre",(C70/(A70*24))/G70,"spécifier histo"))</f>
        <v>0.0519102990033223</v>
      </c>
      <c r="F70" s="59" t="n">
        <v>1290</v>
      </c>
      <c r="G70" s="59" t="n">
        <f aca="false">F70-H70</f>
        <v>1290</v>
      </c>
      <c r="H70" s="59" t="n">
        <v>0</v>
      </c>
      <c r="I70" s="9"/>
      <c r="J70" s="30"/>
    </row>
    <row r="71" customFormat="false" ht="20.95" hidden="false" customHeight="true" outlineLevel="0" collapsed="false">
      <c r="A71" s="1" t="n">
        <v>31</v>
      </c>
      <c r="B71" s="31" t="n">
        <v>33664</v>
      </c>
      <c r="C71" s="302" t="n">
        <v>68000</v>
      </c>
      <c r="D71" s="29" t="s">
        <v>41</v>
      </c>
      <c r="E71" s="33" t="n">
        <f aca="false">IF(D71="totale",(C71/(A71*24))/F71,IF(D71="marché libre",(C71/(A71*24))/G71,"spécifier histo"))</f>
        <v>0.070851046094857</v>
      </c>
      <c r="F71" s="59" t="n">
        <v>1290</v>
      </c>
      <c r="G71" s="59" t="n">
        <f aca="false">F71-H71</f>
        <v>1290</v>
      </c>
      <c r="H71" s="59" t="n">
        <v>0</v>
      </c>
      <c r="I71" s="9"/>
      <c r="J71" s="30"/>
    </row>
    <row r="72" customFormat="false" ht="20.95" hidden="false" customHeight="true" outlineLevel="0" collapsed="false">
      <c r="A72" s="1" t="n">
        <v>30</v>
      </c>
      <c r="B72" s="34" t="n">
        <v>33695</v>
      </c>
      <c r="C72" s="302" t="n">
        <v>347400</v>
      </c>
      <c r="D72" s="29" t="s">
        <v>41</v>
      </c>
      <c r="E72" s="33" t="n">
        <f aca="false">IF(D72="totale",(C72/(A72*24))/F72,IF(D72="marché libre",(C72/(A72*24))/G72,"spécifier histo"))</f>
        <v>0.374031007751938</v>
      </c>
      <c r="F72" s="59" t="n">
        <v>1290</v>
      </c>
      <c r="G72" s="59" t="n">
        <f aca="false">F72-H72</f>
        <v>1290</v>
      </c>
      <c r="H72" s="59" t="n">
        <v>0</v>
      </c>
      <c r="I72" s="9"/>
      <c r="J72" s="30"/>
    </row>
    <row r="73" customFormat="false" ht="20.95" hidden="false" customHeight="true" outlineLevel="0" collapsed="false">
      <c r="A73" s="1" t="n">
        <v>31</v>
      </c>
      <c r="B73" s="31" t="n">
        <v>33725</v>
      </c>
      <c r="C73" s="302" t="n">
        <v>739800</v>
      </c>
      <c r="D73" s="29" t="s">
        <v>41</v>
      </c>
      <c r="E73" s="33" t="n">
        <f aca="false">IF(D73="totale",(C73/(A73*24))/F73,IF(D73="marché libre",(C73/(A73*24))/G73,"spécifier histo"))</f>
        <v>0.770817704426107</v>
      </c>
      <c r="F73" s="59" t="n">
        <v>1290</v>
      </c>
      <c r="G73" s="59" t="n">
        <f aca="false">F73-H73</f>
        <v>1290</v>
      </c>
      <c r="H73" s="59" t="n">
        <v>0</v>
      </c>
      <c r="I73" s="9"/>
      <c r="J73" s="30"/>
    </row>
    <row r="74" customFormat="false" ht="20.95" hidden="false" customHeight="true" outlineLevel="0" collapsed="false">
      <c r="A74" s="1" t="n">
        <v>30</v>
      </c>
      <c r="B74" s="34" t="n">
        <v>33756</v>
      </c>
      <c r="C74" s="302" t="n">
        <v>730200</v>
      </c>
      <c r="D74" s="29" t="s">
        <v>41</v>
      </c>
      <c r="E74" s="33" t="n">
        <f aca="false">IF(D74="totale",(C74/(A74*24))/F74,IF(D74="marché libre",(C74/(A74*24))/G74,"spécifier histo"))</f>
        <v>0.786175710594315</v>
      </c>
      <c r="F74" s="59" t="n">
        <v>1290</v>
      </c>
      <c r="G74" s="59" t="n">
        <f aca="false">F74-H74</f>
        <v>1290</v>
      </c>
      <c r="H74" s="59" t="n">
        <v>0</v>
      </c>
      <c r="I74" s="9"/>
      <c r="J74" s="30"/>
    </row>
    <row r="75" customFormat="false" ht="20.95" hidden="false" customHeight="true" outlineLevel="0" collapsed="false">
      <c r="A75" s="1" t="n">
        <v>31</v>
      </c>
      <c r="B75" s="31" t="n">
        <v>33786</v>
      </c>
      <c r="C75" s="302" t="n">
        <v>574600</v>
      </c>
      <c r="D75" s="29" t="s">
        <v>41</v>
      </c>
      <c r="E75" s="33" t="n">
        <f aca="false">IF(D75="totale",(C75/(A75*24))/F75,IF(D75="marché libre",(C75/(A75*24))/G75,"spécifier histo"))</f>
        <v>0.598691339501542</v>
      </c>
      <c r="F75" s="59" t="n">
        <v>1290</v>
      </c>
      <c r="G75" s="59" t="n">
        <f aca="false">F75-H75</f>
        <v>1290</v>
      </c>
      <c r="H75" s="59" t="n">
        <v>0</v>
      </c>
      <c r="I75" s="9"/>
      <c r="J75" s="30"/>
    </row>
    <row r="76" customFormat="false" ht="20.95" hidden="false" customHeight="true" outlineLevel="0" collapsed="false">
      <c r="A76" s="1" t="n">
        <v>31</v>
      </c>
      <c r="B76" s="34" t="n">
        <v>33817</v>
      </c>
      <c r="C76" s="302" t="n">
        <v>191000</v>
      </c>
      <c r="D76" s="29" t="s">
        <v>41</v>
      </c>
      <c r="E76" s="33" t="n">
        <f aca="false">IF(D76="totale",(C76/(A76*24))/F76,IF(D76="marché libre",(C76/(A76*24))/G76,"spécifier histo"))</f>
        <v>0.199008085354672</v>
      </c>
      <c r="F76" s="59" t="n">
        <v>1290</v>
      </c>
      <c r="G76" s="59" t="n">
        <f aca="false">F76-H76</f>
        <v>1290</v>
      </c>
      <c r="H76" s="59" t="n">
        <v>0</v>
      </c>
      <c r="I76" s="9"/>
      <c r="J76" s="30"/>
    </row>
    <row r="77" customFormat="false" ht="20.95" hidden="false" customHeight="true" outlineLevel="0" collapsed="false">
      <c r="A77" s="1" t="n">
        <v>30</v>
      </c>
      <c r="B77" s="31" t="n">
        <v>33848</v>
      </c>
      <c r="C77" s="302" t="n">
        <v>186000</v>
      </c>
      <c r="D77" s="29" t="s">
        <v>41</v>
      </c>
      <c r="E77" s="33" t="n">
        <f aca="false">IF(D77="totale",(C77/(A77*24))/F77,IF(D77="marché libre",(C77/(A77*24))/G77,"spécifier histo"))</f>
        <v>0.200258397932817</v>
      </c>
      <c r="F77" s="59" t="n">
        <v>1290</v>
      </c>
      <c r="G77" s="59" t="n">
        <f aca="false">F77-H77</f>
        <v>1290</v>
      </c>
      <c r="H77" s="59" t="n">
        <v>0</v>
      </c>
      <c r="I77" s="9"/>
      <c r="J77" s="30"/>
    </row>
    <row r="78" customFormat="false" ht="20.95" hidden="false" customHeight="true" outlineLevel="0" collapsed="false">
      <c r="A78" s="1" t="n">
        <v>31</v>
      </c>
      <c r="B78" s="34" t="n">
        <v>33878</v>
      </c>
      <c r="C78" s="302" t="n">
        <v>532400</v>
      </c>
      <c r="D78" s="29" t="s">
        <v>41</v>
      </c>
      <c r="E78" s="33" t="n">
        <f aca="false">IF(D78="totale",(C78/(A78*24))/F78,IF(D78="marché libre",(C78/(A78*24))/G78,"spécifier histo"))</f>
        <v>0.554722013836793</v>
      </c>
      <c r="F78" s="59" t="n">
        <v>1290</v>
      </c>
      <c r="G78" s="59" t="n">
        <f aca="false">F78-H78</f>
        <v>1290</v>
      </c>
      <c r="H78" s="59" t="n">
        <v>0</v>
      </c>
      <c r="I78" s="9"/>
      <c r="J78" s="30"/>
    </row>
    <row r="79" customFormat="false" ht="20.95" hidden="false" customHeight="true" outlineLevel="0" collapsed="false">
      <c r="A79" s="1" t="n">
        <v>30</v>
      </c>
      <c r="B79" s="31" t="n">
        <v>33909</v>
      </c>
      <c r="C79" s="302" t="n">
        <v>625200</v>
      </c>
      <c r="D79" s="29" t="s">
        <v>41</v>
      </c>
      <c r="E79" s="33" t="n">
        <f aca="false">IF(D79="totale",(C79/(A79*24))/F79,IF(D79="marché libre",(C79/(A79*24))/G79,"spécifier histo"))</f>
        <v>0.67312661498708</v>
      </c>
      <c r="F79" s="59" t="n">
        <v>1290</v>
      </c>
      <c r="G79" s="59" t="n">
        <f aca="false">F79-H79</f>
        <v>1290</v>
      </c>
      <c r="H79" s="59" t="n">
        <v>0</v>
      </c>
      <c r="I79" s="9"/>
      <c r="J79" s="30"/>
    </row>
    <row r="80" customFormat="false" ht="20.95" hidden="false" customHeight="true" outlineLevel="0" collapsed="false">
      <c r="A80" s="1" t="n">
        <v>31</v>
      </c>
      <c r="B80" s="34" t="n">
        <v>33939</v>
      </c>
      <c r="C80" s="302" t="n">
        <v>387200</v>
      </c>
      <c r="D80" s="29" t="s">
        <v>41</v>
      </c>
      <c r="E80" s="33" t="n">
        <f aca="false">IF(D80="totale",(C80/(A80*24))/F80,IF(D80="marché libre",(C80/(A80*24))/G80,"spécifier histo"))</f>
        <v>0.403434191881304</v>
      </c>
      <c r="F80" s="59" t="n">
        <v>1290</v>
      </c>
      <c r="G80" s="59" t="n">
        <f aca="false">F80-H80</f>
        <v>1290</v>
      </c>
      <c r="H80" s="59" t="n">
        <v>0</v>
      </c>
      <c r="I80" s="9"/>
      <c r="J80" s="30"/>
    </row>
    <row r="81" customFormat="false" ht="20.95" hidden="false" customHeight="true" outlineLevel="0" collapsed="false">
      <c r="A81" s="1" t="n">
        <v>31</v>
      </c>
      <c r="B81" s="31" t="n">
        <v>33970</v>
      </c>
      <c r="C81" s="302" t="n">
        <v>105000</v>
      </c>
      <c r="D81" s="29" t="s">
        <v>41</v>
      </c>
      <c r="E81" s="33" t="n">
        <f aca="false">IF(D81="totale",(C81/(A81*24))/F81,IF(D81="marché libre",(C81/(A81*24))/G81,"spécifier histo"))</f>
        <v>0.109402350587647</v>
      </c>
      <c r="F81" s="59" t="n">
        <v>1290</v>
      </c>
      <c r="G81" s="59" t="n">
        <f aca="false">F81-H81</f>
        <v>1290</v>
      </c>
      <c r="H81" s="59" t="n">
        <v>0</v>
      </c>
      <c r="I81" s="9"/>
      <c r="J81" s="30"/>
    </row>
    <row r="82" customFormat="false" ht="20.95" hidden="false" customHeight="true" outlineLevel="0" collapsed="false">
      <c r="A82" s="1" t="n">
        <v>28</v>
      </c>
      <c r="B82" s="34" t="n">
        <v>34001</v>
      </c>
      <c r="C82" s="302" t="n">
        <v>87800</v>
      </c>
      <c r="D82" s="29" t="s">
        <v>41</v>
      </c>
      <c r="E82" s="33" t="n">
        <f aca="false">IF(D82="totale",(C82/(A82*24))/F82,IF(D82="marché libre",(C82/(A82*24))/G82,"spécifier histo"))</f>
        <v>0.101282761166482</v>
      </c>
      <c r="F82" s="59" t="n">
        <v>1290</v>
      </c>
      <c r="G82" s="59" t="n">
        <f aca="false">F82-H82</f>
        <v>1290</v>
      </c>
      <c r="H82" s="59" t="n">
        <v>0</v>
      </c>
      <c r="I82" s="9"/>
      <c r="J82" s="30"/>
    </row>
    <row r="83" customFormat="false" ht="20.95" hidden="false" customHeight="true" outlineLevel="0" collapsed="false">
      <c r="A83" s="1" t="n">
        <v>31</v>
      </c>
      <c r="B83" s="31" t="n">
        <v>34029</v>
      </c>
      <c r="C83" s="302" t="n">
        <v>101600</v>
      </c>
      <c r="D83" s="29" t="s">
        <v>41</v>
      </c>
      <c r="E83" s="33" t="n">
        <f aca="false">IF(D83="totale",(C83/(A83*24))/F83,IF(D83="marché libre",(C83/(A83*24))/G83,"spécifier histo"))</f>
        <v>0.105859798282904</v>
      </c>
      <c r="F83" s="59" t="n">
        <v>1290</v>
      </c>
      <c r="G83" s="59" t="n">
        <f aca="false">F83-H83</f>
        <v>1290</v>
      </c>
      <c r="H83" s="59" t="n">
        <v>0</v>
      </c>
      <c r="I83" s="9"/>
      <c r="J83" s="30"/>
    </row>
    <row r="84" customFormat="false" ht="20.95" hidden="false" customHeight="true" outlineLevel="0" collapsed="false">
      <c r="A84" s="1" t="n">
        <v>30</v>
      </c>
      <c r="B84" s="34" t="n">
        <v>34060</v>
      </c>
      <c r="C84" s="302" t="n">
        <v>283200</v>
      </c>
      <c r="D84" s="29" t="s">
        <v>41</v>
      </c>
      <c r="E84" s="33" t="n">
        <f aca="false">IF(D84="totale",(C84/(A84*24))/F84,IF(D84="marché libre",(C84/(A84*24))/G84,"spécifier histo"))</f>
        <v>0.304909560723514</v>
      </c>
      <c r="F84" s="59" t="n">
        <v>1290</v>
      </c>
      <c r="G84" s="59" t="n">
        <f aca="false">F84-H84</f>
        <v>1290</v>
      </c>
      <c r="H84" s="59" t="n">
        <v>0</v>
      </c>
      <c r="I84" s="9"/>
      <c r="J84" s="30"/>
    </row>
    <row r="85" customFormat="false" ht="20.95" hidden="false" customHeight="true" outlineLevel="0" collapsed="false">
      <c r="A85" s="1" t="n">
        <v>31</v>
      </c>
      <c r="B85" s="31" t="n">
        <v>34090</v>
      </c>
      <c r="C85" s="302" t="n">
        <v>635200</v>
      </c>
      <c r="D85" s="29" t="s">
        <v>41</v>
      </c>
      <c r="E85" s="33" t="n">
        <f aca="false">IF(D85="totale",(C85/(A85*24))/F85,IF(D85="marché libre",(C85/(A85*24))/G85,"spécifier histo"))</f>
        <v>0.661832124697841</v>
      </c>
      <c r="F85" s="59" t="n">
        <v>1290</v>
      </c>
      <c r="G85" s="59" t="n">
        <f aca="false">F85-H85</f>
        <v>1290</v>
      </c>
      <c r="H85" s="59" t="n">
        <v>0</v>
      </c>
      <c r="I85" s="9"/>
      <c r="J85" s="30"/>
    </row>
    <row r="86" customFormat="false" ht="20.95" hidden="false" customHeight="true" outlineLevel="0" collapsed="false">
      <c r="A86" s="1" t="n">
        <v>30</v>
      </c>
      <c r="B86" s="34" t="n">
        <v>34121</v>
      </c>
      <c r="C86" s="302" t="n">
        <v>296000</v>
      </c>
      <c r="D86" s="29" t="s">
        <v>41</v>
      </c>
      <c r="E86" s="33" t="n">
        <f aca="false">IF(D86="totale",(C86/(A86*24))/F86,IF(D86="marché libre",(C86/(A86*24))/G86,"spécifier histo"))</f>
        <v>0.318690783807063</v>
      </c>
      <c r="F86" s="59" t="n">
        <v>1290</v>
      </c>
      <c r="G86" s="59" t="n">
        <f aca="false">F86-H86</f>
        <v>1290</v>
      </c>
      <c r="H86" s="59" t="n">
        <v>0</v>
      </c>
      <c r="I86" s="9"/>
      <c r="J86" s="30"/>
    </row>
    <row r="87" customFormat="false" ht="20.95" hidden="false" customHeight="true" outlineLevel="0" collapsed="false">
      <c r="A87" s="1" t="n">
        <v>31</v>
      </c>
      <c r="B87" s="31" t="n">
        <v>34151</v>
      </c>
      <c r="C87" s="302" t="n">
        <v>238800</v>
      </c>
      <c r="D87" s="29" t="s">
        <v>41</v>
      </c>
      <c r="E87" s="33" t="n">
        <f aca="false">IF(D87="totale",(C87/(A87*24))/F87,IF(D87="marché libre",(C87/(A87*24))/G87,"spécifier histo"))</f>
        <v>0.248812203050763</v>
      </c>
      <c r="F87" s="59" t="n">
        <v>1290</v>
      </c>
      <c r="G87" s="59" t="n">
        <f aca="false">F87-H87</f>
        <v>1290</v>
      </c>
      <c r="H87" s="59" t="n">
        <v>0</v>
      </c>
      <c r="I87" s="9"/>
      <c r="J87" s="30"/>
    </row>
    <row r="88" customFormat="false" ht="20.95" hidden="false" customHeight="true" outlineLevel="0" collapsed="false">
      <c r="A88" s="1" t="n">
        <v>31</v>
      </c>
      <c r="B88" s="34" t="n">
        <v>34182</v>
      </c>
      <c r="C88" s="302" t="n">
        <v>155600</v>
      </c>
      <c r="D88" s="29" t="s">
        <v>41</v>
      </c>
      <c r="E88" s="33" t="n">
        <f aca="false">IF(D88="totale",(C88/(A88*24))/F88,IF(D88="marché libre",(C88/(A88*24))/G88,"spécifier histo"))</f>
        <v>0.162123864299408</v>
      </c>
      <c r="F88" s="59" t="n">
        <v>1290</v>
      </c>
      <c r="G88" s="59" t="n">
        <f aca="false">F88-H88</f>
        <v>1290</v>
      </c>
      <c r="H88" s="59" t="n">
        <v>0</v>
      </c>
      <c r="I88" s="9"/>
      <c r="J88" s="30"/>
    </row>
    <row r="89" customFormat="false" ht="20.95" hidden="false" customHeight="true" outlineLevel="0" collapsed="false">
      <c r="A89" s="1" t="n">
        <v>30</v>
      </c>
      <c r="B89" s="31" t="n">
        <v>34213</v>
      </c>
      <c r="C89" s="302" t="n">
        <v>178800</v>
      </c>
      <c r="D89" s="29" t="s">
        <v>41</v>
      </c>
      <c r="E89" s="33" t="n">
        <f aca="false">IF(D89="totale",(C89/(A89*24))/F89,IF(D89="marché libre",(C89/(A89*24))/G89,"spécifier histo"))</f>
        <v>0.19250645994832</v>
      </c>
      <c r="F89" s="59" t="n">
        <v>1290</v>
      </c>
      <c r="G89" s="59" t="n">
        <f aca="false">F89-H89</f>
        <v>1290</v>
      </c>
      <c r="H89" s="59" t="n">
        <v>0</v>
      </c>
      <c r="I89" s="9"/>
      <c r="J89" s="30"/>
    </row>
    <row r="90" customFormat="false" ht="20.95" hidden="false" customHeight="true" outlineLevel="0" collapsed="false">
      <c r="A90" s="1" t="n">
        <v>31</v>
      </c>
      <c r="B90" s="34" t="n">
        <v>34243</v>
      </c>
      <c r="C90" s="302" t="n">
        <v>284800</v>
      </c>
      <c r="D90" s="29" t="s">
        <v>41</v>
      </c>
      <c r="E90" s="33" t="n">
        <f aca="false">IF(D90="totale",(C90/(A90*24))/F90,IF(D90="marché libre",(C90/(A90*24))/G90,"spécifier histo"))</f>
        <v>0.296740851879637</v>
      </c>
      <c r="F90" s="59" t="n">
        <v>1290</v>
      </c>
      <c r="G90" s="59" t="n">
        <f aca="false">F90-H90</f>
        <v>1290</v>
      </c>
      <c r="H90" s="59" t="n">
        <v>0</v>
      </c>
      <c r="I90" s="9"/>
      <c r="J90" s="30"/>
    </row>
    <row r="91" customFormat="false" ht="20.95" hidden="false" customHeight="true" outlineLevel="0" collapsed="false">
      <c r="A91" s="1" t="n">
        <v>30</v>
      </c>
      <c r="B91" s="31" t="n">
        <v>34274</v>
      </c>
      <c r="C91" s="302" t="n">
        <v>312200</v>
      </c>
      <c r="D91" s="29" t="s">
        <v>41</v>
      </c>
      <c r="E91" s="33" t="n">
        <f aca="false">IF(D91="totale",(C91/(A91*24))/F91,IF(D91="marché libre",(C91/(A91*24))/G91,"spécifier histo"))</f>
        <v>0.336132644272179</v>
      </c>
      <c r="F91" s="59" t="n">
        <v>1290</v>
      </c>
      <c r="G91" s="59" t="n">
        <f aca="false">F91-H91</f>
        <v>1290</v>
      </c>
      <c r="H91" s="59" t="n">
        <v>0</v>
      </c>
      <c r="I91" s="9"/>
      <c r="J91" s="30"/>
    </row>
    <row r="92" customFormat="false" ht="20.95" hidden="false" customHeight="true" outlineLevel="0" collapsed="false">
      <c r="A92" s="1" t="n">
        <v>31</v>
      </c>
      <c r="B92" s="34" t="n">
        <v>34304</v>
      </c>
      <c r="C92" s="302" t="n">
        <v>199600</v>
      </c>
      <c r="D92" s="29" t="s">
        <v>41</v>
      </c>
      <c r="E92" s="33" t="n">
        <f aca="false">IF(D92="totale",(C92/(A92*24))/F92,IF(D92="marché libre",(C92/(A92*24))/G92,"spécifier histo"))</f>
        <v>0.207968658831374</v>
      </c>
      <c r="F92" s="59" t="n">
        <v>1290</v>
      </c>
      <c r="G92" s="59" t="n">
        <f aca="false">F92-H92</f>
        <v>1290</v>
      </c>
      <c r="H92" s="59" t="n">
        <v>0</v>
      </c>
      <c r="I92" s="9"/>
      <c r="J92" s="30"/>
    </row>
    <row r="93" customFormat="false" ht="20.95" hidden="false" customHeight="true" outlineLevel="0" collapsed="false">
      <c r="A93" s="1" t="n">
        <v>31</v>
      </c>
      <c r="B93" s="31" t="n">
        <v>34335</v>
      </c>
      <c r="C93" s="302" t="n">
        <v>152200</v>
      </c>
      <c r="D93" s="29" t="s">
        <v>41</v>
      </c>
      <c r="E93" s="33" t="n">
        <f aca="false">IF(D93="totale",(C93/(A93*24))/F93,IF(D93="marché libre",(C93/(A93*24))/G93,"spécifier histo"))</f>
        <v>0.158581311994665</v>
      </c>
      <c r="F93" s="59" t="n">
        <v>1290</v>
      </c>
      <c r="G93" s="59" t="n">
        <f aca="false">F93-H93</f>
        <v>1290</v>
      </c>
      <c r="H93" s="59" t="n">
        <v>0</v>
      </c>
      <c r="I93" s="9"/>
      <c r="J93" s="30"/>
    </row>
    <row r="94" customFormat="false" ht="20.95" hidden="false" customHeight="true" outlineLevel="0" collapsed="false">
      <c r="A94" s="1" t="n">
        <v>28</v>
      </c>
      <c r="B94" s="34" t="n">
        <v>34366</v>
      </c>
      <c r="C94" s="302" t="n">
        <v>102600</v>
      </c>
      <c r="D94" s="29" t="s">
        <v>41</v>
      </c>
      <c r="E94" s="33" t="n">
        <f aca="false">IF(D94="totale",(C94/(A94*24))/F94,IF(D94="marché libre",(C94/(A94*24))/G94,"spécifier histo"))</f>
        <v>0.118355481727575</v>
      </c>
      <c r="F94" s="59" t="n">
        <v>1290</v>
      </c>
      <c r="G94" s="59" t="n">
        <f aca="false">F94-H94</f>
        <v>1290</v>
      </c>
      <c r="H94" s="59" t="n">
        <v>0</v>
      </c>
      <c r="I94" s="9"/>
      <c r="J94" s="30"/>
    </row>
    <row r="95" customFormat="false" ht="20.95" hidden="false" customHeight="true" outlineLevel="0" collapsed="false">
      <c r="A95" s="1" t="n">
        <v>31</v>
      </c>
      <c r="B95" s="31" t="n">
        <v>34394</v>
      </c>
      <c r="C95" s="302" t="n">
        <v>397200</v>
      </c>
      <c r="D95" s="29" t="s">
        <v>41</v>
      </c>
      <c r="E95" s="33" t="n">
        <f aca="false">IF(D95="totale",(C95/(A95*24))/F95,IF(D95="marché libre",(C95/(A95*24))/G95,"spécifier histo"))</f>
        <v>0.413853463365841</v>
      </c>
      <c r="F95" s="59" t="n">
        <v>1290</v>
      </c>
      <c r="G95" s="59" t="n">
        <f aca="false">F95-H95</f>
        <v>1290</v>
      </c>
      <c r="H95" s="59" t="n">
        <v>0</v>
      </c>
      <c r="I95" s="9"/>
      <c r="J95" s="30"/>
    </row>
    <row r="96" customFormat="false" ht="20.95" hidden="false" customHeight="true" outlineLevel="0" collapsed="false">
      <c r="A96" s="1" t="n">
        <v>30</v>
      </c>
      <c r="B96" s="34" t="n">
        <v>34425</v>
      </c>
      <c r="C96" s="302" t="n">
        <v>460400</v>
      </c>
      <c r="D96" s="29" t="s">
        <v>41</v>
      </c>
      <c r="E96" s="33" t="n">
        <f aca="false">IF(D96="totale",(C96/(A96*24))/F96,IF(D96="marché libre",(C96/(A96*24))/G96,"spécifier histo"))</f>
        <v>0.495693367786391</v>
      </c>
      <c r="F96" s="59" t="n">
        <v>1290</v>
      </c>
      <c r="G96" s="59" t="n">
        <f aca="false">F96-H96</f>
        <v>1290</v>
      </c>
      <c r="H96" s="59" t="n">
        <v>0</v>
      </c>
      <c r="I96" s="9"/>
      <c r="J96" s="30"/>
    </row>
    <row r="97" customFormat="false" ht="20.95" hidden="false" customHeight="true" outlineLevel="0" collapsed="false">
      <c r="A97" s="1" t="n">
        <v>31</v>
      </c>
      <c r="B97" s="31" t="n">
        <v>34455</v>
      </c>
      <c r="C97" s="302" t="n">
        <v>698000</v>
      </c>
      <c r="D97" s="29" t="s">
        <v>41</v>
      </c>
      <c r="E97" s="33" t="n">
        <f aca="false">IF(D97="totale",(C97/(A97*24))/F97,IF(D97="marché libre",(C97/(A97*24))/G97,"spécifier histo"))</f>
        <v>0.727265149620739</v>
      </c>
      <c r="F97" s="59" t="n">
        <v>1290</v>
      </c>
      <c r="G97" s="59" t="n">
        <f aca="false">F97-H97</f>
        <v>1290</v>
      </c>
      <c r="H97" s="59" t="n">
        <v>0</v>
      </c>
      <c r="I97" s="9"/>
      <c r="J97" s="30"/>
    </row>
    <row r="98" customFormat="false" ht="20.95" hidden="false" customHeight="true" outlineLevel="0" collapsed="false">
      <c r="A98" s="1" t="n">
        <v>30</v>
      </c>
      <c r="B98" s="34" t="n">
        <v>34486</v>
      </c>
      <c r="C98" s="302" t="n">
        <v>401800</v>
      </c>
      <c r="D98" s="29" t="s">
        <v>41</v>
      </c>
      <c r="E98" s="33" t="n">
        <f aca="false">IF(D98="totale",(C98/(A98*24))/F98,IF(D98="marché libre",(C98/(A98*24))/G98,"spécifier histo"))</f>
        <v>0.43260120585702</v>
      </c>
      <c r="F98" s="59" t="n">
        <v>1290</v>
      </c>
      <c r="G98" s="59" t="n">
        <f aca="false">F98-H98</f>
        <v>1290</v>
      </c>
      <c r="H98" s="59" t="n">
        <v>0</v>
      </c>
      <c r="I98" s="9"/>
      <c r="J98" s="30"/>
    </row>
    <row r="99" customFormat="false" ht="20.95" hidden="false" customHeight="true" outlineLevel="0" collapsed="false">
      <c r="A99" s="1" t="n">
        <v>31</v>
      </c>
      <c r="B99" s="31" t="n">
        <v>34516</v>
      </c>
      <c r="C99" s="302" t="n">
        <v>253400</v>
      </c>
      <c r="D99" s="29" t="s">
        <v>41</v>
      </c>
      <c r="E99" s="33" t="n">
        <f aca="false">IF(D99="totale",(C99/(A99*24))/F99,IF(D99="marché libre",(C99/(A99*24))/G99,"spécifier histo"))</f>
        <v>0.264024339418188</v>
      </c>
      <c r="F99" s="59" t="n">
        <v>1290</v>
      </c>
      <c r="G99" s="59" t="n">
        <f aca="false">F99-H99</f>
        <v>1290</v>
      </c>
      <c r="H99" s="59" t="n">
        <v>0</v>
      </c>
      <c r="I99" s="9"/>
      <c r="J99" s="30"/>
    </row>
    <row r="100" customFormat="false" ht="20.95" hidden="false" customHeight="true" outlineLevel="0" collapsed="false">
      <c r="A100" s="1" t="n">
        <v>31</v>
      </c>
      <c r="B100" s="34" t="n">
        <v>34547</v>
      </c>
      <c r="C100" s="302" t="n">
        <v>142200</v>
      </c>
      <c r="D100" s="29" t="s">
        <v>41</v>
      </c>
      <c r="E100" s="33" t="n">
        <f aca="false">IF(D100="totale",(C100/(A100*24))/F100,IF(D100="marché libre",(C100/(A100*24))/G100,"spécifier histo"))</f>
        <v>0.148162040510128</v>
      </c>
      <c r="F100" s="59" t="n">
        <v>1290</v>
      </c>
      <c r="G100" s="59" t="n">
        <f aca="false">F100-H100</f>
        <v>1290</v>
      </c>
      <c r="H100" s="59" t="n">
        <v>0</v>
      </c>
      <c r="I100" s="9"/>
      <c r="J100" s="30"/>
    </row>
    <row r="101" customFormat="false" ht="20.95" hidden="false" customHeight="true" outlineLevel="0" collapsed="false">
      <c r="A101" s="1" t="n">
        <v>30</v>
      </c>
      <c r="B101" s="31" t="n">
        <v>34578</v>
      </c>
      <c r="C101" s="302" t="n">
        <v>276800</v>
      </c>
      <c r="D101" s="29" t="s">
        <v>41</v>
      </c>
      <c r="E101" s="33" t="n">
        <f aca="false">IF(D101="totale",(C101/(A101*24))/F101,IF(D101="marché libre",(C101/(A101*24))/G101,"spécifier histo"))</f>
        <v>0.29801894918174</v>
      </c>
      <c r="F101" s="59" t="n">
        <v>1290</v>
      </c>
      <c r="G101" s="59" t="n">
        <f aca="false">F101-H101</f>
        <v>1290</v>
      </c>
      <c r="H101" s="59" t="n">
        <v>0</v>
      </c>
      <c r="I101" s="9"/>
      <c r="J101" s="30"/>
    </row>
    <row r="102" customFormat="false" ht="20.95" hidden="false" customHeight="true" outlineLevel="0" collapsed="false">
      <c r="A102" s="1" t="n">
        <v>31</v>
      </c>
      <c r="B102" s="34" t="n">
        <v>34608</v>
      </c>
      <c r="C102" s="302" t="n">
        <v>483000</v>
      </c>
      <c r="D102" s="29" t="s">
        <v>41</v>
      </c>
      <c r="E102" s="33" t="n">
        <f aca="false">IF(D102="totale",(C102/(A102*24))/F102,IF(D102="marché libre",(C102/(A102*24))/G102,"spécifier histo"))</f>
        <v>0.503250812703176</v>
      </c>
      <c r="F102" s="59" t="n">
        <v>1290</v>
      </c>
      <c r="G102" s="59" t="n">
        <f aca="false">F102-H102</f>
        <v>1290</v>
      </c>
      <c r="H102" s="59" t="n">
        <v>0</v>
      </c>
      <c r="I102" s="9"/>
      <c r="J102" s="30"/>
    </row>
    <row r="103" customFormat="false" ht="20.95" hidden="false" customHeight="true" outlineLevel="0" collapsed="false">
      <c r="A103" s="1" t="n">
        <v>30</v>
      </c>
      <c r="B103" s="31" t="n">
        <v>34639</v>
      </c>
      <c r="C103" s="302" t="n">
        <v>567200</v>
      </c>
      <c r="D103" s="29" t="s">
        <v>41</v>
      </c>
      <c r="E103" s="33" t="n">
        <f aca="false">IF(D103="totale",(C103/(A103*24))/F103,IF(D103="marché libre",(C103/(A103*24))/G103,"spécifier histo"))</f>
        <v>0.61068044788975</v>
      </c>
      <c r="F103" s="59" t="n">
        <v>1290</v>
      </c>
      <c r="G103" s="59" t="n">
        <f aca="false">F103-H103</f>
        <v>1290</v>
      </c>
      <c r="H103" s="59" t="n">
        <v>0</v>
      </c>
      <c r="I103" s="9"/>
      <c r="J103" s="30"/>
    </row>
    <row r="104" customFormat="false" ht="20.95" hidden="false" customHeight="true" outlineLevel="0" collapsed="false">
      <c r="A104" s="1" t="n">
        <v>31</v>
      </c>
      <c r="B104" s="34" t="n">
        <v>34669</v>
      </c>
      <c r="C104" s="302" t="n">
        <v>258800</v>
      </c>
      <c r="D104" s="29" t="s">
        <v>41</v>
      </c>
      <c r="E104" s="33" t="n">
        <f aca="false">IF(D104="totale",(C104/(A104*24))/F104,IF(D104="marché libre",(C104/(A104*24))/G104,"spécifier histo"))</f>
        <v>0.269650746019838</v>
      </c>
      <c r="F104" s="59" t="n">
        <v>1290</v>
      </c>
      <c r="G104" s="59" t="n">
        <f aca="false">F104-H104</f>
        <v>1290</v>
      </c>
      <c r="H104" s="59" t="n">
        <v>0</v>
      </c>
      <c r="I104" s="9"/>
      <c r="J104" s="30"/>
    </row>
    <row r="105" customFormat="false" ht="20.95" hidden="false" customHeight="true" outlineLevel="0" collapsed="false">
      <c r="A105" s="1" t="n">
        <v>31</v>
      </c>
      <c r="B105" s="31" t="n">
        <v>34700</v>
      </c>
      <c r="C105" s="302" t="n">
        <v>162200</v>
      </c>
      <c r="D105" s="29" t="s">
        <v>41</v>
      </c>
      <c r="E105" s="33" t="n">
        <f aca="false">IF(D105="totale",(C105/(A105*24))/F105,IF(D105="marché libre",(C105/(A105*24))/G105,"spécifier histo"))</f>
        <v>0.169000583479203</v>
      </c>
      <c r="F105" s="59" t="n">
        <v>1290</v>
      </c>
      <c r="G105" s="59" t="n">
        <f aca="false">F105-H105</f>
        <v>1290</v>
      </c>
      <c r="H105" s="59" t="n">
        <v>0</v>
      </c>
      <c r="I105" s="9"/>
      <c r="J105" s="30"/>
    </row>
    <row r="106" customFormat="false" ht="20.95" hidden="false" customHeight="true" outlineLevel="0" collapsed="false">
      <c r="A106" s="1" t="n">
        <v>28</v>
      </c>
      <c r="B106" s="34" t="n">
        <v>34731</v>
      </c>
      <c r="C106" s="302" t="n">
        <v>162000</v>
      </c>
      <c r="D106" s="29" t="s">
        <v>41</v>
      </c>
      <c r="E106" s="33" t="n">
        <f aca="false">IF(D106="totale",(C106/(A106*24))/F106,IF(D106="marché libre",(C106/(A106*24))/G106,"spécifier histo"))</f>
        <v>0.18687707641196</v>
      </c>
      <c r="F106" s="59" t="n">
        <v>1290</v>
      </c>
      <c r="G106" s="59" t="n">
        <f aca="false">F106-H106</f>
        <v>1290</v>
      </c>
      <c r="H106" s="59" t="n">
        <v>0</v>
      </c>
      <c r="I106" s="9"/>
      <c r="J106" s="30"/>
    </row>
    <row r="107" customFormat="false" ht="20.95" hidden="false" customHeight="true" outlineLevel="0" collapsed="false">
      <c r="A107" s="1" t="n">
        <v>31</v>
      </c>
      <c r="B107" s="31" t="n">
        <v>34759</v>
      </c>
      <c r="C107" s="302" t="n">
        <v>156400</v>
      </c>
      <c r="D107" s="29" t="s">
        <v>41</v>
      </c>
      <c r="E107" s="33" t="n">
        <f aca="false">IF(D107="totale",(C107/(A107*24))/F107,IF(D107="marché libre",(C107/(A107*24))/G107,"spécifier histo"))</f>
        <v>0.162957406018171</v>
      </c>
      <c r="F107" s="59" t="n">
        <v>1290</v>
      </c>
      <c r="G107" s="59" t="n">
        <f aca="false">F107-H107</f>
        <v>1290</v>
      </c>
      <c r="H107" s="59" t="n">
        <v>0</v>
      </c>
      <c r="I107" s="9"/>
      <c r="J107" s="30"/>
    </row>
    <row r="108" customFormat="false" ht="20.95" hidden="false" customHeight="true" outlineLevel="0" collapsed="false">
      <c r="A108" s="1" t="n">
        <v>30</v>
      </c>
      <c r="B108" s="34" t="n">
        <v>34790</v>
      </c>
      <c r="C108" s="302" t="n">
        <v>577000</v>
      </c>
      <c r="D108" s="29" t="s">
        <v>41</v>
      </c>
      <c r="E108" s="33" t="n">
        <f aca="false">IF(D108="totale",(C108/(A108*24))/F108,IF(D108="marché libre",(C108/(A108*24))/G108,"spécifier histo"))</f>
        <v>0.621231696813092</v>
      </c>
      <c r="F108" s="59" t="n">
        <v>1290</v>
      </c>
      <c r="G108" s="59" t="n">
        <f aca="false">F108-H108</f>
        <v>1290</v>
      </c>
      <c r="H108" s="59" t="n">
        <v>0</v>
      </c>
      <c r="I108" s="9"/>
      <c r="J108" s="30"/>
    </row>
    <row r="109" customFormat="false" ht="20.95" hidden="false" customHeight="true" outlineLevel="0" collapsed="false">
      <c r="A109" s="1" t="n">
        <v>31</v>
      </c>
      <c r="B109" s="31" t="n">
        <v>34820</v>
      </c>
      <c r="C109" s="302" t="n">
        <v>631800</v>
      </c>
      <c r="D109" s="29" t="s">
        <v>41</v>
      </c>
      <c r="E109" s="33" t="n">
        <f aca="false">IF(D109="totale",(C109/(A109*24))/F109,IF(D109="marché libre",(C109/(A109*24))/G109,"spécifier histo"))</f>
        <v>0.658289572393098</v>
      </c>
      <c r="F109" s="59" t="n">
        <v>1290</v>
      </c>
      <c r="G109" s="59" t="n">
        <f aca="false">F109-H109</f>
        <v>1290</v>
      </c>
      <c r="H109" s="59" t="n">
        <v>0</v>
      </c>
      <c r="I109" s="9"/>
      <c r="J109" s="30"/>
    </row>
    <row r="110" customFormat="false" ht="20.95" hidden="false" customHeight="true" outlineLevel="0" collapsed="false">
      <c r="A110" s="1" t="n">
        <v>30</v>
      </c>
      <c r="B110" s="34" t="n">
        <v>34851</v>
      </c>
      <c r="C110" s="302" t="n">
        <v>584200</v>
      </c>
      <c r="D110" s="29" t="s">
        <v>41</v>
      </c>
      <c r="E110" s="33" t="n">
        <f aca="false">IF(D110="totale",(C110/(A110*24))/F110,IF(D110="marché libre",(C110/(A110*24))/G110,"spécifier histo"))</f>
        <v>0.628983634797588</v>
      </c>
      <c r="F110" s="59" t="n">
        <v>1290</v>
      </c>
      <c r="G110" s="59" t="n">
        <f aca="false">F110-H110</f>
        <v>1290</v>
      </c>
      <c r="H110" s="59" t="n">
        <v>0</v>
      </c>
      <c r="I110" s="9"/>
      <c r="J110" s="30"/>
    </row>
    <row r="111" customFormat="false" ht="20.95" hidden="false" customHeight="true" outlineLevel="0" collapsed="false">
      <c r="A111" s="1" t="n">
        <v>31</v>
      </c>
      <c r="B111" s="31" t="n">
        <v>34881</v>
      </c>
      <c r="C111" s="302" t="n">
        <v>282400</v>
      </c>
      <c r="D111" s="29" t="s">
        <v>41</v>
      </c>
      <c r="E111" s="33" t="n">
        <f aca="false">IF(D111="totale",(C111/(A111*24))/F111,IF(D111="marché libre",(C111/(A111*24))/G111,"spécifier histo"))</f>
        <v>0.294240226723347</v>
      </c>
      <c r="F111" s="59" t="n">
        <v>1290</v>
      </c>
      <c r="G111" s="59" t="n">
        <f aca="false">F111-H111</f>
        <v>1290</v>
      </c>
      <c r="H111" s="59" t="n">
        <v>0</v>
      </c>
      <c r="I111" s="9"/>
      <c r="J111" s="30"/>
    </row>
    <row r="112" customFormat="false" ht="20.95" hidden="false" customHeight="true" outlineLevel="0" collapsed="false">
      <c r="A112" s="1" t="n">
        <v>31</v>
      </c>
      <c r="B112" s="34" t="n">
        <v>34912</v>
      </c>
      <c r="C112" s="26" t="n">
        <v>0</v>
      </c>
      <c r="D112" s="29" t="s">
        <v>41</v>
      </c>
      <c r="E112" s="33" t="n">
        <f aca="false">IF(D112="totale",(C112/(A112*24))/F112,IF(D112="marché libre",(C112/(A112*24))/G112,"spécifier histo"))</f>
        <v>0</v>
      </c>
      <c r="F112" s="59" t="n">
        <v>1290</v>
      </c>
      <c r="G112" s="59" t="n">
        <f aca="false">F112-H112</f>
        <v>1290</v>
      </c>
      <c r="H112" s="59" t="n">
        <v>0</v>
      </c>
      <c r="I112" s="9"/>
      <c r="J112" s="30"/>
    </row>
    <row r="113" customFormat="false" ht="20.95" hidden="false" customHeight="true" outlineLevel="0" collapsed="false">
      <c r="A113" s="1" t="n">
        <v>30</v>
      </c>
      <c r="B113" s="31" t="n">
        <v>34943</v>
      </c>
      <c r="C113" s="26" t="n">
        <v>0</v>
      </c>
      <c r="D113" s="29" t="s">
        <v>41</v>
      </c>
      <c r="E113" s="33" t="n">
        <f aca="false">IF(D113="totale",(C113/(A113*24))/F113,IF(D113="marché libre",(C113/(A113*24))/G113,"spécifier histo"))</f>
        <v>0</v>
      </c>
      <c r="F113" s="59" t="n">
        <v>1290</v>
      </c>
      <c r="G113" s="59" t="n">
        <f aca="false">F113-H113</f>
        <v>1290</v>
      </c>
      <c r="H113" s="59" t="n">
        <v>0</v>
      </c>
      <c r="I113" s="9"/>
      <c r="J113" s="30"/>
    </row>
    <row r="114" customFormat="false" ht="20.95" hidden="false" customHeight="true" outlineLevel="0" collapsed="false">
      <c r="A114" s="1" t="n">
        <v>31</v>
      </c>
      <c r="B114" s="34" t="n">
        <v>34973</v>
      </c>
      <c r="C114" s="302" t="n">
        <v>12200</v>
      </c>
      <c r="D114" s="29" t="s">
        <v>41</v>
      </c>
      <c r="E114" s="33" t="n">
        <f aca="false">IF(D114="totale",(C114/(A114*24))/F114,IF(D114="marché libre",(C114/(A114*24))/G114,"spécifier histo"))</f>
        <v>0.0127115112111361</v>
      </c>
      <c r="F114" s="59" t="n">
        <v>1290</v>
      </c>
      <c r="G114" s="59" t="n">
        <f aca="false">F114-H114</f>
        <v>1290</v>
      </c>
      <c r="H114" s="59" t="n">
        <v>0</v>
      </c>
      <c r="I114" s="9"/>
      <c r="J114" s="30"/>
    </row>
    <row r="115" customFormat="false" ht="20.95" hidden="false" customHeight="true" outlineLevel="0" collapsed="false">
      <c r="A115" s="1" t="n">
        <v>30</v>
      </c>
      <c r="B115" s="31" t="n">
        <v>35004</v>
      </c>
      <c r="C115" s="302" t="n">
        <v>158800</v>
      </c>
      <c r="D115" s="29" t="s">
        <v>41</v>
      </c>
      <c r="E115" s="33" t="n">
        <f aca="false">IF(D115="totale",(C115/(A115*24))/F115,IF(D115="marché libre",(C115/(A115*24))/G115,"spécifier histo"))</f>
        <v>0.170973298880276</v>
      </c>
      <c r="F115" s="59" t="n">
        <v>1290</v>
      </c>
      <c r="G115" s="59" t="n">
        <f aca="false">F115-H115</f>
        <v>1290</v>
      </c>
      <c r="H115" s="59" t="n">
        <v>0</v>
      </c>
      <c r="I115" s="9"/>
      <c r="J115" s="30"/>
    </row>
    <row r="116" customFormat="false" ht="20.95" hidden="false" customHeight="true" outlineLevel="0" collapsed="false">
      <c r="A116" s="1" t="n">
        <v>31</v>
      </c>
      <c r="B116" s="34" t="n">
        <v>35034</v>
      </c>
      <c r="C116" s="302" t="n">
        <v>283400</v>
      </c>
      <c r="D116" s="29" t="s">
        <v>41</v>
      </c>
      <c r="E116" s="33" t="n">
        <f aca="false">IF(D116="totale",(C116/(A116*24))/F116,IF(D116="marché libre",(C116/(A116*24))/G116,"spécifier histo"))</f>
        <v>0.295282153871801</v>
      </c>
      <c r="F116" s="59" t="n">
        <v>1290</v>
      </c>
      <c r="G116" s="59" t="n">
        <f aca="false">F116-H116</f>
        <v>1290</v>
      </c>
      <c r="H116" s="59" t="n">
        <v>0</v>
      </c>
      <c r="I116" s="9"/>
      <c r="J116" s="30"/>
    </row>
    <row r="117" customFormat="false" ht="20.95" hidden="false" customHeight="true" outlineLevel="0" collapsed="false">
      <c r="A117" s="1" t="n">
        <v>31</v>
      </c>
      <c r="B117" s="31" t="n">
        <v>35065</v>
      </c>
      <c r="C117" s="302" t="n">
        <v>305800</v>
      </c>
      <c r="D117" s="29" t="s">
        <v>41</v>
      </c>
      <c r="E117" s="33" t="n">
        <f aca="false">IF(D117="totale",(C117/(A117*24))/F117,IF(D117="marché libre",(C117/(A117*24))/G117,"spécifier histo"))</f>
        <v>0.318621321997166</v>
      </c>
      <c r="F117" s="59" t="n">
        <v>1290</v>
      </c>
      <c r="G117" s="59" t="n">
        <f aca="false">F117-H117</f>
        <v>1290</v>
      </c>
      <c r="H117" s="59" t="n">
        <v>0</v>
      </c>
      <c r="I117" s="9"/>
      <c r="J117" s="30"/>
    </row>
    <row r="118" customFormat="false" ht="20.95" hidden="false" customHeight="true" outlineLevel="0" collapsed="false">
      <c r="A118" s="1" t="n">
        <v>28</v>
      </c>
      <c r="B118" s="34" t="n">
        <v>35096</v>
      </c>
      <c r="C118" s="302" t="n">
        <v>119600</v>
      </c>
      <c r="D118" s="29" t="s">
        <v>41</v>
      </c>
      <c r="E118" s="33" t="n">
        <f aca="false">IF(D118="totale",(C118/(A118*24))/F118,IF(D118="marché libre",(C118/(A118*24))/G118,"spécifier histo"))</f>
        <v>0.13796603912883</v>
      </c>
      <c r="F118" s="59" t="n">
        <v>1290</v>
      </c>
      <c r="G118" s="59" t="n">
        <f aca="false">F118-H118</f>
        <v>1290</v>
      </c>
      <c r="H118" s="59" t="n">
        <v>0</v>
      </c>
      <c r="I118" s="9"/>
      <c r="J118" s="30"/>
    </row>
    <row r="119" customFormat="false" ht="20.95" hidden="false" customHeight="true" outlineLevel="0" collapsed="false">
      <c r="A119" s="1" t="n">
        <v>31</v>
      </c>
      <c r="B119" s="31" t="n">
        <v>35125</v>
      </c>
      <c r="C119" s="302" t="n">
        <v>181400</v>
      </c>
      <c r="D119" s="29" t="s">
        <v>41</v>
      </c>
      <c r="E119" s="33" t="n">
        <f aca="false">IF(D119="totale",(C119/(A119*24))/F119,IF(D119="marché libre",(C119/(A119*24))/G119,"spécifier histo"))</f>
        <v>0.189005584729516</v>
      </c>
      <c r="F119" s="59" t="n">
        <v>1290</v>
      </c>
      <c r="G119" s="59" t="n">
        <f aca="false">F119-H119</f>
        <v>1290</v>
      </c>
      <c r="H119" s="59" t="n">
        <v>0</v>
      </c>
      <c r="I119" s="9"/>
      <c r="J119" s="30"/>
    </row>
    <row r="120" customFormat="false" ht="20.95" hidden="false" customHeight="true" outlineLevel="0" collapsed="false">
      <c r="A120" s="1" t="n">
        <v>30</v>
      </c>
      <c r="B120" s="34" t="n">
        <v>35156</v>
      </c>
      <c r="C120" s="302" t="n">
        <v>417400</v>
      </c>
      <c r="D120" s="29" t="s">
        <v>41</v>
      </c>
      <c r="E120" s="33" t="n">
        <f aca="false">IF(D120="totale",(C120/(A120*24))/F120,IF(D120="marché libre",(C120/(A120*24))/G120,"spécifier histo"))</f>
        <v>0.449397071490095</v>
      </c>
      <c r="F120" s="59" t="n">
        <v>1290</v>
      </c>
      <c r="G120" s="59" t="n">
        <f aca="false">F120-H120</f>
        <v>1290</v>
      </c>
      <c r="H120" s="59" t="n">
        <v>0</v>
      </c>
      <c r="I120" s="9"/>
      <c r="J120" s="30"/>
    </row>
    <row r="121" customFormat="false" ht="20.95" hidden="false" customHeight="true" outlineLevel="0" collapsed="false">
      <c r="A121" s="1" t="n">
        <v>31</v>
      </c>
      <c r="B121" s="31" t="n">
        <v>35186</v>
      </c>
      <c r="C121" s="302" t="n">
        <v>738600</v>
      </c>
      <c r="D121" s="29" t="s">
        <v>41</v>
      </c>
      <c r="E121" s="33" t="n">
        <f aca="false">IF(D121="totale",(C121/(A121*24))/F121,IF(D121="marché libre",(C121/(A121*24))/G121,"spécifier histo"))</f>
        <v>0.769567391847962</v>
      </c>
      <c r="F121" s="59" t="n">
        <v>1290</v>
      </c>
      <c r="G121" s="59" t="n">
        <f aca="false">F121-H121</f>
        <v>1290</v>
      </c>
      <c r="H121" s="59" t="n">
        <v>0</v>
      </c>
      <c r="I121" s="9"/>
      <c r="J121" s="30"/>
    </row>
    <row r="122" customFormat="false" ht="20.95" hidden="false" customHeight="true" outlineLevel="0" collapsed="false">
      <c r="A122" s="1" t="n">
        <v>30</v>
      </c>
      <c r="B122" s="34" t="n">
        <v>35217</v>
      </c>
      <c r="C122" s="302" t="n">
        <v>673400</v>
      </c>
      <c r="D122" s="29" t="s">
        <v>41</v>
      </c>
      <c r="E122" s="33" t="n">
        <f aca="false">IF(D122="totale",(C122/(A122*24))/F122,IF(D122="marché libre",(C122/(A122*24))/G122,"spécifier histo"))</f>
        <v>0.725021533161068</v>
      </c>
      <c r="F122" s="59" t="n">
        <v>1290</v>
      </c>
      <c r="G122" s="59" t="n">
        <f aca="false">F122-H122</f>
        <v>1290</v>
      </c>
      <c r="H122" s="59" t="n">
        <v>0</v>
      </c>
      <c r="I122" s="9"/>
      <c r="J122" s="30"/>
    </row>
    <row r="123" customFormat="false" ht="20.95" hidden="false" customHeight="true" outlineLevel="0" collapsed="false">
      <c r="A123" s="1" t="n">
        <v>31</v>
      </c>
      <c r="B123" s="31" t="n">
        <v>35247</v>
      </c>
      <c r="C123" s="302" t="n">
        <v>519400</v>
      </c>
      <c r="D123" s="29" t="s">
        <v>41</v>
      </c>
      <c r="E123" s="33" t="n">
        <f aca="false">IF(D123="totale",(C123/(A123*24))/F123,IF(D123="marché libre",(C123/(A123*24))/G123,"spécifier histo"))</f>
        <v>0.541176960906893</v>
      </c>
      <c r="F123" s="59" t="n">
        <v>1290</v>
      </c>
      <c r="G123" s="59" t="n">
        <f aca="false">F123-H123</f>
        <v>1290</v>
      </c>
      <c r="H123" s="59" t="n">
        <v>0</v>
      </c>
      <c r="I123" s="9"/>
      <c r="J123" s="30"/>
    </row>
    <row r="124" customFormat="false" ht="20.95" hidden="false" customHeight="true" outlineLevel="0" collapsed="false">
      <c r="A124" s="1" t="n">
        <v>31</v>
      </c>
      <c r="B124" s="34" t="n">
        <v>35278</v>
      </c>
      <c r="C124" s="302" t="n">
        <v>311200</v>
      </c>
      <c r="D124" s="29" t="s">
        <v>41</v>
      </c>
      <c r="E124" s="33" t="n">
        <f aca="false">IF(D124="totale",(C124/(A124*24))/F124,IF(D124="marché libre",(C124/(A124*24))/G124,"spécifier histo"))</f>
        <v>0.324247728598816</v>
      </c>
      <c r="F124" s="59" t="n">
        <v>1290</v>
      </c>
      <c r="G124" s="59" t="n">
        <f aca="false">F124-H124</f>
        <v>1290</v>
      </c>
      <c r="H124" s="59" t="n">
        <v>0</v>
      </c>
      <c r="I124" s="9"/>
      <c r="J124" s="30"/>
    </row>
    <row r="125" customFormat="false" ht="20.95" hidden="false" customHeight="true" outlineLevel="0" collapsed="false">
      <c r="A125" s="1" t="n">
        <v>30</v>
      </c>
      <c r="B125" s="31" t="n">
        <v>35309</v>
      </c>
      <c r="C125" s="302" t="n">
        <v>221600</v>
      </c>
      <c r="D125" s="29" t="s">
        <v>41</v>
      </c>
      <c r="E125" s="33" t="n">
        <f aca="false">IF(D125="totale",(C125/(A125*24))/F125,IF(D125="marché libre",(C125/(A125*24))/G125,"spécifier histo"))</f>
        <v>0.238587424633936</v>
      </c>
      <c r="F125" s="59" t="n">
        <v>1290</v>
      </c>
      <c r="G125" s="59" t="n">
        <f aca="false">F125-H125</f>
        <v>1290</v>
      </c>
      <c r="H125" s="59" t="n">
        <v>0</v>
      </c>
      <c r="I125" s="9"/>
      <c r="J125" s="30"/>
    </row>
    <row r="126" customFormat="false" ht="20.95" hidden="false" customHeight="true" outlineLevel="0" collapsed="false">
      <c r="A126" s="1" t="n">
        <v>31</v>
      </c>
      <c r="B126" s="34" t="n">
        <v>35339</v>
      </c>
      <c r="C126" s="302" t="n">
        <v>119200</v>
      </c>
      <c r="D126" s="29" t="s">
        <v>41</v>
      </c>
      <c r="E126" s="33" t="n">
        <f aca="false">IF(D126="totale",(C126/(A126*24))/F126,IF(D126="marché libre",(C126/(A126*24))/G126,"spécifier histo"))</f>
        <v>0.124197716095691</v>
      </c>
      <c r="F126" s="59" t="n">
        <v>1290</v>
      </c>
      <c r="G126" s="59" t="n">
        <f aca="false">F126-H126</f>
        <v>1290</v>
      </c>
      <c r="H126" s="59" t="n">
        <v>0</v>
      </c>
      <c r="I126" s="9"/>
      <c r="J126" s="30"/>
    </row>
    <row r="127" customFormat="false" ht="20.95" hidden="false" customHeight="true" outlineLevel="0" collapsed="false">
      <c r="A127" s="1" t="n">
        <v>30</v>
      </c>
      <c r="B127" s="31" t="n">
        <v>35370</v>
      </c>
      <c r="C127" s="302" t="n">
        <v>376400</v>
      </c>
      <c r="D127" s="29" t="s">
        <v>41</v>
      </c>
      <c r="E127" s="33" t="n">
        <f aca="false">IF(D127="totale",(C127/(A127*24))/F127,IF(D127="marché libre",(C127/(A127*24))/G127,"spécifier histo"))</f>
        <v>0.405254091300603</v>
      </c>
      <c r="F127" s="59" t="n">
        <v>1290</v>
      </c>
      <c r="G127" s="59" t="n">
        <f aca="false">F127-H127</f>
        <v>1290</v>
      </c>
      <c r="H127" s="59" t="n">
        <v>0</v>
      </c>
      <c r="I127" s="9"/>
      <c r="J127" s="30"/>
    </row>
    <row r="128" customFormat="false" ht="20.95" hidden="false" customHeight="true" outlineLevel="0" collapsed="false">
      <c r="A128" s="1" t="n">
        <v>31</v>
      </c>
      <c r="B128" s="34" t="n">
        <v>35400</v>
      </c>
      <c r="C128" s="303" t="n">
        <v>365400</v>
      </c>
      <c r="D128" s="29" t="s">
        <v>41</v>
      </c>
      <c r="E128" s="33" t="n">
        <f aca="false">IF(D128="totale",(C128/(A128*24))/F128,IF(D128="marché libre",(C128/(A128*24))/G128,"spécifier histo"))</f>
        <v>0.380720180045011</v>
      </c>
      <c r="F128" s="59" t="n">
        <v>1290</v>
      </c>
      <c r="G128" s="59" t="n">
        <f aca="false">F128-H128</f>
        <v>1290</v>
      </c>
      <c r="H128" s="59" t="n">
        <v>0</v>
      </c>
      <c r="I128" s="9"/>
      <c r="J128" s="30"/>
    </row>
    <row r="129" customFormat="false" ht="20.95" hidden="false" customHeight="true" outlineLevel="0" collapsed="false">
      <c r="A129" s="1" t="n">
        <v>31</v>
      </c>
      <c r="B129" s="31" t="n">
        <v>35431</v>
      </c>
      <c r="C129" s="302" t="n">
        <v>278600</v>
      </c>
      <c r="D129" s="29" t="s">
        <v>41</v>
      </c>
      <c r="E129" s="33" t="n">
        <f aca="false">IF(D129="totale",(C129/(A129*24))/F129,IF(D129="marché libre",(C129/(A129*24))/G129,"spécifier histo"))</f>
        <v>0.290280903559223</v>
      </c>
      <c r="F129" s="59" t="n">
        <v>1290</v>
      </c>
      <c r="G129" s="59" t="n">
        <f aca="false">F129-H129</f>
        <v>1290</v>
      </c>
      <c r="H129" s="59" t="n">
        <v>0</v>
      </c>
      <c r="I129" s="9"/>
      <c r="J129" s="30"/>
    </row>
    <row r="130" customFormat="false" ht="20.95" hidden="false" customHeight="true" outlineLevel="0" collapsed="false">
      <c r="A130" s="1" t="n">
        <v>28</v>
      </c>
      <c r="B130" s="34" t="n">
        <v>35462</v>
      </c>
      <c r="C130" s="302" t="n">
        <v>217800</v>
      </c>
      <c r="D130" s="29" t="s">
        <v>41</v>
      </c>
      <c r="E130" s="33" t="n">
        <f aca="false">IF(D130="totale",(C130/(A130*24))/F130,IF(D130="marché libre",(C130/(A130*24))/G130,"spécifier histo"))</f>
        <v>0.25124584717608</v>
      </c>
      <c r="F130" s="59" t="n">
        <v>1290</v>
      </c>
      <c r="G130" s="59" t="n">
        <f aca="false">F130-H130</f>
        <v>1290</v>
      </c>
      <c r="H130" s="59" t="n">
        <v>0</v>
      </c>
      <c r="I130" s="9"/>
      <c r="J130" s="30"/>
    </row>
    <row r="131" customFormat="false" ht="20.95" hidden="false" customHeight="true" outlineLevel="0" collapsed="false">
      <c r="A131" s="1" t="n">
        <v>31</v>
      </c>
      <c r="B131" s="31" t="n">
        <v>35490</v>
      </c>
      <c r="C131" s="302" t="n">
        <v>452800</v>
      </c>
      <c r="D131" s="29" t="s">
        <v>41</v>
      </c>
      <c r="E131" s="33" t="n">
        <f aca="false">IF(D131="totale",(C131/(A131*24))/F131,IF(D131="marché libre",(C131/(A131*24))/G131,"spécifier histo"))</f>
        <v>0.471784612819872</v>
      </c>
      <c r="F131" s="59" t="n">
        <v>1290</v>
      </c>
      <c r="G131" s="59" t="n">
        <f aca="false">F131-H131</f>
        <v>1290</v>
      </c>
      <c r="H131" s="59" t="n">
        <v>0</v>
      </c>
      <c r="I131" s="9"/>
      <c r="J131" s="30"/>
    </row>
    <row r="132" customFormat="false" ht="20.95" hidden="false" customHeight="true" outlineLevel="0" collapsed="false">
      <c r="A132" s="1" t="n">
        <v>30</v>
      </c>
      <c r="B132" s="34" t="n">
        <v>35521</v>
      </c>
      <c r="C132" s="302" t="n">
        <v>659400</v>
      </c>
      <c r="D132" s="29" t="s">
        <v>41</v>
      </c>
      <c r="E132" s="33" t="n">
        <f aca="false">IF(D132="totale",(C132/(A132*24))/F132,IF(D132="marché libre",(C132/(A132*24))/G132,"spécifier histo"))</f>
        <v>0.709948320413437</v>
      </c>
      <c r="F132" s="59" t="n">
        <v>1290</v>
      </c>
      <c r="G132" s="59" t="n">
        <f aca="false">F132-H132</f>
        <v>1290</v>
      </c>
      <c r="H132" s="59" t="n">
        <v>0</v>
      </c>
      <c r="I132" s="9"/>
      <c r="J132" s="30"/>
    </row>
    <row r="133" customFormat="false" ht="20.95" hidden="false" customHeight="true" outlineLevel="0" collapsed="false">
      <c r="A133" s="1" t="n">
        <v>31</v>
      </c>
      <c r="B133" s="31" t="n">
        <v>35551</v>
      </c>
      <c r="C133" s="302" t="n">
        <v>774200</v>
      </c>
      <c r="D133" s="29" t="s">
        <v>41</v>
      </c>
      <c r="E133" s="33" t="n">
        <f aca="false">IF(D133="totale",(C133/(A133*24))/F133,IF(D133="marché libre",(C133/(A133*24))/G133,"spécifier histo"))</f>
        <v>0.806659998332916</v>
      </c>
      <c r="F133" s="59" t="n">
        <v>1290</v>
      </c>
      <c r="G133" s="59" t="n">
        <f aca="false">F133-H133</f>
        <v>1290</v>
      </c>
      <c r="H133" s="59" t="n">
        <v>0</v>
      </c>
      <c r="I133" s="9"/>
      <c r="J133" s="30"/>
    </row>
    <row r="134" customFormat="false" ht="20.95" hidden="false" customHeight="true" outlineLevel="0" collapsed="false">
      <c r="A134" s="1" t="n">
        <v>30</v>
      </c>
      <c r="B134" s="34" t="n">
        <v>35582</v>
      </c>
      <c r="C134" s="302" t="n">
        <v>390000</v>
      </c>
      <c r="D134" s="29" t="s">
        <v>41</v>
      </c>
      <c r="E134" s="33" t="n">
        <f aca="false">IF(D134="totale",(C134/(A134*24))/F134,IF(D134="marché libre",(C134/(A134*24))/G134,"spécifier histo"))</f>
        <v>0.419896640826873</v>
      </c>
      <c r="F134" s="59" t="n">
        <v>1290</v>
      </c>
      <c r="G134" s="59" t="n">
        <f aca="false">F134-H134</f>
        <v>1290</v>
      </c>
      <c r="H134" s="59" t="n">
        <v>0</v>
      </c>
      <c r="I134" s="9"/>
      <c r="J134" s="30"/>
    </row>
    <row r="135" customFormat="false" ht="20.95" hidden="false" customHeight="true" outlineLevel="0" collapsed="false">
      <c r="A135" s="1" t="n">
        <v>31</v>
      </c>
      <c r="B135" s="31" t="n">
        <v>35612</v>
      </c>
      <c r="C135" s="302" t="n">
        <v>476000</v>
      </c>
      <c r="D135" s="29" t="s">
        <v>41</v>
      </c>
      <c r="E135" s="33" t="n">
        <f aca="false">IF(D135="totale",(C135/(A135*24))/F135,IF(D135="marché libre",(C135/(A135*24))/G135,"spécifier histo"))</f>
        <v>0.495957322663999</v>
      </c>
      <c r="F135" s="59" t="n">
        <v>1290</v>
      </c>
      <c r="G135" s="59" t="n">
        <f aca="false">F135-H135</f>
        <v>1290</v>
      </c>
      <c r="H135" s="59" t="n">
        <v>0</v>
      </c>
      <c r="I135" s="9"/>
      <c r="J135" s="30"/>
    </row>
    <row r="136" customFormat="false" ht="20.95" hidden="false" customHeight="true" outlineLevel="0" collapsed="false">
      <c r="A136" s="1" t="n">
        <v>31</v>
      </c>
      <c r="B136" s="34" t="n">
        <v>35643</v>
      </c>
      <c r="C136" s="302" t="n">
        <v>304000</v>
      </c>
      <c r="D136" s="29" t="s">
        <v>41</v>
      </c>
      <c r="E136" s="33" t="n">
        <f aca="false">IF(D136="totale",(C136/(A136*24))/F136,IF(D136="marché libre",(C136/(A136*24))/G136,"spécifier histo"))</f>
        <v>0.316745853129949</v>
      </c>
      <c r="F136" s="59" t="n">
        <v>1290</v>
      </c>
      <c r="G136" s="59" t="n">
        <f aca="false">F136-H136</f>
        <v>1290</v>
      </c>
      <c r="H136" s="59" t="n">
        <v>0</v>
      </c>
      <c r="I136" s="9"/>
      <c r="J136" s="30"/>
    </row>
    <row r="137" customFormat="false" ht="20.95" hidden="false" customHeight="true" outlineLevel="0" collapsed="false">
      <c r="A137" s="1" t="n">
        <v>30</v>
      </c>
      <c r="B137" s="31" t="n">
        <v>35674</v>
      </c>
      <c r="C137" s="302" t="n">
        <v>174800</v>
      </c>
      <c r="D137" s="29" t="s">
        <v>41</v>
      </c>
      <c r="E137" s="33" t="n">
        <f aca="false">IF(D137="totale",(C137/(A137*24))/F137,IF(D137="marché libre",(C137/(A137*24))/G137,"spécifier histo"))</f>
        <v>0.188199827734711</v>
      </c>
      <c r="F137" s="59" t="n">
        <v>1290</v>
      </c>
      <c r="G137" s="59" t="n">
        <f aca="false">F137-H137</f>
        <v>1290</v>
      </c>
      <c r="H137" s="59" t="n">
        <v>0</v>
      </c>
      <c r="I137" s="9"/>
      <c r="J137" s="30"/>
    </row>
    <row r="138" customFormat="false" ht="20.95" hidden="false" customHeight="true" outlineLevel="0" collapsed="false">
      <c r="A138" s="1" t="n">
        <v>31</v>
      </c>
      <c r="B138" s="34" t="n">
        <v>35704</v>
      </c>
      <c r="C138" s="302" t="n">
        <v>101800</v>
      </c>
      <c r="D138" s="29" t="s">
        <v>41</v>
      </c>
      <c r="E138" s="33" t="n">
        <f aca="false">IF(D138="totale",(C138/(A138*24))/F138,IF(D138="marché libre",(C138/(A138*24))/G138,"spécifier histo"))</f>
        <v>0.106068183712595</v>
      </c>
      <c r="F138" s="59" t="n">
        <v>1290</v>
      </c>
      <c r="G138" s="59" t="n">
        <f aca="false">F138-H138</f>
        <v>1290</v>
      </c>
      <c r="H138" s="59" t="n">
        <v>0</v>
      </c>
      <c r="I138" s="9"/>
      <c r="J138" s="30"/>
    </row>
    <row r="139" customFormat="false" ht="20.95" hidden="false" customHeight="true" outlineLevel="0" collapsed="false">
      <c r="A139" s="1" t="n">
        <v>30</v>
      </c>
      <c r="B139" s="31" t="n">
        <v>35735</v>
      </c>
      <c r="C139" s="302" t="n">
        <v>291600</v>
      </c>
      <c r="D139" s="29" t="s">
        <v>41</v>
      </c>
      <c r="E139" s="33" t="n">
        <f aca="false">IF(D139="totale",(C139/(A139*24))/F139,IF(D139="marché libre",(C139/(A139*24))/G139,"spécifier histo"))</f>
        <v>0.313953488372093</v>
      </c>
      <c r="F139" s="59" t="n">
        <v>1290</v>
      </c>
      <c r="G139" s="59" t="n">
        <f aca="false">F139-H139</f>
        <v>1290</v>
      </c>
      <c r="H139" s="59" t="n">
        <v>0</v>
      </c>
      <c r="I139" s="9"/>
      <c r="J139" s="30"/>
    </row>
    <row r="140" customFormat="false" ht="20.95" hidden="false" customHeight="true" outlineLevel="0" collapsed="false">
      <c r="A140" s="1" t="n">
        <v>31</v>
      </c>
      <c r="B140" s="34" t="n">
        <v>35765</v>
      </c>
      <c r="C140" s="302" t="n">
        <v>182800</v>
      </c>
      <c r="D140" s="29" t="s">
        <v>41</v>
      </c>
      <c r="E140" s="33" t="n">
        <f aca="false">IF(D140="totale",(C140/(A140*24))/F140,IF(D140="marché libre",(C140/(A140*24))/G140,"spécifier histo"))</f>
        <v>0.190464282737351</v>
      </c>
      <c r="F140" s="59" t="n">
        <v>1290</v>
      </c>
      <c r="G140" s="59" t="n">
        <f aca="false">F140-H140</f>
        <v>1290</v>
      </c>
      <c r="H140" s="59" t="n">
        <v>0</v>
      </c>
      <c r="I140" s="9"/>
      <c r="J140" s="30"/>
    </row>
    <row r="141" customFormat="false" ht="20.95" hidden="false" customHeight="true" outlineLevel="0" collapsed="false">
      <c r="A141" s="1" t="n">
        <v>31</v>
      </c>
      <c r="B141" s="31" t="n">
        <v>35796</v>
      </c>
      <c r="C141" s="302" t="n">
        <v>176600</v>
      </c>
      <c r="D141" s="29" t="s">
        <v>41</v>
      </c>
      <c r="E141" s="33" t="n">
        <f aca="false">IF(D141="totale",(C141/(A141*24))/F141,IF(D141="marché libre",(C141/(A141*24))/G141,"spécifier histo"))</f>
        <v>0.184004334416938</v>
      </c>
      <c r="F141" s="59" t="n">
        <v>1290</v>
      </c>
      <c r="G141" s="59" t="n">
        <f aca="false">F141-H141</f>
        <v>1290</v>
      </c>
      <c r="H141" s="59" t="n">
        <v>0</v>
      </c>
      <c r="I141" s="9"/>
      <c r="J141" s="30"/>
    </row>
    <row r="142" customFormat="false" ht="20.95" hidden="false" customHeight="true" outlineLevel="0" collapsed="false">
      <c r="A142" s="1" t="n">
        <v>28</v>
      </c>
      <c r="B142" s="34" t="n">
        <v>35827</v>
      </c>
      <c r="C142" s="302" t="n">
        <v>113200</v>
      </c>
      <c r="D142" s="29" t="s">
        <v>41</v>
      </c>
      <c r="E142" s="33" t="n">
        <f aca="false">IF(D142="totale",(C142/(A142*24))/F142,IF(D142="marché libre",(C142/(A142*24))/G142,"spécifier histo"))</f>
        <v>0.130583241048357</v>
      </c>
      <c r="F142" s="59" t="n">
        <v>1290</v>
      </c>
      <c r="G142" s="59" t="n">
        <f aca="false">F142-H142</f>
        <v>1290</v>
      </c>
      <c r="H142" s="59" t="n">
        <v>0</v>
      </c>
      <c r="I142" s="9"/>
      <c r="J142" s="30"/>
    </row>
    <row r="143" customFormat="false" ht="20.95" hidden="false" customHeight="true" outlineLevel="0" collapsed="false">
      <c r="A143" s="1" t="n">
        <v>31</v>
      </c>
      <c r="B143" s="31" t="n">
        <v>35855</v>
      </c>
      <c r="C143" s="302" t="n">
        <v>192400</v>
      </c>
      <c r="D143" s="29" t="s">
        <v>41</v>
      </c>
      <c r="E143" s="33" t="n">
        <f aca="false">IF(D143="totale",(C143/(A143*24))/F143,IF(D143="marché libre",(C143/(A143*24))/G143,"spécifier histo"))</f>
        <v>0.200466783362507</v>
      </c>
      <c r="F143" s="59" t="n">
        <v>1290</v>
      </c>
      <c r="G143" s="59" t="n">
        <f aca="false">F143-H143</f>
        <v>1290</v>
      </c>
      <c r="H143" s="59" t="n">
        <v>0</v>
      </c>
      <c r="I143" s="9"/>
      <c r="J143" s="30"/>
    </row>
    <row r="144" customFormat="false" ht="20.95" hidden="false" customHeight="true" outlineLevel="0" collapsed="false">
      <c r="A144" s="1" t="n">
        <v>30</v>
      </c>
      <c r="B144" s="34" t="n">
        <v>35886</v>
      </c>
      <c r="C144" s="302" t="n">
        <v>438400</v>
      </c>
      <c r="D144" s="29" t="s">
        <v>41</v>
      </c>
      <c r="E144" s="33" t="n">
        <f aca="false">IF(D144="totale",(C144/(A144*24))/F144,IF(D144="marché libre",(C144/(A144*24))/G144,"spécifier histo"))</f>
        <v>0.472006890611542</v>
      </c>
      <c r="F144" s="59" t="n">
        <v>1290</v>
      </c>
      <c r="G144" s="59" t="n">
        <f aca="false">F144-H144</f>
        <v>1290</v>
      </c>
      <c r="H144" s="59" t="n">
        <v>0</v>
      </c>
      <c r="I144" s="9"/>
      <c r="J144" s="30"/>
    </row>
    <row r="145" customFormat="false" ht="20.95" hidden="false" customHeight="true" outlineLevel="0" collapsed="false">
      <c r="A145" s="1" t="n">
        <v>31</v>
      </c>
      <c r="B145" s="31" t="n">
        <v>35916</v>
      </c>
      <c r="C145" s="302" t="n">
        <v>797000</v>
      </c>
      <c r="D145" s="29" t="s">
        <v>41</v>
      </c>
      <c r="E145" s="33" t="n">
        <f aca="false">IF(D145="totale",(C145/(A145*24))/F145,IF(D145="marché libre",(C145/(A145*24))/G145,"spécifier histo"))</f>
        <v>0.830415937317663</v>
      </c>
      <c r="F145" s="59" t="n">
        <v>1290</v>
      </c>
      <c r="G145" s="59" t="n">
        <f aca="false">F145-H145</f>
        <v>1290</v>
      </c>
      <c r="H145" s="59" t="n">
        <v>0</v>
      </c>
      <c r="I145" s="9"/>
      <c r="J145" s="30"/>
    </row>
    <row r="146" customFormat="false" ht="20.95" hidden="false" customHeight="true" outlineLevel="0" collapsed="false">
      <c r="A146" s="1" t="n">
        <v>30</v>
      </c>
      <c r="B146" s="34" t="n">
        <v>35947</v>
      </c>
      <c r="C146" s="302" t="n">
        <v>541000</v>
      </c>
      <c r="D146" s="29" t="s">
        <v>41</v>
      </c>
      <c r="E146" s="33" t="n">
        <f aca="false">IF(D146="totale",(C146/(A146*24))/F146,IF(D146="marché libre",(C146/(A146*24))/G146,"spécifier histo"))</f>
        <v>0.582472006890612</v>
      </c>
      <c r="F146" s="59" t="n">
        <v>1290</v>
      </c>
      <c r="G146" s="59" t="n">
        <f aca="false">F146-H146</f>
        <v>1290</v>
      </c>
      <c r="H146" s="59" t="n">
        <v>0</v>
      </c>
      <c r="I146" s="9"/>
      <c r="J146" s="30"/>
    </row>
    <row r="147" customFormat="false" ht="20.95" hidden="false" customHeight="true" outlineLevel="0" collapsed="false">
      <c r="A147" s="1" t="n">
        <v>31</v>
      </c>
      <c r="B147" s="31" t="n">
        <v>35977</v>
      </c>
      <c r="C147" s="302" t="n">
        <v>236400</v>
      </c>
      <c r="D147" s="29" t="s">
        <v>41</v>
      </c>
      <c r="E147" s="33" t="n">
        <f aca="false">IF(D147="totale",(C147/(A147*24))/F147,IF(D147="marché libre",(C147/(A147*24))/G147,"spécifier histo"))</f>
        <v>0.246311577894474</v>
      </c>
      <c r="F147" s="59" t="n">
        <v>1290</v>
      </c>
      <c r="G147" s="59" t="n">
        <f aca="false">F147-H147</f>
        <v>1290</v>
      </c>
      <c r="H147" s="59" t="n">
        <v>0</v>
      </c>
      <c r="I147" s="9"/>
      <c r="J147" s="30"/>
    </row>
    <row r="148" customFormat="false" ht="20.95" hidden="false" customHeight="true" outlineLevel="0" collapsed="false">
      <c r="A148" s="1" t="n">
        <v>31</v>
      </c>
      <c r="B148" s="34" t="n">
        <v>36008</v>
      </c>
      <c r="C148" s="302" t="n">
        <v>107800</v>
      </c>
      <c r="D148" s="29" t="s">
        <v>41</v>
      </c>
      <c r="E148" s="33" t="n">
        <f aca="false">IF(D148="totale",(C148/(A148*24))/F148,IF(D148="marché libre",(C148/(A148*24))/G148,"spécifier histo"))</f>
        <v>0.112319746603318</v>
      </c>
      <c r="F148" s="59" t="n">
        <v>1290</v>
      </c>
      <c r="G148" s="59" t="n">
        <f aca="false">F148-H148</f>
        <v>1290</v>
      </c>
      <c r="H148" s="59" t="n">
        <v>0</v>
      </c>
      <c r="I148" s="9"/>
      <c r="J148" s="30"/>
    </row>
    <row r="149" customFormat="false" ht="20.95" hidden="false" customHeight="true" outlineLevel="0" collapsed="false">
      <c r="A149" s="1" t="n">
        <v>30</v>
      </c>
      <c r="B149" s="31" t="n">
        <v>36039</v>
      </c>
      <c r="C149" s="302" t="n">
        <v>87400</v>
      </c>
      <c r="D149" s="29" t="s">
        <v>41</v>
      </c>
      <c r="E149" s="33" t="n">
        <f aca="false">IF(D149="totale",(C149/(A149*24))/F149,IF(D149="marché libre",(C149/(A149*24))/G149,"spécifier histo"))</f>
        <v>0.0940999138673557</v>
      </c>
      <c r="F149" s="59" t="n">
        <v>1290</v>
      </c>
      <c r="G149" s="59" t="n">
        <f aca="false">F149-H149</f>
        <v>1290</v>
      </c>
      <c r="H149" s="59" t="n">
        <v>0</v>
      </c>
      <c r="I149" s="9"/>
      <c r="J149" s="30"/>
    </row>
    <row r="150" customFormat="false" ht="20.95" hidden="false" customHeight="true" outlineLevel="0" collapsed="false">
      <c r="A150" s="1" t="n">
        <v>31</v>
      </c>
      <c r="B150" s="34" t="n">
        <v>36069</v>
      </c>
      <c r="C150" s="302" t="n">
        <v>262400</v>
      </c>
      <c r="D150" s="29" t="s">
        <v>41</v>
      </c>
      <c r="E150" s="33" t="n">
        <f aca="false">IF(D150="totale",(C150/(A150*24))/F150,IF(D150="marché libre",(C150/(A150*24))/G150,"spécifier histo"))</f>
        <v>0.273401683754272</v>
      </c>
      <c r="F150" s="59" t="n">
        <v>1290</v>
      </c>
      <c r="G150" s="59" t="n">
        <f aca="false">F150-H150</f>
        <v>1290</v>
      </c>
      <c r="H150" s="59" t="n">
        <v>0</v>
      </c>
      <c r="I150" s="9"/>
      <c r="J150" s="30"/>
    </row>
    <row r="151" customFormat="false" ht="20.95" hidden="false" customHeight="true" outlineLevel="0" collapsed="false">
      <c r="A151" s="1" t="n">
        <v>30</v>
      </c>
      <c r="B151" s="31" t="n">
        <v>36100</v>
      </c>
      <c r="C151" s="302" t="n">
        <v>292600</v>
      </c>
      <c r="D151" s="29" t="s">
        <v>41</v>
      </c>
      <c r="E151" s="33" t="n">
        <f aca="false">IF(D151="totale",(C151/(A151*24))/F151,IF(D151="marché libre",(C151/(A151*24))/G151,"spécifier histo"))</f>
        <v>0.315030146425495</v>
      </c>
      <c r="F151" s="59" t="n">
        <v>1290</v>
      </c>
      <c r="G151" s="59" t="n">
        <f aca="false">F151-H151</f>
        <v>1290</v>
      </c>
      <c r="H151" s="59" t="n">
        <v>0</v>
      </c>
      <c r="I151" s="9"/>
      <c r="J151" s="30"/>
    </row>
    <row r="152" customFormat="false" ht="20.95" hidden="false" customHeight="true" outlineLevel="0" collapsed="false">
      <c r="A152" s="1" t="n">
        <v>31</v>
      </c>
      <c r="B152" s="34" t="n">
        <v>36130</v>
      </c>
      <c r="C152" s="302" t="n">
        <v>128400</v>
      </c>
      <c r="D152" s="29" t="s">
        <v>41</v>
      </c>
      <c r="E152" s="33" t="n">
        <f aca="false">IF(D152="totale",(C152/(A152*24))/F152,IF(D152="marché libre",(C152/(A152*24))/G152,"spécifier histo"))</f>
        <v>0.133783445861465</v>
      </c>
      <c r="F152" s="59" t="n">
        <v>1290</v>
      </c>
      <c r="G152" s="59" t="n">
        <f aca="false">F152-H152</f>
        <v>1290</v>
      </c>
      <c r="H152" s="59" t="n">
        <v>0</v>
      </c>
      <c r="I152" s="9"/>
      <c r="J152" s="30"/>
    </row>
    <row r="153" customFormat="false" ht="20.95" hidden="false" customHeight="true" outlineLevel="0" collapsed="false">
      <c r="A153" s="1" t="n">
        <v>31</v>
      </c>
      <c r="B153" s="31" t="n">
        <v>36161</v>
      </c>
      <c r="C153" s="302" t="n">
        <v>105000</v>
      </c>
      <c r="D153" s="29" t="s">
        <v>41</v>
      </c>
      <c r="E153" s="33" t="n">
        <f aca="false">IF(D153="totale",(C153/(A153*24))/F153,IF(D153="marché libre",(C153/(A153*24))/G153,"spécifier histo"))</f>
        <v>0.109402350587647</v>
      </c>
      <c r="F153" s="59" t="n">
        <v>1290</v>
      </c>
      <c r="G153" s="59" t="n">
        <f aca="false">F153-H153</f>
        <v>1290</v>
      </c>
      <c r="H153" s="59" t="n">
        <v>0</v>
      </c>
      <c r="I153" s="9"/>
      <c r="J153" s="30"/>
    </row>
    <row r="154" customFormat="false" ht="20.95" hidden="false" customHeight="true" outlineLevel="0" collapsed="false">
      <c r="A154" s="1" t="n">
        <v>28</v>
      </c>
      <c r="B154" s="34" t="n">
        <v>36192</v>
      </c>
      <c r="C154" s="302" t="n">
        <v>36800</v>
      </c>
      <c r="D154" s="29" t="s">
        <v>41</v>
      </c>
      <c r="E154" s="33" t="n">
        <f aca="false">IF(D154="totale",(C154/(A154*24))/F154,IF(D154="marché libre",(C154/(A154*24))/G154,"spécifier histo"))</f>
        <v>0.0424510889627169</v>
      </c>
      <c r="F154" s="59" t="n">
        <v>1290</v>
      </c>
      <c r="G154" s="59" t="n">
        <f aca="false">F154-H154</f>
        <v>1290</v>
      </c>
      <c r="H154" s="59" t="n">
        <v>0</v>
      </c>
      <c r="I154" s="9"/>
      <c r="J154" s="30"/>
    </row>
    <row r="155" customFormat="false" ht="20.95" hidden="false" customHeight="true" outlineLevel="0" collapsed="false">
      <c r="A155" s="1" t="n">
        <v>31</v>
      </c>
      <c r="B155" s="31" t="n">
        <v>36220</v>
      </c>
      <c r="C155" s="302" t="n">
        <v>93600</v>
      </c>
      <c r="D155" s="29" t="s">
        <v>41</v>
      </c>
      <c r="E155" s="33" t="n">
        <f aca="false">IF(D155="totale",(C155/(A155*24))/F155,IF(D155="marché libre",(C155/(A155*24))/G155,"spécifier histo"))</f>
        <v>0.0975243810952738</v>
      </c>
      <c r="F155" s="59" t="n">
        <v>1290</v>
      </c>
      <c r="G155" s="59" t="n">
        <f aca="false">F155-H155</f>
        <v>1290</v>
      </c>
      <c r="H155" s="59" t="n">
        <v>0</v>
      </c>
      <c r="I155" s="9"/>
      <c r="J155" s="30"/>
    </row>
    <row r="156" customFormat="false" ht="20.95" hidden="false" customHeight="true" outlineLevel="0" collapsed="false">
      <c r="A156" s="1" t="n">
        <v>30</v>
      </c>
      <c r="B156" s="34" t="n">
        <v>36251</v>
      </c>
      <c r="C156" s="302" t="n">
        <v>273600</v>
      </c>
      <c r="D156" s="29" t="s">
        <v>41</v>
      </c>
      <c r="E156" s="33" t="n">
        <f aca="false">IF(D156="totale",(C156/(A156*24))/F156,IF(D156="marché libre",(C156/(A156*24))/G156,"spécifier histo"))</f>
        <v>0.294573643410853</v>
      </c>
      <c r="F156" s="59" t="n">
        <v>1290</v>
      </c>
      <c r="G156" s="59" t="n">
        <f aca="false">F156-H156</f>
        <v>1290</v>
      </c>
      <c r="H156" s="59" t="n">
        <v>0</v>
      </c>
      <c r="I156" s="9"/>
      <c r="J156" s="30"/>
    </row>
    <row r="157" customFormat="false" ht="20.95" hidden="false" customHeight="true" outlineLevel="0" collapsed="false">
      <c r="A157" s="1" t="n">
        <v>31</v>
      </c>
      <c r="B157" s="31" t="n">
        <v>36281</v>
      </c>
      <c r="C157" s="302" t="n">
        <v>680600</v>
      </c>
      <c r="D157" s="29" t="s">
        <v>41</v>
      </c>
      <c r="E157" s="33" t="n">
        <f aca="false">IF(D157="totale",(C157/(A157*24))/F157,IF(D157="marché libre",(C157/(A157*24))/G157,"spécifier histo"))</f>
        <v>0.709135617237643</v>
      </c>
      <c r="F157" s="59" t="n">
        <v>1290</v>
      </c>
      <c r="G157" s="59" t="n">
        <f aca="false">F157-H157</f>
        <v>1290</v>
      </c>
      <c r="H157" s="59" t="n">
        <v>0</v>
      </c>
      <c r="I157" s="9"/>
      <c r="J157" s="30"/>
    </row>
    <row r="158" customFormat="false" ht="20.95" hidden="false" customHeight="true" outlineLevel="0" collapsed="false">
      <c r="A158" s="1" t="n">
        <v>30</v>
      </c>
      <c r="B158" s="34" t="n">
        <v>36312</v>
      </c>
      <c r="C158" s="302" t="n">
        <v>322800</v>
      </c>
      <c r="D158" s="29" t="s">
        <v>41</v>
      </c>
      <c r="E158" s="33" t="n">
        <f aca="false">IF(D158="totale",(C158/(A158*24))/F158,IF(D158="marché libre",(C158/(A158*24))/G158,"spécifier histo"))</f>
        <v>0.347545219638243</v>
      </c>
      <c r="F158" s="59" t="n">
        <v>1290</v>
      </c>
      <c r="G158" s="59" t="n">
        <f aca="false">F158-H158</f>
        <v>1290</v>
      </c>
      <c r="H158" s="59" t="n">
        <v>0</v>
      </c>
      <c r="I158" s="9"/>
      <c r="J158" s="30"/>
    </row>
    <row r="159" customFormat="false" ht="20.95" hidden="false" customHeight="true" outlineLevel="0" collapsed="false">
      <c r="A159" s="1" t="n">
        <v>31</v>
      </c>
      <c r="B159" s="31" t="n">
        <v>36342</v>
      </c>
      <c r="C159" s="302" t="n">
        <v>132400</v>
      </c>
      <c r="D159" s="29" t="s">
        <v>41</v>
      </c>
      <c r="E159" s="33" t="n">
        <f aca="false">IF(D159="totale",(C159/(A159*24))/F159,IF(D159="marché libre",(C159/(A159*24))/G159,"spécifier histo"))</f>
        <v>0.137951154455281</v>
      </c>
      <c r="F159" s="59" t="n">
        <v>1290</v>
      </c>
      <c r="G159" s="59" t="n">
        <f aca="false">F159-H159</f>
        <v>1290</v>
      </c>
      <c r="H159" s="59" t="n">
        <v>0</v>
      </c>
      <c r="I159" s="9"/>
      <c r="J159" s="30"/>
    </row>
    <row r="160" customFormat="false" ht="20.95" hidden="false" customHeight="true" outlineLevel="0" collapsed="false">
      <c r="A160" s="1" t="n">
        <v>31</v>
      </c>
      <c r="B160" s="34" t="n">
        <v>36373</v>
      </c>
      <c r="C160" s="302" t="n">
        <v>84400</v>
      </c>
      <c r="D160" s="29" t="s">
        <v>41</v>
      </c>
      <c r="E160" s="33" t="n">
        <f aca="false">IF(D160="totale",(C160/(A160*24))/F160,IF(D160="marché libre",(C160/(A160*24))/G160,"spécifier histo"))</f>
        <v>0.087938651329499</v>
      </c>
      <c r="F160" s="59" t="n">
        <v>1290</v>
      </c>
      <c r="G160" s="59" t="n">
        <f aca="false">F160-H160</f>
        <v>1290</v>
      </c>
      <c r="H160" s="59" t="n">
        <v>0</v>
      </c>
      <c r="I160" s="9"/>
      <c r="J160" s="30"/>
    </row>
    <row r="161" customFormat="false" ht="20.95" hidden="false" customHeight="true" outlineLevel="0" collapsed="false">
      <c r="A161" s="1" t="n">
        <v>30</v>
      </c>
      <c r="B161" s="31" t="n">
        <v>36404</v>
      </c>
      <c r="C161" s="302" t="n">
        <v>67600</v>
      </c>
      <c r="D161" s="29" t="s">
        <v>41</v>
      </c>
      <c r="E161" s="33" t="n">
        <f aca="false">IF(D161="totale",(C161/(A161*24))/F161,IF(D161="marché libre",(C161/(A161*24))/G161,"spécifier histo"))</f>
        <v>0.0727820844099914</v>
      </c>
      <c r="F161" s="59" t="n">
        <v>1290</v>
      </c>
      <c r="G161" s="59" t="n">
        <f aca="false">F161-H161</f>
        <v>1290</v>
      </c>
      <c r="H161" s="59" t="n">
        <v>0</v>
      </c>
      <c r="I161" s="9"/>
      <c r="J161" s="30"/>
    </row>
    <row r="162" customFormat="false" ht="20.95" hidden="false" customHeight="true" outlineLevel="0" collapsed="false">
      <c r="A162" s="1" t="n">
        <v>31</v>
      </c>
      <c r="B162" s="34" t="n">
        <v>36434</v>
      </c>
      <c r="C162" s="302" t="n">
        <v>324800</v>
      </c>
      <c r="D162" s="29" t="s">
        <v>41</v>
      </c>
      <c r="E162" s="33" t="n">
        <f aca="false">IF(D162="totale",(C162/(A162*24))/F162,IF(D162="marché libre",(C162/(A162*24))/G162,"spécifier histo"))</f>
        <v>0.338417937817788</v>
      </c>
      <c r="F162" s="59" t="n">
        <v>1290</v>
      </c>
      <c r="G162" s="59" t="n">
        <f aca="false">F162-H162</f>
        <v>1290</v>
      </c>
      <c r="H162" s="59" t="n">
        <v>0</v>
      </c>
      <c r="I162" s="9"/>
      <c r="J162" s="30"/>
    </row>
    <row r="163" customFormat="false" ht="20.95" hidden="false" customHeight="true" outlineLevel="0" collapsed="false">
      <c r="A163" s="1" t="n">
        <v>30</v>
      </c>
      <c r="B163" s="31" t="n">
        <v>36465</v>
      </c>
      <c r="C163" s="302" t="n">
        <v>385400</v>
      </c>
      <c r="D163" s="29" t="s">
        <v>41</v>
      </c>
      <c r="E163" s="33" t="n">
        <f aca="false">IF(D163="totale",(C163/(A163*24))/F163,IF(D163="marché libre",(C163/(A163*24))/G163,"spécifier histo"))</f>
        <v>0.414944013781223</v>
      </c>
      <c r="F163" s="59" t="n">
        <v>1290</v>
      </c>
      <c r="G163" s="59" t="n">
        <f aca="false">F163-H163</f>
        <v>1290</v>
      </c>
      <c r="H163" s="59" t="n">
        <v>0</v>
      </c>
      <c r="I163" s="9"/>
      <c r="J163" s="30"/>
    </row>
    <row r="164" customFormat="false" ht="20.95" hidden="false" customHeight="true" outlineLevel="0" collapsed="false">
      <c r="A164" s="1" t="n">
        <v>31</v>
      </c>
      <c r="B164" s="34" t="n">
        <v>36495</v>
      </c>
      <c r="C164" s="302" t="n">
        <v>172400</v>
      </c>
      <c r="D164" s="29" t="s">
        <v>41</v>
      </c>
      <c r="E164" s="33" t="n">
        <f aca="false">IF(D164="totale",(C164/(A164*24))/F164,IF(D164="marché libre",(C164/(A164*24))/G164,"spécifier histo"))</f>
        <v>0.179628240393432</v>
      </c>
      <c r="F164" s="59" t="n">
        <v>1290</v>
      </c>
      <c r="G164" s="59" t="n">
        <f aca="false">F164-H164</f>
        <v>1290</v>
      </c>
      <c r="H164" s="59" t="n">
        <v>0</v>
      </c>
      <c r="I164" s="9"/>
      <c r="J164" s="30"/>
    </row>
    <row r="165" customFormat="false" ht="20.95" hidden="false" customHeight="true" outlineLevel="0" collapsed="false">
      <c r="A165" s="1" t="n">
        <v>31</v>
      </c>
      <c r="B165" s="31" t="n">
        <v>36526</v>
      </c>
      <c r="C165" s="302" t="n">
        <v>95800</v>
      </c>
      <c r="D165" s="29" t="s">
        <v>41</v>
      </c>
      <c r="E165" s="33" t="n">
        <f aca="false">IF(D165="totale",(C165/(A165*24))/F165,IF(D165="marché libre",(C165/(A165*24))/G165,"spécifier histo"))</f>
        <v>0.0998166208218721</v>
      </c>
      <c r="F165" s="59" t="n">
        <v>1290</v>
      </c>
      <c r="G165" s="59" t="n">
        <f aca="false">F165-H165</f>
        <v>1290</v>
      </c>
      <c r="H165" s="59" t="n">
        <v>0</v>
      </c>
      <c r="I165" s="9"/>
      <c r="J165" s="30"/>
    </row>
    <row r="166" customFormat="false" ht="20.95" hidden="false" customHeight="true" outlineLevel="0" collapsed="false">
      <c r="A166" s="1" t="n">
        <v>28</v>
      </c>
      <c r="B166" s="34" t="n">
        <v>36557</v>
      </c>
      <c r="C166" s="302" t="n">
        <v>69000</v>
      </c>
      <c r="D166" s="29" t="s">
        <v>41</v>
      </c>
      <c r="E166" s="33" t="n">
        <f aca="false">IF(D166="totale",(C166/(A166*24))/F166,IF(D166="marché libre",(C166/(A166*24))/G166,"spécifier histo"))</f>
        <v>0.0795957918050941</v>
      </c>
      <c r="F166" s="59" t="n">
        <v>1290</v>
      </c>
      <c r="G166" s="59" t="n">
        <f aca="false">F166-H166</f>
        <v>1290</v>
      </c>
      <c r="H166" s="59" t="n">
        <v>0</v>
      </c>
      <c r="I166" s="9"/>
      <c r="J166" s="30"/>
    </row>
    <row r="167" customFormat="false" ht="20.95" hidden="false" customHeight="true" outlineLevel="0" collapsed="false">
      <c r="A167" s="1" t="n">
        <v>31</v>
      </c>
      <c r="B167" s="31" t="n">
        <v>36586</v>
      </c>
      <c r="C167" s="302" t="n">
        <v>145600</v>
      </c>
      <c r="D167" s="29" t="s">
        <v>41</v>
      </c>
      <c r="E167" s="33" t="n">
        <f aca="false">IF(D167="totale",(C167/(A167*24))/F167,IF(D167="marché libre",(C167/(A167*24))/G167,"spécifier histo"))</f>
        <v>0.15170459281487</v>
      </c>
      <c r="F167" s="59" t="n">
        <v>1290</v>
      </c>
      <c r="G167" s="59" t="n">
        <f aca="false">F167-H167</f>
        <v>1290</v>
      </c>
      <c r="H167" s="59" t="n">
        <v>0</v>
      </c>
      <c r="I167" s="9"/>
      <c r="J167" s="30"/>
    </row>
    <row r="168" customFormat="false" ht="20.95" hidden="false" customHeight="true" outlineLevel="0" collapsed="false">
      <c r="A168" s="1" t="n">
        <v>30</v>
      </c>
      <c r="B168" s="34" t="n">
        <v>36617</v>
      </c>
      <c r="C168" s="302" t="n">
        <v>361200</v>
      </c>
      <c r="D168" s="29" t="s">
        <v>41</v>
      </c>
      <c r="E168" s="33" t="n">
        <f aca="false">IF(D168="totale",(C168/(A168*24))/F168,IF(D168="marché libre",(C168/(A168*24))/G168,"spécifier histo"))</f>
        <v>0.388888888888889</v>
      </c>
      <c r="F168" s="59" t="n">
        <v>1290</v>
      </c>
      <c r="G168" s="59" t="n">
        <f aca="false">F168-H168</f>
        <v>1290</v>
      </c>
      <c r="H168" s="59" t="n">
        <v>0</v>
      </c>
      <c r="I168" s="9"/>
      <c r="J168" s="30"/>
    </row>
    <row r="169" customFormat="false" ht="20.95" hidden="false" customHeight="true" outlineLevel="0" collapsed="false">
      <c r="A169" s="1" t="n">
        <v>31</v>
      </c>
      <c r="B169" s="31" t="n">
        <v>36647</v>
      </c>
      <c r="C169" s="302" t="n">
        <v>750800</v>
      </c>
      <c r="D169" s="29" t="s">
        <v>41</v>
      </c>
      <c r="E169" s="33" t="n">
        <f aca="false">IF(D169="totale",(C169/(A169*24))/F169,IF(D169="marché libre",(C169/(A169*24))/G169,"spécifier histo"))</f>
        <v>0.782278903059098</v>
      </c>
      <c r="F169" s="59" t="n">
        <v>1290</v>
      </c>
      <c r="G169" s="59" t="n">
        <f aca="false">F169-H169</f>
        <v>1290</v>
      </c>
      <c r="H169" s="59" t="n">
        <v>0</v>
      </c>
      <c r="I169" s="9"/>
      <c r="J169" s="30"/>
    </row>
    <row r="170" customFormat="false" ht="20.95" hidden="false" customHeight="true" outlineLevel="0" collapsed="false">
      <c r="A170" s="1" t="n">
        <v>30</v>
      </c>
      <c r="B170" s="34" t="n">
        <v>36678</v>
      </c>
      <c r="C170" s="302" t="n">
        <v>366600</v>
      </c>
      <c r="D170" s="29" t="s">
        <v>41</v>
      </c>
      <c r="E170" s="33" t="n">
        <f aca="false">IF(D170="totale",(C170/(A170*24))/F170,IF(D170="marché libre",(C170/(A170*24))/G170,"spécifier histo"))</f>
        <v>0.394702842377261</v>
      </c>
      <c r="F170" s="59" t="n">
        <v>1290</v>
      </c>
      <c r="G170" s="59" t="n">
        <f aca="false">F170-H170</f>
        <v>1290</v>
      </c>
      <c r="H170" s="59" t="n">
        <v>0</v>
      </c>
      <c r="I170" s="9"/>
      <c r="J170" s="30"/>
    </row>
    <row r="171" customFormat="false" ht="20.95" hidden="false" customHeight="true" outlineLevel="0" collapsed="false">
      <c r="A171" s="1" t="n">
        <v>31</v>
      </c>
      <c r="B171" s="31" t="n">
        <v>36708</v>
      </c>
      <c r="C171" s="302" t="n">
        <v>176800</v>
      </c>
      <c r="D171" s="29" t="s">
        <v>41</v>
      </c>
      <c r="E171" s="33" t="n">
        <f aca="false">IF(D171="totale",(C171/(A171*24))/F171,IF(D171="marché libre",(C171/(A171*24))/G171,"spécifier histo"))</f>
        <v>0.184212719846628</v>
      </c>
      <c r="F171" s="59" t="n">
        <v>1290</v>
      </c>
      <c r="G171" s="59" t="n">
        <f aca="false">F171-H171</f>
        <v>1290</v>
      </c>
      <c r="H171" s="59" t="n">
        <v>0</v>
      </c>
      <c r="I171" s="9"/>
      <c r="J171" s="30"/>
    </row>
    <row r="172" customFormat="false" ht="20.95" hidden="false" customHeight="true" outlineLevel="0" collapsed="false">
      <c r="A172" s="1" t="n">
        <v>31</v>
      </c>
      <c r="B172" s="34" t="n">
        <v>36739</v>
      </c>
      <c r="C172" s="302" t="n">
        <v>93000</v>
      </c>
      <c r="D172" s="29" t="s">
        <v>41</v>
      </c>
      <c r="E172" s="33" t="n">
        <f aca="false">IF(D172="totale",(C172/(A172*24))/F172,IF(D172="marché libre",(C172/(A172*24))/G172,"spécifier histo"))</f>
        <v>0.0968992248062016</v>
      </c>
      <c r="F172" s="59" t="n">
        <v>1290</v>
      </c>
      <c r="G172" s="59" t="n">
        <f aca="false">F172-H172</f>
        <v>1290</v>
      </c>
      <c r="H172" s="59" t="n">
        <v>0</v>
      </c>
      <c r="I172" s="9"/>
      <c r="J172" s="30"/>
    </row>
    <row r="173" customFormat="false" ht="20.95" hidden="false" customHeight="true" outlineLevel="0" collapsed="false">
      <c r="A173" s="1" t="n">
        <v>30</v>
      </c>
      <c r="B173" s="31" t="n">
        <v>36770</v>
      </c>
      <c r="C173" s="302" t="n">
        <v>37400</v>
      </c>
      <c r="D173" s="29" t="s">
        <v>41</v>
      </c>
      <c r="E173" s="33" t="n">
        <f aca="false">IF(D173="totale",(C173/(A173*24))/F173,IF(D173="marché libre",(C173/(A173*24))/G173,"spécifier histo"))</f>
        <v>0.0402670111972438</v>
      </c>
      <c r="F173" s="59" t="n">
        <v>1290</v>
      </c>
      <c r="G173" s="59" t="n">
        <f aca="false">F173-H173</f>
        <v>1290</v>
      </c>
      <c r="H173" s="59" t="n">
        <v>0</v>
      </c>
      <c r="I173" s="9"/>
      <c r="J173" s="30"/>
    </row>
    <row r="174" customFormat="false" ht="20.95" hidden="false" customHeight="true" outlineLevel="0" collapsed="false">
      <c r="A174" s="1" t="n">
        <v>31</v>
      </c>
      <c r="B174" s="34" t="n">
        <v>36800</v>
      </c>
      <c r="C174" s="302" t="n">
        <v>294200</v>
      </c>
      <c r="D174" s="29" t="s">
        <v>41</v>
      </c>
      <c r="E174" s="33" t="n">
        <f aca="false">IF(D174="totale",(C174/(A174*24))/F174,IF(D174="marché libre",(C174/(A174*24))/G174,"spécifier histo"))</f>
        <v>0.306534967075102</v>
      </c>
      <c r="F174" s="59" t="n">
        <v>1290</v>
      </c>
      <c r="G174" s="59" t="n">
        <f aca="false">F174-H174</f>
        <v>1290</v>
      </c>
      <c r="H174" s="59" t="n">
        <v>0</v>
      </c>
      <c r="I174" s="9"/>
      <c r="J174" s="30"/>
    </row>
    <row r="175" customFormat="false" ht="20.95" hidden="false" customHeight="true" outlineLevel="0" collapsed="false">
      <c r="A175" s="1" t="n">
        <v>30</v>
      </c>
      <c r="B175" s="31" t="n">
        <v>36831</v>
      </c>
      <c r="C175" s="302" t="n">
        <v>630200</v>
      </c>
      <c r="D175" s="29" t="s">
        <v>41</v>
      </c>
      <c r="E175" s="33" t="n">
        <f aca="false">IF(D175="totale",(C175/(A175*24))/F175,IF(D175="marché libre",(C175/(A175*24))/G175,"spécifier histo"))</f>
        <v>0.678509905254091</v>
      </c>
      <c r="F175" s="59" t="n">
        <v>1290</v>
      </c>
      <c r="G175" s="59" t="n">
        <f aca="false">F175-H175</f>
        <v>1290</v>
      </c>
      <c r="H175" s="59" t="n">
        <v>0</v>
      </c>
      <c r="I175" s="9"/>
      <c r="J175" s="30"/>
    </row>
    <row r="176" customFormat="false" ht="20.95" hidden="false" customHeight="true" outlineLevel="0" collapsed="false">
      <c r="A176" s="1" t="n">
        <v>31</v>
      </c>
      <c r="B176" s="34" t="n">
        <v>36861</v>
      </c>
      <c r="C176" s="302" t="n">
        <v>372600</v>
      </c>
      <c r="D176" s="29" t="s">
        <v>41</v>
      </c>
      <c r="E176" s="33" t="n">
        <f aca="false">IF(D176="totale",(C176/(A176*24))/F176,IF(D176="marché libre",(C176/(A176*24))/G176,"spécifier histo"))</f>
        <v>0.388222055513878</v>
      </c>
      <c r="F176" s="59" t="n">
        <v>1290</v>
      </c>
      <c r="G176" s="59" t="n">
        <f aca="false">F176-H176</f>
        <v>1290</v>
      </c>
      <c r="H176" s="59" t="n">
        <v>0</v>
      </c>
      <c r="I176" s="9"/>
      <c r="J176" s="30"/>
    </row>
    <row r="177" customFormat="false" ht="20.95" hidden="false" customHeight="true" outlineLevel="0" collapsed="false">
      <c r="A177" s="1" t="n">
        <v>31</v>
      </c>
      <c r="B177" s="31" t="n">
        <v>36892</v>
      </c>
      <c r="C177" s="302" t="n">
        <v>367400</v>
      </c>
      <c r="D177" s="29" t="s">
        <v>41</v>
      </c>
      <c r="E177" s="33" t="n">
        <f aca="false">IF(D177="totale",(C177/(A177*24))/F177,IF(D177="marché libre",(C177/(A177*24))/G177,"spécifier histo"))</f>
        <v>0.382804034341919</v>
      </c>
      <c r="F177" s="59" t="n">
        <v>1290</v>
      </c>
      <c r="G177" s="59" t="n">
        <f aca="false">F177-H177</f>
        <v>1290</v>
      </c>
      <c r="H177" s="59" t="n">
        <v>0</v>
      </c>
      <c r="I177" s="9"/>
      <c r="J177" s="30"/>
    </row>
    <row r="178" customFormat="false" ht="20.95" hidden="false" customHeight="true" outlineLevel="0" collapsed="false">
      <c r="A178" s="1" t="n">
        <v>28</v>
      </c>
      <c r="B178" s="34" t="n">
        <v>36923</v>
      </c>
      <c r="C178" s="302" t="n">
        <v>208800</v>
      </c>
      <c r="D178" s="29" t="s">
        <v>41</v>
      </c>
      <c r="E178" s="33" t="n">
        <f aca="false">IF(D178="totale",(C178/(A178*24))/F178,IF(D178="marché libre",(C178/(A178*24))/G178,"spécifier histo"))</f>
        <v>0.240863787375415</v>
      </c>
      <c r="F178" s="59" t="n">
        <v>1290</v>
      </c>
      <c r="G178" s="59" t="n">
        <f aca="false">F178-H178</f>
        <v>1290</v>
      </c>
      <c r="H178" s="59" t="n">
        <v>0</v>
      </c>
      <c r="I178" s="9"/>
      <c r="J178" s="30"/>
    </row>
    <row r="179" customFormat="false" ht="20.95" hidden="false" customHeight="true" outlineLevel="0" collapsed="false">
      <c r="A179" s="1" t="n">
        <v>31</v>
      </c>
      <c r="B179" s="31" t="n">
        <v>36951</v>
      </c>
      <c r="C179" s="302" t="n">
        <v>781600</v>
      </c>
      <c r="D179" s="29" t="s">
        <v>41</v>
      </c>
      <c r="E179" s="33" t="n">
        <f aca="false">IF(D179="totale",(C179/(A179*24))/F179,IF(D179="marché libre",(C179/(A179*24))/G179,"spécifier histo"))</f>
        <v>0.814370259231474</v>
      </c>
      <c r="F179" s="59" t="n">
        <v>1290</v>
      </c>
      <c r="G179" s="59" t="n">
        <f aca="false">F179-H179</f>
        <v>1290</v>
      </c>
      <c r="H179" s="59" t="n">
        <v>0</v>
      </c>
      <c r="I179" s="9"/>
      <c r="J179" s="30"/>
    </row>
    <row r="180" customFormat="false" ht="20.95" hidden="false" customHeight="true" outlineLevel="0" collapsed="false">
      <c r="A180" s="1" t="n">
        <v>30</v>
      </c>
      <c r="B180" s="34" t="n">
        <v>36982</v>
      </c>
      <c r="C180" s="302" t="n">
        <v>627200</v>
      </c>
      <c r="D180" s="29" t="s">
        <v>41</v>
      </c>
      <c r="E180" s="33" t="n">
        <f aca="false">IF(D180="totale",(C180/(A180*24))/F180,IF(D180="marché libre",(C180/(A180*24))/G180,"spécifier histo"))</f>
        <v>0.675279931093885</v>
      </c>
      <c r="F180" s="59" t="n">
        <v>1290</v>
      </c>
      <c r="G180" s="59" t="n">
        <f aca="false">F180-H180</f>
        <v>1290</v>
      </c>
      <c r="H180" s="59" t="n">
        <v>0</v>
      </c>
      <c r="I180" s="9"/>
      <c r="J180" s="30"/>
    </row>
    <row r="181" customFormat="false" ht="20.95" hidden="false" customHeight="true" outlineLevel="0" collapsed="false">
      <c r="A181" s="1" t="n">
        <v>31</v>
      </c>
      <c r="B181" s="31" t="n">
        <v>37012</v>
      </c>
      <c r="C181" s="302" t="n">
        <v>842600</v>
      </c>
      <c r="D181" s="29" t="s">
        <v>41</v>
      </c>
      <c r="E181" s="33" t="n">
        <f aca="false">IF(D181="totale",(C181/(A181*24))/F181,IF(D181="marché libre",(C181/(A181*24))/G181,"spécifier histo"))</f>
        <v>0.877927815287155</v>
      </c>
      <c r="F181" s="59" t="n">
        <v>1290</v>
      </c>
      <c r="G181" s="59" t="n">
        <f aca="false">F181-H181</f>
        <v>1290</v>
      </c>
      <c r="H181" s="59" t="n">
        <v>0</v>
      </c>
      <c r="I181" s="9"/>
      <c r="J181" s="30"/>
    </row>
    <row r="182" customFormat="false" ht="20.95" hidden="false" customHeight="true" outlineLevel="0" collapsed="false">
      <c r="A182" s="1" t="n">
        <v>30</v>
      </c>
      <c r="B182" s="34" t="n">
        <v>37043</v>
      </c>
      <c r="C182" s="302" t="n">
        <v>524000</v>
      </c>
      <c r="D182" s="29" t="s">
        <v>41</v>
      </c>
      <c r="E182" s="33" t="n">
        <f aca="false">IF(D182="totale",(C182/(A182*24))/F182,IF(D182="marché libre",(C182/(A182*24))/G182,"spécifier histo"))</f>
        <v>0.564168819982773</v>
      </c>
      <c r="F182" s="59" t="n">
        <v>1290</v>
      </c>
      <c r="G182" s="59" t="n">
        <f aca="false">F182-H182</f>
        <v>1290</v>
      </c>
      <c r="H182" s="59" t="n">
        <v>0</v>
      </c>
      <c r="I182" s="9"/>
      <c r="J182" s="30"/>
    </row>
    <row r="183" customFormat="false" ht="20.95" hidden="false" customHeight="true" outlineLevel="0" collapsed="false">
      <c r="A183" s="1" t="n">
        <v>31</v>
      </c>
      <c r="B183" s="31" t="n">
        <v>37073</v>
      </c>
      <c r="C183" s="302" t="n">
        <v>249400</v>
      </c>
      <c r="D183" s="29" t="s">
        <v>41</v>
      </c>
      <c r="E183" s="33" t="n">
        <f aca="false">IF(D183="totale",(C183/(A183*24))/F183,IF(D183="marché libre",(C183/(A183*24))/G183,"spécifier histo"))</f>
        <v>0.259856630824373</v>
      </c>
      <c r="F183" s="59" t="n">
        <v>1290</v>
      </c>
      <c r="G183" s="59" t="n">
        <f aca="false">F183-H183</f>
        <v>1290</v>
      </c>
      <c r="H183" s="59" t="n">
        <v>0</v>
      </c>
      <c r="I183" s="9"/>
      <c r="J183" s="30"/>
    </row>
    <row r="184" customFormat="false" ht="20.95" hidden="false" customHeight="true" outlineLevel="0" collapsed="false">
      <c r="A184" s="1" t="n">
        <v>31</v>
      </c>
      <c r="B184" s="34" t="n">
        <v>37104</v>
      </c>
      <c r="C184" s="302" t="n">
        <v>106600</v>
      </c>
      <c r="D184" s="29" t="s">
        <v>41</v>
      </c>
      <c r="E184" s="33" t="n">
        <f aca="false">IF(D184="totale",(C184/(A184*24))/F184,IF(D184="marché libre",(C184/(A184*24))/G184,"spécifier histo"))</f>
        <v>0.111069434025173</v>
      </c>
      <c r="F184" s="59" t="n">
        <v>1290</v>
      </c>
      <c r="G184" s="59" t="n">
        <f aca="false">F184-H184</f>
        <v>1290</v>
      </c>
      <c r="H184" s="59" t="n">
        <v>0</v>
      </c>
      <c r="I184" s="9"/>
      <c r="J184" s="30"/>
    </row>
    <row r="185" customFormat="false" ht="20.95" hidden="false" customHeight="true" outlineLevel="0" collapsed="false">
      <c r="A185" s="1" t="n">
        <v>30</v>
      </c>
      <c r="B185" s="31" t="n">
        <v>37135</v>
      </c>
      <c r="C185" s="302" t="n">
        <v>81000</v>
      </c>
      <c r="D185" s="29" t="s">
        <v>41</v>
      </c>
      <c r="E185" s="33" t="n">
        <f aca="false">IF(D185="totale",(C185/(A185*24))/F185,IF(D185="marché libre",(C185/(A185*24))/G185,"spécifier histo"))</f>
        <v>0.0872093023255814</v>
      </c>
      <c r="F185" s="59" t="n">
        <v>1290</v>
      </c>
      <c r="G185" s="59" t="n">
        <f aca="false">F185-H185</f>
        <v>1290</v>
      </c>
      <c r="H185" s="59" t="n">
        <v>0</v>
      </c>
      <c r="I185" s="9"/>
      <c r="J185" s="30"/>
    </row>
    <row r="186" customFormat="false" ht="20.95" hidden="false" customHeight="true" outlineLevel="0" collapsed="false">
      <c r="A186" s="1" t="n">
        <v>31</v>
      </c>
      <c r="B186" s="34" t="n">
        <v>37165</v>
      </c>
      <c r="C186" s="302" t="n">
        <v>174400</v>
      </c>
      <c r="D186" s="29" t="s">
        <v>41</v>
      </c>
      <c r="E186" s="33" t="n">
        <f aca="false">IF(D186="totale",(C186/(A186*24))/F186,IF(D186="marché libre",(C186/(A186*24))/G186,"spécifier histo"))</f>
        <v>0.181712094690339</v>
      </c>
      <c r="F186" s="59" t="n">
        <v>1290</v>
      </c>
      <c r="G186" s="59" t="n">
        <f aca="false">F186-H186</f>
        <v>1290</v>
      </c>
      <c r="H186" s="59" t="n">
        <v>0</v>
      </c>
      <c r="I186" s="9"/>
      <c r="J186" s="30"/>
    </row>
    <row r="187" customFormat="false" ht="20.95" hidden="false" customHeight="true" outlineLevel="0" collapsed="false">
      <c r="A187" s="1" t="n">
        <v>30</v>
      </c>
      <c r="B187" s="31" t="n">
        <v>37196</v>
      </c>
      <c r="C187" s="302" t="n">
        <v>107600</v>
      </c>
      <c r="D187" s="29" t="s">
        <v>41</v>
      </c>
      <c r="E187" s="33" t="n">
        <f aca="false">IF(D187="totale",(C187/(A187*24))/F187,IF(D187="marché libre",(C187/(A187*24))/G187,"spécifier histo"))</f>
        <v>0.115848406546081</v>
      </c>
      <c r="F187" s="59" t="n">
        <v>1290</v>
      </c>
      <c r="G187" s="59" t="n">
        <f aca="false">F187-H187</f>
        <v>1290</v>
      </c>
      <c r="H187" s="59" t="n">
        <v>0</v>
      </c>
      <c r="I187" s="9"/>
      <c r="J187" s="30"/>
    </row>
    <row r="188" customFormat="false" ht="20.95" hidden="false" customHeight="true" outlineLevel="0" collapsed="false">
      <c r="A188" s="1" t="n">
        <v>31</v>
      </c>
      <c r="B188" s="34" t="n">
        <v>37226</v>
      </c>
      <c r="C188" s="302" t="n">
        <v>66600</v>
      </c>
      <c r="D188" s="29" t="s">
        <v>41</v>
      </c>
      <c r="E188" s="33" t="n">
        <f aca="false">IF(D188="totale",(C188/(A188*24))/F188,IF(D188="marché libre",(C188/(A188*24))/G188,"spécifier histo"))</f>
        <v>0.0693923480870218</v>
      </c>
      <c r="F188" s="59" t="n">
        <v>1290</v>
      </c>
      <c r="G188" s="59" t="n">
        <f aca="false">F188-H188</f>
        <v>1290</v>
      </c>
      <c r="H188" s="59" t="n">
        <v>0</v>
      </c>
      <c r="I188" s="9"/>
      <c r="J188" s="30"/>
    </row>
    <row r="189" customFormat="false" ht="20.95" hidden="false" customHeight="true" outlineLevel="0" collapsed="false">
      <c r="A189" s="1" t="n">
        <v>31</v>
      </c>
      <c r="B189" s="31" t="n">
        <v>37257</v>
      </c>
      <c r="C189" s="302" t="n">
        <v>66600</v>
      </c>
      <c r="D189" s="29" t="s">
        <v>41</v>
      </c>
      <c r="E189" s="33" t="n">
        <f aca="false">IF(D189="totale",(C189/(A189*24))/F189,IF(D189="marché libre",(C189/(A189*24))/G189,"spécifier histo"))</f>
        <v>0.0693923480870218</v>
      </c>
      <c r="F189" s="59" t="n">
        <v>1290</v>
      </c>
      <c r="G189" s="59" t="n">
        <f aca="false">F189-H189</f>
        <v>1290</v>
      </c>
      <c r="H189" s="59" t="n">
        <v>0</v>
      </c>
      <c r="I189" s="9"/>
      <c r="J189" s="30"/>
    </row>
    <row r="190" customFormat="false" ht="20.95" hidden="false" customHeight="true" outlineLevel="0" collapsed="false">
      <c r="A190" s="1" t="n">
        <v>28</v>
      </c>
      <c r="B190" s="34" t="n">
        <v>37288</v>
      </c>
      <c r="C190" s="302" t="n">
        <v>23200</v>
      </c>
      <c r="D190" s="29" t="s">
        <v>41</v>
      </c>
      <c r="E190" s="33" t="n">
        <f aca="false">IF(D190="totale",(C190/(A190*24))/F190,IF(D190="marché libre",(C190/(A190*24))/G190,"spécifier histo"))</f>
        <v>0.0267626430417128</v>
      </c>
      <c r="F190" s="59" t="n">
        <v>1290</v>
      </c>
      <c r="G190" s="59" t="n">
        <f aca="false">F190-H190</f>
        <v>1290</v>
      </c>
      <c r="H190" s="59" t="n">
        <v>0</v>
      </c>
      <c r="I190" s="9"/>
      <c r="J190" s="30"/>
    </row>
    <row r="191" customFormat="false" ht="20.95" hidden="false" customHeight="true" outlineLevel="0" collapsed="false">
      <c r="A191" s="1" t="n">
        <v>31</v>
      </c>
      <c r="B191" s="31" t="n">
        <v>37316</v>
      </c>
      <c r="C191" s="302" t="n">
        <v>67800</v>
      </c>
      <c r="D191" s="29" t="s">
        <v>41</v>
      </c>
      <c r="E191" s="33" t="n">
        <f aca="false">IF(D191="totale",(C191/(A191*24))/F191,IF(D191="marché libre",(C191/(A191*24))/G191,"spécifier histo"))</f>
        <v>0.0706426606651663</v>
      </c>
      <c r="F191" s="59" t="n">
        <v>1290</v>
      </c>
      <c r="G191" s="59" t="n">
        <f aca="false">F191-H191</f>
        <v>1290</v>
      </c>
      <c r="H191" s="59" t="n">
        <v>0</v>
      </c>
      <c r="I191" s="9"/>
      <c r="J191" s="30"/>
    </row>
    <row r="192" customFormat="false" ht="20.95" hidden="false" customHeight="true" outlineLevel="0" collapsed="false">
      <c r="A192" s="1" t="n">
        <v>30</v>
      </c>
      <c r="B192" s="34" t="n">
        <v>37347</v>
      </c>
      <c r="C192" s="302" t="n">
        <v>156800</v>
      </c>
      <c r="D192" s="29" t="s">
        <v>41</v>
      </c>
      <c r="E192" s="33" t="n">
        <f aca="false">IF(D192="totale",(C192/(A192*24))/F192,IF(D192="marché libre",(C192/(A192*24))/G192,"spécifier histo"))</f>
        <v>0.168819982773471</v>
      </c>
      <c r="F192" s="59" t="n">
        <v>1290</v>
      </c>
      <c r="G192" s="59" t="n">
        <f aca="false">F192-H192</f>
        <v>1290</v>
      </c>
      <c r="H192" s="59" t="n">
        <v>0</v>
      </c>
      <c r="I192" s="9"/>
      <c r="J192" s="30"/>
    </row>
    <row r="193" customFormat="false" ht="20.95" hidden="false" customHeight="true" outlineLevel="0" collapsed="false">
      <c r="A193" s="1" t="n">
        <v>31</v>
      </c>
      <c r="B193" s="31" t="n">
        <v>37377</v>
      </c>
      <c r="C193" s="302" t="n">
        <v>384800</v>
      </c>
      <c r="D193" s="29" t="s">
        <v>41</v>
      </c>
      <c r="E193" s="33" t="n">
        <f aca="false">IF(D193="totale",(C193/(A193*24))/F193,IF(D193="marché libre",(C193/(A193*24))/G193,"spécifier histo"))</f>
        <v>0.400933566725015</v>
      </c>
      <c r="F193" s="59" t="n">
        <v>1290</v>
      </c>
      <c r="G193" s="59" t="n">
        <f aca="false">F193-H193</f>
        <v>1290</v>
      </c>
      <c r="H193" s="59" t="n">
        <v>0</v>
      </c>
      <c r="I193" s="9"/>
      <c r="J193" s="30"/>
    </row>
    <row r="194" customFormat="false" ht="20.95" hidden="false" customHeight="true" outlineLevel="0" collapsed="false">
      <c r="A194" s="1" t="n">
        <v>30</v>
      </c>
      <c r="B194" s="34" t="n">
        <v>37408</v>
      </c>
      <c r="C194" s="302" t="n">
        <v>283200</v>
      </c>
      <c r="D194" s="29" t="s">
        <v>41</v>
      </c>
      <c r="E194" s="33" t="n">
        <f aca="false">IF(D194="totale",(C194/(A194*24))/F194,IF(D194="marché libre",(C194/(A194*24))/G194,"spécifier histo"))</f>
        <v>0.304909560723514</v>
      </c>
      <c r="F194" s="59" t="n">
        <v>1290</v>
      </c>
      <c r="G194" s="59" t="n">
        <f aca="false">F194-H194</f>
        <v>1290</v>
      </c>
      <c r="H194" s="59" t="n">
        <v>0</v>
      </c>
      <c r="I194" s="9"/>
      <c r="J194" s="30"/>
    </row>
    <row r="195" customFormat="false" ht="20.95" hidden="false" customHeight="true" outlineLevel="0" collapsed="false">
      <c r="A195" s="1" t="n">
        <v>31</v>
      </c>
      <c r="B195" s="31" t="n">
        <v>37438</v>
      </c>
      <c r="C195" s="302" t="n">
        <v>101400</v>
      </c>
      <c r="D195" s="29" t="s">
        <v>41</v>
      </c>
      <c r="E195" s="33" t="n">
        <f aca="false">IF(D195="totale",(C195/(A195*24))/F195,IF(D195="marché libre",(C195/(A195*24))/G195,"spécifier histo"))</f>
        <v>0.105651412853213</v>
      </c>
      <c r="F195" s="59" t="n">
        <v>1290</v>
      </c>
      <c r="G195" s="59" t="n">
        <f aca="false">F195-H195</f>
        <v>1290</v>
      </c>
      <c r="H195" s="59" t="n">
        <v>0</v>
      </c>
      <c r="I195" s="9"/>
      <c r="J195" s="30"/>
    </row>
    <row r="196" customFormat="false" ht="20.95" hidden="false" customHeight="true" outlineLevel="0" collapsed="false">
      <c r="A196" s="1" t="n">
        <v>31</v>
      </c>
      <c r="B196" s="34" t="n">
        <v>37469</v>
      </c>
      <c r="C196" s="302" t="n">
        <v>164800</v>
      </c>
      <c r="D196" s="29" t="s">
        <v>41</v>
      </c>
      <c r="E196" s="33" t="n">
        <f aca="false">IF(D196="totale",(C196/(A196*24))/F196,IF(D196="marché libre",(C196/(A196*24))/G196,"spécifier histo"))</f>
        <v>0.171709594065183</v>
      </c>
      <c r="F196" s="59" t="n">
        <v>1290</v>
      </c>
      <c r="G196" s="59" t="n">
        <f aca="false">F196-H196</f>
        <v>1290</v>
      </c>
      <c r="H196" s="59" t="n">
        <v>0</v>
      </c>
      <c r="I196" s="9"/>
      <c r="J196" s="30"/>
    </row>
    <row r="197" customFormat="false" ht="20.95" hidden="false" customHeight="true" outlineLevel="0" collapsed="false">
      <c r="A197" s="1" t="n">
        <v>30</v>
      </c>
      <c r="B197" s="31" t="n">
        <v>37500</v>
      </c>
      <c r="C197" s="302" t="n">
        <v>361800</v>
      </c>
      <c r="D197" s="29" t="s">
        <v>41</v>
      </c>
      <c r="E197" s="33" t="n">
        <f aca="false">IF(D197="totale",(C197/(A197*24))/F197,IF(D197="marché libre",(C197/(A197*24))/G197,"spécifier histo"))</f>
        <v>0.38953488372093</v>
      </c>
      <c r="F197" s="59" t="n">
        <v>1290</v>
      </c>
      <c r="G197" s="59" t="n">
        <f aca="false">F197-H197</f>
        <v>1290</v>
      </c>
      <c r="H197" s="59" t="n">
        <v>0</v>
      </c>
      <c r="I197" s="9"/>
      <c r="J197" s="30"/>
    </row>
    <row r="198" customFormat="false" ht="20.95" hidden="false" customHeight="true" outlineLevel="0" collapsed="false">
      <c r="A198" s="1" t="n">
        <v>31</v>
      </c>
      <c r="B198" s="34" t="n">
        <v>37530</v>
      </c>
      <c r="C198" s="302" t="n">
        <v>277400</v>
      </c>
      <c r="D198" s="29" t="s">
        <v>41</v>
      </c>
      <c r="E198" s="33" t="n">
        <f aca="false">IF(D198="totale",(C198/(A198*24))/F198,IF(D198="marché libre",(C198/(A198*24))/G198,"spécifier histo"))</f>
        <v>0.289030590981079</v>
      </c>
      <c r="F198" s="59" t="n">
        <v>1290</v>
      </c>
      <c r="G198" s="59" t="n">
        <f aca="false">F198-H198</f>
        <v>1290</v>
      </c>
      <c r="H198" s="59" t="n">
        <v>0</v>
      </c>
      <c r="I198" s="9"/>
      <c r="J198" s="30"/>
    </row>
    <row r="199" customFormat="false" ht="20.95" hidden="false" customHeight="true" outlineLevel="0" collapsed="false">
      <c r="A199" s="1" t="n">
        <v>30</v>
      </c>
      <c r="B199" s="31" t="n">
        <v>37561</v>
      </c>
      <c r="C199" s="302" t="n">
        <v>489400</v>
      </c>
      <c r="D199" s="29" t="s">
        <v>41</v>
      </c>
      <c r="E199" s="33" t="n">
        <f aca="false">IF(D199="totale",(C199/(A199*24))/F199,IF(D199="marché libre",(C199/(A199*24))/G199,"spécifier histo"))</f>
        <v>0.526916451335056</v>
      </c>
      <c r="F199" s="59" t="n">
        <v>1290</v>
      </c>
      <c r="G199" s="59" t="n">
        <f aca="false">F199-H199</f>
        <v>1290</v>
      </c>
      <c r="H199" s="59" t="n">
        <v>0</v>
      </c>
      <c r="I199" s="9"/>
      <c r="J199" s="30"/>
    </row>
    <row r="200" customFormat="false" ht="20.95" hidden="false" customHeight="true" outlineLevel="0" collapsed="false">
      <c r="A200" s="1" t="n">
        <v>31</v>
      </c>
      <c r="B200" s="34" t="n">
        <v>37591</v>
      </c>
      <c r="C200" s="302" t="n">
        <v>265200</v>
      </c>
      <c r="D200" s="29" t="s">
        <v>41</v>
      </c>
      <c r="E200" s="33" t="n">
        <f aca="false">IF(D200="totale",(C200/(A200*24))/F200,IF(D200="marché libre",(C200/(A200*24))/G200,"spécifier histo"))</f>
        <v>0.276319079769942</v>
      </c>
      <c r="F200" s="59" t="n">
        <v>1290</v>
      </c>
      <c r="G200" s="59" t="n">
        <f aca="false">F200-H200</f>
        <v>1290</v>
      </c>
      <c r="H200" s="59" t="n">
        <v>0</v>
      </c>
      <c r="I200" s="9"/>
      <c r="J200" s="30"/>
    </row>
    <row r="201" customFormat="false" ht="20.95" hidden="false" customHeight="true" outlineLevel="0" collapsed="false">
      <c r="A201" s="1" t="n">
        <v>31</v>
      </c>
      <c r="B201" s="31" t="n">
        <v>37622</v>
      </c>
      <c r="C201" s="304" t="n">
        <v>206600</v>
      </c>
      <c r="D201" s="29" t="s">
        <v>41</v>
      </c>
      <c r="E201" s="33" t="n">
        <f aca="false">IF(D201="totale",(C201/(A201*24))/F201,IF(D201="marché libre",(C201/(A201*24))/G201,"spécifier histo"))</f>
        <v>0.215262148870551</v>
      </c>
      <c r="F201" s="59" t="n">
        <v>1290</v>
      </c>
      <c r="G201" s="59" t="n">
        <f aca="false">F201-H201</f>
        <v>1290</v>
      </c>
      <c r="H201" s="59" t="n">
        <v>0</v>
      </c>
      <c r="I201" s="9"/>
      <c r="J201" s="30"/>
    </row>
    <row r="202" customFormat="false" ht="20.95" hidden="false" customHeight="true" outlineLevel="0" collapsed="false">
      <c r="A202" s="1" t="n">
        <v>28</v>
      </c>
      <c r="B202" s="34" t="n">
        <v>37653</v>
      </c>
      <c r="C202" s="304" t="n">
        <v>108000</v>
      </c>
      <c r="D202" s="29" t="s">
        <v>41</v>
      </c>
      <c r="E202" s="33" t="n">
        <f aca="false">IF(D202="totale",(C202/(A202*24))/F202,IF(D202="marché libre",(C202/(A202*24))/G202,"spécifier histo"))</f>
        <v>0.124584717607973</v>
      </c>
      <c r="F202" s="59" t="n">
        <v>1290</v>
      </c>
      <c r="G202" s="59" t="n">
        <f aca="false">F202-H202</f>
        <v>1290</v>
      </c>
      <c r="H202" s="59" t="n">
        <v>0</v>
      </c>
      <c r="I202" s="9"/>
      <c r="J202" s="30"/>
    </row>
    <row r="203" customFormat="false" ht="20.95" hidden="false" customHeight="true" outlineLevel="0" collapsed="false">
      <c r="A203" s="1" t="n">
        <v>31</v>
      </c>
      <c r="B203" s="31" t="n">
        <v>37681</v>
      </c>
      <c r="C203" s="304" t="n">
        <v>122000</v>
      </c>
      <c r="D203" s="29" t="s">
        <v>41</v>
      </c>
      <c r="E203" s="33" t="n">
        <f aca="false">IF(D203="totale",(C203/(A203*24))/F203,IF(D203="marché libre",(C203/(A203*24))/G203,"spécifier histo"))</f>
        <v>0.127115112111361</v>
      </c>
      <c r="F203" s="59" t="n">
        <v>1290</v>
      </c>
      <c r="G203" s="59" t="n">
        <f aca="false">F203-H203</f>
        <v>1290</v>
      </c>
      <c r="H203" s="59" t="n">
        <v>0</v>
      </c>
      <c r="I203" s="9"/>
      <c r="J203" s="30"/>
    </row>
    <row r="204" customFormat="false" ht="20.95" hidden="false" customHeight="true" outlineLevel="0" collapsed="false">
      <c r="A204" s="1" t="n">
        <v>30</v>
      </c>
      <c r="B204" s="34" t="n">
        <v>37712</v>
      </c>
      <c r="C204" s="304" t="n">
        <v>435000</v>
      </c>
      <c r="D204" s="29" t="s">
        <v>41</v>
      </c>
      <c r="E204" s="33" t="n">
        <f aca="false">IF(D204="totale",(C204/(A204*24))/F204,IF(D204="marché libre",(C204/(A204*24))/G204,"spécifier histo"))</f>
        <v>0.468346253229974</v>
      </c>
      <c r="F204" s="59" t="n">
        <v>1290</v>
      </c>
      <c r="G204" s="59" t="n">
        <f aca="false">F204-H204</f>
        <v>1290</v>
      </c>
      <c r="H204" s="59" t="n">
        <v>0</v>
      </c>
      <c r="I204" s="9"/>
      <c r="J204" s="30"/>
    </row>
    <row r="205" customFormat="false" ht="20.95" hidden="false" customHeight="true" outlineLevel="0" collapsed="false">
      <c r="A205" s="1" t="n">
        <v>31</v>
      </c>
      <c r="B205" s="31" t="n">
        <v>37742</v>
      </c>
      <c r="C205" s="304" t="n">
        <v>686400</v>
      </c>
      <c r="D205" s="29" t="s">
        <v>41</v>
      </c>
      <c r="E205" s="33" t="n">
        <f aca="false">IF(D205="totale",(C205/(A205*24))/F205,IF(D205="marché libre",(C205/(A205*24))/G205,"spécifier histo"))</f>
        <v>0.715178794698675</v>
      </c>
      <c r="F205" s="59" t="n">
        <v>1290</v>
      </c>
      <c r="G205" s="59" t="n">
        <f aca="false">F205-H205</f>
        <v>1290</v>
      </c>
      <c r="H205" s="59" t="n">
        <v>0</v>
      </c>
      <c r="I205" s="9"/>
      <c r="J205" s="30"/>
    </row>
    <row r="206" customFormat="false" ht="20.95" hidden="false" customHeight="true" outlineLevel="0" collapsed="false">
      <c r="A206" s="1" t="n">
        <v>30</v>
      </c>
      <c r="B206" s="34" t="n">
        <v>37773</v>
      </c>
      <c r="C206" s="304" t="n">
        <v>352200</v>
      </c>
      <c r="D206" s="29" t="s">
        <v>41</v>
      </c>
      <c r="E206" s="33" t="n">
        <f aca="false">IF(D206="totale",(C206/(A206*24))/F206,IF(D206="marché libre",(C206/(A206*24))/G206,"spécifier histo"))</f>
        <v>0.379198966408269</v>
      </c>
      <c r="F206" s="59" t="n">
        <v>1290</v>
      </c>
      <c r="G206" s="59" t="n">
        <f aca="false">F206-H206</f>
        <v>1290</v>
      </c>
      <c r="H206" s="59" t="n">
        <v>0</v>
      </c>
      <c r="I206" s="9"/>
      <c r="J206" s="30"/>
    </row>
    <row r="207" customFormat="false" ht="20.95" hidden="false" customHeight="true" outlineLevel="0" collapsed="false">
      <c r="A207" s="1" t="n">
        <v>31</v>
      </c>
      <c r="B207" s="31" t="n">
        <v>37803</v>
      </c>
      <c r="C207" s="304" t="n">
        <v>157600</v>
      </c>
      <c r="D207" s="29" t="s">
        <v>41</v>
      </c>
      <c r="E207" s="33" t="n">
        <f aca="false">IF(D207="totale",(C207/(A207*24))/F207,IF(D207="marché libre",(C207/(A207*24))/G207,"spécifier histo"))</f>
        <v>0.164207718596316</v>
      </c>
      <c r="F207" s="59" t="n">
        <v>1290</v>
      </c>
      <c r="G207" s="59" t="n">
        <f aca="false">F207-H207</f>
        <v>1290</v>
      </c>
      <c r="H207" s="59" t="n">
        <v>0</v>
      </c>
      <c r="I207" s="9"/>
      <c r="J207" s="30"/>
    </row>
    <row r="208" customFormat="false" ht="20.95" hidden="false" customHeight="true" outlineLevel="0" collapsed="false">
      <c r="A208" s="1" t="n">
        <v>31</v>
      </c>
      <c r="B208" s="34" t="n">
        <v>37834</v>
      </c>
      <c r="C208" s="304" t="n">
        <v>74600</v>
      </c>
      <c r="D208" s="29" t="s">
        <v>41</v>
      </c>
      <c r="E208" s="33" t="n">
        <f aca="false">IF(D208="totale",(C208/(A208*24))/F208,IF(D208="marché libre",(C208/(A208*24))/G208,"spécifier histo"))</f>
        <v>0.077727765274652</v>
      </c>
      <c r="F208" s="59" t="n">
        <v>1290</v>
      </c>
      <c r="G208" s="59" t="n">
        <f aca="false">F208-H208</f>
        <v>1290</v>
      </c>
      <c r="H208" s="59" t="n">
        <v>0</v>
      </c>
      <c r="I208" s="9"/>
      <c r="J208" s="30"/>
    </row>
    <row r="209" customFormat="false" ht="20.95" hidden="false" customHeight="true" outlineLevel="0" collapsed="false">
      <c r="A209" s="1" t="n">
        <v>30</v>
      </c>
      <c r="B209" s="31" t="n">
        <v>37865</v>
      </c>
      <c r="C209" s="304" t="n">
        <v>12000</v>
      </c>
      <c r="D209" s="29" t="s">
        <v>41</v>
      </c>
      <c r="E209" s="33" t="n">
        <f aca="false">IF(D209="totale",(C209/(A209*24))/F209,IF(D209="marché libre",(C209/(A209*24))/G209,"spécifier histo"))</f>
        <v>0.0129198966408269</v>
      </c>
      <c r="F209" s="59" t="n">
        <v>1290</v>
      </c>
      <c r="G209" s="59" t="n">
        <f aca="false">F209-H209</f>
        <v>1290</v>
      </c>
      <c r="H209" s="59" t="n">
        <v>0</v>
      </c>
      <c r="I209" s="9"/>
      <c r="J209" s="30"/>
    </row>
    <row r="210" customFormat="false" ht="20.95" hidden="false" customHeight="true" outlineLevel="0" collapsed="false">
      <c r="A210" s="1" t="n">
        <v>31</v>
      </c>
      <c r="B210" s="34" t="n">
        <v>37895</v>
      </c>
      <c r="C210" s="304" t="n">
        <v>51800</v>
      </c>
      <c r="D210" s="29" t="s">
        <v>41</v>
      </c>
      <c r="E210" s="33" t="n">
        <f aca="false">IF(D210="totale",(C210/(A210*24))/F210,IF(D210="marché libre",(C210/(A210*24))/G210,"spécifier histo"))</f>
        <v>0.0539718262899058</v>
      </c>
      <c r="F210" s="59" t="n">
        <v>1290</v>
      </c>
      <c r="G210" s="59" t="n">
        <f aca="false">F210-H210</f>
        <v>1290</v>
      </c>
      <c r="H210" s="59" t="n">
        <v>0</v>
      </c>
      <c r="I210" s="9"/>
      <c r="J210" s="30"/>
    </row>
    <row r="211" customFormat="false" ht="20.95" hidden="false" customHeight="true" outlineLevel="0" collapsed="false">
      <c r="A211" s="1" t="n">
        <v>30</v>
      </c>
      <c r="B211" s="31" t="n">
        <v>37926</v>
      </c>
      <c r="C211" s="304" t="n">
        <v>321200</v>
      </c>
      <c r="D211" s="29" t="s">
        <v>41</v>
      </c>
      <c r="E211" s="33" t="n">
        <f aca="false">IF(D211="totale",(C211/(A211*24))/F211,IF(D211="marché libre",(C211/(A211*24))/G211,"spécifier histo"))</f>
        <v>0.345822566752799</v>
      </c>
      <c r="F211" s="59" t="n">
        <v>1290</v>
      </c>
      <c r="G211" s="59" t="n">
        <f aca="false">F211-H211</f>
        <v>1290</v>
      </c>
      <c r="H211" s="59" t="n">
        <v>0</v>
      </c>
      <c r="I211" s="9"/>
      <c r="J211" s="30"/>
    </row>
    <row r="212" customFormat="false" ht="20.95" hidden="false" customHeight="true" outlineLevel="0" collapsed="false">
      <c r="A212" s="1" t="n">
        <v>31</v>
      </c>
      <c r="B212" s="34" t="n">
        <v>37956</v>
      </c>
      <c r="C212" s="304" t="n">
        <v>238200</v>
      </c>
      <c r="D212" s="29" t="s">
        <v>41</v>
      </c>
      <c r="E212" s="33" t="n">
        <f aca="false">IF(D212="totale",(C212/(A212*24))/F212,IF(D212="marché libre",(C212/(A212*24))/G212,"spécifier histo"))</f>
        <v>0.24818704676169</v>
      </c>
      <c r="F212" s="59" t="n">
        <v>1290</v>
      </c>
      <c r="G212" s="59" t="n">
        <f aca="false">F212-H212</f>
        <v>1290</v>
      </c>
      <c r="H212" s="59" t="n">
        <v>0</v>
      </c>
      <c r="I212" s="9"/>
      <c r="J212" s="30"/>
    </row>
    <row r="213" customFormat="false" ht="20.95" hidden="false" customHeight="true" outlineLevel="0" collapsed="false">
      <c r="A213" s="1" t="n">
        <v>31</v>
      </c>
      <c r="B213" s="31" t="n">
        <v>37987</v>
      </c>
      <c r="C213" s="305" t="n">
        <v>201000</v>
      </c>
      <c r="D213" s="29" t="s">
        <v>41</v>
      </c>
      <c r="E213" s="33" t="n">
        <f aca="false">IF(D213="totale",(C213/(A213*24))/F213,IF(D213="marché libre",(C213/(A213*24))/G213,"spécifier histo"))</f>
        <v>0.20942735683921</v>
      </c>
      <c r="F213" s="59" t="n">
        <v>1290</v>
      </c>
      <c r="G213" s="59" t="n">
        <f aca="false">F213-H213</f>
        <v>1290</v>
      </c>
      <c r="H213" s="59" t="n">
        <v>0</v>
      </c>
      <c r="I213" s="9"/>
      <c r="J213" s="30"/>
    </row>
    <row r="214" customFormat="false" ht="20.95" hidden="false" customHeight="true" outlineLevel="0" collapsed="false">
      <c r="A214" s="1" t="n">
        <v>28</v>
      </c>
      <c r="B214" s="34" t="n">
        <v>38018</v>
      </c>
      <c r="C214" s="305" t="n">
        <v>143400</v>
      </c>
      <c r="D214" s="29" t="s">
        <v>41</v>
      </c>
      <c r="E214" s="33" t="n">
        <f aca="false">IF(D214="totale",(C214/(A214*24))/F214,IF(D214="marché libre",(C214/(A214*24))/G214,"spécifier histo"))</f>
        <v>0.165420819490587</v>
      </c>
      <c r="F214" s="59" t="n">
        <v>1290</v>
      </c>
      <c r="G214" s="59" t="n">
        <f aca="false">F214-H214</f>
        <v>1290</v>
      </c>
      <c r="H214" s="59" t="n">
        <v>0</v>
      </c>
      <c r="I214" s="9"/>
      <c r="J214" s="30"/>
    </row>
    <row r="215" customFormat="false" ht="20.95" hidden="false" customHeight="true" outlineLevel="0" collapsed="false">
      <c r="A215" s="1" t="n">
        <v>31</v>
      </c>
      <c r="B215" s="31" t="n">
        <v>38047</v>
      </c>
      <c r="C215" s="305" t="n">
        <v>193600</v>
      </c>
      <c r="D215" s="29" t="s">
        <v>41</v>
      </c>
      <c r="E215" s="33" t="n">
        <f aca="false">IF(D215="totale",(C215/(A215*24))/F215,IF(D215="marché libre",(C215/(A215*24))/G215,"spécifier histo"))</f>
        <v>0.201717095940652</v>
      </c>
      <c r="F215" s="59" t="n">
        <v>1290</v>
      </c>
      <c r="G215" s="59" t="n">
        <f aca="false">F215-H215</f>
        <v>1290</v>
      </c>
      <c r="H215" s="59" t="n">
        <v>0</v>
      </c>
      <c r="I215" s="9"/>
      <c r="J215" s="30"/>
    </row>
    <row r="216" customFormat="false" ht="20.95" hidden="false" customHeight="true" outlineLevel="0" collapsed="false">
      <c r="A216" s="1" t="n">
        <v>30</v>
      </c>
      <c r="B216" s="34" t="n">
        <v>38078</v>
      </c>
      <c r="C216" s="305" t="n">
        <v>322400</v>
      </c>
      <c r="D216" s="29" t="s">
        <v>41</v>
      </c>
      <c r="E216" s="33" t="n">
        <f aca="false">IF(D216="totale",(C216/(A216*24))/F216,IF(D216="marché libre",(C216/(A216*24))/G216,"spécifier histo"))</f>
        <v>0.347114556416882</v>
      </c>
      <c r="F216" s="59" t="n">
        <v>1290</v>
      </c>
      <c r="G216" s="59" t="n">
        <f aca="false">F216-H216</f>
        <v>1290</v>
      </c>
      <c r="H216" s="59" t="n">
        <v>0</v>
      </c>
      <c r="I216" s="9"/>
      <c r="J216" s="30"/>
    </row>
    <row r="217" customFormat="false" ht="20.95" hidden="false" customHeight="true" outlineLevel="0" collapsed="false">
      <c r="A217" s="1" t="n">
        <v>31</v>
      </c>
      <c r="B217" s="31" t="n">
        <v>38108</v>
      </c>
      <c r="C217" s="305" t="n">
        <v>774200</v>
      </c>
      <c r="D217" s="29" t="s">
        <v>41</v>
      </c>
      <c r="E217" s="33" t="n">
        <f aca="false">IF(D217="totale",(C217/(A217*24))/F217,IF(D217="marché libre",(C217/(A217*24))/G217,"spécifier histo"))</f>
        <v>0.806659998332916</v>
      </c>
      <c r="F217" s="59" t="n">
        <v>1290</v>
      </c>
      <c r="G217" s="59" t="n">
        <f aca="false">F217-H217</f>
        <v>1290</v>
      </c>
      <c r="H217" s="59" t="n">
        <v>0</v>
      </c>
      <c r="I217" s="9"/>
      <c r="J217" s="30"/>
    </row>
    <row r="218" customFormat="false" ht="20.95" hidden="false" customHeight="true" outlineLevel="0" collapsed="false">
      <c r="A218" s="1" t="n">
        <v>30</v>
      </c>
      <c r="B218" s="34" t="n">
        <v>38139</v>
      </c>
      <c r="C218" s="305" t="n">
        <v>520400</v>
      </c>
      <c r="D218" s="29" t="s">
        <v>41</v>
      </c>
      <c r="E218" s="33" t="n">
        <f aca="false">IF(D218="totale",(C218/(A218*24))/F218,IF(D218="marché libre",(C218/(A218*24))/G218,"spécifier histo"))</f>
        <v>0.560292850990525</v>
      </c>
      <c r="F218" s="59" t="n">
        <v>1290</v>
      </c>
      <c r="G218" s="59" t="n">
        <f aca="false">F218-H218</f>
        <v>1290</v>
      </c>
      <c r="H218" s="59" t="n">
        <v>0</v>
      </c>
      <c r="I218" s="9"/>
      <c r="J218" s="30"/>
    </row>
    <row r="219" customFormat="false" ht="20.95" hidden="false" customHeight="true" outlineLevel="0" collapsed="false">
      <c r="A219" s="1" t="n">
        <v>31</v>
      </c>
      <c r="B219" s="31" t="n">
        <v>38169</v>
      </c>
      <c r="C219" s="305" t="n">
        <v>235000</v>
      </c>
      <c r="D219" s="29" t="s">
        <v>41</v>
      </c>
      <c r="E219" s="33" t="n">
        <f aca="false">IF(D219="totale",(C219/(A219*24))/F219,IF(D219="marché libre",(C219/(A219*24))/G219,"spécifier histo"))</f>
        <v>0.244852879886638</v>
      </c>
      <c r="F219" s="59" t="n">
        <v>1290</v>
      </c>
      <c r="G219" s="59" t="n">
        <f aca="false">F219-H219</f>
        <v>1290</v>
      </c>
      <c r="H219" s="59" t="n">
        <v>0</v>
      </c>
      <c r="I219" s="9"/>
      <c r="J219" s="30"/>
    </row>
    <row r="220" customFormat="false" ht="20.95" hidden="false" customHeight="true" outlineLevel="0" collapsed="false">
      <c r="A220" s="1" t="n">
        <v>31</v>
      </c>
      <c r="B220" s="34" t="n">
        <v>38200</v>
      </c>
      <c r="C220" s="305" t="n">
        <v>117800</v>
      </c>
      <c r="D220" s="29" t="s">
        <v>41</v>
      </c>
      <c r="E220" s="33" t="n">
        <f aca="false">IF(D220="totale",(C220/(A220*24))/F220,IF(D220="marché libre",(C220/(A220*24))/G220,"spécifier histo"))</f>
        <v>0.122739018087855</v>
      </c>
      <c r="F220" s="59" t="n">
        <v>1290</v>
      </c>
      <c r="G220" s="59" t="n">
        <f aca="false">F220-H220</f>
        <v>1290</v>
      </c>
      <c r="H220" s="59" t="n">
        <v>0</v>
      </c>
      <c r="I220" s="9"/>
      <c r="J220" s="30"/>
    </row>
    <row r="221" customFormat="false" ht="20.95" hidden="false" customHeight="true" outlineLevel="0" collapsed="false">
      <c r="A221" s="1" t="n">
        <v>30</v>
      </c>
      <c r="B221" s="31" t="n">
        <v>38231</v>
      </c>
      <c r="C221" s="305" t="n">
        <v>40200</v>
      </c>
      <c r="D221" s="29" t="s">
        <v>41</v>
      </c>
      <c r="E221" s="33" t="n">
        <f aca="false">IF(D221="totale",(C221/(A221*24))/F221,IF(D221="marché libre",(C221/(A221*24))/G221,"spécifier histo"))</f>
        <v>0.04328165374677</v>
      </c>
      <c r="F221" s="59" t="n">
        <v>1290</v>
      </c>
      <c r="G221" s="59" t="n">
        <f aca="false">F221-H221</f>
        <v>1290</v>
      </c>
      <c r="H221" s="59" t="n">
        <v>0</v>
      </c>
      <c r="I221" s="9"/>
      <c r="J221" s="30"/>
    </row>
    <row r="222" customFormat="false" ht="20.95" hidden="false" customHeight="true" outlineLevel="0" collapsed="false">
      <c r="A222" s="1" t="n">
        <v>31</v>
      </c>
      <c r="B222" s="34" t="n">
        <v>38261</v>
      </c>
      <c r="C222" s="305" t="n">
        <v>25000</v>
      </c>
      <c r="D222" s="29" t="s">
        <v>41</v>
      </c>
      <c r="E222" s="33" t="n">
        <f aca="false">IF(D222="totale",(C222/(A222*24))/F222,IF(D222="marché libre",(C222/(A222*24))/G222,"spécifier histo"))</f>
        <v>0.0260481787113445</v>
      </c>
      <c r="F222" s="59" t="n">
        <v>1290</v>
      </c>
      <c r="G222" s="59" t="n">
        <f aca="false">F222-H222</f>
        <v>1290</v>
      </c>
      <c r="H222" s="59" t="n">
        <v>0</v>
      </c>
      <c r="I222" s="9"/>
      <c r="J222" s="30"/>
    </row>
    <row r="223" customFormat="false" ht="20.95" hidden="false" customHeight="true" outlineLevel="0" collapsed="false">
      <c r="A223" s="1" t="n">
        <v>30</v>
      </c>
      <c r="B223" s="31" t="n">
        <v>38292</v>
      </c>
      <c r="C223" s="305" t="n">
        <v>223600</v>
      </c>
      <c r="D223" s="29" t="s">
        <v>41</v>
      </c>
      <c r="E223" s="33" t="n">
        <f aca="false">IF(D223="totale",(C223/(A223*24))/F223,IF(D223="marché libre",(C223/(A223*24))/G223,"spécifier histo"))</f>
        <v>0.240740740740741</v>
      </c>
      <c r="F223" s="59" t="n">
        <v>1290</v>
      </c>
      <c r="G223" s="59" t="n">
        <f aca="false">F223-H223</f>
        <v>1290</v>
      </c>
      <c r="H223" s="59" t="n">
        <v>0</v>
      </c>
      <c r="I223" s="9"/>
      <c r="J223" s="30"/>
    </row>
    <row r="224" customFormat="false" ht="20.95" hidden="false" customHeight="true" outlineLevel="0" collapsed="false">
      <c r="A224" s="1" t="n">
        <v>31</v>
      </c>
      <c r="B224" s="34" t="n">
        <v>38322</v>
      </c>
      <c r="C224" s="305" t="n">
        <v>82800</v>
      </c>
      <c r="D224" s="29" t="s">
        <v>41</v>
      </c>
      <c r="E224" s="33" t="n">
        <f aca="false">IF(D224="totale",(C224/(A224*24))/F224,IF(D224="marché libre",(C224/(A224*24))/G224,"spécifier histo"))</f>
        <v>0.086271567891973</v>
      </c>
      <c r="F224" s="59" t="n">
        <v>1290</v>
      </c>
      <c r="G224" s="59" t="n">
        <f aca="false">F224-H224</f>
        <v>1290</v>
      </c>
      <c r="H224" s="59" t="n">
        <v>0</v>
      </c>
      <c r="I224" s="9"/>
      <c r="J224" s="30"/>
    </row>
    <row r="225" customFormat="false" ht="19.85" hidden="false" customHeight="true" outlineLevel="0" collapsed="false">
      <c r="A225" s="1" t="n">
        <v>31</v>
      </c>
      <c r="B225" s="31" t="n">
        <v>38353</v>
      </c>
      <c r="C225" s="56" t="n">
        <v>76600</v>
      </c>
      <c r="D225" s="29" t="s">
        <v>41</v>
      </c>
      <c r="E225" s="33" t="n">
        <f aca="false">IF(D225="totale",(C225/(A225*24))/F225,IF(D225="marché libre",(C225/(A225*24))/G225,"spécifier histo"))</f>
        <v>0.0798116195715595</v>
      </c>
      <c r="F225" s="59" t="n">
        <v>1290</v>
      </c>
      <c r="G225" s="59" t="n">
        <f aca="false">F225-H225</f>
        <v>1290</v>
      </c>
      <c r="H225" s="59" t="n">
        <v>0</v>
      </c>
      <c r="J225" s="70"/>
      <c r="K225" s="30"/>
      <c r="L225" s="30"/>
      <c r="M225" s="30"/>
      <c r="N225" s="30"/>
    </row>
    <row r="226" customFormat="false" ht="19.85" hidden="false" customHeight="true" outlineLevel="0" collapsed="false">
      <c r="A226" s="1" t="n">
        <v>28</v>
      </c>
      <c r="B226" s="34" t="n">
        <v>38384</v>
      </c>
      <c r="C226" s="56" t="n">
        <v>20200</v>
      </c>
      <c r="D226" s="29" t="s">
        <v>41</v>
      </c>
      <c r="E226" s="33" t="n">
        <f aca="false">IF(D226="totale",(C226/(A226*24))/F226,IF(D226="marché libre",(C226/(A226*24))/G226,"spécifier histo"))</f>
        <v>0.0233019564414913</v>
      </c>
      <c r="F226" s="59" t="n">
        <v>1290</v>
      </c>
      <c r="G226" s="59" t="n">
        <f aca="false">F226-H226</f>
        <v>1290</v>
      </c>
      <c r="H226" s="59" t="n">
        <v>0</v>
      </c>
      <c r="J226" s="237"/>
      <c r="K226" s="30"/>
      <c r="L226" s="30"/>
      <c r="M226" s="30"/>
      <c r="N226" s="30"/>
    </row>
    <row r="227" customFormat="false" ht="19.85" hidden="false" customHeight="true" outlineLevel="0" collapsed="false">
      <c r="A227" s="1" t="n">
        <v>31</v>
      </c>
      <c r="B227" s="31" t="n">
        <v>38412</v>
      </c>
      <c r="C227" s="56" t="n">
        <v>137800</v>
      </c>
      <c r="D227" s="29" t="s">
        <v>41</v>
      </c>
      <c r="E227" s="33" t="n">
        <f aca="false">IF(D227="totale",(C227/(A227*24))/F227,IF(D227="marché libre",(C227/(A227*24))/G227,"spécifier histo"))</f>
        <v>0.143577561056931</v>
      </c>
      <c r="F227" s="59" t="n">
        <v>1290</v>
      </c>
      <c r="G227" s="59" t="n">
        <f aca="false">F227-H227</f>
        <v>1290</v>
      </c>
      <c r="H227" s="59" t="n">
        <v>0</v>
      </c>
      <c r="J227" s="70"/>
      <c r="K227" s="30"/>
      <c r="L227" s="30"/>
      <c r="M227" s="30"/>
      <c r="N227" s="30"/>
    </row>
    <row r="228" customFormat="false" ht="19.85" hidden="false" customHeight="true" outlineLevel="0" collapsed="false">
      <c r="A228" s="1" t="n">
        <v>30</v>
      </c>
      <c r="B228" s="34" t="n">
        <v>38443</v>
      </c>
      <c r="C228" s="56" t="n">
        <v>321600</v>
      </c>
      <c r="D228" s="29" t="s">
        <v>41</v>
      </c>
      <c r="E228" s="33" t="n">
        <f aca="false">IF(D228="totale",(C228/(A228*24))/F228,IF(D228="marché libre",(C228/(A228*24))/G228,"spécifier histo"))</f>
        <v>0.34625322997416</v>
      </c>
      <c r="F228" s="59" t="n">
        <v>1290</v>
      </c>
      <c r="G228" s="59" t="n">
        <f aca="false">F228-H228</f>
        <v>1290</v>
      </c>
      <c r="H228" s="59" t="n">
        <v>0</v>
      </c>
      <c r="J228" s="70"/>
      <c r="K228" s="30"/>
      <c r="L228" s="30"/>
      <c r="M228" s="30"/>
      <c r="N228" s="30"/>
    </row>
    <row r="229" customFormat="false" ht="19.85" hidden="false" customHeight="true" outlineLevel="0" collapsed="false">
      <c r="A229" s="1" t="n">
        <v>31</v>
      </c>
      <c r="B229" s="31" t="n">
        <v>38473</v>
      </c>
      <c r="C229" s="56" t="n">
        <v>545800</v>
      </c>
      <c r="D229" s="29" t="s">
        <v>41</v>
      </c>
      <c r="E229" s="33" t="n">
        <f aca="false">IF(D229="totale",(C229/(A229*24))/F229,IF(D229="marché libre",(C229/(A229*24))/G229,"spécifier histo"))</f>
        <v>0.568683837626073</v>
      </c>
      <c r="F229" s="59" t="n">
        <v>1290</v>
      </c>
      <c r="G229" s="59" t="n">
        <f aca="false">F229-H229</f>
        <v>1290</v>
      </c>
      <c r="H229" s="59" t="n">
        <v>0</v>
      </c>
    </row>
    <row r="230" customFormat="false" ht="19.85" hidden="false" customHeight="true" outlineLevel="0" collapsed="false">
      <c r="A230" s="1" t="n">
        <v>30</v>
      </c>
      <c r="B230" s="34" t="n">
        <v>38504</v>
      </c>
      <c r="C230" s="56" t="n">
        <v>199600</v>
      </c>
      <c r="D230" s="29" t="s">
        <v>41</v>
      </c>
      <c r="E230" s="33" t="n">
        <f aca="false">IF(D230="totale",(C230/(A230*24))/F230,IF(D230="marché libre",(C230/(A230*24))/G230,"spécifier histo"))</f>
        <v>0.214900947459087</v>
      </c>
      <c r="F230" s="59" t="n">
        <v>1290</v>
      </c>
      <c r="G230" s="59" t="n">
        <f aca="false">F230-H230</f>
        <v>1290</v>
      </c>
      <c r="H230" s="59" t="n">
        <v>0</v>
      </c>
    </row>
    <row r="231" customFormat="false" ht="19.85" hidden="false" customHeight="true" outlineLevel="0" collapsed="false">
      <c r="A231" s="1" t="n">
        <v>31</v>
      </c>
      <c r="B231" s="31" t="n">
        <v>38534</v>
      </c>
      <c r="C231" s="56" t="n">
        <v>110200</v>
      </c>
      <c r="D231" s="29" t="s">
        <v>41</v>
      </c>
      <c r="E231" s="33" t="n">
        <f aca="false">IF(D231="totale",(C231/(A231*24))/F231,IF(D231="marché libre",(C231/(A231*24))/G231,"spécifier histo"))</f>
        <v>0.114820371759607</v>
      </c>
      <c r="F231" s="59" t="n">
        <v>1290</v>
      </c>
      <c r="G231" s="59" t="n">
        <f aca="false">F231-H231</f>
        <v>1290</v>
      </c>
      <c r="H231" s="59" t="n">
        <v>0</v>
      </c>
    </row>
    <row r="232" customFormat="false" ht="19.85" hidden="false" customHeight="true" outlineLevel="0" collapsed="false">
      <c r="A232" s="1" t="n">
        <v>31</v>
      </c>
      <c r="B232" s="34" t="n">
        <v>38565</v>
      </c>
      <c r="C232" s="56" t="n">
        <v>30200</v>
      </c>
      <c r="D232" s="29" t="s">
        <v>41</v>
      </c>
      <c r="E232" s="33" t="n">
        <f aca="false">IF(D232="totale",(C232/(A232*24))/F232,IF(D232="marché libre",(C232/(A232*24))/G232,"spécifier histo"))</f>
        <v>0.0314661998833042</v>
      </c>
      <c r="F232" s="59" t="n">
        <v>1290</v>
      </c>
      <c r="G232" s="59" t="n">
        <f aca="false">F232-H232</f>
        <v>1290</v>
      </c>
      <c r="H232" s="59" t="n">
        <v>0</v>
      </c>
    </row>
    <row r="233" customFormat="false" ht="19.85" hidden="false" customHeight="true" outlineLevel="0" collapsed="false">
      <c r="A233" s="1" t="n">
        <v>30</v>
      </c>
      <c r="B233" s="31" t="n">
        <v>38596</v>
      </c>
      <c r="C233" s="56" t="n">
        <v>39600</v>
      </c>
      <c r="D233" s="29" t="s">
        <v>41</v>
      </c>
      <c r="E233" s="33" t="n">
        <f aca="false">IF(D233="totale",(C233/(A233*24))/F233,IF(D233="marché libre",(C233/(A233*24))/G233,"spécifier histo"))</f>
        <v>0.0426356589147287</v>
      </c>
      <c r="F233" s="59" t="n">
        <v>1290</v>
      </c>
      <c r="G233" s="59" t="n">
        <f aca="false">F233-H233</f>
        <v>1290</v>
      </c>
      <c r="H233" s="59" t="n">
        <v>0</v>
      </c>
    </row>
    <row r="234" customFormat="false" ht="19.85" hidden="false" customHeight="true" outlineLevel="0" collapsed="false">
      <c r="A234" s="1" t="n">
        <v>31</v>
      </c>
      <c r="B234" s="34" t="n">
        <v>38626</v>
      </c>
      <c r="C234" s="56" t="n">
        <v>29800</v>
      </c>
      <c r="D234" s="29" t="s">
        <v>41</v>
      </c>
      <c r="E234" s="33" t="n">
        <f aca="false">IF(D234="totale",(C234/(A234*24))/F234,IF(D234="marché libre",(C234/(A234*24))/G234,"spécifier histo"))</f>
        <v>0.0310494290239226</v>
      </c>
      <c r="F234" s="59" t="n">
        <v>1290</v>
      </c>
      <c r="G234" s="59" t="n">
        <f aca="false">F234-H234</f>
        <v>1290</v>
      </c>
      <c r="H234" s="59" t="n">
        <v>0</v>
      </c>
    </row>
    <row r="235" customFormat="false" ht="19.85" hidden="false" customHeight="true" outlineLevel="0" collapsed="false">
      <c r="A235" s="1" t="n">
        <v>30</v>
      </c>
      <c r="B235" s="31" t="n">
        <v>38657</v>
      </c>
      <c r="C235" s="56" t="n">
        <v>154000</v>
      </c>
      <c r="D235" s="29" t="s">
        <v>41</v>
      </c>
      <c r="E235" s="33" t="n">
        <f aca="false">IF(D235="totale",(C235/(A235*24))/F235,IF(D235="marché libre",(C235/(A235*24))/G235,"spécifier histo"))</f>
        <v>0.165805340223945</v>
      </c>
      <c r="F235" s="59" t="n">
        <v>1290</v>
      </c>
      <c r="G235" s="59" t="n">
        <f aca="false">F235-H235</f>
        <v>1290</v>
      </c>
      <c r="H235" s="59" t="n">
        <v>0</v>
      </c>
    </row>
    <row r="236" customFormat="false" ht="19.85" hidden="false" customHeight="true" outlineLevel="0" collapsed="false">
      <c r="A236" s="1" t="n">
        <v>31</v>
      </c>
      <c r="B236" s="34" t="n">
        <v>38687</v>
      </c>
      <c r="C236" s="56" t="n">
        <v>61600</v>
      </c>
      <c r="D236" s="29" t="s">
        <v>41</v>
      </c>
      <c r="E236" s="33" t="n">
        <f aca="false">IF(D236="totale",(C236/(A236*24))/F236,IF(D236="marché libre",(C236/(A236*24))/G236,"spécifier histo"))</f>
        <v>0.0641827123447529</v>
      </c>
      <c r="F236" s="59" t="n">
        <v>1290</v>
      </c>
      <c r="G236" s="59" t="n">
        <f aca="false">F236-H236</f>
        <v>1290</v>
      </c>
      <c r="H236" s="59" t="n">
        <v>0</v>
      </c>
    </row>
    <row r="237" customFormat="false" ht="19.85" hidden="false" customHeight="true" outlineLevel="0" collapsed="false">
      <c r="A237" s="1" t="n">
        <v>31</v>
      </c>
      <c r="B237" s="31" t="n">
        <v>38718</v>
      </c>
      <c r="C237" s="56" t="n">
        <v>28400</v>
      </c>
      <c r="D237" s="29" t="s">
        <v>41</v>
      </c>
      <c r="E237" s="33" t="n">
        <f aca="false">IF(D237="totale",(C237/(A237*24))/F237,IF(D237="marché libre",(C237/(A237*24))/G237,"spécifier histo"))</f>
        <v>0.0295907310160874</v>
      </c>
      <c r="F237" s="59" t="n">
        <v>1290</v>
      </c>
      <c r="G237" s="59" t="n">
        <f aca="false">F237-H237</f>
        <v>1290</v>
      </c>
      <c r="H237" s="59" t="n">
        <v>0</v>
      </c>
    </row>
    <row r="238" customFormat="false" ht="19.85" hidden="false" customHeight="true" outlineLevel="0" collapsed="false">
      <c r="A238" s="1" t="n">
        <v>28</v>
      </c>
      <c r="B238" s="34" t="n">
        <v>38749</v>
      </c>
      <c r="C238" s="56" t="n">
        <v>18000</v>
      </c>
      <c r="D238" s="29" t="s">
        <v>41</v>
      </c>
      <c r="E238" s="33" t="n">
        <f aca="false">IF(D238="totale",(C238/(A238*24))/F238,IF(D238="marché libre",(C238/(A238*24))/G238,"spécifier histo"))</f>
        <v>0.0207641196013289</v>
      </c>
      <c r="F238" s="59" t="n">
        <v>1290</v>
      </c>
      <c r="G238" s="59" t="n">
        <f aca="false">F238-H238</f>
        <v>1290</v>
      </c>
      <c r="H238" s="59" t="n">
        <v>0</v>
      </c>
    </row>
    <row r="239" customFormat="false" ht="19.85" hidden="false" customHeight="true" outlineLevel="0" collapsed="false">
      <c r="A239" s="1" t="n">
        <v>31</v>
      </c>
      <c r="B239" s="31" t="n">
        <v>38777</v>
      </c>
      <c r="C239" s="56" t="n">
        <v>83400</v>
      </c>
      <c r="D239" s="29" t="s">
        <v>41</v>
      </c>
      <c r="E239" s="33" t="n">
        <f aca="false">IF(D239="totale",(C239/(A239*24))/F239,IF(D239="marché libre",(C239/(A239*24))/G239,"spécifier histo"))</f>
        <v>0.0868967241810453</v>
      </c>
      <c r="F239" s="59" t="n">
        <v>1290</v>
      </c>
      <c r="G239" s="59" t="n">
        <f aca="false">F239-H239</f>
        <v>1290</v>
      </c>
      <c r="H239" s="59" t="n">
        <v>0</v>
      </c>
    </row>
    <row r="240" customFormat="false" ht="19.85" hidden="false" customHeight="true" outlineLevel="0" collapsed="false">
      <c r="A240" s="1" t="n">
        <v>30</v>
      </c>
      <c r="B240" s="34" t="n">
        <v>38808</v>
      </c>
      <c r="C240" s="56" t="n">
        <v>429600</v>
      </c>
      <c r="D240" s="29" t="s">
        <v>41</v>
      </c>
      <c r="E240" s="33" t="n">
        <f aca="false">IF(D240="totale",(C240/(A240*24))/F240,IF(D240="marché libre",(C240/(A240*24))/G240,"spécifier histo"))</f>
        <v>0.462532299741602</v>
      </c>
      <c r="F240" s="59" t="n">
        <v>1290</v>
      </c>
      <c r="G240" s="59" t="n">
        <f aca="false">F240-H240</f>
        <v>1290</v>
      </c>
      <c r="H240" s="59" t="n">
        <v>0</v>
      </c>
    </row>
    <row r="241" customFormat="false" ht="19.85" hidden="false" customHeight="true" outlineLevel="0" collapsed="false">
      <c r="A241" s="1" t="n">
        <v>31</v>
      </c>
      <c r="B241" s="31" t="n">
        <v>38838</v>
      </c>
      <c r="C241" s="56" t="n">
        <v>707200</v>
      </c>
      <c r="D241" s="29" t="s">
        <v>41</v>
      </c>
      <c r="E241" s="33" t="n">
        <f aca="false">IF(D241="totale",(C241/(A241*24))/F241,IF(D241="marché libre",(C241/(A241*24))/G241,"spécifier histo"))</f>
        <v>0.736850879386513</v>
      </c>
      <c r="F241" s="59" t="n">
        <v>1290</v>
      </c>
      <c r="G241" s="59" t="n">
        <f aca="false">F241-H241</f>
        <v>1290</v>
      </c>
      <c r="H241" s="59" t="n">
        <v>0</v>
      </c>
    </row>
    <row r="242" customFormat="false" ht="19.85" hidden="false" customHeight="true" outlineLevel="0" collapsed="false">
      <c r="A242" s="1" t="n">
        <v>30</v>
      </c>
      <c r="B242" s="34" t="n">
        <v>38869</v>
      </c>
      <c r="C242" s="56" t="n">
        <v>251800</v>
      </c>
      <c r="D242" s="29" t="s">
        <v>41</v>
      </c>
      <c r="E242" s="33" t="n">
        <f aca="false">IF(D242="totale",(C242/(A242*24))/F242,IF(D242="marché libre",(C242/(A242*24))/G242,"spécifier histo"))</f>
        <v>0.271102497846684</v>
      </c>
      <c r="F242" s="59" t="n">
        <v>1290</v>
      </c>
      <c r="G242" s="59" t="n">
        <f aca="false">F242-H242</f>
        <v>1290</v>
      </c>
      <c r="H242" s="59" t="n">
        <v>0</v>
      </c>
    </row>
    <row r="243" customFormat="false" ht="19.85" hidden="false" customHeight="true" outlineLevel="0" collapsed="false">
      <c r="A243" s="1" t="n">
        <v>31</v>
      </c>
      <c r="B243" s="31" t="n">
        <v>38899</v>
      </c>
      <c r="C243" s="56" t="n">
        <v>181200</v>
      </c>
      <c r="D243" s="29" t="s">
        <v>41</v>
      </c>
      <c r="E243" s="33" t="n">
        <f aca="false">IF(D243="totale",(C243/(A243*24))/F243,IF(D243="marché libre",(C243/(A243*24))/G243,"spécifier histo"))</f>
        <v>0.188797199299825</v>
      </c>
      <c r="F243" s="59" t="n">
        <v>1290</v>
      </c>
      <c r="G243" s="59" t="n">
        <f aca="false">F243-H243</f>
        <v>1290</v>
      </c>
      <c r="H243" s="59" t="n">
        <v>0</v>
      </c>
    </row>
    <row r="244" customFormat="false" ht="19.85" hidden="false" customHeight="true" outlineLevel="0" collapsed="false">
      <c r="A244" s="1" t="n">
        <v>31</v>
      </c>
      <c r="B244" s="34" t="n">
        <v>38930</v>
      </c>
      <c r="C244" s="56" t="n">
        <v>100000</v>
      </c>
      <c r="D244" s="29" t="s">
        <v>41</v>
      </c>
      <c r="E244" s="33" t="n">
        <f aca="false">IF(D244="totale",(C244/(A244*24))/F244,IF(D244="marché libre",(C244/(A244*24))/G244,"spécifier histo"))</f>
        <v>0.104192714845378</v>
      </c>
      <c r="F244" s="59" t="n">
        <v>1290</v>
      </c>
      <c r="G244" s="59" t="n">
        <f aca="false">F244-H244</f>
        <v>1290</v>
      </c>
      <c r="H244" s="59" t="n">
        <v>0</v>
      </c>
    </row>
    <row r="245" customFormat="false" ht="19.85" hidden="false" customHeight="true" outlineLevel="0" collapsed="false">
      <c r="A245" s="1" t="n">
        <v>30</v>
      </c>
      <c r="B245" s="31" t="n">
        <v>38961</v>
      </c>
      <c r="C245" s="56" t="n">
        <v>94800</v>
      </c>
      <c r="D245" s="29" t="s">
        <v>41</v>
      </c>
      <c r="E245" s="33" t="n">
        <f aca="false">IF(D245="totale",(C245/(A245*24))/F245,IF(D245="marché libre",(C245/(A245*24))/G245,"spécifier histo"))</f>
        <v>0.102067183462532</v>
      </c>
      <c r="F245" s="59" t="n">
        <v>1290</v>
      </c>
      <c r="G245" s="59" t="n">
        <f aca="false">F245-H245</f>
        <v>1290</v>
      </c>
      <c r="H245" s="59" t="n">
        <v>0</v>
      </c>
      <c r="J245" s="55"/>
      <c r="K245" s="0"/>
      <c r="L245" s="30"/>
      <c r="M245" s="30"/>
      <c r="N245" s="30"/>
      <c r="P245" s="0"/>
      <c r="R245" s="0"/>
      <c r="T245" s="0"/>
      <c r="W245" s="0"/>
      <c r="Z245" s="0"/>
    </row>
    <row r="246" customFormat="false" ht="19.85" hidden="false" customHeight="true" outlineLevel="0" collapsed="false">
      <c r="A246" s="1" t="n">
        <v>31</v>
      </c>
      <c r="B246" s="34" t="n">
        <v>38991</v>
      </c>
      <c r="C246" s="56" t="n">
        <v>159200</v>
      </c>
      <c r="D246" s="29" t="s">
        <v>41</v>
      </c>
      <c r="E246" s="33" t="n">
        <f aca="false">IF(D246="totale",(C246/(A246*24))/F246,IF(D246="marché libre",(C246/(A246*24))/G246,"spécifier histo"))</f>
        <v>0.165874802033842</v>
      </c>
      <c r="F246" s="59" t="n">
        <v>1290</v>
      </c>
      <c r="G246" s="59" t="n">
        <f aca="false">F246-H246</f>
        <v>1290</v>
      </c>
      <c r="H246" s="59" t="n">
        <v>0</v>
      </c>
      <c r="J246" s="55"/>
      <c r="K246" s="0"/>
      <c r="L246" s="30"/>
      <c r="M246" s="30"/>
      <c r="N246" s="30"/>
      <c r="P246" s="0"/>
      <c r="R246" s="0"/>
      <c r="T246" s="0"/>
      <c r="W246" s="0"/>
      <c r="Z246" s="0"/>
    </row>
    <row r="247" customFormat="false" ht="19.85" hidden="false" customHeight="true" outlineLevel="0" collapsed="false">
      <c r="A247" s="1" t="n">
        <v>30</v>
      </c>
      <c r="B247" s="31" t="n">
        <v>39022</v>
      </c>
      <c r="C247" s="56" t="n">
        <v>145800</v>
      </c>
      <c r="D247" s="29" t="s">
        <v>41</v>
      </c>
      <c r="E247" s="33" t="n">
        <f aca="false">IF(D247="totale",(C247/(A247*24))/F247,IF(D247="marché libre",(C247/(A247*24))/G247,"spécifier histo"))</f>
        <v>0.156976744186047</v>
      </c>
      <c r="F247" s="59" t="n">
        <v>1290</v>
      </c>
      <c r="G247" s="59" t="n">
        <f aca="false">F247-H247</f>
        <v>1290</v>
      </c>
      <c r="H247" s="59" t="n">
        <v>0</v>
      </c>
      <c r="J247" s="55"/>
      <c r="K247" s="0"/>
      <c r="L247" s="30"/>
      <c r="M247" s="30"/>
      <c r="N247" s="30"/>
      <c r="P247" s="0"/>
      <c r="R247" s="0"/>
      <c r="T247" s="0"/>
      <c r="W247" s="0"/>
      <c r="Z247" s="0"/>
    </row>
    <row r="248" customFormat="false" ht="19.85" hidden="false" customHeight="true" outlineLevel="0" collapsed="false">
      <c r="A248" s="1" t="n">
        <v>31</v>
      </c>
      <c r="B248" s="34" t="n">
        <v>39052</v>
      </c>
      <c r="C248" s="56" t="n">
        <v>235400</v>
      </c>
      <c r="D248" s="29" t="s">
        <v>41</v>
      </c>
      <c r="E248" s="33" t="n">
        <f aca="false">IF(D248="totale",(C248/(A248*24))/F248,IF(D248="marché libre",(C248/(A248*24))/G248,"spécifier histo"))</f>
        <v>0.24526965074602</v>
      </c>
      <c r="F248" s="59" t="n">
        <v>1290</v>
      </c>
      <c r="G248" s="59" t="n">
        <f aca="false">F248-H248</f>
        <v>1290</v>
      </c>
      <c r="H248" s="59" t="n">
        <v>0</v>
      </c>
      <c r="J248" s="55"/>
      <c r="K248" s="0"/>
      <c r="L248" s="30"/>
      <c r="M248" s="30"/>
      <c r="N248" s="30"/>
      <c r="P248" s="0"/>
      <c r="R248" s="0"/>
      <c r="T248" s="0"/>
      <c r="W248" s="0"/>
      <c r="Z248" s="0"/>
    </row>
    <row r="249" customFormat="false" ht="19.85" hidden="false" customHeight="true" outlineLevel="0" collapsed="false">
      <c r="A249" s="1" t="n">
        <v>31</v>
      </c>
      <c r="B249" s="31" t="n">
        <v>39083</v>
      </c>
      <c r="C249" s="56" t="n">
        <v>92800</v>
      </c>
      <c r="D249" s="29" t="s">
        <v>41</v>
      </c>
      <c r="E249" s="33" t="n">
        <f aca="false">IF(D249="totale",(C249/(A249*24))/F249,IF(D249="marché libre",(C249/(A249*24))/G249,"spécifier histo"))</f>
        <v>0.0966908393765108</v>
      </c>
      <c r="F249" s="59" t="n">
        <v>1290</v>
      </c>
      <c r="G249" s="59" t="n">
        <f aca="false">F249-H249</f>
        <v>1290</v>
      </c>
      <c r="H249" s="59" t="n">
        <v>0</v>
      </c>
      <c r="J249" s="55"/>
      <c r="K249" s="0"/>
      <c r="L249" s="30"/>
      <c r="M249" s="30"/>
      <c r="N249" s="30"/>
      <c r="P249" s="0"/>
      <c r="R249" s="0"/>
      <c r="T249" s="0"/>
      <c r="W249" s="0"/>
      <c r="Z249" s="0"/>
    </row>
    <row r="250" customFormat="false" ht="19.85" hidden="false" customHeight="true" outlineLevel="0" collapsed="false">
      <c r="A250" s="1" t="n">
        <v>28</v>
      </c>
      <c r="B250" s="34" t="n">
        <v>39114</v>
      </c>
      <c r="C250" s="56" t="n">
        <v>66200</v>
      </c>
      <c r="D250" s="29" t="s">
        <v>41</v>
      </c>
      <c r="E250" s="33" t="n">
        <f aca="false">IF(D250="totale",(C250/(A250*24))/F250,IF(D250="marché libre",(C250/(A250*24))/G250,"spécifier histo"))</f>
        <v>0.0763658176448874</v>
      </c>
      <c r="F250" s="59" t="n">
        <v>1290</v>
      </c>
      <c r="G250" s="59" t="n">
        <f aca="false">F250-H250</f>
        <v>1290</v>
      </c>
      <c r="H250" s="59" t="n">
        <v>0</v>
      </c>
      <c r="J250" s="55"/>
      <c r="K250" s="0"/>
      <c r="L250" s="30"/>
      <c r="M250" s="30"/>
      <c r="N250" s="30"/>
      <c r="P250" s="0"/>
      <c r="R250" s="0"/>
      <c r="T250" s="0"/>
      <c r="W250" s="0"/>
      <c r="Z250" s="0"/>
    </row>
    <row r="251" customFormat="false" ht="19.85" hidden="false" customHeight="true" outlineLevel="0" collapsed="false">
      <c r="A251" s="1" t="n">
        <v>31</v>
      </c>
      <c r="B251" s="31" t="n">
        <v>39142</v>
      </c>
      <c r="C251" s="56" t="n">
        <v>148400</v>
      </c>
      <c r="D251" s="29" t="s">
        <v>41</v>
      </c>
      <c r="E251" s="33" t="n">
        <f aca="false">IF(D251="totale",(C251/(A251*24))/F251,IF(D251="marché libre",(C251/(A251*24))/G251,"spécifier histo"))</f>
        <v>0.154621988830541</v>
      </c>
      <c r="F251" s="59" t="n">
        <v>1290</v>
      </c>
      <c r="G251" s="59" t="n">
        <f aca="false">F251-H251</f>
        <v>1290</v>
      </c>
      <c r="H251" s="59" t="n">
        <v>0</v>
      </c>
      <c r="J251" s="55"/>
      <c r="K251" s="0"/>
      <c r="L251" s="30"/>
      <c r="M251" s="30"/>
      <c r="N251" s="30"/>
      <c r="P251" s="0"/>
      <c r="R251" s="0"/>
      <c r="T251" s="0"/>
      <c r="W251" s="0"/>
      <c r="Z251" s="0"/>
    </row>
    <row r="252" customFormat="false" ht="19.85" hidden="false" customHeight="true" outlineLevel="0" collapsed="false">
      <c r="A252" s="1" t="n">
        <v>30</v>
      </c>
      <c r="B252" s="34" t="n">
        <v>39173</v>
      </c>
      <c r="C252" s="56" t="n">
        <v>468000</v>
      </c>
      <c r="D252" s="29" t="s">
        <v>41</v>
      </c>
      <c r="E252" s="33" t="n">
        <f aca="false">IF(D252="totale",(C252/(A252*24))/F252,IF(D252="marché libre",(C252/(A252*24))/G252,"spécifier histo"))</f>
        <v>0.503875968992248</v>
      </c>
      <c r="F252" s="59" t="n">
        <v>1290</v>
      </c>
      <c r="G252" s="59" t="n">
        <f aca="false">F252-H252</f>
        <v>1290</v>
      </c>
      <c r="H252" s="59" t="n">
        <v>0</v>
      </c>
      <c r="J252" s="55"/>
      <c r="K252" s="0"/>
      <c r="L252" s="30"/>
      <c r="M252" s="30"/>
      <c r="N252" s="30"/>
      <c r="P252" s="0"/>
      <c r="R252" s="0"/>
      <c r="T252" s="0"/>
      <c r="W252" s="0"/>
      <c r="Z252" s="0"/>
    </row>
    <row r="253" customFormat="false" ht="19.85" hidden="false" customHeight="true" outlineLevel="0" collapsed="false">
      <c r="A253" s="1" t="n">
        <v>31</v>
      </c>
      <c r="B253" s="31" t="n">
        <v>39203</v>
      </c>
      <c r="C253" s="56" t="n">
        <v>504000</v>
      </c>
      <c r="D253" s="29" t="s">
        <v>41</v>
      </c>
      <c r="E253" s="33" t="n">
        <f aca="false">IF(D253="totale",(C253/(A253*24))/F253,IF(D253="marché libre",(C253/(A253*24))/G253,"spécifier histo"))</f>
        <v>0.525131282820705</v>
      </c>
      <c r="F253" s="59" t="n">
        <v>1290</v>
      </c>
      <c r="G253" s="59" t="n">
        <f aca="false">F253-H253</f>
        <v>1290</v>
      </c>
      <c r="H253" s="59" t="n">
        <v>0</v>
      </c>
      <c r="J253" s="55"/>
      <c r="K253" s="0"/>
      <c r="L253" s="30"/>
      <c r="M253" s="30"/>
      <c r="N253" s="30"/>
      <c r="P253" s="0"/>
      <c r="R253" s="0"/>
      <c r="T253" s="0"/>
      <c r="W253" s="0"/>
      <c r="Z253" s="0"/>
    </row>
    <row r="254" customFormat="false" ht="19.85" hidden="false" customHeight="true" outlineLevel="0" collapsed="false">
      <c r="A254" s="1" t="n">
        <v>30</v>
      </c>
      <c r="B254" s="34" t="n">
        <v>39234</v>
      </c>
      <c r="C254" s="56" t="n">
        <v>415000</v>
      </c>
      <c r="D254" s="29" t="s">
        <v>41</v>
      </c>
      <c r="E254" s="33" t="n">
        <f aca="false">IF(D254="totale",(C254/(A254*24))/F254,IF(D254="marché libre",(C254/(A254*24))/G254,"spécifier histo"))</f>
        <v>0.446813092161929</v>
      </c>
      <c r="F254" s="59" t="n">
        <v>1290</v>
      </c>
      <c r="G254" s="59" t="n">
        <f aca="false">F254-H254</f>
        <v>1290</v>
      </c>
      <c r="H254" s="59" t="n">
        <v>0</v>
      </c>
      <c r="J254" s="55"/>
      <c r="K254" s="0"/>
      <c r="L254" s="30"/>
      <c r="M254" s="30"/>
      <c r="N254" s="30"/>
      <c r="P254" s="0"/>
      <c r="R254" s="0"/>
      <c r="T254" s="0"/>
      <c r="W254" s="0"/>
      <c r="Z254" s="0"/>
    </row>
    <row r="255" customFormat="false" ht="19.85" hidden="false" customHeight="true" outlineLevel="0" collapsed="false">
      <c r="A255" s="1" t="n">
        <v>31</v>
      </c>
      <c r="B255" s="31" t="n">
        <v>39264</v>
      </c>
      <c r="C255" s="56" t="n">
        <v>180200</v>
      </c>
      <c r="D255" s="29" t="s">
        <v>41</v>
      </c>
      <c r="E255" s="33" t="n">
        <f aca="false">IF(D255="totale",(C255/(A255*24))/F255,IF(D255="marché libre",(C255/(A255*24))/G255,"spécifier histo"))</f>
        <v>0.187755272151371</v>
      </c>
      <c r="F255" s="59" t="n">
        <v>1290</v>
      </c>
      <c r="G255" s="59" t="n">
        <f aca="false">F255-H255</f>
        <v>1290</v>
      </c>
      <c r="H255" s="59" t="n">
        <v>0</v>
      </c>
      <c r="J255" s="55"/>
      <c r="K255" s="0"/>
      <c r="L255" s="30"/>
      <c r="M255" s="30"/>
      <c r="N255" s="30"/>
      <c r="P255" s="0"/>
      <c r="T255" s="0"/>
      <c r="W255" s="0"/>
      <c r="Z255" s="0"/>
    </row>
    <row r="256" customFormat="false" ht="19.85" hidden="false" customHeight="true" outlineLevel="0" collapsed="false">
      <c r="A256" s="1" t="n">
        <v>31</v>
      </c>
      <c r="B256" s="34" t="n">
        <v>39295</v>
      </c>
      <c r="C256" s="56" t="n">
        <v>63800</v>
      </c>
      <c r="D256" s="29" t="s">
        <v>41</v>
      </c>
      <c r="E256" s="33" t="n">
        <f aca="false">IF(D256="totale",(C256/(A256*24))/F256,IF(D256="marché libre",(C256/(A256*24))/G256,"spécifier histo"))</f>
        <v>0.0664749520713512</v>
      </c>
      <c r="F256" s="59" t="n">
        <v>1290</v>
      </c>
      <c r="G256" s="59" t="n">
        <f aca="false">F256-H256</f>
        <v>1290</v>
      </c>
      <c r="H256" s="59" t="n">
        <v>0</v>
      </c>
      <c r="J256" s="55"/>
      <c r="K256" s="0"/>
      <c r="L256" s="30"/>
      <c r="M256" s="30"/>
      <c r="N256" s="30"/>
      <c r="P256" s="0"/>
      <c r="T256" s="0"/>
      <c r="W256" s="0"/>
      <c r="Z256" s="0"/>
    </row>
    <row r="257" customFormat="false" ht="19.85" hidden="false" customHeight="true" outlineLevel="0" collapsed="false">
      <c r="A257" s="1" t="n">
        <v>30</v>
      </c>
      <c r="B257" s="31" t="n">
        <v>39326</v>
      </c>
      <c r="C257" s="56" t="n">
        <v>26400</v>
      </c>
      <c r="D257" s="29" t="s">
        <v>41</v>
      </c>
      <c r="E257" s="33" t="n">
        <f aca="false">IF(D257="totale",(C257/(A257*24))/F257,IF(D257="marché libre",(C257/(A257*24))/G257,"spécifier histo"))</f>
        <v>0.0284237726098191</v>
      </c>
      <c r="F257" s="59" t="n">
        <v>1290</v>
      </c>
      <c r="G257" s="59" t="n">
        <f aca="false">F257-H257</f>
        <v>1290</v>
      </c>
      <c r="H257" s="59" t="n">
        <v>0</v>
      </c>
      <c r="J257" s="55"/>
      <c r="K257" s="0"/>
      <c r="L257" s="30"/>
      <c r="M257" s="30"/>
      <c r="N257" s="30"/>
      <c r="P257" s="0"/>
      <c r="T257" s="0"/>
      <c r="W257" s="0"/>
      <c r="Z257" s="0"/>
    </row>
    <row r="258" customFormat="false" ht="19.85" hidden="false" customHeight="true" outlineLevel="0" collapsed="false">
      <c r="A258" s="1" t="n">
        <v>31</v>
      </c>
      <c r="B258" s="34" t="n">
        <v>39356</v>
      </c>
      <c r="C258" s="56" t="n">
        <v>9000</v>
      </c>
      <c r="D258" s="29" t="s">
        <v>41</v>
      </c>
      <c r="E258" s="33" t="n">
        <f aca="false">IF(D258="totale",(C258/(A258*24))/F258,IF(D258="marché libre",(C258/(A258*24))/G258,"spécifier histo"))</f>
        <v>0.00937734433608402</v>
      </c>
      <c r="F258" s="59" t="n">
        <v>1290</v>
      </c>
      <c r="G258" s="59" t="n">
        <f aca="false">F258-H258</f>
        <v>1290</v>
      </c>
      <c r="H258" s="59" t="n">
        <v>0</v>
      </c>
      <c r="J258" s="55"/>
      <c r="K258" s="0"/>
      <c r="L258" s="30"/>
      <c r="M258" s="30"/>
      <c r="N258" s="30"/>
      <c r="P258" s="0"/>
      <c r="T258" s="0"/>
      <c r="W258" s="0"/>
      <c r="Z258" s="0"/>
    </row>
    <row r="259" customFormat="false" ht="19.85" hidden="false" customHeight="true" outlineLevel="0" collapsed="false">
      <c r="A259" s="1" t="n">
        <v>30</v>
      </c>
      <c r="B259" s="31" t="n">
        <v>39387</v>
      </c>
      <c r="C259" s="56" t="n">
        <v>39400</v>
      </c>
      <c r="D259" s="29" t="s">
        <v>41</v>
      </c>
      <c r="E259" s="33" t="n">
        <f aca="false">IF(D259="totale",(C259/(A259*24))/F259,IF(D259="marché libre",(C259/(A259*24))/G259,"spécifier histo"))</f>
        <v>0.0424203273040482</v>
      </c>
      <c r="F259" s="59" t="n">
        <v>1290</v>
      </c>
      <c r="G259" s="59" t="n">
        <f aca="false">F259-H259</f>
        <v>1290</v>
      </c>
      <c r="H259" s="59" t="n">
        <v>0</v>
      </c>
      <c r="J259" s="55"/>
      <c r="K259" s="0"/>
      <c r="L259" s="30"/>
      <c r="M259" s="30"/>
      <c r="N259" s="30"/>
      <c r="P259" s="0"/>
      <c r="T259" s="0"/>
      <c r="W259" s="0"/>
      <c r="Z259" s="0"/>
    </row>
    <row r="260" customFormat="false" ht="19.85" hidden="false" customHeight="true" outlineLevel="0" collapsed="false">
      <c r="A260" s="1" t="n">
        <v>31</v>
      </c>
      <c r="B260" s="34" t="n">
        <v>39417</v>
      </c>
      <c r="C260" s="56" t="n">
        <v>19400</v>
      </c>
      <c r="D260" s="29" t="s">
        <v>41</v>
      </c>
      <c r="E260" s="33" t="n">
        <f aca="false">IF(D260="totale",(C260/(A260*24))/F260,IF(D260="marché libre",(C260/(A260*24))/G260,"spécifier histo"))</f>
        <v>0.0202133866800033</v>
      </c>
      <c r="F260" s="59" t="n">
        <v>1290</v>
      </c>
      <c r="G260" s="59" t="n">
        <f aca="false">F260-H260</f>
        <v>1290</v>
      </c>
      <c r="H260" s="59" t="n">
        <v>0</v>
      </c>
      <c r="J260" s="55"/>
      <c r="K260" s="0"/>
      <c r="L260" s="30"/>
      <c r="M260" s="30"/>
      <c r="N260" s="30"/>
      <c r="P260" s="0"/>
      <c r="T260" s="0"/>
      <c r="W260" s="0"/>
      <c r="Z260" s="0"/>
    </row>
    <row r="261" customFormat="false" ht="19.85" hidden="false" customHeight="true" outlineLevel="0" collapsed="false">
      <c r="A261" s="1" t="n">
        <v>31</v>
      </c>
      <c r="B261" s="31" t="n">
        <v>39448</v>
      </c>
      <c r="C261" s="56" t="n">
        <v>20000</v>
      </c>
      <c r="D261" s="29" t="s">
        <v>41</v>
      </c>
      <c r="E261" s="33" t="n">
        <f aca="false">IF(D261="totale",(C261/(A261*24))/F261,IF(D261="marché libre",(C261/(A261*24))/G261,"spécifier histo"))</f>
        <v>0.0208385429690756</v>
      </c>
      <c r="F261" s="59" t="n">
        <v>1290</v>
      </c>
      <c r="G261" s="59" t="n">
        <f aca="false">F261-H261</f>
        <v>1290</v>
      </c>
      <c r="H261" s="59" t="n">
        <v>0</v>
      </c>
      <c r="J261" s="55"/>
      <c r="K261" s="0"/>
      <c r="L261" s="30"/>
      <c r="M261" s="30"/>
      <c r="N261" s="30"/>
      <c r="P261" s="0"/>
      <c r="T261" s="0"/>
      <c r="W261" s="0"/>
      <c r="Z261" s="0"/>
    </row>
    <row r="262" customFormat="false" ht="19.85" hidden="false" customHeight="true" outlineLevel="0" collapsed="false">
      <c r="A262" s="1" t="n">
        <v>28</v>
      </c>
      <c r="B262" s="34" t="n">
        <v>39479</v>
      </c>
      <c r="C262" s="56" t="n">
        <v>12800</v>
      </c>
      <c r="D262" s="29" t="s">
        <v>41</v>
      </c>
      <c r="E262" s="33" t="n">
        <f aca="false">IF(D262="totale",(C262/(A262*24))/F262,IF(D262="marché libre",(C262/(A262*24))/G262,"spécifier histo"))</f>
        <v>0.014765596160945</v>
      </c>
      <c r="F262" s="59" t="n">
        <v>1290</v>
      </c>
      <c r="G262" s="59" t="n">
        <f aca="false">F262-H262</f>
        <v>1290</v>
      </c>
      <c r="H262" s="59" t="n">
        <v>0</v>
      </c>
      <c r="J262" s="55"/>
      <c r="K262" s="0"/>
      <c r="L262" s="30"/>
      <c r="M262" s="30"/>
      <c r="N262" s="30"/>
      <c r="P262" s="0"/>
      <c r="T262" s="0"/>
      <c r="W262" s="0"/>
      <c r="Z262" s="0"/>
    </row>
    <row r="263" customFormat="false" ht="19.85" hidden="false" customHeight="true" outlineLevel="0" collapsed="false">
      <c r="A263" s="1" t="n">
        <v>31</v>
      </c>
      <c r="B263" s="31" t="n">
        <v>39508</v>
      </c>
      <c r="C263" s="56" t="n">
        <v>33600</v>
      </c>
      <c r="D263" s="29" t="s">
        <v>41</v>
      </c>
      <c r="E263" s="33" t="n">
        <f aca="false">IF(D263="totale",(C263/(A263*24))/F263,IF(D263="marché libre",(C263/(A263*24))/G263,"spécifier histo"))</f>
        <v>0.035008752188047</v>
      </c>
      <c r="F263" s="59" t="n">
        <v>1290</v>
      </c>
      <c r="G263" s="59" t="n">
        <f aca="false">F263-H263</f>
        <v>1290</v>
      </c>
      <c r="H263" s="59" t="n">
        <v>0</v>
      </c>
      <c r="J263" s="55"/>
      <c r="K263" s="0"/>
      <c r="L263" s="30"/>
      <c r="M263" s="30"/>
      <c r="N263" s="30"/>
      <c r="P263" s="0"/>
      <c r="T263" s="0"/>
      <c r="W263" s="0"/>
      <c r="Z263" s="0"/>
    </row>
    <row r="264" customFormat="false" ht="19.85" hidden="false" customHeight="true" outlineLevel="0" collapsed="false">
      <c r="A264" s="1" t="n">
        <v>30</v>
      </c>
      <c r="B264" s="34" t="n">
        <v>39539</v>
      </c>
      <c r="C264" s="56" t="n">
        <v>297400</v>
      </c>
      <c r="D264" s="29" t="s">
        <v>41</v>
      </c>
      <c r="E264" s="33" t="n">
        <f aca="false">IF(D264="totale",(C264/(A264*24))/F264,IF(D264="marché libre",(C264/(A264*24))/G264,"spécifier histo"))</f>
        <v>0.320198105081826</v>
      </c>
      <c r="F264" s="59" t="n">
        <v>1290</v>
      </c>
      <c r="G264" s="59" t="n">
        <f aca="false">F264-H264</f>
        <v>1290</v>
      </c>
      <c r="H264" s="59" t="n">
        <v>0</v>
      </c>
      <c r="J264" s="55"/>
      <c r="K264" s="0"/>
      <c r="L264" s="30"/>
      <c r="M264" s="30"/>
      <c r="N264" s="30"/>
      <c r="P264" s="0"/>
      <c r="T264" s="0"/>
      <c r="W264" s="0"/>
      <c r="Z264" s="0"/>
    </row>
    <row r="265" customFormat="false" ht="19.85" hidden="false" customHeight="true" outlineLevel="0" collapsed="false">
      <c r="A265" s="1" t="n">
        <v>31</v>
      </c>
      <c r="B265" s="31" t="n">
        <v>39569</v>
      </c>
      <c r="C265" s="56" t="n">
        <v>730800</v>
      </c>
      <c r="D265" s="29" t="s">
        <v>41</v>
      </c>
      <c r="E265" s="33" t="n">
        <f aca="false">IF(D265="totale",(C265/(A265*24))/F265,IF(D265="marché libre",(C265/(A265*24))/G265,"spécifier histo"))</f>
        <v>0.761440360090022</v>
      </c>
      <c r="F265" s="59" t="n">
        <v>1290</v>
      </c>
      <c r="G265" s="59" t="n">
        <f aca="false">F265-H265</f>
        <v>1290</v>
      </c>
      <c r="H265" s="59" t="n">
        <v>0</v>
      </c>
      <c r="J265" s="55"/>
      <c r="K265" s="0"/>
      <c r="L265" s="30"/>
      <c r="M265" s="30"/>
      <c r="N265" s="30"/>
      <c r="P265" s="0"/>
      <c r="T265" s="0"/>
      <c r="W265" s="0"/>
      <c r="Z265" s="0"/>
    </row>
    <row r="266" customFormat="false" ht="19.85" hidden="false" customHeight="true" outlineLevel="0" collapsed="false">
      <c r="A266" s="1" t="n">
        <v>30</v>
      </c>
      <c r="B266" s="34" t="n">
        <v>39600</v>
      </c>
      <c r="C266" s="56" t="n">
        <v>595200</v>
      </c>
      <c r="D266" s="29" t="s">
        <v>41</v>
      </c>
      <c r="E266" s="33" t="n">
        <f aca="false">IF(D266="totale",(C266/(A266*24))/F266,IF(D266="marché libre",(C266/(A266*24))/G266,"spécifier histo"))</f>
        <v>0.640826873385013</v>
      </c>
      <c r="F266" s="59" t="n">
        <v>1290</v>
      </c>
      <c r="G266" s="59" t="n">
        <f aca="false">F266-H266</f>
        <v>1290</v>
      </c>
      <c r="H266" s="59" t="n">
        <v>0</v>
      </c>
      <c r="J266" s="55"/>
      <c r="K266" s="0"/>
      <c r="L266" s="30"/>
      <c r="M266" s="30"/>
      <c r="N266" s="30"/>
      <c r="P266" s="0"/>
      <c r="T266" s="0"/>
      <c r="W266" s="0"/>
      <c r="Z266" s="0"/>
    </row>
    <row r="267" customFormat="false" ht="19.85" hidden="false" customHeight="true" outlineLevel="0" collapsed="false">
      <c r="A267" s="1" t="n">
        <v>31</v>
      </c>
      <c r="B267" s="31" t="n">
        <v>39630</v>
      </c>
      <c r="C267" s="56" t="n">
        <v>258600</v>
      </c>
      <c r="D267" s="29" t="s">
        <v>41</v>
      </c>
      <c r="E267" s="33" t="n">
        <f aca="false">IF(D267="totale",(C267/(A267*24))/F267,IF(D267="marché libre",(C267/(A267*24))/G267,"spécifier histo"))</f>
        <v>0.269442360590148</v>
      </c>
      <c r="F267" s="59" t="n">
        <v>1290</v>
      </c>
      <c r="G267" s="59" t="n">
        <f aca="false">F267-H267</f>
        <v>1290</v>
      </c>
      <c r="H267" s="59" t="n">
        <v>0</v>
      </c>
      <c r="J267" s="55"/>
      <c r="K267" s="0"/>
      <c r="L267" s="30"/>
      <c r="M267" s="30"/>
      <c r="N267" s="30"/>
      <c r="P267" s="0"/>
      <c r="W267" s="0"/>
    </row>
    <row r="268" customFormat="false" ht="19.85" hidden="false" customHeight="true" outlineLevel="0" collapsed="false">
      <c r="A268" s="1" t="n">
        <v>31</v>
      </c>
      <c r="B268" s="34" t="n">
        <v>39661</v>
      </c>
      <c r="C268" s="56" t="n">
        <v>111200</v>
      </c>
      <c r="D268" s="29" t="s">
        <v>41</v>
      </c>
      <c r="E268" s="33" t="n">
        <f aca="false">IF(D268="totale",(C268/(A268*24))/F268,IF(D268="marché libre",(C268/(A268*24))/G268,"spécifier histo"))</f>
        <v>0.11586229890806</v>
      </c>
      <c r="F268" s="59" t="n">
        <v>1290</v>
      </c>
      <c r="G268" s="59" t="n">
        <f aca="false">F268-H268</f>
        <v>1290</v>
      </c>
      <c r="H268" s="59" t="n">
        <v>0</v>
      </c>
      <c r="J268" s="55"/>
      <c r="K268" s="0"/>
      <c r="L268" s="30"/>
      <c r="M268" s="30"/>
      <c r="N268" s="30"/>
      <c r="P268" s="0"/>
      <c r="W268" s="0"/>
    </row>
    <row r="269" customFormat="false" ht="19.85" hidden="false" customHeight="true" outlineLevel="0" collapsed="false">
      <c r="A269" s="1" t="n">
        <v>30</v>
      </c>
      <c r="B269" s="31" t="n">
        <v>39692</v>
      </c>
      <c r="C269" s="56" t="n">
        <v>60800</v>
      </c>
      <c r="D269" s="29" t="s">
        <v>41</v>
      </c>
      <c r="E269" s="33" t="n">
        <f aca="false">IF(D269="totale",(C269/(A269*24))/F269,IF(D269="marché libre",(C269/(A269*24))/G269,"spécifier histo"))</f>
        <v>0.0654608096468562</v>
      </c>
      <c r="F269" s="59" t="n">
        <v>1290</v>
      </c>
      <c r="G269" s="59" t="n">
        <f aca="false">F269-H269</f>
        <v>1290</v>
      </c>
      <c r="H269" s="59" t="n">
        <v>0</v>
      </c>
      <c r="J269" s="55"/>
      <c r="K269" s="0"/>
      <c r="L269" s="30"/>
      <c r="M269" s="30"/>
      <c r="N269" s="30"/>
      <c r="P269" s="0"/>
      <c r="W269" s="0"/>
    </row>
    <row r="270" customFormat="false" ht="19.85" hidden="false" customHeight="true" outlineLevel="0" collapsed="false">
      <c r="A270" s="1" t="n">
        <v>31</v>
      </c>
      <c r="B270" s="34" t="n">
        <v>39722</v>
      </c>
      <c r="C270" s="56" t="n">
        <v>46600</v>
      </c>
      <c r="D270" s="29" t="s">
        <v>41</v>
      </c>
      <c r="E270" s="33" t="n">
        <f aca="false">IF(D270="totale",(C270/(A270*24))/F270,IF(D270="marché libre",(C270/(A270*24))/G270,"spécifier histo"))</f>
        <v>0.0485538051179462</v>
      </c>
      <c r="F270" s="59" t="n">
        <v>1290</v>
      </c>
      <c r="G270" s="59" t="n">
        <f aca="false">F270-H270</f>
        <v>1290</v>
      </c>
      <c r="H270" s="59" t="n">
        <v>0</v>
      </c>
      <c r="J270" s="55"/>
      <c r="K270" s="0"/>
      <c r="L270" s="30"/>
      <c r="M270" s="30"/>
      <c r="N270" s="30"/>
      <c r="P270" s="0"/>
      <c r="W270" s="0"/>
    </row>
    <row r="271" customFormat="false" ht="19.85" hidden="false" customHeight="true" outlineLevel="0" collapsed="false">
      <c r="A271" s="1" t="n">
        <v>30</v>
      </c>
      <c r="B271" s="31" t="n">
        <v>39753</v>
      </c>
      <c r="C271" s="56" t="n">
        <v>212800</v>
      </c>
      <c r="D271" s="29" t="s">
        <v>41</v>
      </c>
      <c r="E271" s="33" t="n">
        <f aca="false">IF(D271="totale",(C271/(A271*24))/F271,IF(D271="marché libre",(C271/(A271*24))/G271,"spécifier histo"))</f>
        <v>0.229112833763997</v>
      </c>
      <c r="F271" s="59" t="n">
        <v>1290</v>
      </c>
      <c r="G271" s="59" t="n">
        <f aca="false">F271-H271</f>
        <v>1290</v>
      </c>
      <c r="H271" s="59" t="n">
        <v>0</v>
      </c>
      <c r="J271" s="55"/>
      <c r="K271" s="0"/>
      <c r="L271" s="30"/>
      <c r="M271" s="30"/>
      <c r="N271" s="30"/>
      <c r="P271" s="0"/>
      <c r="W271" s="0"/>
    </row>
    <row r="272" customFormat="false" ht="19.85" hidden="false" customHeight="true" outlineLevel="0" collapsed="false">
      <c r="A272" s="1" t="n">
        <v>31</v>
      </c>
      <c r="B272" s="34" t="n">
        <v>39783</v>
      </c>
      <c r="C272" s="56" t="n">
        <v>69800</v>
      </c>
      <c r="D272" s="29" t="s">
        <v>41</v>
      </c>
      <c r="E272" s="33" t="n">
        <f aca="false">IF(D272="totale",(C272/(A272*24))/F272,IF(D272="marché libre",(C272/(A272*24))/G272,"spécifier histo"))</f>
        <v>0.0727265149620738</v>
      </c>
      <c r="F272" s="59" t="n">
        <v>1290</v>
      </c>
      <c r="G272" s="59" t="n">
        <f aca="false">F272-H272</f>
        <v>1290</v>
      </c>
      <c r="H272" s="59" t="n">
        <v>0</v>
      </c>
      <c r="J272" s="55"/>
      <c r="K272" s="0"/>
      <c r="L272" s="30"/>
      <c r="M272" s="30"/>
      <c r="N272" s="30"/>
      <c r="P272" s="0"/>
      <c r="W272" s="0"/>
    </row>
    <row r="273" customFormat="false" ht="19.85" hidden="false" customHeight="true" outlineLevel="0" collapsed="false">
      <c r="A273" s="1" t="n">
        <v>31</v>
      </c>
      <c r="B273" s="31" t="n">
        <v>39814</v>
      </c>
      <c r="C273" s="56" t="n">
        <v>45400</v>
      </c>
      <c r="D273" s="29" t="s">
        <v>41</v>
      </c>
      <c r="E273" s="33" t="n">
        <f aca="false">IF(D273="totale",(C273/(A273*24))/F273,IF(D273="marché libre",(C273/(A273*24))/G273,"spécifier histo"))</f>
        <v>0.0473034925398016</v>
      </c>
      <c r="F273" s="59" t="n">
        <v>1290</v>
      </c>
      <c r="G273" s="59" t="n">
        <f aca="false">F273-H273</f>
        <v>1290</v>
      </c>
      <c r="H273" s="59" t="n">
        <v>0</v>
      </c>
      <c r="J273" s="55"/>
      <c r="K273" s="0"/>
      <c r="L273" s="30"/>
      <c r="M273" s="30"/>
      <c r="N273" s="30"/>
      <c r="P273" s="0"/>
      <c r="W273" s="0"/>
    </row>
    <row r="274" customFormat="false" ht="19.85" hidden="false" customHeight="true" outlineLevel="0" collapsed="false">
      <c r="A274" s="1" t="n">
        <v>28</v>
      </c>
      <c r="B274" s="34" t="n">
        <v>39845</v>
      </c>
      <c r="C274" s="56" t="n">
        <v>34000</v>
      </c>
      <c r="D274" s="29" t="s">
        <v>41</v>
      </c>
      <c r="E274" s="33" t="n">
        <f aca="false">IF(D274="totale",(C274/(A274*24))/F274,IF(D274="marché libre",(C274/(A274*24))/G274,"spécifier histo"))</f>
        <v>0.0392211148025102</v>
      </c>
      <c r="F274" s="59" t="n">
        <v>1290</v>
      </c>
      <c r="G274" s="59" t="n">
        <f aca="false">F274-H274</f>
        <v>1290</v>
      </c>
      <c r="H274" s="59" t="n">
        <v>0</v>
      </c>
      <c r="J274" s="55"/>
      <c r="K274" s="0"/>
      <c r="L274" s="30"/>
      <c r="M274" s="30"/>
      <c r="N274" s="30"/>
      <c r="P274" s="0"/>
      <c r="W274" s="0"/>
    </row>
    <row r="275" customFormat="false" ht="19.85" hidden="false" customHeight="true" outlineLevel="0" collapsed="false">
      <c r="A275" s="1" t="n">
        <v>31</v>
      </c>
      <c r="B275" s="31" t="n">
        <v>39873</v>
      </c>
      <c r="C275" s="56" t="n">
        <v>66800</v>
      </c>
      <c r="D275" s="29" t="s">
        <v>41</v>
      </c>
      <c r="E275" s="33" t="n">
        <f aca="false">IF(D275="totale",(C275/(A275*24))/F275,IF(D275="marché libre",(C275/(A275*24))/G275,"spécifier histo"))</f>
        <v>0.0696007335167125</v>
      </c>
      <c r="F275" s="59" t="n">
        <v>1290</v>
      </c>
      <c r="G275" s="59" t="n">
        <f aca="false">F275-H275</f>
        <v>1290</v>
      </c>
      <c r="H275" s="59" t="n">
        <v>0</v>
      </c>
      <c r="J275" s="55"/>
      <c r="K275" s="0"/>
      <c r="L275" s="30"/>
      <c r="M275" s="30"/>
      <c r="N275" s="30"/>
      <c r="P275" s="0"/>
      <c r="W275" s="0"/>
    </row>
    <row r="276" customFormat="false" ht="19.85" hidden="false" customHeight="true" outlineLevel="0" collapsed="false">
      <c r="A276" s="1" t="n">
        <v>30</v>
      </c>
      <c r="B276" s="34" t="n">
        <v>39904</v>
      </c>
      <c r="C276" s="56" t="n">
        <v>427000</v>
      </c>
      <c r="D276" s="29" t="s">
        <v>41</v>
      </c>
      <c r="E276" s="33" t="n">
        <f aca="false">IF(D276="totale",(C276/(A276*24))/F276,IF(D276="marché libre",(C276/(A276*24))/G276,"spécifier histo"))</f>
        <v>0.459732988802756</v>
      </c>
      <c r="F276" s="59" t="n">
        <v>1290</v>
      </c>
      <c r="G276" s="59" t="n">
        <f aca="false">F276-H276</f>
        <v>1290</v>
      </c>
      <c r="H276" s="59" t="n">
        <v>0</v>
      </c>
      <c r="J276" s="55"/>
      <c r="K276" s="0"/>
      <c r="L276" s="30"/>
      <c r="M276" s="30"/>
      <c r="N276" s="30"/>
      <c r="P276" s="0"/>
      <c r="W276" s="0"/>
    </row>
    <row r="277" customFormat="false" ht="19.85" hidden="false" customHeight="true" outlineLevel="0" collapsed="false">
      <c r="A277" s="1" t="n">
        <v>31</v>
      </c>
      <c r="B277" s="31" t="n">
        <v>39934</v>
      </c>
      <c r="C277" s="56" t="n">
        <v>736600</v>
      </c>
      <c r="D277" s="29" t="s">
        <v>41</v>
      </c>
      <c r="E277" s="33" t="n">
        <f aca="false">IF(D277="totale",(C277/(A277*24))/F277,IF(D277="marché libre",(C277/(A277*24))/G277,"spécifier histo"))</f>
        <v>0.767483537551054</v>
      </c>
      <c r="F277" s="59" t="n">
        <v>1290</v>
      </c>
      <c r="G277" s="59" t="n">
        <f aca="false">F277-H277</f>
        <v>1290</v>
      </c>
      <c r="H277" s="59" t="n">
        <v>0</v>
      </c>
      <c r="J277" s="55"/>
      <c r="K277" s="0"/>
      <c r="L277" s="30"/>
      <c r="M277" s="30"/>
      <c r="N277" s="30"/>
      <c r="P277" s="0"/>
      <c r="W277" s="0"/>
    </row>
    <row r="278" customFormat="false" ht="19.85" hidden="false" customHeight="true" outlineLevel="0" collapsed="false">
      <c r="A278" s="1" t="n">
        <v>30</v>
      </c>
      <c r="B278" s="34" t="n">
        <v>39965</v>
      </c>
      <c r="C278" s="56" t="n">
        <v>481000</v>
      </c>
      <c r="D278" s="29" t="s">
        <v>41</v>
      </c>
      <c r="E278" s="33" t="n">
        <f aca="false">IF(D278="totale",(C278/(A278*24))/F278,IF(D278="marché libre",(C278/(A278*24))/G278,"spécifier histo"))</f>
        <v>0.517872523686477</v>
      </c>
      <c r="F278" s="59" t="n">
        <v>1290</v>
      </c>
      <c r="G278" s="59" t="n">
        <f aca="false">F278-H278</f>
        <v>1290</v>
      </c>
      <c r="H278" s="59" t="n">
        <v>0</v>
      </c>
      <c r="J278" s="55"/>
      <c r="K278" s="0"/>
      <c r="L278" s="30"/>
      <c r="M278" s="30"/>
      <c r="N278" s="30"/>
      <c r="P278" s="0"/>
      <c r="W278" s="0"/>
    </row>
    <row r="279" customFormat="false" ht="19.85" hidden="false" customHeight="true" outlineLevel="0" collapsed="false">
      <c r="A279" s="1" t="n">
        <v>31</v>
      </c>
      <c r="B279" s="31" t="n">
        <v>39995</v>
      </c>
      <c r="C279" s="56" t="n">
        <v>128200</v>
      </c>
      <c r="D279" s="29" t="s">
        <v>41</v>
      </c>
      <c r="E279" s="33" t="n">
        <f aca="false">IF(D279="totale",(C279/(A279*24))/F279,IF(D279="marché libre",(C279/(A279*24))/G279,"spécifier histo"))</f>
        <v>0.133575060431775</v>
      </c>
      <c r="F279" s="59" t="n">
        <v>1290</v>
      </c>
      <c r="G279" s="59" t="n">
        <f aca="false">F279-H279</f>
        <v>1290</v>
      </c>
      <c r="H279" s="59" t="n">
        <v>0</v>
      </c>
      <c r="J279" s="55"/>
      <c r="K279" s="0"/>
      <c r="L279" s="30"/>
      <c r="M279" s="30"/>
      <c r="N279" s="30"/>
      <c r="P279" s="0"/>
      <c r="W279" s="0"/>
    </row>
    <row r="280" customFormat="false" ht="19.85" hidden="false" customHeight="true" outlineLevel="0" collapsed="false">
      <c r="A280" s="1" t="n">
        <v>31</v>
      </c>
      <c r="B280" s="34" t="n">
        <v>40026</v>
      </c>
      <c r="C280" s="56" t="n">
        <v>0</v>
      </c>
      <c r="D280" s="29" t="s">
        <v>41</v>
      </c>
      <c r="E280" s="33" t="n">
        <f aca="false">IF(D280="totale",(C280/(A280*24))/F280,IF(D280="marché libre",(C280/(A280*24))/G280,"spécifier histo"))</f>
        <v>0</v>
      </c>
      <c r="F280" s="59" t="n">
        <v>1290</v>
      </c>
      <c r="G280" s="59" t="n">
        <f aca="false">F280-H280</f>
        <v>1290</v>
      </c>
      <c r="H280" s="59" t="n">
        <v>0</v>
      </c>
      <c r="J280" s="55"/>
      <c r="K280" s="0"/>
      <c r="L280" s="30"/>
      <c r="M280" s="30"/>
      <c r="N280" s="30"/>
      <c r="P280" s="0"/>
      <c r="W280" s="0"/>
    </row>
    <row r="281" customFormat="false" ht="19.85" hidden="false" customHeight="true" outlineLevel="0" collapsed="false">
      <c r="A281" s="1" t="n">
        <v>30</v>
      </c>
      <c r="B281" s="31" t="n">
        <v>40057</v>
      </c>
      <c r="C281" s="56" t="n">
        <v>0</v>
      </c>
      <c r="D281" s="29" t="s">
        <v>41</v>
      </c>
      <c r="E281" s="33" t="n">
        <f aca="false">IF(D281="totale",(C281/(A281*24))/F281,IF(D281="marché libre",(C281/(A281*24))/G281,"spécifier histo"))</f>
        <v>0</v>
      </c>
      <c r="F281" s="59" t="n">
        <v>1290</v>
      </c>
      <c r="G281" s="59" t="n">
        <f aca="false">F281-H281</f>
        <v>1290</v>
      </c>
      <c r="H281" s="59" t="n">
        <v>0</v>
      </c>
      <c r="J281" s="55"/>
      <c r="K281" s="0"/>
      <c r="L281" s="30"/>
      <c r="M281" s="30"/>
      <c r="N281" s="30"/>
      <c r="P281" s="0"/>
      <c r="W281" s="0"/>
    </row>
    <row r="282" customFormat="false" ht="19.85" hidden="false" customHeight="true" outlineLevel="0" collapsed="false">
      <c r="A282" s="1" t="n">
        <v>31</v>
      </c>
      <c r="B282" s="34" t="n">
        <v>40087</v>
      </c>
      <c r="C282" s="56" t="n">
        <v>0</v>
      </c>
      <c r="D282" s="29" t="s">
        <v>41</v>
      </c>
      <c r="E282" s="33" t="n">
        <f aca="false">IF(D282="totale",(C282/(A282*24))/F282,IF(D282="marché libre",(C282/(A282*24))/G282,"spécifier histo"))</f>
        <v>0</v>
      </c>
      <c r="F282" s="59" t="n">
        <v>1290</v>
      </c>
      <c r="G282" s="59" t="n">
        <f aca="false">F282-H282</f>
        <v>1290</v>
      </c>
      <c r="H282" s="59" t="n">
        <v>0</v>
      </c>
      <c r="J282" s="55"/>
      <c r="K282" s="0"/>
      <c r="L282" s="30"/>
      <c r="M282" s="30"/>
      <c r="N282" s="30"/>
      <c r="P282" s="0"/>
      <c r="W282" s="0"/>
    </row>
    <row r="283" customFormat="false" ht="19.85" hidden="false" customHeight="true" outlineLevel="0" collapsed="false">
      <c r="A283" s="1" t="n">
        <v>30</v>
      </c>
      <c r="B283" s="31" t="n">
        <v>40118</v>
      </c>
      <c r="C283" s="56" t="n">
        <v>69800</v>
      </c>
      <c r="D283" s="29" t="s">
        <v>41</v>
      </c>
      <c r="E283" s="33" t="n">
        <f aca="false">IF(D283="totale",(C283/(A283*24))/F283,IF(D283="marché libre",(C283/(A283*24))/G283,"spécifier histo"))</f>
        <v>0.0751507321274763</v>
      </c>
      <c r="F283" s="59" t="n">
        <v>1290</v>
      </c>
      <c r="G283" s="59" t="n">
        <f aca="false">F283-H283</f>
        <v>1290</v>
      </c>
      <c r="H283" s="59" t="n">
        <v>0</v>
      </c>
      <c r="J283" s="55"/>
      <c r="K283" s="0"/>
      <c r="L283" s="30"/>
      <c r="M283" s="30"/>
      <c r="N283" s="30"/>
      <c r="P283" s="0"/>
      <c r="W283" s="0"/>
    </row>
    <row r="284" customFormat="false" ht="19.85" hidden="false" customHeight="true" outlineLevel="0" collapsed="false">
      <c r="A284" s="1" t="n">
        <v>31</v>
      </c>
      <c r="B284" s="34" t="n">
        <v>40148</v>
      </c>
      <c r="C284" s="56" t="n">
        <v>183200</v>
      </c>
      <c r="D284" s="29" t="s">
        <v>41</v>
      </c>
      <c r="E284" s="33" t="n">
        <f aca="false">IF(D284="totale",(C284/(A284*24))/F284,IF(D284="marché libre",(C284/(A284*24))/G284,"spécifier histo"))</f>
        <v>0.190881053596733</v>
      </c>
      <c r="F284" s="59" t="n">
        <v>1290</v>
      </c>
      <c r="G284" s="59" t="n">
        <f aca="false">F284-H284</f>
        <v>1290</v>
      </c>
      <c r="H284" s="59" t="n">
        <v>0</v>
      </c>
      <c r="J284" s="55"/>
      <c r="K284" s="0"/>
      <c r="L284" s="30"/>
      <c r="M284" s="30"/>
      <c r="N284" s="30"/>
      <c r="P284" s="0"/>
      <c r="W284" s="0"/>
    </row>
    <row r="285" customFormat="false" ht="19.85" hidden="false" customHeight="true" outlineLevel="0" collapsed="false">
      <c r="A285" s="1" t="n">
        <v>31</v>
      </c>
      <c r="B285" s="31" t="n">
        <v>40179</v>
      </c>
      <c r="C285" s="56" t="n">
        <v>155200</v>
      </c>
      <c r="D285" s="29" t="s">
        <v>41</v>
      </c>
      <c r="E285" s="33" t="n">
        <f aca="false">IF(D285="totale",(C285/(A285*24))/F285,IF(D285="marché libre",(C285/(A285*24))/G285,"spécifier histo"))</f>
        <v>0.161707093440027</v>
      </c>
      <c r="F285" s="59" t="n">
        <v>1290</v>
      </c>
      <c r="G285" s="59" t="n">
        <f aca="false">F285-H285</f>
        <v>1290</v>
      </c>
      <c r="H285" s="59" t="n">
        <v>0</v>
      </c>
      <c r="J285" s="55"/>
      <c r="K285" s="0"/>
      <c r="L285" s="30"/>
      <c r="M285" s="30"/>
      <c r="N285" s="30"/>
      <c r="P285" s="0"/>
      <c r="W285" s="0"/>
    </row>
    <row r="286" customFormat="false" ht="19.85" hidden="false" customHeight="true" outlineLevel="0" collapsed="false">
      <c r="A286" s="1" t="n">
        <v>28</v>
      </c>
      <c r="B286" s="34" t="n">
        <v>40210</v>
      </c>
      <c r="C286" s="56" t="n">
        <v>72600</v>
      </c>
      <c r="D286" s="29" t="s">
        <v>41</v>
      </c>
      <c r="E286" s="33" t="n">
        <f aca="false">IF(D286="totale",(C286/(A286*24))/F286,IF(D286="marché libre",(C286/(A286*24))/G286,"spécifier histo"))</f>
        <v>0.0837486157253599</v>
      </c>
      <c r="F286" s="59" t="n">
        <v>1290</v>
      </c>
      <c r="G286" s="59" t="n">
        <f aca="false">F286-H286</f>
        <v>1290</v>
      </c>
      <c r="H286" s="59" t="n">
        <v>0</v>
      </c>
      <c r="J286" s="55"/>
      <c r="K286" s="0"/>
      <c r="L286" s="30"/>
      <c r="M286" s="30"/>
      <c r="N286" s="30"/>
      <c r="P286" s="0"/>
      <c r="W286" s="0"/>
    </row>
    <row r="287" customFormat="false" ht="19.85" hidden="false" customHeight="true" outlineLevel="0" collapsed="false">
      <c r="A287" s="1" t="n">
        <v>31</v>
      </c>
      <c r="B287" s="31" t="n">
        <v>40238</v>
      </c>
      <c r="C287" s="56" t="n">
        <v>210000</v>
      </c>
      <c r="D287" s="29" t="s">
        <v>41</v>
      </c>
      <c r="E287" s="33" t="n">
        <f aca="false">IF(D287="totale",(C287/(A287*24))/F287,IF(D287="marché libre",(C287/(A287*24))/G287,"spécifier histo"))</f>
        <v>0.218804701175294</v>
      </c>
      <c r="F287" s="59" t="n">
        <v>1290</v>
      </c>
      <c r="G287" s="59" t="n">
        <f aca="false">F287-H287</f>
        <v>1290</v>
      </c>
      <c r="H287" s="59" t="n">
        <v>0</v>
      </c>
      <c r="J287" s="55"/>
      <c r="K287" s="0"/>
      <c r="L287" s="30"/>
      <c r="M287" s="30"/>
      <c r="N287" s="30"/>
      <c r="P287" s="0"/>
      <c r="W287" s="0"/>
    </row>
    <row r="288" customFormat="false" ht="19.85" hidden="false" customHeight="true" outlineLevel="0" collapsed="false">
      <c r="A288" s="1" t="n">
        <v>30</v>
      </c>
      <c r="B288" s="34" t="n">
        <v>40269</v>
      </c>
      <c r="C288" s="56" t="n">
        <v>369200</v>
      </c>
      <c r="D288" s="29" t="s">
        <v>41</v>
      </c>
      <c r="E288" s="33" t="n">
        <f aca="false">IF(D288="totale",(C288/(A288*24))/F288,IF(D288="marché libre",(C288/(A288*24))/G288,"spécifier histo"))</f>
        <v>0.397502153316107</v>
      </c>
      <c r="F288" s="59" t="n">
        <v>1290</v>
      </c>
      <c r="G288" s="59" t="n">
        <f aca="false">F288-H288</f>
        <v>1290</v>
      </c>
      <c r="H288" s="59" t="n">
        <v>0</v>
      </c>
      <c r="J288" s="55"/>
      <c r="K288" s="0"/>
      <c r="L288" s="30"/>
      <c r="M288" s="30"/>
      <c r="N288" s="30"/>
      <c r="P288" s="0"/>
      <c r="W288" s="0"/>
    </row>
    <row r="289" customFormat="false" ht="19.85" hidden="false" customHeight="true" outlineLevel="0" collapsed="false">
      <c r="A289" s="1" t="n">
        <v>31</v>
      </c>
      <c r="B289" s="31" t="n">
        <v>40299</v>
      </c>
      <c r="C289" s="56" t="n">
        <v>794400</v>
      </c>
      <c r="D289" s="29" t="s">
        <v>41</v>
      </c>
      <c r="E289" s="33" t="n">
        <f aca="false">IF(D289="totale",(C289/(A289*24))/F289,IF(D289="marché libre",(C289/(A289*24))/G289,"spécifier histo"))</f>
        <v>0.827706926731683</v>
      </c>
      <c r="F289" s="59" t="n">
        <v>1290</v>
      </c>
      <c r="G289" s="59" t="n">
        <f aca="false">F289-H289</f>
        <v>1290</v>
      </c>
      <c r="H289" s="59" t="n">
        <v>0</v>
      </c>
      <c r="J289" s="55"/>
      <c r="K289" s="0"/>
      <c r="L289" s="30"/>
      <c r="M289" s="30"/>
      <c r="N289" s="30"/>
      <c r="P289" s="0"/>
      <c r="W289" s="0"/>
    </row>
    <row r="290" customFormat="false" ht="19.85" hidden="false" customHeight="true" outlineLevel="0" collapsed="false">
      <c r="A290" s="1" t="n">
        <v>30</v>
      </c>
      <c r="B290" s="34" t="n">
        <v>40330</v>
      </c>
      <c r="C290" s="56" t="n">
        <v>595600</v>
      </c>
      <c r="D290" s="29" t="s">
        <v>41</v>
      </c>
      <c r="E290" s="33" t="n">
        <f aca="false">IF(D290="totale",(C290/(A290*24))/F290,IF(D290="marché libre",(C290/(A290*24))/G290,"spécifier histo"))</f>
        <v>0.641257536606374</v>
      </c>
      <c r="F290" s="59" t="n">
        <v>1290</v>
      </c>
      <c r="G290" s="59" t="n">
        <f aca="false">F290-H290</f>
        <v>1290</v>
      </c>
      <c r="H290" s="59" t="n">
        <v>0</v>
      </c>
      <c r="J290" s="55"/>
      <c r="K290" s="0"/>
      <c r="L290" s="30"/>
      <c r="M290" s="30"/>
      <c r="N290" s="30"/>
      <c r="P290" s="0"/>
      <c r="W290" s="0"/>
    </row>
    <row r="291" customFormat="false" ht="19.85" hidden="false" customHeight="true" outlineLevel="0" collapsed="false">
      <c r="A291" s="1" t="n">
        <v>31</v>
      </c>
      <c r="B291" s="31" t="n">
        <v>40360</v>
      </c>
      <c r="C291" s="56" t="n">
        <v>299600</v>
      </c>
      <c r="D291" s="29" t="s">
        <v>41</v>
      </c>
      <c r="E291" s="33" t="n">
        <f aca="false">IF(D291="totale",(C291/(A291*24))/F291,IF(D291="marché libre",(C291/(A291*24))/G291,"spécifier histo"))</f>
        <v>0.312161373676752</v>
      </c>
      <c r="F291" s="59" t="n">
        <v>1290</v>
      </c>
      <c r="G291" s="59" t="n">
        <f aca="false">F291-H291</f>
        <v>1290</v>
      </c>
      <c r="H291" s="59" t="n">
        <v>0</v>
      </c>
      <c r="J291" s="55"/>
      <c r="K291" s="30"/>
      <c r="L291" s="30"/>
      <c r="M291" s="30"/>
      <c r="N291" s="30"/>
      <c r="P291" s="0"/>
      <c r="W291" s="0"/>
    </row>
    <row r="292" customFormat="false" ht="19.85" hidden="false" customHeight="true" outlineLevel="0" collapsed="false">
      <c r="A292" s="1" t="n">
        <v>31</v>
      </c>
      <c r="B292" s="34" t="n">
        <v>40391</v>
      </c>
      <c r="C292" s="56" t="n">
        <v>48400</v>
      </c>
      <c r="D292" s="29" t="s">
        <v>41</v>
      </c>
      <c r="E292" s="33" t="n">
        <f aca="false">IF(D292="totale",(C292/(A292*24))/F292,IF(D292="marché libre",(C292/(A292*24))/G292,"spécifier histo"))</f>
        <v>0.050429273985163</v>
      </c>
      <c r="F292" s="59" t="n">
        <v>1290</v>
      </c>
      <c r="G292" s="59" t="n">
        <f aca="false">F292-H292</f>
        <v>1290</v>
      </c>
      <c r="H292" s="59" t="n">
        <v>0</v>
      </c>
      <c r="J292" s="55"/>
      <c r="K292" s="30"/>
      <c r="L292" s="30"/>
      <c r="M292" s="30"/>
      <c r="N292" s="30"/>
      <c r="P292" s="0"/>
      <c r="W292" s="0"/>
    </row>
    <row r="293" customFormat="false" ht="19.85" hidden="false" customHeight="true" outlineLevel="0" collapsed="false">
      <c r="A293" s="1" t="n">
        <v>30</v>
      </c>
      <c r="B293" s="31" t="n">
        <v>40422</v>
      </c>
      <c r="C293" s="56" t="n">
        <v>0</v>
      </c>
      <c r="D293" s="29" t="s">
        <v>41</v>
      </c>
      <c r="E293" s="33" t="n">
        <f aca="false">IF(D293="totale",(C293/(A293*24))/F293,IF(D293="marché libre",(C293/(A293*24))/G293,"spécifier histo"))</f>
        <v>0</v>
      </c>
      <c r="F293" s="59" t="n">
        <v>1290</v>
      </c>
      <c r="G293" s="59" t="n">
        <f aca="false">F293-H293</f>
        <v>1290</v>
      </c>
      <c r="H293" s="59" t="n">
        <v>0</v>
      </c>
      <c r="J293" s="55"/>
      <c r="K293" s="30"/>
      <c r="L293" s="30"/>
      <c r="M293" s="30"/>
      <c r="N293" s="30"/>
      <c r="P293" s="0"/>
      <c r="W293" s="0"/>
    </row>
    <row r="294" customFormat="false" ht="19.85" hidden="false" customHeight="true" outlineLevel="0" collapsed="false">
      <c r="A294" s="1" t="n">
        <v>31</v>
      </c>
      <c r="B294" s="34" t="n">
        <v>40452</v>
      </c>
      <c r="C294" s="56" t="n">
        <v>0</v>
      </c>
      <c r="D294" s="29" t="s">
        <v>41</v>
      </c>
      <c r="E294" s="33" t="n">
        <f aca="false">IF(D294="totale",(C294/(A294*24))/F294,IF(D294="marché libre",(C294/(A294*24))/G294,"spécifier histo"))</f>
        <v>0</v>
      </c>
      <c r="F294" s="59" t="n">
        <v>1290</v>
      </c>
      <c r="G294" s="59" t="n">
        <f aca="false">F294-H294</f>
        <v>1290</v>
      </c>
      <c r="H294" s="59" t="n">
        <v>0</v>
      </c>
      <c r="J294" s="55"/>
      <c r="K294" s="30"/>
      <c r="L294" s="30"/>
      <c r="M294" s="30"/>
      <c r="N294" s="30"/>
      <c r="P294" s="0"/>
      <c r="W294" s="0"/>
    </row>
    <row r="295" customFormat="false" ht="19.85" hidden="false" customHeight="true" outlineLevel="0" collapsed="false">
      <c r="A295" s="1" t="n">
        <v>30</v>
      </c>
      <c r="B295" s="31" t="n">
        <v>40483</v>
      </c>
      <c r="C295" s="56" t="n">
        <v>70600</v>
      </c>
      <c r="D295" s="29" t="s">
        <v>41</v>
      </c>
      <c r="E295" s="33" t="n">
        <f aca="false">IF(D295="totale",(C295/(A295*24))/F295,IF(D295="marché libre",(C295/(A295*24))/G295,"spécifier histo"))</f>
        <v>0.0760120585701981</v>
      </c>
      <c r="F295" s="59" t="n">
        <v>1290</v>
      </c>
      <c r="G295" s="59" t="n">
        <f aca="false">F295-H295</f>
        <v>1290</v>
      </c>
      <c r="H295" s="59" t="n">
        <v>0</v>
      </c>
      <c r="J295" s="55"/>
      <c r="K295" s="30"/>
      <c r="L295" s="30"/>
      <c r="M295" s="30"/>
      <c r="N295" s="30"/>
      <c r="P295" s="0"/>
      <c r="W295" s="0"/>
    </row>
    <row r="296" customFormat="false" ht="19.85" hidden="false" customHeight="true" outlineLevel="0" collapsed="false">
      <c r="A296" s="1" t="n">
        <v>31</v>
      </c>
      <c r="B296" s="34" t="n">
        <v>40513</v>
      </c>
      <c r="C296" s="56" t="n">
        <v>250200</v>
      </c>
      <c r="D296" s="29" t="s">
        <v>41</v>
      </c>
      <c r="E296" s="33" t="n">
        <f aca="false">IF(D296="totale",(C296/(A296*24))/F296,IF(D296="marché libre",(C296/(A296*24))/G296,"spécifier histo"))</f>
        <v>0.260690172543136</v>
      </c>
      <c r="F296" s="59" t="n">
        <v>1290</v>
      </c>
      <c r="G296" s="59" t="n">
        <f aca="false">F296-H296</f>
        <v>1290</v>
      </c>
      <c r="H296" s="59" t="n">
        <v>0</v>
      </c>
      <c r="J296" s="55"/>
      <c r="K296" s="30"/>
      <c r="L296" s="30"/>
      <c r="M296" s="30"/>
      <c r="N296" s="30"/>
      <c r="P296" s="0"/>
      <c r="W296" s="0"/>
    </row>
    <row r="297" customFormat="false" ht="19.85" hidden="false" customHeight="true" outlineLevel="0" collapsed="false">
      <c r="A297" s="1" t="n">
        <v>31</v>
      </c>
      <c r="B297" s="31" t="n">
        <v>40544</v>
      </c>
      <c r="C297" s="56" t="n">
        <v>129200</v>
      </c>
      <c r="D297" s="29" t="s">
        <v>41</v>
      </c>
      <c r="E297" s="33" t="n">
        <f aca="false">IF(D297="totale",(C297/(A297*24))/F297,IF(D297="marché libre",(C297/(A297*24))/G297,"spécifier histo"))</f>
        <v>0.134616987580228</v>
      </c>
      <c r="F297" s="59" t="n">
        <v>1290</v>
      </c>
      <c r="G297" s="59" t="n">
        <f aca="false">F297-H297</f>
        <v>1290</v>
      </c>
      <c r="H297" s="59" t="n">
        <v>0</v>
      </c>
      <c r="J297" s="55"/>
      <c r="K297" s="30"/>
      <c r="L297" s="30"/>
      <c r="M297" s="30"/>
      <c r="N297" s="30"/>
      <c r="P297" s="0"/>
      <c r="W297" s="0"/>
    </row>
    <row r="298" customFormat="false" ht="19.85" hidden="false" customHeight="true" outlineLevel="0" collapsed="false">
      <c r="A298" s="1" t="n">
        <v>28</v>
      </c>
      <c r="B298" s="34" t="n">
        <v>40575</v>
      </c>
      <c r="C298" s="56" t="n">
        <v>59000</v>
      </c>
      <c r="D298" s="29" t="s">
        <v>41</v>
      </c>
      <c r="E298" s="33" t="n">
        <f aca="false">IF(D298="totale",(C298/(A298*24))/F298,IF(D298="marché libre",(C298/(A298*24))/G298,"spécifier histo"))</f>
        <v>0.0680601698043559</v>
      </c>
      <c r="F298" s="59" t="n">
        <v>1290</v>
      </c>
      <c r="G298" s="59" t="n">
        <f aca="false">F298-H298</f>
        <v>1290</v>
      </c>
      <c r="H298" s="59" t="n">
        <v>0</v>
      </c>
      <c r="J298" s="55"/>
      <c r="K298" s="30"/>
      <c r="L298" s="30"/>
      <c r="M298" s="30"/>
      <c r="N298" s="30"/>
      <c r="P298" s="0"/>
      <c r="W298" s="0"/>
    </row>
    <row r="299" customFormat="false" ht="19.85" hidden="false" customHeight="true" outlineLevel="0" collapsed="false">
      <c r="A299" s="1" t="n">
        <v>31</v>
      </c>
      <c r="B299" s="31" t="n">
        <v>40603</v>
      </c>
      <c r="C299" s="56" t="n">
        <v>61600</v>
      </c>
      <c r="D299" s="29" t="s">
        <v>41</v>
      </c>
      <c r="E299" s="33" t="n">
        <f aca="false">IF(D299="totale",(C299/(A299*24))/F299,IF(D299="marché libre",(C299/(A299*24))/G299,"spécifier histo"))</f>
        <v>0.0641827123447529</v>
      </c>
      <c r="F299" s="59" t="n">
        <v>1290</v>
      </c>
      <c r="G299" s="59" t="n">
        <f aca="false">F299-H299</f>
        <v>1290</v>
      </c>
      <c r="H299" s="59" t="n">
        <v>0</v>
      </c>
      <c r="J299" s="55"/>
      <c r="K299" s="306" t="s">
        <v>400</v>
      </c>
      <c r="L299" s="30"/>
      <c r="M299" s="30"/>
      <c r="N299" s="30"/>
      <c r="P299" s="0"/>
      <c r="W299" s="0"/>
    </row>
    <row r="300" customFormat="false" ht="19.85" hidden="false" customHeight="true" outlineLevel="0" collapsed="false">
      <c r="A300" s="1" t="n">
        <v>30</v>
      </c>
      <c r="B300" s="34" t="n">
        <v>40634</v>
      </c>
      <c r="C300" s="56" t="n">
        <v>206800</v>
      </c>
      <c r="D300" s="29" t="s">
        <v>41</v>
      </c>
      <c r="E300" s="33" t="n">
        <f aca="false">IF(D300="totale",(C300/(A300*24))/F300,IF(D300="marché libre",(C300/(A300*24))/G300,"spécifier histo"))</f>
        <v>0.222652885443583</v>
      </c>
      <c r="F300" s="59" t="n">
        <v>1290</v>
      </c>
      <c r="G300" s="59" t="n">
        <f aca="false">F300-H300</f>
        <v>1290</v>
      </c>
      <c r="H300" s="59" t="n">
        <v>0</v>
      </c>
      <c r="J300" s="55"/>
      <c r="K300" s="306" t="s">
        <v>189</v>
      </c>
      <c r="L300" s="307"/>
      <c r="M300" s="307"/>
      <c r="N300" s="30"/>
      <c r="P300" s="0"/>
      <c r="W300" s="0"/>
    </row>
    <row r="301" customFormat="false" ht="19.85" hidden="false" customHeight="true" outlineLevel="0" collapsed="false">
      <c r="A301" s="1" t="n">
        <v>31</v>
      </c>
      <c r="B301" s="31" t="n">
        <v>40664</v>
      </c>
      <c r="C301" s="56" t="n">
        <v>0</v>
      </c>
      <c r="D301" s="29" t="s">
        <v>41</v>
      </c>
      <c r="E301" s="33" t="e">
        <f aca="false">IF(D301="totale",(C301/(A301*24))/F301,IF(D301="marché libre",(C301/(A301*24))/G301,"spécifier histo"))</f>
        <v>#DIV/0!</v>
      </c>
      <c r="F301" s="59" t="n">
        <v>0</v>
      </c>
      <c r="G301" s="59" t="n">
        <f aca="false">F301-H301</f>
        <v>0</v>
      </c>
      <c r="H301" s="59" t="n">
        <v>0</v>
      </c>
      <c r="I301" s="1" t="s">
        <v>401</v>
      </c>
      <c r="J301" s="55"/>
      <c r="K301" s="306" t="s">
        <v>402</v>
      </c>
      <c r="L301" s="30"/>
      <c r="M301" s="30"/>
      <c r="N301" s="30"/>
      <c r="P301" s="0"/>
      <c r="W301" s="0"/>
    </row>
    <row r="302" customFormat="false" ht="19.85" hidden="false" customHeight="true" outlineLevel="0" collapsed="false">
      <c r="A302" s="1" t="n">
        <v>30</v>
      </c>
      <c r="B302" s="34" t="n">
        <v>40695</v>
      </c>
      <c r="C302" s="56" t="n">
        <v>0</v>
      </c>
      <c r="D302" s="29" t="s">
        <v>41</v>
      </c>
      <c r="E302" s="33" t="e">
        <f aca="false">IF(D302="totale",(C302/(A302*24))/F302,IF(D302="marché libre",(C302/(A302*24))/G302,"spécifier histo"))</f>
        <v>#DIV/0!</v>
      </c>
      <c r="F302" s="59" t="n">
        <v>0</v>
      </c>
      <c r="G302" s="59" t="n">
        <f aca="false">F302-H302</f>
        <v>0</v>
      </c>
      <c r="H302" s="59" t="n">
        <v>0</v>
      </c>
      <c r="I302" s="1" t="s">
        <v>401</v>
      </c>
      <c r="J302" s="55"/>
      <c r="K302" s="306" t="s">
        <v>403</v>
      </c>
      <c r="L302" s="30"/>
      <c r="M302" s="30"/>
      <c r="N302" s="30"/>
      <c r="P302" s="0"/>
      <c r="W302" s="0"/>
    </row>
    <row r="303" customFormat="false" ht="19.85" hidden="false" customHeight="true" outlineLevel="0" collapsed="false">
      <c r="A303" s="1" t="n">
        <v>31</v>
      </c>
      <c r="B303" s="31" t="n">
        <v>40725</v>
      </c>
      <c r="C303" s="56" t="n">
        <v>0</v>
      </c>
      <c r="D303" s="29" t="s">
        <v>41</v>
      </c>
      <c r="E303" s="33" t="e">
        <f aca="false">IF(D303="totale",(C303/(A303*24))/F303,IF(D303="marché libre",(C303/(A303*24))/G303,"spécifier histo"))</f>
        <v>#DIV/0!</v>
      </c>
      <c r="F303" s="59" t="n">
        <v>0</v>
      </c>
      <c r="G303" s="59" t="n">
        <f aca="false">F303-H303</f>
        <v>0</v>
      </c>
      <c r="H303" s="59" t="n">
        <v>0</v>
      </c>
      <c r="I303" s="1" t="s">
        <v>401</v>
      </c>
      <c r="J303" s="55"/>
      <c r="K303" s="306" t="s">
        <v>404</v>
      </c>
      <c r="L303" s="30"/>
      <c r="M303" s="30"/>
      <c r="N303" s="30"/>
      <c r="P303" s="0"/>
    </row>
    <row r="304" customFormat="false" ht="19.85" hidden="false" customHeight="true" outlineLevel="0" collapsed="false">
      <c r="A304" s="1" t="n">
        <v>31</v>
      </c>
      <c r="B304" s="34" t="n">
        <v>40756</v>
      </c>
      <c r="C304" s="56" t="n">
        <v>0</v>
      </c>
      <c r="D304" s="29" t="s">
        <v>41</v>
      </c>
      <c r="E304" s="33" t="e">
        <f aca="false">IF(D304="totale",(C304/(A304*24))/F304,IF(D304="marché libre",(C304/(A304*24))/G304,"spécifier histo"))</f>
        <v>#DIV/0!</v>
      </c>
      <c r="F304" s="59" t="n">
        <v>0</v>
      </c>
      <c r="G304" s="59" t="n">
        <f aca="false">F304-H304</f>
        <v>0</v>
      </c>
      <c r="H304" s="59" t="n">
        <v>0</v>
      </c>
      <c r="I304" s="1" t="s">
        <v>401</v>
      </c>
      <c r="J304" s="55"/>
      <c r="K304" s="306" t="s">
        <v>405</v>
      </c>
      <c r="L304" s="30"/>
      <c r="M304" s="30"/>
      <c r="N304" s="30"/>
      <c r="P304" s="0"/>
    </row>
    <row r="305" customFormat="false" ht="19.85" hidden="false" customHeight="true" outlineLevel="0" collapsed="false">
      <c r="A305" s="1" t="n">
        <v>30</v>
      </c>
      <c r="B305" s="31" t="n">
        <v>40787</v>
      </c>
      <c r="C305" s="56" t="n">
        <v>0</v>
      </c>
      <c r="D305" s="29" t="s">
        <v>41</v>
      </c>
      <c r="E305" s="33" t="e">
        <f aca="false">IF(D305="totale",(C305/(A305*24))/F305,IF(D305="marché libre",(C305/(A305*24))/G305,"spécifier histo"))</f>
        <v>#DIV/0!</v>
      </c>
      <c r="F305" s="59" t="n">
        <v>0</v>
      </c>
      <c r="G305" s="59" t="n">
        <f aca="false">F305-H305</f>
        <v>0</v>
      </c>
      <c r="H305" s="59" t="n">
        <v>0</v>
      </c>
      <c r="I305" s="1" t="s">
        <v>401</v>
      </c>
      <c r="J305" s="55"/>
      <c r="K305" s="306" t="s">
        <v>406</v>
      </c>
      <c r="L305" s="30"/>
      <c r="M305" s="30"/>
      <c r="N305" s="30"/>
      <c r="P305" s="0"/>
    </row>
    <row r="306" customFormat="false" ht="19.85" hidden="false" customHeight="true" outlineLevel="0" collapsed="false">
      <c r="A306" s="1" t="n">
        <v>31</v>
      </c>
      <c r="B306" s="34" t="n">
        <v>40817</v>
      </c>
      <c r="C306" s="56" t="n">
        <v>0</v>
      </c>
      <c r="D306" s="29" t="s">
        <v>41</v>
      </c>
      <c r="E306" s="33" t="e">
        <f aca="false">IF(D306="totale",(C306/(A306*24))/F306,IF(D306="marché libre",(C306/(A306*24))/G306,"spécifier histo"))</f>
        <v>#DIV/0!</v>
      </c>
      <c r="F306" s="59" t="n">
        <v>0</v>
      </c>
      <c r="G306" s="59" t="n">
        <f aca="false">F306-H306</f>
        <v>0</v>
      </c>
      <c r="H306" s="59" t="n">
        <v>0</v>
      </c>
      <c r="I306" s="1" t="s">
        <v>401</v>
      </c>
      <c r="J306" s="55"/>
      <c r="K306" s="306" t="s">
        <v>407</v>
      </c>
      <c r="L306" s="30"/>
      <c r="M306" s="30"/>
      <c r="N306" s="30"/>
      <c r="P306" s="0"/>
    </row>
    <row r="307" customFormat="false" ht="19.85" hidden="false" customHeight="true" outlineLevel="0" collapsed="false">
      <c r="A307" s="1" t="n">
        <v>30</v>
      </c>
      <c r="B307" s="31" t="n">
        <v>40848</v>
      </c>
      <c r="C307" s="56" t="n">
        <v>0</v>
      </c>
      <c r="D307" s="29" t="s">
        <v>41</v>
      </c>
      <c r="E307" s="33" t="e">
        <f aca="false">IF(D307="totale",(C307/(A307*24))/F307,IF(D307="marché libre",(C307/(A307*24))/G307,"spécifier histo"))</f>
        <v>#DIV/0!</v>
      </c>
      <c r="F307" s="59" t="n">
        <v>0</v>
      </c>
      <c r="G307" s="59" t="n">
        <f aca="false">F307-H307</f>
        <v>0</v>
      </c>
      <c r="H307" s="59" t="n">
        <v>0</v>
      </c>
      <c r="I307" s="1" t="s">
        <v>401</v>
      </c>
      <c r="J307" s="55"/>
      <c r="K307" s="306" t="s">
        <v>408</v>
      </c>
      <c r="L307" s="30"/>
      <c r="M307" s="30"/>
      <c r="N307" s="30"/>
      <c r="P307" s="0"/>
    </row>
    <row r="308" customFormat="false" ht="19.85" hidden="false" customHeight="true" outlineLevel="0" collapsed="false">
      <c r="A308" s="1" t="n">
        <v>31</v>
      </c>
      <c r="B308" s="34" t="n">
        <v>40878</v>
      </c>
      <c r="C308" s="56" t="n">
        <v>0</v>
      </c>
      <c r="D308" s="29" t="s">
        <v>41</v>
      </c>
      <c r="E308" s="33" t="e">
        <f aca="false">IF(D308="totale",(C308/(A308*24))/F308,IF(D308="marché libre",(C308/(A308*24))/G308,"spécifier histo"))</f>
        <v>#DIV/0!</v>
      </c>
      <c r="F308" s="59" t="n">
        <v>0</v>
      </c>
      <c r="G308" s="59" t="n">
        <f aca="false">F308-H308</f>
        <v>0</v>
      </c>
      <c r="H308" s="59" t="n">
        <v>0</v>
      </c>
      <c r="I308" s="1" t="s">
        <v>401</v>
      </c>
      <c r="J308" s="55"/>
      <c r="K308" s="306" t="s">
        <v>409</v>
      </c>
      <c r="L308" s="30"/>
      <c r="M308" s="30"/>
      <c r="N308" s="30"/>
      <c r="P308" s="0"/>
    </row>
    <row r="309" customFormat="false" ht="19.85" hidden="false" customHeight="true" outlineLevel="0" collapsed="false">
      <c r="A309" s="1" t="n">
        <v>31</v>
      </c>
      <c r="B309" s="31" t="n">
        <v>40909</v>
      </c>
      <c r="C309" s="56" t="n">
        <v>0</v>
      </c>
      <c r="D309" s="29" t="s">
        <v>41</v>
      </c>
      <c r="E309" s="33" t="e">
        <f aca="false">IF(D309="totale",(C309/(A309*24))/F309,IF(D309="marché libre",(C309/(A309*24))/G309,"spécifier histo"))</f>
        <v>#DIV/0!</v>
      </c>
      <c r="F309" s="59" t="n">
        <v>0</v>
      </c>
      <c r="G309" s="59" t="n">
        <f aca="false">F309-H309</f>
        <v>0</v>
      </c>
      <c r="H309" s="59" t="n">
        <v>0</v>
      </c>
      <c r="I309" s="1" t="s">
        <v>401</v>
      </c>
      <c r="J309" s="55"/>
      <c r="K309" s="306" t="s">
        <v>410</v>
      </c>
      <c r="L309" s="30"/>
      <c r="M309" s="30"/>
      <c r="N309" s="30"/>
      <c r="P309" s="0"/>
    </row>
    <row r="310" customFormat="false" ht="19.85" hidden="false" customHeight="true" outlineLevel="0" collapsed="false">
      <c r="A310" s="1" t="n">
        <v>28</v>
      </c>
      <c r="B310" s="34" t="n">
        <v>40940</v>
      </c>
      <c r="C310" s="56" t="n">
        <v>0</v>
      </c>
      <c r="D310" s="29" t="s">
        <v>41</v>
      </c>
      <c r="E310" s="33" t="e">
        <f aca="false">IF(D310="totale",(C310/(A310*24))/F310,IF(D310="marché libre",(C310/(A310*24))/G310,"spécifier histo"))</f>
        <v>#DIV/0!</v>
      </c>
      <c r="F310" s="59" t="n">
        <v>0</v>
      </c>
      <c r="G310" s="59" t="n">
        <f aca="false">F310-H310</f>
        <v>0</v>
      </c>
      <c r="H310" s="59" t="n">
        <v>0</v>
      </c>
      <c r="I310" s="1" t="s">
        <v>401</v>
      </c>
      <c r="J310" s="55"/>
      <c r="K310" s="30"/>
      <c r="L310" s="30"/>
      <c r="M310" s="30"/>
      <c r="N310" s="30"/>
      <c r="P310" s="0"/>
    </row>
    <row r="311" customFormat="false" ht="19.85" hidden="false" customHeight="true" outlineLevel="0" collapsed="false">
      <c r="A311" s="1" t="n">
        <v>31</v>
      </c>
      <c r="B311" s="31" t="n">
        <v>40969</v>
      </c>
      <c r="C311" s="56" t="n">
        <v>117400</v>
      </c>
      <c r="D311" s="29" t="s">
        <v>41</v>
      </c>
      <c r="E311" s="33" t="n">
        <f aca="false">IF(D311="totale",(C311/(A311*24))/F311,IF(D311="marché libre",(C311/(A311*24))/G311,"spécifier histo"))</f>
        <v>0.122322247228474</v>
      </c>
      <c r="F311" s="59" t="n">
        <v>1290</v>
      </c>
      <c r="G311" s="59" t="n">
        <f aca="false">F311-H311</f>
        <v>1290</v>
      </c>
      <c r="H311" s="59" t="n">
        <v>0</v>
      </c>
      <c r="J311" s="55"/>
      <c r="K311" s="30"/>
      <c r="L311" s="30"/>
      <c r="M311" s="30"/>
      <c r="N311" s="30"/>
      <c r="P311" s="0"/>
    </row>
    <row r="312" customFormat="false" ht="19.85" hidden="false" customHeight="true" outlineLevel="0" collapsed="false">
      <c r="A312" s="1" t="n">
        <v>30</v>
      </c>
      <c r="B312" s="34" t="n">
        <v>41000</v>
      </c>
      <c r="C312" s="56" t="n">
        <v>339200</v>
      </c>
      <c r="D312" s="29" t="s">
        <v>41</v>
      </c>
      <c r="E312" s="33" t="n">
        <f aca="false">IF(D312="totale",(C312/(A312*24))/F312,IF(D312="marché libre",(C312/(A312*24))/G312,"spécifier histo"))</f>
        <v>0.36520241171404</v>
      </c>
      <c r="F312" s="59" t="n">
        <v>1290</v>
      </c>
      <c r="G312" s="59" t="n">
        <f aca="false">F312-H312</f>
        <v>1290</v>
      </c>
      <c r="H312" s="59" t="n">
        <v>0</v>
      </c>
      <c r="J312" s="55"/>
      <c r="K312" s="30"/>
      <c r="L312" s="30"/>
      <c r="M312" s="30"/>
      <c r="N312" s="30"/>
      <c r="P312" s="0"/>
    </row>
    <row r="313" customFormat="false" ht="19.85" hidden="false" customHeight="true" outlineLevel="0" collapsed="false">
      <c r="A313" s="1" t="n">
        <v>31</v>
      </c>
      <c r="B313" s="31" t="n">
        <v>41030</v>
      </c>
      <c r="C313" s="56" t="n">
        <v>589600</v>
      </c>
      <c r="D313" s="29" t="s">
        <v>41</v>
      </c>
      <c r="E313" s="33" t="n">
        <f aca="false">IF(D313="totale",(C313/(A313*24))/F313,IF(D313="marché libre",(C313/(A313*24))/G313,"spécifier histo"))</f>
        <v>0.614320246728349</v>
      </c>
      <c r="F313" s="59" t="n">
        <v>1290</v>
      </c>
      <c r="G313" s="59" t="n">
        <f aca="false">F313-H313</f>
        <v>1290</v>
      </c>
      <c r="H313" s="59" t="n">
        <v>0</v>
      </c>
      <c r="J313" s="55"/>
      <c r="K313" s="0"/>
      <c r="L313" s="0"/>
      <c r="M313" s="0"/>
      <c r="N313" s="0"/>
      <c r="P313" s="0"/>
    </row>
    <row r="314" customFormat="false" ht="19.85" hidden="false" customHeight="true" outlineLevel="0" collapsed="false">
      <c r="A314" s="1" t="n">
        <v>30</v>
      </c>
      <c r="B314" s="34" t="n">
        <v>41061</v>
      </c>
      <c r="C314" s="56" t="n">
        <v>377600</v>
      </c>
      <c r="D314" s="29" t="s">
        <v>41</v>
      </c>
      <c r="E314" s="33" t="n">
        <f aca="false">IF(D314="totale",(C314/(A314*24))/F314,IF(D314="marché libre",(C314/(A314*24))/G314,"spécifier histo"))</f>
        <v>0.406546080964686</v>
      </c>
      <c r="F314" s="59" t="n">
        <v>1290</v>
      </c>
      <c r="G314" s="59" t="n">
        <f aca="false">F314-H314</f>
        <v>1290</v>
      </c>
      <c r="H314" s="59" t="n">
        <v>0</v>
      </c>
      <c r="J314" s="55"/>
      <c r="K314" s="0"/>
      <c r="L314" s="0"/>
      <c r="M314" s="0"/>
      <c r="N314" s="0"/>
      <c r="P314" s="0"/>
    </row>
    <row r="315" customFormat="false" ht="19.85" hidden="false" customHeight="true" outlineLevel="0" collapsed="false">
      <c r="A315" s="1" t="n">
        <v>31</v>
      </c>
      <c r="B315" s="31" t="n">
        <v>41091</v>
      </c>
      <c r="C315" s="56" t="n">
        <v>160200</v>
      </c>
      <c r="D315" s="29" t="s">
        <v>41</v>
      </c>
      <c r="E315" s="33" t="n">
        <f aca="false">IF(D315="totale",(C315/(A315*24))/F315,IF(D315="marché libre",(C315/(A315*24))/G315,"spécifier histo"))</f>
        <v>0.166916729182296</v>
      </c>
      <c r="F315" s="59" t="n">
        <v>1290</v>
      </c>
      <c r="G315" s="59" t="n">
        <f aca="false">F315-H315</f>
        <v>1290</v>
      </c>
      <c r="H315" s="59" t="n">
        <v>0</v>
      </c>
      <c r="J315" s="55"/>
      <c r="K315" s="0"/>
      <c r="L315" s="0"/>
      <c r="M315" s="0"/>
      <c r="N315" s="0"/>
    </row>
    <row r="316" customFormat="false" ht="19.85" hidden="false" customHeight="true" outlineLevel="0" collapsed="false">
      <c r="A316" s="1" t="n">
        <v>31</v>
      </c>
      <c r="B316" s="34" t="n">
        <v>41122</v>
      </c>
      <c r="C316" s="56" t="n">
        <v>75200</v>
      </c>
      <c r="D316" s="29" t="s">
        <v>41</v>
      </c>
      <c r="E316" s="33" t="n">
        <f aca="false">IF(D316="totale",(C316/(A316*24))/F316,IF(D316="marché libre",(C316/(A316*24))/G316,"spécifier histo"))</f>
        <v>0.0783529215637243</v>
      </c>
      <c r="F316" s="59" t="n">
        <v>1290</v>
      </c>
      <c r="G316" s="59" t="n">
        <f aca="false">F316-H316</f>
        <v>1290</v>
      </c>
      <c r="H316" s="59" t="n">
        <v>0</v>
      </c>
      <c r="J316" s="55"/>
      <c r="K316" s="0"/>
      <c r="L316" s="0"/>
      <c r="M316" s="0"/>
      <c r="N316" s="0"/>
    </row>
    <row r="317" customFormat="false" ht="19.85" hidden="false" customHeight="true" outlineLevel="0" collapsed="false">
      <c r="A317" s="1" t="n">
        <v>30</v>
      </c>
      <c r="B317" s="31" t="n">
        <v>41153</v>
      </c>
      <c r="C317" s="56" t="n">
        <v>38746</v>
      </c>
      <c r="D317" s="128" t="s">
        <v>41</v>
      </c>
      <c r="E317" s="33" t="n">
        <f aca="false">IF(D317="totale",(C317/(A317*24))/F317,IF(D317="marché libre",(C317/(A317*24))/G317,"spécifier histo"))</f>
        <v>0.0417161929371232</v>
      </c>
      <c r="F317" s="57" t="n">
        <v>1290</v>
      </c>
      <c r="G317" s="57" t="n">
        <f aca="false">F317-H317</f>
        <v>1290</v>
      </c>
      <c r="H317" s="57" t="n">
        <v>0</v>
      </c>
      <c r="I317" s="308"/>
      <c r="J317" s="55"/>
      <c r="K317" s="216"/>
      <c r="L317" s="30"/>
      <c r="M317" s="30"/>
      <c r="N317" s="30"/>
    </row>
    <row r="318" customFormat="false" ht="19.85" hidden="false" customHeight="true" outlineLevel="0" collapsed="false">
      <c r="A318" s="1" t="n">
        <v>31</v>
      </c>
      <c r="B318" s="34" t="n">
        <v>41183</v>
      </c>
      <c r="C318" s="309" t="n">
        <v>34782</v>
      </c>
      <c r="D318" s="231" t="s">
        <v>42</v>
      </c>
      <c r="E318" s="33" t="n">
        <f aca="false">IF(D318="totale",(C318/(A318*24))/F318,IF(D318="marché libre",(C318/(A318*24))/G318,"spécifier histo"))</f>
        <v>0.0362403100775194</v>
      </c>
      <c r="F318" s="232" t="n">
        <v>1290</v>
      </c>
      <c r="G318" s="232" t="n">
        <f aca="false">F318-H318</f>
        <v>1290</v>
      </c>
      <c r="H318" s="232" t="n">
        <v>0</v>
      </c>
      <c r="J318" s="55"/>
      <c r="K318" s="103"/>
      <c r="L318" s="30"/>
      <c r="M318" s="30"/>
      <c r="N318" s="30"/>
    </row>
    <row r="319" customFormat="false" ht="19.85" hidden="false" customHeight="true" outlineLevel="0" collapsed="false">
      <c r="A319" s="1" t="n">
        <v>30</v>
      </c>
      <c r="B319" s="31" t="n">
        <v>41214</v>
      </c>
      <c r="C319" s="56" t="n">
        <v>283036</v>
      </c>
      <c r="D319" s="26" t="s">
        <v>42</v>
      </c>
      <c r="E319" s="33" t="n">
        <f aca="false">IF(D319="totale",(C319/(A319*24))/F319,IF(D319="marché libre",(C319/(A319*24))/G319,"spécifier histo"))</f>
        <v>0.304732988802756</v>
      </c>
      <c r="F319" s="59" t="n">
        <v>1290</v>
      </c>
      <c r="G319" s="59" t="n">
        <f aca="false">F319-H319</f>
        <v>1290</v>
      </c>
      <c r="H319" s="59" t="n">
        <v>0</v>
      </c>
      <c r="J319" s="55"/>
      <c r="K319" s="103"/>
      <c r="L319" s="30"/>
      <c r="M319" s="30"/>
      <c r="N319" s="30"/>
    </row>
    <row r="320" customFormat="false" ht="19.85" hidden="false" customHeight="true" outlineLevel="0" collapsed="false">
      <c r="A320" s="1" t="n">
        <v>31</v>
      </c>
      <c r="B320" s="34" t="n">
        <v>41244</v>
      </c>
      <c r="C320" s="56" t="n">
        <v>232292</v>
      </c>
      <c r="D320" s="26" t="s">
        <v>42</v>
      </c>
      <c r="E320" s="33" t="n">
        <f aca="false">IF(D320="totale",(C320/(A320*24))/F320,IF(D320="marché libre",(C320/(A320*24))/G320,"spécifier histo"))</f>
        <v>0.242031341168625</v>
      </c>
      <c r="F320" s="59" t="n">
        <v>1290</v>
      </c>
      <c r="G320" s="59" t="n">
        <f aca="false">F320-H320</f>
        <v>1290</v>
      </c>
      <c r="H320" s="59" t="n">
        <v>0</v>
      </c>
      <c r="J320" s="55"/>
      <c r="K320" s="103"/>
      <c r="L320" s="30"/>
      <c r="M320" s="30"/>
      <c r="N320" s="30"/>
    </row>
    <row r="321" customFormat="false" ht="19.85" hidden="false" customHeight="true" outlineLevel="0" collapsed="false">
      <c r="A321" s="1" t="n">
        <v>31</v>
      </c>
      <c r="B321" s="31" t="n">
        <v>41275</v>
      </c>
      <c r="C321" s="26" t="n">
        <v>131371</v>
      </c>
      <c r="D321" s="26" t="s">
        <v>42</v>
      </c>
      <c r="E321" s="33" t="n">
        <f aca="false">IF(D321="totale",(C321/(A321*24))/F321,IF(D321="marché libre",(C321/(A321*24))/G321,"spécifier histo"))</f>
        <v>0.136879011419522</v>
      </c>
      <c r="F321" s="59" t="n">
        <v>1290</v>
      </c>
      <c r="G321" s="59" t="n">
        <f aca="false">F321-H321</f>
        <v>1290</v>
      </c>
      <c r="H321" s="59" t="n">
        <v>0</v>
      </c>
      <c r="J321" s="55"/>
      <c r="K321" s="103"/>
      <c r="L321" s="30"/>
      <c r="M321" s="30"/>
      <c r="N321" s="30"/>
    </row>
    <row r="322" customFormat="false" ht="19.85" hidden="false" customHeight="true" outlineLevel="0" collapsed="false">
      <c r="A322" s="1" t="n">
        <v>28</v>
      </c>
      <c r="B322" s="34" t="n">
        <v>41306</v>
      </c>
      <c r="C322" s="26" t="n">
        <v>89743</v>
      </c>
      <c r="D322" s="26" t="s">
        <v>42</v>
      </c>
      <c r="E322" s="33" t="n">
        <f aca="false">IF(D322="totale",(C322/(A322*24))/F322,IF(D322="marché libre",(C322/(A322*24))/G322,"spécifier histo"))</f>
        <v>0.103524132521226</v>
      </c>
      <c r="F322" s="59" t="n">
        <v>1290</v>
      </c>
      <c r="G322" s="59" t="n">
        <f aca="false">F322-H322</f>
        <v>1290</v>
      </c>
      <c r="H322" s="59" t="n">
        <v>0</v>
      </c>
      <c r="J322" s="55"/>
      <c r="K322" s="103"/>
      <c r="L322" s="0"/>
      <c r="M322" s="30"/>
      <c r="N322" s="30"/>
    </row>
    <row r="323" customFormat="false" ht="19.85" hidden="false" customHeight="true" outlineLevel="0" collapsed="false">
      <c r="A323" s="1" t="n">
        <v>31</v>
      </c>
      <c r="B323" s="31" t="n">
        <v>41334</v>
      </c>
      <c r="C323" s="26" t="n">
        <v>98239</v>
      </c>
      <c r="D323" s="26" t="s">
        <v>42</v>
      </c>
      <c r="E323" s="33" t="n">
        <f aca="false">IF(D323="totale",(C323/(A323*24))/F323,IF(D323="marché libre",(C323/(A323*24))/G323,"spécifier histo"))</f>
        <v>0.102357881136951</v>
      </c>
      <c r="F323" s="59" t="n">
        <v>1290</v>
      </c>
      <c r="G323" s="59" t="n">
        <f aca="false">F323-H323</f>
        <v>1290</v>
      </c>
      <c r="H323" s="59" t="n">
        <v>0</v>
      </c>
      <c r="J323" s="55"/>
      <c r="K323" s="103"/>
      <c r="L323" s="0"/>
      <c r="M323" s="30"/>
      <c r="N323" s="30"/>
    </row>
    <row r="324" customFormat="false" ht="19.85" hidden="false" customHeight="true" outlineLevel="0" collapsed="false">
      <c r="A324" s="1" t="n">
        <v>30</v>
      </c>
      <c r="B324" s="34" t="n">
        <v>41365</v>
      </c>
      <c r="C324" s="26" t="n">
        <v>418099</v>
      </c>
      <c r="D324" s="26" t="s">
        <v>42</v>
      </c>
      <c r="E324" s="33" t="n">
        <f aca="false">IF(D324="totale",(C324/(A324*24))/F324,IF(D324="marché libre",(C324/(A324*24))/G324,"spécifier histo"))</f>
        <v>0.450149655469423</v>
      </c>
      <c r="F324" s="59" t="n">
        <v>1290</v>
      </c>
      <c r="G324" s="59" t="n">
        <f aca="false">F324-H324</f>
        <v>1290</v>
      </c>
      <c r="H324" s="59" t="n">
        <v>0</v>
      </c>
      <c r="J324" s="55"/>
      <c r="K324" s="103"/>
      <c r="L324" s="0"/>
      <c r="M324" s="30"/>
      <c r="N324" s="30"/>
    </row>
    <row r="325" customFormat="false" ht="19.85" hidden="false" customHeight="true" outlineLevel="0" collapsed="false">
      <c r="A325" s="1" t="n">
        <v>31</v>
      </c>
      <c r="B325" s="31" t="n">
        <v>41395</v>
      </c>
      <c r="C325" s="26" t="n">
        <v>736065</v>
      </c>
      <c r="D325" s="26" t="s">
        <v>42</v>
      </c>
      <c r="E325" s="33" t="n">
        <f aca="false">IF(D325="totale",(C325/(A325*24))/F325,IF(D325="marché libre",(C325/(A325*24))/G325,"spécifier histo"))</f>
        <v>0.766926106526632</v>
      </c>
      <c r="F325" s="59" t="n">
        <v>1290</v>
      </c>
      <c r="G325" s="59" t="n">
        <f aca="false">F325-H325</f>
        <v>1290</v>
      </c>
      <c r="H325" s="59" t="n">
        <v>0</v>
      </c>
      <c r="J325" s="55"/>
      <c r="K325" s="103"/>
      <c r="L325" s="0"/>
      <c r="M325" s="30"/>
      <c r="N325" s="30"/>
    </row>
    <row r="326" customFormat="false" ht="19.85" hidden="false" customHeight="true" outlineLevel="0" collapsed="false">
      <c r="A326" s="1" t="n">
        <v>30</v>
      </c>
      <c r="B326" s="34" t="n">
        <v>41426</v>
      </c>
      <c r="C326" s="26" t="n">
        <v>642352</v>
      </c>
      <c r="D326" s="26" t="s">
        <v>42</v>
      </c>
      <c r="E326" s="33" t="n">
        <f aca="false">IF(D326="totale",(C326/(A326*24))/F326,IF(D326="marché libre",(C326/(A326*24))/G326,"spécifier histo"))</f>
        <v>0.691593453919035</v>
      </c>
      <c r="F326" s="59" t="n">
        <v>1290</v>
      </c>
      <c r="G326" s="59" t="n">
        <f aca="false">F326-H326</f>
        <v>1290</v>
      </c>
      <c r="H326" s="59" t="n">
        <v>0</v>
      </c>
      <c r="J326" s="55"/>
      <c r="K326" s="103"/>
      <c r="L326" s="0"/>
      <c r="M326" s="30"/>
      <c r="N326" s="30"/>
    </row>
    <row r="327" customFormat="false" ht="19.85" hidden="false" customHeight="true" outlineLevel="0" collapsed="false">
      <c r="A327" s="1" t="n">
        <v>31</v>
      </c>
      <c r="B327" s="31" t="n">
        <v>41456</v>
      </c>
      <c r="C327" s="26" t="n">
        <v>437442</v>
      </c>
      <c r="D327" s="26" t="s">
        <v>42</v>
      </c>
      <c r="E327" s="33" t="n">
        <f aca="false">IF(D327="totale",(C327/(A327*24))/F327,IF(D327="marché libre",(C327/(A327*24))/G327,"spécifier histo"))</f>
        <v>0.455782695673918</v>
      </c>
      <c r="F327" s="59" t="n">
        <v>1290</v>
      </c>
      <c r="G327" s="59" t="n">
        <f aca="false">F327-H327</f>
        <v>1290</v>
      </c>
      <c r="H327" s="59" t="n">
        <v>0</v>
      </c>
      <c r="J327" s="55"/>
      <c r="K327" s="103"/>
      <c r="L327" s="0"/>
      <c r="M327" s="30"/>
      <c r="N327" s="30"/>
    </row>
    <row r="328" customFormat="false" ht="19.85" hidden="false" customHeight="true" outlineLevel="0" collapsed="false">
      <c r="A328" s="1" t="n">
        <v>31</v>
      </c>
      <c r="B328" s="34" t="n">
        <v>41487</v>
      </c>
      <c r="C328" s="26" t="n">
        <v>270835</v>
      </c>
      <c r="D328" s="26" t="s">
        <v>42</v>
      </c>
      <c r="E328" s="33" t="n">
        <f aca="false">IF(D328="totale",(C328/(A328*24))/F328,IF(D328="marché libre",(C328/(A328*24))/G328,"spécifier histo"))</f>
        <v>0.28219033925148</v>
      </c>
      <c r="F328" s="59" t="n">
        <v>1290</v>
      </c>
      <c r="G328" s="59" t="n">
        <f aca="false">F328-H328</f>
        <v>1290</v>
      </c>
      <c r="H328" s="59" t="n">
        <v>0</v>
      </c>
      <c r="J328" s="55"/>
      <c r="K328" s="103"/>
      <c r="L328" s="0"/>
      <c r="M328" s="30"/>
      <c r="N328" s="30"/>
    </row>
    <row r="329" customFormat="false" ht="19.85" hidden="false" customHeight="true" outlineLevel="0" collapsed="false">
      <c r="A329" s="1" t="n">
        <v>30</v>
      </c>
      <c r="B329" s="31" t="n">
        <v>41518</v>
      </c>
      <c r="C329" s="26" t="n">
        <v>141892</v>
      </c>
      <c r="D329" s="26" t="s">
        <v>42</v>
      </c>
      <c r="E329" s="33" t="n">
        <f aca="false">IF(D329="totale",(C329/(A329*24))/F329,IF(D329="marché libre",(C329/(A329*24))/G329,"spécifier histo"))</f>
        <v>0.152769164513351</v>
      </c>
      <c r="F329" s="59" t="n">
        <v>1290</v>
      </c>
      <c r="G329" s="59" t="n">
        <f aca="false">F329-H329</f>
        <v>1290</v>
      </c>
      <c r="H329" s="59" t="n">
        <v>0</v>
      </c>
      <c r="J329" s="55"/>
      <c r="K329" s="103"/>
      <c r="L329" s="0"/>
      <c r="M329" s="30"/>
      <c r="N329" s="30"/>
    </row>
    <row r="330" customFormat="false" ht="19.85" hidden="false" customHeight="true" outlineLevel="0" collapsed="false">
      <c r="A330" s="1" t="n">
        <v>31</v>
      </c>
      <c r="B330" s="34" t="n">
        <v>41548</v>
      </c>
      <c r="C330" s="26" t="n">
        <v>136291</v>
      </c>
      <c r="D330" s="26" t="s">
        <v>42</v>
      </c>
      <c r="E330" s="33" t="n">
        <f aca="false">IF(D330="totale",(C330/(A330*24))/F330,IF(D330="marché libre",(C330/(A330*24))/G330,"spécifier histo"))</f>
        <v>0.142005292989914</v>
      </c>
      <c r="F330" s="59" t="n">
        <v>1290</v>
      </c>
      <c r="G330" s="59" t="n">
        <f aca="false">F330-H330</f>
        <v>1290</v>
      </c>
      <c r="H330" s="59" t="n">
        <v>0</v>
      </c>
      <c r="J330" s="55"/>
      <c r="K330" s="30"/>
      <c r="L330" s="0"/>
      <c r="M330" s="30"/>
      <c r="N330" s="30"/>
    </row>
    <row r="331" customFormat="false" ht="19.85" hidden="false" customHeight="true" outlineLevel="0" collapsed="false">
      <c r="A331" s="1" t="n">
        <v>30</v>
      </c>
      <c r="B331" s="31" t="n">
        <v>41579</v>
      </c>
      <c r="C331" s="26" t="n">
        <v>192176</v>
      </c>
      <c r="D331" s="26" t="s">
        <v>42</v>
      </c>
      <c r="E331" s="33" t="n">
        <f aca="false">IF(D331="totale",(C331/(A331*24))/F331,IF(D331="marché libre",(C331/(A331*24))/G331,"spécifier histo"))</f>
        <v>0.206907838070629</v>
      </c>
      <c r="F331" s="59" t="n">
        <v>1290</v>
      </c>
      <c r="G331" s="59" t="n">
        <f aca="false">F331-H331</f>
        <v>1290</v>
      </c>
      <c r="H331" s="59" t="n">
        <v>0</v>
      </c>
      <c r="J331" s="55"/>
      <c r="K331" s="30"/>
      <c r="L331" s="30"/>
      <c r="M331" s="30"/>
      <c r="N331" s="30"/>
    </row>
    <row r="332" customFormat="false" ht="19.85" hidden="false" customHeight="true" outlineLevel="0" collapsed="false">
      <c r="A332" s="1" t="n">
        <v>31</v>
      </c>
      <c r="B332" s="34" t="n">
        <v>41609</v>
      </c>
      <c r="C332" s="26" t="n">
        <v>138495</v>
      </c>
      <c r="D332" s="26" t="s">
        <v>42</v>
      </c>
      <c r="E332" s="33" t="n">
        <f aca="false">IF(D332="totale",(C332/(A332*24))/F332,IF(D332="marché libre",(C332/(A332*24))/G332,"spécifier histo"))</f>
        <v>0.144301700425106</v>
      </c>
      <c r="F332" s="59" t="n">
        <v>1290</v>
      </c>
      <c r="G332" s="59" t="n">
        <f aca="false">F332-H332</f>
        <v>1290</v>
      </c>
      <c r="H332" s="59" t="n">
        <v>0</v>
      </c>
      <c r="J332" s="55"/>
      <c r="K332" s="30"/>
      <c r="L332" s="30"/>
      <c r="M332" s="30"/>
      <c r="N332" s="30"/>
    </row>
    <row r="333" customFormat="false" ht="19.85" hidden="false" customHeight="true" outlineLevel="0" collapsed="false">
      <c r="A333" s="1" t="n">
        <v>31</v>
      </c>
      <c r="B333" s="31" t="n">
        <v>41640</v>
      </c>
      <c r="C333" s="30" t="n">
        <v>195583</v>
      </c>
      <c r="D333" s="26" t="s">
        <v>42</v>
      </c>
      <c r="E333" s="33" t="n">
        <f aca="false">IF(D333="totale",(C333/(A333*24))/F333,IF(D333="marché libre",(C333/(A333*24))/G333,"spécifier histo"))</f>
        <v>0.203783237476036</v>
      </c>
      <c r="F333" s="59" t="n">
        <v>1290</v>
      </c>
      <c r="G333" s="59" t="n">
        <f aca="false">F333-H333</f>
        <v>1290</v>
      </c>
      <c r="H333" s="59" t="n">
        <v>0</v>
      </c>
      <c r="J333" s="55"/>
      <c r="K333" s="30"/>
      <c r="L333" s="30"/>
      <c r="M333" s="30"/>
      <c r="N333" s="30"/>
    </row>
    <row r="334" customFormat="false" ht="19.85" hidden="false" customHeight="true" outlineLevel="0" collapsed="false">
      <c r="A334" s="1" t="n">
        <v>28</v>
      </c>
      <c r="B334" s="34" t="n">
        <v>41671</v>
      </c>
      <c r="C334" s="30" t="n">
        <v>127949</v>
      </c>
      <c r="D334" s="26" t="s">
        <v>42</v>
      </c>
      <c r="E334" s="33" t="n">
        <f aca="false">IF(D334="totale",(C334/(A334*24))/F334,IF(D334="marché libre",(C334/(A334*24))/G334,"spécifier histo"))</f>
        <v>0.147597129937246</v>
      </c>
      <c r="F334" s="59" t="n">
        <v>1290</v>
      </c>
      <c r="G334" s="59" t="n">
        <f aca="false">F334-H334</f>
        <v>1290</v>
      </c>
      <c r="H334" s="59" t="n">
        <v>0</v>
      </c>
      <c r="J334" s="55"/>
      <c r="K334" s="30"/>
      <c r="L334" s="30"/>
      <c r="M334" s="30"/>
      <c r="N334" s="30"/>
    </row>
    <row r="335" customFormat="false" ht="19.85" hidden="false" customHeight="true" outlineLevel="0" collapsed="false">
      <c r="A335" s="1" t="n">
        <v>31</v>
      </c>
      <c r="B335" s="31" t="n">
        <v>41699</v>
      </c>
      <c r="C335" s="30" t="n">
        <v>209006</v>
      </c>
      <c r="D335" s="26" t="s">
        <v>42</v>
      </c>
      <c r="E335" s="33" t="n">
        <f aca="false">IF(D335="totale",(C335/(A335*24))/F335,IF(D335="marché libre",(C335/(A335*24))/G335,"spécifier histo"))</f>
        <v>0.217769025589731</v>
      </c>
      <c r="F335" s="59" t="n">
        <v>1290</v>
      </c>
      <c r="G335" s="59" t="n">
        <f aca="false">F335-H335</f>
        <v>1290</v>
      </c>
      <c r="H335" s="59" t="n">
        <v>0</v>
      </c>
      <c r="J335" s="55"/>
      <c r="K335" s="30"/>
      <c r="L335" s="30"/>
      <c r="M335" s="30"/>
      <c r="N335" s="30"/>
    </row>
    <row r="336" customFormat="false" ht="19.85" hidden="false" customHeight="true" outlineLevel="0" collapsed="false">
      <c r="A336" s="1" t="n">
        <v>30</v>
      </c>
      <c r="B336" s="34" t="n">
        <v>41730</v>
      </c>
      <c r="C336" s="30" t="n">
        <v>616413</v>
      </c>
      <c r="D336" s="26" t="s">
        <v>42</v>
      </c>
      <c r="E336" s="33" t="n">
        <f aca="false">IF(D336="totale",(C336/(A336*24))/F336,IF(D336="marché libre",(C336/(A336*24))/G336,"spécifier histo"))</f>
        <v>0.663666020671835</v>
      </c>
      <c r="F336" s="59" t="n">
        <v>1290</v>
      </c>
      <c r="G336" s="59" t="n">
        <f aca="false">F336-H336</f>
        <v>1290</v>
      </c>
      <c r="H336" s="59" t="n">
        <v>0</v>
      </c>
      <c r="J336" s="55"/>
      <c r="K336" s="30"/>
      <c r="L336" s="30"/>
      <c r="M336" s="30"/>
      <c r="N336" s="30"/>
    </row>
    <row r="337" customFormat="false" ht="19.85" hidden="false" customHeight="true" outlineLevel="0" collapsed="false">
      <c r="A337" s="1" t="n">
        <v>31</v>
      </c>
      <c r="B337" s="31" t="n">
        <v>41760</v>
      </c>
      <c r="C337" s="30" t="n">
        <v>751668</v>
      </c>
      <c r="D337" s="26" t="s">
        <v>42</v>
      </c>
      <c r="E337" s="33" t="n">
        <f aca="false">IF(D337="totale",(C337/(A337*24))/F337,IF(D337="marché libre",(C337/(A337*24))/G337,"spécifier histo"))</f>
        <v>0.783183295823956</v>
      </c>
      <c r="F337" s="59" t="n">
        <v>1290</v>
      </c>
      <c r="G337" s="59" t="n">
        <f aca="false">F337-H338</f>
        <v>1290</v>
      </c>
      <c r="H337" s="59" t="n">
        <v>0</v>
      </c>
      <c r="J337" s="55"/>
      <c r="K337" s="30"/>
      <c r="L337" s="30"/>
      <c r="M337" s="30"/>
      <c r="N337" s="30"/>
    </row>
    <row r="338" customFormat="false" ht="19.85" hidden="false" customHeight="true" outlineLevel="0" collapsed="false">
      <c r="A338" s="1" t="n">
        <v>30</v>
      </c>
      <c r="B338" s="34" t="n">
        <v>41791</v>
      </c>
      <c r="C338" s="30" t="n">
        <v>56017</v>
      </c>
      <c r="D338" s="26" t="s">
        <v>42</v>
      </c>
      <c r="E338" s="33" t="n">
        <f aca="false">IF(D338="totale",(C338/(A338*24))/F338,IF(D338="marché libre",(C338/(A338*24))/G338,"spécifier histo"))</f>
        <v>0.0603111541774333</v>
      </c>
      <c r="F338" s="59" t="n">
        <v>1290</v>
      </c>
      <c r="G338" s="59" t="n">
        <f aca="false">F338-H339</f>
        <v>1290</v>
      </c>
      <c r="H338" s="59" t="n">
        <v>0</v>
      </c>
      <c r="J338" s="55"/>
      <c r="K338" s="30"/>
      <c r="L338" s="30"/>
      <c r="M338" s="30"/>
      <c r="N338" s="30"/>
    </row>
    <row r="339" customFormat="false" ht="33.45" hidden="false" customHeight="true" outlineLevel="0" collapsed="false">
      <c r="A339" s="1" t="n">
        <v>31</v>
      </c>
      <c r="B339" s="31" t="n">
        <v>41821</v>
      </c>
      <c r="C339" s="30" t="n">
        <v>0</v>
      </c>
      <c r="D339" s="26" t="s">
        <v>42</v>
      </c>
      <c r="E339" s="33" t="e">
        <f aca="false">IF(D339="totale",(C339/(A339*24))/F339,IF(D339="marché libre",(C339/(A339*24))/G339,"spécifier histo"))</f>
        <v>#DIV/0!</v>
      </c>
      <c r="F339" s="59" t="n">
        <v>0</v>
      </c>
      <c r="G339" s="59" t="n">
        <v>0</v>
      </c>
      <c r="H339" s="59" t="n">
        <v>0</v>
      </c>
      <c r="I339" s="1" t="s">
        <v>411</v>
      </c>
      <c r="J339" s="55"/>
      <c r="K339" s="30"/>
      <c r="L339" s="30"/>
      <c r="M339" s="30"/>
      <c r="N339" s="30"/>
    </row>
    <row r="340" customFormat="false" ht="19.85" hidden="false" customHeight="true" outlineLevel="0" collapsed="false">
      <c r="A340" s="1" t="n">
        <v>31</v>
      </c>
      <c r="B340" s="34" t="n">
        <v>41852</v>
      </c>
      <c r="C340" s="30" t="n">
        <v>0</v>
      </c>
      <c r="D340" s="26" t="s">
        <v>42</v>
      </c>
      <c r="E340" s="33" t="e">
        <f aca="false">IF(D340="totale",(C340/(A340*24))/F340,IF(D340="marché libre",(C340/(A340*24))/G340,"spécifier histo"))</f>
        <v>#DIV/0!</v>
      </c>
      <c r="F340" s="59" t="n">
        <v>0</v>
      </c>
      <c r="G340" s="59" t="n">
        <f aca="false">F340-H340</f>
        <v>0</v>
      </c>
      <c r="H340" s="59" t="n">
        <v>0</v>
      </c>
      <c r="J340" s="55"/>
      <c r="K340" s="30"/>
      <c r="L340" s="30"/>
      <c r="M340" s="30"/>
      <c r="N340" s="30"/>
    </row>
    <row r="341" customFormat="false" ht="19.85" hidden="false" customHeight="true" outlineLevel="0" collapsed="false">
      <c r="A341" s="1" t="n">
        <v>30</v>
      </c>
      <c r="B341" s="31" t="n">
        <v>41883</v>
      </c>
      <c r="C341" s="30" t="n">
        <v>0</v>
      </c>
      <c r="D341" s="26" t="s">
        <v>42</v>
      </c>
      <c r="E341" s="33" t="e">
        <f aca="false">IF(D341="totale",(C341/(A341*24))/F341,IF(D341="marché libre",(C341/(A341*24))/G341,"spécifier histo"))</f>
        <v>#DIV/0!</v>
      </c>
      <c r="F341" s="59" t="n">
        <v>0</v>
      </c>
      <c r="G341" s="59" t="n">
        <f aca="false">F341-H341</f>
        <v>0</v>
      </c>
      <c r="H341" s="59" t="n">
        <v>0</v>
      </c>
      <c r="J341" s="73"/>
      <c r="K341" s="30"/>
      <c r="L341" s="30"/>
      <c r="M341" s="30"/>
      <c r="N341" s="30"/>
    </row>
    <row r="342" customFormat="false" ht="19.85" hidden="false" customHeight="true" outlineLevel="0" collapsed="false">
      <c r="A342" s="1" t="n">
        <v>31</v>
      </c>
      <c r="B342" s="34" t="n">
        <v>41913</v>
      </c>
      <c r="C342" s="26" t="n">
        <v>0</v>
      </c>
      <c r="D342" s="26" t="s">
        <v>42</v>
      </c>
      <c r="E342" s="33" t="e">
        <f aca="false">IF(D342="totale",(C342/(A342*24))/F342,IF(D342="marché libre",(C342/(A342*24))/G342,"spécifier histo"))</f>
        <v>#DIV/0!</v>
      </c>
      <c r="F342" s="59" t="n">
        <v>0</v>
      </c>
      <c r="G342" s="59" t="n">
        <f aca="false">F342-H342</f>
        <v>0</v>
      </c>
      <c r="H342" s="59" t="n">
        <v>0</v>
      </c>
      <c r="J342" s="55"/>
      <c r="K342" s="30"/>
      <c r="L342" s="30"/>
      <c r="M342" s="30"/>
      <c r="N342" s="30"/>
    </row>
    <row r="343" customFormat="false" ht="19.85" hidden="false" customHeight="true" outlineLevel="0" collapsed="false">
      <c r="A343" s="1" t="n">
        <v>30</v>
      </c>
      <c r="B343" s="31" t="n">
        <v>41944</v>
      </c>
      <c r="C343" s="26" t="n">
        <v>0</v>
      </c>
      <c r="D343" s="26" t="s">
        <v>42</v>
      </c>
      <c r="E343" s="33" t="e">
        <f aca="false">IF(D343="totale",(C343/(A343*24))/F343,IF(D343="marché libre",(C343/(A343*24))/G343,"spécifier histo"))</f>
        <v>#DIV/0!</v>
      </c>
      <c r="F343" s="59" t="n">
        <v>0</v>
      </c>
      <c r="G343" s="59" t="n">
        <f aca="false">F343-H343</f>
        <v>0</v>
      </c>
      <c r="H343" s="59" t="n">
        <v>0</v>
      </c>
      <c r="J343" s="55"/>
      <c r="K343" s="30"/>
      <c r="L343" s="30"/>
      <c r="M343" s="30"/>
      <c r="N343" s="30"/>
    </row>
    <row r="344" customFormat="false" ht="20.8" hidden="false" customHeight="true" outlineLevel="0" collapsed="false">
      <c r="A344" s="1" t="n">
        <v>31</v>
      </c>
      <c r="B344" s="34" t="n">
        <v>41974</v>
      </c>
      <c r="C344" s="26" t="n">
        <v>0</v>
      </c>
      <c r="D344" s="26" t="s">
        <v>42</v>
      </c>
      <c r="E344" s="33" t="e">
        <f aca="false">IF(D344="totale",(C344/(A344*24))/F344,IF(D344="marché libre",(C344/(A344*24))/G344,"spécifier histo"))</f>
        <v>#DIV/0!</v>
      </c>
      <c r="F344" s="59" t="n">
        <v>0</v>
      </c>
      <c r="G344" s="59" t="n">
        <f aca="false">F344-H344</f>
        <v>0</v>
      </c>
      <c r="H344" s="59" t="n">
        <v>0</v>
      </c>
      <c r="J344" s="55"/>
      <c r="K344" s="30"/>
      <c r="L344" s="30"/>
      <c r="M344" s="30"/>
      <c r="N344" s="30"/>
    </row>
    <row r="345" customFormat="false" ht="19.85" hidden="false" customHeight="true" outlineLevel="0" collapsed="false">
      <c r="A345" s="1" t="n">
        <v>31</v>
      </c>
      <c r="B345" s="31" t="n">
        <v>42005</v>
      </c>
      <c r="C345" s="57" t="n">
        <v>0</v>
      </c>
      <c r="D345" s="26" t="s">
        <v>42</v>
      </c>
      <c r="E345" s="33" t="e">
        <f aca="false">IF(D345="totale",(C345/(A345*24))/F345,IF(D345="marché libre",(C345/(A345*24))/G345,"spécifier histo"))</f>
        <v>#DIV/0!</v>
      </c>
      <c r="F345" s="59" t="n">
        <v>0</v>
      </c>
      <c r="G345" s="59" t="n">
        <f aca="false">F345-H345</f>
        <v>0</v>
      </c>
      <c r="H345" s="59" t="n">
        <v>0</v>
      </c>
      <c r="J345" s="55"/>
      <c r="K345" s="30"/>
      <c r="L345" s="30"/>
      <c r="M345" s="30"/>
      <c r="N345" s="30"/>
    </row>
    <row r="346" customFormat="false" ht="19.85" hidden="false" customHeight="true" outlineLevel="0" collapsed="false">
      <c r="A346" s="1" t="n">
        <v>28</v>
      </c>
      <c r="B346" s="34" t="n">
        <v>42036</v>
      </c>
      <c r="C346" s="57" t="n">
        <v>0</v>
      </c>
      <c r="D346" s="26" t="s">
        <v>42</v>
      </c>
      <c r="E346" s="33" t="e">
        <f aca="false">IF(D346="totale",(C346/(A346*24))/F346,IF(D346="marché libre",(C346/(A346*24))/G346,"spécifier histo"))</f>
        <v>#DIV/0!</v>
      </c>
      <c r="F346" s="59" t="n">
        <v>0</v>
      </c>
      <c r="G346" s="59" t="n">
        <f aca="false">F346-H346</f>
        <v>0</v>
      </c>
      <c r="H346" s="59" t="n">
        <v>0</v>
      </c>
      <c r="J346" s="55"/>
      <c r="K346" s="30"/>
      <c r="L346" s="30"/>
      <c r="M346" s="30"/>
      <c r="N346" s="30"/>
    </row>
    <row r="347" customFormat="false" ht="19.85" hidden="false" customHeight="true" outlineLevel="0" collapsed="false">
      <c r="A347" s="1" t="n">
        <v>31</v>
      </c>
      <c r="B347" s="31" t="n">
        <v>42064</v>
      </c>
      <c r="C347" s="57" t="n">
        <v>0</v>
      </c>
      <c r="D347" s="26" t="s">
        <v>42</v>
      </c>
      <c r="E347" s="33" t="e">
        <f aca="false">IF(D347="totale",(C347/(A347*24))/F347,IF(D347="marché libre",(C347/(A347*24))/G347,"spécifier histo"))</f>
        <v>#DIV/0!</v>
      </c>
      <c r="F347" s="59" t="n">
        <v>0</v>
      </c>
      <c r="G347" s="59" t="n">
        <f aca="false">F347-H347</f>
        <v>0</v>
      </c>
      <c r="H347" s="59" t="n">
        <v>0</v>
      </c>
      <c r="J347" s="55"/>
      <c r="K347" s="30"/>
      <c r="L347" s="30"/>
      <c r="M347" s="30"/>
      <c r="N347" s="30"/>
    </row>
    <row r="348" customFormat="false" ht="19.85" hidden="false" customHeight="true" outlineLevel="0" collapsed="false">
      <c r="A348" s="1" t="n">
        <v>30</v>
      </c>
      <c r="B348" s="34" t="n">
        <v>42095</v>
      </c>
      <c r="C348" s="57" t="n">
        <v>225523</v>
      </c>
      <c r="D348" s="26" t="s">
        <v>42</v>
      </c>
      <c r="E348" s="33" t="n">
        <f aca="false">IF(D348="totale",(C348/(A348*24))/F348,IF(D348="marché libre",(C348/(A348*24))/G348,"spécifier histo"))</f>
        <v>0.351939762796504</v>
      </c>
      <c r="F348" s="59" t="n">
        <v>1290</v>
      </c>
      <c r="G348" s="59" t="n">
        <f aca="false">F348-H348</f>
        <v>890</v>
      </c>
      <c r="H348" s="59" t="n">
        <v>400</v>
      </c>
      <c r="J348" s="55"/>
      <c r="K348" s="30"/>
      <c r="L348" s="30"/>
      <c r="M348" s="30"/>
      <c r="N348" s="30"/>
    </row>
    <row r="349" customFormat="false" ht="19.85" hidden="false" customHeight="true" outlineLevel="0" collapsed="false">
      <c r="A349" s="1" t="n">
        <v>31</v>
      </c>
      <c r="B349" s="31" t="n">
        <v>42125</v>
      </c>
      <c r="C349" s="57" t="n">
        <v>149853</v>
      </c>
      <c r="D349" s="26" t="s">
        <v>42</v>
      </c>
      <c r="E349" s="33" t="n">
        <f aca="false">IF(D349="totale",(C349/(A349*24))/F349,IF(D349="marché libre",(C349/(A349*24))/G349,"spécifier histo"))</f>
        <v>0.226309351214208</v>
      </c>
      <c r="F349" s="59" t="n">
        <v>1290</v>
      </c>
      <c r="G349" s="59" t="n">
        <f aca="false">F349-H349</f>
        <v>890</v>
      </c>
      <c r="H349" s="59" t="n">
        <v>400</v>
      </c>
      <c r="J349" s="55"/>
      <c r="K349" s="30"/>
      <c r="L349" s="30"/>
      <c r="M349" s="30"/>
      <c r="N349" s="30"/>
    </row>
    <row r="350" customFormat="false" ht="19.85" hidden="false" customHeight="true" outlineLevel="0" collapsed="false">
      <c r="A350" s="1" t="n">
        <v>30</v>
      </c>
      <c r="B350" s="34" t="n">
        <v>42156</v>
      </c>
      <c r="C350" s="57" t="n">
        <v>24716</v>
      </c>
      <c r="D350" s="26" t="s">
        <v>42</v>
      </c>
      <c r="E350" s="33" t="n">
        <f aca="false">IF(D350="totale",(C350/(A350*24))/F350,IF(D350="marché libre",(C350/(A350*24))/G350,"spécifier histo"))</f>
        <v>0.0385705368289638</v>
      </c>
      <c r="F350" s="59" t="n">
        <v>1290</v>
      </c>
      <c r="G350" s="59" t="n">
        <f aca="false">F350-H350</f>
        <v>890</v>
      </c>
      <c r="H350" s="59" t="n">
        <v>400</v>
      </c>
      <c r="J350" s="55"/>
      <c r="K350" s="30"/>
      <c r="L350" s="30"/>
      <c r="M350" s="30"/>
      <c r="N350" s="30"/>
    </row>
    <row r="351" customFormat="false" ht="19.85" hidden="false" customHeight="true" outlineLevel="0" collapsed="false">
      <c r="A351" s="1" t="n">
        <v>31</v>
      </c>
      <c r="B351" s="31" t="n">
        <v>42186</v>
      </c>
      <c r="C351" s="121" t="n">
        <v>0</v>
      </c>
      <c r="D351" s="26" t="s">
        <v>42</v>
      </c>
      <c r="E351" s="33" t="n">
        <f aca="false">IF(D351="totale",(C351/(A351*24))/F351,IF(D351="marché libre",(C351/(A351*24))/G351,"spécifier histo"))</f>
        <v>0</v>
      </c>
      <c r="F351" s="59" t="n">
        <v>1290</v>
      </c>
      <c r="G351" s="59" t="n">
        <f aca="false">F351-H351</f>
        <v>890</v>
      </c>
      <c r="H351" s="59" t="n">
        <v>400</v>
      </c>
      <c r="J351" s="55"/>
      <c r="K351" s="30"/>
      <c r="L351" s="30"/>
      <c r="M351" s="30"/>
      <c r="N351" s="30"/>
    </row>
    <row r="352" customFormat="false" ht="19.85" hidden="false" customHeight="true" outlineLevel="0" collapsed="false">
      <c r="A352" s="1" t="n">
        <v>31</v>
      </c>
      <c r="B352" s="34" t="n">
        <v>42217</v>
      </c>
      <c r="C352" s="121" t="n">
        <v>0</v>
      </c>
      <c r="D352" s="26" t="s">
        <v>42</v>
      </c>
      <c r="E352" s="33" t="n">
        <f aca="false">IF(D352="totale",(C352/(A352*24))/F352,IF(D352="marché libre",(C352/(A352*24))/G352,"spécifier histo"))</f>
        <v>0</v>
      </c>
      <c r="F352" s="59" t="n">
        <v>1290</v>
      </c>
      <c r="G352" s="59" t="n">
        <f aca="false">F352-H352</f>
        <v>890</v>
      </c>
      <c r="H352" s="59" t="n">
        <v>400</v>
      </c>
      <c r="J352" s="55"/>
      <c r="K352" s="30"/>
      <c r="L352" s="30"/>
      <c r="M352" s="30"/>
      <c r="N352" s="30"/>
    </row>
    <row r="353" customFormat="false" ht="19.85" hidden="false" customHeight="true" outlineLevel="0" collapsed="false">
      <c r="A353" s="1" t="n">
        <v>30</v>
      </c>
      <c r="B353" s="31" t="n">
        <v>42248</v>
      </c>
      <c r="C353" s="121" t="n">
        <v>0</v>
      </c>
      <c r="D353" s="26" t="s">
        <v>42</v>
      </c>
      <c r="E353" s="33" t="n">
        <f aca="false">IF(D353="totale",(C353/(A353*24))/F353,IF(D353="marché libre",(C353/(A353*24))/G353,"spécifier histo"))</f>
        <v>0</v>
      </c>
      <c r="F353" s="59" t="n">
        <v>1290</v>
      </c>
      <c r="G353" s="59" t="n">
        <f aca="false">F353-H353</f>
        <v>890</v>
      </c>
      <c r="H353" s="59" t="n">
        <v>400</v>
      </c>
      <c r="J353" s="55"/>
      <c r="K353" s="30"/>
      <c r="L353" s="30"/>
      <c r="M353" s="30"/>
      <c r="N353" s="30"/>
    </row>
    <row r="354" customFormat="false" ht="19.85" hidden="false" customHeight="true" outlineLevel="0" collapsed="false">
      <c r="A354" s="1" t="n">
        <v>31</v>
      </c>
      <c r="B354" s="34" t="n">
        <v>42278</v>
      </c>
      <c r="C354" s="121" t="n">
        <v>26755</v>
      </c>
      <c r="D354" s="26" t="s">
        <v>42</v>
      </c>
      <c r="E354" s="33" t="n">
        <f aca="false">IF(D354="totale",(C354/(A354*24))/F354,IF(D354="marché libre",(C354/(A354*24))/G354,"spécifier histo"))</f>
        <v>0.0404056421408723</v>
      </c>
      <c r="F354" s="59" t="n">
        <v>1290</v>
      </c>
      <c r="G354" s="59" t="n">
        <f aca="false">F354-H354</f>
        <v>890</v>
      </c>
      <c r="H354" s="59" t="n">
        <v>400</v>
      </c>
      <c r="J354" s="55"/>
      <c r="K354" s="30"/>
      <c r="L354" s="30"/>
      <c r="M354" s="30"/>
      <c r="N354" s="30"/>
    </row>
    <row r="355" customFormat="false" ht="19.85" hidden="false" customHeight="true" outlineLevel="0" collapsed="false">
      <c r="A355" s="1" t="n">
        <v>30</v>
      </c>
      <c r="B355" s="31" t="n">
        <v>42309</v>
      </c>
      <c r="C355" s="121" t="n">
        <v>14026</v>
      </c>
      <c r="D355" s="26" t="s">
        <v>42</v>
      </c>
      <c r="E355" s="33" t="n">
        <f aca="false">IF(D355="totale",(C355/(A355*24))/F355,IF(D355="marché libre",(C355/(A355*24))/G355,"spécifier histo"))</f>
        <v>0.0218882646691635</v>
      </c>
      <c r="F355" s="59" t="n">
        <v>1290</v>
      </c>
      <c r="G355" s="59" t="n">
        <f aca="false">F355-H355</f>
        <v>890</v>
      </c>
      <c r="H355" s="59" t="n">
        <v>400</v>
      </c>
      <c r="J355" s="55"/>
      <c r="K355" s="30"/>
      <c r="L355" s="30"/>
      <c r="M355" s="30"/>
      <c r="N355" s="30"/>
    </row>
    <row r="356" customFormat="false" ht="19.85" hidden="false" customHeight="true" outlineLevel="0" collapsed="false">
      <c r="A356" s="1" t="n">
        <v>31</v>
      </c>
      <c r="B356" s="34" t="n">
        <v>42339</v>
      </c>
      <c r="C356" s="121" t="n">
        <v>0</v>
      </c>
      <c r="D356" s="26" t="s">
        <v>42</v>
      </c>
      <c r="E356" s="33" t="n">
        <f aca="false">IF(D356="totale",(C356/(A356*24))/F356,IF(D356="marché libre",(C356/(A356*24))/G356,"spécifier histo"))</f>
        <v>0</v>
      </c>
      <c r="F356" s="59" t="n">
        <v>1290</v>
      </c>
      <c r="G356" s="59" t="n">
        <f aca="false">F356-H356</f>
        <v>890</v>
      </c>
      <c r="H356" s="59" t="n">
        <v>400</v>
      </c>
      <c r="J356" s="55"/>
      <c r="K356" s="30"/>
      <c r="L356" s="30"/>
      <c r="M356" s="30"/>
      <c r="N356" s="30"/>
    </row>
    <row r="357" customFormat="false" ht="19.85" hidden="false" customHeight="true" outlineLevel="0" collapsed="false">
      <c r="A357" s="1" t="n">
        <v>31</v>
      </c>
      <c r="B357" s="31" t="n">
        <v>42370</v>
      </c>
      <c r="C357" s="9" t="n">
        <v>5479</v>
      </c>
      <c r="D357" s="26" t="s">
        <v>42</v>
      </c>
      <c r="E357" s="33" t="n">
        <f aca="false">IF(D357="totale",(C357/(A357*24))/F357,IF(D357="marché libre",(C357/(A357*24))/G357,"spécifier histo"))</f>
        <v>0.00827443518182916</v>
      </c>
      <c r="F357" s="59" t="n">
        <v>1290</v>
      </c>
      <c r="G357" s="59" t="n">
        <f aca="false">F357-H357</f>
        <v>890</v>
      </c>
      <c r="H357" s="59" t="n">
        <v>400</v>
      </c>
      <c r="J357" s="55"/>
      <c r="K357" s="30"/>
      <c r="L357" s="30"/>
      <c r="M357" s="30"/>
      <c r="N357" s="30"/>
    </row>
    <row r="358" customFormat="false" ht="19.85" hidden="false" customHeight="true" outlineLevel="0" collapsed="false">
      <c r="A358" s="1" t="n">
        <v>28</v>
      </c>
      <c r="B358" s="34" t="n">
        <v>42401</v>
      </c>
      <c r="C358" s="9" t="n">
        <v>1195</v>
      </c>
      <c r="D358" s="26" t="s">
        <v>42</v>
      </c>
      <c r="E358" s="33" t="n">
        <f aca="false">IF(D358="totale",(C358/(A358*24))/F358,IF(D358="marché libre",(C358/(A358*24))/G358,"spécifier histo"))</f>
        <v>0.00199806046013911</v>
      </c>
      <c r="F358" s="59" t="n">
        <v>1290</v>
      </c>
      <c r="G358" s="59" t="n">
        <f aca="false">F358-H358</f>
        <v>890</v>
      </c>
      <c r="H358" s="59" t="n">
        <v>400</v>
      </c>
      <c r="J358" s="55"/>
      <c r="K358" s="30"/>
      <c r="L358" s="30"/>
      <c r="M358" s="30"/>
      <c r="N358" s="30"/>
    </row>
    <row r="359" customFormat="false" ht="19.85" hidden="false" customHeight="true" outlineLevel="0" collapsed="false">
      <c r="A359" s="1" t="n">
        <v>31</v>
      </c>
      <c r="B359" s="31" t="n">
        <v>42430</v>
      </c>
      <c r="C359" s="9" t="n">
        <v>0</v>
      </c>
      <c r="D359" s="26" t="s">
        <v>42</v>
      </c>
      <c r="E359" s="33" t="n">
        <f aca="false">IF(D359="totale",(C359/(A359*24))/F359,IF(D359="marché libre",(C359/(A359*24))/G359,"spécifier histo"))</f>
        <v>0</v>
      </c>
      <c r="F359" s="59" t="n">
        <v>1290</v>
      </c>
      <c r="G359" s="59" t="n">
        <f aca="false">F359-H359</f>
        <v>890</v>
      </c>
      <c r="H359" s="59" t="n">
        <v>400</v>
      </c>
      <c r="J359" s="55"/>
      <c r="K359" s="30"/>
      <c r="L359" s="30"/>
      <c r="M359" s="30"/>
      <c r="N359" s="30"/>
    </row>
    <row r="360" customFormat="false" ht="19.85" hidden="false" customHeight="true" outlineLevel="0" collapsed="false">
      <c r="A360" s="1" t="n">
        <v>30</v>
      </c>
      <c r="B360" s="34" t="n">
        <v>42461</v>
      </c>
      <c r="C360" s="9" t="n">
        <v>411302</v>
      </c>
      <c r="D360" s="26" t="s">
        <v>42</v>
      </c>
      <c r="E360" s="33" t="n">
        <f aca="false">IF(D360="totale",(C360/(A360*24))/F360,IF(D360="marché libre",(C360/(A360*24))/G360,"spécifier histo"))</f>
        <v>0.641857053682896</v>
      </c>
      <c r="F360" s="59" t="n">
        <v>1290</v>
      </c>
      <c r="G360" s="59" t="n">
        <f aca="false">F360-H360</f>
        <v>890</v>
      </c>
      <c r="H360" s="59" t="n">
        <v>400</v>
      </c>
      <c r="J360" s="55"/>
      <c r="K360" s="30"/>
      <c r="L360" s="30"/>
      <c r="M360" s="30"/>
      <c r="N360" s="30"/>
    </row>
    <row r="361" customFormat="false" ht="19.85" hidden="false" customHeight="true" outlineLevel="0" collapsed="false">
      <c r="A361" s="1" t="n">
        <v>31</v>
      </c>
      <c r="B361" s="31" t="n">
        <v>42491</v>
      </c>
      <c r="C361" s="9" t="n">
        <v>407519</v>
      </c>
      <c r="D361" s="26" t="s">
        <v>42</v>
      </c>
      <c r="E361" s="33" t="n">
        <f aca="false">IF(D361="totale",(C361/(A361*24))/F361,IF(D361="marché libre",(C361/(A361*24))/G361,"spécifier histo"))</f>
        <v>0.615438866739157</v>
      </c>
      <c r="F361" s="59" t="n">
        <v>1290</v>
      </c>
      <c r="G361" s="59" t="n">
        <f aca="false">F361-H361</f>
        <v>890</v>
      </c>
      <c r="H361" s="59" t="n">
        <v>400</v>
      </c>
      <c r="J361" s="55"/>
      <c r="K361" s="216"/>
      <c r="L361" s="30"/>
      <c r="M361" s="30"/>
      <c r="N361" s="30"/>
    </row>
    <row r="362" customFormat="false" ht="19.85" hidden="false" customHeight="true" outlineLevel="0" collapsed="false">
      <c r="A362" s="1" t="n">
        <v>30</v>
      </c>
      <c r="B362" s="34" t="n">
        <v>42522</v>
      </c>
      <c r="C362" s="9" t="n">
        <v>398687</v>
      </c>
      <c r="D362" s="26" t="s">
        <v>42</v>
      </c>
      <c r="E362" s="33" t="n">
        <f aca="false">IF(D362="totale",(C362/(A362*24))/F362,IF(D362="marché libre",(C362/(A362*24))/G362,"spécifier histo"))</f>
        <v>0.622170724094881</v>
      </c>
      <c r="F362" s="59" t="n">
        <v>1290</v>
      </c>
      <c r="G362" s="59" t="n">
        <f aca="false">F362-H362</f>
        <v>890</v>
      </c>
      <c r="H362" s="59" t="n">
        <v>400</v>
      </c>
      <c r="J362" s="55"/>
      <c r="K362" s="216"/>
      <c r="L362" s="30"/>
      <c r="M362" s="30"/>
      <c r="N362" s="30"/>
    </row>
    <row r="363" customFormat="false" ht="19.85" hidden="false" customHeight="true" outlineLevel="0" collapsed="false">
      <c r="A363" s="1" t="n">
        <v>31</v>
      </c>
      <c r="B363" s="31" t="n">
        <v>42552</v>
      </c>
      <c r="C363" s="9" t="n">
        <v>26945</v>
      </c>
      <c r="D363" s="26" t="s">
        <v>42</v>
      </c>
      <c r="E363" s="33" t="n">
        <f aca="false">IF(D363="totale",(C363/(A363*24))/F363,IF(D363="marché libre",(C363/(A363*24))/G363,"spécifier histo"))</f>
        <v>0.0406925818533285</v>
      </c>
      <c r="F363" s="59" t="n">
        <v>1290</v>
      </c>
      <c r="G363" s="59" t="n">
        <f aca="false">F363-H363</f>
        <v>890</v>
      </c>
      <c r="H363" s="59" t="n">
        <v>400</v>
      </c>
      <c r="J363" s="55"/>
      <c r="K363" s="216"/>
      <c r="L363" s="30"/>
      <c r="M363" s="30"/>
      <c r="N363" s="30"/>
    </row>
    <row r="364" customFormat="false" ht="19.85" hidden="false" customHeight="true" outlineLevel="0" collapsed="false">
      <c r="A364" s="1" t="n">
        <v>31</v>
      </c>
      <c r="B364" s="34" t="n">
        <v>42583</v>
      </c>
      <c r="C364" s="9" t="n">
        <v>0</v>
      </c>
      <c r="D364" s="26" t="s">
        <v>42</v>
      </c>
      <c r="E364" s="33" t="n">
        <f aca="false">IF(D364="totale",(C364/(A364*24))/F364,IF(D364="marché libre",(C364/(A364*24))/G364,"spécifier histo"))</f>
        <v>0</v>
      </c>
      <c r="F364" s="59" t="n">
        <v>1290</v>
      </c>
      <c r="G364" s="59" t="n">
        <f aca="false">F364-H364</f>
        <v>890</v>
      </c>
      <c r="H364" s="59" t="n">
        <v>400</v>
      </c>
      <c r="J364" s="55"/>
      <c r="K364" s="30"/>
      <c r="L364" s="30"/>
      <c r="M364" s="30"/>
      <c r="N364" s="30"/>
    </row>
    <row r="365" customFormat="false" ht="19.85" hidden="false" customHeight="true" outlineLevel="0" collapsed="false">
      <c r="A365" s="1" t="n">
        <v>30</v>
      </c>
      <c r="B365" s="31" t="n">
        <v>42614</v>
      </c>
      <c r="C365" s="9" t="n">
        <v>0</v>
      </c>
      <c r="D365" s="26" t="s">
        <v>42</v>
      </c>
      <c r="E365" s="33" t="n">
        <f aca="false">IF(D365="totale",(C365/(A365*24))/F365,IF(D365="marché libre",(C365/(A365*24))/G365,"spécifier histo"))</f>
        <v>0</v>
      </c>
      <c r="F365" s="59" t="n">
        <v>1290</v>
      </c>
      <c r="G365" s="59" t="n">
        <f aca="false">F365-H365</f>
        <v>890</v>
      </c>
      <c r="H365" s="59" t="n">
        <v>400</v>
      </c>
      <c r="J365" s="55"/>
      <c r="K365" s="30"/>
      <c r="L365" s="30"/>
      <c r="M365" s="30"/>
      <c r="N365" s="30"/>
    </row>
    <row r="366" customFormat="false" ht="19.85" hidden="false" customHeight="true" outlineLevel="0" collapsed="false">
      <c r="A366" s="1" t="n">
        <v>31</v>
      </c>
      <c r="B366" s="34" t="n">
        <v>42644</v>
      </c>
      <c r="C366" s="9" t="n">
        <v>13854</v>
      </c>
      <c r="D366" s="26" t="s">
        <v>42</v>
      </c>
      <c r="E366" s="33" t="n">
        <f aca="false">IF(D366="totale",(C366/(A366*24))/F366,IF(D366="marché libre",(C366/(A366*24))/G366,"spécifier histo"))</f>
        <v>0.020922435665096</v>
      </c>
      <c r="F366" s="59" t="n">
        <v>1290</v>
      </c>
      <c r="G366" s="59" t="n">
        <f aca="false">F366-H366</f>
        <v>890</v>
      </c>
      <c r="H366" s="59" t="n">
        <v>400</v>
      </c>
      <c r="J366" s="55"/>
      <c r="K366" s="30"/>
      <c r="L366" s="30"/>
      <c r="M366" s="30"/>
      <c r="N366" s="30"/>
    </row>
    <row r="367" customFormat="false" ht="19.85" hidden="false" customHeight="true" outlineLevel="0" collapsed="false">
      <c r="A367" s="1" t="n">
        <v>30</v>
      </c>
      <c r="B367" s="31" t="n">
        <v>42675</v>
      </c>
      <c r="C367" s="9" t="n">
        <v>226132</v>
      </c>
      <c r="D367" s="26" t="s">
        <v>42</v>
      </c>
      <c r="E367" s="33" t="n">
        <f aca="false">IF(D367="totale",(C367/(A367*24))/F367,IF(D367="marché libre",(C367/(A367*24))/G367,"spécifier histo"))</f>
        <v>0.35289013732834</v>
      </c>
      <c r="F367" s="59" t="n">
        <v>1290</v>
      </c>
      <c r="G367" s="59" t="n">
        <f aca="false">F367-H367</f>
        <v>890</v>
      </c>
      <c r="H367" s="59" t="n">
        <v>400</v>
      </c>
      <c r="J367" s="55"/>
      <c r="K367" s="30"/>
      <c r="L367" s="30"/>
      <c r="M367" s="30"/>
      <c r="N367" s="30"/>
    </row>
    <row r="368" customFormat="false" ht="19.85" hidden="false" customHeight="true" outlineLevel="0" collapsed="false">
      <c r="A368" s="1" t="n">
        <v>31</v>
      </c>
      <c r="B368" s="34" t="n">
        <v>42705</v>
      </c>
      <c r="C368" s="9" t="n">
        <v>20648</v>
      </c>
      <c r="D368" s="26" t="s">
        <v>42</v>
      </c>
      <c r="E368" s="33" t="n">
        <f aca="false">IF(D368="totale",(C368/(A368*24))/F368,IF(D368="marché libre",(C368/(A368*24))/G368,"spécifier histo"))</f>
        <v>0.0311827956989247</v>
      </c>
      <c r="F368" s="59" t="n">
        <v>1290</v>
      </c>
      <c r="G368" s="59" t="n">
        <f aca="false">F368-H368</f>
        <v>890</v>
      </c>
      <c r="H368" s="59" t="n">
        <v>400</v>
      </c>
      <c r="J368" s="55"/>
      <c r="K368" s="30"/>
      <c r="L368" s="30"/>
      <c r="M368" s="30"/>
      <c r="N368" s="30"/>
    </row>
    <row r="369" customFormat="false" ht="19.85" hidden="false" customHeight="true" outlineLevel="0" collapsed="false">
      <c r="A369" s="1" t="n">
        <v>31</v>
      </c>
      <c r="B369" s="31" t="n">
        <v>42736</v>
      </c>
      <c r="C369" s="9" t="n">
        <v>0</v>
      </c>
      <c r="D369" s="26" t="s">
        <v>42</v>
      </c>
      <c r="E369" s="33" t="n">
        <f aca="false">IF(D369="totale",(C369/(A369*24))/F369,IF(D369="marché libre",(C369/(A369*24))/G369,"spécifier histo"))</f>
        <v>0</v>
      </c>
      <c r="F369" s="59" t="n">
        <v>1290</v>
      </c>
      <c r="G369" s="59" t="n">
        <f aca="false">F369-H369</f>
        <v>890</v>
      </c>
      <c r="H369" s="59" t="n">
        <v>400</v>
      </c>
      <c r="J369" s="30"/>
      <c r="K369" s="30"/>
      <c r="L369" s="30"/>
      <c r="M369" s="30"/>
      <c r="N369" s="30"/>
    </row>
    <row r="370" customFormat="false" ht="19.85" hidden="false" customHeight="true" outlineLevel="0" collapsed="false">
      <c r="A370" s="1" t="n">
        <v>28</v>
      </c>
      <c r="B370" s="34" t="n">
        <v>42767</v>
      </c>
      <c r="C370" s="9" t="n">
        <v>0</v>
      </c>
      <c r="D370" s="26" t="s">
        <v>42</v>
      </c>
      <c r="E370" s="33" t="n">
        <f aca="false">IF(D370="totale",(C370/(A370*24))/F370,IF(D370="marché libre",(C370/(A370*24))/G370,"spécifier histo"))</f>
        <v>0</v>
      </c>
      <c r="F370" s="59" t="n">
        <v>1290</v>
      </c>
      <c r="G370" s="59" t="n">
        <f aca="false">F370-H370</f>
        <v>890</v>
      </c>
      <c r="H370" s="59" t="n">
        <v>400</v>
      </c>
      <c r="J370" s="55"/>
      <c r="K370" s="30"/>
      <c r="L370" s="30"/>
      <c r="M370" s="30"/>
      <c r="N370" s="30"/>
    </row>
    <row r="371" customFormat="false" ht="19.85" hidden="false" customHeight="true" outlineLevel="0" collapsed="false">
      <c r="A371" s="1" t="n">
        <v>31</v>
      </c>
      <c r="B371" s="31" t="n">
        <v>42795</v>
      </c>
      <c r="C371" s="9" t="n">
        <v>2383</v>
      </c>
      <c r="D371" s="26" t="s">
        <v>42</v>
      </c>
      <c r="E371" s="33" t="n">
        <f aca="false">IF(D371="totale",(C371/(A371*24))/F371,IF(D371="marché libre",(C371/(A371*24))/G371,"spécifier histo"))</f>
        <v>0.00359882807780597</v>
      </c>
      <c r="F371" s="59" t="n">
        <v>1290</v>
      </c>
      <c r="G371" s="59" t="n">
        <f aca="false">F371-H371</f>
        <v>890</v>
      </c>
      <c r="H371" s="59" t="n">
        <v>400</v>
      </c>
      <c r="J371" s="55"/>
      <c r="K371" s="30"/>
      <c r="L371" s="30"/>
      <c r="M371" s="30"/>
      <c r="N371" s="30"/>
    </row>
    <row r="372" customFormat="false" ht="19.85" hidden="false" customHeight="true" outlineLevel="0" collapsed="false">
      <c r="A372" s="1" t="n">
        <v>30</v>
      </c>
      <c r="B372" s="34" t="n">
        <v>42826</v>
      </c>
      <c r="C372" s="9" t="n">
        <v>190228</v>
      </c>
      <c r="D372" s="26" t="s">
        <v>42</v>
      </c>
      <c r="E372" s="33" t="n">
        <f aca="false">IF(D372="totale",(C372/(A372*24))/F372,IF(D372="marché libre",(C372/(A372*24))/G372,"spécifier histo"))</f>
        <v>0.296860174781523</v>
      </c>
      <c r="F372" s="59" t="n">
        <v>1290</v>
      </c>
      <c r="G372" s="59" t="n">
        <f aca="false">F372-H372</f>
        <v>890</v>
      </c>
      <c r="H372" s="59" t="n">
        <v>400</v>
      </c>
      <c r="J372" s="55"/>
      <c r="K372" s="30"/>
      <c r="L372" s="30"/>
      <c r="M372" s="30"/>
      <c r="N372" s="30"/>
    </row>
    <row r="373" customFormat="false" ht="19.85" hidden="false" customHeight="true" outlineLevel="0" collapsed="false">
      <c r="A373" s="1" t="n">
        <v>31</v>
      </c>
      <c r="B373" s="31" t="n">
        <v>42856</v>
      </c>
      <c r="C373" s="9" t="n">
        <v>406975</v>
      </c>
      <c r="D373" s="26" t="s">
        <v>42</v>
      </c>
      <c r="E373" s="33" t="n">
        <f aca="false">IF(D373="totale",(C373/(A373*24))/F373,IF(D373="marché libre",(C373/(A373*24))/G373,"spécifier histo"))</f>
        <v>0.614617313036124</v>
      </c>
      <c r="F373" s="59" t="n">
        <v>1290</v>
      </c>
      <c r="G373" s="59" t="n">
        <f aca="false">F373-H373</f>
        <v>890</v>
      </c>
      <c r="H373" s="59" t="n">
        <v>400</v>
      </c>
      <c r="J373" s="55"/>
      <c r="K373" s="30"/>
      <c r="L373" s="30"/>
      <c r="M373" s="30"/>
      <c r="N373" s="30"/>
    </row>
    <row r="374" customFormat="false" ht="22.45" hidden="false" customHeight="true" outlineLevel="0" collapsed="false">
      <c r="A374" s="1" t="n">
        <v>30</v>
      </c>
      <c r="B374" s="34" t="n">
        <v>42887</v>
      </c>
      <c r="C374" s="9" t="n">
        <v>61269</v>
      </c>
      <c r="D374" s="26" t="s">
        <v>42</v>
      </c>
      <c r="E374" s="33" t="n">
        <f aca="false">IF(D374="totale",(C374/(A374*24))/F374,IF(D374="marché libre",(C374/(A374*24))/G374,"spécifier histo"))</f>
        <v>0.0956132958801498</v>
      </c>
      <c r="F374" s="59" t="n">
        <v>1290</v>
      </c>
      <c r="G374" s="59" t="n">
        <f aca="false">F374-H374</f>
        <v>890</v>
      </c>
      <c r="H374" s="59" t="n">
        <v>400</v>
      </c>
      <c r="J374" s="55"/>
      <c r="K374" s="30"/>
      <c r="L374" s="30"/>
      <c r="M374" s="30"/>
      <c r="N374" s="30"/>
    </row>
    <row r="375" customFormat="false" ht="21.65" hidden="false" customHeight="true" outlineLevel="0" collapsed="false">
      <c r="A375" s="1" t="n">
        <v>31</v>
      </c>
      <c r="B375" s="31" t="n">
        <v>42917</v>
      </c>
      <c r="C375" s="310" t="n">
        <v>0</v>
      </c>
      <c r="D375" s="26" t="s">
        <v>42</v>
      </c>
      <c r="E375" s="33" t="n">
        <f aca="false">IF(D375="totale",(C375/(A375*24))/F375,IF(D375="marché libre",(C375/(A375*24))/G375,"spécifier histo"))</f>
        <v>0</v>
      </c>
      <c r="F375" s="59" t="n">
        <v>1290</v>
      </c>
      <c r="G375" s="59" t="n">
        <f aca="false">F375-H375</f>
        <v>890</v>
      </c>
      <c r="H375" s="59" t="n">
        <v>400</v>
      </c>
      <c r="J375" s="55"/>
      <c r="K375" s="30"/>
      <c r="L375" s="30"/>
      <c r="M375" s="30"/>
      <c r="N375" s="30"/>
    </row>
    <row r="376" customFormat="false" ht="21.65" hidden="false" customHeight="true" outlineLevel="0" collapsed="false">
      <c r="A376" s="1" t="n">
        <v>31</v>
      </c>
      <c r="B376" s="34" t="n">
        <v>42948</v>
      </c>
      <c r="C376" s="310" t="n">
        <v>0</v>
      </c>
      <c r="D376" s="26" t="s">
        <v>42</v>
      </c>
      <c r="E376" s="33" t="n">
        <f aca="false">IF(D376="totale",(C376/(A376*24))/F376,IF(D376="marché libre",(C376/(A376*24))/G376,"spécifier histo"))</f>
        <v>0</v>
      </c>
      <c r="F376" s="59" t="n">
        <v>1290</v>
      </c>
      <c r="G376" s="59" t="n">
        <f aca="false">F376-H376</f>
        <v>890</v>
      </c>
      <c r="H376" s="59" t="n">
        <v>400</v>
      </c>
      <c r="J376" s="55"/>
      <c r="K376" s="30"/>
      <c r="L376" s="30"/>
      <c r="M376" s="30"/>
      <c r="N376" s="30"/>
    </row>
    <row r="377" customFormat="false" ht="21.65" hidden="false" customHeight="true" outlineLevel="0" collapsed="false">
      <c r="A377" s="1" t="n">
        <v>30</v>
      </c>
      <c r="B377" s="31" t="n">
        <v>42979</v>
      </c>
      <c r="C377" s="310" t="n">
        <v>0</v>
      </c>
      <c r="D377" s="26" t="s">
        <v>42</v>
      </c>
      <c r="E377" s="33" t="n">
        <f aca="false">IF(D377="totale",(C377/(A377*24))/F377,IF(D377="marché libre",(C377/(A377*24))/G377,"spécifier histo"))</f>
        <v>0</v>
      </c>
      <c r="F377" s="59" t="n">
        <v>1290</v>
      </c>
      <c r="G377" s="59" t="n">
        <f aca="false">F377-H377</f>
        <v>890</v>
      </c>
      <c r="H377" s="59" t="n">
        <v>400</v>
      </c>
      <c r="J377" s="55"/>
      <c r="K377" s="30"/>
      <c r="L377" s="30"/>
      <c r="M377" s="30"/>
      <c r="N377" s="30"/>
    </row>
    <row r="378" customFormat="false" ht="21.65" hidden="false" customHeight="true" outlineLevel="0" collapsed="false">
      <c r="A378" s="1" t="n">
        <v>31</v>
      </c>
      <c r="B378" s="34" t="n">
        <v>43009</v>
      </c>
      <c r="C378" s="310" t="n">
        <v>0</v>
      </c>
      <c r="D378" s="26" t="s">
        <v>42</v>
      </c>
      <c r="E378" s="33" t="n">
        <f aca="false">IF(D378="totale",(C378/(A378*24))/F378,IF(D378="marché libre",(C378/(A378*24))/G378,"spécifier histo"))</f>
        <v>0</v>
      </c>
      <c r="F378" s="59" t="n">
        <v>1290</v>
      </c>
      <c r="G378" s="59" t="n">
        <f aca="false">F378-H378</f>
        <v>890</v>
      </c>
      <c r="H378" s="59" t="n">
        <v>400</v>
      </c>
      <c r="J378" s="55"/>
      <c r="K378" s="30"/>
      <c r="L378" s="30"/>
      <c r="M378" s="30"/>
      <c r="N378" s="30"/>
    </row>
    <row r="379" customFormat="false" ht="21.65" hidden="false" customHeight="true" outlineLevel="0" collapsed="false">
      <c r="A379" s="1" t="n">
        <v>30</v>
      </c>
      <c r="B379" s="31" t="n">
        <v>43040</v>
      </c>
      <c r="C379" s="310" t="n">
        <v>0</v>
      </c>
      <c r="D379" s="26" t="s">
        <v>42</v>
      </c>
      <c r="E379" s="33" t="n">
        <f aca="false">IF(D379="totale",(C379/(A379*24))/F379,IF(D379="marché libre",(C379/(A379*24))/G379,"spécifier histo"))</f>
        <v>0</v>
      </c>
      <c r="F379" s="59" t="n">
        <v>1290</v>
      </c>
      <c r="G379" s="59" t="n">
        <f aca="false">F379-H379</f>
        <v>890</v>
      </c>
      <c r="H379" s="59" t="n">
        <v>400</v>
      </c>
      <c r="J379" s="55"/>
      <c r="K379" s="30"/>
      <c r="L379" s="30"/>
      <c r="M379" s="30"/>
      <c r="N379" s="30"/>
    </row>
    <row r="380" customFormat="false" ht="21.65" hidden="false" customHeight="true" outlineLevel="0" collapsed="false">
      <c r="A380" s="1" t="n">
        <v>31</v>
      </c>
      <c r="B380" s="34" t="n">
        <v>43070</v>
      </c>
      <c r="C380" s="310" t="n">
        <v>6007</v>
      </c>
      <c r="D380" s="26" t="s">
        <v>42</v>
      </c>
      <c r="E380" s="33" t="n">
        <f aca="false">IF(D380="totale",(C380/(A380*24))/F380,IF(D380="marché libre",(C380/(A380*24))/G380,"spécifier histo"))</f>
        <v>0.00907182554065483</v>
      </c>
      <c r="F380" s="59" t="n">
        <v>1290</v>
      </c>
      <c r="G380" s="59" t="n">
        <f aca="false">F380-H380</f>
        <v>890</v>
      </c>
      <c r="H380" s="59" t="n">
        <v>400</v>
      </c>
      <c r="J380" s="55"/>
      <c r="K380" s="30"/>
      <c r="L380" s="30"/>
      <c r="M380" s="30"/>
      <c r="N380" s="30"/>
    </row>
    <row r="381" customFormat="false" ht="28.35" hidden="false" customHeight="true" outlineLevel="0" collapsed="false">
      <c r="A381" s="1" t="n">
        <v>31</v>
      </c>
      <c r="B381" s="31" t="n">
        <v>43101</v>
      </c>
      <c r="C381" s="1" t="n">
        <v>0</v>
      </c>
      <c r="D381" s="26" t="s">
        <v>42</v>
      </c>
      <c r="E381" s="33" t="n">
        <f aca="false">IF(D381="totale",(C381/(A381*24))/F381,IF(D381="marché libre",(C381/(A381*24))/G381,"spécifier histo"))</f>
        <v>0</v>
      </c>
      <c r="F381" s="59" t="n">
        <v>1290</v>
      </c>
      <c r="G381" s="59" t="n">
        <f aca="false">F381-H381</f>
        <v>890</v>
      </c>
      <c r="H381" s="59" t="n">
        <v>400</v>
      </c>
      <c r="J381" s="30"/>
    </row>
    <row r="382" customFormat="false" ht="28.35" hidden="false" customHeight="true" outlineLevel="0" collapsed="false">
      <c r="A382" s="1" t="n">
        <v>28</v>
      </c>
      <c r="B382" s="34" t="n">
        <v>43132</v>
      </c>
      <c r="C382" s="1" t="n">
        <v>0</v>
      </c>
      <c r="D382" s="26" t="s">
        <v>42</v>
      </c>
      <c r="E382" s="33" t="n">
        <f aca="false">IF(D382="totale",(C382/(A382*24))/F382,IF(D382="marché libre",(C382/(A382*24))/G382,"spécifier histo"))</f>
        <v>0</v>
      </c>
      <c r="F382" s="59" t="n">
        <v>1290</v>
      </c>
      <c r="G382" s="59" t="n">
        <f aca="false">F382-H382</f>
        <v>890</v>
      </c>
      <c r="H382" s="59" t="n">
        <v>400</v>
      </c>
    </row>
    <row r="383" customFormat="false" ht="28.35" hidden="false" customHeight="true" outlineLevel="0" collapsed="false">
      <c r="A383" s="1" t="n">
        <v>31</v>
      </c>
      <c r="B383" s="31" t="n">
        <v>43160</v>
      </c>
      <c r="C383" s="1" t="n">
        <v>4003</v>
      </c>
      <c r="D383" s="26" t="s">
        <v>42</v>
      </c>
      <c r="E383" s="33" t="n">
        <f aca="false">IF(D383="totale",(C383/(A383*24))/F383,IF(D383="marché libre",(C383/(A383*24))/G383,"spécifier histo"))</f>
        <v>0.00604536667874834</v>
      </c>
      <c r="F383" s="59" t="n">
        <v>1290</v>
      </c>
      <c r="G383" s="59" t="n">
        <f aca="false">F383-H383</f>
        <v>890</v>
      </c>
      <c r="H383" s="59" t="n">
        <v>400</v>
      </c>
    </row>
    <row r="384" customFormat="false" ht="28.35" hidden="false" customHeight="true" outlineLevel="0" collapsed="false">
      <c r="A384" s="1" t="n">
        <v>30</v>
      </c>
      <c r="B384" s="34" t="n">
        <v>43191</v>
      </c>
      <c r="C384" s="1" t="n">
        <v>221692</v>
      </c>
      <c r="D384" s="26" t="s">
        <v>42</v>
      </c>
      <c r="E384" s="33" t="n">
        <f aca="false">IF(D384="totale",(C384/(A384*24))/F384,IF(D384="marché libre",(C384/(A384*24))/G384,"spécifier histo"))</f>
        <v>0.345961298377029</v>
      </c>
      <c r="F384" s="59" t="n">
        <v>1290</v>
      </c>
      <c r="G384" s="59" t="n">
        <f aca="false">F384-H384</f>
        <v>890</v>
      </c>
      <c r="H384" s="59" t="n">
        <v>400</v>
      </c>
    </row>
    <row r="385" customFormat="false" ht="28.35" hidden="false" customHeight="true" outlineLevel="0" collapsed="false">
      <c r="A385" s="1" t="n">
        <v>31</v>
      </c>
      <c r="B385" s="31" t="n">
        <v>43221</v>
      </c>
      <c r="C385" s="1" t="n">
        <v>522930</v>
      </c>
      <c r="D385" s="26" t="s">
        <v>42</v>
      </c>
      <c r="E385" s="33" t="n">
        <f aca="false">IF(D385="totale",(C385/(A385*24))/F385,IF(D385="marché libre",(C385/(A385*24))/G385,"spécifier histo"))</f>
        <v>0.78973359913012</v>
      </c>
      <c r="F385" s="59" t="n">
        <v>1290</v>
      </c>
      <c r="G385" s="59" t="n">
        <f aca="false">F385-H385</f>
        <v>890</v>
      </c>
      <c r="H385" s="59" t="n">
        <v>400</v>
      </c>
    </row>
    <row r="386" customFormat="false" ht="28.35" hidden="false" customHeight="true" outlineLevel="0" collapsed="false">
      <c r="A386" s="1" t="n">
        <v>30</v>
      </c>
      <c r="B386" s="34" t="n">
        <v>43252</v>
      </c>
      <c r="C386" s="1" t="n">
        <v>426026</v>
      </c>
      <c r="D386" s="26" t="s">
        <v>42</v>
      </c>
      <c r="E386" s="33" t="n">
        <f aca="false">IF(D386="totale",(C386/(A386*24))/F386,IF(D386="marché libre",(C386/(A386*24))/G386,"spécifier histo"))</f>
        <v>0.664834581772784</v>
      </c>
      <c r="F386" s="59" t="n">
        <v>1290</v>
      </c>
      <c r="G386" s="59" t="n">
        <f aca="false">F386-H386</f>
        <v>890</v>
      </c>
      <c r="H386" s="59" t="n">
        <v>400</v>
      </c>
    </row>
    <row r="387" customFormat="false" ht="28.35" hidden="false" customHeight="true" outlineLevel="0" collapsed="false">
      <c r="A387" s="1" t="n">
        <v>31</v>
      </c>
      <c r="B387" s="31" t="n">
        <v>43282</v>
      </c>
      <c r="C387" s="1" t="n">
        <v>52007</v>
      </c>
      <c r="D387" s="26" t="s">
        <v>42</v>
      </c>
      <c r="E387" s="33" t="n">
        <f aca="false">IF(D387="totale",(C387/(A387*24))/F387,IF(D387="marché libre",(C387/(A387*24))/G387,"spécifier histo"))</f>
        <v>0.0785414401353147</v>
      </c>
      <c r="F387" s="59" t="n">
        <v>1290</v>
      </c>
      <c r="G387" s="59" t="n">
        <f aca="false">F387-H387</f>
        <v>890</v>
      </c>
      <c r="H387" s="59" t="n">
        <v>400</v>
      </c>
    </row>
    <row r="388" customFormat="false" ht="28.35" hidden="false" customHeight="true" outlineLevel="0" collapsed="false">
      <c r="A388" s="1" t="n">
        <v>31</v>
      </c>
      <c r="B388" s="34" t="n">
        <v>43313</v>
      </c>
      <c r="C388" s="1" t="n">
        <v>30054</v>
      </c>
      <c r="D388" s="26" t="s">
        <v>42</v>
      </c>
      <c r="E388" s="33" t="n">
        <f aca="false">IF(D388="totale",(C388/(A388*24))/F388,IF(D388="marché libre",(C388/(A388*24))/G388,"spécifier histo"))</f>
        <v>0.0453878216745198</v>
      </c>
      <c r="F388" s="59" t="n">
        <v>1290</v>
      </c>
      <c r="G388" s="59" t="n">
        <f aca="false">F388-H388</f>
        <v>890</v>
      </c>
      <c r="H388" s="59" t="n">
        <v>400</v>
      </c>
    </row>
    <row r="389" customFormat="false" ht="28.35" hidden="false" customHeight="true" outlineLevel="0" collapsed="false">
      <c r="A389" s="0"/>
    </row>
    <row r="390" customFormat="false" ht="28.35" hidden="false" customHeight="true" outlineLevel="0" collapsed="false">
      <c r="A390" s="0"/>
    </row>
    <row r="391" customFormat="false" ht="28.35" hidden="false" customHeight="true" outlineLevel="0" collapsed="false">
      <c r="A391" s="0"/>
    </row>
    <row r="392" customFormat="false" ht="28.35" hidden="false" customHeight="true" outlineLevel="0" collapsed="false">
      <c r="A392" s="0"/>
    </row>
    <row r="393" customFormat="false" ht="28.35" hidden="false" customHeight="true" outlineLevel="0" collapsed="false">
      <c r="A393" s="0"/>
    </row>
    <row r="394" customFormat="false" ht="28.35" hidden="false" customHeight="true" outlineLevel="0" collapsed="false">
      <c r="A394" s="0"/>
    </row>
    <row r="395" customFormat="false" ht="12.8" hidden="false" customHeight="false" outlineLevel="0" collapsed="false">
      <c r="A395" s="0"/>
    </row>
    <row r="396" customFormat="false" ht="12.8" hidden="false" customHeight="false" outlineLevel="0" collapsed="false">
      <c r="A396" s="0"/>
    </row>
    <row r="397" customFormat="false" ht="12.8" hidden="false" customHeight="false" outlineLevel="0" collapsed="false">
      <c r="A397" s="0"/>
    </row>
    <row r="398" customFormat="false" ht="12.8" hidden="false" customHeight="false" outlineLevel="0" collapsed="false">
      <c r="A398" s="0"/>
    </row>
    <row r="399" customFormat="false" ht="12.8" hidden="false" customHeight="false" outlineLevel="0" collapsed="false">
      <c r="A399" s="0"/>
    </row>
    <row r="400" customFormat="false" ht="12.8" hidden="false" customHeight="false" outlineLevel="0" collapsed="false">
      <c r="A400" s="0"/>
    </row>
    <row r="401" customFormat="false" ht="12.8" hidden="false" customHeight="false" outlineLevel="0" collapsed="false">
      <c r="A401" s="0"/>
    </row>
    <row r="402" customFormat="false" ht="12.8" hidden="false" customHeight="false" outlineLevel="0" collapsed="false">
      <c r="A402" s="0"/>
    </row>
    <row r="403" customFormat="false" ht="12.8" hidden="false" customHeight="false" outlineLevel="0" collapsed="false">
      <c r="A403" s="0"/>
    </row>
    <row r="404" customFormat="false" ht="12.8" hidden="false" customHeight="false" outlineLevel="0" collapsed="false">
      <c r="A404" s="0"/>
    </row>
    <row r="405" customFormat="false" ht="12.8" hidden="false" customHeight="false" outlineLevel="0" collapsed="false">
      <c r="A405" s="0"/>
    </row>
    <row r="406" customFormat="false" ht="12.8" hidden="false" customHeight="false" outlineLevel="0" collapsed="false">
      <c r="A406" s="0"/>
    </row>
    <row r="407" customFormat="false" ht="12.8" hidden="false" customHeight="false" outlineLevel="0" collapsed="false">
      <c r="A407" s="0"/>
    </row>
    <row r="408" customFormat="false" ht="12.8" hidden="false" customHeight="false" outlineLevel="0" collapsed="false">
      <c r="A408" s="0"/>
    </row>
    <row r="409" customFormat="false" ht="12.8" hidden="false" customHeight="false" outlineLevel="0" collapsed="false">
      <c r="A409" s="0"/>
    </row>
    <row r="410" customFormat="false" ht="12.8" hidden="false" customHeight="false" outlineLevel="0" collapsed="false">
      <c r="A410" s="0"/>
    </row>
    <row r="411" customFormat="false" ht="12.8" hidden="false" customHeight="false" outlineLevel="0" collapsed="false">
      <c r="A411" s="0"/>
    </row>
    <row r="412" customFormat="false" ht="12.8" hidden="false" customHeight="false" outlineLevel="0" collapsed="false">
      <c r="A412" s="0"/>
    </row>
    <row r="413" customFormat="false" ht="12.8" hidden="false" customHeight="false" outlineLevel="0" collapsed="false">
      <c r="A413" s="0"/>
    </row>
    <row r="414" customFormat="false" ht="12.8" hidden="false" customHeight="false" outlineLevel="0" collapsed="false">
      <c r="A414" s="0"/>
    </row>
    <row r="415" customFormat="false" ht="12.8" hidden="false" customHeight="false" outlineLevel="0" collapsed="false">
      <c r="A415" s="0"/>
    </row>
    <row r="416" customFormat="false" ht="12.8" hidden="false" customHeight="false" outlineLevel="0" collapsed="false">
      <c r="A416" s="0"/>
    </row>
    <row r="417" customFormat="false" ht="12.8" hidden="false" customHeight="false" outlineLevel="0" collapsed="false">
      <c r="A417" s="0"/>
    </row>
    <row r="418" customFormat="false" ht="12.8" hidden="false" customHeight="false" outlineLevel="0" collapsed="false">
      <c r="A418" s="0"/>
    </row>
    <row r="419" customFormat="false" ht="12.8" hidden="false" customHeight="false" outlineLevel="0" collapsed="false">
      <c r="A419" s="0"/>
    </row>
    <row r="420" customFormat="false" ht="12.8" hidden="false" customHeight="false" outlineLevel="0" collapsed="false">
      <c r="A420" s="0"/>
    </row>
    <row r="421" customFormat="false" ht="12.8" hidden="false" customHeight="false" outlineLevel="0" collapsed="false">
      <c r="A421" s="0"/>
    </row>
    <row r="422" customFormat="false" ht="12.8" hidden="false" customHeight="false" outlineLevel="0" collapsed="false">
      <c r="A422"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38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8.xml><?xml version="1.0" encoding="utf-8"?>
<worksheet xmlns="http://schemas.openxmlformats.org/spreadsheetml/2006/main" xmlns:r="http://schemas.openxmlformats.org/officeDocument/2006/relationships">
  <sheetPr filterMode="false">
    <tabColor rgb="FF00CC33"/>
    <pageSetUpPr fitToPage="false"/>
  </sheetPr>
  <dimension ref="A1:AD27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81" activePane="bottomRight" state="frozen"/>
      <selection pane="topLeft" activeCell="A1" activeCellId="0" sqref="A1"/>
      <selection pane="topRight" activeCell="B1" activeCellId="0" sqref="B1"/>
      <selection pane="bottomLeft" activeCell="A181" activeCellId="0" sqref="A181"/>
      <selection pane="bottomRight" activeCell="E247" activeCellId="0" sqref="E247"/>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17.93"/>
    <col collapsed="false" customWidth="true" hidden="false" outlineLevel="0" max="10" min="10" style="1" width="13.46"/>
    <col collapsed="false" customWidth="true" hidden="false" outlineLevel="0" max="11" min="11" style="1" width="13.24"/>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219" t="s">
        <v>412</v>
      </c>
      <c r="C4" s="219" t="n">
        <v>51208</v>
      </c>
      <c r="D4" s="219" t="s">
        <v>413</v>
      </c>
      <c r="E4" s="219" t="s">
        <v>414</v>
      </c>
      <c r="F4" s="15" t="n">
        <f aca="false">3372</f>
        <v>3372</v>
      </c>
      <c r="G4" s="15" t="n">
        <v>3600</v>
      </c>
      <c r="H4" s="15" t="n">
        <v>3372</v>
      </c>
      <c r="I4" s="16"/>
      <c r="J4" s="15" t="s">
        <v>415</v>
      </c>
      <c r="K4" s="16"/>
      <c r="L4" s="16" t="n">
        <v>400</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68"/>
      <c r="H6" s="268"/>
      <c r="I6" s="268"/>
      <c r="J6" s="268"/>
      <c r="K6" s="268"/>
      <c r="L6" s="268"/>
      <c r="M6" s="268"/>
      <c r="N6" s="268"/>
      <c r="P6" s="21" t="n">
        <v>41579</v>
      </c>
      <c r="Q6" s="19" t="s">
        <v>27</v>
      </c>
      <c r="R6" s="9"/>
      <c r="S6" s="22"/>
      <c r="T6" s="5" t="s">
        <v>28</v>
      </c>
    </row>
    <row r="7" customFormat="false" ht="41.65" hidden="false" customHeight="true" outlineLevel="0" collapsed="false">
      <c r="A7" s="0"/>
      <c r="B7" s="0"/>
      <c r="C7" s="7" t="s">
        <v>416</v>
      </c>
      <c r="D7" s="7"/>
      <c r="F7" s="20"/>
      <c r="G7" s="20"/>
      <c r="H7" s="268"/>
      <c r="I7" s="268"/>
      <c r="J7" s="268"/>
      <c r="K7" s="268"/>
      <c r="L7" s="268"/>
      <c r="M7" s="268"/>
      <c r="N7" s="268"/>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5.95" hidden="false" customHeight="true" outlineLevel="0" collapsed="false">
      <c r="A10" s="0" t="n">
        <v>31</v>
      </c>
      <c r="B10" s="31" t="n">
        <v>36161</v>
      </c>
      <c r="C10" s="1" t="n">
        <v>175367</v>
      </c>
      <c r="D10" s="29" t="s">
        <v>41</v>
      </c>
      <c r="E10" s="33" t="n">
        <f aca="false">IF(D10="totale",(C10/(A10*24))/F10,IF(D10="marché libre",(C10/(A10*24))/G10,"spécifier histo"))</f>
        <v>0.0699016409648082</v>
      </c>
      <c r="F10" s="59" t="n">
        <v>3372</v>
      </c>
      <c r="G10" s="59" t="n">
        <f aca="false">F10-H10</f>
        <v>0</v>
      </c>
      <c r="H10" s="58" t="n">
        <v>3372</v>
      </c>
      <c r="I10" s="9"/>
      <c r="J10" s="30"/>
      <c r="K10" s="38"/>
      <c r="L10" s="38"/>
      <c r="M10" s="38"/>
      <c r="N10" s="38"/>
      <c r="O10" s="38"/>
      <c r="P10" s="38"/>
      <c r="Q10" s="38"/>
      <c r="R10" s="38"/>
      <c r="S10" s="38"/>
      <c r="T10" s="38"/>
      <c r="U10" s="38"/>
      <c r="V10" s="38"/>
      <c r="W10" s="38"/>
      <c r="X10" s="38"/>
      <c r="Y10" s="38"/>
    </row>
    <row r="11" customFormat="false" ht="25.95" hidden="false" customHeight="true" outlineLevel="0" collapsed="false">
      <c r="A11" s="0" t="n">
        <v>28</v>
      </c>
      <c r="B11" s="34" t="n">
        <v>36192</v>
      </c>
      <c r="C11" s="1" t="n">
        <v>120396</v>
      </c>
      <c r="D11" s="29" t="s">
        <v>41</v>
      </c>
      <c r="E11" s="33" t="n">
        <f aca="false">IF(D11="totale",(C11/(A11*24))/F11,IF(D11="marché libre",(C11/(A11*24))/G11,"spécifier histo"))</f>
        <v>0.0531318844263684</v>
      </c>
      <c r="F11" s="59" t="n">
        <v>3372</v>
      </c>
      <c r="G11" s="59" t="n">
        <f aca="false">F11-H11</f>
        <v>0</v>
      </c>
      <c r="H11" s="58" t="n">
        <v>3372</v>
      </c>
      <c r="I11" s="9"/>
      <c r="J11" s="30"/>
      <c r="K11" s="38"/>
      <c r="L11" s="0"/>
      <c r="M11" s="0"/>
      <c r="N11" s="0"/>
      <c r="O11" s="0"/>
      <c r="P11" s="0"/>
      <c r="Q11" s="0"/>
      <c r="R11" s="0"/>
      <c r="S11" s="0"/>
      <c r="T11" s="0"/>
      <c r="U11" s="0"/>
      <c r="V11" s="0"/>
      <c r="W11" s="0"/>
      <c r="X11" s="0"/>
      <c r="Y11" s="0"/>
    </row>
    <row r="12" customFormat="false" ht="25.95" hidden="false" customHeight="true" outlineLevel="0" collapsed="false">
      <c r="A12" s="0" t="n">
        <v>31</v>
      </c>
      <c r="B12" s="31" t="n">
        <v>36220</v>
      </c>
      <c r="C12" s="1" t="n">
        <v>189220</v>
      </c>
      <c r="D12" s="29" t="s">
        <v>41</v>
      </c>
      <c r="E12" s="33" t="n">
        <f aca="false">IF(D12="totale",(C12/(A12*24))/F12,IF(D12="marché libre",(C12/(A12*24))/G12,"spécifier histo"))</f>
        <v>0.0754234747892193</v>
      </c>
      <c r="F12" s="59" t="n">
        <v>3372</v>
      </c>
      <c r="G12" s="59" t="n">
        <f aca="false">F12-H12</f>
        <v>0</v>
      </c>
      <c r="H12" s="58" t="n">
        <v>3372</v>
      </c>
      <c r="I12" s="9"/>
      <c r="J12" s="30"/>
      <c r="K12" s="38"/>
      <c r="L12" s="0"/>
      <c r="M12" s="0"/>
      <c r="N12" s="0"/>
      <c r="O12" s="0"/>
      <c r="P12" s="0"/>
      <c r="Q12" s="0"/>
      <c r="R12" s="0"/>
      <c r="S12" s="0"/>
      <c r="T12" s="0"/>
      <c r="U12" s="0"/>
      <c r="V12" s="0"/>
      <c r="W12" s="0"/>
      <c r="X12" s="0"/>
      <c r="Y12" s="0"/>
    </row>
    <row r="13" customFormat="false" ht="25.95" hidden="false" customHeight="true" outlineLevel="0" collapsed="false">
      <c r="A13" s="0" t="n">
        <v>30</v>
      </c>
      <c r="B13" s="34" t="n">
        <v>36251</v>
      </c>
      <c r="C13" s="1" t="n">
        <v>366600</v>
      </c>
      <c r="D13" s="29" t="s">
        <v>41</v>
      </c>
      <c r="E13" s="33" t="n">
        <f aca="false">IF(D13="totale",(C13/(A13*24))/F13,IF(D13="marché libre",(C13/(A13*24))/G13,"spécifier histo"))</f>
        <v>0.150998418347173</v>
      </c>
      <c r="F13" s="59" t="n">
        <v>3372</v>
      </c>
      <c r="G13" s="59" t="n">
        <f aca="false">F13-H13</f>
        <v>0</v>
      </c>
      <c r="H13" s="58" t="n">
        <v>3372</v>
      </c>
      <c r="I13" s="9"/>
      <c r="J13" s="30"/>
      <c r="K13" s="38"/>
      <c r="L13" s="0"/>
      <c r="M13" s="0"/>
      <c r="N13" s="0"/>
      <c r="O13" s="0"/>
      <c r="P13" s="0"/>
      <c r="Q13" s="0"/>
      <c r="R13" s="0"/>
      <c r="S13" s="0"/>
      <c r="T13" s="0"/>
      <c r="U13" s="0"/>
      <c r="V13" s="0"/>
      <c r="W13" s="0"/>
      <c r="X13" s="0"/>
      <c r="Y13" s="0"/>
    </row>
    <row r="14" customFormat="false" ht="25.95" hidden="false" customHeight="true" outlineLevel="0" collapsed="false">
      <c r="A14" s="0" t="n">
        <v>31</v>
      </c>
      <c r="B14" s="31" t="n">
        <v>36281</v>
      </c>
      <c r="C14" s="1" t="n">
        <v>2000489</v>
      </c>
      <c r="D14" s="29" t="s">
        <v>41</v>
      </c>
      <c r="E14" s="33" t="n">
        <f aca="false">IF(D14="totale",(C14/(A14*24))/F14,IF(D14="marché libre",(C14/(A14*24))/G14,"spécifier histo"))</f>
        <v>0.797398962359214</v>
      </c>
      <c r="F14" s="59" t="n">
        <v>3372</v>
      </c>
      <c r="G14" s="59" t="n">
        <f aca="false">F14-H14</f>
        <v>0</v>
      </c>
      <c r="H14" s="58" t="n">
        <v>3372</v>
      </c>
      <c r="I14" s="9"/>
      <c r="J14" s="30"/>
      <c r="K14" s="38"/>
      <c r="L14" s="0"/>
      <c r="M14" s="0"/>
      <c r="N14" s="0"/>
      <c r="O14" s="0"/>
      <c r="P14" s="0"/>
      <c r="Q14" s="0"/>
      <c r="R14" s="0"/>
      <c r="S14" s="0"/>
      <c r="T14" s="0"/>
      <c r="U14" s="0"/>
      <c r="V14" s="0"/>
      <c r="W14" s="0"/>
      <c r="X14" s="0"/>
      <c r="Y14" s="0"/>
    </row>
    <row r="15" customFormat="false" ht="25.95" hidden="false" customHeight="true" outlineLevel="0" collapsed="false">
      <c r="A15" s="0" t="n">
        <v>30</v>
      </c>
      <c r="B15" s="34" t="n">
        <v>36312</v>
      </c>
      <c r="C15" s="1" t="n">
        <v>2001634</v>
      </c>
      <c r="D15" s="29" t="s">
        <v>41</v>
      </c>
      <c r="E15" s="33" t="n">
        <f aca="false">IF(D15="totale",(C15/(A15*24))/F15,IF(D15="marché libre",(C15/(A15*24))/G15,"spécifier histo"))</f>
        <v>0.824450540398049</v>
      </c>
      <c r="F15" s="59" t="n">
        <v>3372</v>
      </c>
      <c r="G15" s="59" t="n">
        <f aca="false">F15-H15</f>
        <v>0</v>
      </c>
      <c r="H15" s="58" t="n">
        <v>3372</v>
      </c>
      <c r="I15" s="9"/>
      <c r="J15" s="30"/>
      <c r="K15" s="38"/>
      <c r="L15" s="0"/>
      <c r="M15" s="0"/>
      <c r="N15" s="0"/>
      <c r="O15" s="0"/>
      <c r="P15" s="0"/>
      <c r="Q15" s="0"/>
      <c r="R15" s="0"/>
      <c r="S15" s="0"/>
      <c r="T15" s="0"/>
      <c r="U15" s="0"/>
      <c r="V15" s="0"/>
      <c r="W15" s="0"/>
      <c r="X15" s="0"/>
      <c r="Y15" s="0"/>
    </row>
    <row r="16" customFormat="false" ht="25.95" hidden="false" customHeight="true" outlineLevel="0" collapsed="false">
      <c r="A16" s="0" t="n">
        <v>31</v>
      </c>
      <c r="B16" s="31" t="n">
        <v>36342</v>
      </c>
      <c r="C16" s="1" t="n">
        <v>587706</v>
      </c>
      <c r="D16" s="29" t="s">
        <v>41</v>
      </c>
      <c r="E16" s="33" t="n">
        <f aca="false">IF(D16="totale",(C16/(A16*24))/F16,IF(D16="marché libre",(C16/(A16*24))/G16,"spécifier histo"))</f>
        <v>0.234260800520415</v>
      </c>
      <c r="F16" s="59" t="n">
        <v>3372</v>
      </c>
      <c r="G16" s="59" t="n">
        <f aca="false">F16-H16</f>
        <v>0</v>
      </c>
      <c r="H16" s="58" t="n">
        <v>3372</v>
      </c>
      <c r="I16" s="9"/>
      <c r="J16" s="30"/>
      <c r="K16" s="38"/>
      <c r="L16" s="0"/>
      <c r="M16" s="0"/>
      <c r="N16" s="0"/>
      <c r="O16" s="0"/>
      <c r="P16" s="0"/>
      <c r="Q16" s="0"/>
      <c r="R16" s="0"/>
      <c r="S16" s="0"/>
      <c r="T16" s="0"/>
      <c r="U16" s="0"/>
      <c r="V16" s="0"/>
      <c r="W16" s="0"/>
      <c r="X16" s="0"/>
      <c r="Y16" s="0"/>
    </row>
    <row r="17" customFormat="false" ht="25.95" hidden="false" customHeight="true" outlineLevel="0" collapsed="false">
      <c r="A17" s="0" t="n">
        <v>31</v>
      </c>
      <c r="B17" s="34" t="n">
        <v>36373</v>
      </c>
      <c r="C17" s="1" t="n">
        <v>403137</v>
      </c>
      <c r="D17" s="29" t="s">
        <v>41</v>
      </c>
      <c r="E17" s="33" t="n">
        <f aca="false">IF(D17="totale",(C17/(A17*24))/F17,IF(D17="marché libre",(C17/(A17*24))/G17,"spécifier histo"))</f>
        <v>0.160691223740099</v>
      </c>
      <c r="F17" s="59" t="n">
        <v>3372</v>
      </c>
      <c r="G17" s="59" t="n">
        <f aca="false">F17-H17</f>
        <v>0</v>
      </c>
      <c r="H17" s="58" t="n">
        <v>3372</v>
      </c>
      <c r="I17" s="9"/>
      <c r="J17" s="30"/>
      <c r="K17" s="38"/>
      <c r="L17" s="0"/>
      <c r="M17" s="0"/>
      <c r="N17" s="0"/>
      <c r="O17" s="0"/>
      <c r="P17" s="0"/>
      <c r="Q17" s="0"/>
      <c r="R17" s="0"/>
      <c r="S17" s="0"/>
      <c r="T17" s="0"/>
      <c r="U17" s="0"/>
      <c r="V17" s="0"/>
      <c r="W17" s="0"/>
      <c r="X17" s="0"/>
      <c r="Y17" s="0"/>
    </row>
    <row r="18" customFormat="false" ht="25.95" hidden="false" customHeight="true" outlineLevel="0" collapsed="false">
      <c r="A18" s="0" t="n">
        <v>30</v>
      </c>
      <c r="B18" s="31" t="n">
        <v>36404</v>
      </c>
      <c r="C18" s="1" t="n">
        <v>416702</v>
      </c>
      <c r="D18" s="29" t="s">
        <v>41</v>
      </c>
      <c r="E18" s="33" t="n">
        <f aca="false">IF(D18="totale",(C18/(A18*24))/F18,IF(D18="marché libre",(C18/(A18*24))/G18,"spécifier histo"))</f>
        <v>0.17163486885462</v>
      </c>
      <c r="F18" s="59" t="n">
        <v>3372</v>
      </c>
      <c r="G18" s="59" t="n">
        <f aca="false">F18-H18</f>
        <v>0</v>
      </c>
      <c r="H18" s="58" t="n">
        <v>3372</v>
      </c>
      <c r="I18" s="9"/>
      <c r="J18" s="30"/>
      <c r="K18" s="38"/>
      <c r="L18" s="0"/>
      <c r="M18" s="0"/>
      <c r="N18" s="0"/>
      <c r="O18" s="0"/>
      <c r="P18" s="0"/>
      <c r="Q18" s="0"/>
      <c r="R18" s="0"/>
      <c r="S18" s="0"/>
      <c r="T18" s="0"/>
      <c r="U18" s="0"/>
      <c r="V18" s="0"/>
      <c r="W18" s="0"/>
      <c r="X18" s="0"/>
      <c r="Y18" s="0"/>
    </row>
    <row r="19" customFormat="false" ht="25.95" hidden="false" customHeight="true" outlineLevel="0" collapsed="false">
      <c r="A19" s="0" t="n">
        <v>31</v>
      </c>
      <c r="B19" s="34" t="n">
        <v>36434</v>
      </c>
      <c r="C19" s="1" t="n">
        <v>1294220</v>
      </c>
      <c r="D19" s="29" t="s">
        <v>41</v>
      </c>
      <c r="E19" s="33" t="n">
        <f aca="false">IF(D19="totale",(C19/(A19*24))/F19,IF(D19="marché libre",(C19/(A19*24))/G19,"spécifier histo"))</f>
        <v>0.51587871018763</v>
      </c>
      <c r="F19" s="59" t="n">
        <v>3372</v>
      </c>
      <c r="G19" s="59" t="n">
        <f aca="false">F19-H19</f>
        <v>0</v>
      </c>
      <c r="H19" s="58" t="n">
        <v>3372</v>
      </c>
      <c r="I19" s="9"/>
      <c r="J19" s="30"/>
      <c r="K19" s="38"/>
      <c r="L19" s="0"/>
      <c r="M19" s="0"/>
      <c r="N19" s="0"/>
      <c r="O19" s="0"/>
      <c r="P19" s="0"/>
      <c r="Q19" s="0"/>
      <c r="R19" s="0"/>
      <c r="S19" s="0"/>
      <c r="T19" s="0"/>
      <c r="U19" s="0"/>
      <c r="V19" s="0"/>
      <c r="W19" s="0"/>
      <c r="X19" s="0"/>
      <c r="Y19" s="0"/>
    </row>
    <row r="20" customFormat="false" ht="25.95" hidden="false" customHeight="true" outlineLevel="0" collapsed="false">
      <c r="A20" s="0" t="n">
        <v>30</v>
      </c>
      <c r="B20" s="31" t="n">
        <v>36465</v>
      </c>
      <c r="C20" s="1" t="n">
        <v>1554501</v>
      </c>
      <c r="D20" s="29" t="s">
        <v>41</v>
      </c>
      <c r="E20" s="33" t="n">
        <f aca="false">IF(D20="totale",(C20/(A20*24))/F20,IF(D20="marché libre",(C20/(A20*24))/G20,"spécifier histo"))</f>
        <v>0.640281484776591</v>
      </c>
      <c r="F20" s="59" t="n">
        <v>3372</v>
      </c>
      <c r="G20" s="59" t="n">
        <f aca="false">F20-H20</f>
        <v>0</v>
      </c>
      <c r="H20" s="58" t="n">
        <v>3372</v>
      </c>
      <c r="I20" s="9"/>
      <c r="J20" s="30"/>
      <c r="K20" s="38"/>
      <c r="L20" s="0"/>
      <c r="M20" s="0"/>
      <c r="N20" s="0"/>
      <c r="O20" s="0"/>
      <c r="P20" s="0"/>
      <c r="Q20" s="0"/>
      <c r="R20" s="0"/>
      <c r="S20" s="0"/>
      <c r="T20" s="0"/>
      <c r="U20" s="0"/>
      <c r="V20" s="0"/>
      <c r="W20" s="0"/>
      <c r="X20" s="0"/>
      <c r="Y20" s="0"/>
    </row>
    <row r="21" customFormat="false" ht="25.95" hidden="false" customHeight="true" outlineLevel="0" collapsed="false">
      <c r="A21" s="0" t="n">
        <v>31</v>
      </c>
      <c r="B21" s="34" t="n">
        <v>36495</v>
      </c>
      <c r="C21" s="1" t="n">
        <v>789785</v>
      </c>
      <c r="D21" s="29" t="s">
        <v>41</v>
      </c>
      <c r="E21" s="33" t="n">
        <f aca="false">IF(D21="totale",(C21/(A21*24))/F21,IF(D21="marché libre",(C21/(A21*24))/G21,"spécifier histo"))</f>
        <v>0.314809898723198</v>
      </c>
      <c r="F21" s="59" t="n">
        <v>3372</v>
      </c>
      <c r="G21" s="59" t="n">
        <f aca="false">F21-H21</f>
        <v>0</v>
      </c>
      <c r="H21" s="58" t="n">
        <v>3372</v>
      </c>
      <c r="I21" s="9"/>
      <c r="J21" s="30"/>
      <c r="K21" s="38"/>
      <c r="L21" s="0"/>
      <c r="M21" s="0"/>
      <c r="N21" s="0"/>
      <c r="O21" s="0"/>
      <c r="P21" s="0"/>
      <c r="Q21" s="0"/>
      <c r="R21" s="0"/>
      <c r="S21" s="0"/>
      <c r="T21" s="0"/>
      <c r="U21" s="0"/>
      <c r="V21" s="0"/>
      <c r="W21" s="0"/>
      <c r="X21" s="0"/>
      <c r="Y21" s="0"/>
    </row>
    <row r="22" customFormat="false" ht="25.95" hidden="false" customHeight="true" outlineLevel="0" collapsed="false">
      <c r="A22" s="0" t="n">
        <v>31</v>
      </c>
      <c r="B22" s="31" t="n">
        <v>36526</v>
      </c>
      <c r="C22" s="1" t="n">
        <v>623614</v>
      </c>
      <c r="D22" s="29" t="s">
        <v>41</v>
      </c>
      <c r="E22" s="33" t="n">
        <f aca="false">IF(D22="totale",(C22/(A22*24))/F22,IF(D22="marché libre",(C22/(A22*24))/G22,"spécifier histo"))</f>
        <v>0.24857380196176</v>
      </c>
      <c r="F22" s="59" t="n">
        <v>3372</v>
      </c>
      <c r="G22" s="59" t="n">
        <f aca="false">F22-H22</f>
        <v>0</v>
      </c>
      <c r="H22" s="58" t="n">
        <v>3372</v>
      </c>
      <c r="I22" s="9"/>
      <c r="J22" s="30"/>
      <c r="K22" s="38"/>
      <c r="L22" s="0"/>
      <c r="M22" s="0"/>
      <c r="N22" s="0"/>
      <c r="O22" s="0"/>
      <c r="P22" s="0"/>
      <c r="Q22" s="0"/>
      <c r="R22" s="0"/>
      <c r="S22" s="0"/>
      <c r="T22" s="0"/>
      <c r="U22" s="0"/>
      <c r="V22" s="0"/>
      <c r="W22" s="0"/>
      <c r="X22" s="0"/>
      <c r="Y22" s="0"/>
    </row>
    <row r="23" customFormat="false" ht="25.95" hidden="false" customHeight="true" outlineLevel="0" collapsed="false">
      <c r="A23" s="0" t="n">
        <v>28</v>
      </c>
      <c r="B23" s="34" t="n">
        <v>36557</v>
      </c>
      <c r="C23" s="1" t="n">
        <v>447896</v>
      </c>
      <c r="D23" s="29" t="s">
        <v>41</v>
      </c>
      <c r="E23" s="33" t="n">
        <f aca="false">IF(D23="totale",(C23/(A23*24))/F23,IF(D23="marché libre",(C23/(A23*24))/G23,"spécifier histo"))</f>
        <v>0.197660707224764</v>
      </c>
      <c r="F23" s="59" t="n">
        <v>3372</v>
      </c>
      <c r="G23" s="59" t="n">
        <f aca="false">F23-H23</f>
        <v>0</v>
      </c>
      <c r="H23" s="58" t="n">
        <v>3372</v>
      </c>
      <c r="I23" s="9"/>
      <c r="J23" s="30"/>
      <c r="L23" s="0"/>
      <c r="O23" s="0"/>
      <c r="Q23" s="0"/>
      <c r="T23" s="0"/>
      <c r="V23" s="0"/>
      <c r="X23" s="0"/>
    </row>
    <row r="24" customFormat="false" ht="25.95" hidden="false" customHeight="true" outlineLevel="0" collapsed="false">
      <c r="A24" s="0" t="n">
        <v>31</v>
      </c>
      <c r="B24" s="31" t="n">
        <v>36586</v>
      </c>
      <c r="C24" s="1" t="n">
        <v>295000</v>
      </c>
      <c r="D24" s="29" t="s">
        <v>41</v>
      </c>
      <c r="E24" s="33" t="n">
        <f aca="false">IF(D24="totale",(C24/(A24*24))/F24,IF(D24="marché libre",(C24/(A24*24))/G24,"spécifier histo"))</f>
        <v>0.117587596780571</v>
      </c>
      <c r="F24" s="59" t="n">
        <v>3372</v>
      </c>
      <c r="G24" s="59" t="n">
        <f aca="false">F24-H24</f>
        <v>0</v>
      </c>
      <c r="H24" s="58" t="n">
        <v>3372</v>
      </c>
      <c r="I24" s="9"/>
      <c r="J24" s="30"/>
      <c r="L24" s="0"/>
      <c r="O24" s="0"/>
      <c r="Q24" s="0"/>
      <c r="T24" s="0"/>
      <c r="V24" s="0"/>
      <c r="X24" s="0"/>
    </row>
    <row r="25" customFormat="false" ht="25.95" hidden="false" customHeight="true" outlineLevel="0" collapsed="false">
      <c r="A25" s="0" t="n">
        <v>30</v>
      </c>
      <c r="B25" s="34" t="n">
        <v>36617</v>
      </c>
      <c r="C25" s="1" t="n">
        <v>682900</v>
      </c>
      <c r="D25" s="29" t="s">
        <v>41</v>
      </c>
      <c r="E25" s="33" t="n">
        <f aca="false">IF(D25="totale",(C25/(A25*24))/F25,IF(D25="marché libre",(C25/(A25*24))/G25,"spécifier histo"))</f>
        <v>0.281278832212996</v>
      </c>
      <c r="F25" s="59" t="n">
        <v>3372</v>
      </c>
      <c r="G25" s="59" t="n">
        <f aca="false">F25-H25</f>
        <v>0</v>
      </c>
      <c r="H25" s="58" t="n">
        <v>3372</v>
      </c>
      <c r="I25" s="9"/>
      <c r="J25" s="30"/>
      <c r="L25" s="0"/>
      <c r="O25" s="0"/>
      <c r="Q25" s="0"/>
      <c r="T25" s="0"/>
      <c r="V25" s="0"/>
      <c r="X25" s="0"/>
    </row>
    <row r="26" customFormat="false" ht="25.95" hidden="false" customHeight="true" outlineLevel="0" collapsed="false">
      <c r="A26" s="0" t="n">
        <v>31</v>
      </c>
      <c r="B26" s="31" t="n">
        <v>36647</v>
      </c>
      <c r="C26" s="1" t="n">
        <v>2286685</v>
      </c>
      <c r="D26" s="29" t="s">
        <v>41</v>
      </c>
      <c r="E26" s="33" t="n">
        <f aca="false">IF(D26="totale",(C26/(A26*24))/F26,IF(D26="marché libre",(C26/(A26*24))/G26,"spécifier histo"))</f>
        <v>0.911477266929425</v>
      </c>
      <c r="F26" s="59" t="n">
        <v>3372</v>
      </c>
      <c r="G26" s="59" t="n">
        <f aca="false">F26-H26</f>
        <v>0</v>
      </c>
      <c r="H26" s="58" t="n">
        <v>3372</v>
      </c>
      <c r="I26" s="9"/>
      <c r="J26" s="30"/>
      <c r="L26" s="0"/>
      <c r="O26" s="0"/>
      <c r="Q26" s="0"/>
      <c r="T26" s="0"/>
      <c r="V26" s="0"/>
      <c r="X26" s="0"/>
    </row>
    <row r="27" customFormat="false" ht="25.95" hidden="false" customHeight="true" outlineLevel="0" collapsed="false">
      <c r="A27" s="0" t="n">
        <v>30</v>
      </c>
      <c r="B27" s="34" t="n">
        <v>36678</v>
      </c>
      <c r="C27" s="1" t="n">
        <v>1896048</v>
      </c>
      <c r="D27" s="29" t="s">
        <v>41</v>
      </c>
      <c r="E27" s="33" t="n">
        <f aca="false">IF(D27="totale",(C27/(A27*24))/F27,IF(D27="marché libre",(C27/(A27*24))/G27,"spécifier histo"))</f>
        <v>0.780960854092527</v>
      </c>
      <c r="F27" s="59" t="n">
        <v>3372</v>
      </c>
      <c r="G27" s="59" t="n">
        <f aca="false">F27-H27</f>
        <v>0</v>
      </c>
      <c r="H27" s="58" t="n">
        <v>3372</v>
      </c>
      <c r="I27" s="9"/>
      <c r="J27" s="30"/>
      <c r="L27" s="0"/>
      <c r="O27" s="0"/>
      <c r="Q27" s="0"/>
      <c r="T27" s="0"/>
      <c r="V27" s="0"/>
      <c r="X27" s="0"/>
    </row>
    <row r="28" customFormat="false" ht="25.95" hidden="false" customHeight="true" outlineLevel="0" collapsed="false">
      <c r="A28" s="0" t="n">
        <v>31</v>
      </c>
      <c r="B28" s="31" t="n">
        <v>36708</v>
      </c>
      <c r="C28" s="1" t="n">
        <v>1640917</v>
      </c>
      <c r="D28" s="29" t="s">
        <v>41</v>
      </c>
      <c r="E28" s="33" t="n">
        <f aca="false">IF(D28="totale",(C28/(A28*24))/F28,IF(D28="marché libre",(C28/(A28*24))/G28,"spécifier histo"))</f>
        <v>0.654072835750456</v>
      </c>
      <c r="F28" s="59" t="n">
        <v>3372</v>
      </c>
      <c r="G28" s="59" t="n">
        <f aca="false">F28-H28</f>
        <v>0</v>
      </c>
      <c r="H28" s="58" t="n">
        <v>3372</v>
      </c>
      <c r="I28" s="9"/>
      <c r="J28" s="30"/>
      <c r="L28" s="0"/>
      <c r="O28" s="0"/>
      <c r="Q28" s="0"/>
      <c r="T28" s="0"/>
      <c r="V28" s="0"/>
      <c r="X28" s="0"/>
    </row>
    <row r="29" customFormat="false" ht="25.95" hidden="false" customHeight="true" outlineLevel="0" collapsed="false">
      <c r="A29" s="0" t="n">
        <v>31</v>
      </c>
      <c r="B29" s="34" t="n">
        <v>36739</v>
      </c>
      <c r="C29" s="1" t="n">
        <v>1069669</v>
      </c>
      <c r="D29" s="29" t="s">
        <v>41</v>
      </c>
      <c r="E29" s="33" t="n">
        <f aca="false">IF(D29="totale",(C29/(A29*24))/F29,IF(D29="marché libre",(C29/(A29*24))/G29,"spécifier histo"))</f>
        <v>0.426372227324328</v>
      </c>
      <c r="F29" s="59" t="n">
        <v>3372</v>
      </c>
      <c r="G29" s="59" t="n">
        <f aca="false">F29-H29</f>
        <v>0</v>
      </c>
      <c r="H29" s="58" t="n">
        <v>3372</v>
      </c>
      <c r="I29" s="9"/>
      <c r="J29" s="30"/>
      <c r="L29" s="0"/>
      <c r="O29" s="0"/>
      <c r="Q29" s="0"/>
      <c r="T29" s="0"/>
      <c r="V29" s="0"/>
      <c r="X29" s="0"/>
    </row>
    <row r="30" customFormat="false" ht="25.95" hidden="false" customHeight="true" outlineLevel="0" collapsed="false">
      <c r="A30" s="0" t="n">
        <v>30</v>
      </c>
      <c r="B30" s="31" t="n">
        <v>36770</v>
      </c>
      <c r="C30" s="1" t="n">
        <v>628264</v>
      </c>
      <c r="D30" s="29" t="s">
        <v>41</v>
      </c>
      <c r="E30" s="33" t="n">
        <f aca="false">IF(D30="totale",(C30/(A30*24))/F30,IF(D30="marché libre",(C30/(A30*24))/G30,"spécifier histo"))</f>
        <v>0.258774878080928</v>
      </c>
      <c r="F30" s="59" t="n">
        <v>3372</v>
      </c>
      <c r="G30" s="59" t="n">
        <f aca="false">F30-H30</f>
        <v>0</v>
      </c>
      <c r="H30" s="58" t="n">
        <v>3372</v>
      </c>
      <c r="I30" s="9"/>
      <c r="J30" s="30"/>
      <c r="L30" s="0"/>
      <c r="O30" s="0"/>
      <c r="Q30" s="0"/>
      <c r="T30" s="0"/>
      <c r="V30" s="0"/>
      <c r="X30" s="0"/>
    </row>
    <row r="31" customFormat="false" ht="25.95" hidden="false" customHeight="true" outlineLevel="0" collapsed="false">
      <c r="A31" s="0" t="n">
        <v>31</v>
      </c>
      <c r="B31" s="34" t="n">
        <v>36800</v>
      </c>
      <c r="C31" s="1" t="n">
        <v>1536249</v>
      </c>
      <c r="D31" s="29" t="s">
        <v>41</v>
      </c>
      <c r="E31" s="33" t="n">
        <f aca="false">IF(D31="totale",(C31/(A31*24))/F31,IF(D31="marché libre",(C31/(A31*24))/G31,"spécifier histo"))</f>
        <v>0.612351959208663</v>
      </c>
      <c r="F31" s="59" t="n">
        <v>3372</v>
      </c>
      <c r="G31" s="59" t="n">
        <f aca="false">F31-H31</f>
        <v>0</v>
      </c>
      <c r="H31" s="58" t="n">
        <v>3372</v>
      </c>
      <c r="I31" s="9"/>
      <c r="J31" s="30"/>
      <c r="L31" s="0"/>
      <c r="O31" s="0"/>
      <c r="Q31" s="0"/>
      <c r="T31" s="0"/>
      <c r="V31" s="0"/>
      <c r="X31" s="0"/>
    </row>
    <row r="32" customFormat="false" ht="25.95" hidden="false" customHeight="true" outlineLevel="0" collapsed="false">
      <c r="A32" s="0" t="n">
        <v>30</v>
      </c>
      <c r="B32" s="31" t="n">
        <v>36831</v>
      </c>
      <c r="C32" s="1" t="n">
        <v>1655313</v>
      </c>
      <c r="D32" s="29" t="s">
        <v>41</v>
      </c>
      <c r="E32" s="33" t="n">
        <f aca="false">IF(D32="totale",(C32/(A32*24))/F32,IF(D32="marché libre",(C32/(A32*24))/G32,"spécifier histo"))</f>
        <v>0.681804814155793</v>
      </c>
      <c r="F32" s="59" t="n">
        <v>3372</v>
      </c>
      <c r="G32" s="59" t="n">
        <f aca="false">F32-H32</f>
        <v>0</v>
      </c>
      <c r="H32" s="58" t="n">
        <v>3372</v>
      </c>
      <c r="I32" s="9"/>
      <c r="J32" s="30"/>
      <c r="L32" s="0"/>
      <c r="O32" s="0"/>
      <c r="Q32" s="0"/>
      <c r="T32" s="0"/>
      <c r="V32" s="0"/>
      <c r="X32" s="0"/>
    </row>
    <row r="33" customFormat="false" ht="25.95" hidden="false" customHeight="true" outlineLevel="0" collapsed="false">
      <c r="A33" s="0" t="n">
        <v>31</v>
      </c>
      <c r="B33" s="34" t="n">
        <v>36861</v>
      </c>
      <c r="C33" s="1" t="n">
        <v>1036151</v>
      </c>
      <c r="D33" s="29" t="s">
        <v>41</v>
      </c>
      <c r="E33" s="33" t="n">
        <f aca="false">IF(D33="totale",(C33/(A33*24))/F33,IF(D33="marché libre",(C33/(A33*24))/G33,"spécifier histo"))</f>
        <v>0.413011884717917</v>
      </c>
      <c r="F33" s="59" t="n">
        <v>3372</v>
      </c>
      <c r="G33" s="59" t="n">
        <f aca="false">F33-H33</f>
        <v>0</v>
      </c>
      <c r="H33" s="58" t="n">
        <v>3372</v>
      </c>
      <c r="I33" s="9"/>
      <c r="J33" s="30"/>
      <c r="L33" s="0"/>
      <c r="O33" s="0"/>
      <c r="Q33" s="0"/>
      <c r="T33" s="0"/>
      <c r="V33" s="0"/>
      <c r="X33" s="0"/>
    </row>
    <row r="34" customFormat="false" ht="25.95" hidden="false" customHeight="true" outlineLevel="0" collapsed="false">
      <c r="A34" s="0" t="n">
        <v>31</v>
      </c>
      <c r="B34" s="31" t="n">
        <v>36892</v>
      </c>
      <c r="C34" s="1" t="n">
        <v>1132300</v>
      </c>
      <c r="D34" s="29" t="s">
        <v>41</v>
      </c>
      <c r="E34" s="33" t="n">
        <f aca="false">IF(D34="totale",(C34/(A34*24))/F34,IF(D34="marché libre",(C34/(A34*24))/G34,"spécifier histo"))</f>
        <v>0.451337070625901</v>
      </c>
      <c r="F34" s="59" t="n">
        <v>3372</v>
      </c>
      <c r="G34" s="59" t="n">
        <f aca="false">F34-H34</f>
        <v>0</v>
      </c>
      <c r="H34" s="58" t="n">
        <v>3372</v>
      </c>
      <c r="I34" s="9"/>
      <c r="J34" s="30"/>
      <c r="L34" s="0"/>
      <c r="O34" s="0"/>
      <c r="Q34" s="0"/>
      <c r="T34" s="0"/>
      <c r="V34" s="0"/>
      <c r="X34" s="0"/>
    </row>
    <row r="35" customFormat="false" ht="25.95" hidden="false" customHeight="true" outlineLevel="0" collapsed="false">
      <c r="A35" s="0" t="n">
        <v>28</v>
      </c>
      <c r="B35" s="34" t="n">
        <v>36923</v>
      </c>
      <c r="C35" s="1" t="n">
        <v>544932</v>
      </c>
      <c r="D35" s="29" t="s">
        <v>41</v>
      </c>
      <c r="E35" s="33" t="n">
        <f aca="false">IF(D35="totale",(C35/(A35*24))/F35,IF(D35="marché libre",(C35/(A35*24))/G35,"spécifier histo"))</f>
        <v>0.240483604473818</v>
      </c>
      <c r="F35" s="59" t="n">
        <v>3372</v>
      </c>
      <c r="G35" s="59" t="n">
        <f aca="false">F35-H35</f>
        <v>0</v>
      </c>
      <c r="H35" s="58" t="n">
        <v>3372</v>
      </c>
      <c r="I35" s="9"/>
      <c r="J35" s="30"/>
      <c r="L35" s="0"/>
      <c r="Q35" s="0"/>
      <c r="T35" s="0"/>
      <c r="V35" s="0"/>
    </row>
    <row r="36" customFormat="false" ht="25.95" hidden="false" customHeight="true" outlineLevel="0" collapsed="false">
      <c r="A36" s="0" t="n">
        <v>31</v>
      </c>
      <c r="B36" s="31" t="n">
        <v>36951</v>
      </c>
      <c r="C36" s="1" t="n">
        <v>1492206</v>
      </c>
      <c r="D36" s="29" t="s">
        <v>41</v>
      </c>
      <c r="E36" s="33" t="n">
        <f aca="false">IF(D36="totale",(C36/(A36*24))/F36,IF(D36="marché libre",(C36/(A36*24))/G36,"spécifier histo"))</f>
        <v>0.594796330310336</v>
      </c>
      <c r="F36" s="59" t="n">
        <v>3372</v>
      </c>
      <c r="G36" s="59" t="n">
        <f aca="false">F36-H36</f>
        <v>0</v>
      </c>
      <c r="H36" s="58" t="n">
        <v>3372</v>
      </c>
      <c r="I36" s="9"/>
      <c r="J36" s="30"/>
      <c r="L36" s="0"/>
      <c r="Q36" s="0"/>
      <c r="T36" s="0"/>
      <c r="V36" s="0"/>
    </row>
    <row r="37" customFormat="false" ht="25.95" hidden="false" customHeight="true" outlineLevel="0" collapsed="false">
      <c r="A37" s="0" t="n">
        <v>30</v>
      </c>
      <c r="B37" s="34" t="n">
        <v>36982</v>
      </c>
      <c r="C37" s="1" t="n">
        <v>2085165</v>
      </c>
      <c r="D37" s="29" t="s">
        <v>41</v>
      </c>
      <c r="E37" s="33" t="n">
        <f aca="false">IF(D37="totale",(C37/(A37*24))/F37,IF(D37="marché libre",(C37/(A37*24))/G37,"spécifier histo"))</f>
        <v>0.858856020166074</v>
      </c>
      <c r="F37" s="59" t="n">
        <v>3372</v>
      </c>
      <c r="G37" s="59" t="n">
        <f aca="false">F37-H37</f>
        <v>0</v>
      </c>
      <c r="H37" s="58" t="n">
        <v>3372</v>
      </c>
      <c r="I37" s="9"/>
      <c r="J37" s="30"/>
      <c r="L37" s="0"/>
      <c r="Q37" s="0"/>
      <c r="T37" s="0"/>
      <c r="V37" s="0"/>
    </row>
    <row r="38" customFormat="false" ht="25.95" hidden="false" customHeight="true" outlineLevel="0" collapsed="false">
      <c r="A38" s="0" t="n">
        <v>31</v>
      </c>
      <c r="B38" s="31" t="n">
        <v>37012</v>
      </c>
      <c r="C38" s="1" t="n">
        <v>2425464</v>
      </c>
      <c r="D38" s="29" t="s">
        <v>41</v>
      </c>
      <c r="E38" s="33" t="n">
        <f aca="false">IF(D38="totale",(C38/(A38*24))/F38,IF(D38="marché libre",(C38/(A38*24))/G38,"spécifier histo"))</f>
        <v>0.966794857077259</v>
      </c>
      <c r="F38" s="59" t="n">
        <v>3372</v>
      </c>
      <c r="G38" s="59" t="n">
        <f aca="false">F38-H38</f>
        <v>0</v>
      </c>
      <c r="H38" s="58" t="n">
        <v>3372</v>
      </c>
      <c r="I38" s="9"/>
      <c r="J38" s="30"/>
      <c r="L38" s="0"/>
      <c r="Q38" s="0"/>
      <c r="T38" s="0"/>
      <c r="V38" s="0"/>
    </row>
    <row r="39" customFormat="false" ht="25.95" hidden="false" customHeight="true" outlineLevel="0" collapsed="false">
      <c r="A39" s="0" t="n">
        <v>30</v>
      </c>
      <c r="B39" s="34" t="n">
        <v>37043</v>
      </c>
      <c r="C39" s="1" t="n">
        <v>2307942</v>
      </c>
      <c r="D39" s="29" t="s">
        <v>41</v>
      </c>
      <c r="E39" s="33" t="n">
        <f aca="false">IF(D39="totale",(C39/(A39*24))/F39,IF(D39="marché libre",(C39/(A39*24))/G39,"spécifier histo"))</f>
        <v>0.950615361803084</v>
      </c>
      <c r="F39" s="59" t="n">
        <v>3372</v>
      </c>
      <c r="G39" s="59" t="n">
        <f aca="false">F39-H39</f>
        <v>0</v>
      </c>
      <c r="H39" s="58" t="n">
        <v>3372</v>
      </c>
      <c r="I39" s="9"/>
      <c r="J39" s="30"/>
      <c r="L39" s="0"/>
      <c r="Q39" s="0"/>
      <c r="T39" s="0"/>
      <c r="V39" s="0"/>
    </row>
    <row r="40" customFormat="false" ht="25.95" hidden="false" customHeight="true" outlineLevel="0" collapsed="false">
      <c r="A40" s="0" t="n">
        <v>31</v>
      </c>
      <c r="B40" s="31" t="n">
        <v>37073</v>
      </c>
      <c r="C40" s="1" t="n">
        <v>2481590</v>
      </c>
      <c r="D40" s="29" t="s">
        <v>41</v>
      </c>
      <c r="E40" s="33" t="n">
        <f aca="false">IF(D40="totale",(C40/(A40*24))/F40,IF(D40="marché libre",(C40/(A40*24))/G40,"spécifier histo"))</f>
        <v>0.989166794219314</v>
      </c>
      <c r="F40" s="59" t="n">
        <v>3372</v>
      </c>
      <c r="G40" s="59" t="n">
        <f aca="false">F40-H40</f>
        <v>0</v>
      </c>
      <c r="H40" s="58" t="n">
        <v>3372</v>
      </c>
      <c r="I40" s="9"/>
      <c r="J40" s="30"/>
      <c r="L40" s="0"/>
      <c r="Q40" s="0"/>
      <c r="T40" s="0"/>
      <c r="V40" s="0"/>
    </row>
    <row r="41" customFormat="false" ht="25.95" hidden="false" customHeight="true" outlineLevel="0" collapsed="false">
      <c r="A41" s="0" t="n">
        <v>31</v>
      </c>
      <c r="B41" s="34" t="n">
        <v>37104</v>
      </c>
      <c r="C41" s="1" t="n">
        <v>2098419</v>
      </c>
      <c r="D41" s="29" t="s">
        <v>41</v>
      </c>
      <c r="E41" s="33" t="n">
        <f aca="false">IF(D41="totale",(C41/(A41*24))/F41,IF(D41="marché libre",(C41/(A41*24))/G41,"spécifier histo"))</f>
        <v>0.836434058470134</v>
      </c>
      <c r="F41" s="59" t="n">
        <v>3372</v>
      </c>
      <c r="G41" s="59" t="n">
        <f aca="false">F41-H41</f>
        <v>0</v>
      </c>
      <c r="H41" s="58" t="n">
        <v>3372</v>
      </c>
      <c r="I41" s="9"/>
      <c r="J41" s="30"/>
      <c r="L41" s="0"/>
      <c r="Q41" s="0"/>
      <c r="T41" s="0"/>
      <c r="V41" s="0"/>
    </row>
    <row r="42" customFormat="false" ht="25.95" hidden="false" customHeight="true" outlineLevel="0" collapsed="false">
      <c r="A42" s="0" t="n">
        <v>30</v>
      </c>
      <c r="B42" s="31" t="n">
        <v>37135</v>
      </c>
      <c r="C42" s="1" t="n">
        <v>1064322</v>
      </c>
      <c r="D42" s="29" t="s">
        <v>41</v>
      </c>
      <c r="E42" s="33" t="n">
        <f aca="false">IF(D42="totale",(C42/(A42*24))/F42,IF(D42="marché libre",(C42/(A42*24))/G42,"spécifier histo"))</f>
        <v>0.438382265717675</v>
      </c>
      <c r="F42" s="59" t="n">
        <v>3372</v>
      </c>
      <c r="G42" s="59" t="n">
        <f aca="false">F42-H42</f>
        <v>0</v>
      </c>
      <c r="H42" s="58" t="n">
        <v>3372</v>
      </c>
      <c r="I42" s="9"/>
      <c r="J42" s="30"/>
      <c r="L42" s="0"/>
      <c r="Q42" s="0"/>
      <c r="T42" s="0"/>
      <c r="V42" s="0"/>
    </row>
    <row r="43" customFormat="false" ht="25.95" hidden="false" customHeight="true" outlineLevel="0" collapsed="false">
      <c r="A43" s="0" t="n">
        <v>31</v>
      </c>
      <c r="B43" s="34" t="n">
        <v>37165</v>
      </c>
      <c r="C43" s="1" t="n">
        <v>1013560</v>
      </c>
      <c r="D43" s="29" t="s">
        <v>41</v>
      </c>
      <c r="E43" s="33" t="n">
        <f aca="false">IF(D43="totale",(C43/(A43*24))/F43,IF(D43="marché libre",(C43/(A43*24))/G43,"spécifier histo"))</f>
        <v>0.404007066416663</v>
      </c>
      <c r="F43" s="59" t="n">
        <v>3372</v>
      </c>
      <c r="G43" s="59" t="n">
        <f aca="false">F43-H43</f>
        <v>0</v>
      </c>
      <c r="H43" s="58" t="n">
        <v>3372</v>
      </c>
      <c r="I43" s="9"/>
      <c r="J43" s="30"/>
      <c r="L43" s="0"/>
      <c r="Q43" s="0"/>
      <c r="T43" s="0"/>
      <c r="V43" s="0"/>
    </row>
    <row r="44" customFormat="false" ht="25.95" hidden="false" customHeight="true" outlineLevel="0" collapsed="false">
      <c r="A44" s="0" t="n">
        <v>30</v>
      </c>
      <c r="B44" s="31" t="n">
        <v>37196</v>
      </c>
      <c r="C44" s="1" t="n">
        <v>657454</v>
      </c>
      <c r="D44" s="29" t="s">
        <v>41</v>
      </c>
      <c r="E44" s="33" t="n">
        <f aca="false">IF(D44="totale",(C44/(A44*24))/F44,IF(D44="marché libre",(C44/(A44*24))/G44,"spécifier histo"))</f>
        <v>0.270797910900224</v>
      </c>
      <c r="F44" s="59" t="n">
        <v>3372</v>
      </c>
      <c r="G44" s="59" t="n">
        <f aca="false">F44-H44</f>
        <v>0</v>
      </c>
      <c r="H44" s="58" t="n">
        <v>3372</v>
      </c>
      <c r="I44" s="9"/>
      <c r="J44" s="30"/>
      <c r="L44" s="0"/>
      <c r="Q44" s="0"/>
      <c r="T44" s="0"/>
      <c r="V44" s="0"/>
    </row>
    <row r="45" customFormat="false" ht="25.95" hidden="false" customHeight="true" outlineLevel="0" collapsed="false">
      <c r="A45" s="0" t="n">
        <v>31</v>
      </c>
      <c r="B45" s="34" t="n">
        <v>37226</v>
      </c>
      <c r="C45" s="1" t="n">
        <v>337465</v>
      </c>
      <c r="D45" s="29" t="s">
        <v>41</v>
      </c>
      <c r="E45" s="33" t="n">
        <f aca="false">IF(D45="totale",(C45/(A45*24))/F45,IF(D45="marché libre",(C45/(A45*24))/G45,"spécifier histo"))</f>
        <v>0.134514231686629</v>
      </c>
      <c r="F45" s="59" t="n">
        <v>3372</v>
      </c>
      <c r="G45" s="59" t="n">
        <f aca="false">F45-H45</f>
        <v>0</v>
      </c>
      <c r="H45" s="58" t="n">
        <v>3372</v>
      </c>
      <c r="I45" s="9"/>
      <c r="J45" s="30"/>
      <c r="L45" s="0"/>
      <c r="Q45" s="0"/>
      <c r="T45" s="0"/>
      <c r="V45" s="0"/>
    </row>
    <row r="46" customFormat="false" ht="25.95" hidden="false" customHeight="true" outlineLevel="0" collapsed="false">
      <c r="A46" s="0" t="n">
        <v>31</v>
      </c>
      <c r="B46" s="31" t="n">
        <v>37257</v>
      </c>
      <c r="C46" s="1" t="n">
        <v>183311</v>
      </c>
      <c r="D46" s="29" t="s">
        <v>41</v>
      </c>
      <c r="E46" s="33" t="n">
        <f aca="false">IF(D46="totale",(C46/(A46*24))/F46,IF(D46="marché libre",(C46/(A46*24))/G46,"spécifier histo"))</f>
        <v>0.073068135435401</v>
      </c>
      <c r="F46" s="59" t="n">
        <v>3372</v>
      </c>
      <c r="G46" s="59" t="n">
        <f aca="false">F46-H46</f>
        <v>0</v>
      </c>
      <c r="H46" s="58" t="n">
        <v>3372</v>
      </c>
      <c r="I46" s="9"/>
      <c r="J46" s="30"/>
      <c r="L46" s="0"/>
      <c r="Q46" s="0"/>
      <c r="T46" s="0"/>
      <c r="V46" s="0"/>
    </row>
    <row r="47" customFormat="false" ht="25.95" hidden="false" customHeight="true" outlineLevel="0" collapsed="false">
      <c r="A47" s="0" t="n">
        <v>28</v>
      </c>
      <c r="B47" s="34" t="n">
        <v>37288</v>
      </c>
      <c r="C47" s="1" t="n">
        <v>74603</v>
      </c>
      <c r="D47" s="29" t="s">
        <v>41</v>
      </c>
      <c r="E47" s="33" t="n">
        <f aca="false">IF(D47="totale",(C47/(A47*24))/F47,IF(D47="marché libre",(C47/(A47*24))/G47,"spécifier histo"))</f>
        <v>0.0329230038694007</v>
      </c>
      <c r="F47" s="59" t="n">
        <v>3372</v>
      </c>
      <c r="G47" s="59" t="n">
        <f aca="false">F47-H47</f>
        <v>0</v>
      </c>
      <c r="H47" s="58" t="n">
        <v>3372</v>
      </c>
      <c r="I47" s="9"/>
      <c r="J47" s="30"/>
      <c r="L47" s="0"/>
      <c r="Q47" s="0"/>
      <c r="T47" s="0"/>
      <c r="V47" s="0"/>
    </row>
    <row r="48" customFormat="false" ht="25.95" hidden="false" customHeight="true" outlineLevel="0" collapsed="false">
      <c r="A48" s="0" t="n">
        <v>31</v>
      </c>
      <c r="B48" s="31" t="n">
        <v>37316</v>
      </c>
      <c r="C48" s="1" t="n">
        <v>155405</v>
      </c>
      <c r="D48" s="29" t="s">
        <v>41</v>
      </c>
      <c r="E48" s="33" t="n">
        <f aca="false">IF(D48="totale",(C48/(A48*24))/F48,IF(D48="marché libre",(C48/(A48*24))/G48,"spécifier histo"))</f>
        <v>0.0619447473819819</v>
      </c>
      <c r="F48" s="59" t="n">
        <v>3372</v>
      </c>
      <c r="G48" s="59" t="n">
        <f aca="false">F48-H48</f>
        <v>0</v>
      </c>
      <c r="H48" s="58" t="n">
        <v>3372</v>
      </c>
      <c r="I48" s="9"/>
      <c r="J48" s="30"/>
      <c r="L48" s="0"/>
      <c r="Q48" s="0"/>
      <c r="T48" s="0"/>
      <c r="V48" s="0"/>
    </row>
    <row r="49" customFormat="false" ht="25.95" hidden="false" customHeight="true" outlineLevel="0" collapsed="false">
      <c r="A49" s="0" t="n">
        <v>30</v>
      </c>
      <c r="B49" s="34" t="n">
        <v>37347</v>
      </c>
      <c r="C49" s="1" t="n">
        <v>405612</v>
      </c>
      <c r="D49" s="29" t="s">
        <v>41</v>
      </c>
      <c r="E49" s="33" t="n">
        <f aca="false">IF(D49="totale",(C49/(A49*24))/F49,IF(D49="marché libre",(C49/(A49*24))/G49,"spécifier histo"))</f>
        <v>0.167067022538553</v>
      </c>
      <c r="F49" s="59" t="n">
        <v>3372</v>
      </c>
      <c r="G49" s="59" t="n">
        <f aca="false">F49-H49</f>
        <v>0</v>
      </c>
      <c r="H49" s="58" t="n">
        <v>3372</v>
      </c>
      <c r="I49" s="9"/>
      <c r="J49" s="30"/>
      <c r="L49" s="0"/>
      <c r="Q49" s="0"/>
      <c r="T49" s="0"/>
      <c r="V49" s="0"/>
    </row>
    <row r="50" customFormat="false" ht="25.95" hidden="false" customHeight="true" outlineLevel="0" collapsed="false">
      <c r="A50" s="0" t="n">
        <v>31</v>
      </c>
      <c r="B50" s="31" t="n">
        <v>37377</v>
      </c>
      <c r="C50" s="1" t="n">
        <v>1578386</v>
      </c>
      <c r="D50" s="29" t="s">
        <v>41</v>
      </c>
      <c r="E50" s="33" t="n">
        <f aca="false">IF(D50="totale",(C50/(A50*24))/F50,IF(D50="marché libre",(C50/(A50*24))/G50,"spécifier histo"))</f>
        <v>0.629147852651182</v>
      </c>
      <c r="F50" s="59" t="n">
        <v>3372</v>
      </c>
      <c r="G50" s="59" t="n">
        <f aca="false">F50-H50</f>
        <v>0</v>
      </c>
      <c r="H50" s="58" t="n">
        <v>3372</v>
      </c>
      <c r="I50" s="9"/>
      <c r="J50" s="30"/>
      <c r="L50" s="0"/>
      <c r="Q50" s="0"/>
      <c r="T50" s="0"/>
      <c r="V50" s="0"/>
    </row>
    <row r="51" customFormat="false" ht="25.95" hidden="false" customHeight="true" outlineLevel="0" collapsed="false">
      <c r="A51" s="0" t="n">
        <v>30</v>
      </c>
      <c r="B51" s="34" t="n">
        <v>37408</v>
      </c>
      <c r="C51" s="1" t="n">
        <v>2054881</v>
      </c>
      <c r="D51" s="29" t="s">
        <v>41</v>
      </c>
      <c r="E51" s="33" t="n">
        <f aca="false">IF(D51="totale",(C51/(A51*24))/F51,IF(D51="marché libre",(C51/(A51*24))/G51,"spécifier histo"))</f>
        <v>0.846382381046527</v>
      </c>
      <c r="F51" s="59" t="n">
        <v>3372</v>
      </c>
      <c r="G51" s="59" t="n">
        <f aca="false">F51-H51</f>
        <v>0</v>
      </c>
      <c r="H51" s="58" t="n">
        <v>3372</v>
      </c>
      <c r="I51" s="9"/>
      <c r="J51" s="30"/>
      <c r="L51" s="0"/>
      <c r="Q51" s="0"/>
      <c r="T51" s="0"/>
      <c r="V51" s="0"/>
    </row>
    <row r="52" customFormat="false" ht="25.95" hidden="false" customHeight="true" outlineLevel="0" collapsed="false">
      <c r="A52" s="0" t="n">
        <v>31</v>
      </c>
      <c r="B52" s="31" t="n">
        <v>37438</v>
      </c>
      <c r="C52" s="1" t="n">
        <v>1071552</v>
      </c>
      <c r="D52" s="29" t="s">
        <v>41</v>
      </c>
      <c r="E52" s="33" t="n">
        <f aca="false">IF(D52="totale",(C52/(A52*24))/F52,IF(D52="marché libre",(C52/(A52*24))/G52,"spécifier histo"))</f>
        <v>0.427122794933609</v>
      </c>
      <c r="F52" s="59" t="n">
        <v>3372</v>
      </c>
      <c r="G52" s="59" t="n">
        <f aca="false">F52-H52</f>
        <v>0</v>
      </c>
      <c r="H52" s="58" t="n">
        <v>3372</v>
      </c>
      <c r="I52" s="9"/>
      <c r="J52" s="30"/>
      <c r="L52" s="0"/>
      <c r="Q52" s="0"/>
      <c r="T52" s="0"/>
      <c r="V52" s="0"/>
    </row>
    <row r="53" customFormat="false" ht="25.95" hidden="false" customHeight="true" outlineLevel="0" collapsed="false">
      <c r="A53" s="0" t="n">
        <v>31</v>
      </c>
      <c r="B53" s="34" t="n">
        <v>37469</v>
      </c>
      <c r="C53" s="1" t="n">
        <v>1087966</v>
      </c>
      <c r="D53" s="29" t="s">
        <v>41</v>
      </c>
      <c r="E53" s="33" t="n">
        <f aca="false">IF(D53="totale",(C53/(A53*24))/F53,IF(D53="marché libre",(C53/(A53*24))/G53,"spécifier histo"))</f>
        <v>0.433665448538884</v>
      </c>
      <c r="F53" s="59" t="n">
        <v>3372</v>
      </c>
      <c r="G53" s="59" t="n">
        <f aca="false">F53-H53</f>
        <v>0</v>
      </c>
      <c r="H53" s="58" t="n">
        <v>3372</v>
      </c>
      <c r="I53" s="9"/>
      <c r="J53" s="30"/>
      <c r="L53" s="0"/>
      <c r="Q53" s="0"/>
      <c r="T53" s="0"/>
      <c r="V53" s="0"/>
    </row>
    <row r="54" customFormat="false" ht="25.95" hidden="false" customHeight="true" outlineLevel="0" collapsed="false">
      <c r="A54" s="0" t="n">
        <v>30</v>
      </c>
      <c r="B54" s="31" t="n">
        <v>37500</v>
      </c>
      <c r="C54" s="1" t="n">
        <v>1022020</v>
      </c>
      <c r="D54" s="29" t="s">
        <v>41</v>
      </c>
      <c r="E54" s="33" t="n">
        <f aca="false">IF(D54="totale",(C54/(A54*24))/F54,IF(D54="marché libre",(C54/(A54*24))/G54,"spécifier histo"))</f>
        <v>0.420958547515487</v>
      </c>
      <c r="F54" s="59" t="n">
        <v>3372</v>
      </c>
      <c r="G54" s="59" t="n">
        <f aca="false">F54-H54</f>
        <v>0</v>
      </c>
      <c r="H54" s="58" t="n">
        <v>3372</v>
      </c>
      <c r="I54" s="9"/>
      <c r="J54" s="30"/>
      <c r="L54" s="0"/>
      <c r="Q54" s="0"/>
      <c r="T54" s="0"/>
      <c r="V54" s="0"/>
    </row>
    <row r="55" customFormat="false" ht="25.95" hidden="false" customHeight="true" outlineLevel="0" collapsed="false">
      <c r="A55" s="0" t="n">
        <v>31</v>
      </c>
      <c r="B55" s="34" t="n">
        <v>37530</v>
      </c>
      <c r="C55" s="1" t="n">
        <v>853458</v>
      </c>
      <c r="D55" s="29" t="s">
        <v>41</v>
      </c>
      <c r="E55" s="33" t="n">
        <f aca="false">IF(D55="totale",(C55/(A55*24))/F55,IF(D55="marché libre",(C55/(A55*24))/G55,"spécifier histo"))</f>
        <v>0.340190085332721</v>
      </c>
      <c r="F55" s="59" t="n">
        <v>3372</v>
      </c>
      <c r="G55" s="59" t="n">
        <f aca="false">F55-H55</f>
        <v>0</v>
      </c>
      <c r="H55" s="58" t="n">
        <v>3372</v>
      </c>
      <c r="I55" s="9"/>
      <c r="J55" s="30"/>
      <c r="L55" s="0"/>
      <c r="Q55" s="0"/>
      <c r="T55" s="0"/>
      <c r="V55" s="0"/>
    </row>
    <row r="56" customFormat="false" ht="25.95" hidden="false" customHeight="true" outlineLevel="0" collapsed="false">
      <c r="A56" s="0" t="n">
        <v>30</v>
      </c>
      <c r="B56" s="31" t="n">
        <v>37561</v>
      </c>
      <c r="C56" s="1" t="n">
        <v>1108041</v>
      </c>
      <c r="D56" s="29" t="s">
        <v>41</v>
      </c>
      <c r="E56" s="33" t="n">
        <f aca="false">IF(D56="totale",(C56/(A56*24))/F56,IF(D56="marché libre",(C56/(A56*24))/G56,"spécifier histo"))</f>
        <v>0.456389630288652</v>
      </c>
      <c r="F56" s="59" t="n">
        <v>3372</v>
      </c>
      <c r="G56" s="59" t="n">
        <f aca="false">F56-H56</f>
        <v>0</v>
      </c>
      <c r="H56" s="58" t="n">
        <v>3372</v>
      </c>
      <c r="I56" s="9"/>
      <c r="J56" s="30"/>
      <c r="L56" s="0"/>
      <c r="Q56" s="0"/>
      <c r="T56" s="0"/>
      <c r="V56" s="0"/>
    </row>
    <row r="57" customFormat="false" ht="25.95" hidden="false" customHeight="true" outlineLevel="0" collapsed="false">
      <c r="A57" s="0" t="n">
        <v>31</v>
      </c>
      <c r="B57" s="34" t="n">
        <v>37591</v>
      </c>
      <c r="C57" s="1" t="n">
        <v>694856</v>
      </c>
      <c r="D57" s="29" t="s">
        <v>41</v>
      </c>
      <c r="E57" s="33" t="n">
        <f aca="false">IF(D57="totale",(C57/(A57*24))/F57,IF(D57="marché libre",(C57/(A57*24))/G57,"spécifier histo"))</f>
        <v>0.276971007283256</v>
      </c>
      <c r="F57" s="59" t="n">
        <v>3372</v>
      </c>
      <c r="G57" s="59" t="n">
        <f aca="false">F57-H57</f>
        <v>0</v>
      </c>
      <c r="H57" s="58" t="n">
        <v>3372</v>
      </c>
      <c r="I57" s="9"/>
      <c r="J57" s="30"/>
      <c r="L57" s="0"/>
      <c r="Q57" s="0"/>
      <c r="T57" s="0"/>
      <c r="V57" s="0"/>
    </row>
    <row r="58" customFormat="false" ht="22.95" hidden="false" customHeight="true" outlineLevel="0" collapsed="false">
      <c r="A58" s="0" t="n">
        <v>31</v>
      </c>
      <c r="B58" s="31" t="n">
        <v>37622</v>
      </c>
      <c r="C58" s="1" t="n">
        <v>363268</v>
      </c>
      <c r="D58" s="29" t="s">
        <v>41</v>
      </c>
      <c r="E58" s="33" t="n">
        <f aca="false">IF(D58="totale",(C58/(A58*24))/F58,IF(D58="marché libre",(C58/(A58*24))/G58,"spécifier histo"))</f>
        <v>0.14479935968571</v>
      </c>
      <c r="F58" s="59" t="n">
        <v>3372</v>
      </c>
      <c r="G58" s="59" t="n">
        <f aca="false">F58-H58</f>
        <v>0</v>
      </c>
      <c r="H58" s="58" t="n">
        <v>3372</v>
      </c>
      <c r="I58" s="9"/>
      <c r="J58" s="30"/>
      <c r="L58" s="0"/>
      <c r="Q58" s="0"/>
      <c r="T58" s="0"/>
      <c r="V58" s="0"/>
    </row>
    <row r="59" customFormat="false" ht="22.95" hidden="false" customHeight="true" outlineLevel="0" collapsed="false">
      <c r="A59" s="0" t="n">
        <v>28</v>
      </c>
      <c r="B59" s="34" t="n">
        <v>37653</v>
      </c>
      <c r="C59" s="1" t="n">
        <v>180387</v>
      </c>
      <c r="D59" s="29" t="s">
        <v>41</v>
      </c>
      <c r="E59" s="33" t="n">
        <f aca="false">IF(D59="totale",(C59/(A59*24))/F59,IF(D59="marché libre",(C59/(A59*24))/G59,"spécifier histo"))</f>
        <v>0.0796064755973564</v>
      </c>
      <c r="F59" s="59" t="n">
        <v>3372</v>
      </c>
      <c r="G59" s="59" t="n">
        <f aca="false">F59-H59</f>
        <v>0</v>
      </c>
      <c r="H59" s="58" t="n">
        <v>3372</v>
      </c>
      <c r="I59" s="9"/>
      <c r="J59" s="30"/>
      <c r="L59" s="0"/>
      <c r="Q59" s="0"/>
      <c r="T59" s="0"/>
    </row>
    <row r="60" customFormat="false" ht="22.95" hidden="false" customHeight="true" outlineLevel="0" collapsed="false">
      <c r="A60" s="0" t="n">
        <v>31</v>
      </c>
      <c r="B60" s="31" t="n">
        <v>37681</v>
      </c>
      <c r="C60" s="1" t="n">
        <v>250795</v>
      </c>
      <c r="D60" s="29" t="s">
        <v>41</v>
      </c>
      <c r="E60" s="33" t="n">
        <f aca="false">IF(D60="totale",(C60/(A60*24))/F60,IF(D60="marché libre",(C60/(A60*24))/G60,"spécifier histo"))</f>
        <v>0.0999673943545198</v>
      </c>
      <c r="F60" s="59" t="n">
        <v>3372</v>
      </c>
      <c r="G60" s="59" t="n">
        <f aca="false">F60-H60</f>
        <v>0</v>
      </c>
      <c r="H60" s="58" t="n">
        <v>3372</v>
      </c>
      <c r="I60" s="9"/>
      <c r="J60" s="30"/>
      <c r="L60" s="0"/>
      <c r="Q60" s="0"/>
      <c r="T60" s="0"/>
    </row>
    <row r="61" customFormat="false" ht="22.95" hidden="false" customHeight="true" outlineLevel="0" collapsed="false">
      <c r="A61" s="0" t="n">
        <v>30</v>
      </c>
      <c r="B61" s="34" t="n">
        <v>37712</v>
      </c>
      <c r="C61" s="1" t="n">
        <v>948604</v>
      </c>
      <c r="D61" s="29" t="s">
        <v>41</v>
      </c>
      <c r="E61" s="33" t="n">
        <f aca="false">IF(D61="totale",(C61/(A61*24))/F61,IF(D61="marché libre",(C61/(A61*24))/G61,"spécifier histo"))</f>
        <v>0.390719322525372</v>
      </c>
      <c r="F61" s="59" t="n">
        <v>3372</v>
      </c>
      <c r="G61" s="59" t="n">
        <f aca="false">F61-H61</f>
        <v>0</v>
      </c>
      <c r="H61" s="58" t="n">
        <v>3372</v>
      </c>
      <c r="I61" s="9"/>
      <c r="J61" s="30"/>
      <c r="L61" s="0"/>
      <c r="Q61" s="0"/>
      <c r="T61" s="0"/>
    </row>
    <row r="62" customFormat="false" ht="22.95" hidden="false" customHeight="true" outlineLevel="0" collapsed="false">
      <c r="A62" s="0" t="n">
        <v>31</v>
      </c>
      <c r="B62" s="31" t="n">
        <v>37742</v>
      </c>
      <c r="C62" s="1" t="n">
        <v>2495088</v>
      </c>
      <c r="D62" s="29" t="s">
        <v>41</v>
      </c>
      <c r="E62" s="33" t="n">
        <f aca="false">IF(D62="totale",(C62/(A62*24))/F62,IF(D62="marché libre",(C62/(A62*24))/G62,"spécifier histo"))</f>
        <v>0.994547124325565</v>
      </c>
      <c r="F62" s="59" t="n">
        <v>3372</v>
      </c>
      <c r="G62" s="59" t="n">
        <f aca="false">F62-H62</f>
        <v>0</v>
      </c>
      <c r="H62" s="58" t="n">
        <v>3372</v>
      </c>
      <c r="I62" s="9"/>
      <c r="J62" s="30"/>
      <c r="L62" s="0"/>
      <c r="Q62" s="0"/>
      <c r="T62" s="0"/>
    </row>
    <row r="63" customFormat="false" ht="22.95" hidden="false" customHeight="true" outlineLevel="0" collapsed="false">
      <c r="A63" s="0" t="n">
        <v>30</v>
      </c>
      <c r="B63" s="34" t="n">
        <v>37773</v>
      </c>
      <c r="C63" s="1" t="n">
        <v>2369712</v>
      </c>
      <c r="D63" s="29" t="s">
        <v>41</v>
      </c>
      <c r="E63" s="33" t="n">
        <f aca="false">IF(D63="totale",(C63/(A63*24))/F63,IF(D63="marché libre",(C63/(A63*24))/G63,"spécifier histo"))</f>
        <v>0.976057730328193</v>
      </c>
      <c r="F63" s="59" t="n">
        <v>3372</v>
      </c>
      <c r="G63" s="59" t="n">
        <f aca="false">F63-H63</f>
        <v>0</v>
      </c>
      <c r="H63" s="58" t="n">
        <v>3372</v>
      </c>
      <c r="I63" s="9"/>
      <c r="J63" s="30"/>
      <c r="L63" s="0"/>
      <c r="Q63" s="0"/>
      <c r="T63" s="0"/>
    </row>
    <row r="64" customFormat="false" ht="22.95" hidden="false" customHeight="true" outlineLevel="0" collapsed="false">
      <c r="A64" s="0" t="n">
        <v>31</v>
      </c>
      <c r="B64" s="31" t="n">
        <v>37803</v>
      </c>
      <c r="C64" s="1" t="n">
        <v>1223055</v>
      </c>
      <c r="D64" s="29" t="s">
        <v>41</v>
      </c>
      <c r="E64" s="33" t="n">
        <f aca="false">IF(D64="totale",(C64/(A64*24))/F64,IF(D64="marché libre",(C64/(A64*24))/G64,"spécifier histo"))</f>
        <v>0.487512197221903</v>
      </c>
      <c r="F64" s="59" t="n">
        <v>3372</v>
      </c>
      <c r="G64" s="59" t="n">
        <f aca="false">F64-H64</f>
        <v>0</v>
      </c>
      <c r="H64" s="58" t="n">
        <v>3372</v>
      </c>
      <c r="I64" s="9"/>
      <c r="J64" s="30"/>
      <c r="L64" s="0"/>
      <c r="Q64" s="0"/>
      <c r="T64" s="0"/>
    </row>
    <row r="65" customFormat="false" ht="22.95" hidden="false" customHeight="true" outlineLevel="0" collapsed="false">
      <c r="A65" s="0" t="n">
        <v>31</v>
      </c>
      <c r="B65" s="34" t="n">
        <v>37834</v>
      </c>
      <c r="C65" s="1" t="n">
        <v>629953</v>
      </c>
      <c r="D65" s="29" t="s">
        <v>41</v>
      </c>
      <c r="E65" s="33" t="n">
        <f aca="false">IF(D65="totale",(C65/(A65*24))/F65,IF(D65="marché libre",(C65/(A65*24))/G65,"spécifier histo"))</f>
        <v>0.251100540185462</v>
      </c>
      <c r="F65" s="59" t="n">
        <v>3372</v>
      </c>
      <c r="G65" s="59" t="n">
        <f aca="false">F65-H65</f>
        <v>0</v>
      </c>
      <c r="H65" s="58" t="n">
        <v>3372</v>
      </c>
      <c r="I65" s="9"/>
      <c r="J65" s="30"/>
      <c r="L65" s="0"/>
      <c r="Q65" s="0"/>
      <c r="T65" s="0"/>
    </row>
    <row r="66" customFormat="false" ht="22.95" hidden="false" customHeight="true" outlineLevel="0" collapsed="false">
      <c r="A66" s="0" t="n">
        <v>30</v>
      </c>
      <c r="B66" s="31" t="n">
        <v>37865</v>
      </c>
      <c r="C66" s="1" t="n">
        <v>249334</v>
      </c>
      <c r="D66" s="29" t="s">
        <v>41</v>
      </c>
      <c r="E66" s="33" t="n">
        <f aca="false">IF(D66="totale",(C66/(A66*24))/F66,IF(D66="marché libre",(C66/(A66*24))/G66,"spécifier histo"))</f>
        <v>0.102697871358903</v>
      </c>
      <c r="F66" s="59" t="n">
        <v>3372</v>
      </c>
      <c r="G66" s="59" t="n">
        <f aca="false">F66-H66</f>
        <v>0</v>
      </c>
      <c r="H66" s="58" t="n">
        <v>3372</v>
      </c>
      <c r="I66" s="9"/>
      <c r="J66" s="30"/>
      <c r="L66" s="0"/>
      <c r="Q66" s="0"/>
      <c r="T66" s="0"/>
    </row>
    <row r="67" customFormat="false" ht="22.95" hidden="false" customHeight="true" outlineLevel="0" collapsed="false">
      <c r="A67" s="0" t="n">
        <v>31</v>
      </c>
      <c r="B67" s="34" t="n">
        <v>37895</v>
      </c>
      <c r="C67" s="1" t="n">
        <v>468167</v>
      </c>
      <c r="D67" s="29" t="s">
        <v>41</v>
      </c>
      <c r="E67" s="33" t="n">
        <f aca="false">IF(D67="totale",(C67/(A67*24))/F67,IF(D67="marché libre",(C67/(A67*24))/G67,"spécifier histo"))</f>
        <v>0.186612313294812</v>
      </c>
      <c r="F67" s="59" t="n">
        <v>3372</v>
      </c>
      <c r="G67" s="59" t="n">
        <f aca="false">F67-H67</f>
        <v>0</v>
      </c>
      <c r="H67" s="58" t="n">
        <v>3372</v>
      </c>
      <c r="I67" s="9"/>
      <c r="J67" s="30"/>
      <c r="L67" s="0"/>
      <c r="Q67" s="0"/>
      <c r="T67" s="0"/>
    </row>
    <row r="68" customFormat="false" ht="22.95" hidden="false" customHeight="true" outlineLevel="0" collapsed="false">
      <c r="A68" s="0" t="n">
        <v>30</v>
      </c>
      <c r="B68" s="31" t="n">
        <v>37926</v>
      </c>
      <c r="C68" s="1" t="n">
        <v>378252</v>
      </c>
      <c r="D68" s="29" t="s">
        <v>41</v>
      </c>
      <c r="E68" s="33" t="n">
        <f aca="false">IF(D68="totale",(C68/(A68*24))/F68,IF(D68="marché libre",(C68/(A68*24))/G68,"spécifier histo"))</f>
        <v>0.155797746144721</v>
      </c>
      <c r="F68" s="59" t="n">
        <v>3372</v>
      </c>
      <c r="G68" s="59" t="n">
        <f aca="false">F68-H68</f>
        <v>0</v>
      </c>
      <c r="H68" s="58" t="n">
        <v>3372</v>
      </c>
      <c r="I68" s="9"/>
      <c r="J68" s="30"/>
      <c r="L68" s="0"/>
      <c r="Q68" s="0"/>
      <c r="T68" s="0"/>
    </row>
    <row r="69" customFormat="false" ht="22.95" hidden="false" customHeight="true" outlineLevel="0" collapsed="false">
      <c r="A69" s="0" t="n">
        <v>31</v>
      </c>
      <c r="B69" s="34" t="n">
        <v>37956</v>
      </c>
      <c r="C69" s="1" t="n">
        <v>176582</v>
      </c>
      <c r="D69" s="29" t="s">
        <v>41</v>
      </c>
      <c r="E69" s="33" t="n">
        <f aca="false">IF(D69="totale",(C69/(A69*24))/F69,IF(D69="marché libre",(C69/(A69*24))/G69,"spécifier histo"))</f>
        <v>0.070385942422735</v>
      </c>
      <c r="F69" s="59" t="n">
        <v>3372</v>
      </c>
      <c r="G69" s="59" t="n">
        <f aca="false">F69-H69</f>
        <v>0</v>
      </c>
      <c r="H69" s="58" t="n">
        <v>3372</v>
      </c>
      <c r="I69" s="9"/>
      <c r="J69" s="30"/>
      <c r="L69" s="0"/>
      <c r="Q69" s="0"/>
      <c r="T69" s="0"/>
    </row>
    <row r="70" customFormat="false" ht="20.5" hidden="false" customHeight="true" outlineLevel="0" collapsed="false">
      <c r="A70" s="0" t="n">
        <v>31</v>
      </c>
      <c r="B70" s="31" t="n">
        <v>37987</v>
      </c>
      <c r="C70" s="1" t="n">
        <v>97935</v>
      </c>
      <c r="D70" s="29" t="s">
        <v>41</v>
      </c>
      <c r="E70" s="33" t="n">
        <f aca="false">IF(D70="totale",(C70/(A70*24))/F70,IF(D70="marché libre",(C70/(A70*24))/G70,"spécifier histo"))</f>
        <v>0.0390370891210347</v>
      </c>
      <c r="F70" s="59" t="n">
        <v>3372</v>
      </c>
      <c r="G70" s="59" t="n">
        <f aca="false">F70-H70</f>
        <v>0</v>
      </c>
      <c r="H70" s="58" t="n">
        <v>3372</v>
      </c>
      <c r="I70" s="9"/>
      <c r="J70" s="0"/>
    </row>
    <row r="71" customFormat="false" ht="20.5" hidden="false" customHeight="true" outlineLevel="0" collapsed="false">
      <c r="A71" s="0" t="n">
        <v>28</v>
      </c>
      <c r="B71" s="34" t="n">
        <v>38018</v>
      </c>
      <c r="C71" s="1" t="n">
        <v>141442</v>
      </c>
      <c r="D71" s="29" t="s">
        <v>41</v>
      </c>
      <c r="E71" s="33" t="n">
        <f aca="false">IF(D71="totale",(C71/(A71*24))/F71,IF(D71="marché libre",(C71/(A71*24))/G71,"spécifier histo"))</f>
        <v>0.0624196816923685</v>
      </c>
      <c r="F71" s="59" t="n">
        <v>3372</v>
      </c>
      <c r="G71" s="59" t="n">
        <f aca="false">F71-H71</f>
        <v>0</v>
      </c>
      <c r="H71" s="58" t="n">
        <v>3372</v>
      </c>
      <c r="I71" s="9"/>
      <c r="J71" s="0"/>
    </row>
    <row r="72" customFormat="false" ht="20.5" hidden="false" customHeight="true" outlineLevel="0" collapsed="false">
      <c r="A72" s="0" t="n">
        <v>31</v>
      </c>
      <c r="B72" s="31" t="n">
        <v>38047</v>
      </c>
      <c r="C72" s="1" t="n">
        <v>262412</v>
      </c>
      <c r="D72" s="29" t="s">
        <v>41</v>
      </c>
      <c r="E72" s="33" t="n">
        <f aca="false">IF(D72="totale",(C72/(A72*24))/F72,IF(D72="marché libre",(C72/(A72*24))/G72,"spécifier histo"))</f>
        <v>0.104597954055536</v>
      </c>
      <c r="F72" s="59" t="n">
        <v>3372</v>
      </c>
      <c r="G72" s="59" t="n">
        <f aca="false">F72-H72</f>
        <v>0</v>
      </c>
      <c r="H72" s="58" t="n">
        <v>3372</v>
      </c>
      <c r="I72" s="9"/>
      <c r="J72" s="0"/>
    </row>
    <row r="73" customFormat="false" ht="20.5" hidden="false" customHeight="true" outlineLevel="0" collapsed="false">
      <c r="A73" s="0" t="n">
        <v>30</v>
      </c>
      <c r="B73" s="34" t="n">
        <v>38078</v>
      </c>
      <c r="C73" s="1" t="n">
        <v>781896</v>
      </c>
      <c r="D73" s="29" t="s">
        <v>41</v>
      </c>
      <c r="E73" s="33" t="n">
        <f aca="false">IF(D73="totale",(C73/(A73*24))/F73,IF(D73="marché libre",(C73/(A73*24))/G73,"spécifier histo"))</f>
        <v>0.322054171609332</v>
      </c>
      <c r="F73" s="59" t="n">
        <v>3372</v>
      </c>
      <c r="G73" s="59" t="n">
        <f aca="false">F73-H73</f>
        <v>0</v>
      </c>
      <c r="H73" s="58" t="n">
        <v>3372</v>
      </c>
      <c r="I73" s="9"/>
      <c r="J73" s="0"/>
    </row>
    <row r="74" customFormat="false" ht="20.5" hidden="false" customHeight="true" outlineLevel="0" collapsed="false">
      <c r="A74" s="0" t="n">
        <v>31</v>
      </c>
      <c r="B74" s="31" t="n">
        <v>38108</v>
      </c>
      <c r="C74" s="1" t="n">
        <v>1860383</v>
      </c>
      <c r="D74" s="29" t="s">
        <v>41</v>
      </c>
      <c r="E74" s="33" t="n">
        <f aca="false">IF(D74="totale",(C74/(A74*24))/F74,IF(D74="marché libre",(C74/(A74*24))/G74,"spécifier histo"))</f>
        <v>0.741552427326879</v>
      </c>
      <c r="F74" s="59" t="n">
        <v>3372</v>
      </c>
      <c r="G74" s="59" t="n">
        <f aca="false">F74-H74</f>
        <v>0</v>
      </c>
      <c r="H74" s="58" t="n">
        <v>3372</v>
      </c>
      <c r="I74" s="9"/>
      <c r="J74" s="0"/>
    </row>
    <row r="75" customFormat="false" ht="20.5" hidden="false" customHeight="true" outlineLevel="0" collapsed="false">
      <c r="A75" s="0" t="n">
        <v>30</v>
      </c>
      <c r="B75" s="34" t="n">
        <v>38139</v>
      </c>
      <c r="C75" s="1" t="n">
        <v>2399751</v>
      </c>
      <c r="D75" s="29" t="s">
        <v>41</v>
      </c>
      <c r="E75" s="33" t="n">
        <f aca="false">IF(D75="totale",(C75/(A75*24))/F75,IF(D75="marché libre",(C75/(A75*24))/G75,"spécifier histo"))</f>
        <v>0.988430456702254</v>
      </c>
      <c r="F75" s="59" t="n">
        <v>3372</v>
      </c>
      <c r="G75" s="59" t="n">
        <f aca="false">F75-H75</f>
        <v>0</v>
      </c>
      <c r="H75" s="58" t="n">
        <v>3372</v>
      </c>
      <c r="I75" s="9"/>
      <c r="J75" s="30"/>
      <c r="K75" s="0"/>
      <c r="L75" s="0"/>
      <c r="M75" s="0"/>
      <c r="N75" s="0"/>
      <c r="O75" s="0"/>
      <c r="P75" s="0"/>
      <c r="Q75" s="0"/>
      <c r="R75" s="0"/>
      <c r="S75" s="0"/>
      <c r="T75" s="0"/>
      <c r="U75" s="0"/>
      <c r="V75" s="0"/>
      <c r="W75" s="0"/>
      <c r="X75" s="0"/>
      <c r="Y75" s="0"/>
      <c r="Z75" s="0"/>
      <c r="AA75" s="0"/>
      <c r="AB75" s="0"/>
    </row>
    <row r="76" customFormat="false" ht="20.5" hidden="false" customHeight="true" outlineLevel="0" collapsed="false">
      <c r="A76" s="0" t="n">
        <v>31</v>
      </c>
      <c r="B76" s="31" t="n">
        <v>38169</v>
      </c>
      <c r="C76" s="1" t="n">
        <v>1601353</v>
      </c>
      <c r="D76" s="29" t="s">
        <v>41</v>
      </c>
      <c r="E76" s="33" t="n">
        <f aca="false">IF(D76="totale",(C76/(A76*24))/F76,IF(D76="marché libre",(C76/(A76*24))/G76,"spécifier histo"))</f>
        <v>0.638302545313078</v>
      </c>
      <c r="F76" s="59" t="n">
        <v>3372</v>
      </c>
      <c r="G76" s="59" t="n">
        <f aca="false">F76-H76</f>
        <v>0</v>
      </c>
      <c r="H76" s="58" t="n">
        <v>3372</v>
      </c>
      <c r="I76" s="9"/>
      <c r="J76" s="30"/>
      <c r="K76" s="0"/>
      <c r="L76" s="0"/>
      <c r="M76" s="0"/>
      <c r="N76" s="0"/>
      <c r="O76" s="0"/>
      <c r="P76" s="0"/>
      <c r="Q76" s="0"/>
      <c r="R76" s="0"/>
      <c r="S76" s="0"/>
      <c r="T76" s="0"/>
      <c r="U76" s="0"/>
      <c r="V76" s="0"/>
      <c r="W76" s="0"/>
      <c r="X76" s="0"/>
      <c r="Y76" s="0"/>
      <c r="Z76" s="0"/>
      <c r="AA76" s="0"/>
      <c r="AB76" s="0"/>
    </row>
    <row r="77" customFormat="false" ht="20.5" hidden="false" customHeight="true" outlineLevel="0" collapsed="false">
      <c r="A77" s="0" t="n">
        <v>31</v>
      </c>
      <c r="B77" s="34" t="n">
        <v>38200</v>
      </c>
      <c r="C77" s="1" t="n">
        <v>843272</v>
      </c>
      <c r="D77" s="29" t="s">
        <v>41</v>
      </c>
      <c r="E77" s="33" t="n">
        <f aca="false">IF(D77="totale",(C77/(A77*24))/F77,IF(D77="marché libre",(C77/(A77*24))/G77,"spécifier histo"))</f>
        <v>0.336129925126596</v>
      </c>
      <c r="F77" s="59" t="n">
        <v>3372</v>
      </c>
      <c r="G77" s="59" t="n">
        <f aca="false">F77-H77</f>
        <v>0</v>
      </c>
      <c r="H77" s="58" t="n">
        <v>3372</v>
      </c>
      <c r="I77" s="9"/>
      <c r="J77" s="30"/>
      <c r="K77" s="0"/>
      <c r="L77" s="0"/>
      <c r="M77" s="0"/>
      <c r="N77" s="0"/>
      <c r="O77" s="0"/>
      <c r="P77" s="0"/>
      <c r="Q77" s="0"/>
      <c r="R77" s="0"/>
      <c r="S77" s="0"/>
      <c r="T77" s="0"/>
      <c r="U77" s="0"/>
      <c r="V77" s="0"/>
      <c r="W77" s="0"/>
      <c r="X77" s="0"/>
      <c r="Y77" s="0"/>
      <c r="Z77" s="0"/>
      <c r="AA77" s="0"/>
      <c r="AB77" s="0"/>
    </row>
    <row r="78" customFormat="false" ht="20.5" hidden="false" customHeight="true" outlineLevel="0" collapsed="false">
      <c r="A78" s="0" t="n">
        <v>30</v>
      </c>
      <c r="B78" s="31" t="n">
        <v>38231</v>
      </c>
      <c r="C78" s="1" t="n">
        <v>383724</v>
      </c>
      <c r="D78" s="29" t="s">
        <v>41</v>
      </c>
      <c r="E78" s="33" t="n">
        <f aca="false">IF(D78="totale",(C78/(A78*24))/F78,IF(D78="marché libre",(C78/(A78*24))/G78,"spécifier histo"))</f>
        <v>0.158051601423488</v>
      </c>
      <c r="F78" s="59" t="n">
        <v>3372</v>
      </c>
      <c r="G78" s="59" t="n">
        <f aca="false">F78-H78</f>
        <v>0</v>
      </c>
      <c r="H78" s="58" t="n">
        <v>3372</v>
      </c>
      <c r="I78" s="9"/>
      <c r="J78" s="30"/>
      <c r="K78" s="0"/>
      <c r="L78" s="0"/>
      <c r="M78" s="0"/>
      <c r="N78" s="0"/>
      <c r="O78" s="0"/>
      <c r="P78" s="0"/>
      <c r="Q78" s="0"/>
      <c r="R78" s="0"/>
      <c r="S78" s="0"/>
      <c r="T78" s="0"/>
      <c r="U78" s="0"/>
      <c r="V78" s="0"/>
      <c r="W78" s="0"/>
      <c r="X78" s="0"/>
      <c r="Y78" s="0"/>
      <c r="Z78" s="0"/>
      <c r="AA78" s="0"/>
      <c r="AB78" s="0"/>
    </row>
    <row r="79" customFormat="false" ht="20.5" hidden="false" customHeight="true" outlineLevel="0" collapsed="false">
      <c r="A79" s="0" t="n">
        <v>31</v>
      </c>
      <c r="B79" s="34" t="n">
        <v>38261</v>
      </c>
      <c r="C79" s="1" t="n">
        <v>678205</v>
      </c>
      <c r="D79" s="29" t="s">
        <v>41</v>
      </c>
      <c r="E79" s="33" t="n">
        <f aca="false">IF(D79="totale",(C79/(A79*24))/F79,IF(D79="marché libre",(C79/(A79*24))/G79,"spécifier histo"))</f>
        <v>0.270333884998533</v>
      </c>
      <c r="F79" s="59" t="n">
        <v>3372</v>
      </c>
      <c r="G79" s="59" t="n">
        <f aca="false">F79-H79</f>
        <v>0</v>
      </c>
      <c r="H79" s="58" t="n">
        <v>3372</v>
      </c>
      <c r="I79" s="9"/>
      <c r="J79" s="30"/>
      <c r="K79" s="0"/>
      <c r="L79" s="0"/>
      <c r="M79" s="0"/>
      <c r="N79" s="0"/>
      <c r="O79" s="0"/>
      <c r="P79" s="0"/>
      <c r="Q79" s="0"/>
      <c r="R79" s="0"/>
      <c r="S79" s="0"/>
      <c r="T79" s="0"/>
      <c r="U79" s="0"/>
      <c r="V79" s="0"/>
      <c r="W79" s="0"/>
      <c r="X79" s="0"/>
      <c r="Y79" s="0"/>
      <c r="Z79" s="0"/>
      <c r="AA79" s="0"/>
      <c r="AB79" s="0"/>
    </row>
    <row r="80" customFormat="false" ht="20.5" hidden="false" customHeight="true" outlineLevel="0" collapsed="false">
      <c r="A80" s="0" t="n">
        <v>30</v>
      </c>
      <c r="B80" s="31" t="n">
        <v>38292</v>
      </c>
      <c r="C80" s="1" t="n">
        <v>880721</v>
      </c>
      <c r="D80" s="29" t="s">
        <v>41</v>
      </c>
      <c r="E80" s="33" t="n">
        <f aca="false">IF(D80="totale",(C80/(A80*24))/F80,IF(D80="marché libre",(C80/(A80*24))/G80,"spécifier histo"))</f>
        <v>0.362759078028206</v>
      </c>
      <c r="F80" s="59" t="n">
        <v>3372</v>
      </c>
      <c r="G80" s="59" t="n">
        <f aca="false">F80-H80</f>
        <v>0</v>
      </c>
      <c r="H80" s="58" t="n">
        <v>3372</v>
      </c>
      <c r="I80" s="9"/>
      <c r="J80" s="30"/>
      <c r="K80" s="0"/>
      <c r="L80" s="0"/>
      <c r="M80" s="0"/>
      <c r="N80" s="0"/>
      <c r="O80" s="0"/>
      <c r="P80" s="0"/>
      <c r="Q80" s="0"/>
      <c r="R80" s="0"/>
      <c r="S80" s="0"/>
      <c r="T80" s="0"/>
      <c r="U80" s="0"/>
      <c r="V80" s="0"/>
      <c r="W80" s="0"/>
      <c r="X80" s="0"/>
      <c r="Y80" s="0"/>
      <c r="Z80" s="0"/>
      <c r="AA80" s="0"/>
      <c r="AB80" s="0"/>
    </row>
    <row r="81" customFormat="false" ht="20.5" hidden="false" customHeight="true" outlineLevel="0" collapsed="false">
      <c r="A81" s="0" t="n">
        <v>31</v>
      </c>
      <c r="B81" s="34" t="n">
        <v>38322</v>
      </c>
      <c r="C81" s="1" t="n">
        <v>352501</v>
      </c>
      <c r="D81" s="29" t="s">
        <v>41</v>
      </c>
      <c r="E81" s="33" t="n">
        <f aca="false">IF(D81="totale",(C81/(A81*24))/F81,IF(D81="marché libre",(C81/(A81*24))/G81,"spécifier histo"))</f>
        <v>0.140507611704231</v>
      </c>
      <c r="F81" s="59" t="n">
        <v>3372</v>
      </c>
      <c r="G81" s="59" t="n">
        <f aca="false">F81-H81</f>
        <v>0</v>
      </c>
      <c r="H81" s="58" t="n">
        <v>3372</v>
      </c>
      <c r="I81" s="9"/>
      <c r="J81" s="30"/>
      <c r="K81" s="0"/>
      <c r="L81" s="0"/>
      <c r="M81" s="0"/>
      <c r="N81" s="0"/>
      <c r="O81" s="0"/>
      <c r="P81" s="0"/>
      <c r="Q81" s="0"/>
      <c r="R81" s="0"/>
      <c r="S81" s="0"/>
      <c r="T81" s="0"/>
      <c r="U81" s="0"/>
      <c r="V81" s="0"/>
      <c r="W81" s="0"/>
      <c r="X81" s="0"/>
      <c r="Y81" s="0"/>
      <c r="Z81" s="0"/>
      <c r="AA81" s="0"/>
      <c r="AB81" s="0"/>
    </row>
    <row r="82" customFormat="false" ht="19.85" hidden="false" customHeight="true" outlineLevel="0" collapsed="false">
      <c r="A82" s="0" t="n">
        <v>31</v>
      </c>
      <c r="B82" s="31" t="n">
        <v>38353</v>
      </c>
      <c r="C82" s="1" t="n">
        <v>254582</v>
      </c>
      <c r="D82" s="29" t="s">
        <v>41</v>
      </c>
      <c r="E82" s="33" t="n">
        <f aca="false">IF(D82="totale",(C82/(A82*24))/F82,IF(D82="marché libre",(C82/(A82*24))/G82,"spécifier histo"))</f>
        <v>0.101476900215564</v>
      </c>
      <c r="F82" s="59" t="n">
        <v>3372</v>
      </c>
      <c r="G82" s="59" t="n">
        <f aca="false">F82-H82</f>
        <v>0</v>
      </c>
      <c r="H82" s="58" t="n">
        <v>3372</v>
      </c>
      <c r="J82" s="70"/>
      <c r="K82" s="0"/>
      <c r="L82" s="0"/>
      <c r="M82" s="0"/>
      <c r="N82" s="0"/>
      <c r="O82" s="0"/>
      <c r="P82" s="0"/>
      <c r="Q82" s="0"/>
      <c r="R82" s="0"/>
      <c r="S82" s="0"/>
      <c r="T82" s="0"/>
      <c r="U82" s="0"/>
      <c r="V82" s="0"/>
      <c r="W82" s="0"/>
      <c r="X82" s="0"/>
      <c r="Y82" s="0"/>
      <c r="Z82" s="0"/>
      <c r="AA82" s="0"/>
      <c r="AB82" s="0"/>
    </row>
    <row r="83" customFormat="false" ht="19.85" hidden="false" customHeight="true" outlineLevel="0" collapsed="false">
      <c r="A83" s="0" t="n">
        <v>28</v>
      </c>
      <c r="B83" s="34" t="n">
        <v>38384</v>
      </c>
      <c r="C83" s="1" t="n">
        <v>108724</v>
      </c>
      <c r="D83" s="29" t="s">
        <v>41</v>
      </c>
      <c r="E83" s="33" t="n">
        <f aca="false">IF(D83="totale",(C83/(A83*24))/F83,IF(D83="marché libre",(C83/(A83*24))/G83,"spécifier histo"))</f>
        <v>0.0479809213127718</v>
      </c>
      <c r="F83" s="59" t="n">
        <v>3372</v>
      </c>
      <c r="G83" s="59" t="n">
        <f aca="false">F83-H83</f>
        <v>0</v>
      </c>
      <c r="H83" s="58" t="n">
        <v>3372</v>
      </c>
      <c r="J83" s="237"/>
      <c r="K83" s="0"/>
      <c r="L83" s="0"/>
      <c r="M83" s="0"/>
      <c r="N83" s="0"/>
      <c r="O83" s="0"/>
      <c r="P83" s="0"/>
      <c r="Q83" s="0"/>
      <c r="R83" s="0"/>
      <c r="S83" s="0"/>
      <c r="T83" s="0"/>
      <c r="U83" s="0"/>
      <c r="V83" s="0"/>
      <c r="W83" s="0"/>
      <c r="X83" s="0"/>
      <c r="Y83" s="0"/>
      <c r="Z83" s="0"/>
      <c r="AA83" s="0"/>
      <c r="AB83" s="0"/>
    </row>
    <row r="84" customFormat="false" ht="19.85" hidden="false" customHeight="true" outlineLevel="0" collapsed="false">
      <c r="A84" s="0" t="n">
        <v>31</v>
      </c>
      <c r="B84" s="31" t="n">
        <v>38412</v>
      </c>
      <c r="C84" s="1" t="n">
        <v>152551</v>
      </c>
      <c r="D84" s="29" t="s">
        <v>41</v>
      </c>
      <c r="E84" s="33" t="n">
        <f aca="false">IF(D84="totale",(C84/(A84*24))/F84,IF(D84="marché libre",(C84/(A84*24))/G84,"spécifier histo"))</f>
        <v>0.0608071372083828</v>
      </c>
      <c r="F84" s="59" t="n">
        <v>3372</v>
      </c>
      <c r="G84" s="59" t="n">
        <f aca="false">F84-H84</f>
        <v>0</v>
      </c>
      <c r="H84" s="58" t="n">
        <v>3372</v>
      </c>
      <c r="J84" s="0"/>
      <c r="K84" s="0"/>
      <c r="L84" s="0"/>
      <c r="M84" s="0"/>
      <c r="N84" s="0"/>
      <c r="O84" s="0"/>
      <c r="P84" s="0"/>
      <c r="Q84" s="0"/>
      <c r="R84" s="0"/>
      <c r="S84" s="0"/>
      <c r="T84" s="0"/>
      <c r="U84" s="0"/>
      <c r="V84" s="0"/>
      <c r="W84" s="0"/>
      <c r="X84" s="0"/>
      <c r="Y84" s="0"/>
      <c r="Z84" s="0"/>
      <c r="AA84" s="0"/>
      <c r="AB84" s="0"/>
    </row>
    <row r="85" customFormat="false" ht="19.85" hidden="false" customHeight="true" outlineLevel="0" collapsed="false">
      <c r="A85" s="0" t="n">
        <v>30</v>
      </c>
      <c r="B85" s="34" t="n">
        <v>38443</v>
      </c>
      <c r="C85" s="1" t="n">
        <v>349574</v>
      </c>
      <c r="D85" s="29" t="s">
        <v>41</v>
      </c>
      <c r="E85" s="33" t="n">
        <f aca="false">IF(D85="totale",(C85/(A85*24))/F85,IF(D85="marché libre",(C85/(A85*24))/G85,"spécifier histo"))</f>
        <v>0.143985600369052</v>
      </c>
      <c r="F85" s="59" t="n">
        <v>3372</v>
      </c>
      <c r="G85" s="59" t="n">
        <f aca="false">F85-H85</f>
        <v>0</v>
      </c>
      <c r="H85" s="58" t="n">
        <v>3372</v>
      </c>
      <c r="J85" s="0"/>
      <c r="K85" s="0"/>
      <c r="L85" s="0"/>
      <c r="M85" s="0"/>
      <c r="N85" s="0"/>
      <c r="O85" s="0"/>
      <c r="P85" s="0"/>
      <c r="Q85" s="0"/>
      <c r="R85" s="0"/>
      <c r="S85" s="269"/>
      <c r="T85" s="0"/>
      <c r="U85" s="269"/>
      <c r="V85" s="0"/>
      <c r="W85" s="0"/>
      <c r="Z85" s="0"/>
    </row>
    <row r="86" customFormat="false" ht="19.85" hidden="false" customHeight="true" outlineLevel="0" collapsed="false">
      <c r="A86" s="0" t="n">
        <v>31</v>
      </c>
      <c r="B86" s="31" t="n">
        <v>38473</v>
      </c>
      <c r="C86" s="1" t="n">
        <v>1998828</v>
      </c>
      <c r="D86" s="29" t="s">
        <v>41</v>
      </c>
      <c r="E86" s="33" t="n">
        <f aca="false">IF(D86="totale",(C86/(A86*24))/F86,IF(D86="marché libre",(C86/(A86*24))/G86,"spécifier histo"))</f>
        <v>0.796736884399036</v>
      </c>
      <c r="F86" s="59" t="n">
        <v>3372</v>
      </c>
      <c r="G86" s="59" t="n">
        <f aca="false">F86-H86</f>
        <v>0</v>
      </c>
      <c r="H86" s="58" t="n">
        <v>3372</v>
      </c>
      <c r="J86" s="0"/>
      <c r="K86" s="0"/>
      <c r="L86" s="0"/>
      <c r="M86" s="0"/>
      <c r="N86" s="0"/>
      <c r="O86" s="0"/>
      <c r="P86" s="0"/>
      <c r="Q86" s="0"/>
      <c r="R86" s="0"/>
      <c r="T86" s="0"/>
      <c r="V86" s="0"/>
      <c r="W86" s="0"/>
      <c r="Z86" s="0"/>
    </row>
    <row r="87" customFormat="false" ht="19.85" hidden="false" customHeight="true" outlineLevel="0" collapsed="false">
      <c r="A87" s="0" t="n">
        <v>30</v>
      </c>
      <c r="B87" s="34" t="n">
        <v>38504</v>
      </c>
      <c r="C87" s="1" t="n">
        <v>1503233</v>
      </c>
      <c r="D87" s="29" t="s">
        <v>41</v>
      </c>
      <c r="E87" s="33" t="n">
        <f aca="false">IF(D87="totale",(C87/(A87*24))/F87,IF(D87="marché libre",(C87/(A87*24))/G87,"spécifier histo"))</f>
        <v>0.619164771978384</v>
      </c>
      <c r="F87" s="59" t="n">
        <v>3372</v>
      </c>
      <c r="G87" s="59" t="n">
        <f aca="false">F87-H87</f>
        <v>0</v>
      </c>
      <c r="H87" s="58" t="n">
        <v>3372</v>
      </c>
      <c r="J87" s="0"/>
      <c r="K87" s="0"/>
      <c r="L87" s="0"/>
      <c r="M87" s="0"/>
      <c r="N87" s="0"/>
      <c r="O87" s="0"/>
      <c r="P87" s="0"/>
      <c r="Q87" s="0"/>
      <c r="R87" s="0"/>
      <c r="T87" s="0"/>
      <c r="V87" s="0"/>
      <c r="W87" s="0"/>
      <c r="Z87" s="0"/>
    </row>
    <row r="88" customFormat="false" ht="19.85" hidden="false" customHeight="true" outlineLevel="0" collapsed="false">
      <c r="A88" s="0" t="n">
        <v>31</v>
      </c>
      <c r="B88" s="31" t="n">
        <v>38534</v>
      </c>
      <c r="C88" s="1" t="n">
        <v>878485</v>
      </c>
      <c r="D88" s="29" t="s">
        <v>41</v>
      </c>
      <c r="E88" s="33" t="n">
        <f aca="false">IF(D88="totale",(C88/(A88*24))/F88,IF(D88="marché libre",(C88/(A88*24))/G88,"spécifier histo"))</f>
        <v>0.350165898161966</v>
      </c>
      <c r="F88" s="59" t="n">
        <v>3372</v>
      </c>
      <c r="G88" s="59" t="n">
        <f aca="false">F88-H88</f>
        <v>0</v>
      </c>
      <c r="H88" s="58" t="n">
        <v>3372</v>
      </c>
      <c r="J88" s="0"/>
      <c r="K88" s="0"/>
      <c r="L88" s="0"/>
      <c r="M88" s="0"/>
      <c r="N88" s="0"/>
      <c r="O88" s="0"/>
      <c r="P88" s="0"/>
      <c r="Q88" s="0"/>
      <c r="R88" s="0"/>
      <c r="T88" s="0"/>
      <c r="V88" s="0"/>
      <c r="W88" s="0"/>
      <c r="Z88" s="0"/>
    </row>
    <row r="89" customFormat="false" ht="19.85" hidden="false" customHeight="true" outlineLevel="0" collapsed="false">
      <c r="A89" s="0" t="n">
        <v>31</v>
      </c>
      <c r="B89" s="34" t="n">
        <v>38565</v>
      </c>
      <c r="C89" s="1" t="n">
        <v>404801</v>
      </c>
      <c r="D89" s="29" t="s">
        <v>41</v>
      </c>
      <c r="E89" s="33" t="n">
        <f aca="false">IF(D89="totale",(C89/(A89*24))/F89,IF(D89="marché libre",(C89/(A89*24))/G89,"spécifier histo"))</f>
        <v>0.161354497506346</v>
      </c>
      <c r="F89" s="59" t="n">
        <v>3372</v>
      </c>
      <c r="G89" s="59" t="n">
        <f aca="false">F89-H89</f>
        <v>0</v>
      </c>
      <c r="H89" s="58" t="n">
        <v>3372</v>
      </c>
      <c r="J89" s="70"/>
      <c r="K89" s="0"/>
      <c r="L89" s="0"/>
      <c r="M89" s="0"/>
      <c r="N89" s="0"/>
      <c r="O89" s="0"/>
      <c r="Q89" s="0"/>
      <c r="R89" s="0"/>
      <c r="T89" s="0"/>
      <c r="V89" s="0"/>
      <c r="W89" s="0"/>
      <c r="Z89" s="0"/>
    </row>
    <row r="90" customFormat="false" ht="19.85" hidden="false" customHeight="true" outlineLevel="0" collapsed="false">
      <c r="A90" s="0" t="n">
        <v>30</v>
      </c>
      <c r="B90" s="31" t="n">
        <v>38596</v>
      </c>
      <c r="C90" s="1" t="n">
        <v>550574</v>
      </c>
      <c r="D90" s="29" t="s">
        <v>41</v>
      </c>
      <c r="E90" s="33" t="n">
        <f aca="false">IF(D90="totale",(C90/(A90*24))/F90,IF(D90="marché libre",(C90/(A90*24))/G90,"spécifier histo"))</f>
        <v>0.226775240543034</v>
      </c>
      <c r="F90" s="59" t="n">
        <v>3372</v>
      </c>
      <c r="G90" s="59" t="n">
        <f aca="false">F90-H90</f>
        <v>0</v>
      </c>
      <c r="H90" s="58" t="n">
        <v>3372</v>
      </c>
      <c r="J90" s="70"/>
      <c r="K90" s="0"/>
      <c r="L90" s="0"/>
      <c r="M90" s="0"/>
      <c r="N90" s="0"/>
      <c r="O90" s="0"/>
      <c r="Q90" s="0"/>
      <c r="R90" s="0"/>
      <c r="T90" s="0"/>
      <c r="V90" s="0"/>
      <c r="W90" s="0"/>
      <c r="Z90" s="0"/>
    </row>
    <row r="91" customFormat="false" ht="19.85" hidden="false" customHeight="true" outlineLevel="0" collapsed="false">
      <c r="A91" s="0" t="n">
        <v>31</v>
      </c>
      <c r="B91" s="34" t="n">
        <v>38626</v>
      </c>
      <c r="C91" s="1" t="n">
        <v>881066</v>
      </c>
      <c r="D91" s="29" t="s">
        <v>41</v>
      </c>
      <c r="E91" s="33" t="n">
        <f aca="false">IF(D91="totale",(C91/(A91*24))/F91,IF(D91="marché libre",(C91/(A91*24))/G91,"spécifier histo"))</f>
        <v>0.351194689983291</v>
      </c>
      <c r="F91" s="59" t="n">
        <v>3372</v>
      </c>
      <c r="G91" s="59" t="n">
        <f aca="false">F91-H91</f>
        <v>0</v>
      </c>
      <c r="H91" s="58" t="n">
        <v>3372</v>
      </c>
      <c r="J91" s="70"/>
      <c r="K91" s="0"/>
      <c r="L91" s="0"/>
      <c r="M91" s="0"/>
      <c r="N91" s="0"/>
      <c r="O91" s="0"/>
      <c r="P91" s="38"/>
      <c r="Q91" s="0"/>
      <c r="R91" s="0"/>
      <c r="S91" s="38"/>
      <c r="T91" s="0"/>
      <c r="U91" s="38"/>
      <c r="V91" s="0"/>
      <c r="W91" s="0"/>
      <c r="X91" s="38"/>
      <c r="Y91" s="38"/>
      <c r="Z91" s="0"/>
      <c r="AA91" s="38"/>
      <c r="AB91" s="38"/>
      <c r="AC91" s="38"/>
      <c r="AD91" s="38"/>
    </row>
    <row r="92" customFormat="false" ht="19.85" hidden="false" customHeight="true" outlineLevel="0" collapsed="false">
      <c r="A92" s="0" t="n">
        <v>30</v>
      </c>
      <c r="B92" s="31" t="n">
        <v>38657</v>
      </c>
      <c r="C92" s="1" t="n">
        <v>574108</v>
      </c>
      <c r="D92" s="29" t="s">
        <v>41</v>
      </c>
      <c r="E92" s="33" t="n">
        <f aca="false">IF(D92="totale",(C92/(A92*24))/F92,IF(D92="marché libre",(C92/(A92*24))/G92,"spécifier histo"))</f>
        <v>0.23646863055226</v>
      </c>
      <c r="F92" s="59" t="n">
        <v>3372</v>
      </c>
      <c r="G92" s="59" t="n">
        <f aca="false">F92-H92</f>
        <v>0</v>
      </c>
      <c r="H92" s="58" t="n">
        <v>3372</v>
      </c>
      <c r="J92" s="70"/>
      <c r="K92" s="0"/>
      <c r="L92" s="0"/>
      <c r="M92" s="0"/>
      <c r="N92" s="0"/>
      <c r="O92" s="0"/>
      <c r="P92" s="0"/>
      <c r="Q92" s="0"/>
      <c r="R92" s="0"/>
      <c r="S92" s="0"/>
      <c r="T92" s="0"/>
      <c r="U92" s="0"/>
      <c r="V92" s="0"/>
      <c r="W92" s="0"/>
      <c r="Z92" s="0"/>
    </row>
    <row r="93" customFormat="false" ht="19.85" hidden="false" customHeight="true" outlineLevel="0" collapsed="false">
      <c r="A93" s="0" t="n">
        <v>31</v>
      </c>
      <c r="B93" s="34" t="n">
        <v>38687</v>
      </c>
      <c r="C93" s="1" t="n">
        <v>265617</v>
      </c>
      <c r="D93" s="29" t="s">
        <v>41</v>
      </c>
      <c r="E93" s="33" t="n">
        <f aca="false">IF(D93="totale",(C93/(A93*24))/F93,IF(D93="marché libre",(C93/(A93*24))/G93,"spécifier histo"))</f>
        <v>0.105875473539203</v>
      </c>
      <c r="F93" s="59" t="n">
        <v>3372</v>
      </c>
      <c r="G93" s="59" t="n">
        <f aca="false">F93-H93</f>
        <v>0</v>
      </c>
      <c r="H93" s="58" t="n">
        <v>3372</v>
      </c>
      <c r="J93" s="70"/>
      <c r="K93" s="0"/>
      <c r="L93" s="0"/>
      <c r="M93" s="0"/>
      <c r="N93" s="0"/>
      <c r="O93" s="0"/>
      <c r="P93" s="0"/>
      <c r="Q93" s="0"/>
      <c r="R93" s="0"/>
      <c r="S93" s="0"/>
      <c r="T93" s="0"/>
      <c r="U93" s="0"/>
      <c r="W93" s="0"/>
      <c r="Z93" s="0"/>
    </row>
    <row r="94" customFormat="false" ht="19.85" hidden="false" customHeight="true" outlineLevel="0" collapsed="false">
      <c r="A94" s="0" t="n">
        <v>31</v>
      </c>
      <c r="B94" s="31" t="n">
        <v>38718</v>
      </c>
      <c r="C94" s="1" t="n">
        <v>169820</v>
      </c>
      <c r="D94" s="29" t="s">
        <v>41</v>
      </c>
      <c r="E94" s="33" t="n">
        <f aca="false">IF(D94="totale",(C94/(A94*24))/F94,IF(D94="marché libre",(C94/(A94*24))/G94,"spécifier histo"))</f>
        <v>0.0676905955433105</v>
      </c>
      <c r="F94" s="59" t="n">
        <v>3372</v>
      </c>
      <c r="G94" s="59" t="n">
        <f aca="false">F94-H94</f>
        <v>0</v>
      </c>
      <c r="H94" s="58" t="n">
        <v>3372</v>
      </c>
      <c r="J94" s="55"/>
      <c r="K94" s="0"/>
      <c r="L94" s="0"/>
      <c r="M94" s="0"/>
      <c r="N94" s="0"/>
      <c r="O94" s="0"/>
      <c r="P94" s="0"/>
      <c r="Q94" s="0"/>
      <c r="R94" s="0"/>
      <c r="S94" s="0"/>
      <c r="T94" s="0"/>
      <c r="U94" s="0"/>
      <c r="W94" s="0"/>
      <c r="Z94" s="0"/>
    </row>
    <row r="95" customFormat="false" ht="19.85" hidden="false" customHeight="true" outlineLevel="0" collapsed="false">
      <c r="A95" s="0" t="n">
        <v>28</v>
      </c>
      <c r="B95" s="34" t="n">
        <v>38749</v>
      </c>
      <c r="C95" s="1" t="n">
        <v>125870</v>
      </c>
      <c r="D95" s="29" t="s">
        <v>41</v>
      </c>
      <c r="E95" s="33" t="n">
        <f aca="false">IF(D95="totale",(C95/(A95*24))/F95,IF(D95="marché libre",(C95/(A95*24))/G95,"spécifier histo"))</f>
        <v>0.0555476119866689</v>
      </c>
      <c r="F95" s="59" t="n">
        <v>3372</v>
      </c>
      <c r="G95" s="59" t="n">
        <f aca="false">F95-H95</f>
        <v>0</v>
      </c>
      <c r="H95" s="58" t="n">
        <v>3372</v>
      </c>
      <c r="J95" s="55"/>
      <c r="K95" s="0"/>
      <c r="L95" s="0"/>
      <c r="M95" s="0"/>
      <c r="N95" s="0"/>
      <c r="O95" s="0"/>
      <c r="P95" s="0"/>
      <c r="Q95" s="0"/>
      <c r="R95" s="0"/>
      <c r="S95" s="0"/>
      <c r="T95" s="0"/>
      <c r="U95" s="0"/>
      <c r="W95" s="0"/>
      <c r="Z95" s="0"/>
    </row>
    <row r="96" customFormat="false" ht="19.85" hidden="false" customHeight="true" outlineLevel="0" collapsed="false">
      <c r="A96" s="0" t="n">
        <v>31</v>
      </c>
      <c r="B96" s="31" t="n">
        <v>38777</v>
      </c>
      <c r="C96" s="1" t="n">
        <v>189654</v>
      </c>
      <c r="D96" s="29" t="s">
        <v>41</v>
      </c>
      <c r="E96" s="33" t="n">
        <f aca="false">IF(D96="totale",(C96/(A96*24))/F96,IF(D96="marché libre",(C96/(A96*24))/G96,"spécifier histo"))</f>
        <v>0.0755964680671947</v>
      </c>
      <c r="F96" s="59" t="n">
        <v>3372</v>
      </c>
      <c r="G96" s="59" t="n">
        <f aca="false">F96-H96</f>
        <v>0</v>
      </c>
      <c r="H96" s="58" t="n">
        <v>3372</v>
      </c>
      <c r="J96" s="55"/>
      <c r="K96" s="0"/>
      <c r="L96" s="0"/>
      <c r="M96" s="0"/>
      <c r="N96" s="0"/>
      <c r="O96" s="0"/>
      <c r="P96" s="0"/>
      <c r="Q96" s="0"/>
      <c r="R96" s="0"/>
      <c r="S96" s="0"/>
      <c r="T96" s="0"/>
      <c r="U96" s="0"/>
      <c r="W96" s="0"/>
      <c r="Z96" s="0"/>
    </row>
    <row r="97" customFormat="false" ht="19.85" hidden="false" customHeight="true" outlineLevel="0" collapsed="false">
      <c r="A97" s="0" t="n">
        <v>30</v>
      </c>
      <c r="B97" s="34" t="n">
        <v>38808</v>
      </c>
      <c r="C97" s="1" t="n">
        <v>568701</v>
      </c>
      <c r="D97" s="29" t="s">
        <v>41</v>
      </c>
      <c r="E97" s="33" t="n">
        <f aca="false">IF(D97="totale",(C97/(A97*24))/F97,IF(D97="marché libre",(C97/(A97*24))/G97,"spécifier histo"))</f>
        <v>0.234241548042705</v>
      </c>
      <c r="F97" s="59" t="n">
        <v>3372</v>
      </c>
      <c r="G97" s="59" t="n">
        <f aca="false">F97-H97</f>
        <v>0</v>
      </c>
      <c r="H97" s="58" t="n">
        <v>3372</v>
      </c>
      <c r="J97" s="55"/>
      <c r="K97" s="0"/>
      <c r="L97" s="0"/>
      <c r="M97" s="0"/>
      <c r="N97" s="0"/>
      <c r="O97" s="0"/>
      <c r="P97" s="0"/>
      <c r="Q97" s="0"/>
      <c r="R97" s="0"/>
      <c r="S97" s="0"/>
      <c r="T97" s="0"/>
      <c r="U97" s="0"/>
      <c r="W97" s="0"/>
    </row>
    <row r="98" customFormat="false" ht="19.85" hidden="false" customHeight="true" outlineLevel="0" collapsed="false">
      <c r="A98" s="0" t="n">
        <v>31</v>
      </c>
      <c r="B98" s="31" t="n">
        <v>38838</v>
      </c>
      <c r="C98" s="1" t="n">
        <v>1958239</v>
      </c>
      <c r="D98" s="29" t="s">
        <v>41</v>
      </c>
      <c r="E98" s="33" t="n">
        <f aca="false">IF(D98="totale",(C98/(A98*24))/F98,IF(D98="marché libre",(C98/(A98*24))/G98,"spécifier histo"))</f>
        <v>0.780558026888098</v>
      </c>
      <c r="F98" s="59" t="n">
        <v>3372</v>
      </c>
      <c r="G98" s="59" t="n">
        <f aca="false">F98-H98</f>
        <v>0</v>
      </c>
      <c r="H98" s="58" t="n">
        <v>3372</v>
      </c>
      <c r="J98" s="55"/>
      <c r="K98" s="0"/>
      <c r="L98" s="0"/>
      <c r="M98" s="0"/>
      <c r="N98" s="0"/>
      <c r="O98" s="0"/>
      <c r="P98" s="0"/>
      <c r="Q98" s="0"/>
      <c r="R98" s="0"/>
      <c r="S98" s="0"/>
      <c r="T98" s="0"/>
      <c r="U98" s="0"/>
      <c r="W98" s="0"/>
    </row>
    <row r="99" customFormat="false" ht="19.85" hidden="false" customHeight="true" outlineLevel="0" collapsed="false">
      <c r="A99" s="0" t="n">
        <v>30</v>
      </c>
      <c r="B99" s="34" t="n">
        <v>38869</v>
      </c>
      <c r="C99" s="1" t="n">
        <v>1923767</v>
      </c>
      <c r="D99" s="29" t="s">
        <v>41</v>
      </c>
      <c r="E99" s="33" t="n">
        <f aca="false">IF(D99="totale",(C99/(A99*24))/F99,IF(D99="marché libre",(C99/(A99*24))/G99,"spécifier histo"))</f>
        <v>0.792377998550152</v>
      </c>
      <c r="F99" s="59" t="n">
        <v>3372</v>
      </c>
      <c r="G99" s="59" t="n">
        <f aca="false">F99-H99</f>
        <v>0</v>
      </c>
      <c r="H99" s="58" t="n">
        <v>3372</v>
      </c>
      <c r="J99" s="55"/>
      <c r="K99" s="0"/>
      <c r="L99" s="0"/>
      <c r="M99" s="0"/>
      <c r="N99" s="0"/>
      <c r="O99" s="0"/>
      <c r="P99" s="0"/>
      <c r="Q99" s="0"/>
      <c r="R99" s="0"/>
      <c r="S99" s="0"/>
      <c r="T99" s="0"/>
      <c r="U99" s="0"/>
      <c r="W99" s="0"/>
    </row>
    <row r="100" customFormat="false" ht="19.85" hidden="false" customHeight="true" outlineLevel="0" collapsed="false">
      <c r="A100" s="0" t="n">
        <v>31</v>
      </c>
      <c r="B100" s="31" t="n">
        <v>38899</v>
      </c>
      <c r="C100" s="1" t="n">
        <v>1003224</v>
      </c>
      <c r="D100" s="29" t="s">
        <v>41</v>
      </c>
      <c r="E100" s="33" t="n">
        <f aca="false">IF(D100="totale",(C100/(A100*24))/F100,IF(D100="marché libre",(C100/(A100*24))/G100,"spécifier histo"))</f>
        <v>0.399887115907091</v>
      </c>
      <c r="F100" s="59" t="n">
        <v>3372</v>
      </c>
      <c r="G100" s="59" t="n">
        <f aca="false">F100-H100</f>
        <v>0</v>
      </c>
      <c r="H100" s="58" t="n">
        <v>3372</v>
      </c>
      <c r="J100" s="55"/>
      <c r="K100" s="0"/>
      <c r="L100" s="0"/>
      <c r="M100" s="0"/>
      <c r="N100" s="0"/>
      <c r="O100" s="0"/>
      <c r="P100" s="0"/>
      <c r="Q100" s="0"/>
      <c r="R100" s="0"/>
      <c r="S100" s="0"/>
      <c r="T100" s="0"/>
      <c r="U100" s="0"/>
      <c r="W100" s="0"/>
    </row>
    <row r="101" customFormat="false" ht="19.85" hidden="false" customHeight="true" outlineLevel="0" collapsed="false">
      <c r="A101" s="0" t="n">
        <v>31</v>
      </c>
      <c r="B101" s="34" t="n">
        <v>38930</v>
      </c>
      <c r="C101" s="1" t="n">
        <v>573025</v>
      </c>
      <c r="D101" s="29" t="s">
        <v>41</v>
      </c>
      <c r="E101" s="33" t="n">
        <f aca="false">IF(D101="totale",(C101/(A101*24))/F101,IF(D101="marché libre",(C101/(A101*24))/G101,"spécifier histo"))</f>
        <v>0.228408924220972</v>
      </c>
      <c r="F101" s="59" t="n">
        <v>3372</v>
      </c>
      <c r="G101" s="59" t="n">
        <f aca="false">F101-H101</f>
        <v>0</v>
      </c>
      <c r="H101" s="58" t="n">
        <v>3372</v>
      </c>
      <c r="J101" s="55"/>
      <c r="K101" s="0"/>
      <c r="L101" s="0"/>
      <c r="M101" s="0"/>
      <c r="N101" s="0"/>
      <c r="O101" s="0"/>
      <c r="P101" s="0"/>
      <c r="Q101" s="0"/>
      <c r="R101" s="0"/>
      <c r="S101" s="0"/>
      <c r="T101" s="0"/>
      <c r="U101" s="0"/>
      <c r="W101" s="0"/>
    </row>
    <row r="102" customFormat="false" ht="19.85" hidden="false" customHeight="true" outlineLevel="0" collapsed="false">
      <c r="A102" s="0" t="n">
        <v>30</v>
      </c>
      <c r="B102" s="31" t="n">
        <v>38961</v>
      </c>
      <c r="C102" s="1" t="n">
        <v>677334</v>
      </c>
      <c r="D102" s="29" t="s">
        <v>41</v>
      </c>
      <c r="E102" s="33" t="n">
        <f aca="false">IF(D102="totale",(C102/(A102*24))/F102,IF(D102="marché libre",(C102/(A102*24))/G102,"spécifier histo"))</f>
        <v>0.278986259391064</v>
      </c>
      <c r="F102" s="59" t="n">
        <v>3372</v>
      </c>
      <c r="G102" s="59" t="n">
        <f aca="false">F102-H102</f>
        <v>0</v>
      </c>
      <c r="H102" s="58" t="n">
        <v>3372</v>
      </c>
      <c r="J102" s="55"/>
      <c r="K102" s="0"/>
      <c r="L102" s="0"/>
      <c r="M102" s="0"/>
      <c r="N102" s="0"/>
      <c r="O102" s="0"/>
      <c r="P102" s="0"/>
      <c r="Q102" s="0"/>
      <c r="R102" s="0"/>
      <c r="S102" s="0"/>
      <c r="T102" s="0"/>
      <c r="U102" s="0"/>
      <c r="W102" s="0"/>
    </row>
    <row r="103" customFormat="false" ht="19.85" hidden="false" customHeight="true" outlineLevel="0" collapsed="false">
      <c r="A103" s="0" t="n">
        <v>31</v>
      </c>
      <c r="B103" s="34" t="n">
        <v>38991</v>
      </c>
      <c r="C103" s="1" t="n">
        <v>1273660</v>
      </c>
      <c r="D103" s="29" t="s">
        <v>41</v>
      </c>
      <c r="E103" s="33" t="n">
        <f aca="false">IF(D103="totale",(C103/(A103*24))/F103,IF(D103="marché libre",(C103/(A103*24))/G103,"spécifier histo"))</f>
        <v>0.507683452595059</v>
      </c>
      <c r="F103" s="59" t="n">
        <v>3372</v>
      </c>
      <c r="G103" s="59" t="n">
        <f aca="false">F103-H103</f>
        <v>0</v>
      </c>
      <c r="H103" s="58" t="n">
        <v>3372</v>
      </c>
      <c r="J103" s="55"/>
      <c r="K103" s="0"/>
      <c r="L103" s="0"/>
      <c r="M103" s="0"/>
      <c r="N103" s="0"/>
      <c r="O103" s="0"/>
      <c r="P103" s="0"/>
      <c r="Q103" s="0"/>
      <c r="R103" s="0"/>
      <c r="S103" s="0"/>
      <c r="T103" s="0"/>
      <c r="U103" s="0"/>
      <c r="W103" s="0"/>
    </row>
    <row r="104" customFormat="false" ht="19.85" hidden="false" customHeight="true" outlineLevel="0" collapsed="false">
      <c r="A104" s="0" t="n">
        <v>30</v>
      </c>
      <c r="B104" s="31" t="n">
        <v>39022</v>
      </c>
      <c r="C104" s="1" t="n">
        <v>731758</v>
      </c>
      <c r="D104" s="29" t="s">
        <v>41</v>
      </c>
      <c r="E104" s="33" t="n">
        <f aca="false">IF(D104="totale",(C104/(A104*24))/F104,IF(D104="marché libre",(C104/(A104*24))/G104,"spécifier histo"))</f>
        <v>0.30140289310663</v>
      </c>
      <c r="F104" s="59" t="n">
        <v>3372</v>
      </c>
      <c r="G104" s="59" t="n">
        <f aca="false">F104-H104</f>
        <v>0</v>
      </c>
      <c r="H104" s="58" t="n">
        <v>3372</v>
      </c>
      <c r="J104" s="55"/>
      <c r="K104" s="0"/>
      <c r="L104" s="0"/>
      <c r="O104" s="0"/>
      <c r="P104" s="0"/>
      <c r="Q104" s="0"/>
      <c r="R104" s="0"/>
      <c r="T104" s="0"/>
      <c r="W104" s="0"/>
    </row>
    <row r="105" customFormat="false" ht="19.85" hidden="false" customHeight="true" outlineLevel="0" collapsed="false">
      <c r="A105" s="0" t="n">
        <v>31</v>
      </c>
      <c r="B105" s="34" t="n">
        <v>39052</v>
      </c>
      <c r="C105" s="1" t="n">
        <v>369734</v>
      </c>
      <c r="D105" s="29" t="s">
        <v>41</v>
      </c>
      <c r="E105" s="33" t="n">
        <f aca="false">IF(D105="totale",(C105/(A105*24))/F105,IF(D105="marché libre",(C105/(A105*24))/G105,"spécifier histo"))</f>
        <v>0.147376720366331</v>
      </c>
      <c r="F105" s="59" t="n">
        <v>3372</v>
      </c>
      <c r="G105" s="59" t="n">
        <f aca="false">F105-H105</f>
        <v>0</v>
      </c>
      <c r="H105" s="58" t="n">
        <v>3372</v>
      </c>
      <c r="J105" s="55"/>
      <c r="K105" s="0"/>
      <c r="L105" s="0"/>
      <c r="O105" s="0"/>
      <c r="P105" s="0"/>
      <c r="Q105" s="0"/>
      <c r="R105" s="0"/>
      <c r="T105" s="0"/>
      <c r="W105" s="0"/>
    </row>
    <row r="106" customFormat="false" ht="19.85" hidden="false" customHeight="true" outlineLevel="0" collapsed="false">
      <c r="A106" s="0" t="n">
        <v>31</v>
      </c>
      <c r="B106" s="31" t="n">
        <v>39083</v>
      </c>
      <c r="C106" s="1" t="n">
        <v>227727</v>
      </c>
      <c r="D106" s="29" t="s">
        <v>41</v>
      </c>
      <c r="E106" s="33" t="n">
        <f aca="false">IF(D106="totale",(C106/(A106*24))/F106,IF(D106="marché libre",(C106/(A106*24))/G106,"spécifier histo"))</f>
        <v>0.0907724428883021</v>
      </c>
      <c r="F106" s="59" t="n">
        <v>3372</v>
      </c>
      <c r="G106" s="59" t="n">
        <f aca="false">F106-H106</f>
        <v>0</v>
      </c>
      <c r="H106" s="58" t="n">
        <v>3372</v>
      </c>
      <c r="J106" s="55"/>
      <c r="K106" s="0"/>
      <c r="L106" s="0"/>
      <c r="O106" s="0"/>
      <c r="P106" s="0"/>
      <c r="Q106" s="0"/>
      <c r="R106" s="0"/>
      <c r="T106" s="0"/>
      <c r="W106" s="0"/>
    </row>
    <row r="107" customFormat="false" ht="19.85" hidden="false" customHeight="true" outlineLevel="0" collapsed="false">
      <c r="A107" s="0" t="n">
        <v>28</v>
      </c>
      <c r="B107" s="34" t="n">
        <v>39114</v>
      </c>
      <c r="C107" s="1" t="n">
        <v>235969</v>
      </c>
      <c r="D107" s="29" t="s">
        <v>41</v>
      </c>
      <c r="E107" s="33" t="n">
        <f aca="false">IF(D107="totale",(C107/(A107*24))/F107,IF(D107="marché libre",(C107/(A107*24))/G107,"spécifier histo"))</f>
        <v>0.104135333700503</v>
      </c>
      <c r="F107" s="59" t="n">
        <v>3372</v>
      </c>
      <c r="G107" s="59" t="n">
        <f aca="false">F107-H107</f>
        <v>0</v>
      </c>
      <c r="H107" s="58" t="n">
        <v>3372</v>
      </c>
      <c r="J107" s="55"/>
      <c r="K107" s="0"/>
      <c r="L107" s="0"/>
      <c r="O107" s="0"/>
      <c r="P107" s="0"/>
      <c r="Q107" s="0"/>
      <c r="R107" s="0"/>
      <c r="T107" s="0"/>
      <c r="W107" s="0"/>
    </row>
    <row r="108" customFormat="false" ht="19.85" hidden="false" customHeight="true" outlineLevel="0" collapsed="false">
      <c r="A108" s="0" t="n">
        <v>31</v>
      </c>
      <c r="B108" s="31" t="n">
        <v>39142</v>
      </c>
      <c r="C108" s="1" t="n">
        <v>168746</v>
      </c>
      <c r="D108" s="29" t="s">
        <v>41</v>
      </c>
      <c r="E108" s="33" t="n">
        <f aca="false">IF(D108="totale",(C108/(A108*24))/F108,IF(D108="marché libre",(C108/(A108*24))/G108,"spécifier histo"))</f>
        <v>0.0672624969706246</v>
      </c>
      <c r="F108" s="59" t="n">
        <v>3372</v>
      </c>
      <c r="G108" s="59" t="n">
        <f aca="false">F108-H108</f>
        <v>0</v>
      </c>
      <c r="H108" s="58" t="n">
        <v>3372</v>
      </c>
      <c r="J108" s="55"/>
      <c r="K108" s="0"/>
      <c r="L108" s="0"/>
      <c r="O108" s="0"/>
      <c r="P108" s="0"/>
      <c r="Q108" s="0"/>
      <c r="R108" s="0"/>
      <c r="T108" s="0"/>
      <c r="W108" s="0"/>
    </row>
    <row r="109" customFormat="false" ht="19.85" hidden="false" customHeight="true" outlineLevel="0" collapsed="false">
      <c r="A109" s="0" t="n">
        <v>30</v>
      </c>
      <c r="B109" s="34" t="n">
        <v>39173</v>
      </c>
      <c r="C109" s="1" t="n">
        <v>838909</v>
      </c>
      <c r="D109" s="29" t="s">
        <v>41</v>
      </c>
      <c r="E109" s="33" t="n">
        <f aca="false">IF(D109="totale",(C109/(A109*24))/F109,IF(D109="marché libre",(C109/(A109*24))/G109,"spécifier histo"))</f>
        <v>0.34553718531699</v>
      </c>
      <c r="F109" s="59" t="n">
        <v>3372</v>
      </c>
      <c r="G109" s="59" t="n">
        <f aca="false">F109-H109</f>
        <v>0</v>
      </c>
      <c r="H109" s="58" t="n">
        <v>3372</v>
      </c>
      <c r="J109" s="55"/>
      <c r="K109" s="0"/>
      <c r="L109" s="0"/>
      <c r="P109" s="0"/>
      <c r="Q109" s="0"/>
      <c r="R109" s="0"/>
      <c r="T109" s="0"/>
      <c r="W109" s="0"/>
    </row>
    <row r="110" customFormat="false" ht="19.85" hidden="false" customHeight="true" outlineLevel="0" collapsed="false">
      <c r="A110" s="0" t="n">
        <v>31</v>
      </c>
      <c r="B110" s="31" t="n">
        <v>39203</v>
      </c>
      <c r="C110" s="1" t="n">
        <v>1876417</v>
      </c>
      <c r="D110" s="29" t="s">
        <v>41</v>
      </c>
      <c r="E110" s="33" t="n">
        <f aca="false">IF(D110="totale",(C110/(A110*24))/F110,IF(D110="marché libre",(C110/(A110*24))/G110,"spécifier histo"))</f>
        <v>0.74794361216342</v>
      </c>
      <c r="F110" s="59" t="n">
        <v>3372</v>
      </c>
      <c r="G110" s="59" t="n">
        <f aca="false">F110-H110</f>
        <v>0</v>
      </c>
      <c r="H110" s="58" t="n">
        <v>3372</v>
      </c>
      <c r="J110" s="55"/>
      <c r="K110" s="0"/>
      <c r="L110" s="0"/>
      <c r="P110" s="0"/>
      <c r="Q110" s="0"/>
      <c r="R110" s="0"/>
      <c r="T110" s="0"/>
      <c r="W110" s="0"/>
    </row>
    <row r="111" customFormat="false" ht="19.85" hidden="false" customHeight="true" outlineLevel="0" collapsed="false">
      <c r="A111" s="0" t="n">
        <v>30</v>
      </c>
      <c r="B111" s="34" t="n">
        <v>39234</v>
      </c>
      <c r="C111" s="1" t="n">
        <v>1928043</v>
      </c>
      <c r="D111" s="29" t="s">
        <v>41</v>
      </c>
      <c r="E111" s="33" t="n">
        <f aca="false">IF(D111="totale",(C111/(A111*24))/F111,IF(D111="marché libre",(C111/(A111*24))/G111,"spécifier histo"))</f>
        <v>0.794139234875445</v>
      </c>
      <c r="F111" s="59" t="n">
        <v>3372</v>
      </c>
      <c r="G111" s="59" t="n">
        <f aca="false">F111-H111</f>
        <v>0</v>
      </c>
      <c r="H111" s="58" t="n">
        <v>3372</v>
      </c>
      <c r="J111" s="55"/>
      <c r="K111" s="0"/>
      <c r="L111" s="0"/>
      <c r="P111" s="0"/>
      <c r="Q111" s="0"/>
      <c r="R111" s="0"/>
      <c r="T111" s="0"/>
      <c r="W111" s="0"/>
    </row>
    <row r="112" customFormat="false" ht="19.85" hidden="false" customHeight="true" outlineLevel="0" collapsed="false">
      <c r="A112" s="0" t="n">
        <v>31</v>
      </c>
      <c r="B112" s="31" t="n">
        <v>39264</v>
      </c>
      <c r="C112" s="1" t="n">
        <v>739407</v>
      </c>
      <c r="D112" s="29" t="s">
        <v>41</v>
      </c>
      <c r="E112" s="33" t="n">
        <f aca="false">IF(D112="totale",(C112/(A112*24))/F112,IF(D112="marché libre",(C112/(A112*24))/G112,"spécifier histo"))</f>
        <v>0.29472912600926</v>
      </c>
      <c r="F112" s="59" t="n">
        <v>3372</v>
      </c>
      <c r="G112" s="59" t="n">
        <f aca="false">F112-H112</f>
        <v>0</v>
      </c>
      <c r="H112" s="58" t="n">
        <v>3372</v>
      </c>
      <c r="J112" s="55"/>
      <c r="K112" s="0"/>
      <c r="L112" s="0"/>
      <c r="P112" s="0"/>
      <c r="Q112" s="0"/>
      <c r="R112" s="0"/>
      <c r="T112" s="0"/>
      <c r="W112" s="0"/>
    </row>
    <row r="113" customFormat="false" ht="19.85" hidden="false" customHeight="true" outlineLevel="0" collapsed="false">
      <c r="A113" s="0" t="n">
        <v>31</v>
      </c>
      <c r="B113" s="34" t="n">
        <v>39295</v>
      </c>
      <c r="C113" s="1" t="n">
        <v>131892</v>
      </c>
      <c r="D113" s="29" t="s">
        <v>41</v>
      </c>
      <c r="E113" s="33" t="n">
        <f aca="false">IF(D113="totale",(C113/(A113*24))/F113,IF(D113="marché libre",(C113/(A113*24))/G113,"spécifier histo"))</f>
        <v>0.0525724180155359</v>
      </c>
      <c r="F113" s="59" t="n">
        <v>3372</v>
      </c>
      <c r="G113" s="59" t="n">
        <f aca="false">F113-H113</f>
        <v>0</v>
      </c>
      <c r="H113" s="58" t="n">
        <v>3372</v>
      </c>
      <c r="J113" s="55"/>
      <c r="K113" s="0"/>
      <c r="L113" s="0"/>
      <c r="P113" s="0"/>
      <c r="Q113" s="0"/>
      <c r="R113" s="0"/>
      <c r="T113" s="0"/>
      <c r="W113" s="0"/>
    </row>
    <row r="114" customFormat="false" ht="19.85" hidden="false" customHeight="true" outlineLevel="0" collapsed="false">
      <c r="A114" s="0" t="n">
        <v>30</v>
      </c>
      <c r="B114" s="31" t="n">
        <v>39326</v>
      </c>
      <c r="C114" s="1" t="n">
        <v>0</v>
      </c>
      <c r="D114" s="29" t="s">
        <v>41</v>
      </c>
      <c r="E114" s="33" t="n">
        <f aca="false">IF(D114="totale",(C114/(A114*24))/F114,IF(D114="marché libre",(C114/(A114*24))/G114,"spécifier histo"))</f>
        <v>0</v>
      </c>
      <c r="F114" s="59" t="n">
        <v>3372</v>
      </c>
      <c r="G114" s="59" t="n">
        <f aca="false">F114-H114</f>
        <v>0</v>
      </c>
      <c r="H114" s="58" t="n">
        <v>3372</v>
      </c>
      <c r="J114" s="55"/>
      <c r="K114" s="0"/>
      <c r="L114" s="0"/>
      <c r="P114" s="0"/>
      <c r="Q114" s="0"/>
      <c r="R114" s="0"/>
      <c r="T114" s="0"/>
      <c r="W114" s="0"/>
    </row>
    <row r="115" customFormat="false" ht="19.85" hidden="false" customHeight="true" outlineLevel="0" collapsed="false">
      <c r="A115" s="0" t="n">
        <v>31</v>
      </c>
      <c r="B115" s="34" t="n">
        <v>39356</v>
      </c>
      <c r="C115" s="1" t="n">
        <v>234488</v>
      </c>
      <c r="D115" s="29" t="s">
        <v>41</v>
      </c>
      <c r="E115" s="33" t="n">
        <f aca="false">IF(D115="totale",(C115/(A115*24))/F115,IF(D115="marché libre",(C115/(A115*24))/G115,"spécifier histo"))</f>
        <v>0.0934673911657036</v>
      </c>
      <c r="F115" s="59" t="n">
        <v>3372</v>
      </c>
      <c r="G115" s="59" t="n">
        <f aca="false">F115-H115</f>
        <v>0</v>
      </c>
      <c r="H115" s="58" t="n">
        <v>3372</v>
      </c>
      <c r="J115" s="55"/>
      <c r="K115" s="0"/>
      <c r="L115" s="0"/>
      <c r="P115" s="0"/>
      <c r="Q115" s="0"/>
      <c r="R115" s="0"/>
      <c r="T115" s="0"/>
      <c r="W115" s="0"/>
    </row>
    <row r="116" customFormat="false" ht="19.85" hidden="false" customHeight="true" outlineLevel="0" collapsed="false">
      <c r="A116" s="0" t="n">
        <v>30</v>
      </c>
      <c r="B116" s="31" t="n">
        <v>39387</v>
      </c>
      <c r="C116" s="1" t="n">
        <v>105841</v>
      </c>
      <c r="D116" s="29" t="s">
        <v>41</v>
      </c>
      <c r="E116" s="33" t="n">
        <f aca="false">IF(D116="totale",(C116/(A116*24))/F116,IF(D116="marché libre",(C116/(A116*24))/G116,"spécifier histo"))</f>
        <v>0.0435947179385791</v>
      </c>
      <c r="F116" s="59" t="n">
        <v>3372</v>
      </c>
      <c r="G116" s="59" t="n">
        <f aca="false">F116-H116</f>
        <v>0</v>
      </c>
      <c r="H116" s="58" t="n">
        <v>3372</v>
      </c>
      <c r="J116" s="55"/>
      <c r="K116" s="0"/>
      <c r="L116" s="0"/>
      <c r="P116" s="0"/>
      <c r="Q116" s="0"/>
      <c r="R116" s="0"/>
      <c r="T116" s="0"/>
      <c r="W116" s="0"/>
    </row>
    <row r="117" customFormat="false" ht="19.85" hidden="false" customHeight="true" outlineLevel="0" collapsed="false">
      <c r="A117" s="0" t="n">
        <v>31</v>
      </c>
      <c r="B117" s="34" t="n">
        <v>39417</v>
      </c>
      <c r="C117" s="1" t="n">
        <v>89181</v>
      </c>
      <c r="D117" s="29" t="s">
        <v>41</v>
      </c>
      <c r="E117" s="33" t="n">
        <f aca="false">IF(D117="totale",(C117/(A117*24))/F117,IF(D117="marché libre",(C117/(A117*24))/G117,"spécifier histo"))</f>
        <v>0.0355477270118241</v>
      </c>
      <c r="F117" s="59" t="n">
        <v>3372</v>
      </c>
      <c r="G117" s="59" t="n">
        <f aca="false">F117-H117</f>
        <v>0</v>
      </c>
      <c r="H117" s="58" t="n">
        <v>3372</v>
      </c>
      <c r="J117" s="55"/>
      <c r="K117" s="0"/>
      <c r="L117" s="0"/>
      <c r="P117" s="0"/>
      <c r="Q117" s="0"/>
      <c r="R117" s="0"/>
      <c r="W117" s="0"/>
    </row>
    <row r="118" customFormat="false" ht="19.85" hidden="false" customHeight="true" outlineLevel="0" collapsed="false">
      <c r="A118" s="0" t="n">
        <v>31</v>
      </c>
      <c r="B118" s="31" t="n">
        <v>39448</v>
      </c>
      <c r="C118" s="1" t="n">
        <v>41435</v>
      </c>
      <c r="D118" s="29" t="s">
        <v>41</v>
      </c>
      <c r="E118" s="33" t="n">
        <f aca="false">IF(D118="totale",(C118/(A118*24))/F118,IF(D118="marché libre",(C118/(A118*24))/G118,"spécifier histo"))</f>
        <v>0.0165160748223829</v>
      </c>
      <c r="F118" s="59" t="n">
        <v>3372</v>
      </c>
      <c r="G118" s="59" t="n">
        <f aca="false">F118-H118</f>
        <v>0</v>
      </c>
      <c r="H118" s="58" t="n">
        <v>3372</v>
      </c>
      <c r="J118" s="55"/>
      <c r="K118" s="0"/>
      <c r="L118" s="0"/>
      <c r="P118" s="0"/>
      <c r="Q118" s="0"/>
      <c r="R118" s="0"/>
      <c r="W118" s="0"/>
    </row>
    <row r="119" customFormat="false" ht="19.85" hidden="false" customHeight="true" outlineLevel="0" collapsed="false">
      <c r="A119" s="0" t="n">
        <v>28</v>
      </c>
      <c r="B119" s="34" t="n">
        <v>39479</v>
      </c>
      <c r="C119" s="1" t="n">
        <v>20188</v>
      </c>
      <c r="D119" s="29" t="s">
        <v>41</v>
      </c>
      <c r="E119" s="33" t="n">
        <f aca="false">IF(D119="totale",(C119/(A119*24))/F119,IF(D119="marché libre",(C119/(A119*24))/G119,"spécifier histo"))</f>
        <v>0.00890915381573745</v>
      </c>
      <c r="F119" s="59" t="n">
        <v>3372</v>
      </c>
      <c r="G119" s="59" t="n">
        <f aca="false">F119-H119</f>
        <v>0</v>
      </c>
      <c r="H119" s="58" t="n">
        <v>3372</v>
      </c>
      <c r="J119" s="55"/>
      <c r="K119" s="0"/>
      <c r="L119" s="0"/>
      <c r="P119" s="0"/>
      <c r="R119" s="0"/>
      <c r="W119" s="0"/>
    </row>
    <row r="120" customFormat="false" ht="19.85" hidden="false" customHeight="true" outlineLevel="0" collapsed="false">
      <c r="A120" s="0" t="n">
        <v>31</v>
      </c>
      <c r="B120" s="31" t="n">
        <v>39508</v>
      </c>
      <c r="C120" s="1" t="n">
        <v>15025</v>
      </c>
      <c r="D120" s="29" t="s">
        <v>41</v>
      </c>
      <c r="E120" s="33" t="n">
        <f aca="false">IF(D120="totale",(C120/(A120*24))/F120,IF(D120="marché libre",(C120/(A120*24))/G120,"spécifier histo"))</f>
        <v>0.00598899539534943</v>
      </c>
      <c r="F120" s="59" t="n">
        <v>3372</v>
      </c>
      <c r="G120" s="59" t="n">
        <f aca="false">F120-H120</f>
        <v>0</v>
      </c>
      <c r="H120" s="58" t="n">
        <v>3372</v>
      </c>
      <c r="J120" s="55"/>
      <c r="K120" s="0"/>
      <c r="L120" s="0"/>
      <c r="P120" s="0"/>
      <c r="R120" s="0"/>
      <c r="W120" s="0"/>
    </row>
    <row r="121" customFormat="false" ht="19.85" hidden="false" customHeight="true" outlineLevel="0" collapsed="false">
      <c r="A121" s="0" t="n">
        <v>30</v>
      </c>
      <c r="B121" s="34" t="n">
        <v>39539</v>
      </c>
      <c r="C121" s="1" t="n">
        <v>112766</v>
      </c>
      <c r="D121" s="29" t="s">
        <v>41</v>
      </c>
      <c r="E121" s="33" t="n">
        <f aca="false">IF(D121="totale",(C121/(A121*24))/F121,IF(D121="marché libre",(C121/(A121*24))/G121,"spécifier histo"))</f>
        <v>0.0464470475813892</v>
      </c>
      <c r="F121" s="59" t="n">
        <v>3372</v>
      </c>
      <c r="G121" s="59" t="n">
        <f aca="false">F121-H121</f>
        <v>0</v>
      </c>
      <c r="H121" s="58" t="n">
        <v>3372</v>
      </c>
      <c r="J121" s="55"/>
      <c r="K121" s="0"/>
      <c r="L121" s="0"/>
      <c r="P121" s="0"/>
      <c r="R121" s="0"/>
      <c r="W121" s="0"/>
    </row>
    <row r="122" customFormat="false" ht="19.85" hidden="false" customHeight="true" outlineLevel="0" collapsed="false">
      <c r="A122" s="0" t="n">
        <v>31</v>
      </c>
      <c r="B122" s="31" t="n">
        <v>39569</v>
      </c>
      <c r="C122" s="1" t="n">
        <v>1496227</v>
      </c>
      <c r="D122" s="29" t="s">
        <v>41</v>
      </c>
      <c r="E122" s="33" t="n">
        <f aca="false">IF(D122="totale",(C122/(A122*24))/F122,IF(D122="marché libre",(C122/(A122*24))/G122,"spécifier histo"))</f>
        <v>0.596399109044758</v>
      </c>
      <c r="F122" s="59" t="n">
        <v>3372</v>
      </c>
      <c r="G122" s="59" t="n">
        <f aca="false">F122-H122</f>
        <v>0</v>
      </c>
      <c r="H122" s="58" t="n">
        <v>3372</v>
      </c>
      <c r="J122" s="55"/>
      <c r="K122" s="0"/>
      <c r="L122" s="0"/>
      <c r="P122" s="0"/>
      <c r="R122" s="0"/>
      <c r="W122" s="0"/>
    </row>
    <row r="123" customFormat="false" ht="19.85" hidden="false" customHeight="true" outlineLevel="0" collapsed="false">
      <c r="A123" s="0" t="n">
        <v>30</v>
      </c>
      <c r="B123" s="34" t="n">
        <v>39600</v>
      </c>
      <c r="C123" s="1" t="n">
        <v>2114925</v>
      </c>
      <c r="D123" s="29" t="s">
        <v>41</v>
      </c>
      <c r="E123" s="33" t="n">
        <f aca="false">IF(D123="totale",(C123/(A123*24))/F123,IF(D123="marché libre",(C123/(A123*24))/G123,"spécifier histo"))</f>
        <v>0.871113829576908</v>
      </c>
      <c r="F123" s="59" t="n">
        <v>3372</v>
      </c>
      <c r="G123" s="59" t="n">
        <f aca="false">F123-H123</f>
        <v>0</v>
      </c>
      <c r="H123" s="58" t="n">
        <v>3372</v>
      </c>
      <c r="J123" s="55"/>
      <c r="K123" s="0"/>
      <c r="L123" s="0"/>
      <c r="P123" s="0"/>
      <c r="R123" s="0"/>
      <c r="W123" s="0"/>
    </row>
    <row r="124" customFormat="false" ht="19.85" hidden="false" customHeight="true" outlineLevel="0" collapsed="false">
      <c r="A124" s="0" t="n">
        <v>31</v>
      </c>
      <c r="B124" s="31" t="n">
        <v>39630</v>
      </c>
      <c r="C124" s="1" t="n">
        <v>1604597</v>
      </c>
      <c r="D124" s="29" t="s">
        <v>41</v>
      </c>
      <c r="E124" s="33" t="n">
        <f aca="false">IF(D124="totale",(C124/(A124*24))/F124,IF(D124="marché libre",(C124/(A124*24))/G124,"spécifier histo"))</f>
        <v>0.639595610275641</v>
      </c>
      <c r="F124" s="59" t="n">
        <v>3372</v>
      </c>
      <c r="G124" s="59" t="n">
        <f aca="false">F124-H124</f>
        <v>0</v>
      </c>
      <c r="H124" s="58" t="n">
        <v>3372</v>
      </c>
      <c r="J124" s="55"/>
      <c r="K124" s="0"/>
      <c r="L124" s="0"/>
      <c r="P124" s="0"/>
      <c r="R124" s="0"/>
      <c r="W124" s="0"/>
    </row>
    <row r="125" customFormat="false" ht="19.85" hidden="false" customHeight="true" outlineLevel="0" collapsed="false">
      <c r="A125" s="0" t="n">
        <v>31</v>
      </c>
      <c r="B125" s="34" t="n">
        <v>39661</v>
      </c>
      <c r="C125" s="1" t="n">
        <v>574484</v>
      </c>
      <c r="D125" s="29" t="s">
        <v>41</v>
      </c>
      <c r="E125" s="33" t="n">
        <f aca="false">IF(D125="totale",(C125/(A125*24))/F125,IF(D125="marché libre",(C125/(A125*24))/G125,"spécifier histo"))</f>
        <v>0.228990484572507</v>
      </c>
      <c r="F125" s="59" t="n">
        <v>3372</v>
      </c>
      <c r="G125" s="59" t="n">
        <f aca="false">F125-H125</f>
        <v>0</v>
      </c>
      <c r="H125" s="58" t="n">
        <v>3372</v>
      </c>
      <c r="J125" s="55"/>
      <c r="K125" s="0"/>
      <c r="L125" s="0"/>
      <c r="P125" s="0"/>
      <c r="R125" s="0"/>
      <c r="W125" s="0"/>
    </row>
    <row r="126" customFormat="false" ht="19.85" hidden="false" customHeight="true" outlineLevel="0" collapsed="false">
      <c r="A126" s="0" t="n">
        <v>30</v>
      </c>
      <c r="B126" s="31" t="n">
        <v>39692</v>
      </c>
      <c r="C126" s="1" t="n">
        <v>254148</v>
      </c>
      <c r="D126" s="29" t="s">
        <v>41</v>
      </c>
      <c r="E126" s="33" t="n">
        <f aca="false">IF(D126="totale",(C126/(A126*24))/F126,IF(D126="marché libre",(C126/(A126*24))/G126,"spécifier histo"))</f>
        <v>0.104680703835508</v>
      </c>
      <c r="F126" s="59" t="n">
        <v>3372</v>
      </c>
      <c r="G126" s="59" t="n">
        <f aca="false">F126-H126</f>
        <v>0</v>
      </c>
      <c r="H126" s="58" t="n">
        <v>3372</v>
      </c>
      <c r="J126" s="55"/>
      <c r="K126" s="0"/>
      <c r="L126" s="0"/>
      <c r="P126" s="0"/>
      <c r="R126" s="0"/>
      <c r="W126" s="0"/>
    </row>
    <row r="127" customFormat="false" ht="19.85" hidden="false" customHeight="true" outlineLevel="0" collapsed="false">
      <c r="A127" s="0" t="n">
        <v>31</v>
      </c>
      <c r="B127" s="34" t="n">
        <v>39722</v>
      </c>
      <c r="C127" s="1" t="n">
        <v>480824</v>
      </c>
      <c r="D127" s="29" t="s">
        <v>41</v>
      </c>
      <c r="E127" s="33" t="n">
        <f aca="false">IF(D127="totale",(C127/(A127*24))/F127,IF(D127="marché libre",(C127/(A127*24))/G127,"spécifier histo"))</f>
        <v>0.191657419099733</v>
      </c>
      <c r="F127" s="59" t="n">
        <v>3372</v>
      </c>
      <c r="G127" s="59" t="n">
        <f aca="false">F127-H127</f>
        <v>0</v>
      </c>
      <c r="H127" s="58" t="n">
        <v>3372</v>
      </c>
      <c r="J127" s="55"/>
      <c r="K127" s="0"/>
      <c r="L127" s="0"/>
      <c r="P127" s="0"/>
      <c r="R127" s="0"/>
      <c r="W127" s="0"/>
    </row>
    <row r="128" customFormat="false" ht="19.85" hidden="false" customHeight="true" outlineLevel="0" collapsed="false">
      <c r="A128" s="0" t="n">
        <v>30</v>
      </c>
      <c r="B128" s="31" t="n">
        <v>39753</v>
      </c>
      <c r="C128" s="1" t="n">
        <v>344995</v>
      </c>
      <c r="D128" s="29" t="s">
        <v>41</v>
      </c>
      <c r="E128" s="33" t="n">
        <f aca="false">IF(D128="totale",(C128/(A128*24))/F128,IF(D128="marché libre",(C128/(A128*24))/G128,"spécifier histo"))</f>
        <v>0.142099561750362</v>
      </c>
      <c r="F128" s="59" t="n">
        <v>3372</v>
      </c>
      <c r="G128" s="59" t="n">
        <f aca="false">F128-H128</f>
        <v>0</v>
      </c>
      <c r="H128" s="58" t="n">
        <v>3372</v>
      </c>
      <c r="J128" s="55"/>
      <c r="K128" s="0"/>
      <c r="L128" s="0"/>
      <c r="P128" s="0"/>
      <c r="R128" s="0"/>
      <c r="W128" s="0"/>
    </row>
    <row r="129" customFormat="false" ht="19.85" hidden="false" customHeight="true" outlineLevel="0" collapsed="false">
      <c r="A129" s="0" t="n">
        <v>31</v>
      </c>
      <c r="B129" s="34" t="n">
        <v>39783</v>
      </c>
      <c r="C129" s="1" t="n">
        <v>241070</v>
      </c>
      <c r="D129" s="29" t="s">
        <v>41</v>
      </c>
      <c r="E129" s="33" t="n">
        <f aca="false">IF(D129="totale",(C129/(A129*24))/F129,IF(D129="marché libre",(C129/(A129*24))/G129,"spécifier histo"))</f>
        <v>0.0960909896809908</v>
      </c>
      <c r="F129" s="59" t="n">
        <v>3372</v>
      </c>
      <c r="G129" s="59" t="n">
        <f aca="false">F129-H129</f>
        <v>0</v>
      </c>
      <c r="H129" s="58" t="n">
        <v>3372</v>
      </c>
      <c r="J129" s="55"/>
      <c r="K129" s="0"/>
      <c r="L129" s="0"/>
      <c r="P129" s="0"/>
      <c r="R129" s="0"/>
      <c r="W129" s="0"/>
    </row>
    <row r="130" customFormat="false" ht="19.85" hidden="false" customHeight="true" outlineLevel="0" collapsed="false">
      <c r="A130" s="0" t="n">
        <v>31</v>
      </c>
      <c r="B130" s="31" t="n">
        <v>39814</v>
      </c>
      <c r="C130" s="1" t="n">
        <v>134839</v>
      </c>
      <c r="D130" s="29" t="s">
        <v>41</v>
      </c>
      <c r="E130" s="33" t="n">
        <f aca="false">IF(D130="totale",(C130/(A130*24))/F130,IF(D130="marché libre",(C130/(A130*24))/G130,"spécifier histo"))</f>
        <v>0.0537470981772727</v>
      </c>
      <c r="F130" s="59" t="n">
        <v>3372</v>
      </c>
      <c r="G130" s="59" t="n">
        <f aca="false">F130-H130</f>
        <v>0</v>
      </c>
      <c r="H130" s="58" t="n">
        <v>3372</v>
      </c>
      <c r="J130" s="55"/>
      <c r="K130" s="0"/>
      <c r="L130" s="0"/>
      <c r="P130" s="0"/>
      <c r="R130" s="0"/>
      <c r="W130" s="0"/>
    </row>
    <row r="131" customFormat="false" ht="19.85" hidden="false" customHeight="true" outlineLevel="0" collapsed="false">
      <c r="A131" s="0" t="n">
        <v>28</v>
      </c>
      <c r="B131" s="34" t="n">
        <v>39845</v>
      </c>
      <c r="C131" s="1" t="n">
        <v>62011</v>
      </c>
      <c r="D131" s="29" t="s">
        <v>41</v>
      </c>
      <c r="E131" s="33" t="n">
        <f aca="false">IF(D131="totale",(C131/(A131*24))/F131,IF(D131="marché libre",(C131/(A131*24))/G131,"spécifier histo"))</f>
        <v>0.0273660361238208</v>
      </c>
      <c r="F131" s="59" t="n">
        <v>3372</v>
      </c>
      <c r="G131" s="59" t="n">
        <f aca="false">F131-H131</f>
        <v>0</v>
      </c>
      <c r="H131" s="58" t="n">
        <v>3372</v>
      </c>
      <c r="J131" s="55"/>
      <c r="K131" s="0"/>
      <c r="L131" s="0"/>
      <c r="P131" s="0"/>
      <c r="R131" s="0"/>
      <c r="W131" s="0"/>
    </row>
    <row r="132" customFormat="false" ht="19.85" hidden="false" customHeight="true" outlineLevel="0" collapsed="false">
      <c r="A132" s="0" t="n">
        <v>31</v>
      </c>
      <c r="B132" s="31" t="n">
        <v>39873</v>
      </c>
      <c r="C132" s="1" t="n">
        <v>91618</v>
      </c>
      <c r="D132" s="29" t="s">
        <v>41</v>
      </c>
      <c r="E132" s="33" t="n">
        <f aca="false">IF(D132="totale",(C132/(A132*24))/F132,IF(D132="marché libre",(C132/(A132*24))/G132,"spécifier histo"))</f>
        <v>0.0365191201418385</v>
      </c>
      <c r="F132" s="59" t="n">
        <v>3372</v>
      </c>
      <c r="G132" s="59" t="n">
        <f aca="false">F132-H132</f>
        <v>0</v>
      </c>
      <c r="H132" s="58" t="n">
        <v>3372</v>
      </c>
      <c r="J132" s="55"/>
      <c r="K132" s="0"/>
      <c r="L132" s="0"/>
      <c r="P132" s="0"/>
      <c r="R132" s="0"/>
      <c r="W132" s="0"/>
    </row>
    <row r="133" customFormat="false" ht="19.85" hidden="false" customHeight="true" outlineLevel="0" collapsed="false">
      <c r="A133" s="0" t="n">
        <v>30</v>
      </c>
      <c r="B133" s="34" t="n">
        <v>39904</v>
      </c>
      <c r="C133" s="1" t="n">
        <v>929290</v>
      </c>
      <c r="D133" s="29" t="s">
        <v>41</v>
      </c>
      <c r="E133" s="33" t="n">
        <f aca="false">IF(D133="totale",(C133/(A133*24))/F133,IF(D133="marché libre",(C133/(A133*24))/G133,"spécifier histo"))</f>
        <v>0.382764103071043</v>
      </c>
      <c r="F133" s="59" t="n">
        <v>3372</v>
      </c>
      <c r="G133" s="59" t="n">
        <f aca="false">F133-H133</f>
        <v>0</v>
      </c>
      <c r="H133" s="58" t="n">
        <v>3372</v>
      </c>
      <c r="J133" s="55"/>
      <c r="K133" s="0"/>
      <c r="L133" s="0"/>
      <c r="P133" s="0"/>
      <c r="R133" s="0"/>
      <c r="W133" s="0"/>
    </row>
    <row r="134" customFormat="false" ht="19.85" hidden="false" customHeight="true" outlineLevel="0" collapsed="false">
      <c r="A134" s="0" t="n">
        <v>31</v>
      </c>
      <c r="B134" s="31" t="n">
        <v>39934</v>
      </c>
      <c r="C134" s="1" t="n">
        <v>1730866</v>
      </c>
      <c r="D134" s="29" t="s">
        <v>41</v>
      </c>
      <c r="E134" s="33" t="n">
        <f aca="false">IF(D134="totale",(C134/(A134*24))/F134,IF(D134="marché libre",(C134/(A134*24))/G134,"spécifier histo"))</f>
        <v>0.689926689115933</v>
      </c>
      <c r="F134" s="59" t="n">
        <v>3372</v>
      </c>
      <c r="G134" s="59" t="n">
        <f aca="false">F134-H134</f>
        <v>0</v>
      </c>
      <c r="H134" s="58" t="n">
        <v>3372</v>
      </c>
      <c r="J134" s="55"/>
      <c r="K134" s="0"/>
      <c r="L134" s="0"/>
      <c r="P134" s="0"/>
      <c r="R134" s="0"/>
    </row>
    <row r="135" customFormat="false" ht="19.85" hidden="false" customHeight="true" outlineLevel="0" collapsed="false">
      <c r="A135" s="0" t="n">
        <v>30</v>
      </c>
      <c r="B135" s="34" t="n">
        <v>39965</v>
      </c>
      <c r="C135" s="1" t="n">
        <v>2012826</v>
      </c>
      <c r="D135" s="29" t="s">
        <v>41</v>
      </c>
      <c r="E135" s="33" t="n">
        <f aca="false">IF(D135="totale",(C135/(A135*24))/F135,IF(D135="marché libre",(C135/(A135*24))/G135,"spécifier histo"))</f>
        <v>0.829060399367339</v>
      </c>
      <c r="F135" s="59" t="n">
        <v>3372</v>
      </c>
      <c r="G135" s="59" t="n">
        <f aca="false">F135-H135</f>
        <v>0</v>
      </c>
      <c r="H135" s="58" t="n">
        <v>3372</v>
      </c>
      <c r="J135" s="55"/>
      <c r="K135" s="0"/>
      <c r="L135" s="0"/>
      <c r="P135" s="0"/>
      <c r="R135" s="0"/>
    </row>
    <row r="136" customFormat="false" ht="19.85" hidden="false" customHeight="true" outlineLevel="0" collapsed="false">
      <c r="A136" s="0" t="n">
        <v>31</v>
      </c>
      <c r="B136" s="31" t="n">
        <v>39995</v>
      </c>
      <c r="C136" s="1" t="n">
        <v>2004923</v>
      </c>
      <c r="D136" s="29" t="s">
        <v>41</v>
      </c>
      <c r="E136" s="33" t="n">
        <f aca="false">IF(D136="totale",(C136/(A136*24))/F136,IF(D136="marché libre",(C136/(A136*24))/G136,"spécifier histo"))</f>
        <v>0.799166363729129</v>
      </c>
      <c r="F136" s="59" t="n">
        <v>3372</v>
      </c>
      <c r="G136" s="59" t="n">
        <f aca="false">F136-H136</f>
        <v>0</v>
      </c>
      <c r="H136" s="58" t="n">
        <v>3372</v>
      </c>
      <c r="J136" s="55"/>
      <c r="K136" s="0"/>
      <c r="L136" s="0"/>
      <c r="P136" s="0"/>
      <c r="R136" s="0"/>
    </row>
    <row r="137" customFormat="false" ht="19.85" hidden="false" customHeight="true" outlineLevel="0" collapsed="false">
      <c r="A137" s="0" t="n">
        <v>31</v>
      </c>
      <c r="B137" s="34" t="n">
        <v>40026</v>
      </c>
      <c r="C137" s="1" t="n">
        <v>792589</v>
      </c>
      <c r="D137" s="29" t="s">
        <v>41</v>
      </c>
      <c r="E137" s="33" t="n">
        <f aca="false">IF(D137="totale",(C137/(A137*24))/F137,IF(D137="marché libre",(C137/(A137*24))/G137,"spécifier histo"))</f>
        <v>0.315927578795648</v>
      </c>
      <c r="F137" s="59" t="n">
        <v>3372</v>
      </c>
      <c r="G137" s="59" t="n">
        <f aca="false">F137-H137</f>
        <v>0</v>
      </c>
      <c r="H137" s="58" t="n">
        <v>3372</v>
      </c>
      <c r="J137" s="55"/>
      <c r="K137" s="0"/>
      <c r="L137" s="0"/>
      <c r="P137" s="0"/>
      <c r="R137" s="0"/>
    </row>
    <row r="138" customFormat="false" ht="19.85" hidden="false" customHeight="true" outlineLevel="0" collapsed="false">
      <c r="A138" s="0" t="n">
        <v>30</v>
      </c>
      <c r="B138" s="31" t="n">
        <v>40057</v>
      </c>
      <c r="C138" s="1" t="n">
        <v>226661</v>
      </c>
      <c r="D138" s="29" t="s">
        <v>41</v>
      </c>
      <c r="E138" s="33" t="n">
        <f aca="false">IF(D138="totale",(C138/(A138*24))/F138,IF(D138="marché libre",(C138/(A138*24))/G138,"spécifier histo"))</f>
        <v>0.0933591175695268</v>
      </c>
      <c r="F138" s="59" t="n">
        <v>3372</v>
      </c>
      <c r="G138" s="59" t="n">
        <f aca="false">F138-H138</f>
        <v>0</v>
      </c>
      <c r="H138" s="58" t="n">
        <v>3372</v>
      </c>
      <c r="J138" s="55"/>
      <c r="K138" s="0"/>
      <c r="L138" s="0"/>
      <c r="P138" s="0"/>
      <c r="R138" s="0"/>
    </row>
    <row r="139" customFormat="false" ht="19.85" hidden="false" customHeight="true" outlineLevel="0" collapsed="false">
      <c r="A139" s="0" t="n">
        <v>31</v>
      </c>
      <c r="B139" s="34" t="n">
        <v>40087</v>
      </c>
      <c r="C139" s="1" t="n">
        <v>456216</v>
      </c>
      <c r="D139" s="29" t="s">
        <v>41</v>
      </c>
      <c r="E139" s="33" t="n">
        <f aca="false">IF(D139="totale",(C139/(A139*24))/F139,IF(D139="marché libre",(C139/(A139*24))/G139,"spécifier histo"))</f>
        <v>0.181848620518119</v>
      </c>
      <c r="F139" s="59" t="n">
        <v>3372</v>
      </c>
      <c r="G139" s="59" t="n">
        <f aca="false">F139-H139</f>
        <v>0</v>
      </c>
      <c r="H139" s="58" t="n">
        <v>3372</v>
      </c>
      <c r="J139" s="55"/>
      <c r="K139" s="0"/>
      <c r="L139" s="0"/>
      <c r="P139" s="0"/>
      <c r="R139" s="0"/>
    </row>
    <row r="140" customFormat="false" ht="19.85" hidden="false" customHeight="true" outlineLevel="0" collapsed="false">
      <c r="A140" s="0" t="n">
        <v>30</v>
      </c>
      <c r="B140" s="31" t="n">
        <v>40118</v>
      </c>
      <c r="C140" s="1" t="n">
        <v>291670</v>
      </c>
      <c r="D140" s="29" t="s">
        <v>41</v>
      </c>
      <c r="E140" s="33" t="n">
        <f aca="false">IF(D140="totale",(C140/(A140*24))/F140,IF(D140="marché libre",(C140/(A140*24))/G140,"spécifier histo"))</f>
        <v>0.120135593778832</v>
      </c>
      <c r="F140" s="59" t="n">
        <v>3372</v>
      </c>
      <c r="G140" s="59" t="n">
        <f aca="false">F140-H140</f>
        <v>0</v>
      </c>
      <c r="H140" s="58" t="n">
        <v>3372</v>
      </c>
      <c r="J140" s="55"/>
      <c r="K140" s="0"/>
      <c r="L140" s="0"/>
      <c r="P140" s="0"/>
      <c r="R140" s="0"/>
    </row>
    <row r="141" customFormat="false" ht="19.85" hidden="false" customHeight="true" outlineLevel="0" collapsed="false">
      <c r="A141" s="0" t="n">
        <v>31</v>
      </c>
      <c r="B141" s="34" t="n">
        <v>40148</v>
      </c>
      <c r="C141" s="1" t="n">
        <v>206333</v>
      </c>
      <c r="D141" s="29" t="s">
        <v>41</v>
      </c>
      <c r="E141" s="33" t="n">
        <f aca="false">IF(D141="totale",(C141/(A141*24))/F141,IF(D141="marché libre",(C141/(A141*24))/G141,"spécifier histo"))</f>
        <v>0.0822447512085613</v>
      </c>
      <c r="F141" s="59" t="n">
        <v>3372</v>
      </c>
      <c r="G141" s="59" t="n">
        <f aca="false">F141-H141</f>
        <v>0</v>
      </c>
      <c r="H141" s="58" t="n">
        <v>3372</v>
      </c>
      <c r="J141" s="55"/>
      <c r="K141" s="0"/>
      <c r="L141" s="0"/>
      <c r="P141" s="0"/>
      <c r="R141" s="0"/>
    </row>
    <row r="142" customFormat="false" ht="19.85" hidden="false" customHeight="true" outlineLevel="0" collapsed="false">
      <c r="A142" s="0" t="n">
        <v>31</v>
      </c>
      <c r="B142" s="31" t="n">
        <v>40179</v>
      </c>
      <c r="C142" s="1" t="n">
        <v>181422</v>
      </c>
      <c r="D142" s="29" t="s">
        <v>41</v>
      </c>
      <c r="E142" s="33" t="n">
        <f aca="false">IF(D142="totale",(C142/(A142*24))/F142,IF(D142="marché libre",(C142/(A142*24))/G142,"spécifier histo"))</f>
        <v>0.0723151762139823</v>
      </c>
      <c r="F142" s="59" t="n">
        <v>3372</v>
      </c>
      <c r="G142" s="59" t="n">
        <f aca="false">F142-H142</f>
        <v>0</v>
      </c>
      <c r="H142" s="58" t="n">
        <v>3372</v>
      </c>
      <c r="J142" s="55"/>
      <c r="K142" s="0"/>
      <c r="L142" s="0"/>
      <c r="P142" s="0"/>
      <c r="R142" s="0"/>
    </row>
    <row r="143" customFormat="false" ht="19.85" hidden="false" customHeight="true" outlineLevel="0" collapsed="false">
      <c r="A143" s="0" t="n">
        <v>28</v>
      </c>
      <c r="B143" s="34" t="n">
        <v>40210</v>
      </c>
      <c r="C143" s="1" t="n">
        <v>87090</v>
      </c>
      <c r="D143" s="29" t="s">
        <v>41</v>
      </c>
      <c r="E143" s="33" t="n">
        <f aca="false">IF(D143="totale",(C143/(A143*24))/F143,IF(D143="marché libre",(C143/(A143*24))/G143,"spécifier histo"))</f>
        <v>0.0384336341298085</v>
      </c>
      <c r="F143" s="59" t="n">
        <v>3372</v>
      </c>
      <c r="G143" s="59" t="n">
        <f aca="false">F143-H143</f>
        <v>0</v>
      </c>
      <c r="H143" s="58" t="n">
        <v>3372</v>
      </c>
      <c r="J143" s="55"/>
      <c r="K143" s="0"/>
      <c r="L143" s="0"/>
      <c r="P143" s="0"/>
      <c r="R143" s="0"/>
    </row>
    <row r="144" customFormat="false" ht="19.85" hidden="false" customHeight="true" outlineLevel="0" collapsed="false">
      <c r="A144" s="0" t="n">
        <v>31</v>
      </c>
      <c r="B144" s="31" t="n">
        <v>40238</v>
      </c>
      <c r="C144" s="1" t="n">
        <v>127531</v>
      </c>
      <c r="D144" s="29" t="s">
        <v>41</v>
      </c>
      <c r="E144" s="33" t="n">
        <f aca="false">IF(D144="totale",(C144/(A144*24))/F144,IF(D144="marché libre",(C144/(A144*24))/G144,"spécifier histo"))</f>
        <v>0.0508341145932984</v>
      </c>
      <c r="F144" s="59" t="n">
        <v>3372</v>
      </c>
      <c r="G144" s="59" t="n">
        <f aca="false">F144-H144</f>
        <v>0</v>
      </c>
      <c r="H144" s="58" t="n">
        <v>3372</v>
      </c>
      <c r="J144" s="55"/>
      <c r="K144" s="0"/>
      <c r="L144" s="0"/>
      <c r="P144" s="0"/>
      <c r="R144" s="0"/>
    </row>
    <row r="145" customFormat="false" ht="19.85" hidden="false" customHeight="true" outlineLevel="0" collapsed="false">
      <c r="A145" s="0" t="n">
        <v>30</v>
      </c>
      <c r="B145" s="34" t="n">
        <v>40269</v>
      </c>
      <c r="C145" s="1" t="n">
        <v>733749</v>
      </c>
      <c r="D145" s="29" t="s">
        <v>41</v>
      </c>
      <c r="E145" s="33" t="n">
        <f aca="false">IF(D145="totale",(C145/(A145*24))/F145,IF(D145="marché libre",(C145/(A145*24))/G145,"spécifier histo"))</f>
        <v>0.302222963621985</v>
      </c>
      <c r="F145" s="59" t="n">
        <v>3372</v>
      </c>
      <c r="G145" s="59" t="n">
        <f aca="false">F145-H145</f>
        <v>0</v>
      </c>
      <c r="H145" s="58" t="n">
        <v>3372</v>
      </c>
      <c r="J145" s="55"/>
      <c r="K145" s="0"/>
      <c r="L145" s="0"/>
      <c r="P145" s="0"/>
      <c r="R145" s="0"/>
    </row>
    <row r="146" customFormat="false" ht="19.85" hidden="false" customHeight="true" outlineLevel="0" collapsed="false">
      <c r="A146" s="0" t="n">
        <v>31</v>
      </c>
      <c r="B146" s="31" t="n">
        <v>40299</v>
      </c>
      <c r="C146" s="1" t="n">
        <v>2306832</v>
      </c>
      <c r="D146" s="29" t="s">
        <v>41</v>
      </c>
      <c r="E146" s="33" t="n">
        <f aca="false">IF(D146="totale",(C146/(A146*24))/F146,IF(D146="marché libre",(C146/(A146*24))/G146,"spécifier histo"))</f>
        <v>0.919507901886504</v>
      </c>
      <c r="F146" s="59" t="n">
        <v>3372</v>
      </c>
      <c r="G146" s="59" t="n">
        <f aca="false">F146-H146</f>
        <v>0</v>
      </c>
      <c r="H146" s="58" t="n">
        <v>3372</v>
      </c>
      <c r="J146" s="55"/>
      <c r="K146" s="0"/>
      <c r="L146" s="0"/>
      <c r="P146" s="0"/>
      <c r="R146" s="0"/>
    </row>
    <row r="147" customFormat="false" ht="19.85" hidden="false" customHeight="true" outlineLevel="0" collapsed="false">
      <c r="A147" s="0" t="n">
        <v>30</v>
      </c>
      <c r="B147" s="34" t="n">
        <v>40330</v>
      </c>
      <c r="C147" s="1" t="n">
        <v>2358982</v>
      </c>
      <c r="D147" s="29" t="s">
        <v>41</v>
      </c>
      <c r="E147" s="33" t="n">
        <f aca="false">IF(D147="totale",(C147/(A147*24))/F147,IF(D147="marché libre",(C147/(A147*24))/G147,"spécifier histo"))</f>
        <v>0.971638163964676</v>
      </c>
      <c r="F147" s="59" t="n">
        <v>3372</v>
      </c>
      <c r="G147" s="59" t="n">
        <f aca="false">F147-H147</f>
        <v>0</v>
      </c>
      <c r="H147" s="58" t="n">
        <v>3372</v>
      </c>
      <c r="J147" s="55"/>
      <c r="K147" s="0"/>
      <c r="L147" s="0"/>
      <c r="P147" s="0"/>
      <c r="R147" s="0"/>
    </row>
    <row r="148" customFormat="false" ht="19.85" hidden="false" customHeight="true" outlineLevel="0" collapsed="false">
      <c r="A148" s="0" t="n">
        <v>31</v>
      </c>
      <c r="B148" s="31" t="n">
        <v>40360</v>
      </c>
      <c r="C148" s="1" t="n">
        <v>1985349</v>
      </c>
      <c r="D148" s="29" t="s">
        <v>41</v>
      </c>
      <c r="E148" s="33" t="n">
        <f aca="false">IF(D148="totale",(C148/(A148*24))/F148,IF(D148="marché libre",(C148/(A148*24))/G148,"spécifier histo"))</f>
        <v>0.791364127731221</v>
      </c>
      <c r="F148" s="59" t="n">
        <v>3372</v>
      </c>
      <c r="G148" s="59" t="n">
        <f aca="false">F148-H148</f>
        <v>0</v>
      </c>
      <c r="H148" s="58" t="n">
        <v>3372</v>
      </c>
      <c r="J148" s="55"/>
      <c r="K148" s="0"/>
      <c r="L148" s="0"/>
      <c r="P148" s="0"/>
      <c r="R148" s="0"/>
    </row>
    <row r="149" customFormat="false" ht="19.85" hidden="false" customHeight="true" outlineLevel="0" collapsed="false">
      <c r="A149" s="0" t="n">
        <v>31</v>
      </c>
      <c r="B149" s="34" t="n">
        <v>40391</v>
      </c>
      <c r="C149" s="1" t="n">
        <v>903522</v>
      </c>
      <c r="D149" s="29" t="s">
        <v>41</v>
      </c>
      <c r="E149" s="33" t="n">
        <f aca="false">IF(D149="totale",(C149/(A149*24))/F149,IF(D149="marché libre",(C149/(A149*24))/G149,"spécifier histo"))</f>
        <v>0.360145697011441</v>
      </c>
      <c r="F149" s="59" t="n">
        <v>3372</v>
      </c>
      <c r="G149" s="59" t="n">
        <f aca="false">F149-H149</f>
        <v>0</v>
      </c>
      <c r="H149" s="58" t="n">
        <v>3372</v>
      </c>
      <c r="J149" s="55"/>
      <c r="K149" s="0"/>
      <c r="L149" s="0"/>
      <c r="P149" s="0"/>
      <c r="R149" s="0"/>
    </row>
    <row r="150" customFormat="false" ht="19.85" hidden="false" customHeight="true" outlineLevel="0" collapsed="false">
      <c r="A150" s="0" t="n">
        <v>30</v>
      </c>
      <c r="B150" s="31" t="n">
        <v>40422</v>
      </c>
      <c r="C150" s="1" t="n">
        <v>459309</v>
      </c>
      <c r="D150" s="29" t="s">
        <v>41</v>
      </c>
      <c r="E150" s="33" t="n">
        <f aca="false">IF(D150="totale",(C150/(A150*24))/F150,IF(D150="marché libre",(C150/(A150*24))/G150,"spécifier histo"))</f>
        <v>0.189184213127718</v>
      </c>
      <c r="F150" s="59" t="n">
        <v>3372</v>
      </c>
      <c r="G150" s="59" t="n">
        <f aca="false">F150-H150</f>
        <v>0</v>
      </c>
      <c r="H150" s="58" t="n">
        <v>3372</v>
      </c>
      <c r="J150" s="55"/>
      <c r="K150" s="0"/>
      <c r="L150" s="0"/>
      <c r="P150" s="0"/>
      <c r="R150" s="0"/>
    </row>
    <row r="151" customFormat="false" ht="19.85" hidden="false" customHeight="true" outlineLevel="0" collapsed="false">
      <c r="A151" s="0" t="n">
        <v>31</v>
      </c>
      <c r="B151" s="34" t="n">
        <v>40452</v>
      </c>
      <c r="C151" s="1" t="n">
        <v>360422</v>
      </c>
      <c r="D151" s="29" t="s">
        <v>41</v>
      </c>
      <c r="E151" s="33" t="n">
        <f aca="false">IF(D151="totale",(C151/(A151*24))/F151,IF(D151="marché libre",(C151/(A151*24))/G151,"spécifier histo"))</f>
        <v>0.143664938328295</v>
      </c>
      <c r="F151" s="59" t="n">
        <v>3372</v>
      </c>
      <c r="G151" s="59" t="n">
        <f aca="false">F151-H151</f>
        <v>0</v>
      </c>
      <c r="H151" s="58" t="n">
        <v>3372</v>
      </c>
      <c r="J151" s="55"/>
      <c r="K151" s="0"/>
      <c r="L151" s="0"/>
      <c r="P151" s="0"/>
      <c r="R151" s="0"/>
    </row>
    <row r="152" customFormat="false" ht="19.85" hidden="false" customHeight="true" outlineLevel="0" collapsed="false">
      <c r="A152" s="0" t="n">
        <v>30</v>
      </c>
      <c r="B152" s="31" t="n">
        <v>40483</v>
      </c>
      <c r="C152" s="1" t="n">
        <v>491002</v>
      </c>
      <c r="D152" s="29" t="s">
        <v>41</v>
      </c>
      <c r="E152" s="33" t="n">
        <f aca="false">IF(D152="totale",(C152/(A152*24))/F152,IF(D152="marché libre",(C152/(A152*24))/G152,"spécifier histo"))</f>
        <v>0.202238203505997</v>
      </c>
      <c r="F152" s="59" t="n">
        <v>3372</v>
      </c>
      <c r="G152" s="59" t="n">
        <f aca="false">F152-H152</f>
        <v>0</v>
      </c>
      <c r="H152" s="58" t="n">
        <v>3372</v>
      </c>
      <c r="J152" s="55"/>
      <c r="K152" s="0"/>
      <c r="L152" s="0"/>
      <c r="P152" s="0"/>
      <c r="R152" s="0"/>
    </row>
    <row r="153" customFormat="false" ht="19.85" hidden="false" customHeight="true" outlineLevel="0" collapsed="false">
      <c r="A153" s="0" t="n">
        <v>31</v>
      </c>
      <c r="B153" s="34" t="n">
        <v>40513</v>
      </c>
      <c r="C153" s="1" t="n">
        <v>388655</v>
      </c>
      <c r="D153" s="29" t="s">
        <v>41</v>
      </c>
      <c r="E153" s="33" t="n">
        <f aca="false">IF(D153="totale",(C153/(A153*24))/F153,IF(D153="marché libre",(C153/(A153*24))/G153,"spécifier histo"))</f>
        <v>0.15491866924323</v>
      </c>
      <c r="F153" s="59" t="n">
        <v>3372</v>
      </c>
      <c r="G153" s="59" t="n">
        <f aca="false">F153-H153</f>
        <v>0</v>
      </c>
      <c r="H153" s="58" t="n">
        <v>3372</v>
      </c>
      <c r="J153" s="55"/>
      <c r="K153" s="0"/>
      <c r="L153" s="0"/>
      <c r="P153" s="0"/>
      <c r="R153" s="0"/>
    </row>
    <row r="154" customFormat="false" ht="19.85" hidden="false" customHeight="true" outlineLevel="0" collapsed="false">
      <c r="A154" s="0" t="n">
        <v>31</v>
      </c>
      <c r="B154" s="31" t="n">
        <v>40544</v>
      </c>
      <c r="C154" s="1" t="n">
        <v>183444</v>
      </c>
      <c r="D154" s="29" t="s">
        <v>41</v>
      </c>
      <c r="E154" s="33" t="n">
        <f aca="false">IF(D154="totale",(C154/(A154*24))/F154,IF(D154="marché libre",(C154/(A154*24))/G154,"spécifier histo"))</f>
        <v>0.073121149504458</v>
      </c>
      <c r="F154" s="59" t="n">
        <v>3372</v>
      </c>
      <c r="G154" s="59" t="n">
        <f aca="false">F154-H154</f>
        <v>0</v>
      </c>
      <c r="H154" s="58" t="n">
        <v>3372</v>
      </c>
      <c r="J154" s="55"/>
      <c r="K154" s="0"/>
      <c r="L154" s="0"/>
      <c r="P154" s="0"/>
      <c r="R154" s="0"/>
    </row>
    <row r="155" customFormat="false" ht="19.85" hidden="false" customHeight="true" outlineLevel="0" collapsed="false">
      <c r="A155" s="0" t="n">
        <v>28</v>
      </c>
      <c r="B155" s="34" t="n">
        <v>40575</v>
      </c>
      <c r="C155" s="1" t="n">
        <v>46966</v>
      </c>
      <c r="D155" s="29" t="s">
        <v>41</v>
      </c>
      <c r="E155" s="33" t="n">
        <f aca="false">IF(D155="totale",(C155/(A155*24))/F155,IF(D155="marché libre",(C155/(A155*24))/G155,"spécifier histo"))</f>
        <v>0.0207265364627464</v>
      </c>
      <c r="F155" s="59" t="n">
        <v>3372</v>
      </c>
      <c r="G155" s="59" t="n">
        <f aca="false">F155-H155</f>
        <v>0</v>
      </c>
      <c r="H155" s="58" t="n">
        <v>3372</v>
      </c>
      <c r="J155" s="55"/>
      <c r="K155" s="0"/>
      <c r="L155" s="0"/>
      <c r="P155" s="0"/>
      <c r="R155" s="0"/>
    </row>
    <row r="156" customFormat="false" ht="19.85" hidden="false" customHeight="true" outlineLevel="0" collapsed="false">
      <c r="A156" s="0" t="n">
        <v>31</v>
      </c>
      <c r="B156" s="31" t="n">
        <v>40603</v>
      </c>
      <c r="C156" s="1" t="n">
        <v>117825</v>
      </c>
      <c r="D156" s="29" t="s">
        <v>41</v>
      </c>
      <c r="E156" s="33" t="n">
        <f aca="false">IF(D156="totale",(C156/(A156*24))/F156,IF(D156="marché libre",(C156/(A156*24))/G156,"spécifier histo"))</f>
        <v>0.0469652833582061</v>
      </c>
      <c r="F156" s="59" t="n">
        <v>3372</v>
      </c>
      <c r="G156" s="59" t="n">
        <f aca="false">F156-H156</f>
        <v>0</v>
      </c>
      <c r="H156" s="58" t="n">
        <v>3372</v>
      </c>
      <c r="J156" s="55"/>
      <c r="K156" s="0"/>
      <c r="L156" s="0"/>
      <c r="P156" s="0"/>
      <c r="R156" s="0"/>
    </row>
    <row r="157" customFormat="false" ht="19.85" hidden="false" customHeight="true" outlineLevel="0" collapsed="false">
      <c r="A157" s="0" t="n">
        <v>30</v>
      </c>
      <c r="B157" s="34" t="n">
        <v>40634</v>
      </c>
      <c r="C157" s="1" t="n">
        <v>1317006</v>
      </c>
      <c r="D157" s="29" t="s">
        <v>41</v>
      </c>
      <c r="E157" s="33" t="n">
        <f aca="false">IF(D157="totale",(C157/(A157*24))/F157,IF(D157="marché libre",(C157/(A157*24))/G157,"spécifier histo"))</f>
        <v>0.542459964412811</v>
      </c>
      <c r="F157" s="59" t="n">
        <v>3372</v>
      </c>
      <c r="G157" s="59" t="n">
        <f aca="false">F157-H157</f>
        <v>0</v>
      </c>
      <c r="H157" s="58" t="n">
        <v>3372</v>
      </c>
      <c r="J157" s="55"/>
      <c r="L157" s="0"/>
      <c r="P157" s="0"/>
      <c r="R157" s="0"/>
    </row>
    <row r="158" customFormat="false" ht="19.85" hidden="false" customHeight="true" outlineLevel="0" collapsed="false">
      <c r="A158" s="0" t="n">
        <v>31</v>
      </c>
      <c r="B158" s="31" t="n">
        <v>40664</v>
      </c>
      <c r="C158" s="1" t="n">
        <v>2204750</v>
      </c>
      <c r="D158" s="29" t="s">
        <v>41</v>
      </c>
      <c r="E158" s="33" t="n">
        <f aca="false">IF(D158="totale",(C158/(A158*24))/F158,IF(D158="marché libre",(C158/(A158*24))/G158,"spécifier histo"))</f>
        <v>0.87881781017615</v>
      </c>
      <c r="F158" s="59" t="n">
        <v>3372</v>
      </c>
      <c r="G158" s="59" t="n">
        <f aca="false">F158-H158</f>
        <v>0</v>
      </c>
      <c r="H158" s="58" t="n">
        <v>3372</v>
      </c>
      <c r="J158" s="55"/>
      <c r="L158" s="0"/>
      <c r="P158" s="0"/>
      <c r="R158" s="0"/>
    </row>
    <row r="159" customFormat="false" ht="19.85" hidden="false" customHeight="true" outlineLevel="0" collapsed="false">
      <c r="A159" s="0" t="n">
        <v>30</v>
      </c>
      <c r="B159" s="34" t="n">
        <v>40695</v>
      </c>
      <c r="C159" s="1" t="n">
        <v>2425719</v>
      </c>
      <c r="D159" s="29" t="s">
        <v>41</v>
      </c>
      <c r="E159" s="33" t="n">
        <f aca="false">IF(D159="totale",(C159/(A159*24))/F159,IF(D159="marché libre",(C159/(A159*24))/G159,"spécifier histo"))</f>
        <v>0.999126383946224</v>
      </c>
      <c r="F159" s="59" t="n">
        <v>3372</v>
      </c>
      <c r="G159" s="59" t="n">
        <f aca="false">F159-H159</f>
        <v>0</v>
      </c>
      <c r="H159" s="58" t="n">
        <v>3372</v>
      </c>
      <c r="J159" s="55"/>
      <c r="L159" s="0"/>
      <c r="P159" s="0"/>
      <c r="R159" s="0"/>
    </row>
    <row r="160" customFormat="false" ht="19.85" hidden="false" customHeight="true" outlineLevel="0" collapsed="false">
      <c r="A160" s="0" t="n">
        <v>31</v>
      </c>
      <c r="B160" s="31" t="n">
        <v>40725</v>
      </c>
      <c r="C160" s="1" t="n">
        <v>1841842</v>
      </c>
      <c r="D160" s="29" t="s">
        <v>41</v>
      </c>
      <c r="E160" s="33" t="n">
        <f aca="false">IF(D160="totale",(C160/(A160*24))/F160,IF(D160="marché libre",(C160/(A160*24))/G160,"spécifier histo"))</f>
        <v>0.734161947218715</v>
      </c>
      <c r="F160" s="59" t="n">
        <v>3372</v>
      </c>
      <c r="G160" s="59" t="n">
        <f aca="false">F160-H160</f>
        <v>0</v>
      </c>
      <c r="H160" s="58" t="n">
        <v>3372</v>
      </c>
      <c r="J160" s="55"/>
      <c r="L160" s="0"/>
      <c r="P160" s="0"/>
      <c r="R160" s="0"/>
    </row>
    <row r="161" customFormat="false" ht="19.85" hidden="false" customHeight="true" outlineLevel="0" collapsed="false">
      <c r="A161" s="0" t="n">
        <v>31</v>
      </c>
      <c r="B161" s="34" t="n">
        <v>40756</v>
      </c>
      <c r="C161" s="1" t="n">
        <v>1011952</v>
      </c>
      <c r="D161" s="29" t="s">
        <v>41</v>
      </c>
      <c r="E161" s="33" t="n">
        <f aca="false">IF(D161="totale",(C161/(A161*24))/F161,IF(D161="marché libre",(C161/(A161*24))/G161,"spécifier histo"))</f>
        <v>0.403366114363704</v>
      </c>
      <c r="F161" s="59" t="n">
        <v>3372</v>
      </c>
      <c r="G161" s="59" t="n">
        <f aca="false">F161-H161</f>
        <v>0</v>
      </c>
      <c r="H161" s="58" t="n">
        <v>3372</v>
      </c>
      <c r="J161" s="55"/>
      <c r="L161" s="0"/>
      <c r="P161" s="0"/>
      <c r="R161" s="0"/>
    </row>
    <row r="162" customFormat="false" ht="19.85" hidden="false" customHeight="true" outlineLevel="0" collapsed="false">
      <c r="A162" s="0" t="n">
        <v>30</v>
      </c>
      <c r="B162" s="31" t="n">
        <v>40787</v>
      </c>
      <c r="C162" s="1" t="n">
        <v>454185</v>
      </c>
      <c r="D162" s="29" t="s">
        <v>41</v>
      </c>
      <c r="E162" s="33" t="n">
        <f aca="false">IF(D162="totale",(C162/(A162*24))/F162,IF(D162="marché libre",(C162/(A162*24))/G162,"spécifier histo"))</f>
        <v>0.187073695136418</v>
      </c>
      <c r="F162" s="59" t="n">
        <v>3372</v>
      </c>
      <c r="G162" s="59" t="n">
        <f aca="false">F162-H162</f>
        <v>0</v>
      </c>
      <c r="H162" s="58" t="n">
        <v>3372</v>
      </c>
      <c r="J162" s="55"/>
      <c r="L162" s="0"/>
      <c r="P162" s="0"/>
      <c r="R162" s="0"/>
    </row>
    <row r="163" customFormat="false" ht="19.85" hidden="false" customHeight="true" outlineLevel="0" collapsed="false">
      <c r="A163" s="0" t="n">
        <v>31</v>
      </c>
      <c r="B163" s="34" t="n">
        <v>40817</v>
      </c>
      <c r="C163" s="1" t="n">
        <v>512983</v>
      </c>
      <c r="D163" s="29" t="s">
        <v>41</v>
      </c>
      <c r="E163" s="33" t="n">
        <f aca="false">IF(D163="totale",(C163/(A163*24))/F163,IF(D163="marché libre",(C163/(A163*24))/G163,"spécifier histo"))</f>
        <v>0.204476061556908</v>
      </c>
      <c r="F163" s="59" t="n">
        <v>3372</v>
      </c>
      <c r="G163" s="59" t="n">
        <f aca="false">F163-H163</f>
        <v>0</v>
      </c>
      <c r="H163" s="58" t="n">
        <v>3372</v>
      </c>
      <c r="J163" s="55"/>
      <c r="L163" s="0"/>
      <c r="P163" s="0"/>
      <c r="R163" s="0"/>
    </row>
    <row r="164" customFormat="false" ht="19.85" hidden="false" customHeight="true" outlineLevel="0" collapsed="false">
      <c r="A164" s="0" t="n">
        <v>30</v>
      </c>
      <c r="B164" s="31" t="n">
        <v>40848</v>
      </c>
      <c r="C164" s="1" t="n">
        <v>853165</v>
      </c>
      <c r="D164" s="29" t="s">
        <v>41</v>
      </c>
      <c r="E164" s="33" t="n">
        <f aca="false">IF(D164="totale",(C164/(A164*24))/F164,IF(D164="marché libre",(C164/(A164*24))/G164,"spécifier histo"))</f>
        <v>0.351409071437986</v>
      </c>
      <c r="F164" s="59" t="n">
        <v>3372</v>
      </c>
      <c r="G164" s="59" t="n">
        <f aca="false">F164-H164</f>
        <v>0</v>
      </c>
      <c r="H164" s="58" t="n">
        <v>3372</v>
      </c>
      <c r="J164" s="55"/>
      <c r="L164" s="0"/>
      <c r="R164" s="0"/>
    </row>
    <row r="165" customFormat="false" ht="19.85" hidden="false" customHeight="true" outlineLevel="0" collapsed="false">
      <c r="A165" s="0" t="n">
        <v>31</v>
      </c>
      <c r="B165" s="34" t="n">
        <v>40878</v>
      </c>
      <c r="C165" s="1" t="n">
        <v>498933</v>
      </c>
      <c r="D165" s="29" t="s">
        <v>41</v>
      </c>
      <c r="E165" s="33" t="n">
        <f aca="false">IF(D165="totale",(C165/(A165*24))/F165,IF(D165="marché libre",(C165/(A165*24))/G165,"spécifier histo"))</f>
        <v>0.198875703133969</v>
      </c>
      <c r="F165" s="59" t="n">
        <v>3372</v>
      </c>
      <c r="G165" s="59" t="n">
        <f aca="false">F165-H165</f>
        <v>0</v>
      </c>
      <c r="H165" s="58" t="n">
        <v>3372</v>
      </c>
      <c r="J165" s="55"/>
      <c r="L165" s="0"/>
      <c r="R165" s="0"/>
    </row>
    <row r="166" customFormat="false" ht="19.85" hidden="false" customHeight="true" outlineLevel="0" collapsed="false">
      <c r="A166" s="0" t="n">
        <v>31</v>
      </c>
      <c r="B166" s="31" t="n">
        <v>40909</v>
      </c>
      <c r="C166" s="1" t="n">
        <v>334568</v>
      </c>
      <c r="D166" s="29" t="s">
        <v>41</v>
      </c>
      <c r="E166" s="33" t="n">
        <f aca="false">IF(D166="totale",(C166/(A166*24))/F166,IF(D166="marché libre",(C166/(A166*24))/G166,"spécifier histo"))</f>
        <v>0.133359481626041</v>
      </c>
      <c r="F166" s="59" t="n">
        <v>3372</v>
      </c>
      <c r="G166" s="59" t="n">
        <f aca="false">F166-H166</f>
        <v>0</v>
      </c>
      <c r="H166" s="58" t="n">
        <v>3372</v>
      </c>
      <c r="J166" s="55"/>
      <c r="L166" s="0"/>
      <c r="R166" s="0"/>
    </row>
    <row r="167" customFormat="false" ht="19.85" hidden="false" customHeight="true" outlineLevel="0" collapsed="false">
      <c r="A167" s="0" t="n">
        <v>28</v>
      </c>
      <c r="B167" s="34" t="n">
        <v>40940</v>
      </c>
      <c r="C167" s="1" t="n">
        <v>218836</v>
      </c>
      <c r="D167" s="29" t="s">
        <v>41</v>
      </c>
      <c r="E167" s="33" t="n">
        <f aca="false">IF(D167="totale",(C167/(A167*24))/F167,IF(D167="marché libre",(C167/(A167*24))/G167,"spécifier histo"))</f>
        <v>0.0965743800485793</v>
      </c>
      <c r="F167" s="59" t="n">
        <v>3372</v>
      </c>
      <c r="G167" s="59" t="n">
        <f aca="false">F167-H167</f>
        <v>0</v>
      </c>
      <c r="H167" s="58" t="n">
        <v>3372</v>
      </c>
      <c r="J167" s="55"/>
      <c r="L167" s="0"/>
      <c r="R167" s="0"/>
    </row>
    <row r="168" customFormat="false" ht="19.85" hidden="false" customHeight="true" outlineLevel="0" collapsed="false">
      <c r="A168" s="0" t="n">
        <v>31</v>
      </c>
      <c r="B168" s="31" t="n">
        <v>40969</v>
      </c>
      <c r="C168" s="1" t="n">
        <v>324635</v>
      </c>
      <c r="D168" s="29" t="s">
        <v>41</v>
      </c>
      <c r="E168" s="33" t="n">
        <f aca="false">IF(D168="totale",(C168/(A168*24))/F168,IF(D168="marché libre",(C168/(A168*24))/G168,"spécifier histo"))</f>
        <v>0.129400167731731</v>
      </c>
      <c r="F168" s="59" t="n">
        <v>3372</v>
      </c>
      <c r="G168" s="59" t="n">
        <f aca="false">F168-H168</f>
        <v>0</v>
      </c>
      <c r="H168" s="58" t="n">
        <v>3372</v>
      </c>
      <c r="J168" s="55"/>
      <c r="L168" s="0"/>
      <c r="R168" s="0"/>
    </row>
    <row r="169" customFormat="false" ht="19.85" hidden="false" customHeight="true" outlineLevel="0" collapsed="false">
      <c r="A169" s="0" t="n">
        <v>30</v>
      </c>
      <c r="B169" s="34" t="n">
        <v>41000</v>
      </c>
      <c r="C169" s="1" t="n">
        <v>656576</v>
      </c>
      <c r="D169" s="29" t="s">
        <v>41</v>
      </c>
      <c r="E169" s="33" t="n">
        <f aca="false">IF(D169="totale",(C169/(A169*24))/F169,IF(D169="marché libre",(C169/(A169*24))/G169,"spécifier histo"))</f>
        <v>0.270436272571504</v>
      </c>
      <c r="F169" s="59" t="n">
        <v>3372</v>
      </c>
      <c r="G169" s="59" t="n">
        <f aca="false">F169-H169</f>
        <v>0</v>
      </c>
      <c r="H169" s="58" t="n">
        <v>3372</v>
      </c>
      <c r="J169" s="55"/>
      <c r="L169" s="0"/>
      <c r="R169" s="0"/>
    </row>
    <row r="170" customFormat="false" ht="19.85" hidden="false" customHeight="true" outlineLevel="0" collapsed="false">
      <c r="A170" s="0" t="n">
        <v>31</v>
      </c>
      <c r="B170" s="31" t="n">
        <v>41030</v>
      </c>
      <c r="C170" s="1" t="n">
        <v>1709882</v>
      </c>
      <c r="D170" s="29" t="s">
        <v>41</v>
      </c>
      <c r="E170" s="33" t="n">
        <f aca="false">IF(D170="totale",(C170/(A170*24))/F170,IF(D170="marché libre",(C170/(A170*24))/G170,"spécifier histo"))</f>
        <v>0.681562424265616</v>
      </c>
      <c r="F170" s="59" t="n">
        <v>3372</v>
      </c>
      <c r="G170" s="59" t="n">
        <f aca="false">F170-H170</f>
        <v>0</v>
      </c>
      <c r="H170" s="58" t="n">
        <v>3372</v>
      </c>
      <c r="J170" s="55"/>
      <c r="L170" s="0"/>
      <c r="R170" s="0"/>
    </row>
    <row r="171" customFormat="false" ht="19.85" hidden="false" customHeight="true" outlineLevel="0" collapsed="false">
      <c r="A171" s="0" t="n">
        <v>30</v>
      </c>
      <c r="B171" s="34" t="n">
        <v>41061</v>
      </c>
      <c r="C171" s="1" t="n">
        <v>2028370</v>
      </c>
      <c r="D171" s="29" t="s">
        <v>41</v>
      </c>
      <c r="E171" s="33" t="n">
        <f aca="false">IF(D171="totale",(C171/(A171*24))/F171,IF(D171="marché libre",(C171/(A171*24))/G171,"spécifier histo"))</f>
        <v>0.83546279820746</v>
      </c>
      <c r="F171" s="59" t="n">
        <v>3372</v>
      </c>
      <c r="G171" s="59" t="n">
        <f aca="false">F171-H171</f>
        <v>0</v>
      </c>
      <c r="H171" s="58" t="n">
        <v>3372</v>
      </c>
      <c r="J171" s="55"/>
      <c r="L171" s="0"/>
      <c r="R171" s="0"/>
    </row>
    <row r="172" customFormat="false" ht="19.85" hidden="false" customHeight="true" outlineLevel="0" collapsed="false">
      <c r="A172" s="0" t="n">
        <v>31</v>
      </c>
      <c r="B172" s="31" t="n">
        <v>41091</v>
      </c>
      <c r="C172" s="1" t="n">
        <v>1225791</v>
      </c>
      <c r="D172" s="29" t="s">
        <v>41</v>
      </c>
      <c r="E172" s="33" t="n">
        <f aca="false">IF(D172="totale",(C172/(A172*24))/F172,IF(D172="marché libre",(C172/(A172*24))/G172,"spécifier histo"))</f>
        <v>0.48860277235679</v>
      </c>
      <c r="F172" s="59" t="n">
        <v>3372</v>
      </c>
      <c r="G172" s="59" t="n">
        <f aca="false">F172-H172</f>
        <v>0</v>
      </c>
      <c r="H172" s="58" t="n">
        <v>3372</v>
      </c>
      <c r="J172" s="55"/>
      <c r="L172" s="0"/>
      <c r="R172" s="0"/>
    </row>
    <row r="173" customFormat="false" ht="19.85" hidden="false" customHeight="true" outlineLevel="0" collapsed="false">
      <c r="A173" s="0" t="n">
        <v>31</v>
      </c>
      <c r="B173" s="34" t="n">
        <v>41122</v>
      </c>
      <c r="C173" s="1" t="n">
        <v>374466</v>
      </c>
      <c r="D173" s="29" t="s">
        <v>41</v>
      </c>
      <c r="E173" s="33" t="n">
        <f aca="false">IF(D173="totale",(C173/(A173*24))/F173,IF(D173="marché libre",(C173/(A173*24))/G173,"spécifier histo"))</f>
        <v>0.149262905139096</v>
      </c>
      <c r="F173" s="59" t="n">
        <v>3372</v>
      </c>
      <c r="G173" s="57" t="n">
        <f aca="false">F173-H173</f>
        <v>0</v>
      </c>
      <c r="H173" s="58" t="n">
        <v>3372</v>
      </c>
      <c r="J173" s="55"/>
      <c r="R173" s="0"/>
    </row>
    <row r="174" customFormat="false" ht="19.85" hidden="false" customHeight="true" outlineLevel="0" collapsed="false">
      <c r="A174" s="0" t="n">
        <v>30</v>
      </c>
      <c r="B174" s="31" t="n">
        <v>41153</v>
      </c>
      <c r="C174" s="1" t="n">
        <v>554374</v>
      </c>
      <c r="D174" s="29" t="s">
        <v>41</v>
      </c>
      <c r="E174" s="33" t="n">
        <f aca="false">IF(D174="totale",(C174/(A174*24))/F174,IF(D174="marché libre",(C174/(A174*24))/G174,"spécifier histo"))</f>
        <v>0.228340417819955</v>
      </c>
      <c r="F174" s="59" t="n">
        <v>3372</v>
      </c>
      <c r="G174" s="57" t="n">
        <f aca="false">F174-H174</f>
        <v>0</v>
      </c>
      <c r="H174" s="58" t="n">
        <v>3372</v>
      </c>
      <c r="J174" s="55"/>
      <c r="R174" s="0"/>
    </row>
    <row r="175" customFormat="false" ht="19.85" hidden="false" customHeight="true" outlineLevel="0" collapsed="false">
      <c r="A175" s="0" t="n">
        <v>31</v>
      </c>
      <c r="B175" s="34" t="n">
        <v>41183</v>
      </c>
      <c r="C175" s="1" t="n">
        <v>573265</v>
      </c>
      <c r="D175" s="29" t="s">
        <v>41</v>
      </c>
      <c r="E175" s="33" t="n">
        <f aca="false">IF(D175="totale",(C175/(A175*24))/F175,IF(D175="marché libre",(C175/(A175*24))/G175,"spécifier histo"))</f>
        <v>0.228504588706489</v>
      </c>
      <c r="F175" s="59" t="n">
        <v>3372</v>
      </c>
      <c r="G175" s="57" t="n">
        <f aca="false">F175-H175</f>
        <v>0</v>
      </c>
      <c r="H175" s="58" t="n">
        <v>3372</v>
      </c>
      <c r="J175" s="55"/>
      <c r="R175" s="0"/>
    </row>
    <row r="176" customFormat="false" ht="19.85" hidden="false" customHeight="true" outlineLevel="0" collapsed="false">
      <c r="A176" s="0" t="n">
        <v>30</v>
      </c>
      <c r="B176" s="31" t="n">
        <v>41214</v>
      </c>
      <c r="C176" s="1" t="n">
        <v>1613532</v>
      </c>
      <c r="D176" s="29" t="s">
        <v>41</v>
      </c>
      <c r="E176" s="33" t="n">
        <f aca="false">IF(D176="totale",(C176/(A176*24))/F176,IF(D176="marché libre",(C176/(A176*24))/G176,"spécifier histo"))</f>
        <v>0.664595689996046</v>
      </c>
      <c r="F176" s="59" t="n">
        <v>3372</v>
      </c>
      <c r="G176" s="57" t="n">
        <f aca="false">F176-H176</f>
        <v>0</v>
      </c>
      <c r="H176" s="58" t="n">
        <v>3372</v>
      </c>
      <c r="J176" s="55"/>
      <c r="R176" s="0"/>
    </row>
    <row r="177" customFormat="false" ht="19.85" hidden="false" customHeight="true" outlineLevel="0" collapsed="false">
      <c r="A177" s="0" t="n">
        <v>31</v>
      </c>
      <c r="B177" s="34" t="n">
        <v>41244</v>
      </c>
      <c r="C177" s="1" t="n">
        <v>832825</v>
      </c>
      <c r="D177" s="29" t="s">
        <v>41</v>
      </c>
      <c r="E177" s="33" t="n">
        <f aca="false">IF(D177="totale",(C177/(A177*24))/F177,IF(D177="marché libre",(C177/(A177*24))/G177,"spécifier histo"))</f>
        <v>0.331965729792472</v>
      </c>
      <c r="F177" s="59" t="n">
        <v>3372</v>
      </c>
      <c r="G177" s="59" t="n">
        <f aca="false">F177-H177</f>
        <v>0</v>
      </c>
      <c r="H177" s="58" t="n">
        <v>3372</v>
      </c>
      <c r="J177" s="55"/>
      <c r="R177" s="0"/>
    </row>
    <row r="178" customFormat="false" ht="19.85" hidden="false" customHeight="true" outlineLevel="0" collapsed="false">
      <c r="A178" s="0" t="n">
        <v>31</v>
      </c>
      <c r="B178" s="31" t="n">
        <v>41275</v>
      </c>
      <c r="C178" s="26" t="n">
        <v>436905</v>
      </c>
      <c r="D178" s="29" t="s">
        <v>41</v>
      </c>
      <c r="E178" s="33" t="n">
        <f aca="false">IF(D178="totale",(C189/(A178*24))/F178,IF(D178="marché libre",(C189/(A178*24))/G178,"spécifier histo"))</f>
        <v>0.212400668375872</v>
      </c>
      <c r="F178" s="59" t="n">
        <v>3372</v>
      </c>
      <c r="G178" s="59" t="n">
        <f aca="false">F178-H178</f>
        <v>0</v>
      </c>
      <c r="H178" s="58" t="n">
        <v>3372</v>
      </c>
      <c r="J178" s="55"/>
      <c r="R178" s="0"/>
    </row>
    <row r="179" customFormat="false" ht="19.85" hidden="false" customHeight="true" outlineLevel="0" collapsed="false">
      <c r="A179" s="0" t="n">
        <v>28</v>
      </c>
      <c r="B179" s="34" t="n">
        <v>41306</v>
      </c>
      <c r="C179" s="26" t="n">
        <v>246698</v>
      </c>
      <c r="D179" s="29" t="s">
        <v>41</v>
      </c>
      <c r="E179" s="33" t="n">
        <f aca="false">IF(D179="totale",(C188/(A179*24))/F179,IF(D179="marché libre",(C188/(A179*24))/G179,"spécifier histo"))</f>
        <v>0.41112558605886</v>
      </c>
      <c r="F179" s="59" t="n">
        <v>3372</v>
      </c>
      <c r="G179" s="59" t="n">
        <f aca="false">F179-H179</f>
        <v>0</v>
      </c>
      <c r="H179" s="58" t="n">
        <v>3372</v>
      </c>
      <c r="J179" s="311" t="s">
        <v>417</v>
      </c>
      <c r="R179" s="0"/>
    </row>
    <row r="180" customFormat="false" ht="19.85" hidden="false" customHeight="true" outlineLevel="0" collapsed="false">
      <c r="A180" s="0" t="n">
        <v>31</v>
      </c>
      <c r="B180" s="31" t="n">
        <v>41334</v>
      </c>
      <c r="C180" s="128" t="n">
        <v>154748</v>
      </c>
      <c r="D180" s="29" t="s">
        <v>41</v>
      </c>
      <c r="E180" s="33" t="n">
        <f aca="false">IF(D180="totale",(C180/(A180*24))/F180,IF(D180="marché libre",(C180/(A180*24))/G180,"spécifier histo"))</f>
        <v>0.0616828658528808</v>
      </c>
      <c r="F180" s="59" t="n">
        <v>3372</v>
      </c>
      <c r="G180" s="59" t="n">
        <f aca="false">F180-H180</f>
        <v>0</v>
      </c>
      <c r="H180" s="58" t="n">
        <v>3372</v>
      </c>
      <c r="J180" s="306" t="s">
        <v>189</v>
      </c>
      <c r="R180" s="0"/>
    </row>
    <row r="181" customFormat="false" ht="19.85" hidden="false" customHeight="true" outlineLevel="0" collapsed="false">
      <c r="A181" s="0" t="n">
        <v>30</v>
      </c>
      <c r="B181" s="34" t="n">
        <v>41365</v>
      </c>
      <c r="C181" s="128" t="n">
        <v>1124078</v>
      </c>
      <c r="D181" s="29" t="s">
        <v>41</v>
      </c>
      <c r="E181" s="33" t="n">
        <f aca="false">IF(D181="totale",(C181/(A181*24))/F181,IF(D181="marché libre",(C181/(A181*24))/G181,"spécifier histo"))</f>
        <v>0.462995090286016</v>
      </c>
      <c r="F181" s="59" t="n">
        <v>3372</v>
      </c>
      <c r="G181" s="59" t="n">
        <f aca="false">F181-H181</f>
        <v>0</v>
      </c>
      <c r="H181" s="58" t="n">
        <v>3372</v>
      </c>
      <c r="J181" s="306" t="s">
        <v>418</v>
      </c>
      <c r="R181" s="0"/>
    </row>
    <row r="182" customFormat="false" ht="19.85" hidden="false" customHeight="true" outlineLevel="0" collapsed="false">
      <c r="A182" s="0" t="n">
        <v>31</v>
      </c>
      <c r="B182" s="31" t="n">
        <v>41395</v>
      </c>
      <c r="C182" s="128" t="n">
        <v>2367371</v>
      </c>
      <c r="D182" s="29" t="s">
        <v>41</v>
      </c>
      <c r="E182" s="33" t="n">
        <f aca="false">IF(D182="totale",(C182/(A182*24))/F182,IF(D182="marché libre",(C182/(A182*24))/G182,"spécifier histo"))</f>
        <v>0.943638869755992</v>
      </c>
      <c r="F182" s="59" t="n">
        <v>3372</v>
      </c>
      <c r="G182" s="59" t="n">
        <f aca="false">F182-H182</f>
        <v>0</v>
      </c>
      <c r="H182" s="58" t="n">
        <v>3372</v>
      </c>
      <c r="J182" s="306" t="s">
        <v>419</v>
      </c>
      <c r="R182" s="0"/>
    </row>
    <row r="183" customFormat="false" ht="19.85" hidden="false" customHeight="true" outlineLevel="0" collapsed="false">
      <c r="A183" s="0" t="n">
        <v>30</v>
      </c>
      <c r="B183" s="34" t="n">
        <v>41426</v>
      </c>
      <c r="C183" s="128" t="n">
        <v>2161617</v>
      </c>
      <c r="D183" s="29" t="s">
        <v>41</v>
      </c>
      <c r="E183" s="33" t="n">
        <f aca="false">IF(D183="totale",(C183/(A183*24))/F183,IF(D183="marché libre",(C183/(A183*24))/G183,"spécifier histo"))</f>
        <v>0.890345739422697</v>
      </c>
      <c r="F183" s="59" t="n">
        <v>3372</v>
      </c>
      <c r="G183" s="59" t="n">
        <f aca="false">F183-H183</f>
        <v>0</v>
      </c>
      <c r="H183" s="58" t="n">
        <v>3372</v>
      </c>
      <c r="J183" s="306" t="s">
        <v>189</v>
      </c>
      <c r="R183" s="0"/>
    </row>
    <row r="184" customFormat="false" ht="19.85" hidden="false" customHeight="true" outlineLevel="0" collapsed="false">
      <c r="A184" s="0" t="n">
        <v>31</v>
      </c>
      <c r="B184" s="31" t="n">
        <v>41456</v>
      </c>
      <c r="C184" s="128" t="n">
        <v>1969432</v>
      </c>
      <c r="D184" s="29" t="s">
        <v>41</v>
      </c>
      <c r="E184" s="33" t="n">
        <f aca="false">IF(D184="totale",(C184/(A184*24))/F184,IF(D184="marché libre",(C184/(A184*24))/G184,"spécifier histo"))</f>
        <v>0.785019579331369</v>
      </c>
      <c r="F184" s="59" t="n">
        <v>3372</v>
      </c>
      <c r="G184" s="59" t="n">
        <f aca="false">F184-H184</f>
        <v>0</v>
      </c>
      <c r="H184" s="58" t="n">
        <v>3372</v>
      </c>
      <c r="J184" s="306" t="s">
        <v>420</v>
      </c>
      <c r="R184" s="0"/>
    </row>
    <row r="185" customFormat="false" ht="19.85" hidden="false" customHeight="true" outlineLevel="0" collapsed="false">
      <c r="A185" s="0" t="n">
        <v>31</v>
      </c>
      <c r="B185" s="34" t="n">
        <v>41487</v>
      </c>
      <c r="C185" s="128" t="n">
        <v>1048589</v>
      </c>
      <c r="D185" s="29" t="s">
        <v>41</v>
      </c>
      <c r="E185" s="33" t="n">
        <f aca="false">IF(D185="totale",(C185/(A185*24))/F185,IF(D185="marché libre",(C185/(A185*24))/G185,"spécifier histo"))</f>
        <v>0.417969696679805</v>
      </c>
      <c r="F185" s="59" t="n">
        <v>3372</v>
      </c>
      <c r="G185" s="59" t="n">
        <f aca="false">F185-H185</f>
        <v>0</v>
      </c>
      <c r="H185" s="58" t="n">
        <v>3372</v>
      </c>
      <c r="J185" s="306" t="s">
        <v>421</v>
      </c>
      <c r="R185" s="0"/>
    </row>
    <row r="186" customFormat="false" ht="19.85" hidden="false" customHeight="true" outlineLevel="0" collapsed="false">
      <c r="A186" s="0" t="n">
        <v>30</v>
      </c>
      <c r="B186" s="31" t="n">
        <v>41518</v>
      </c>
      <c r="C186" s="128" t="n">
        <v>406552</v>
      </c>
      <c r="D186" s="29" t="s">
        <v>41</v>
      </c>
      <c r="E186" s="33" t="n">
        <f aca="false">IF(D186="totale",(C186/(A186*24))/F186,IF(D186="marché libre",(C186/(A186*24))/G186,"spécifier histo"))</f>
        <v>0.167454197970212</v>
      </c>
      <c r="F186" s="59" t="n">
        <v>3372</v>
      </c>
      <c r="G186" s="59" t="n">
        <f aca="false">F186-H186</f>
        <v>0</v>
      </c>
      <c r="H186" s="58" t="n">
        <v>3372</v>
      </c>
      <c r="J186" s="306" t="s">
        <v>189</v>
      </c>
      <c r="R186" s="0"/>
    </row>
    <row r="187" customFormat="false" ht="19.85" hidden="false" customHeight="true" outlineLevel="0" collapsed="false">
      <c r="A187" s="0" t="n">
        <v>31</v>
      </c>
      <c r="B187" s="34" t="n">
        <v>41548</v>
      </c>
      <c r="C187" s="128" t="n">
        <v>895713</v>
      </c>
      <c r="D187" s="29" t="s">
        <v>41</v>
      </c>
      <c r="E187" s="33" t="n">
        <f aca="false">IF(D187="totale",(C187/(A187*24))/F187,IF(D187="marché libre",(C187/(A187*24))/G187,"spécifier histo"))</f>
        <v>0.357033013813952</v>
      </c>
      <c r="F187" s="59" t="n">
        <v>3372</v>
      </c>
      <c r="G187" s="59" t="n">
        <f aca="false">F187-H187</f>
        <v>0</v>
      </c>
      <c r="H187" s="58" t="n">
        <v>3372</v>
      </c>
      <c r="J187" s="306" t="s">
        <v>422</v>
      </c>
      <c r="R187" s="0"/>
    </row>
    <row r="188" customFormat="false" ht="19.85" hidden="false" customHeight="true" outlineLevel="0" collapsed="false">
      <c r="A188" s="0" t="n">
        <v>30</v>
      </c>
      <c r="B188" s="31" t="n">
        <v>41579</v>
      </c>
      <c r="C188" s="231" t="n">
        <v>931604</v>
      </c>
      <c r="D188" s="246" t="s">
        <v>42</v>
      </c>
      <c r="E188" s="118" t="n">
        <f aca="false">IF(D188="totale",(C188/(A188*24))/F188,IF(D188="marché libre",(C188/(A188*24))/G188,"spécifier histo"))</f>
        <v>0.383717213654936</v>
      </c>
      <c r="F188" s="232" t="n">
        <v>3372</v>
      </c>
      <c r="G188" s="232" t="n">
        <f aca="false">F188-H188</f>
        <v>3372</v>
      </c>
      <c r="H188" s="245" t="n">
        <v>0</v>
      </c>
      <c r="J188" s="306" t="s">
        <v>189</v>
      </c>
      <c r="R188" s="0"/>
    </row>
    <row r="189" customFormat="false" ht="19.85" hidden="false" customHeight="true" outlineLevel="0" collapsed="false">
      <c r="A189" s="0" t="n">
        <v>31</v>
      </c>
      <c r="B189" s="34" t="n">
        <v>41609</v>
      </c>
      <c r="C189" s="128" t="n">
        <v>532864</v>
      </c>
      <c r="D189" s="29" t="s">
        <v>42</v>
      </c>
      <c r="E189" s="33" t="n">
        <f aca="false">IF(D189="totale",(C189/(A189*24))/F189,IF(D189="marché libre",(C189/(A189*24))/G189,"spécifier histo"))</f>
        <v>0.212400668375872</v>
      </c>
      <c r="F189" s="59" t="n">
        <v>3372</v>
      </c>
      <c r="G189" s="59" t="n">
        <f aca="false">F189-H189</f>
        <v>3372</v>
      </c>
      <c r="H189" s="58" t="n">
        <v>0</v>
      </c>
      <c r="I189" s="312"/>
      <c r="J189" s="306" t="s">
        <v>423</v>
      </c>
      <c r="R189" s="0"/>
    </row>
    <row r="190" customFormat="false" ht="19.85" hidden="false" customHeight="true" outlineLevel="0" collapsed="false">
      <c r="A190" s="0" t="n">
        <v>31</v>
      </c>
      <c r="B190" s="31" t="n">
        <v>41640</v>
      </c>
      <c r="C190" s="128" t="n">
        <v>332443</v>
      </c>
      <c r="D190" s="29" t="s">
        <v>42</v>
      </c>
      <c r="E190" s="33" t="n">
        <f aca="false">IF(D190="totale",(C190/(A190*24))/F190,IF(D190="marché libre",(C190/(A190*24))/G190,"spécifier histo"))</f>
        <v>0.132512452327198</v>
      </c>
      <c r="F190" s="59" t="n">
        <v>3372</v>
      </c>
      <c r="G190" s="59" t="n">
        <f aca="false">F190-H190</f>
        <v>3372</v>
      </c>
      <c r="H190" s="58" t="n">
        <v>0</v>
      </c>
      <c r="I190" s="0"/>
      <c r="J190" s="306" t="s">
        <v>189</v>
      </c>
      <c r="K190" s="0"/>
      <c r="L190" s="0"/>
      <c r="R190" s="0"/>
    </row>
    <row r="191" customFormat="false" ht="19.85" hidden="false" customHeight="true" outlineLevel="0" collapsed="false">
      <c r="A191" s="0" t="n">
        <v>28</v>
      </c>
      <c r="B191" s="34" t="n">
        <v>41671</v>
      </c>
      <c r="C191" s="128" t="n">
        <v>221941</v>
      </c>
      <c r="D191" s="29" t="s">
        <v>42</v>
      </c>
      <c r="E191" s="33" t="n">
        <f aca="false">IF(D191="totale",(C191/(A191*24))/F191,IF(D191="marché libre",(C191/(A191*24))/G191,"spécifier histo"))</f>
        <v>0.0979446456815229</v>
      </c>
      <c r="F191" s="59" t="n">
        <v>3372</v>
      </c>
      <c r="G191" s="59" t="n">
        <f aca="false">F191-H191</f>
        <v>3372</v>
      </c>
      <c r="H191" s="58" t="n">
        <v>0</v>
      </c>
      <c r="I191" s="0"/>
      <c r="J191" s="306" t="s">
        <v>189</v>
      </c>
      <c r="K191" s="0"/>
      <c r="L191" s="0"/>
      <c r="R191" s="0"/>
    </row>
    <row r="192" customFormat="false" ht="19.85" hidden="false" customHeight="true" outlineLevel="0" collapsed="false">
      <c r="A192" s="0" t="n">
        <v>31</v>
      </c>
      <c r="B192" s="31" t="n">
        <v>41699</v>
      </c>
      <c r="C192" s="128" t="n">
        <v>483974</v>
      </c>
      <c r="D192" s="29" t="s">
        <v>42</v>
      </c>
      <c r="E192" s="33" t="n">
        <f aca="false">IF(D192="totale",(C192/(A192*24))/F192,IF(D192="marché libre",(C192/(A192*24))/G192,"spécifier histo"))</f>
        <v>0.192913015472136</v>
      </c>
      <c r="F192" s="59" t="n">
        <v>3372</v>
      </c>
      <c r="G192" s="59" t="n">
        <f aca="false">F192-H192</f>
        <v>3372</v>
      </c>
      <c r="H192" s="58" t="n">
        <v>0</v>
      </c>
      <c r="I192" s="0"/>
      <c r="J192" s="306" t="s">
        <v>424</v>
      </c>
      <c r="K192" s="0"/>
      <c r="L192" s="0"/>
      <c r="R192" s="0"/>
    </row>
    <row r="193" customFormat="false" ht="19.85" hidden="false" customHeight="true" outlineLevel="0" collapsed="false">
      <c r="A193" s="0" t="n">
        <v>30</v>
      </c>
      <c r="B193" s="34" t="n">
        <v>41730</v>
      </c>
      <c r="C193" s="128" t="n">
        <v>1855342</v>
      </c>
      <c r="D193" s="29" t="s">
        <v>42</v>
      </c>
      <c r="E193" s="33" t="n">
        <f aca="false">IF(D193="totale",(C193/(A193*24))/F193,IF(D193="marché libre",(C193/(A193*24))/G193,"spécifier histo"))</f>
        <v>0.764194510346646</v>
      </c>
      <c r="F193" s="59" t="n">
        <v>3372</v>
      </c>
      <c r="G193" s="59" t="n">
        <f aca="false">F193-H193</f>
        <v>3372</v>
      </c>
      <c r="H193" s="58" t="n">
        <v>0</v>
      </c>
      <c r="I193" s="0"/>
      <c r="J193" s="0"/>
      <c r="K193" s="0"/>
      <c r="L193" s="0"/>
    </row>
    <row r="194" customFormat="false" ht="19.85" hidden="false" customHeight="true" outlineLevel="0" collapsed="false">
      <c r="A194" s="0" t="n">
        <v>31</v>
      </c>
      <c r="B194" s="31" t="n">
        <v>41760</v>
      </c>
      <c r="C194" s="128" t="n">
        <v>2198226</v>
      </c>
      <c r="D194" s="29" t="s">
        <v>42</v>
      </c>
      <c r="E194" s="33" t="n">
        <f aca="false">IF(D194="totale",(C194/(A194*24))/F194,IF(D194="marché libre",(C194/(A194*24))/G194,"spécifier histo"))</f>
        <v>0.876217330578196</v>
      </c>
      <c r="F194" s="59" t="n">
        <v>3372</v>
      </c>
      <c r="G194" s="59" t="n">
        <f aca="false">F194-H194</f>
        <v>3372</v>
      </c>
      <c r="H194" s="58" t="n">
        <v>0</v>
      </c>
      <c r="I194" s="0"/>
      <c r="J194" s="0"/>
      <c r="K194" s="0"/>
      <c r="L194" s="0"/>
    </row>
    <row r="195" customFormat="false" ht="19.85" hidden="false" customHeight="true" outlineLevel="0" collapsed="false">
      <c r="A195" s="0" t="n">
        <v>30</v>
      </c>
      <c r="B195" s="34" t="n">
        <v>41791</v>
      </c>
      <c r="C195" s="128" t="n">
        <v>2274350</v>
      </c>
      <c r="D195" s="29" t="s">
        <v>42</v>
      </c>
      <c r="E195" s="33" t="n">
        <f aca="false">IF(D195="totale",(C195/(A195*24))/F195,IF(D195="marché libre",(C195/(A195*24))/G195,"spécifier histo"))</f>
        <v>0.936779194675102</v>
      </c>
      <c r="F195" s="59" t="n">
        <v>3372</v>
      </c>
      <c r="G195" s="59" t="n">
        <f aca="false">F195-H195</f>
        <v>3372</v>
      </c>
      <c r="H195" s="58" t="n">
        <v>0</v>
      </c>
      <c r="I195" s="0"/>
      <c r="J195" s="0"/>
      <c r="K195" s="0"/>
      <c r="L195" s="0"/>
    </row>
    <row r="196" customFormat="false" ht="19.85" hidden="false" customHeight="true" outlineLevel="0" collapsed="false">
      <c r="A196" s="0" t="n">
        <v>31</v>
      </c>
      <c r="B196" s="31" t="n">
        <v>41821</v>
      </c>
      <c r="C196" s="128" t="n">
        <v>2322899</v>
      </c>
      <c r="D196" s="29" t="s">
        <v>42</v>
      </c>
      <c r="E196" s="33" t="n">
        <f aca="false">IF(D196="totale",(C196/(A196*24))/F196,IF(D196="marché libre",(C196/(A196*24))/G196,"spécifier histo"))</f>
        <v>0.925912240589804</v>
      </c>
      <c r="F196" s="59" t="n">
        <v>3372</v>
      </c>
      <c r="G196" s="59" t="n">
        <f aca="false">F196-H196</f>
        <v>3372</v>
      </c>
      <c r="H196" s="58" t="n">
        <v>0</v>
      </c>
      <c r="I196" s="0"/>
      <c r="J196" s="0"/>
      <c r="K196" s="0"/>
      <c r="L196" s="0"/>
    </row>
    <row r="197" customFormat="false" ht="19.85" hidden="false" customHeight="true" outlineLevel="0" collapsed="false">
      <c r="A197" s="0" t="n">
        <v>31</v>
      </c>
      <c r="B197" s="34" t="n">
        <v>41852</v>
      </c>
      <c r="C197" s="128" t="n">
        <v>1616123</v>
      </c>
      <c r="D197" s="29" t="s">
        <v>42</v>
      </c>
      <c r="E197" s="33" t="n">
        <f aca="false">IF(D197="totale",(C197/(A197*24))/F197,IF(D197="marché libre",(C197/(A197*24))/G197,"spécifier histo"))</f>
        <v>0.644189897192566</v>
      </c>
      <c r="F197" s="59" t="n">
        <v>3372</v>
      </c>
      <c r="G197" s="59" t="n">
        <f aca="false">F197-H197</f>
        <v>3372</v>
      </c>
      <c r="H197" s="58" t="n">
        <v>0</v>
      </c>
      <c r="I197" s="0"/>
      <c r="K197" s="0"/>
      <c r="L197" s="0"/>
    </row>
    <row r="198" customFormat="false" ht="19.85" hidden="false" customHeight="true" outlineLevel="0" collapsed="false">
      <c r="A198" s="0" t="n">
        <v>30</v>
      </c>
      <c r="B198" s="31" t="n">
        <v>41883</v>
      </c>
      <c r="C198" s="128" t="n">
        <v>762287</v>
      </c>
      <c r="D198" s="29" t="s">
        <v>42</v>
      </c>
      <c r="E198" s="33" t="n">
        <f aca="false">IF(D198="totale",(C198/(A198*24))/F198,IF(D198="marché libre",(C198/(A198*24))/G198,"spécifier histo"))</f>
        <v>0.313977444971662</v>
      </c>
      <c r="F198" s="59" t="n">
        <v>3372</v>
      </c>
      <c r="G198" s="59" t="n">
        <f aca="false">F198-H198</f>
        <v>3372</v>
      </c>
      <c r="H198" s="58" t="n">
        <v>0</v>
      </c>
      <c r="I198" s="0"/>
      <c r="J198" s="26"/>
      <c r="K198" s="0"/>
      <c r="L198" s="0"/>
    </row>
    <row r="199" customFormat="false" ht="19.85" hidden="false" customHeight="true" outlineLevel="0" collapsed="false">
      <c r="A199" s="0" t="n">
        <v>31</v>
      </c>
      <c r="B199" s="34" t="n">
        <v>41913</v>
      </c>
      <c r="C199" s="128" t="n">
        <v>1084438</v>
      </c>
      <c r="D199" s="29" t="s">
        <v>42</v>
      </c>
      <c r="E199" s="33" t="n">
        <f aca="false">IF(D199="totale",(C199/(A199*24))/F199,IF(D199="marché libre",(C199/(A199*24))/G199,"spécifier histo"))</f>
        <v>0.432259180601793</v>
      </c>
      <c r="F199" s="59" t="n">
        <v>3372</v>
      </c>
      <c r="G199" s="59" t="n">
        <f aca="false">F199-H199</f>
        <v>3372</v>
      </c>
      <c r="H199" s="58" t="n">
        <v>0</v>
      </c>
      <c r="I199" s="0"/>
      <c r="J199" s="26"/>
      <c r="K199" s="0"/>
      <c r="L199" s="0"/>
    </row>
    <row r="200" customFormat="false" ht="19.85" hidden="false" customHeight="true" outlineLevel="0" collapsed="false">
      <c r="A200" s="0" t="n">
        <v>30</v>
      </c>
      <c r="B200" s="31" t="n">
        <v>41944</v>
      </c>
      <c r="C200" s="128" t="n">
        <v>1018609</v>
      </c>
      <c r="D200" s="29" t="s">
        <v>42</v>
      </c>
      <c r="E200" s="33" t="n">
        <f aca="false">IF(D200="totale",(C200/(A200*24))/F200,IF(D200="marché libre",(C200/(A200*24))/G200,"spécifier histo"))</f>
        <v>0.419553594965072</v>
      </c>
      <c r="F200" s="59" t="n">
        <v>3372</v>
      </c>
      <c r="G200" s="59" t="n">
        <f aca="false">F200-H200</f>
        <v>3372</v>
      </c>
      <c r="H200" s="58" t="n">
        <v>0</v>
      </c>
      <c r="I200" s="0"/>
      <c r="J200" s="26"/>
      <c r="K200" s="0"/>
      <c r="L200" s="0"/>
    </row>
    <row r="201" customFormat="false" ht="19.95" hidden="false" customHeight="true" outlineLevel="0" collapsed="false">
      <c r="A201" s="0" t="n">
        <v>31</v>
      </c>
      <c r="B201" s="34" t="n">
        <v>41974</v>
      </c>
      <c r="C201" s="128" t="n">
        <v>740838</v>
      </c>
      <c r="D201" s="29" t="s">
        <v>42</v>
      </c>
      <c r="E201" s="33" t="n">
        <f aca="false">IF(D201="totale",(C201/(A201*24))/F201,IF(D201="marché libre",(C201/(A201*24))/G201,"spécifier histo"))</f>
        <v>0.295299525504152</v>
      </c>
      <c r="F201" s="59" t="n">
        <v>3372</v>
      </c>
      <c r="G201" s="59" t="n">
        <f aca="false">F201-H201</f>
        <v>3372</v>
      </c>
      <c r="H201" s="58" t="n">
        <v>0</v>
      </c>
      <c r="J201" s="26"/>
      <c r="K201" s="0"/>
      <c r="L201" s="0"/>
    </row>
    <row r="202" customFormat="false" ht="19.85" hidden="false" customHeight="true" outlineLevel="0" collapsed="false">
      <c r="A202" s="0" t="n">
        <v>31</v>
      </c>
      <c r="B202" s="31" t="n">
        <v>42005</v>
      </c>
      <c r="C202" s="26" t="n">
        <v>476817</v>
      </c>
      <c r="D202" s="29" t="s">
        <v>42</v>
      </c>
      <c r="E202" s="33" t="n">
        <f aca="false">IF(D202="totale",(C202/(A202*24))/F202,IF(D202="marché libre",(C202/(A202*24))/G202,"spécifier histo"))</f>
        <v>0.190060220793633</v>
      </c>
      <c r="F202" s="59" t="n">
        <v>3372</v>
      </c>
      <c r="G202" s="59" t="n">
        <f aca="false">F202-H202</f>
        <v>3372</v>
      </c>
      <c r="H202" s="58" t="n">
        <v>0</v>
      </c>
      <c r="J202" s="26"/>
      <c r="K202" s="26"/>
      <c r="L202" s="0"/>
    </row>
    <row r="203" customFormat="false" ht="19.85" hidden="false" customHeight="true" outlineLevel="0" collapsed="false">
      <c r="A203" s="0" t="n">
        <v>28</v>
      </c>
      <c r="B203" s="34" t="n">
        <v>42036</v>
      </c>
      <c r="C203" s="26" t="n">
        <v>238414</v>
      </c>
      <c r="D203" s="29" t="s">
        <v>42</v>
      </c>
      <c r="E203" s="33" t="n">
        <f aca="false">IF(D203="totale",(C203/(A203*24))/F203,IF(D203="marché libre",(C203/(A203*24))/G203,"spécifier histo"))</f>
        <v>0.105214335140937</v>
      </c>
      <c r="F203" s="59" t="n">
        <v>3372</v>
      </c>
      <c r="G203" s="59" t="n">
        <f aca="false">F203-H203</f>
        <v>3372</v>
      </c>
      <c r="H203" s="58" t="n">
        <v>0</v>
      </c>
      <c r="J203" s="26"/>
      <c r="K203" s="26"/>
      <c r="L203" s="0"/>
    </row>
    <row r="204" customFormat="false" ht="19.85" hidden="false" customHeight="true" outlineLevel="0" collapsed="false">
      <c r="A204" s="0" t="n">
        <v>31</v>
      </c>
      <c r="B204" s="31" t="n">
        <v>42064</v>
      </c>
      <c r="C204" s="128" t="n">
        <v>211865</v>
      </c>
      <c r="D204" s="29" t="s">
        <v>42</v>
      </c>
      <c r="E204" s="33" t="n">
        <f aca="false">IF(D204="totale",(C204/(A204*24))/F204,IF(D204="marché libre",(C204/(A204*24))/G204,"spécifier histo"))</f>
        <v>0.0844498175997143</v>
      </c>
      <c r="F204" s="57" t="n">
        <v>3372</v>
      </c>
      <c r="G204" s="57" t="n">
        <f aca="false">F204-H204</f>
        <v>3372</v>
      </c>
      <c r="H204" s="58" t="n">
        <v>0</v>
      </c>
      <c r="J204" s="26"/>
      <c r="K204" s="26"/>
      <c r="L204" s="0"/>
    </row>
    <row r="205" customFormat="false" ht="19.85" hidden="false" customHeight="true" outlineLevel="0" collapsed="false">
      <c r="A205" s="0" t="n">
        <v>30</v>
      </c>
      <c r="B205" s="34" t="n">
        <v>42095</v>
      </c>
      <c r="C205" s="26" t="n">
        <v>761292</v>
      </c>
      <c r="D205" s="29" t="s">
        <v>42</v>
      </c>
      <c r="E205" s="33" t="n">
        <f aca="false">IF(D205="totale",(C205/(A205*24))/F205,IF(D205="marché libre",(C205/(A205*24))/G205,"spécifier histo"))</f>
        <v>0.313567615658363</v>
      </c>
      <c r="F205" s="59" t="n">
        <v>3372</v>
      </c>
      <c r="G205" s="59" t="n">
        <f aca="false">F205-H205</f>
        <v>3372</v>
      </c>
      <c r="H205" s="58" t="n">
        <v>0</v>
      </c>
      <c r="J205" s="26"/>
      <c r="K205" s="26"/>
      <c r="L205" s="0"/>
    </row>
    <row r="206" customFormat="false" ht="19.85" hidden="false" customHeight="true" outlineLevel="0" collapsed="false">
      <c r="A206" s="0" t="n">
        <v>31</v>
      </c>
      <c r="B206" s="31" t="n">
        <v>42125</v>
      </c>
      <c r="C206" s="26" t="n">
        <v>2274105</v>
      </c>
      <c r="D206" s="29" t="s">
        <v>42</v>
      </c>
      <c r="E206" s="33" t="n">
        <f aca="false">IF(D206="totale",(C206/(A206*24))/F206,IF(D206="marché libre",(C206/(A206*24))/G206,"spécifier histo"))</f>
        <v>0.906462853480274</v>
      </c>
      <c r="F206" s="59" t="n">
        <v>3372</v>
      </c>
      <c r="G206" s="59" t="n">
        <f aca="false">F206-H206</f>
        <v>3372</v>
      </c>
      <c r="H206" s="58" t="n">
        <v>0</v>
      </c>
      <c r="J206" s="26"/>
      <c r="K206" s="26"/>
      <c r="L206" s="0"/>
    </row>
    <row r="207" customFormat="false" ht="19.85" hidden="false" customHeight="true" outlineLevel="0" collapsed="false">
      <c r="A207" s="0" t="n">
        <v>30</v>
      </c>
      <c r="B207" s="34" t="n">
        <v>42156</v>
      </c>
      <c r="C207" s="26" t="n">
        <v>2048477</v>
      </c>
      <c r="D207" s="29" t="s">
        <v>42</v>
      </c>
      <c r="E207" s="33" t="n">
        <f aca="false">IF(D207="totale",(C207/(A207*24))/F207,IF(D207="marché libre",(C207/(A207*24))/G207,"spécifier histo"))</f>
        <v>0.843744645446158</v>
      </c>
      <c r="F207" s="59" t="n">
        <v>3372</v>
      </c>
      <c r="G207" s="59" t="n">
        <f aca="false">F207-H207</f>
        <v>3372</v>
      </c>
      <c r="H207" s="58" t="n">
        <v>0</v>
      </c>
      <c r="J207" s="26"/>
      <c r="L207" s="0"/>
    </row>
    <row r="208" customFormat="false" ht="19.85" hidden="false" customHeight="true" outlineLevel="0" collapsed="false">
      <c r="A208" s="0" t="n">
        <v>31</v>
      </c>
      <c r="B208" s="31" t="n">
        <v>42186</v>
      </c>
      <c r="C208" s="26" t="n">
        <v>946779</v>
      </c>
      <c r="D208" s="29" t="s">
        <v>42</v>
      </c>
      <c r="E208" s="33" t="n">
        <f aca="false">IF(D208="totale",(C208/(A208*24))/F208,IF(D208="marché libre",(C208/(A208*24))/G208,"spécifier histo"))</f>
        <v>0.377388024719703</v>
      </c>
      <c r="F208" s="59" t="n">
        <v>3372</v>
      </c>
      <c r="G208" s="59" t="n">
        <f aca="false">F208-H208</f>
        <v>3372</v>
      </c>
      <c r="H208" s="58" t="n">
        <v>0</v>
      </c>
      <c r="J208" s="26"/>
      <c r="L208" s="0"/>
    </row>
    <row r="209" customFormat="false" ht="19.85" hidden="false" customHeight="true" outlineLevel="0" collapsed="false">
      <c r="A209" s="0" t="n">
        <v>31</v>
      </c>
      <c r="B209" s="34" t="n">
        <v>42217</v>
      </c>
      <c r="C209" s="26" t="n">
        <v>522085</v>
      </c>
      <c r="D209" s="29" t="s">
        <v>42</v>
      </c>
      <c r="E209" s="33" t="n">
        <f aca="false">IF(D209="totale",(C209/(A209*24))/F209,IF(D209="marché libre",(C209/(A209*24))/G209,"spécifier histo"))</f>
        <v>0.208104137170117</v>
      </c>
      <c r="F209" s="59" t="n">
        <v>3372</v>
      </c>
      <c r="G209" s="59" t="n">
        <f aca="false">F209-H209</f>
        <v>3372</v>
      </c>
      <c r="H209" s="58" t="n">
        <v>0</v>
      </c>
      <c r="J209" s="55"/>
      <c r="L209" s="0"/>
    </row>
    <row r="210" customFormat="false" ht="19.85" hidden="false" customHeight="true" outlineLevel="0" collapsed="false">
      <c r="A210" s="0" t="n">
        <v>30</v>
      </c>
      <c r="B210" s="31" t="n">
        <v>42248</v>
      </c>
      <c r="C210" s="26" t="n">
        <v>478590</v>
      </c>
      <c r="D210" s="29" t="s">
        <v>42</v>
      </c>
      <c r="E210" s="33" t="n">
        <f aca="false">IF(D210="totale",(C210/(A210*24))/F210,IF(D210="marché libre",(C210/(A210*24))/G210,"spécifier histo"))</f>
        <v>0.197125840253064</v>
      </c>
      <c r="F210" s="59" t="n">
        <v>3372</v>
      </c>
      <c r="G210" s="59" t="n">
        <f aca="false">F210-H210</f>
        <v>3372</v>
      </c>
      <c r="H210" s="58" t="n">
        <v>0</v>
      </c>
      <c r="J210" s="55"/>
      <c r="L210" s="0"/>
    </row>
    <row r="211" customFormat="false" ht="19.85" hidden="false" customHeight="true" outlineLevel="0" collapsed="false">
      <c r="A211" s="0" t="n">
        <v>31</v>
      </c>
      <c r="B211" s="34" t="n">
        <v>42278</v>
      </c>
      <c r="C211" s="26" t="n">
        <v>1176115</v>
      </c>
      <c r="D211" s="29" t="s">
        <v>42</v>
      </c>
      <c r="E211" s="33" t="n">
        <f aca="false">IF(D211="totale",(C211/(A211*24))/F211,IF(D211="marché libre",(C211/(A211*24))/G211,"spécifier histo"))</f>
        <v>0.468801818262988</v>
      </c>
      <c r="F211" s="59" t="n">
        <v>3372</v>
      </c>
      <c r="G211" s="59" t="n">
        <f aca="false">F211-H211</f>
        <v>3372</v>
      </c>
      <c r="H211" s="58" t="n">
        <v>0</v>
      </c>
      <c r="J211" s="55"/>
      <c r="L211" s="0"/>
    </row>
    <row r="212" customFormat="false" ht="19.85" hidden="false" customHeight="true" outlineLevel="0" collapsed="false">
      <c r="A212" s="0" t="n">
        <v>30</v>
      </c>
      <c r="B212" s="31" t="n">
        <v>42309</v>
      </c>
      <c r="C212" s="26" t="n">
        <v>701297</v>
      </c>
      <c r="D212" s="29" t="s">
        <v>42</v>
      </c>
      <c r="E212" s="33" t="n">
        <f aca="false">IF(D212="totale",(C212/(A212*24))/F212,IF(D212="marché libre",(C212/(A212*24))/G212,"spécifier histo"))</f>
        <v>0.288856349677079</v>
      </c>
      <c r="F212" s="59" t="n">
        <v>3372</v>
      </c>
      <c r="G212" s="59" t="n">
        <f aca="false">F212-H212</f>
        <v>3372</v>
      </c>
      <c r="H212" s="58" t="n">
        <v>0</v>
      </c>
      <c r="J212" s="55"/>
    </row>
    <row r="213" customFormat="false" ht="19.85" hidden="false" customHeight="true" outlineLevel="0" collapsed="false">
      <c r="A213" s="0" t="n">
        <v>31</v>
      </c>
      <c r="B213" s="34" t="n">
        <v>42339</v>
      </c>
      <c r="C213" s="26" t="n">
        <v>357502</v>
      </c>
      <c r="D213" s="29" t="s">
        <v>42</v>
      </c>
      <c r="E213" s="33" t="n">
        <f aca="false">IF(D213="totale",(C213/(A213*24))/F213,IF(D213="marché libre",(C213/(A213*24))/G213,"spécifier histo"))</f>
        <v>0.142501020421179</v>
      </c>
      <c r="F213" s="59" t="n">
        <v>3372</v>
      </c>
      <c r="G213" s="59" t="n">
        <f aca="false">F213-H213</f>
        <v>3372</v>
      </c>
      <c r="H213" s="58" t="n">
        <v>0</v>
      </c>
      <c r="J213" s="55"/>
    </row>
    <row r="214" customFormat="false" ht="19.85" hidden="false" customHeight="true" outlineLevel="0" collapsed="false">
      <c r="A214" s="244" t="n">
        <v>31</v>
      </c>
      <c r="B214" s="31" t="n">
        <v>42370</v>
      </c>
      <c r="C214" s="128" t="n">
        <v>213366</v>
      </c>
      <c r="D214" s="29" t="s">
        <v>42</v>
      </c>
      <c r="E214" s="33" t="n">
        <f aca="false">IF(D214="totale",(C214/(A214*24))/F214,IF(D214="marché libre",(C214/(A214*24))/G214,"spécifier histo"))</f>
        <v>0.0850481192362148</v>
      </c>
      <c r="F214" s="59" t="n">
        <v>3372</v>
      </c>
      <c r="G214" s="59" t="n">
        <f aca="false">F214-H214</f>
        <v>3372</v>
      </c>
      <c r="H214" s="58" t="n">
        <v>0</v>
      </c>
      <c r="J214" s="55"/>
    </row>
    <row r="215" customFormat="false" ht="19.85" hidden="false" customHeight="true" outlineLevel="0" collapsed="false">
      <c r="A215" s="0" t="n">
        <v>28</v>
      </c>
      <c r="B215" s="34" t="n">
        <v>42401</v>
      </c>
      <c r="C215" s="26" t="n">
        <v>165294</v>
      </c>
      <c r="D215" s="29" t="s">
        <v>42</v>
      </c>
      <c r="E215" s="33" t="n">
        <f aca="false">IF(D215="totale",(C215/(A215*24))/F215,IF(D215="marché libre",(C215/(A215*24))/G215,"spécifier histo"))</f>
        <v>0.0729457930859176</v>
      </c>
      <c r="F215" s="59" t="n">
        <v>3372</v>
      </c>
      <c r="G215" s="59" t="n">
        <f aca="false">F215-H215</f>
        <v>3372</v>
      </c>
      <c r="H215" s="58" t="n">
        <v>0</v>
      </c>
      <c r="J215" s="55"/>
    </row>
    <row r="216" customFormat="false" ht="19.85" hidden="false" customHeight="true" outlineLevel="0" collapsed="false">
      <c r="A216" s="0" t="n">
        <v>31</v>
      </c>
      <c r="B216" s="31" t="n">
        <v>42430</v>
      </c>
      <c r="C216" s="26" t="n">
        <v>152731</v>
      </c>
      <c r="D216" s="29" t="s">
        <v>42</v>
      </c>
      <c r="E216" s="33" t="n">
        <f aca="false">IF(D216="totale",(C216/(A216*24))/F216,IF(D216="marché libre",(C216/(A216*24))/G216,"spécifier histo"))</f>
        <v>0.0608788855725201</v>
      </c>
      <c r="F216" s="59" t="n">
        <v>3372</v>
      </c>
      <c r="G216" s="59" t="n">
        <f aca="false">F216-H216</f>
        <v>3372</v>
      </c>
      <c r="H216" s="58" t="n">
        <v>0</v>
      </c>
      <c r="J216" s="55"/>
    </row>
    <row r="217" customFormat="false" ht="19.85" hidden="false" customHeight="true" outlineLevel="0" collapsed="false">
      <c r="A217" s="0" t="n">
        <v>30</v>
      </c>
      <c r="B217" s="34" t="n">
        <v>42461</v>
      </c>
      <c r="C217" s="26" t="n">
        <v>1383121</v>
      </c>
      <c r="D217" s="29" t="s">
        <v>42</v>
      </c>
      <c r="E217" s="33" t="n">
        <f aca="false">IF(D217="totale",(C217/(A217*24))/F217,IF(D217="marché libre",(C217/(A217*24))/G217,"spécifier histo"))</f>
        <v>0.569691989587452</v>
      </c>
      <c r="F217" s="59" t="n">
        <v>3372</v>
      </c>
      <c r="G217" s="59" t="n">
        <f aca="false">F217-H217</f>
        <v>3372</v>
      </c>
      <c r="H217" s="58" t="n">
        <v>0</v>
      </c>
      <c r="J217" s="55"/>
    </row>
    <row r="218" customFormat="false" ht="19.85" hidden="false" customHeight="true" outlineLevel="0" collapsed="false">
      <c r="A218" s="0" t="n">
        <v>31</v>
      </c>
      <c r="B218" s="31" t="n">
        <v>42491</v>
      </c>
      <c r="C218" s="26" t="n">
        <v>1853192</v>
      </c>
      <c r="D218" s="29" t="s">
        <v>42</v>
      </c>
      <c r="E218" s="33" t="n">
        <f aca="false">IF(D218="totale",(C218/(A218*24))/F218,IF(D218="marché libre",(C218/(A218*24))/G218,"spécifier histo"))</f>
        <v>0.738686080179594</v>
      </c>
      <c r="F218" s="59" t="n">
        <v>3372</v>
      </c>
      <c r="G218" s="59" t="n">
        <f aca="false">F218-H218</f>
        <v>3372</v>
      </c>
      <c r="H218" s="58" t="n">
        <v>0</v>
      </c>
      <c r="J218" s="55"/>
      <c r="K218" s="63"/>
    </row>
    <row r="219" customFormat="false" ht="19.85" hidden="false" customHeight="true" outlineLevel="0" collapsed="false">
      <c r="A219" s="0" t="n">
        <v>30</v>
      </c>
      <c r="B219" s="34" t="n">
        <v>42522</v>
      </c>
      <c r="C219" s="26" t="n">
        <v>2120871</v>
      </c>
      <c r="D219" s="29" t="s">
        <v>42</v>
      </c>
      <c r="E219" s="33" t="n">
        <f aca="false">IF(D219="totale",(C219/(A219*24))/F219,IF(D219="marché libre",(C219/(A219*24))/G219,"spécifier histo"))</f>
        <v>0.873562920126532</v>
      </c>
      <c r="F219" s="59" t="n">
        <v>3372</v>
      </c>
      <c r="G219" s="59" t="n">
        <f aca="false">F219-H219</f>
        <v>3372</v>
      </c>
      <c r="H219" s="58" t="n">
        <v>0</v>
      </c>
      <c r="I219" s="58"/>
      <c r="J219" s="55"/>
      <c r="K219" s="63"/>
    </row>
    <row r="220" customFormat="false" ht="19.85" hidden="false" customHeight="true" outlineLevel="0" collapsed="false">
      <c r="A220" s="0" t="n">
        <v>31</v>
      </c>
      <c r="B220" s="31" t="n">
        <v>42552</v>
      </c>
      <c r="C220" s="26" t="n">
        <v>1742706</v>
      </c>
      <c r="D220" s="29" t="s">
        <v>42</v>
      </c>
      <c r="E220" s="33" t="n">
        <f aca="false">IF(D220="totale",(C220/(A220*24))/F220,IF(D220="marché libre",(C220/(A220*24))/G220,"spécifier histo"))</f>
        <v>0.694646137068075</v>
      </c>
      <c r="F220" s="59" t="n">
        <v>3372</v>
      </c>
      <c r="G220" s="59" t="n">
        <f aca="false">F220-H220</f>
        <v>3372</v>
      </c>
      <c r="H220" s="58" t="n">
        <v>0</v>
      </c>
      <c r="I220" s="58"/>
      <c r="J220" s="55"/>
      <c r="K220" s="63"/>
    </row>
    <row r="221" customFormat="false" ht="19.85" hidden="false" customHeight="true" outlineLevel="0" collapsed="false">
      <c r="A221" s="0" t="n">
        <v>31</v>
      </c>
      <c r="B221" s="34" t="n">
        <v>42583</v>
      </c>
      <c r="C221" s="26" t="n">
        <v>747495</v>
      </c>
      <c r="D221" s="29" t="s">
        <v>42</v>
      </c>
      <c r="E221" s="33" t="n">
        <f aca="false">IF(D221="totale",(C221/(A221*24))/F221,IF(D221="marché libre",(C221/(A221*24))/G221,"spécifier histo"))</f>
        <v>0.297953019171163</v>
      </c>
      <c r="F221" s="59" t="n">
        <v>3372</v>
      </c>
      <c r="G221" s="59" t="n">
        <f aca="false">F221-H221</f>
        <v>3372</v>
      </c>
      <c r="H221" s="58" t="n">
        <v>0</v>
      </c>
      <c r="I221" s="58"/>
      <c r="J221" s="55"/>
    </row>
    <row r="222" customFormat="false" ht="19.85" hidden="false" customHeight="true" outlineLevel="0" collapsed="false">
      <c r="A222" s="0" t="n">
        <v>30</v>
      </c>
      <c r="B222" s="31" t="n">
        <v>42614</v>
      </c>
      <c r="C222" s="26" t="n">
        <v>43429</v>
      </c>
      <c r="D222" s="29" t="s">
        <v>42</v>
      </c>
      <c r="E222" s="33" t="n">
        <f aca="false">IF(D222="totale",(C222/(A222*24))/F222,IF(D222="marché libre",(C222/(A222*24))/G222,"spécifier histo"))</f>
        <v>0.0178879168314222</v>
      </c>
      <c r="F222" s="59" t="n">
        <v>3372</v>
      </c>
      <c r="G222" s="59" t="n">
        <f aca="false">F222-H222</f>
        <v>3372</v>
      </c>
      <c r="H222" s="58" t="n">
        <v>0</v>
      </c>
      <c r="I222" s="58"/>
      <c r="J222" s="55"/>
    </row>
    <row r="223" customFormat="false" ht="19.85" hidden="false" customHeight="true" outlineLevel="0" collapsed="false">
      <c r="A223" s="0" t="n">
        <v>31</v>
      </c>
      <c r="B223" s="34" t="n">
        <v>42644</v>
      </c>
      <c r="C223" s="56" t="n">
        <v>474731</v>
      </c>
      <c r="D223" s="29" t="s">
        <v>42</v>
      </c>
      <c r="E223" s="33" t="n">
        <f aca="false">IF(D223="totale",(C223/(A223*24))/F223,IF(D223="marché libre",(C223/(A223*24))/G223,"spécifier histo"))</f>
        <v>0.189228736973686</v>
      </c>
      <c r="F223" s="59" t="n">
        <v>3372</v>
      </c>
      <c r="G223" s="59" t="n">
        <f aca="false">F223-H223</f>
        <v>3372</v>
      </c>
      <c r="H223" s="58" t="n">
        <v>0</v>
      </c>
      <c r="I223" s="58"/>
      <c r="J223" s="55"/>
    </row>
    <row r="224" customFormat="false" ht="19.85" hidden="false" customHeight="true" outlineLevel="0" collapsed="false">
      <c r="A224" s="0" t="n">
        <v>30</v>
      </c>
      <c r="B224" s="31" t="n">
        <v>42675</v>
      </c>
      <c r="C224" s="59" t="n">
        <v>1157376</v>
      </c>
      <c r="D224" s="29" t="s">
        <v>42</v>
      </c>
      <c r="E224" s="33" t="n">
        <f aca="false">IF(D224="totale",(C224/(A224*24))/F224,IF(D224="marché libre",(C224/(A224*24))/G224,"spécifier histo"))</f>
        <v>0.476710162119415</v>
      </c>
      <c r="F224" s="57" t="n">
        <v>3372</v>
      </c>
      <c r="G224" s="57" t="n">
        <f aca="false">F224-H224</f>
        <v>3372</v>
      </c>
      <c r="H224" s="58" t="n">
        <v>0</v>
      </c>
      <c r="I224" s="58"/>
      <c r="J224" s="55"/>
    </row>
    <row r="225" customFormat="false" ht="19.85" hidden="false" customHeight="true" outlineLevel="0" collapsed="false">
      <c r="A225" s="0" t="n">
        <v>31</v>
      </c>
      <c r="B225" s="34" t="n">
        <v>42705</v>
      </c>
      <c r="C225" s="60" t="n">
        <v>730648</v>
      </c>
      <c r="D225" s="29" t="s">
        <v>42</v>
      </c>
      <c r="E225" s="33" t="n">
        <f aca="false">IF(D225="totale",(C225/(A225*24))/F225,IF(D225="marché libre",(C225/(A225*24))/G225,"spécifier histo"))</f>
        <v>0.291237770889935</v>
      </c>
      <c r="F225" s="59" t="n">
        <v>3372</v>
      </c>
      <c r="G225" s="59" t="n">
        <f aca="false">F225-H225</f>
        <v>3372</v>
      </c>
      <c r="H225" s="58" t="n">
        <v>0</v>
      </c>
      <c r="I225" s="58"/>
      <c r="J225" s="55"/>
    </row>
    <row r="226" customFormat="false" ht="19.85" hidden="false" customHeight="true" outlineLevel="0" collapsed="false">
      <c r="A226" s="0" t="n">
        <v>31</v>
      </c>
      <c r="B226" s="31" t="n">
        <v>42736</v>
      </c>
      <c r="C226" s="60" t="n">
        <v>311188</v>
      </c>
      <c r="D226" s="29" t="s">
        <v>42</v>
      </c>
      <c r="E226" s="33" t="n">
        <f aca="false">IF(D226="totale",(C226/(A226*24))/F226,IF(D226="marché libre",(C226/(A226*24))/G226,"spécifier histo"))</f>
        <v>0.124040166328652</v>
      </c>
      <c r="F226" s="59" t="n">
        <v>3372</v>
      </c>
      <c r="G226" s="59" t="n">
        <f aca="false">F226-H226</f>
        <v>3372</v>
      </c>
      <c r="H226" s="58" t="n">
        <v>0</v>
      </c>
      <c r="I226" s="58"/>
      <c r="J226" s="30"/>
    </row>
    <row r="227" customFormat="false" ht="19.85" hidden="false" customHeight="true" outlineLevel="0" collapsed="false">
      <c r="A227" s="0" t="n">
        <v>28</v>
      </c>
      <c r="B227" s="34" t="n">
        <v>42767</v>
      </c>
      <c r="C227" s="60" t="n">
        <v>182190</v>
      </c>
      <c r="D227" s="29" t="s">
        <v>42</v>
      </c>
      <c r="E227" s="33" t="n">
        <f aca="false">IF(D227="totale",(C227/(A227*24))/F227,IF(D227="marché libre",(C227/(A227*24))/G227,"spécifier histo"))</f>
        <v>0.0804021564141671</v>
      </c>
      <c r="F227" s="59" t="n">
        <v>3372</v>
      </c>
      <c r="G227" s="59" t="n">
        <f aca="false">F227-H227</f>
        <v>3372</v>
      </c>
      <c r="H227" s="58" t="n">
        <v>0</v>
      </c>
      <c r="I227" s="58"/>
      <c r="J227" s="55"/>
    </row>
    <row r="228" customFormat="false" ht="19.85" hidden="false" customHeight="true" outlineLevel="0" collapsed="false">
      <c r="A228" s="0" t="n">
        <v>31</v>
      </c>
      <c r="B228" s="31" t="n">
        <v>42795</v>
      </c>
      <c r="C228" s="59" t="n">
        <v>350180</v>
      </c>
      <c r="D228" s="29" t="s">
        <v>42</v>
      </c>
      <c r="E228" s="33" t="n">
        <f aca="false">IF(D228="totale",(C228/(A228*24))/F228,IF(D228="marché libre",(C228/(A228*24))/G228,"spécifier histo"))</f>
        <v>0.139582456408883</v>
      </c>
      <c r="F228" s="59" t="n">
        <v>3372</v>
      </c>
      <c r="G228" s="59" t="n">
        <f aca="false">F228-H228</f>
        <v>3372</v>
      </c>
      <c r="H228" s="58" t="n">
        <v>0</v>
      </c>
      <c r="I228" s="58"/>
      <c r="J228" s="55"/>
    </row>
    <row r="229" customFormat="false" ht="19.85" hidden="false" customHeight="true" outlineLevel="0" collapsed="false">
      <c r="A229" s="0" t="n">
        <v>30</v>
      </c>
      <c r="B229" s="34" t="n">
        <v>42826</v>
      </c>
      <c r="C229" s="59" t="n">
        <v>1135753</v>
      </c>
      <c r="D229" s="29" t="s">
        <v>42</v>
      </c>
      <c r="E229" s="33" t="n">
        <f aca="false">IF(D229="totale",(C229/(A229*24))/F229,IF(D229="marché libre",(C229/(A229*24))/G229,"spécifier histo"))</f>
        <v>0.467803891524977</v>
      </c>
      <c r="F229" s="59" t="n">
        <v>3372</v>
      </c>
      <c r="G229" s="59" t="n">
        <f aca="false">F229-H229</f>
        <v>3372</v>
      </c>
      <c r="H229" s="58" t="n">
        <v>0</v>
      </c>
      <c r="I229" s="58"/>
      <c r="J229" s="55"/>
    </row>
    <row r="230" customFormat="false" ht="19.85" hidden="false" customHeight="true" outlineLevel="0" collapsed="false">
      <c r="A230" s="0" t="n">
        <v>31</v>
      </c>
      <c r="B230" s="31" t="n">
        <v>42856</v>
      </c>
      <c r="C230" s="9" t="n">
        <v>1794055</v>
      </c>
      <c r="D230" s="29" t="s">
        <v>42</v>
      </c>
      <c r="E230" s="33" t="n">
        <f aca="false">IF(D230="totale",(C230/(A230*24))/F230,IF(D230="marché libre",(C230/(A230*24))/G230,"spécifier histo"))</f>
        <v>0.715113952346331</v>
      </c>
      <c r="F230" s="59" t="n">
        <v>3372</v>
      </c>
      <c r="G230" s="59" t="n">
        <f aca="false">F230-H230</f>
        <v>3372</v>
      </c>
      <c r="H230" s="58" t="n">
        <v>0</v>
      </c>
      <c r="I230" s="58"/>
      <c r="J230" s="55"/>
    </row>
    <row r="231" customFormat="false" ht="22.45" hidden="false" customHeight="true" outlineLevel="0" collapsed="false">
      <c r="A231" s="0" t="n">
        <v>30</v>
      </c>
      <c r="B231" s="34" t="n">
        <v>42887</v>
      </c>
      <c r="C231" s="9" t="n">
        <v>2115761</v>
      </c>
      <c r="D231" s="29" t="s">
        <v>42</v>
      </c>
      <c r="E231" s="33" t="n">
        <f aca="false">IF(D231="totale",(C231/(A231*24))/F231,IF(D231="marché libre",(C231/(A231*24))/G231,"spécifier histo"))</f>
        <v>0.87145816857783</v>
      </c>
      <c r="F231" s="59" t="n">
        <v>3372</v>
      </c>
      <c r="G231" s="59" t="n">
        <f aca="false">F231-H231</f>
        <v>3372</v>
      </c>
      <c r="H231" s="58" t="n">
        <v>0</v>
      </c>
      <c r="I231" s="58"/>
      <c r="J231" s="55"/>
    </row>
    <row r="232" customFormat="false" ht="21.65" hidden="false" customHeight="true" outlineLevel="0" collapsed="false">
      <c r="A232" s="0" t="n">
        <v>31</v>
      </c>
      <c r="B232" s="31" t="n">
        <v>42917</v>
      </c>
      <c r="C232" s="9" t="n">
        <v>1472501</v>
      </c>
      <c r="D232" s="29" t="s">
        <v>42</v>
      </c>
      <c r="E232" s="33" t="n">
        <f aca="false">IF(D232="totale",(C232/(A232*24))/F232,IF(D232="marché libre",(C232/(A232*24))/G232,"spécifier histo"))</f>
        <v>0.586941877447416</v>
      </c>
      <c r="F232" s="59" t="n">
        <v>3372</v>
      </c>
      <c r="G232" s="59" t="n">
        <f aca="false">F232-H232</f>
        <v>3372</v>
      </c>
      <c r="H232" s="58" t="n">
        <v>0</v>
      </c>
      <c r="I232" s="58"/>
      <c r="J232" s="55"/>
    </row>
    <row r="233" customFormat="false" ht="21.65" hidden="false" customHeight="true" outlineLevel="0" collapsed="false">
      <c r="A233" s="0" t="n">
        <v>31</v>
      </c>
      <c r="B233" s="34" t="n">
        <v>42948</v>
      </c>
      <c r="C233" s="9" t="n">
        <v>595724</v>
      </c>
      <c r="D233" s="29" t="s">
        <v>42</v>
      </c>
      <c r="E233" s="33" t="n">
        <f aca="false">IF(D233="totale",(C233/(A233*24))/F233,IF(D233="marché libre",(C233/(A233*24))/G233,"spécifier histo"))</f>
        <v>0.237456791540708</v>
      </c>
      <c r="F233" s="59" t="n">
        <v>3372</v>
      </c>
      <c r="G233" s="59" t="n">
        <f aca="false">F233-H233</f>
        <v>3372</v>
      </c>
      <c r="H233" s="58" t="n">
        <v>0</v>
      </c>
      <c r="I233" s="58"/>
      <c r="J233" s="55"/>
    </row>
    <row r="234" customFormat="false" ht="21.65" hidden="false" customHeight="true" outlineLevel="0" collapsed="false">
      <c r="A234" s="0" t="n">
        <v>30</v>
      </c>
      <c r="B234" s="31" t="n">
        <v>42979</v>
      </c>
      <c r="C234" s="9" t="n">
        <v>336356</v>
      </c>
      <c r="D234" s="29" t="s">
        <v>42</v>
      </c>
      <c r="E234" s="33" t="n">
        <f aca="false">IF(D234="totale",(C234/(A234*24))/F234,IF(D234="marché libre",(C234/(A234*24))/G234,"spécifier histo"))</f>
        <v>0.13854125477791</v>
      </c>
      <c r="F234" s="59" t="n">
        <v>3372</v>
      </c>
      <c r="G234" s="59" t="n">
        <f aca="false">F234-H234</f>
        <v>3372</v>
      </c>
      <c r="H234" s="58" t="n">
        <v>0</v>
      </c>
      <c r="J234" s="55"/>
    </row>
    <row r="235" customFormat="false" ht="21.65" hidden="false" customHeight="true" outlineLevel="0" collapsed="false">
      <c r="A235" s="0" t="n">
        <v>31</v>
      </c>
      <c r="B235" s="34" t="n">
        <v>43009</v>
      </c>
      <c r="C235" s="9" t="n">
        <v>420402</v>
      </c>
      <c r="D235" s="29" t="s">
        <v>42</v>
      </c>
      <c r="E235" s="33" t="n">
        <f aca="false">IF(D235="totale",(C235/(A235*24))/F235,IF(D235="marché libre",(C235/(A235*24))/G235,"spécifier histo"))</f>
        <v>0.167573087666935</v>
      </c>
      <c r="F235" s="59" t="n">
        <v>3372</v>
      </c>
      <c r="G235" s="59" t="n">
        <f aca="false">F235-H235</f>
        <v>3372</v>
      </c>
      <c r="H235" s="58" t="n">
        <v>0</v>
      </c>
      <c r="J235" s="55"/>
    </row>
    <row r="236" customFormat="false" ht="21.65" hidden="false" customHeight="true" outlineLevel="0" collapsed="false">
      <c r="A236" s="0" t="n">
        <v>30</v>
      </c>
      <c r="B236" s="31" t="n">
        <v>43040</v>
      </c>
      <c r="C236" s="9" t="n">
        <v>46090</v>
      </c>
      <c r="D236" s="29" t="s">
        <v>42</v>
      </c>
      <c r="E236" s="33" t="n">
        <f aca="false">IF(D236="totale",(C236/(A236*24))/F236,IF(D236="marché libre",(C236/(A236*24))/G236,"spécifier histo"))</f>
        <v>0.018983952814024</v>
      </c>
      <c r="F236" s="59" t="n">
        <v>3372</v>
      </c>
      <c r="G236" s="59" t="n">
        <f aca="false">F236-H236</f>
        <v>3372</v>
      </c>
      <c r="H236" s="58" t="n">
        <v>0</v>
      </c>
      <c r="J236" s="55"/>
    </row>
    <row r="237" customFormat="false" ht="21.65" hidden="false" customHeight="true" outlineLevel="0" collapsed="false">
      <c r="A237" s="0" t="n">
        <v>31</v>
      </c>
      <c r="B237" s="34" t="n">
        <v>43070</v>
      </c>
      <c r="C237" s="9" t="n">
        <v>1652</v>
      </c>
      <c r="D237" s="29" t="s">
        <v>42</v>
      </c>
      <c r="E237" s="33" t="n">
        <f aca="false">IF(D237="totale",(C237/(A237*24))/F237,IF(D237="marché libre",(C237/(A237*24))/G237,"spécifier histo"))</f>
        <v>0.000658490541971199</v>
      </c>
      <c r="F237" s="59" t="n">
        <f aca="false">3372+H237</f>
        <v>3772</v>
      </c>
      <c r="G237" s="59" t="n">
        <f aca="false">F237-H237</f>
        <v>3372</v>
      </c>
      <c r="H237" s="58" t="n">
        <v>400</v>
      </c>
      <c r="I237" s="313" t="s">
        <v>425</v>
      </c>
      <c r="J237" s="55" t="s">
        <v>426</v>
      </c>
    </row>
    <row r="238" customFormat="false" ht="28.35" hidden="false" customHeight="true" outlineLevel="0" collapsed="false">
      <c r="A238" s="0" t="n">
        <v>31</v>
      </c>
      <c r="B238" s="31" t="n">
        <v>43101</v>
      </c>
      <c r="C238" s="9" t="n">
        <v>4785</v>
      </c>
      <c r="D238" s="29" t="s">
        <v>42</v>
      </c>
      <c r="E238" s="33" t="n">
        <f aca="false">IF(D238="totale",(C238/(A238*24))/F238,IF(D238="marché libre",(C238/(A238*24))/G238,"spécifier histo"))</f>
        <v>0.00216401467459732</v>
      </c>
      <c r="F238" s="59" t="n">
        <v>3372</v>
      </c>
      <c r="G238" s="59" t="n">
        <f aca="false">F238-H238</f>
        <v>2972</v>
      </c>
      <c r="H238" s="58" t="n">
        <v>400</v>
      </c>
      <c r="J238" s="30"/>
    </row>
    <row r="239" customFormat="false" ht="28.35" hidden="false" customHeight="true" outlineLevel="0" collapsed="false">
      <c r="A239" s="0" t="n">
        <v>28</v>
      </c>
      <c r="B239" s="34" t="n">
        <v>43132</v>
      </c>
      <c r="C239" s="1" t="n">
        <v>0</v>
      </c>
      <c r="D239" s="29" t="s">
        <v>42</v>
      </c>
      <c r="E239" s="33" t="n">
        <f aca="false">IF(D239="totale",(C239/(A239*24))/F239,IF(D239="marché libre",(C239/(A239*24))/G239,"spécifier histo"))</f>
        <v>0</v>
      </c>
      <c r="F239" s="59" t="n">
        <v>3372</v>
      </c>
      <c r="G239" s="59" t="n">
        <f aca="false">F239-H239</f>
        <v>2972</v>
      </c>
      <c r="H239" s="58" t="n">
        <v>400</v>
      </c>
    </row>
    <row r="240" customFormat="false" ht="28.35" hidden="false" customHeight="true" outlineLevel="0" collapsed="false">
      <c r="A240" s="0" t="n">
        <v>31</v>
      </c>
      <c r="B240" s="31" t="n">
        <v>43160</v>
      </c>
      <c r="C240" s="1" t="n">
        <v>0</v>
      </c>
      <c r="D240" s="29" t="s">
        <v>42</v>
      </c>
      <c r="E240" s="33" t="n">
        <f aca="false">IF(D240="totale",(C240/(A240*24))/F240,IF(D240="marché libre",(C240/(A240*24))/G240,"spécifier histo"))</f>
        <v>0</v>
      </c>
      <c r="F240" s="59" t="n">
        <v>3372</v>
      </c>
      <c r="G240" s="59" t="n">
        <f aca="false">F240-H240</f>
        <v>2972</v>
      </c>
      <c r="H240" s="58" t="n">
        <v>400</v>
      </c>
    </row>
    <row r="241" customFormat="false" ht="28.35" hidden="false" customHeight="true" outlineLevel="0" collapsed="false">
      <c r="A241" s="0" t="n">
        <v>28</v>
      </c>
      <c r="B241" s="34" t="n">
        <v>43191</v>
      </c>
      <c r="C241" s="1" t="n">
        <v>709318</v>
      </c>
      <c r="D241" s="29" t="s">
        <v>42</v>
      </c>
      <c r="E241" s="33" t="n">
        <f aca="false">IF(D241="totale",(C241/(A241*24))/F241,IF(D241="marché libre",(C241/(A241*24))/G241,"spécifier histo"))</f>
        <v>0.355159063962059</v>
      </c>
      <c r="F241" s="59" t="n">
        <v>3372</v>
      </c>
      <c r="G241" s="59" t="n">
        <f aca="false">F241-H241</f>
        <v>2972</v>
      </c>
      <c r="H241" s="58" t="n">
        <v>400</v>
      </c>
    </row>
    <row r="242" customFormat="false" ht="28.35" hidden="false" customHeight="true" outlineLevel="0" collapsed="false">
      <c r="A242" s="0" t="n">
        <v>31</v>
      </c>
      <c r="B242" s="31" t="n">
        <v>43221</v>
      </c>
      <c r="C242" s="1" t="n">
        <v>2120577</v>
      </c>
      <c r="D242" s="29" t="s">
        <v>42</v>
      </c>
      <c r="E242" s="33" t="n">
        <f aca="false">IF(D242="totale",(C242/(A242*24))/F242,IF(D242="marché libre",(C242/(A242*24))/G242,"spécifier histo"))</f>
        <v>0.959030250075978</v>
      </c>
      <c r="F242" s="59" t="n">
        <v>3372</v>
      </c>
      <c r="G242" s="59" t="n">
        <f aca="false">F242-H242</f>
        <v>2972</v>
      </c>
      <c r="H242" s="58" t="n">
        <v>400</v>
      </c>
    </row>
    <row r="243" customFormat="false" ht="28.35" hidden="false" customHeight="true" outlineLevel="0" collapsed="false">
      <c r="A243" s="0" t="n">
        <v>30</v>
      </c>
      <c r="B243" s="34" t="n">
        <v>43252</v>
      </c>
      <c r="C243" s="1" t="n">
        <v>2016227</v>
      </c>
      <c r="D243" s="29" t="s">
        <v>42</v>
      </c>
      <c r="E243" s="33" t="n">
        <f aca="false">IF(D243="totale",(C243/(A243*24))/F243,IF(D243="marché libre",(C243/(A243*24))/G243,"spécifier histo"))</f>
        <v>0.94223259682967</v>
      </c>
      <c r="F243" s="59" t="n">
        <v>3372</v>
      </c>
      <c r="G243" s="59" t="n">
        <f aca="false">F243-H243</f>
        <v>2972</v>
      </c>
      <c r="H243" s="58" t="n">
        <v>400</v>
      </c>
    </row>
    <row r="244" customFormat="false" ht="28.35" hidden="false" customHeight="true" outlineLevel="0" collapsed="false">
      <c r="A244" s="0" t="n">
        <v>31</v>
      </c>
      <c r="B244" s="31" t="n">
        <v>43282</v>
      </c>
      <c r="C244" s="1" t="n">
        <v>1654351</v>
      </c>
      <c r="D244" s="29" t="s">
        <v>42</v>
      </c>
      <c r="E244" s="33" t="n">
        <f aca="false">IF(D244="totale",(C244/(A244*24))/F244,IF(D244="marché libre",(C244/(A244*24))/G244,"spécifier histo"))</f>
        <v>0.748179695075182</v>
      </c>
      <c r="F244" s="59" t="n">
        <v>3372</v>
      </c>
      <c r="G244" s="59" t="n">
        <f aca="false">F244-H244</f>
        <v>2972</v>
      </c>
      <c r="H244" s="58" t="n">
        <v>400</v>
      </c>
    </row>
    <row r="245" customFormat="false" ht="28.35" hidden="false" customHeight="true" outlineLevel="0" collapsed="false">
      <c r="A245" s="0" t="n">
        <v>30</v>
      </c>
      <c r="B245" s="34" t="n">
        <v>43313</v>
      </c>
      <c r="C245" s="1" t="n">
        <v>678020</v>
      </c>
      <c r="D245" s="29" t="s">
        <v>42</v>
      </c>
      <c r="E245" s="33" t="n">
        <f aca="false">IF(D245="totale",(C245/(A245*24))/F245,IF(D245="marché libre",(C245/(A245*24))/G245,"spécifier histo"))</f>
        <v>0.316855465829221</v>
      </c>
      <c r="F245" s="59" t="n">
        <v>3372</v>
      </c>
      <c r="G245" s="59" t="n">
        <f aca="false">F245-H245</f>
        <v>2972</v>
      </c>
      <c r="H245" s="58" t="n">
        <v>400</v>
      </c>
    </row>
    <row r="246" customFormat="false" ht="28.35" hidden="false" customHeight="true" outlineLevel="0" collapsed="false">
      <c r="A246" s="0" t="n">
        <v>30</v>
      </c>
    </row>
    <row r="247" customFormat="false" ht="28.35" hidden="false" customHeight="true" outlineLevel="0" collapsed="false">
      <c r="A247" s="0" t="n">
        <v>31</v>
      </c>
    </row>
    <row r="248" customFormat="false" ht="28.35" hidden="false" customHeight="true" outlineLevel="0" collapsed="false">
      <c r="A248" s="0" t="n">
        <v>31</v>
      </c>
    </row>
    <row r="249" customFormat="false" ht="28.35" hidden="false" customHeight="true" outlineLevel="0" collapsed="false">
      <c r="A249" s="0" t="n">
        <v>28</v>
      </c>
    </row>
    <row r="250" customFormat="false" ht="28.35" hidden="false" customHeight="true" outlineLevel="0" collapsed="false">
      <c r="A250" s="0"/>
    </row>
    <row r="251" customFormat="false" ht="28.35" hidden="false" customHeight="true" outlineLevel="0" collapsed="false">
      <c r="A251" s="0"/>
    </row>
    <row r="252" customFormat="false" ht="12.8" hidden="false" customHeight="false" outlineLevel="0" collapsed="false">
      <c r="A252" s="0"/>
    </row>
    <row r="253" customFormat="false" ht="12.8" hidden="false" customHeight="false" outlineLevel="0" collapsed="false">
      <c r="A253" s="0"/>
    </row>
    <row r="254" customFormat="false" ht="12.8" hidden="false" customHeight="false" outlineLevel="0" collapsed="false">
      <c r="A254" s="0"/>
    </row>
    <row r="255" customFormat="false" ht="12.8" hidden="false" customHeight="false" outlineLevel="0" collapsed="false">
      <c r="A255" s="0"/>
    </row>
    <row r="256" customFormat="false" ht="12.8" hidden="false" customHeight="false" outlineLevel="0" collapsed="false">
      <c r="A256" s="0"/>
    </row>
    <row r="257" customFormat="false" ht="12.8" hidden="false" customHeight="false" outlineLevel="0" collapsed="false">
      <c r="A257" s="0"/>
    </row>
    <row r="258" customFormat="false" ht="12.8" hidden="false" customHeight="false" outlineLevel="0" collapsed="false">
      <c r="A258" s="0"/>
    </row>
    <row r="259" customFormat="false" ht="12.8" hidden="false" customHeight="false" outlineLevel="0" collapsed="false">
      <c r="A259" s="0"/>
    </row>
    <row r="260" customFormat="false" ht="12.8" hidden="false" customHeight="false" outlineLevel="0" collapsed="false">
      <c r="A260" s="0"/>
    </row>
    <row r="261" customFormat="false" ht="12.8" hidden="false" customHeight="false" outlineLevel="0" collapsed="false">
      <c r="A261" s="0"/>
    </row>
    <row r="262" customFormat="false" ht="12.8" hidden="false" customHeight="false" outlineLevel="0" collapsed="false">
      <c r="A262" s="0"/>
    </row>
    <row r="263" customFormat="false" ht="12.8" hidden="false" customHeight="false" outlineLevel="0" collapsed="false">
      <c r="A263" s="0"/>
    </row>
    <row r="264" customFormat="false" ht="12.8" hidden="false" customHeight="false" outlineLevel="0" collapsed="false">
      <c r="A264" s="0"/>
    </row>
    <row r="265" customFormat="false" ht="12.8" hidden="false" customHeight="false" outlineLevel="0" collapsed="false">
      <c r="A265" s="0"/>
    </row>
    <row r="266" customFormat="false" ht="12.8" hidden="false" customHeight="false" outlineLevel="0" collapsed="false">
      <c r="A266" s="0"/>
    </row>
    <row r="267" customFormat="false" ht="12.8" hidden="false" customHeight="false" outlineLevel="0" collapsed="false">
      <c r="A267" s="0"/>
    </row>
    <row r="268" customFormat="false" ht="12.8" hidden="false" customHeight="false" outlineLevel="0" collapsed="false">
      <c r="A268" s="0"/>
    </row>
    <row r="269" customFormat="false" ht="12.8" hidden="false" customHeight="false" outlineLevel="0" collapsed="false">
      <c r="A269" s="0"/>
    </row>
    <row r="270" customFormat="false" ht="12.8" hidden="false" customHeight="false" outlineLevel="0" collapsed="false">
      <c r="A270" s="0"/>
    </row>
    <row r="271" customFormat="false" ht="12.8" hidden="false" customHeight="false" outlineLevel="0" collapsed="false">
      <c r="A271" s="0"/>
    </row>
    <row r="272" customFormat="false" ht="12.8" hidden="false" customHeight="false" outlineLevel="0" collapsed="false">
      <c r="A272" s="0"/>
    </row>
    <row r="273" customFormat="false" ht="12.8" hidden="false" customHeight="false" outlineLevel="0" collapsed="false">
      <c r="A273" s="0"/>
    </row>
    <row r="274" customFormat="false" ht="12.8" hidden="false" customHeight="false" outlineLevel="0" collapsed="false">
      <c r="A274" s="0"/>
    </row>
    <row r="275" customFormat="false" ht="12.8" hidden="false" customHeight="false" outlineLevel="0" collapsed="false">
      <c r="A275" s="0"/>
    </row>
    <row r="276" customFormat="false" ht="12.8" hidden="false" customHeight="false" outlineLevel="0" collapsed="false">
      <c r="A276" s="0"/>
    </row>
    <row r="277" customFormat="false" ht="12.8" hidden="false" customHeight="false" outlineLevel="0" collapsed="false">
      <c r="A277" s="0"/>
    </row>
    <row r="278" customFormat="false" ht="12.8" hidden="false" customHeight="false" outlineLevel="0" collapsed="false">
      <c r="A278" s="0"/>
    </row>
    <row r="279" customFormat="false" ht="12.8" hidden="false" customHeight="false" outlineLevel="0" collapsed="false">
      <c r="A279"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4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9.xml><?xml version="1.0" encoding="utf-8"?>
<worksheet xmlns="http://schemas.openxmlformats.org/spreadsheetml/2006/main" xmlns:r="http://schemas.openxmlformats.org/officeDocument/2006/relationships">
  <sheetPr filterMode="false">
    <tabColor rgb="FF00A933"/>
    <pageSetUpPr fitToPage="false"/>
  </sheetPr>
  <dimension ref="A1:W369"/>
  <sheetViews>
    <sheetView showFormulas="false" showGridLines="true" showRowColHeaders="true" showZeros="true" rightToLeft="false" tabSelected="false" showOutlineSymbols="true" defaultGridColor="true" view="normal" topLeftCell="A340" colorId="64" zoomScale="90" zoomScaleNormal="90" zoomScalePageLayoutView="100" workbookViewId="0">
      <pane xSplit="1" ySplit="0" topLeftCell="B340" activePane="topRight" state="frozen"/>
      <selection pane="topLeft" activeCell="A340" activeCellId="0" sqref="A340"/>
      <selection pane="topRight" activeCell="D378" activeCellId="0" sqref="D378"/>
    </sheetView>
  </sheetViews>
  <sheetFormatPr defaultRowHeight="12.8" zeroHeight="false" outlineLevelRow="0" outlineLevelCol="0"/>
  <cols>
    <col collapsed="false" customWidth="true" hidden="false" outlineLevel="0" max="1" min="1" style="9" width="3.37"/>
    <col collapsed="false" customWidth="true" hidden="false" outlineLevel="0" max="2" min="2" style="9" width="17.13"/>
    <col collapsed="false" customWidth="true" hidden="false" outlineLevel="0" max="3" min="3" style="9" width="14.81"/>
    <col collapsed="false" customWidth="true" hidden="false" outlineLevel="0" max="4" min="4" style="9" width="16.07"/>
    <col collapsed="false" customWidth="true" hidden="false" outlineLevel="0" max="5" min="5" style="9" width="19.14"/>
    <col collapsed="false" customWidth="true" hidden="false" outlineLevel="0" max="6" min="6" style="9" width="16.07"/>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9"/>
    <col collapsed="false" customWidth="true" hidden="false" outlineLevel="0" max="11" min="11" style="9" width="13.12"/>
    <col collapsed="false" customWidth="true" hidden="false" outlineLevel="0" max="12" min="12" style="9" width="19.91"/>
    <col collapsed="false" customWidth="true" hidden="false" outlineLevel="0" max="13" min="13" style="9" width="16.07"/>
    <col collapsed="false" customWidth="true" hidden="false" outlineLevel="0" max="14" min="14" style="9" width="15.42"/>
    <col collapsed="false" customWidth="true" hidden="false" outlineLevel="0" max="15" min="15" style="9" width="9.13"/>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96" t="s">
        <v>0</v>
      </c>
      <c r="C1" s="96"/>
      <c r="D1" s="96"/>
      <c r="E1" s="96"/>
      <c r="F1" s="97" t="s">
        <v>1</v>
      </c>
      <c r="G1" s="97"/>
      <c r="H1" s="97"/>
      <c r="I1" s="97"/>
      <c r="J1" s="97"/>
      <c r="K1" s="97"/>
      <c r="L1" s="97"/>
      <c r="M1" s="97"/>
      <c r="N1" s="97"/>
      <c r="O1" s="97"/>
    </row>
    <row r="2" customFormat="false" ht="30.8" hidden="false" customHeight="true" outlineLevel="0" collapsed="false">
      <c r="B2" s="96"/>
      <c r="C2" s="96"/>
      <c r="D2" s="96"/>
      <c r="E2" s="96"/>
      <c r="F2" s="97" t="s">
        <v>2</v>
      </c>
      <c r="G2" s="97"/>
      <c r="H2" s="97"/>
      <c r="I2" s="97"/>
      <c r="J2" s="97" t="s">
        <v>3</v>
      </c>
      <c r="K2" s="97"/>
      <c r="L2" s="97"/>
      <c r="M2" s="97" t="s">
        <v>4</v>
      </c>
      <c r="N2" s="97"/>
      <c r="O2" s="97" t="s">
        <v>5</v>
      </c>
      <c r="Q2" s="4"/>
      <c r="R2" s="5" t="s">
        <v>6</v>
      </c>
      <c r="T2" s="6"/>
      <c r="U2" s="7" t="s">
        <v>7</v>
      </c>
    </row>
    <row r="3" customFormat="false" ht="40.8" hidden="false" customHeight="true" outlineLevel="0" collapsed="false">
      <c r="B3" s="20" t="s">
        <v>9</v>
      </c>
      <c r="C3" s="20" t="s">
        <v>10</v>
      </c>
      <c r="D3" s="20" t="s">
        <v>11</v>
      </c>
      <c r="E3" s="98" t="s">
        <v>12</v>
      </c>
      <c r="F3" s="20" t="s">
        <v>13</v>
      </c>
      <c r="G3" s="20" t="s">
        <v>14</v>
      </c>
      <c r="H3" s="20" t="s">
        <v>15</v>
      </c>
      <c r="I3" s="20" t="s">
        <v>16</v>
      </c>
      <c r="J3" s="20" t="s">
        <v>91</v>
      </c>
      <c r="K3" s="20"/>
      <c r="L3" s="20" t="s">
        <v>18</v>
      </c>
      <c r="M3" s="20" t="s">
        <v>19</v>
      </c>
      <c r="N3" s="20" t="s">
        <v>17</v>
      </c>
      <c r="O3" s="97"/>
      <c r="Q3" s="12"/>
      <c r="R3" s="5" t="s">
        <v>20</v>
      </c>
      <c r="T3" s="13"/>
      <c r="U3" s="7" t="s">
        <v>21</v>
      </c>
    </row>
    <row r="4" customFormat="false" ht="44.15" hidden="false" customHeight="true" outlineLevel="0" collapsed="false">
      <c r="B4" s="218" t="s">
        <v>427</v>
      </c>
      <c r="C4" s="219" t="n">
        <v>51211</v>
      </c>
      <c r="D4" s="314" t="s">
        <v>428</v>
      </c>
      <c r="E4" s="315" t="s">
        <v>429</v>
      </c>
      <c r="F4" s="15" t="n">
        <v>868</v>
      </c>
      <c r="G4" s="15" t="n">
        <v>868</v>
      </c>
      <c r="H4" s="15" t="n">
        <v>868</v>
      </c>
      <c r="I4" s="15"/>
      <c r="J4" s="15" t="n">
        <v>868</v>
      </c>
      <c r="K4" s="15"/>
      <c r="L4" s="15"/>
      <c r="M4" s="15"/>
      <c r="N4" s="15"/>
      <c r="O4" s="101"/>
      <c r="Q4" s="17"/>
      <c r="R4" s="16" t="s">
        <v>23</v>
      </c>
      <c r="T4" s="18"/>
      <c r="U4" s="19" t="s">
        <v>24</v>
      </c>
      <c r="V4" s="19"/>
      <c r="W4" s="19"/>
    </row>
    <row r="5" customFormat="false" ht="28.35" hidden="false" customHeight="true" outlineLevel="0" collapsed="false">
      <c r="T5" s="0"/>
      <c r="U5" s="0"/>
    </row>
    <row r="6" customFormat="false" ht="28.35" hidden="false" customHeight="true" outlineLevel="0" collapsed="false">
      <c r="B6" s="0"/>
      <c r="C6" s="10" t="s">
        <v>25</v>
      </c>
      <c r="D6" s="10"/>
      <c r="F6" s="20" t="s">
        <v>26</v>
      </c>
      <c r="G6" s="220" t="s">
        <v>430</v>
      </c>
      <c r="H6" s="220"/>
      <c r="I6" s="220"/>
      <c r="J6" s="220"/>
      <c r="K6" s="220"/>
      <c r="L6" s="220"/>
      <c r="M6" s="220"/>
      <c r="N6" s="220"/>
      <c r="O6" s="220"/>
      <c r="Q6" s="21" t="n">
        <v>41215</v>
      </c>
      <c r="R6" s="19" t="s">
        <v>27</v>
      </c>
      <c r="T6" s="22"/>
      <c r="U6" s="5" t="s">
        <v>28</v>
      </c>
    </row>
    <row r="7" customFormat="false" ht="44.95" hidden="false" customHeight="true" outlineLevel="0" collapsed="false">
      <c r="B7" s="0"/>
      <c r="C7" s="126" t="s">
        <v>431</v>
      </c>
      <c r="D7" s="126"/>
      <c r="F7" s="20"/>
      <c r="G7" s="20"/>
      <c r="H7" s="220"/>
      <c r="I7" s="220"/>
      <c r="J7" s="220"/>
      <c r="K7" s="220"/>
      <c r="L7" s="220"/>
      <c r="M7" s="220"/>
      <c r="N7" s="220"/>
      <c r="O7" s="220"/>
      <c r="Q7" s="24"/>
      <c r="R7" s="5" t="s">
        <v>29</v>
      </c>
      <c r="T7" s="25"/>
      <c r="U7" s="5" t="s">
        <v>30</v>
      </c>
    </row>
    <row r="8" customFormat="false" ht="28.3" hidden="false" customHeight="true" outlineLevel="0" collapsed="false">
      <c r="A8" s="9" t="n">
        <f aca="false">_xlfn.SHEET()</f>
        <v>29</v>
      </c>
      <c r="Q8" s="1"/>
      <c r="R8" s="1"/>
      <c r="T8" s="27"/>
      <c r="U8" s="16" t="s">
        <v>31</v>
      </c>
    </row>
    <row r="9" customFormat="false" ht="42.45" hidden="false" customHeight="true" outlineLevel="0" collapsed="false">
      <c r="A9" s="1" t="n">
        <f aca="false">_xlfn.SHEETS()</f>
        <v>79</v>
      </c>
      <c r="B9" s="9" t="s">
        <v>32</v>
      </c>
      <c r="C9" s="9" t="s">
        <v>51</v>
      </c>
      <c r="D9" s="9" t="s">
        <v>52</v>
      </c>
      <c r="E9" s="1" t="s">
        <v>35</v>
      </c>
      <c r="F9" s="9" t="s">
        <v>97</v>
      </c>
      <c r="G9" s="9" t="s">
        <v>37</v>
      </c>
      <c r="H9" s="9" t="s">
        <v>38</v>
      </c>
      <c r="I9" s="9" t="s">
        <v>39</v>
      </c>
      <c r="J9" s="103" t="s">
        <v>40</v>
      </c>
      <c r="K9" s="103"/>
    </row>
    <row r="10" customFormat="false" ht="24.7" hidden="false" customHeight="true" outlineLevel="0" collapsed="false">
      <c r="A10" s="0" t="n">
        <v>31</v>
      </c>
      <c r="B10" s="31" t="n">
        <v>32509</v>
      </c>
      <c r="C10" s="26" t="n">
        <v>380400</v>
      </c>
      <c r="D10" s="29" t="s">
        <v>42</v>
      </c>
      <c r="E10" s="33" t="n">
        <f aca="false">IF(D10="totale",(C10/(A10*24))/F10,IF(D10="marché libre",(C10/(A10*24))/G10,"spécifier histo"))</f>
        <v>0.589044150438531</v>
      </c>
      <c r="F10" s="9" t="n">
        <v>868</v>
      </c>
      <c r="G10" s="9" t="n">
        <f aca="false">F10-H10</f>
        <v>868</v>
      </c>
      <c r="H10" s="9" t="n">
        <v>0</v>
      </c>
      <c r="J10" s="103"/>
      <c r="K10" s="103"/>
    </row>
    <row r="11" customFormat="false" ht="24.7" hidden="false" customHeight="true" outlineLevel="0" collapsed="false">
      <c r="A11" s="0" t="n">
        <v>28</v>
      </c>
      <c r="B11" s="34" t="n">
        <v>32540</v>
      </c>
      <c r="C11" s="26" t="n">
        <v>230800</v>
      </c>
      <c r="D11" s="29" t="s">
        <v>42</v>
      </c>
      <c r="E11" s="33" t="n">
        <f aca="false">IF(D11="totale",(C11/(A11*24))/F11,IF(D11="marché libre",(C11/(A11*24))/G11,"spécifier histo"))</f>
        <v>0.395682466535001</v>
      </c>
      <c r="F11" s="9" t="n">
        <v>868</v>
      </c>
      <c r="G11" s="9" t="n">
        <f aca="false">F11-H11</f>
        <v>868</v>
      </c>
      <c r="H11" s="9" t="n">
        <v>0</v>
      </c>
      <c r="J11" s="103"/>
      <c r="K11" s="103"/>
    </row>
    <row r="12" customFormat="false" ht="24.7" hidden="false" customHeight="true" outlineLevel="0" collapsed="false">
      <c r="A12" s="0" t="n">
        <v>31</v>
      </c>
      <c r="B12" s="31" t="n">
        <v>32568</v>
      </c>
      <c r="C12" s="26" t="n">
        <v>264600</v>
      </c>
      <c r="D12" s="29" t="s">
        <v>42</v>
      </c>
      <c r="E12" s="33" t="n">
        <f aca="false">IF(D12="totale",(C12/(A12*24))/F12,IF(D12="marché libre",(C12/(A12*24))/G12,"spécifier histo"))</f>
        <v>0.409729448491155</v>
      </c>
      <c r="F12" s="9" t="n">
        <v>868</v>
      </c>
      <c r="G12" s="9" t="n">
        <f aca="false">F12-H12</f>
        <v>868</v>
      </c>
      <c r="H12" s="9" t="n">
        <v>0</v>
      </c>
      <c r="J12" s="103"/>
      <c r="K12" s="103"/>
    </row>
    <row r="13" customFormat="false" ht="24.7" hidden="false" customHeight="true" outlineLevel="0" collapsed="false">
      <c r="A13" s="0" t="n">
        <v>30</v>
      </c>
      <c r="B13" s="34" t="n">
        <v>32599</v>
      </c>
      <c r="C13" s="26" t="n">
        <v>357200</v>
      </c>
      <c r="D13" s="29" t="s">
        <v>42</v>
      </c>
      <c r="E13" s="33" t="n">
        <f aca="false">IF(D13="totale",(C13/(A13*24))/F13,IF(D13="marché libre",(C13/(A13*24))/G13,"spécifier histo"))</f>
        <v>0.571556579621096</v>
      </c>
      <c r="F13" s="9" t="n">
        <v>868</v>
      </c>
      <c r="G13" s="9" t="n">
        <f aca="false">F13-H13</f>
        <v>868</v>
      </c>
      <c r="H13" s="9" t="n">
        <v>0</v>
      </c>
      <c r="J13" s="103"/>
      <c r="K13" s="103"/>
    </row>
    <row r="14" customFormat="false" ht="24.7" hidden="false" customHeight="true" outlineLevel="0" collapsed="false">
      <c r="A14" s="0" t="n">
        <v>31</v>
      </c>
      <c r="B14" s="31" t="n">
        <v>32629</v>
      </c>
      <c r="C14" s="26" t="n">
        <v>485000</v>
      </c>
      <c r="D14" s="29" t="s">
        <v>42</v>
      </c>
      <c r="E14" s="33" t="n">
        <f aca="false">IF(D14="totale",(C14/(A14*24))/F14,IF(D14="marché libre",(C14/(A14*24))/G14,"spécifier histo"))</f>
        <v>0.751015806947128</v>
      </c>
      <c r="F14" s="9" t="n">
        <v>868</v>
      </c>
      <c r="G14" s="9" t="n">
        <f aca="false">F14-H14</f>
        <v>868</v>
      </c>
      <c r="H14" s="9" t="n">
        <v>0</v>
      </c>
      <c r="J14" s="103"/>
      <c r="K14" s="103"/>
    </row>
    <row r="15" customFormat="false" ht="24.7" hidden="false" customHeight="true" outlineLevel="0" collapsed="false">
      <c r="A15" s="0" t="n">
        <v>30</v>
      </c>
      <c r="B15" s="34" t="n">
        <v>32660</v>
      </c>
      <c r="C15" s="26" t="n">
        <v>251200</v>
      </c>
      <c r="D15" s="29" t="s">
        <v>42</v>
      </c>
      <c r="E15" s="33" t="n">
        <f aca="false">IF(D15="totale",(C15/(A15*24))/F15,IF(D15="marché libre",(C15/(A15*24))/G15,"spécifier histo"))</f>
        <v>0.40194572452637</v>
      </c>
      <c r="F15" s="9" t="n">
        <v>868</v>
      </c>
      <c r="G15" s="9" t="n">
        <f aca="false">F15-H15</f>
        <v>868</v>
      </c>
      <c r="H15" s="9" t="n">
        <v>0</v>
      </c>
      <c r="J15" s="103"/>
      <c r="K15" s="103"/>
    </row>
    <row r="16" customFormat="false" ht="24.7" hidden="false" customHeight="true" outlineLevel="0" collapsed="false">
      <c r="A16" s="0" t="n">
        <v>31</v>
      </c>
      <c r="B16" s="31" t="n">
        <v>32690</v>
      </c>
      <c r="C16" s="26" t="n">
        <v>0</v>
      </c>
      <c r="D16" s="29" t="s">
        <v>42</v>
      </c>
      <c r="E16" s="33" t="n">
        <f aca="false">IF(D16="totale",(C16/(A16*24))/F16,IF(D16="marché libre",(C16/(A16*24))/G16,"spécifier histo"))</f>
        <v>0</v>
      </c>
      <c r="F16" s="9" t="n">
        <v>868</v>
      </c>
      <c r="G16" s="9" t="n">
        <f aca="false">F16-H16</f>
        <v>868</v>
      </c>
      <c r="H16" s="9" t="n">
        <v>0</v>
      </c>
      <c r="J16" s="316" t="s">
        <v>432</v>
      </c>
      <c r="K16" s="103"/>
    </row>
    <row r="17" customFormat="false" ht="24.7" hidden="false" customHeight="true" outlineLevel="0" collapsed="false">
      <c r="A17" s="0" t="n">
        <v>31</v>
      </c>
      <c r="B17" s="34" t="n">
        <v>32721</v>
      </c>
      <c r="C17" s="26" t="n">
        <v>0</v>
      </c>
      <c r="D17" s="29" t="s">
        <v>42</v>
      </c>
      <c r="E17" s="33" t="n">
        <f aca="false">IF(D17="totale",(C17/(A17*24))/F17,IF(D17="marché libre",(C17/(A17*24))/G17,"spécifier histo"))</f>
        <v>0</v>
      </c>
      <c r="F17" s="9" t="n">
        <v>868</v>
      </c>
      <c r="G17" s="9" t="n">
        <f aca="false">F17-H17</f>
        <v>868</v>
      </c>
      <c r="H17" s="9" t="n">
        <v>0</v>
      </c>
      <c r="J17" s="316" t="s">
        <v>432</v>
      </c>
      <c r="K17" s="103"/>
    </row>
    <row r="18" customFormat="false" ht="24.7" hidden="false" customHeight="true" outlineLevel="0" collapsed="false">
      <c r="A18" s="0" t="n">
        <v>30</v>
      </c>
      <c r="B18" s="31" t="n">
        <v>32752</v>
      </c>
      <c r="C18" s="26" t="n">
        <v>0</v>
      </c>
      <c r="D18" s="29" t="s">
        <v>42</v>
      </c>
      <c r="E18" s="33" t="n">
        <f aca="false">IF(D18="totale",(C18/(A18*24))/F18,IF(D18="marché libre",(C18/(A18*24))/G18,"spécifier histo"))</f>
        <v>0</v>
      </c>
      <c r="F18" s="9" t="n">
        <v>868</v>
      </c>
      <c r="G18" s="9" t="n">
        <f aca="false">F18-H18</f>
        <v>868</v>
      </c>
      <c r="H18" s="9" t="n">
        <v>0</v>
      </c>
      <c r="J18" s="316" t="s">
        <v>432</v>
      </c>
      <c r="K18" s="103"/>
    </row>
    <row r="19" customFormat="false" ht="24.7" hidden="false" customHeight="true" outlineLevel="0" collapsed="false">
      <c r="A19" s="0" t="n">
        <v>31</v>
      </c>
      <c r="B19" s="34" t="n">
        <v>32782</v>
      </c>
      <c r="C19" s="26" t="n">
        <v>139000</v>
      </c>
      <c r="D19" s="29" t="s">
        <v>42</v>
      </c>
      <c r="E19" s="33" t="n">
        <f aca="false">IF(D19="totale",(C19/(A19*24))/F19,IF(D19="marché libre",(C19/(A19*24))/G19,"spécifier histo"))</f>
        <v>0.215239581784847</v>
      </c>
      <c r="F19" s="9" t="n">
        <v>868</v>
      </c>
      <c r="G19" s="9" t="n">
        <f aca="false">F19-H19</f>
        <v>868</v>
      </c>
      <c r="H19" s="9" t="n">
        <v>0</v>
      </c>
      <c r="J19" s="103"/>
      <c r="K19" s="103"/>
    </row>
    <row r="20" customFormat="false" ht="24.7" hidden="false" customHeight="true" outlineLevel="0" collapsed="false">
      <c r="A20" s="0" t="n">
        <v>30</v>
      </c>
      <c r="B20" s="31" t="n">
        <v>32813</v>
      </c>
      <c r="C20" s="26" t="n">
        <v>128800</v>
      </c>
      <c r="D20" s="29" t="s">
        <v>42</v>
      </c>
      <c r="E20" s="33" t="n">
        <f aca="false">IF(D20="totale",(C20/(A20*24))/F20,IF(D20="marché libre",(C20/(A20*24))/G20,"spécifier histo"))</f>
        <v>0.206093189964158</v>
      </c>
      <c r="F20" s="9" t="n">
        <v>868</v>
      </c>
      <c r="G20" s="9" t="n">
        <f aca="false">F20-H20</f>
        <v>868</v>
      </c>
      <c r="H20" s="9" t="n">
        <v>0</v>
      </c>
      <c r="J20" s="103"/>
      <c r="K20" s="103"/>
    </row>
    <row r="21" customFormat="false" ht="24.7" hidden="false" customHeight="true" outlineLevel="0" collapsed="false">
      <c r="A21" s="0" t="n">
        <v>31</v>
      </c>
      <c r="B21" s="34" t="n">
        <v>32843</v>
      </c>
      <c r="C21" s="26" t="n">
        <v>231200</v>
      </c>
      <c r="D21" s="29" t="s">
        <v>42</v>
      </c>
      <c r="E21" s="33" t="n">
        <f aca="false">IF(D21="totale",(C21/(A21*24))/F21,IF(D21="marché libre",(C21/(A21*24))/G21,"spécifier histo"))</f>
        <v>0.358010009414796</v>
      </c>
      <c r="F21" s="9" t="n">
        <v>868</v>
      </c>
      <c r="G21" s="9" t="n">
        <f aca="false">F21-H21</f>
        <v>868</v>
      </c>
      <c r="H21" s="9" t="n">
        <v>0</v>
      </c>
      <c r="J21" s="103"/>
      <c r="K21" s="103"/>
    </row>
    <row r="22" customFormat="false" ht="24.7" hidden="false" customHeight="true" outlineLevel="0" collapsed="false">
      <c r="A22" s="0" t="n">
        <v>31</v>
      </c>
      <c r="B22" s="31" t="n">
        <v>32874</v>
      </c>
      <c r="C22" s="26" t="n">
        <v>466800</v>
      </c>
      <c r="D22" s="29" t="s">
        <v>42</v>
      </c>
      <c r="E22" s="33" t="n">
        <f aca="false">IF(D22="totale",(C22/(A22*24))/F22,IF(D22="marché libre",(C22/(A22*24))/G22,"spécifier histo"))</f>
        <v>0.722833358109113</v>
      </c>
      <c r="F22" s="9" t="n">
        <v>868</v>
      </c>
      <c r="G22" s="9" t="n">
        <f aca="false">F22-H22</f>
        <v>868</v>
      </c>
      <c r="H22" s="9" t="n">
        <v>0</v>
      </c>
      <c r="J22" s="103"/>
      <c r="K22" s="103"/>
    </row>
    <row r="23" customFormat="false" ht="24.7" hidden="false" customHeight="true" outlineLevel="0" collapsed="false">
      <c r="A23" s="0" t="n">
        <v>28</v>
      </c>
      <c r="B23" s="34" t="n">
        <v>32905</v>
      </c>
      <c r="C23" s="26" t="n">
        <v>344600</v>
      </c>
      <c r="D23" s="29" t="s">
        <v>42</v>
      </c>
      <c r="E23" s="33" t="n">
        <f aca="false">IF(D23="totale",(C23/(A23*24))/F23,IF(D23="marché libre",(C23/(A23*24))/G23,"spécifier histo"))</f>
        <v>0.590780667105552</v>
      </c>
      <c r="F23" s="9" t="n">
        <v>868</v>
      </c>
      <c r="G23" s="9" t="n">
        <f aca="false">F23-H23</f>
        <v>868</v>
      </c>
      <c r="H23" s="9" t="n">
        <v>0</v>
      </c>
      <c r="J23" s="103"/>
      <c r="K23" s="103"/>
    </row>
    <row r="24" customFormat="false" ht="24.7" hidden="false" customHeight="true" outlineLevel="0" collapsed="false">
      <c r="A24" s="0" t="n">
        <v>31</v>
      </c>
      <c r="B24" s="31" t="n">
        <v>32933</v>
      </c>
      <c r="C24" s="26" t="n">
        <v>534800</v>
      </c>
      <c r="D24" s="29" t="s">
        <v>42</v>
      </c>
      <c r="E24" s="33" t="n">
        <f aca="false">IF(D24="totale",(C24/(A24*24))/F24,IF(D24="marché libre",(C24/(A24*24))/G24,"spécifier histo"))</f>
        <v>0.8281304197017</v>
      </c>
      <c r="F24" s="9" t="n">
        <v>868</v>
      </c>
      <c r="G24" s="9" t="n">
        <f aca="false">F24-H24</f>
        <v>868</v>
      </c>
      <c r="H24" s="9" t="n">
        <v>0</v>
      </c>
      <c r="J24" s="103"/>
      <c r="K24" s="103"/>
    </row>
    <row r="25" customFormat="false" ht="24.7" hidden="false" customHeight="true" outlineLevel="0" collapsed="false">
      <c r="A25" s="0" t="n">
        <v>30</v>
      </c>
      <c r="B25" s="34" t="n">
        <v>32964</v>
      </c>
      <c r="C25" s="26" t="n">
        <v>422200</v>
      </c>
      <c r="D25" s="29" t="s">
        <v>42</v>
      </c>
      <c r="E25" s="33" t="n">
        <f aca="false">IF(D25="totale",(C25/(A25*24))/F25,IF(D25="marché libre",(C25/(A25*24))/G25,"spécifier histo"))</f>
        <v>0.675563236047107</v>
      </c>
      <c r="F25" s="9" t="n">
        <v>868</v>
      </c>
      <c r="G25" s="9" t="n">
        <f aca="false">F25-H25</f>
        <v>868</v>
      </c>
      <c r="H25" s="9" t="n">
        <v>0</v>
      </c>
      <c r="J25" s="103"/>
      <c r="K25" s="103"/>
    </row>
    <row r="26" customFormat="false" ht="24.7" hidden="false" customHeight="true" outlineLevel="0" collapsed="false">
      <c r="A26" s="0" t="n">
        <v>31</v>
      </c>
      <c r="B26" s="31" t="n">
        <v>32994</v>
      </c>
      <c r="C26" s="26" t="n">
        <v>490000</v>
      </c>
      <c r="D26" s="29" t="s">
        <v>42</v>
      </c>
      <c r="E26" s="33" t="n">
        <f aca="false">IF(D26="totale",(C26/(A26*24))/F26,IF(D26="marché libre",(C26/(A26*24))/G26,"spécifier histo"))</f>
        <v>0.758758237946583</v>
      </c>
      <c r="F26" s="9" t="n">
        <v>868</v>
      </c>
      <c r="G26" s="9" t="n">
        <f aca="false">F26-H26</f>
        <v>868</v>
      </c>
      <c r="H26" s="9" t="n">
        <v>0</v>
      </c>
      <c r="J26" s="103"/>
      <c r="K26" s="103"/>
    </row>
    <row r="27" customFormat="false" ht="24.7" hidden="false" customHeight="true" outlineLevel="0" collapsed="false">
      <c r="A27" s="0" t="n">
        <v>30</v>
      </c>
      <c r="B27" s="34" t="n">
        <v>33025</v>
      </c>
      <c r="C27" s="26" t="n">
        <v>246000</v>
      </c>
      <c r="D27" s="29" t="s">
        <v>42</v>
      </c>
      <c r="E27" s="33" t="n">
        <f aca="false">IF(D27="totale",(C27/(A27*24))/F27,IF(D27="marché libre",(C27/(A27*24))/G27,"spécifier histo"))</f>
        <v>0.393625192012289</v>
      </c>
      <c r="F27" s="9" t="n">
        <v>868</v>
      </c>
      <c r="G27" s="9" t="n">
        <f aca="false">F27-H27</f>
        <v>868</v>
      </c>
      <c r="H27" s="9" t="n">
        <v>0</v>
      </c>
      <c r="J27" s="103"/>
      <c r="K27" s="103"/>
    </row>
    <row r="28" customFormat="false" ht="24.7" hidden="false" customHeight="true" outlineLevel="0" collapsed="false">
      <c r="A28" s="0" t="n">
        <v>31</v>
      </c>
      <c r="B28" s="31" t="n">
        <v>33055</v>
      </c>
      <c r="C28" s="26" t="n">
        <v>212600</v>
      </c>
      <c r="D28" s="29" t="s">
        <v>42</v>
      </c>
      <c r="E28" s="33" t="n">
        <f aca="false">IF(D28="totale",(C28/(A28*24))/F28,IF(D28="marché libre",(C28/(A28*24))/G28,"spécifier histo"))</f>
        <v>0.329208166096824</v>
      </c>
      <c r="F28" s="9" t="n">
        <v>868</v>
      </c>
      <c r="G28" s="9" t="n">
        <f aca="false">F28-H28</f>
        <v>868</v>
      </c>
      <c r="H28" s="9" t="n">
        <v>0</v>
      </c>
      <c r="J28" s="103"/>
      <c r="K28" s="103"/>
    </row>
    <row r="29" customFormat="false" ht="24.7" hidden="false" customHeight="true" outlineLevel="0" collapsed="false">
      <c r="A29" s="0" t="n">
        <v>31</v>
      </c>
      <c r="B29" s="34" t="n">
        <v>33086</v>
      </c>
      <c r="C29" s="26" t="n">
        <v>0</v>
      </c>
      <c r="D29" s="29" t="s">
        <v>42</v>
      </c>
      <c r="E29" s="33" t="n">
        <f aca="false">IF(D29="totale",(C29/(A29*24))/F29,IF(D29="marché libre",(C29/(A29*24))/G29,"spécifier histo"))</f>
        <v>0</v>
      </c>
      <c r="F29" s="9" t="n">
        <v>868</v>
      </c>
      <c r="G29" s="9" t="n">
        <f aca="false">F29-H29</f>
        <v>868</v>
      </c>
      <c r="H29" s="9" t="n">
        <v>0</v>
      </c>
      <c r="J29" s="316" t="s">
        <v>432</v>
      </c>
      <c r="K29" s="103"/>
    </row>
    <row r="30" customFormat="false" ht="24.7" hidden="false" customHeight="true" outlineLevel="0" collapsed="false">
      <c r="A30" s="0" t="n">
        <v>30</v>
      </c>
      <c r="B30" s="31" t="n">
        <v>33117</v>
      </c>
      <c r="C30" s="26" t="n">
        <v>0</v>
      </c>
      <c r="D30" s="29" t="s">
        <v>42</v>
      </c>
      <c r="E30" s="33" t="n">
        <f aca="false">IF(D30="totale",(C30/(A30*24))/F30,IF(D30="marché libre",(C30/(A30*24))/G30,"spécifier histo"))</f>
        <v>0</v>
      </c>
      <c r="F30" s="9" t="n">
        <v>868</v>
      </c>
      <c r="G30" s="9" t="n">
        <f aca="false">F30-H30</f>
        <v>868</v>
      </c>
      <c r="H30" s="9" t="n">
        <v>0</v>
      </c>
      <c r="J30" s="316" t="s">
        <v>432</v>
      </c>
      <c r="K30" s="103"/>
    </row>
    <row r="31" customFormat="false" ht="24.7" hidden="false" customHeight="true" outlineLevel="0" collapsed="false">
      <c r="A31" s="0" t="n">
        <v>31</v>
      </c>
      <c r="B31" s="34" t="n">
        <v>33147</v>
      </c>
      <c r="C31" s="26" t="n">
        <v>65200</v>
      </c>
      <c r="D31" s="29" t="s">
        <v>42</v>
      </c>
      <c r="E31" s="33" t="n">
        <f aca="false">IF(D31="totale",(C31/(A31*24))/F31,IF(D31="marché libre",(C31/(A31*24))/G31,"spécifier histo"))</f>
        <v>0.100961300232892</v>
      </c>
      <c r="F31" s="9" t="n">
        <v>868</v>
      </c>
      <c r="G31" s="9" t="n">
        <f aca="false">F31-H31</f>
        <v>868</v>
      </c>
      <c r="H31" s="9" t="n">
        <v>0</v>
      </c>
      <c r="J31" s="103"/>
      <c r="K31" s="103"/>
    </row>
    <row r="32" customFormat="false" ht="24.7" hidden="false" customHeight="true" outlineLevel="0" collapsed="false">
      <c r="A32" s="0" t="n">
        <v>30</v>
      </c>
      <c r="B32" s="31" t="n">
        <v>33178</v>
      </c>
      <c r="C32" s="26" t="n">
        <v>360200</v>
      </c>
      <c r="D32" s="29" t="s">
        <v>42</v>
      </c>
      <c r="E32" s="33" t="n">
        <f aca="false">IF(D32="totale",(C32/(A32*24))/F32,IF(D32="marché libre",(C32/(A32*24))/G32,"spécifier histo"))</f>
        <v>0.576356886840758</v>
      </c>
      <c r="F32" s="9" t="n">
        <v>868</v>
      </c>
      <c r="G32" s="9" t="n">
        <f aca="false">F32-H32</f>
        <v>868</v>
      </c>
      <c r="H32" s="9" t="n">
        <v>0</v>
      </c>
      <c r="J32" s="103"/>
      <c r="K32" s="103"/>
    </row>
    <row r="33" customFormat="false" ht="24.7" hidden="false" customHeight="true" outlineLevel="0" collapsed="false">
      <c r="A33" s="0" t="n">
        <v>31</v>
      </c>
      <c r="B33" s="34" t="n">
        <v>33208</v>
      </c>
      <c r="C33" s="26" t="n">
        <v>448400</v>
      </c>
      <c r="D33" s="29" t="s">
        <v>42</v>
      </c>
      <c r="E33" s="33" t="n">
        <f aca="false">IF(D33="totale",(C33/(A33*24))/F33,IF(D33="marché libre",(C33/(A33*24))/G33,"spécifier histo"))</f>
        <v>0.694341212031118</v>
      </c>
      <c r="F33" s="9" t="n">
        <v>868</v>
      </c>
      <c r="G33" s="9" t="n">
        <f aca="false">F33-H33</f>
        <v>868</v>
      </c>
      <c r="H33" s="9" t="n">
        <v>0</v>
      </c>
      <c r="J33" s="103"/>
      <c r="K33" s="103"/>
    </row>
    <row r="34" customFormat="false" ht="24.7" hidden="false" customHeight="true" outlineLevel="0" collapsed="false">
      <c r="A34" s="0" t="n">
        <v>31</v>
      </c>
      <c r="B34" s="31" t="n">
        <v>33239</v>
      </c>
      <c r="C34" s="26" t="n">
        <v>454000</v>
      </c>
      <c r="D34" s="29" t="s">
        <v>42</v>
      </c>
      <c r="E34" s="33" t="n">
        <f aca="false">IF(D34="totale",(C34/(A34*24))/F34,IF(D34="marché libre",(C34/(A34*24))/G34,"spécifier histo"))</f>
        <v>0.703012734750508</v>
      </c>
      <c r="F34" s="9" t="n">
        <v>868</v>
      </c>
      <c r="G34" s="9" t="n">
        <f aca="false">F34-H34</f>
        <v>868</v>
      </c>
      <c r="H34" s="9" t="n">
        <v>0</v>
      </c>
      <c r="J34" s="103"/>
      <c r="K34" s="103"/>
    </row>
    <row r="35" customFormat="false" ht="24.7" hidden="false" customHeight="true" outlineLevel="0" collapsed="false">
      <c r="A35" s="0" t="n">
        <v>28</v>
      </c>
      <c r="B35" s="34" t="n">
        <v>33270</v>
      </c>
      <c r="C35" s="26" t="n">
        <v>375400</v>
      </c>
      <c r="D35" s="29" t="s">
        <v>42</v>
      </c>
      <c r="E35" s="33" t="n">
        <f aca="false">IF(D35="totale",(C35/(A35*24))/F35,IF(D35="marché libre",(C35/(A35*24))/G35,"spécifier histo"))</f>
        <v>0.643584046521835</v>
      </c>
      <c r="F35" s="9" t="n">
        <v>868</v>
      </c>
      <c r="G35" s="9" t="n">
        <f aca="false">F35-H35</f>
        <v>868</v>
      </c>
      <c r="H35" s="9" t="n">
        <v>0</v>
      </c>
      <c r="J35" s="103"/>
      <c r="K35" s="103"/>
    </row>
    <row r="36" customFormat="false" ht="24.7" hidden="false" customHeight="true" outlineLevel="0" collapsed="false">
      <c r="A36" s="0" t="n">
        <v>31</v>
      </c>
      <c r="B36" s="31" t="n">
        <v>33298</v>
      </c>
      <c r="C36" s="26" t="n">
        <v>457600</v>
      </c>
      <c r="D36" s="29" t="s">
        <v>42</v>
      </c>
      <c r="E36" s="33" t="n">
        <f aca="false">IF(D36="totale",(C36/(A36*24))/F36,IF(D36="marché libre",(C36/(A36*24))/G36,"spécifier histo"))</f>
        <v>0.708587285070115</v>
      </c>
      <c r="F36" s="9" t="n">
        <v>868</v>
      </c>
      <c r="G36" s="9" t="n">
        <f aca="false">F36-H36</f>
        <v>868</v>
      </c>
      <c r="H36" s="9" t="n">
        <v>0</v>
      </c>
      <c r="J36" s="103"/>
      <c r="K36" s="103"/>
    </row>
    <row r="37" customFormat="false" ht="24.7" hidden="false" customHeight="true" outlineLevel="0" collapsed="false">
      <c r="A37" s="0" t="n">
        <v>30</v>
      </c>
      <c r="B37" s="34" t="n">
        <v>33329</v>
      </c>
      <c r="C37" s="26" t="n">
        <v>428000</v>
      </c>
      <c r="D37" s="29" t="s">
        <v>42</v>
      </c>
      <c r="E37" s="33" t="n">
        <f aca="false">IF(D37="totale",(C37/(A37*24))/F37,IF(D37="marché libre",(C37/(A37*24))/G37,"spécifier histo"))</f>
        <v>0.68484383000512</v>
      </c>
      <c r="F37" s="9" t="n">
        <v>868</v>
      </c>
      <c r="G37" s="9" t="n">
        <f aca="false">F37-H37</f>
        <v>868</v>
      </c>
      <c r="H37" s="9" t="n">
        <v>0</v>
      </c>
      <c r="J37" s="103"/>
      <c r="K37" s="103"/>
    </row>
    <row r="38" customFormat="false" ht="24.7" hidden="false" customHeight="true" outlineLevel="0" collapsed="false">
      <c r="A38" s="0" t="n">
        <v>31</v>
      </c>
      <c r="B38" s="31" t="n">
        <v>33359</v>
      </c>
      <c r="C38" s="26" t="n">
        <v>420000</v>
      </c>
      <c r="D38" s="29" t="s">
        <v>42</v>
      </c>
      <c r="E38" s="33" t="n">
        <f aca="false">IF(D38="totale",(C38/(A38*24))/F38,IF(D38="marché libre",(C38/(A38*24))/G38,"spécifier histo"))</f>
        <v>0.650364203954214</v>
      </c>
      <c r="F38" s="9" t="n">
        <v>868</v>
      </c>
      <c r="G38" s="9" t="n">
        <f aca="false">F38-H38</f>
        <v>868</v>
      </c>
      <c r="H38" s="9" t="n">
        <v>0</v>
      </c>
      <c r="J38" s="103"/>
      <c r="K38" s="103"/>
    </row>
    <row r="39" customFormat="false" ht="24.7" hidden="false" customHeight="true" outlineLevel="0" collapsed="false">
      <c r="A39" s="0" t="n">
        <v>30</v>
      </c>
      <c r="B39" s="34" t="n">
        <v>33390</v>
      </c>
      <c r="C39" s="26" t="n">
        <v>366000</v>
      </c>
      <c r="D39" s="29" t="s">
        <v>42</v>
      </c>
      <c r="E39" s="33" t="n">
        <f aca="false">IF(D39="totale",(C39/(A39*24))/F39,IF(D39="marché libre",(C39/(A39*24))/G39,"spécifier histo"))</f>
        <v>0.585637480798771</v>
      </c>
      <c r="F39" s="9" t="n">
        <v>868</v>
      </c>
      <c r="G39" s="9" t="n">
        <f aca="false">F39-H39</f>
        <v>868</v>
      </c>
      <c r="H39" s="9" t="n">
        <v>0</v>
      </c>
      <c r="J39" s="103"/>
      <c r="K39" s="103"/>
    </row>
    <row r="40" customFormat="false" ht="24.7" hidden="false" customHeight="true" outlineLevel="0" collapsed="false">
      <c r="A40" s="0" t="n">
        <v>31</v>
      </c>
      <c r="B40" s="31" t="n">
        <v>33420</v>
      </c>
      <c r="C40" s="26" t="n">
        <v>0</v>
      </c>
      <c r="D40" s="29" t="s">
        <v>42</v>
      </c>
      <c r="E40" s="33" t="n">
        <f aca="false">IF(D40="totale",(C40/(A40*24))/F40,IF(D40="marché libre",(C40/(A40*24))/G40,"spécifier histo"))</f>
        <v>0</v>
      </c>
      <c r="F40" s="9" t="n">
        <v>868</v>
      </c>
      <c r="G40" s="9" t="n">
        <f aca="false">F40-H40</f>
        <v>868</v>
      </c>
      <c r="H40" s="9" t="n">
        <v>0</v>
      </c>
      <c r="J40" s="316" t="s">
        <v>432</v>
      </c>
      <c r="K40" s="103"/>
    </row>
    <row r="41" customFormat="false" ht="24.7" hidden="false" customHeight="true" outlineLevel="0" collapsed="false">
      <c r="A41" s="0" t="n">
        <v>31</v>
      </c>
      <c r="B41" s="34" t="n">
        <v>33451</v>
      </c>
      <c r="C41" s="26" t="n">
        <v>0</v>
      </c>
      <c r="D41" s="29" t="s">
        <v>42</v>
      </c>
      <c r="E41" s="33" t="n">
        <f aca="false">IF(D41="totale",(C41/(A41*24))/F41,IF(D41="marché libre",(C41/(A41*24))/G41,"spécifier histo"))</f>
        <v>0</v>
      </c>
      <c r="F41" s="9" t="n">
        <v>868</v>
      </c>
      <c r="G41" s="9" t="n">
        <f aca="false">F41-H41</f>
        <v>868</v>
      </c>
      <c r="H41" s="9" t="n">
        <v>0</v>
      </c>
      <c r="J41" s="316" t="s">
        <v>432</v>
      </c>
      <c r="K41" s="103"/>
    </row>
    <row r="42" customFormat="false" ht="24.7" hidden="false" customHeight="true" outlineLevel="0" collapsed="false">
      <c r="A42" s="0" t="n">
        <v>30</v>
      </c>
      <c r="B42" s="31" t="n">
        <v>33482</v>
      </c>
      <c r="C42" s="26" t="n">
        <v>164400</v>
      </c>
      <c r="D42" s="29" t="s">
        <v>42</v>
      </c>
      <c r="E42" s="33" t="n">
        <f aca="false">IF(D42="totale",(C42/(A42*24))/F42,IF(D42="marché libre",(C42/(A42*24))/G42,"spécifier histo"))</f>
        <v>0.263056835637481</v>
      </c>
      <c r="F42" s="9" t="n">
        <v>868</v>
      </c>
      <c r="G42" s="9" t="n">
        <f aca="false">F42-H42</f>
        <v>868</v>
      </c>
      <c r="H42" s="9" t="n">
        <v>0</v>
      </c>
      <c r="J42" s="103"/>
      <c r="K42" s="103"/>
    </row>
    <row r="43" customFormat="false" ht="24.7" hidden="false" customHeight="true" outlineLevel="0" collapsed="false">
      <c r="A43" s="0" t="n">
        <v>31</v>
      </c>
      <c r="B43" s="34" t="n">
        <v>33512</v>
      </c>
      <c r="C43" s="26" t="n">
        <v>123400</v>
      </c>
      <c r="D43" s="29" t="s">
        <v>42</v>
      </c>
      <c r="E43" s="33" t="n">
        <f aca="false">IF(D43="totale",(C43/(A43*24))/F43,IF(D43="marché libre",(C43/(A43*24))/G43,"spécifier histo"))</f>
        <v>0.191083197066548</v>
      </c>
      <c r="F43" s="9" t="n">
        <v>868</v>
      </c>
      <c r="G43" s="9" t="n">
        <f aca="false">F43-H43</f>
        <v>868</v>
      </c>
      <c r="H43" s="9" t="n">
        <v>0</v>
      </c>
      <c r="J43" s="103"/>
      <c r="K43" s="103"/>
    </row>
    <row r="44" customFormat="false" ht="24.7" hidden="false" customHeight="true" outlineLevel="0" collapsed="false">
      <c r="A44" s="0" t="n">
        <v>30</v>
      </c>
      <c r="B44" s="31" t="n">
        <v>33543</v>
      </c>
      <c r="C44" s="26" t="n">
        <v>468400</v>
      </c>
      <c r="D44" s="29" t="s">
        <v>42</v>
      </c>
      <c r="E44" s="33" t="n">
        <f aca="false">IF(D44="totale",(C44/(A44*24))/F44,IF(D44="marché libre",(C44/(A44*24))/G44,"spécifier histo"))</f>
        <v>0.749487967229903</v>
      </c>
      <c r="F44" s="9" t="n">
        <v>868</v>
      </c>
      <c r="G44" s="9" t="n">
        <f aca="false">F44-H44</f>
        <v>868</v>
      </c>
      <c r="H44" s="9" t="n">
        <v>0</v>
      </c>
      <c r="J44" s="103"/>
      <c r="K44" s="103"/>
    </row>
    <row r="45" customFormat="false" ht="24.7" hidden="false" customHeight="true" outlineLevel="0" collapsed="false">
      <c r="A45" s="0" t="n">
        <v>31</v>
      </c>
      <c r="B45" s="34" t="n">
        <v>33573</v>
      </c>
      <c r="C45" s="26" t="n">
        <v>466000</v>
      </c>
      <c r="D45" s="29" t="s">
        <v>42</v>
      </c>
      <c r="E45" s="33" t="n">
        <f aca="false">IF(D45="totale",(C45/(A45*24))/F45,IF(D45="marché libre",(C45/(A45*24))/G45,"spécifier histo"))</f>
        <v>0.7215945691492</v>
      </c>
      <c r="F45" s="9" t="n">
        <v>868</v>
      </c>
      <c r="G45" s="9" t="n">
        <f aca="false">F45-H45</f>
        <v>868</v>
      </c>
      <c r="H45" s="9" t="n">
        <v>0</v>
      </c>
      <c r="J45" s="103"/>
      <c r="K45" s="103"/>
    </row>
    <row r="46" customFormat="false" ht="24.7" hidden="false" customHeight="true" outlineLevel="0" collapsed="false">
      <c r="A46" s="0" t="n">
        <v>31</v>
      </c>
      <c r="B46" s="31" t="n">
        <v>33604</v>
      </c>
      <c r="C46" s="26" t="n">
        <v>444800</v>
      </c>
      <c r="D46" s="29" t="s">
        <v>42</v>
      </c>
      <c r="E46" s="33" t="n">
        <f aca="false">IF(D46="totale",(C46/(A46*24))/F46,IF(D46="marché libre",(C46/(A46*24))/G46,"spécifier histo"))</f>
        <v>0.688766661711511</v>
      </c>
      <c r="F46" s="9" t="n">
        <v>868</v>
      </c>
      <c r="G46" s="9" t="n">
        <f aca="false">F46-H46</f>
        <v>868</v>
      </c>
      <c r="H46" s="9" t="n">
        <v>0</v>
      </c>
      <c r="J46" s="103"/>
      <c r="K46" s="103"/>
    </row>
    <row r="47" customFormat="false" ht="24.7" hidden="false" customHeight="true" outlineLevel="0" collapsed="false">
      <c r="A47" s="0" t="n">
        <v>28</v>
      </c>
      <c r="B47" s="34" t="n">
        <v>33635</v>
      </c>
      <c r="C47" s="26" t="n">
        <v>361600</v>
      </c>
      <c r="D47" s="29" t="s">
        <v>42</v>
      </c>
      <c r="E47" s="33" t="n">
        <f aca="false">IF(D47="totale",(C47/(A47*24))/F47,IF(D47="marché libre",(C47/(A47*24))/G47,"spécifier histo"))</f>
        <v>0.619925389510643</v>
      </c>
      <c r="F47" s="9" t="n">
        <v>868</v>
      </c>
      <c r="G47" s="9" t="n">
        <f aca="false">F47-H47</f>
        <v>868</v>
      </c>
      <c r="H47" s="9" t="n">
        <v>0</v>
      </c>
      <c r="J47" s="103"/>
      <c r="K47" s="103"/>
    </row>
    <row r="48" customFormat="false" ht="24.7" hidden="false" customHeight="true" outlineLevel="0" collapsed="false">
      <c r="A48" s="0" t="n">
        <v>31</v>
      </c>
      <c r="B48" s="31" t="n">
        <v>33664</v>
      </c>
      <c r="C48" s="26" t="n">
        <v>347600</v>
      </c>
      <c r="D48" s="29" t="s">
        <v>42</v>
      </c>
      <c r="E48" s="33" t="n">
        <f aca="false">IF(D48="totale",(C48/(A48*24))/F48,IF(D48="marché libre",(C48/(A48*24))/G48,"spécifier histo"))</f>
        <v>0.538253803082107</v>
      </c>
      <c r="F48" s="9" t="n">
        <v>868</v>
      </c>
      <c r="G48" s="9" t="n">
        <f aca="false">F48-H48</f>
        <v>868</v>
      </c>
      <c r="H48" s="9" t="n">
        <v>0</v>
      </c>
      <c r="J48" s="103"/>
      <c r="K48" s="103"/>
    </row>
    <row r="49" customFormat="false" ht="24.7" hidden="false" customHeight="true" outlineLevel="0" collapsed="false">
      <c r="A49" s="0" t="n">
        <v>30</v>
      </c>
      <c r="B49" s="34" t="n">
        <v>33695</v>
      </c>
      <c r="C49" s="26" t="n">
        <v>370600</v>
      </c>
      <c r="D49" s="29" t="s">
        <v>42</v>
      </c>
      <c r="E49" s="33" t="n">
        <f aca="false">IF(D49="totale",(C49/(A49*24))/F49,IF(D49="marché libre",(C49/(A49*24))/G49,"spécifier histo"))</f>
        <v>0.59299795186892</v>
      </c>
      <c r="F49" s="9" t="n">
        <v>868</v>
      </c>
      <c r="G49" s="9" t="n">
        <f aca="false">F49-H49</f>
        <v>868</v>
      </c>
      <c r="H49" s="9" t="n">
        <v>0</v>
      </c>
      <c r="J49" s="103"/>
      <c r="K49" s="103"/>
    </row>
    <row r="50" customFormat="false" ht="24.7" hidden="false" customHeight="true" outlineLevel="0" collapsed="false">
      <c r="A50" s="0" t="n">
        <v>31</v>
      </c>
      <c r="B50" s="31" t="n">
        <v>33725</v>
      </c>
      <c r="C50" s="26" t="n">
        <v>328800</v>
      </c>
      <c r="D50" s="29" t="s">
        <v>42</v>
      </c>
      <c r="E50" s="33" t="n">
        <f aca="false">IF(D50="totale",(C50/(A50*24))/F50,IF(D50="marché libre",(C50/(A50*24))/G50,"spécifier histo"))</f>
        <v>0.509142262524156</v>
      </c>
      <c r="F50" s="9" t="n">
        <v>868</v>
      </c>
      <c r="G50" s="9" t="n">
        <f aca="false">F50-H50</f>
        <v>868</v>
      </c>
      <c r="H50" s="9" t="n">
        <v>0</v>
      </c>
      <c r="J50" s="103"/>
      <c r="K50" s="103"/>
    </row>
    <row r="51" customFormat="false" ht="24.7" hidden="false" customHeight="true" outlineLevel="0" collapsed="false">
      <c r="A51" s="0" t="n">
        <v>30</v>
      </c>
      <c r="B51" s="34" t="n">
        <v>33756</v>
      </c>
      <c r="C51" s="26" t="n">
        <v>375200</v>
      </c>
      <c r="D51" s="29" t="s">
        <v>42</v>
      </c>
      <c r="E51" s="33" t="n">
        <f aca="false">IF(D51="totale",(C51/(A51*24))/F51,IF(D51="marché libre",(C51/(A51*24))/G51,"spécifier histo"))</f>
        <v>0.600358422939068</v>
      </c>
      <c r="F51" s="9" t="n">
        <v>868</v>
      </c>
      <c r="G51" s="9" t="n">
        <f aca="false">F51-H51</f>
        <v>868</v>
      </c>
      <c r="H51" s="9" t="n">
        <v>0</v>
      </c>
      <c r="J51" s="103"/>
      <c r="K51" s="103"/>
    </row>
    <row r="52" customFormat="false" ht="24.7" hidden="false" customHeight="true" outlineLevel="0" collapsed="false">
      <c r="A52" s="0" t="n">
        <v>31</v>
      </c>
      <c r="B52" s="31" t="n">
        <v>33786</v>
      </c>
      <c r="C52" s="26" t="n">
        <v>375200</v>
      </c>
      <c r="D52" s="29" t="s">
        <v>42</v>
      </c>
      <c r="E52" s="33" t="n">
        <f aca="false">IF(D52="totale",(C52/(A52*24))/F52,IF(D52="marché libre",(C52/(A52*24))/G52,"spécifier histo"))</f>
        <v>0.580992022199098</v>
      </c>
      <c r="F52" s="9" t="n">
        <v>868</v>
      </c>
      <c r="G52" s="9" t="n">
        <f aca="false">F52-H52</f>
        <v>868</v>
      </c>
      <c r="H52" s="9" t="n">
        <v>0</v>
      </c>
      <c r="J52" s="103"/>
      <c r="K52" s="103"/>
    </row>
    <row r="53" customFormat="false" ht="24.7" hidden="false" customHeight="true" outlineLevel="0" collapsed="false">
      <c r="A53" s="0" t="n">
        <v>31</v>
      </c>
      <c r="B53" s="34" t="n">
        <v>33817</v>
      </c>
      <c r="C53" s="26" t="n">
        <v>186400</v>
      </c>
      <c r="D53" s="29" t="s">
        <v>42</v>
      </c>
      <c r="E53" s="33" t="n">
        <f aca="false">IF(D53="totale",(C53/(A53*24))/F53,IF(D53="marché libre",(C53/(A53*24))/G53,"spécifier histo"))</f>
        <v>0.28863782765968</v>
      </c>
      <c r="F53" s="9" t="n">
        <v>868</v>
      </c>
      <c r="G53" s="9" t="n">
        <f aca="false">F53-H53</f>
        <v>868</v>
      </c>
      <c r="H53" s="9" t="n">
        <v>0</v>
      </c>
      <c r="J53" s="103"/>
      <c r="K53" s="103"/>
    </row>
    <row r="54" customFormat="false" ht="24.7" hidden="false" customHeight="true" outlineLevel="0" collapsed="false">
      <c r="A54" s="0" t="n">
        <v>30</v>
      </c>
      <c r="B54" s="31" t="n">
        <v>33848</v>
      </c>
      <c r="C54" s="26" t="n">
        <v>205000</v>
      </c>
      <c r="D54" s="29" t="s">
        <v>42</v>
      </c>
      <c r="E54" s="33" t="n">
        <f aca="false">IF(D54="totale",(C54/(A54*24))/F54,IF(D54="marché libre",(C54/(A54*24))/G54,"spécifier histo"))</f>
        <v>0.328020993343574</v>
      </c>
      <c r="F54" s="9" t="n">
        <v>868</v>
      </c>
      <c r="G54" s="9" t="n">
        <f aca="false">F54-H54</f>
        <v>868</v>
      </c>
      <c r="H54" s="9" t="n">
        <v>0</v>
      </c>
      <c r="J54" s="103"/>
      <c r="K54" s="103"/>
    </row>
    <row r="55" customFormat="false" ht="24.7" hidden="false" customHeight="true" outlineLevel="0" collapsed="false">
      <c r="A55" s="0" t="n">
        <v>31</v>
      </c>
      <c r="B55" s="34" t="n">
        <v>33878</v>
      </c>
      <c r="C55" s="26" t="n">
        <v>301000</v>
      </c>
      <c r="D55" s="29" t="s">
        <v>42</v>
      </c>
      <c r="E55" s="33" t="n">
        <f aca="false">IF(D55="totale",(C55/(A55*24))/F55,IF(D55="marché libre",(C55/(A55*24))/G55,"spécifier histo"))</f>
        <v>0.466094346167187</v>
      </c>
      <c r="F55" s="9" t="n">
        <v>868</v>
      </c>
      <c r="G55" s="9" t="n">
        <f aca="false">F55-H55</f>
        <v>868</v>
      </c>
      <c r="H55" s="9" t="n">
        <v>0</v>
      </c>
      <c r="J55" s="103"/>
      <c r="K55" s="103"/>
    </row>
    <row r="56" customFormat="false" ht="24.7" hidden="false" customHeight="true" outlineLevel="0" collapsed="false">
      <c r="A56" s="0" t="n">
        <v>30</v>
      </c>
      <c r="B56" s="31" t="n">
        <v>33909</v>
      </c>
      <c r="C56" s="26" t="n">
        <v>403400</v>
      </c>
      <c r="D56" s="29" t="s">
        <v>42</v>
      </c>
      <c r="E56" s="33" t="n">
        <f aca="false">IF(D56="totale",(C56/(A56*24))/F56,IF(D56="marché libre",(C56/(A56*24))/G56,"spécifier histo"))</f>
        <v>0.645481310803891</v>
      </c>
      <c r="F56" s="9" t="n">
        <v>868</v>
      </c>
      <c r="G56" s="9" t="n">
        <f aca="false">F56-H56</f>
        <v>868</v>
      </c>
      <c r="H56" s="9" t="n">
        <v>0</v>
      </c>
      <c r="J56" s="103"/>
      <c r="K56" s="103"/>
    </row>
    <row r="57" customFormat="false" ht="24.7" hidden="false" customHeight="true" outlineLevel="0" collapsed="false">
      <c r="A57" s="0" t="n">
        <v>31</v>
      </c>
      <c r="B57" s="34" t="n">
        <v>33939</v>
      </c>
      <c r="C57" s="26" t="n">
        <v>488600</v>
      </c>
      <c r="D57" s="29" t="s">
        <v>42</v>
      </c>
      <c r="E57" s="33" t="n">
        <f aca="false">IF(D57="totale",(C57/(A57*24))/F57,IF(D57="marché libre",(C57/(A57*24))/G57,"spécifier histo"))</f>
        <v>0.756590357266736</v>
      </c>
      <c r="F57" s="9" t="n">
        <v>868</v>
      </c>
      <c r="G57" s="9" t="n">
        <f aca="false">F57-H57</f>
        <v>868</v>
      </c>
      <c r="H57" s="9" t="n">
        <v>0</v>
      </c>
      <c r="J57" s="103"/>
      <c r="K57" s="103"/>
    </row>
    <row r="58" customFormat="false" ht="24.7" hidden="false" customHeight="true" outlineLevel="0" collapsed="false">
      <c r="A58" s="0" t="n">
        <v>31</v>
      </c>
      <c r="B58" s="31" t="n">
        <v>33970</v>
      </c>
      <c r="C58" s="26" t="n">
        <v>443800</v>
      </c>
      <c r="D58" s="29" t="s">
        <v>42</v>
      </c>
      <c r="E58" s="33" t="n">
        <f aca="false">IF(D58="totale",(C58/(A58*24))/F58,IF(D58="marché libre",(C58/(A58*24))/G58,"spécifier histo"))</f>
        <v>0.68721817551162</v>
      </c>
      <c r="F58" s="9" t="n">
        <v>868</v>
      </c>
      <c r="G58" s="9" t="n">
        <f aca="false">F58-H58</f>
        <v>868</v>
      </c>
      <c r="H58" s="9" t="n">
        <v>0</v>
      </c>
      <c r="J58" s="103"/>
      <c r="K58" s="103"/>
    </row>
    <row r="59" customFormat="false" ht="24.7" hidden="false" customHeight="true" outlineLevel="0" collapsed="false">
      <c r="A59" s="0" t="n">
        <v>28</v>
      </c>
      <c r="B59" s="34" t="n">
        <v>34001</v>
      </c>
      <c r="C59" s="26" t="n">
        <v>332200</v>
      </c>
      <c r="D59" s="29" t="s">
        <v>42</v>
      </c>
      <c r="E59" s="33" t="n">
        <f aca="false">IF(D59="totale",(C59/(A59*24))/F59,IF(D59="marché libre",(C59/(A59*24))/G59,"spécifier histo"))</f>
        <v>0.569522163704191</v>
      </c>
      <c r="F59" s="9" t="n">
        <v>868</v>
      </c>
      <c r="G59" s="9" t="n">
        <f aca="false">F59-H59</f>
        <v>868</v>
      </c>
      <c r="H59" s="9" t="n">
        <v>0</v>
      </c>
      <c r="J59" s="103"/>
      <c r="K59" s="103"/>
    </row>
    <row r="60" customFormat="false" ht="24.7" hidden="false" customHeight="true" outlineLevel="0" collapsed="false">
      <c r="A60" s="0" t="n">
        <v>31</v>
      </c>
      <c r="B60" s="31" t="n">
        <v>34029</v>
      </c>
      <c r="C60" s="26" t="n">
        <v>234000</v>
      </c>
      <c r="D60" s="29" t="s">
        <v>42</v>
      </c>
      <c r="E60" s="33" t="n">
        <f aca="false">IF(D60="totale",(C60/(A60*24))/F60,IF(D60="marché libre",(C60/(A60*24))/G60,"spécifier histo"))</f>
        <v>0.362345770774491</v>
      </c>
      <c r="F60" s="9" t="n">
        <v>868</v>
      </c>
      <c r="G60" s="9" t="n">
        <f aca="false">F60-H60</f>
        <v>868</v>
      </c>
      <c r="H60" s="9" t="n">
        <v>0</v>
      </c>
      <c r="J60" s="103"/>
      <c r="K60" s="103"/>
    </row>
    <row r="61" customFormat="false" ht="24.7" hidden="false" customHeight="true" outlineLevel="0" collapsed="false">
      <c r="A61" s="0" t="n">
        <v>30</v>
      </c>
      <c r="B61" s="34" t="n">
        <v>34060</v>
      </c>
      <c r="C61" s="26" t="n">
        <v>260800</v>
      </c>
      <c r="D61" s="29" t="s">
        <v>42</v>
      </c>
      <c r="E61" s="33" t="n">
        <f aca="false">IF(D61="totale",(C61/(A61*24))/F61,IF(D61="marché libre",(C61/(A61*24))/G61,"spécifier histo"))</f>
        <v>0.417306707629288</v>
      </c>
      <c r="F61" s="9" t="n">
        <v>868</v>
      </c>
      <c r="G61" s="9" t="n">
        <f aca="false">F61-H61</f>
        <v>868</v>
      </c>
      <c r="H61" s="9" t="n">
        <v>0</v>
      </c>
      <c r="J61" s="103"/>
      <c r="K61" s="103"/>
    </row>
    <row r="62" customFormat="false" ht="24.7" hidden="false" customHeight="true" outlineLevel="0" collapsed="false">
      <c r="A62" s="0" t="n">
        <v>31</v>
      </c>
      <c r="B62" s="31" t="n">
        <v>34090</v>
      </c>
      <c r="C62" s="26" t="n">
        <v>360600</v>
      </c>
      <c r="D62" s="29" t="s">
        <v>42</v>
      </c>
      <c r="E62" s="33" t="n">
        <f aca="false">IF(D62="totale",(C62/(A62*24))/F62,IF(D62="marché libre",(C62/(A62*24))/G62,"spécifier histo"))</f>
        <v>0.55838412368069</v>
      </c>
      <c r="F62" s="9" t="n">
        <v>868</v>
      </c>
      <c r="G62" s="9" t="n">
        <f aca="false">F62-H62</f>
        <v>868</v>
      </c>
      <c r="H62" s="9" t="n">
        <v>0</v>
      </c>
      <c r="J62" s="103"/>
      <c r="K62" s="103"/>
    </row>
    <row r="63" customFormat="false" ht="24.7" hidden="false" customHeight="true" outlineLevel="0" collapsed="false">
      <c r="A63" s="0" t="n">
        <v>30</v>
      </c>
      <c r="B63" s="34" t="n">
        <v>34121</v>
      </c>
      <c r="C63" s="26" t="n">
        <v>356800</v>
      </c>
      <c r="D63" s="29" t="s">
        <v>42</v>
      </c>
      <c r="E63" s="33" t="n">
        <f aca="false">IF(D63="totale",(C63/(A63*24))/F63,IF(D63="marché libre",(C63/(A63*24))/G63,"spécifier histo"))</f>
        <v>0.570916538658474</v>
      </c>
      <c r="F63" s="9" t="n">
        <v>868</v>
      </c>
      <c r="G63" s="9" t="n">
        <f aca="false">F63-H63</f>
        <v>868</v>
      </c>
      <c r="H63" s="9" t="n">
        <v>0</v>
      </c>
      <c r="J63" s="103"/>
      <c r="K63" s="103"/>
    </row>
    <row r="64" customFormat="false" ht="24.7" hidden="false" customHeight="true" outlineLevel="0" collapsed="false">
      <c r="A64" s="0" t="n">
        <v>31</v>
      </c>
      <c r="B64" s="31" t="n">
        <v>34151</v>
      </c>
      <c r="C64" s="26" t="n">
        <v>275400</v>
      </c>
      <c r="D64" s="29" t="s">
        <v>42</v>
      </c>
      <c r="E64" s="33" t="n">
        <f aca="false">IF(D64="totale",(C64/(A64*24))/F64,IF(D64="marché libre",(C64/(A64*24))/G64,"spécifier histo"))</f>
        <v>0.426453099449978</v>
      </c>
      <c r="F64" s="9" t="n">
        <v>868</v>
      </c>
      <c r="G64" s="9" t="n">
        <f aca="false">F64-H64</f>
        <v>868</v>
      </c>
      <c r="H64" s="9" t="n">
        <v>0</v>
      </c>
      <c r="J64" s="103"/>
      <c r="K64" s="103"/>
    </row>
    <row r="65" customFormat="false" ht="24.7" hidden="false" customHeight="true" outlineLevel="0" collapsed="false">
      <c r="A65" s="0" t="n">
        <v>31</v>
      </c>
      <c r="B65" s="34" t="n">
        <v>34182</v>
      </c>
      <c r="C65" s="26" t="n">
        <v>0</v>
      </c>
      <c r="D65" s="29" t="s">
        <v>42</v>
      </c>
      <c r="E65" s="33" t="n">
        <f aca="false">IF(D65="totale",(C65/(A65*24))/F65,IF(D65="marché libre",(C65/(A65*24))/G65,"spécifier histo"))</f>
        <v>0</v>
      </c>
      <c r="F65" s="9" t="n">
        <v>868</v>
      </c>
      <c r="G65" s="9" t="n">
        <f aca="false">F65-H65</f>
        <v>868</v>
      </c>
      <c r="H65" s="9" t="n">
        <v>0</v>
      </c>
      <c r="J65" s="316" t="s">
        <v>432</v>
      </c>
      <c r="K65" s="103"/>
    </row>
    <row r="66" customFormat="false" ht="24.7" hidden="false" customHeight="true" outlineLevel="0" collapsed="false">
      <c r="A66" s="0" t="n">
        <v>30</v>
      </c>
      <c r="B66" s="31" t="n">
        <v>34213</v>
      </c>
      <c r="C66" s="26" t="n">
        <v>0</v>
      </c>
      <c r="D66" s="29" t="s">
        <v>42</v>
      </c>
      <c r="E66" s="33" t="n">
        <f aca="false">IF(D66="totale",(C66/(A66*24))/F66,IF(D66="marché libre",(C66/(A66*24))/G66,"spécifier histo"))</f>
        <v>0</v>
      </c>
      <c r="F66" s="9" t="n">
        <v>868</v>
      </c>
      <c r="G66" s="9" t="n">
        <f aca="false">F66-H66</f>
        <v>868</v>
      </c>
      <c r="H66" s="9" t="n">
        <v>0</v>
      </c>
      <c r="J66" s="316" t="s">
        <v>432</v>
      </c>
      <c r="K66" s="103"/>
    </row>
    <row r="67" customFormat="false" ht="24.7" hidden="false" customHeight="true" outlineLevel="0" collapsed="false">
      <c r="A67" s="0" t="n">
        <v>31</v>
      </c>
      <c r="B67" s="34" t="n">
        <v>34243</v>
      </c>
      <c r="C67" s="26" t="n">
        <v>0</v>
      </c>
      <c r="D67" s="29" t="s">
        <v>42</v>
      </c>
      <c r="E67" s="33" t="n">
        <f aca="false">IF(D67="totale",(C67/(A67*24))/F67,IF(D67="marché libre",(C67/(A67*24))/G67,"spécifier histo"))</f>
        <v>0</v>
      </c>
      <c r="F67" s="9" t="n">
        <v>868</v>
      </c>
      <c r="G67" s="9" t="n">
        <f aca="false">F67-H67</f>
        <v>868</v>
      </c>
      <c r="H67" s="9" t="n">
        <v>0</v>
      </c>
      <c r="J67" s="316" t="s">
        <v>432</v>
      </c>
      <c r="K67" s="103"/>
    </row>
    <row r="68" customFormat="false" ht="24.7" hidden="false" customHeight="true" outlineLevel="0" collapsed="false">
      <c r="A68" s="0" t="n">
        <v>30</v>
      </c>
      <c r="B68" s="31" t="n">
        <v>34274</v>
      </c>
      <c r="C68" s="26" t="n">
        <v>0</v>
      </c>
      <c r="D68" s="29" t="s">
        <v>42</v>
      </c>
      <c r="E68" s="33" t="n">
        <f aca="false">IF(D68="totale",(C68/(A68*24))/F68,IF(D68="marché libre",(C68/(A68*24))/G68,"spécifier histo"))</f>
        <v>0</v>
      </c>
      <c r="F68" s="9" t="n">
        <v>868</v>
      </c>
      <c r="G68" s="9" t="n">
        <f aca="false">F68-H68</f>
        <v>868</v>
      </c>
      <c r="H68" s="9" t="n">
        <v>0</v>
      </c>
      <c r="J68" s="103"/>
      <c r="K68" s="103"/>
    </row>
    <row r="69" customFormat="false" ht="24.7" hidden="false" customHeight="true" outlineLevel="0" collapsed="false">
      <c r="A69" s="0" t="n">
        <v>31</v>
      </c>
      <c r="B69" s="34" t="n">
        <v>34304</v>
      </c>
      <c r="C69" s="26" t="n">
        <v>492000</v>
      </c>
      <c r="D69" s="29" t="s">
        <v>42</v>
      </c>
      <c r="E69" s="33" t="n">
        <f aca="false">IF(D69="totale",(C69/(A69*24))/F69,IF(D69="marché libre",(C69/(A69*24))/G69,"spécifier histo"))</f>
        <v>0.761855210346365</v>
      </c>
      <c r="F69" s="9" t="n">
        <v>868</v>
      </c>
      <c r="G69" s="9" t="n">
        <f aca="false">F69-H69</f>
        <v>868</v>
      </c>
      <c r="H69" s="9" t="n">
        <v>0</v>
      </c>
      <c r="J69" s="103"/>
      <c r="K69" s="103"/>
    </row>
    <row r="70" customFormat="false" ht="24.7" hidden="false" customHeight="true" outlineLevel="0" collapsed="false">
      <c r="A70" s="0" t="n">
        <v>31</v>
      </c>
      <c r="B70" s="31" t="n">
        <v>34335</v>
      </c>
      <c r="C70" s="26" t="n">
        <v>486200</v>
      </c>
      <c r="D70" s="29" t="s">
        <v>42</v>
      </c>
      <c r="E70" s="33" t="n">
        <f aca="false">IF(D70="totale",(C70/(A70*24))/F70,IF(D70="marché libre",(C70/(A70*24))/G70,"spécifier histo"))</f>
        <v>0.752873990386998</v>
      </c>
      <c r="F70" s="9" t="n">
        <v>868</v>
      </c>
      <c r="G70" s="9" t="n">
        <f aca="false">F70-H70</f>
        <v>868</v>
      </c>
      <c r="H70" s="9" t="n">
        <v>0</v>
      </c>
      <c r="J70" s="103"/>
      <c r="K70" s="103"/>
    </row>
    <row r="71" customFormat="false" ht="24.7" hidden="false" customHeight="true" outlineLevel="0" collapsed="false">
      <c r="A71" s="0" t="n">
        <v>28</v>
      </c>
      <c r="B71" s="34" t="n">
        <v>34366</v>
      </c>
      <c r="C71" s="26" t="n">
        <v>527600</v>
      </c>
      <c r="D71" s="29" t="s">
        <v>42</v>
      </c>
      <c r="E71" s="33" t="n">
        <f aca="false">IF(D71="totale",(C71/(A71*24))/F71,IF(D71="marché libre",(C71/(A71*24))/G71,"spécifier histo"))</f>
        <v>0.904515031819179</v>
      </c>
      <c r="F71" s="9" t="n">
        <v>868</v>
      </c>
      <c r="G71" s="9" t="n">
        <f aca="false">F71-H71</f>
        <v>868</v>
      </c>
      <c r="H71" s="9" t="n">
        <v>0</v>
      </c>
      <c r="J71" s="103"/>
      <c r="K71" s="103"/>
    </row>
    <row r="72" customFormat="false" ht="24.7" hidden="false" customHeight="true" outlineLevel="0" collapsed="false">
      <c r="A72" s="0" t="n">
        <v>31</v>
      </c>
      <c r="B72" s="31" t="n">
        <v>34394</v>
      </c>
      <c r="C72" s="26" t="n">
        <v>525800</v>
      </c>
      <c r="D72" s="29" t="s">
        <v>42</v>
      </c>
      <c r="E72" s="33" t="n">
        <f aca="false">IF(D72="totale",(C72/(A72*24))/F72,IF(D72="marché libre",(C72/(A72*24))/G72,"spécifier histo"))</f>
        <v>0.814194043902681</v>
      </c>
      <c r="F72" s="9" t="n">
        <v>868</v>
      </c>
      <c r="G72" s="9" t="n">
        <f aca="false">F72-H72</f>
        <v>868</v>
      </c>
      <c r="H72" s="9" t="n">
        <v>0</v>
      </c>
      <c r="J72" s="103"/>
      <c r="K72" s="103"/>
    </row>
    <row r="73" customFormat="false" ht="24.7" hidden="false" customHeight="true" outlineLevel="0" collapsed="false">
      <c r="A73" s="0" t="n">
        <v>30</v>
      </c>
      <c r="B73" s="34" t="n">
        <v>34425</v>
      </c>
      <c r="C73" s="26" t="n">
        <v>430200</v>
      </c>
      <c r="D73" s="29" t="s">
        <v>42</v>
      </c>
      <c r="E73" s="33" t="n">
        <f aca="false">IF(D73="totale",(C73/(A73*24))/F73,IF(D73="marché libre",(C73/(A73*24))/G73,"spécifier histo"))</f>
        <v>0.688364055299539</v>
      </c>
      <c r="F73" s="9" t="n">
        <v>868</v>
      </c>
      <c r="G73" s="9" t="n">
        <f aca="false">F73-H73</f>
        <v>868</v>
      </c>
      <c r="H73" s="9" t="n">
        <v>0</v>
      </c>
      <c r="J73" s="103"/>
      <c r="K73" s="103"/>
    </row>
    <row r="74" customFormat="false" ht="24.7" hidden="false" customHeight="true" outlineLevel="0" collapsed="false">
      <c r="A74" s="0" t="n">
        <v>31</v>
      </c>
      <c r="B74" s="31" t="n">
        <v>34455</v>
      </c>
      <c r="C74" s="26" t="n">
        <v>439600</v>
      </c>
      <c r="D74" s="29" t="s">
        <v>42</v>
      </c>
      <c r="E74" s="33" t="n">
        <f aca="false">IF(D74="totale",(C74/(A74*24))/F74,IF(D74="marché libre",(C74/(A74*24))/G74,"spécifier histo"))</f>
        <v>0.680714533472078</v>
      </c>
      <c r="F74" s="9" t="n">
        <v>868</v>
      </c>
      <c r="G74" s="9" t="n">
        <f aca="false">F74-H74</f>
        <v>868</v>
      </c>
      <c r="H74" s="9" t="n">
        <v>0</v>
      </c>
      <c r="J74" s="103"/>
      <c r="K74" s="103"/>
    </row>
    <row r="75" customFormat="false" ht="24.7" hidden="false" customHeight="true" outlineLevel="0" collapsed="false">
      <c r="A75" s="0" t="n">
        <v>30</v>
      </c>
      <c r="B75" s="34" t="n">
        <v>34486</v>
      </c>
      <c r="C75" s="26" t="n">
        <v>358000</v>
      </c>
      <c r="D75" s="29" t="s">
        <v>42</v>
      </c>
      <c r="E75" s="33" t="n">
        <f aca="false">IF(D75="totale",(C75/(A75*24))/F75,IF(D75="marché libre",(C75/(A75*24))/G75,"spécifier histo"))</f>
        <v>0.572836661546339</v>
      </c>
      <c r="F75" s="9" t="n">
        <v>868</v>
      </c>
      <c r="G75" s="9" t="n">
        <f aca="false">F75-H75</f>
        <v>868</v>
      </c>
      <c r="H75" s="9" t="n">
        <v>0</v>
      </c>
      <c r="J75" s="103"/>
      <c r="K75" s="103"/>
    </row>
    <row r="76" customFormat="false" ht="24.7" hidden="false" customHeight="true" outlineLevel="0" collapsed="false">
      <c r="A76" s="0" t="n">
        <v>31</v>
      </c>
      <c r="B76" s="31" t="n">
        <v>34516</v>
      </c>
      <c r="C76" s="26" t="n">
        <v>402600</v>
      </c>
      <c r="D76" s="29" t="s">
        <v>42</v>
      </c>
      <c r="E76" s="33" t="n">
        <f aca="false">IF(D76="totale",(C76/(A76*24))/F76,IF(D76="marché libre",(C76/(A76*24))/G76,"spécifier histo"))</f>
        <v>0.623420544076111</v>
      </c>
      <c r="F76" s="9" t="n">
        <v>868</v>
      </c>
      <c r="G76" s="9" t="n">
        <f aca="false">F76-H76</f>
        <v>868</v>
      </c>
      <c r="H76" s="9" t="n">
        <v>0</v>
      </c>
      <c r="J76" s="103"/>
      <c r="K76" s="103"/>
    </row>
    <row r="77" customFormat="false" ht="24.7" hidden="false" customHeight="true" outlineLevel="0" collapsed="false">
      <c r="A77" s="0" t="n">
        <v>31</v>
      </c>
      <c r="B77" s="34" t="n">
        <v>34547</v>
      </c>
      <c r="C77" s="26" t="n">
        <v>274200</v>
      </c>
      <c r="D77" s="29" t="s">
        <v>42</v>
      </c>
      <c r="E77" s="33" t="n">
        <f aca="false">IF(D77="totale",(C77/(A77*24))/F77,IF(D77="marché libre",(C77/(A77*24))/G77,"spécifier histo"))</f>
        <v>0.424594916010109</v>
      </c>
      <c r="F77" s="9" t="n">
        <v>868</v>
      </c>
      <c r="G77" s="9" t="n">
        <f aca="false">F77-H77</f>
        <v>868</v>
      </c>
      <c r="H77" s="9" t="n">
        <v>0</v>
      </c>
      <c r="J77" s="103"/>
      <c r="K77" s="103"/>
    </row>
    <row r="78" customFormat="false" ht="24.7" hidden="false" customHeight="true" outlineLevel="0" collapsed="false">
      <c r="A78" s="0" t="n">
        <v>30</v>
      </c>
      <c r="B78" s="31" t="n">
        <v>34578</v>
      </c>
      <c r="C78" s="26" t="n">
        <v>351600</v>
      </c>
      <c r="D78" s="29" t="s">
        <v>42</v>
      </c>
      <c r="E78" s="33" t="n">
        <f aca="false">IF(D78="totale",(C78/(A78*24))/F78,IF(D78="marché libre",(C78/(A78*24))/G78,"spécifier histo"))</f>
        <v>0.562596006144393</v>
      </c>
      <c r="F78" s="9" t="n">
        <v>868</v>
      </c>
      <c r="G78" s="9" t="n">
        <f aca="false">F78-H78</f>
        <v>868</v>
      </c>
      <c r="H78" s="9" t="n">
        <v>0</v>
      </c>
      <c r="J78" s="103"/>
      <c r="K78" s="103"/>
    </row>
    <row r="79" customFormat="false" ht="24.7" hidden="false" customHeight="true" outlineLevel="0" collapsed="false">
      <c r="A79" s="0" t="n">
        <v>31</v>
      </c>
      <c r="B79" s="34" t="n">
        <v>34608</v>
      </c>
      <c r="C79" s="26" t="n">
        <v>325800</v>
      </c>
      <c r="D79" s="29" t="s">
        <v>42</v>
      </c>
      <c r="E79" s="33" t="n">
        <f aca="false">IF(D79="totale",(C79/(A79*24))/F79,IF(D79="marché libre",(C79/(A79*24))/G79,"spécifier histo"))</f>
        <v>0.504496803924483</v>
      </c>
      <c r="F79" s="9" t="n">
        <v>868</v>
      </c>
      <c r="G79" s="9" t="n">
        <f aca="false">F79-H79</f>
        <v>868</v>
      </c>
      <c r="H79" s="9" t="n">
        <v>0</v>
      </c>
      <c r="J79" s="103"/>
      <c r="K79" s="103"/>
    </row>
    <row r="80" customFormat="false" ht="24.7" hidden="false" customHeight="true" outlineLevel="0" collapsed="false">
      <c r="A80" s="0" t="n">
        <v>30</v>
      </c>
      <c r="B80" s="31" t="n">
        <v>34639</v>
      </c>
      <c r="C80" s="26" t="n">
        <v>441400</v>
      </c>
      <c r="D80" s="29" t="s">
        <v>42</v>
      </c>
      <c r="E80" s="33" t="n">
        <f aca="false">IF(D80="totale",(C80/(A80*24))/F80,IF(D80="marché libre",(C80/(A80*24))/G80,"spécifier histo"))</f>
        <v>0.706285202252944</v>
      </c>
      <c r="F80" s="9" t="n">
        <v>868</v>
      </c>
      <c r="G80" s="9" t="n">
        <f aca="false">F80-H80</f>
        <v>868</v>
      </c>
      <c r="H80" s="9" t="n">
        <v>0</v>
      </c>
      <c r="J80" s="103"/>
      <c r="K80" s="103"/>
    </row>
    <row r="81" customFormat="false" ht="24.7" hidden="false" customHeight="true" outlineLevel="0" collapsed="false">
      <c r="A81" s="0" t="n">
        <v>31</v>
      </c>
      <c r="B81" s="34" t="n">
        <v>34669</v>
      </c>
      <c r="C81" s="26" t="n">
        <v>424800</v>
      </c>
      <c r="D81" s="29" t="s">
        <v>42</v>
      </c>
      <c r="E81" s="33" t="n">
        <f aca="false">IF(D81="totale",(C81/(A81*24))/F81,IF(D81="marché libre",(C81/(A81*24))/G81,"spécifier histo"))</f>
        <v>0.657796937713691</v>
      </c>
      <c r="F81" s="9" t="n">
        <v>868</v>
      </c>
      <c r="G81" s="9" t="n">
        <f aca="false">F81-H81</f>
        <v>868</v>
      </c>
      <c r="H81" s="9" t="n">
        <v>0</v>
      </c>
      <c r="J81" s="103"/>
      <c r="K81" s="103"/>
    </row>
    <row r="82" customFormat="false" ht="24.7" hidden="false" customHeight="true" outlineLevel="0" collapsed="false">
      <c r="A82" s="0" t="n">
        <v>31</v>
      </c>
      <c r="B82" s="31" t="n">
        <v>34700</v>
      </c>
      <c r="C82" s="26" t="n">
        <v>406000</v>
      </c>
      <c r="D82" s="29" t="s">
        <v>42</v>
      </c>
      <c r="E82" s="33" t="n">
        <f aca="false">IF(D82="totale",(C82/(A82*24))/F82,IF(D82="marché libre",(C82/(A82*24))/G82,"spécifier histo"))</f>
        <v>0.628685397155741</v>
      </c>
      <c r="F82" s="9" t="n">
        <v>868</v>
      </c>
      <c r="G82" s="9" t="n">
        <f aca="false">F82-H82</f>
        <v>868</v>
      </c>
      <c r="H82" s="9" t="n">
        <v>0</v>
      </c>
      <c r="J82" s="103"/>
      <c r="K82" s="103"/>
    </row>
    <row r="83" customFormat="false" ht="24.7" hidden="false" customHeight="true" outlineLevel="0" collapsed="false">
      <c r="A83" s="0" t="n">
        <v>28</v>
      </c>
      <c r="B83" s="34" t="n">
        <v>34731</v>
      </c>
      <c r="C83" s="26" t="n">
        <v>454000</v>
      </c>
      <c r="D83" s="29" t="s">
        <v>42</v>
      </c>
      <c r="E83" s="33" t="n">
        <f aca="false">IF(D83="totale",(C83/(A83*24))/F83,IF(D83="marché libre",(C83/(A83*24))/G83,"spécifier histo"))</f>
        <v>0.778335527759491</v>
      </c>
      <c r="F83" s="9" t="n">
        <v>868</v>
      </c>
      <c r="G83" s="9" t="n">
        <f aca="false">F83-H83</f>
        <v>868</v>
      </c>
      <c r="H83" s="9" t="n">
        <v>0</v>
      </c>
      <c r="J83" s="103"/>
      <c r="K83" s="103"/>
    </row>
    <row r="84" customFormat="false" ht="24.7" hidden="false" customHeight="true" outlineLevel="0" collapsed="false">
      <c r="A84" s="0" t="n">
        <v>31</v>
      </c>
      <c r="B84" s="31" t="n">
        <v>34759</v>
      </c>
      <c r="C84" s="26" t="n">
        <v>506200</v>
      </c>
      <c r="D84" s="29" t="s">
        <v>42</v>
      </c>
      <c r="E84" s="33" t="n">
        <f aca="false">IF(D84="totale",(C84/(A84*24))/F84,IF(D84="marché libre",(C84/(A84*24))/G84,"spécifier histo"))</f>
        <v>0.783843714384817</v>
      </c>
      <c r="F84" s="9" t="n">
        <v>868</v>
      </c>
      <c r="G84" s="9" t="n">
        <f aca="false">F84-H84</f>
        <v>868</v>
      </c>
      <c r="H84" s="9" t="n">
        <v>0</v>
      </c>
      <c r="J84" s="103"/>
      <c r="K84" s="103"/>
    </row>
    <row r="85" customFormat="false" ht="24.7" hidden="false" customHeight="true" outlineLevel="0" collapsed="false">
      <c r="A85" s="0" t="n">
        <v>30</v>
      </c>
      <c r="B85" s="34" t="n">
        <v>34790</v>
      </c>
      <c r="C85" s="26" t="n">
        <v>453400</v>
      </c>
      <c r="D85" s="29" t="s">
        <v>42</v>
      </c>
      <c r="E85" s="33" t="n">
        <f aca="false">IF(D85="totale",(C85/(A85*24))/F85,IF(D85="marché libre",(C85/(A85*24))/G85,"spécifier histo"))</f>
        <v>0.725486431131592</v>
      </c>
      <c r="F85" s="9" t="n">
        <v>868</v>
      </c>
      <c r="G85" s="9" t="n">
        <f aca="false">F85-H85</f>
        <v>868</v>
      </c>
      <c r="H85" s="9" t="n">
        <v>0</v>
      </c>
      <c r="J85" s="103"/>
      <c r="K85" s="103"/>
    </row>
    <row r="86" customFormat="false" ht="24.7" hidden="false" customHeight="true" outlineLevel="0" collapsed="false">
      <c r="A86" s="0" t="n">
        <v>31</v>
      </c>
      <c r="B86" s="31" t="n">
        <v>34820</v>
      </c>
      <c r="C86" s="26" t="n">
        <v>506600</v>
      </c>
      <c r="D86" s="29" t="s">
        <v>42</v>
      </c>
      <c r="E86" s="33" t="n">
        <f aca="false">IF(D86="totale",(C86/(A86*24))/F86,IF(D86="marché libre",(C86/(A86*24))/G86,"spécifier histo"))</f>
        <v>0.784463108864774</v>
      </c>
      <c r="F86" s="9" t="n">
        <v>868</v>
      </c>
      <c r="G86" s="9" t="n">
        <f aca="false">F86-H86</f>
        <v>868</v>
      </c>
      <c r="H86" s="9" t="n">
        <v>0</v>
      </c>
      <c r="J86" s="103"/>
      <c r="K86" s="103"/>
    </row>
    <row r="87" customFormat="false" ht="24.7" hidden="false" customHeight="true" outlineLevel="0" collapsed="false">
      <c r="A87" s="0" t="n">
        <v>30</v>
      </c>
      <c r="B87" s="34" t="n">
        <v>34851</v>
      </c>
      <c r="C87" s="26" t="n">
        <v>229200</v>
      </c>
      <c r="D87" s="29" t="s">
        <v>42</v>
      </c>
      <c r="E87" s="33" t="n">
        <f aca="false">IF(D87="totale",(C87/(A87*24))/F87,IF(D87="marché libre",(C87/(A87*24))/G87,"spécifier histo"))</f>
        <v>0.366743471582181</v>
      </c>
      <c r="F87" s="9" t="n">
        <v>868</v>
      </c>
      <c r="G87" s="9" t="n">
        <f aca="false">F87-H87</f>
        <v>868</v>
      </c>
      <c r="H87" s="9" t="n">
        <v>0</v>
      </c>
      <c r="J87" s="103"/>
      <c r="K87" s="103"/>
    </row>
    <row r="88" customFormat="false" ht="24.7" hidden="false" customHeight="true" outlineLevel="0" collapsed="false">
      <c r="A88" s="0" t="n">
        <v>31</v>
      </c>
      <c r="B88" s="31" t="n">
        <v>34881</v>
      </c>
      <c r="C88" s="26" t="n">
        <v>0</v>
      </c>
      <c r="D88" s="29" t="s">
        <v>42</v>
      </c>
      <c r="E88" s="33" t="n">
        <f aca="false">IF(D88="totale",(C88/(A88*24))/F88,IF(D88="marché libre",(C88/(A88*24))/G88,"spécifier histo"))</f>
        <v>0</v>
      </c>
      <c r="F88" s="9" t="n">
        <v>868</v>
      </c>
      <c r="G88" s="9" t="n">
        <f aca="false">F88-H88</f>
        <v>868</v>
      </c>
      <c r="H88" s="9" t="n">
        <v>0</v>
      </c>
      <c r="J88" s="316" t="s">
        <v>432</v>
      </c>
      <c r="K88" s="103"/>
    </row>
    <row r="89" customFormat="false" ht="24.7" hidden="false" customHeight="true" outlineLevel="0" collapsed="false">
      <c r="A89" s="0" t="n">
        <v>31</v>
      </c>
      <c r="B89" s="34" t="n">
        <v>34912</v>
      </c>
      <c r="C89" s="26" t="n">
        <v>0</v>
      </c>
      <c r="D89" s="29" t="s">
        <v>42</v>
      </c>
      <c r="E89" s="33" t="n">
        <f aca="false">IF(D89="totale",(C89/(A89*24))/F89,IF(D89="marché libre",(C89/(A89*24))/G89,"spécifier histo"))</f>
        <v>0</v>
      </c>
      <c r="F89" s="9" t="n">
        <v>868</v>
      </c>
      <c r="G89" s="9" t="n">
        <f aca="false">F89-H89</f>
        <v>868</v>
      </c>
      <c r="H89" s="9" t="n">
        <v>0</v>
      </c>
      <c r="J89" s="316" t="s">
        <v>432</v>
      </c>
      <c r="K89" s="103"/>
    </row>
    <row r="90" customFormat="false" ht="24.7" hidden="false" customHeight="true" outlineLevel="0" collapsed="false">
      <c r="A90" s="0" t="n">
        <v>30</v>
      </c>
      <c r="B90" s="31" t="n">
        <v>34943</v>
      </c>
      <c r="C90" s="26" t="n">
        <v>0</v>
      </c>
      <c r="D90" s="29" t="s">
        <v>42</v>
      </c>
      <c r="E90" s="33" t="n">
        <f aca="false">IF(D90="totale",(C90/(A90*24))/F90,IF(D90="marché libre",(C90/(A90*24))/G90,"spécifier histo"))</f>
        <v>0</v>
      </c>
      <c r="F90" s="9" t="n">
        <v>868</v>
      </c>
      <c r="G90" s="9" t="n">
        <f aca="false">F90-H90</f>
        <v>868</v>
      </c>
      <c r="H90" s="9" t="n">
        <v>0</v>
      </c>
      <c r="J90" s="316" t="s">
        <v>432</v>
      </c>
      <c r="K90" s="103"/>
    </row>
    <row r="91" customFormat="false" ht="24.7" hidden="false" customHeight="true" outlineLevel="0" collapsed="false">
      <c r="A91" s="0" t="n">
        <v>31</v>
      </c>
      <c r="B91" s="34" t="n">
        <v>34973</v>
      </c>
      <c r="C91" s="26" t="n">
        <v>213200</v>
      </c>
      <c r="D91" s="29" t="s">
        <v>42</v>
      </c>
      <c r="E91" s="33" t="n">
        <f aca="false">IF(D91="totale",(C91/(A91*24))/F91,IF(D91="marché libre",(C91/(A91*24))/G91,"spécifier histo"))</f>
        <v>0.330137257816758</v>
      </c>
      <c r="F91" s="9" t="n">
        <v>868</v>
      </c>
      <c r="G91" s="9" t="n">
        <f aca="false">F91-H91</f>
        <v>868</v>
      </c>
      <c r="H91" s="9" t="n">
        <v>0</v>
      </c>
      <c r="J91" s="103"/>
      <c r="K91" s="103"/>
    </row>
    <row r="92" customFormat="false" ht="24.7" hidden="false" customHeight="true" outlineLevel="0" collapsed="false">
      <c r="A92" s="0" t="n">
        <v>30</v>
      </c>
      <c r="B92" s="31" t="n">
        <v>35004</v>
      </c>
      <c r="C92" s="26" t="n">
        <v>594400</v>
      </c>
      <c r="D92" s="29" t="s">
        <v>42</v>
      </c>
      <c r="E92" s="33" t="n">
        <f aca="false">IF(D92="totale",(C92/(A92*24))/F92,IF(D92="marché libre",(C92/(A92*24))/G92,"spécifier histo"))</f>
        <v>0.951100870455709</v>
      </c>
      <c r="F92" s="9" t="n">
        <v>868</v>
      </c>
      <c r="G92" s="9" t="n">
        <f aca="false">F92-H92</f>
        <v>868</v>
      </c>
      <c r="H92" s="9" t="n">
        <v>0</v>
      </c>
      <c r="J92" s="103"/>
      <c r="K92" s="103"/>
    </row>
    <row r="93" customFormat="false" ht="24.7" hidden="false" customHeight="true" outlineLevel="0" collapsed="false">
      <c r="A93" s="0" t="n">
        <v>31</v>
      </c>
      <c r="B93" s="34" t="n">
        <v>35034</v>
      </c>
      <c r="C93" s="26" t="n">
        <v>526400</v>
      </c>
      <c r="D93" s="29" t="s">
        <v>42</v>
      </c>
      <c r="E93" s="33" t="n">
        <f aca="false">IF(D93="totale",(C93/(A93*24))/F93,IF(D93="marché libre",(C93/(A93*24))/G93,"spécifier histo"))</f>
        <v>0.815123135622615</v>
      </c>
      <c r="F93" s="9" t="n">
        <v>868</v>
      </c>
      <c r="G93" s="9" t="n">
        <f aca="false">F93-H93</f>
        <v>868</v>
      </c>
      <c r="H93" s="9" t="n">
        <v>0</v>
      </c>
      <c r="J93" s="103"/>
      <c r="K93" s="103"/>
    </row>
    <row r="94" customFormat="false" ht="24.7" hidden="false" customHeight="true" outlineLevel="0" collapsed="false">
      <c r="A94" s="0" t="n">
        <v>31</v>
      </c>
      <c r="B94" s="31" t="n">
        <v>35065</v>
      </c>
      <c r="C94" s="26" t="n">
        <v>532000</v>
      </c>
      <c r="D94" s="29" t="s">
        <v>42</v>
      </c>
      <c r="E94" s="33" t="n">
        <f aca="false">IF(D94="totale",(C94/(A94*24))/F94,IF(D94="marché libre",(C94/(A94*24))/G94,"spécifier histo"))</f>
        <v>0.823794658342005</v>
      </c>
      <c r="F94" s="9" t="n">
        <v>868</v>
      </c>
      <c r="G94" s="9" t="n">
        <f aca="false">F94-H94</f>
        <v>868</v>
      </c>
      <c r="H94" s="9" t="n">
        <v>0</v>
      </c>
      <c r="J94" s="103"/>
      <c r="K94" s="103"/>
    </row>
    <row r="95" customFormat="false" ht="24.7" hidden="false" customHeight="true" outlineLevel="0" collapsed="false">
      <c r="A95" s="0" t="n">
        <v>28</v>
      </c>
      <c r="B95" s="34" t="n">
        <v>35096</v>
      </c>
      <c r="C95" s="26" t="n">
        <v>515800</v>
      </c>
      <c r="D95" s="29" t="s">
        <v>42</v>
      </c>
      <c r="E95" s="33" t="n">
        <f aca="false">IF(D95="totale",(C95/(A95*24))/F95,IF(D95="marché libre",(C95/(A95*24))/G95,"spécifier histo"))</f>
        <v>0.884285165679175</v>
      </c>
      <c r="F95" s="9" t="n">
        <v>868</v>
      </c>
      <c r="G95" s="9" t="n">
        <f aca="false">F95-H95</f>
        <v>868</v>
      </c>
      <c r="H95" s="9" t="n">
        <v>0</v>
      </c>
      <c r="J95" s="103"/>
      <c r="K95" s="103"/>
    </row>
    <row r="96" customFormat="false" ht="24.7" hidden="false" customHeight="true" outlineLevel="0" collapsed="false">
      <c r="A96" s="0" t="n">
        <v>31</v>
      </c>
      <c r="B96" s="31" t="n">
        <v>35125</v>
      </c>
      <c r="C96" s="26" t="n">
        <v>478000</v>
      </c>
      <c r="D96" s="29" t="s">
        <v>42</v>
      </c>
      <c r="E96" s="33" t="n">
        <f aca="false">IF(D96="totale",(C96/(A96*24))/F96,IF(D96="marché libre",(C96/(A96*24))/G96,"spécifier histo"))</f>
        <v>0.740176403547892</v>
      </c>
      <c r="F96" s="9" t="n">
        <v>868</v>
      </c>
      <c r="G96" s="9" t="n">
        <f aca="false">F96-H96</f>
        <v>868</v>
      </c>
      <c r="H96" s="9" t="n">
        <v>0</v>
      </c>
      <c r="J96" s="103"/>
      <c r="K96" s="103"/>
    </row>
    <row r="97" customFormat="false" ht="24.7" hidden="false" customHeight="true" outlineLevel="0" collapsed="false">
      <c r="A97" s="0" t="n">
        <v>30</v>
      </c>
      <c r="B97" s="34" t="n">
        <v>35156</v>
      </c>
      <c r="C97" s="26" t="n">
        <v>494800</v>
      </c>
      <c r="D97" s="29" t="s">
        <v>42</v>
      </c>
      <c r="E97" s="33" t="n">
        <f aca="false">IF(D97="totale",(C97/(A97*24))/F97,IF(D97="marché libre",(C97/(A97*24))/G97,"spécifier histo"))</f>
        <v>0.791730670762929</v>
      </c>
      <c r="F97" s="9" t="n">
        <v>868</v>
      </c>
      <c r="G97" s="9" t="n">
        <f aca="false">F97-H97</f>
        <v>868</v>
      </c>
      <c r="H97" s="9" t="n">
        <v>0</v>
      </c>
      <c r="J97" s="103"/>
      <c r="K97" s="103"/>
    </row>
    <row r="98" customFormat="false" ht="24.7" hidden="false" customHeight="true" outlineLevel="0" collapsed="false">
      <c r="A98" s="0" t="n">
        <v>31</v>
      </c>
      <c r="B98" s="31" t="n">
        <v>35186</v>
      </c>
      <c r="C98" s="26" t="n">
        <v>356400</v>
      </c>
      <c r="D98" s="29" t="s">
        <v>42</v>
      </c>
      <c r="E98" s="33" t="n">
        <f aca="false">IF(D98="totale",(C98/(A98*24))/F98,IF(D98="marché libre",(C98/(A98*24))/G98,"spécifier histo"))</f>
        <v>0.551880481641148</v>
      </c>
      <c r="F98" s="9" t="n">
        <v>868</v>
      </c>
      <c r="G98" s="9" t="n">
        <f aca="false">F98-H98</f>
        <v>868</v>
      </c>
      <c r="H98" s="9" t="n">
        <v>0</v>
      </c>
      <c r="J98" s="103"/>
      <c r="K98" s="103"/>
    </row>
    <row r="99" customFormat="false" ht="24.7" hidden="false" customHeight="true" outlineLevel="0" collapsed="false">
      <c r="A99" s="0" t="n">
        <v>30</v>
      </c>
      <c r="B99" s="34" t="n">
        <v>35217</v>
      </c>
      <c r="C99" s="26" t="n">
        <v>167000</v>
      </c>
      <c r="D99" s="29" t="s">
        <v>42</v>
      </c>
      <c r="E99" s="33" t="n">
        <f aca="false">IF(D99="totale",(C99/(A99*24))/F99,IF(D99="marché libre",(C99/(A99*24))/G99,"spécifier histo"))</f>
        <v>0.267217101894521</v>
      </c>
      <c r="F99" s="9" t="n">
        <v>868</v>
      </c>
      <c r="G99" s="9" t="n">
        <f aca="false">F99-H99</f>
        <v>868</v>
      </c>
      <c r="H99" s="9" t="n">
        <v>0</v>
      </c>
      <c r="J99" s="103"/>
      <c r="K99" s="103"/>
    </row>
    <row r="100" customFormat="false" ht="24.7" hidden="false" customHeight="true" outlineLevel="0" collapsed="false">
      <c r="A100" s="0" t="n">
        <v>31</v>
      </c>
      <c r="B100" s="31" t="n">
        <v>35247</v>
      </c>
      <c r="C100" s="26" t="n">
        <v>386200</v>
      </c>
      <c r="D100" s="29" t="s">
        <v>42</v>
      </c>
      <c r="E100" s="33" t="n">
        <f aca="false">IF(D100="totale",(C100/(A100*24))/F100,IF(D100="marché libre",(C100/(A100*24))/G100,"spécifier histo"))</f>
        <v>0.598025370397899</v>
      </c>
      <c r="F100" s="9" t="n">
        <v>868</v>
      </c>
      <c r="G100" s="9" t="n">
        <f aca="false">F100-H100</f>
        <v>868</v>
      </c>
      <c r="H100" s="9" t="n">
        <v>0</v>
      </c>
      <c r="J100" s="103"/>
      <c r="K100" s="103"/>
    </row>
    <row r="101" customFormat="false" ht="24.7" hidden="false" customHeight="true" outlineLevel="0" collapsed="false">
      <c r="A101" s="0" t="n">
        <v>31</v>
      </c>
      <c r="B101" s="34" t="n">
        <v>35278</v>
      </c>
      <c r="C101" s="26" t="n">
        <v>374600</v>
      </c>
      <c r="D101" s="29" t="s">
        <v>42</v>
      </c>
      <c r="E101" s="33" t="n">
        <f aca="false">IF(D101="totale",(C101/(A101*24))/F101,IF(D101="marché libre",(C101/(A101*24))/G101,"spécifier histo"))</f>
        <v>0.580062930479164</v>
      </c>
      <c r="F101" s="9" t="n">
        <v>868</v>
      </c>
      <c r="G101" s="9" t="n">
        <f aca="false">F101-H101</f>
        <v>868</v>
      </c>
      <c r="H101" s="9" t="n">
        <v>0</v>
      </c>
      <c r="J101" s="103"/>
      <c r="K101" s="103"/>
    </row>
    <row r="102" customFormat="false" ht="24.7" hidden="false" customHeight="true" outlineLevel="0" collapsed="false">
      <c r="A102" s="0" t="n">
        <v>30</v>
      </c>
      <c r="B102" s="31" t="n">
        <v>35309</v>
      </c>
      <c r="C102" s="26" t="n">
        <v>397400</v>
      </c>
      <c r="D102" s="29" t="s">
        <v>42</v>
      </c>
      <c r="E102" s="33" t="n">
        <f aca="false">IF(D102="totale",(C102/(A102*24))/F102,IF(D102="marché libre",(C102/(A102*24))/G102,"spécifier histo"))</f>
        <v>0.635880696364567</v>
      </c>
      <c r="F102" s="9" t="n">
        <v>868</v>
      </c>
      <c r="G102" s="9" t="n">
        <f aca="false">F102-H102</f>
        <v>868</v>
      </c>
      <c r="H102" s="9" t="n">
        <v>0</v>
      </c>
      <c r="J102" s="103"/>
      <c r="K102" s="103"/>
    </row>
    <row r="103" customFormat="false" ht="24.7" hidden="false" customHeight="true" outlineLevel="0" collapsed="false">
      <c r="A103" s="0" t="n">
        <v>31</v>
      </c>
      <c r="B103" s="34" t="n">
        <v>35339</v>
      </c>
      <c r="C103" s="26" t="n">
        <v>215600</v>
      </c>
      <c r="D103" s="29" t="s">
        <v>42</v>
      </c>
      <c r="E103" s="33" t="n">
        <f aca="false">IF(D103="totale",(C103/(A103*24))/F103,IF(D103="marché libre",(C103/(A103*24))/G103,"spécifier histo"))</f>
        <v>0.333853624696497</v>
      </c>
      <c r="F103" s="9" t="n">
        <v>868</v>
      </c>
      <c r="G103" s="9" t="n">
        <f aca="false">F103-H103</f>
        <v>868</v>
      </c>
      <c r="H103" s="9" t="n">
        <v>0</v>
      </c>
      <c r="J103" s="103"/>
      <c r="K103" s="103"/>
    </row>
    <row r="104" customFormat="false" ht="24.7" hidden="false" customHeight="true" outlineLevel="0" collapsed="false">
      <c r="A104" s="0" t="n">
        <v>30</v>
      </c>
      <c r="B104" s="31" t="n">
        <v>35370</v>
      </c>
      <c r="C104" s="26" t="n">
        <v>379200</v>
      </c>
      <c r="D104" s="29" t="s">
        <v>42</v>
      </c>
      <c r="E104" s="33" t="n">
        <f aca="false">IF(D104="totale",(C104/(A104*24))/F104,IF(D104="marché libre",(C104/(A104*24))/G104,"spécifier histo"))</f>
        <v>0.606758832565284</v>
      </c>
      <c r="F104" s="9" t="n">
        <v>868</v>
      </c>
      <c r="G104" s="9" t="n">
        <f aca="false">F104-H104</f>
        <v>868</v>
      </c>
      <c r="H104" s="9" t="n">
        <v>0</v>
      </c>
      <c r="J104" s="103"/>
      <c r="K104" s="103"/>
    </row>
    <row r="105" customFormat="false" ht="24.7" hidden="false" customHeight="true" outlineLevel="0" collapsed="false">
      <c r="A105" s="0" t="n">
        <v>31</v>
      </c>
      <c r="B105" s="34" t="n">
        <v>35400</v>
      </c>
      <c r="C105" s="26" t="n">
        <v>487400</v>
      </c>
      <c r="D105" s="29" t="s">
        <v>42</v>
      </c>
      <c r="E105" s="33" t="n">
        <f aca="false">IF(D105="totale",(C105/(A105*24))/F105,IF(D105="marché libre",(C105/(A105*24))/G105,"spécifier histo"))</f>
        <v>0.754732173826867</v>
      </c>
      <c r="F105" s="9" t="n">
        <v>868</v>
      </c>
      <c r="G105" s="9" t="n">
        <f aca="false">F105-H105</f>
        <v>868</v>
      </c>
      <c r="H105" s="9" t="n">
        <v>0</v>
      </c>
      <c r="J105" s="103"/>
      <c r="K105" s="103"/>
    </row>
    <row r="106" customFormat="false" ht="24.7" hidden="false" customHeight="true" outlineLevel="0" collapsed="false">
      <c r="A106" s="0" t="n">
        <v>31</v>
      </c>
      <c r="B106" s="31" t="n">
        <v>35431</v>
      </c>
      <c r="C106" s="26" t="n">
        <v>529600</v>
      </c>
      <c r="D106" s="29" t="s">
        <v>42</v>
      </c>
      <c r="E106" s="33" t="n">
        <f aca="false">IF(D106="totale",(C106/(A106*24))/F106,IF(D106="marché libre",(C106/(A106*24))/G106,"spécifier histo"))</f>
        <v>0.820078291462266</v>
      </c>
      <c r="F106" s="9" t="n">
        <v>868</v>
      </c>
      <c r="G106" s="9" t="n">
        <f aca="false">F106-H106</f>
        <v>868</v>
      </c>
      <c r="H106" s="9" t="n">
        <v>0</v>
      </c>
      <c r="J106" s="103"/>
      <c r="K106" s="103"/>
    </row>
    <row r="107" customFormat="false" ht="24.7" hidden="false" customHeight="true" outlineLevel="0" collapsed="false">
      <c r="A107" s="0" t="n">
        <v>28</v>
      </c>
      <c r="B107" s="34" t="n">
        <v>35462</v>
      </c>
      <c r="C107" s="26" t="n">
        <v>472400</v>
      </c>
      <c r="D107" s="29" t="s">
        <v>42</v>
      </c>
      <c r="E107" s="33" t="n">
        <f aca="false">IF(D107="totale",(C107/(A107*24))/F107,IF(D107="marché libre",(C107/(A107*24))/G107,"spécifier histo"))</f>
        <v>0.809880403774413</v>
      </c>
      <c r="F107" s="9" t="n">
        <v>868</v>
      </c>
      <c r="G107" s="9" t="n">
        <f aca="false">F107-H107</f>
        <v>868</v>
      </c>
      <c r="H107" s="9" t="n">
        <v>0</v>
      </c>
      <c r="J107" s="103"/>
      <c r="K107" s="103"/>
    </row>
    <row r="108" customFormat="false" ht="24.7" hidden="false" customHeight="true" outlineLevel="0" collapsed="false">
      <c r="A108" s="0" t="n">
        <v>31</v>
      </c>
      <c r="B108" s="31" t="n">
        <v>35490</v>
      </c>
      <c r="C108" s="26" t="n">
        <v>460600</v>
      </c>
      <c r="D108" s="29" t="s">
        <v>42</v>
      </c>
      <c r="E108" s="33" t="n">
        <f aca="false">IF(D108="totale",(C108/(A108*24))/F108,IF(D108="marché libre",(C108/(A108*24))/G108,"spécifier histo"))</f>
        <v>0.713232743669789</v>
      </c>
      <c r="F108" s="9" t="n">
        <v>868</v>
      </c>
      <c r="G108" s="9" t="n">
        <f aca="false">F108-H108</f>
        <v>868</v>
      </c>
      <c r="H108" s="9" t="n">
        <v>0</v>
      </c>
      <c r="J108" s="103"/>
      <c r="K108" s="103"/>
    </row>
    <row r="109" customFormat="false" ht="24.7" hidden="false" customHeight="true" outlineLevel="0" collapsed="false">
      <c r="A109" s="0" t="n">
        <v>30</v>
      </c>
      <c r="B109" s="34" t="n">
        <v>35521</v>
      </c>
      <c r="C109" s="26" t="n">
        <v>449200</v>
      </c>
      <c r="D109" s="29" t="s">
        <v>42</v>
      </c>
      <c r="E109" s="33" t="n">
        <f aca="false">IF(D109="totale",(C109/(A109*24))/F109,IF(D109="marché libre",(C109/(A109*24))/G109,"spécifier histo"))</f>
        <v>0.718766001024066</v>
      </c>
      <c r="F109" s="9" t="n">
        <v>868</v>
      </c>
      <c r="G109" s="9" t="n">
        <f aca="false">F109-H109</f>
        <v>868</v>
      </c>
      <c r="H109" s="9" t="n">
        <v>0</v>
      </c>
      <c r="J109" s="103"/>
      <c r="K109" s="103"/>
    </row>
    <row r="110" customFormat="false" ht="24.7" hidden="false" customHeight="true" outlineLevel="0" collapsed="false">
      <c r="A110" s="0" t="n">
        <v>31</v>
      </c>
      <c r="B110" s="31" t="n">
        <v>35551</v>
      </c>
      <c r="C110" s="26" t="n">
        <v>426600</v>
      </c>
      <c r="D110" s="29" t="s">
        <v>42</v>
      </c>
      <c r="E110" s="33" t="n">
        <f aca="false">IF(D110="totale",(C110/(A110*24))/F110,IF(D110="marché libre",(C110/(A110*24))/G110,"spécifier histo"))</f>
        <v>0.660584212873495</v>
      </c>
      <c r="F110" s="9" t="n">
        <v>868</v>
      </c>
      <c r="G110" s="9" t="n">
        <f aca="false">F110-H110</f>
        <v>868</v>
      </c>
      <c r="H110" s="9" t="n">
        <v>0</v>
      </c>
      <c r="J110" s="103"/>
      <c r="K110" s="103"/>
    </row>
    <row r="111" customFormat="false" ht="24.7" hidden="false" customHeight="true" outlineLevel="0" collapsed="false">
      <c r="A111" s="0" t="n">
        <v>30</v>
      </c>
      <c r="B111" s="34" t="n">
        <v>35582</v>
      </c>
      <c r="C111" s="26" t="n">
        <v>159000</v>
      </c>
      <c r="D111" s="29" t="s">
        <v>42</v>
      </c>
      <c r="E111" s="33" t="n">
        <f aca="false">IF(D111="totale",(C111/(A111*24))/F111,IF(D111="marché libre",(C111/(A111*24))/G111,"spécifier histo"))</f>
        <v>0.254416282642089</v>
      </c>
      <c r="F111" s="9" t="n">
        <v>868</v>
      </c>
      <c r="G111" s="9" t="n">
        <f aca="false">F111-H111</f>
        <v>868</v>
      </c>
      <c r="H111" s="9" t="n">
        <v>0</v>
      </c>
      <c r="J111" s="103"/>
      <c r="K111" s="103"/>
    </row>
    <row r="112" customFormat="false" ht="24.7" hidden="false" customHeight="true" outlineLevel="0" collapsed="false">
      <c r="A112" s="0" t="n">
        <v>31</v>
      </c>
      <c r="B112" s="31" t="n">
        <v>35612</v>
      </c>
      <c r="C112" s="26" t="n">
        <v>0</v>
      </c>
      <c r="D112" s="29" t="s">
        <v>42</v>
      </c>
      <c r="E112" s="33" t="n">
        <f aca="false">IF(D112="totale",(C112/(A112*24))/F112,IF(D112="marché libre",(C112/(A112*24))/G112,"spécifier histo"))</f>
        <v>0</v>
      </c>
      <c r="F112" s="9" t="n">
        <v>868</v>
      </c>
      <c r="G112" s="9" t="n">
        <f aca="false">F112-H112</f>
        <v>868</v>
      </c>
      <c r="H112" s="9" t="n">
        <v>0</v>
      </c>
      <c r="J112" s="316" t="s">
        <v>432</v>
      </c>
      <c r="K112" s="103"/>
    </row>
    <row r="113" customFormat="false" ht="24.7" hidden="false" customHeight="true" outlineLevel="0" collapsed="false">
      <c r="A113" s="0" t="n">
        <v>31</v>
      </c>
      <c r="B113" s="34" t="n">
        <v>35643</v>
      </c>
      <c r="C113" s="26" t="n">
        <v>0</v>
      </c>
      <c r="D113" s="29" t="s">
        <v>42</v>
      </c>
      <c r="E113" s="33" t="n">
        <f aca="false">IF(D113="totale",(C113/(A113*24))/F113,IF(D113="marché libre",(C113/(A113*24))/G113,"spécifier histo"))</f>
        <v>0</v>
      </c>
      <c r="F113" s="9" t="n">
        <v>868</v>
      </c>
      <c r="G113" s="9" t="n">
        <f aca="false">F113-H113</f>
        <v>868</v>
      </c>
      <c r="H113" s="9" t="n">
        <v>0</v>
      </c>
      <c r="J113" s="316" t="s">
        <v>432</v>
      </c>
      <c r="K113" s="103"/>
    </row>
    <row r="114" customFormat="false" ht="24.7" hidden="false" customHeight="true" outlineLevel="0" collapsed="false">
      <c r="A114" s="0" t="n">
        <v>30</v>
      </c>
      <c r="B114" s="31" t="n">
        <v>35674</v>
      </c>
      <c r="C114" s="26" t="n">
        <v>86600</v>
      </c>
      <c r="D114" s="29" t="s">
        <v>42</v>
      </c>
      <c r="E114" s="33" t="n">
        <f aca="false">IF(D114="totale",(C114/(A114*24))/F114,IF(D114="marché libre",(C114/(A114*24))/G114,"spécifier histo"))</f>
        <v>0.138568868407578</v>
      </c>
      <c r="F114" s="9" t="n">
        <v>868</v>
      </c>
      <c r="G114" s="9" t="n">
        <f aca="false">F114-H114</f>
        <v>868</v>
      </c>
      <c r="H114" s="9" t="n">
        <v>0</v>
      </c>
      <c r="J114" s="103"/>
      <c r="K114" s="103"/>
    </row>
    <row r="115" customFormat="false" ht="24.7" hidden="false" customHeight="true" outlineLevel="0" collapsed="false">
      <c r="A115" s="0" t="n">
        <v>31</v>
      </c>
      <c r="B115" s="34" t="n">
        <v>35704</v>
      </c>
      <c r="C115" s="26" t="n">
        <v>70600</v>
      </c>
      <c r="D115" s="29" t="s">
        <v>42</v>
      </c>
      <c r="E115" s="33" t="n">
        <f aca="false">IF(D115="totale",(C115/(A115*24))/F115,IF(D115="marché libre",(C115/(A115*24))/G115,"spécifier histo"))</f>
        <v>0.109323125712304</v>
      </c>
      <c r="F115" s="9" t="n">
        <v>868</v>
      </c>
      <c r="G115" s="9" t="n">
        <f aca="false">F115-H115</f>
        <v>868</v>
      </c>
      <c r="H115" s="9" t="n">
        <v>0</v>
      </c>
      <c r="J115" s="103"/>
      <c r="K115" s="103"/>
    </row>
    <row r="116" customFormat="false" ht="24.7" hidden="false" customHeight="true" outlineLevel="0" collapsed="false">
      <c r="A116" s="0" t="n">
        <v>30</v>
      </c>
      <c r="B116" s="31" t="n">
        <v>35735</v>
      </c>
      <c r="C116" s="26" t="n">
        <v>308800</v>
      </c>
      <c r="D116" s="29" t="s">
        <v>42</v>
      </c>
      <c r="E116" s="33" t="n">
        <f aca="false">IF(D116="totale",(C116/(A116*24))/F116,IF(D116="marché libre",(C116/(A116*24))/G116,"spécifier histo"))</f>
        <v>0.494111623143881</v>
      </c>
      <c r="F116" s="9" t="n">
        <v>868</v>
      </c>
      <c r="G116" s="9" t="n">
        <f aca="false">F116-H116</f>
        <v>868</v>
      </c>
      <c r="H116" s="9" t="n">
        <v>0</v>
      </c>
      <c r="J116" s="103"/>
      <c r="K116" s="103"/>
    </row>
    <row r="117" customFormat="false" ht="24.7" hidden="false" customHeight="true" outlineLevel="0" collapsed="false">
      <c r="A117" s="0" t="n">
        <v>31</v>
      </c>
      <c r="B117" s="34" t="n">
        <v>35765</v>
      </c>
      <c r="C117" s="26" t="n">
        <v>478200</v>
      </c>
      <c r="D117" s="29" t="s">
        <v>42</v>
      </c>
      <c r="E117" s="33" t="n">
        <f aca="false">IF(D117="totale",(C117/(A117*24))/F117,IF(D117="marché libre",(C117/(A117*24))/G117,"spécifier histo"))</f>
        <v>0.74048610078787</v>
      </c>
      <c r="F117" s="9" t="n">
        <v>868</v>
      </c>
      <c r="G117" s="9" t="n">
        <f aca="false">F117-H117</f>
        <v>868</v>
      </c>
      <c r="H117" s="9" t="n">
        <v>0</v>
      </c>
      <c r="J117" s="103"/>
      <c r="K117" s="103"/>
    </row>
    <row r="118" customFormat="false" ht="24.7" hidden="false" customHeight="true" outlineLevel="0" collapsed="false">
      <c r="A118" s="0" t="n">
        <v>31</v>
      </c>
      <c r="B118" s="31" t="n">
        <v>35796</v>
      </c>
      <c r="C118" s="26" t="n">
        <v>510200</v>
      </c>
      <c r="D118" s="29" t="s">
        <v>42</v>
      </c>
      <c r="E118" s="33" t="n">
        <f aca="false">IF(D118="totale",(C118/(A118*24))/F118,IF(D118="marché libre",(C118/(A118*24))/G118,"spécifier histo"))</f>
        <v>0.790037659184381</v>
      </c>
      <c r="F118" s="9" t="n">
        <v>868</v>
      </c>
      <c r="G118" s="9" t="n">
        <f aca="false">F118-H118</f>
        <v>868</v>
      </c>
      <c r="H118" s="9" t="n">
        <v>0</v>
      </c>
      <c r="J118" s="103"/>
      <c r="K118" s="103"/>
    </row>
    <row r="119" customFormat="false" ht="24.7" hidden="false" customHeight="true" outlineLevel="0" collapsed="false">
      <c r="A119" s="0" t="n">
        <v>28</v>
      </c>
      <c r="B119" s="34" t="n">
        <v>35827</v>
      </c>
      <c r="C119" s="26" t="n">
        <v>461200</v>
      </c>
      <c r="D119" s="29" t="s">
        <v>42</v>
      </c>
      <c r="E119" s="33" t="n">
        <f aca="false">IF(D119="totale",(C119/(A119*24))/F119,IF(D119="marché libre",(C119/(A119*24))/G119,"spécifier histo"))</f>
        <v>0.790679174895765</v>
      </c>
      <c r="F119" s="9" t="n">
        <v>868</v>
      </c>
      <c r="G119" s="9" t="n">
        <f aca="false">F119-H119</f>
        <v>868</v>
      </c>
      <c r="H119" s="9" t="n">
        <v>0</v>
      </c>
      <c r="J119" s="103"/>
      <c r="K119" s="103"/>
    </row>
    <row r="120" customFormat="false" ht="24.7" hidden="false" customHeight="true" outlineLevel="0" collapsed="false">
      <c r="A120" s="0" t="n">
        <v>31</v>
      </c>
      <c r="B120" s="31" t="n">
        <v>35855</v>
      </c>
      <c r="C120" s="26" t="n">
        <v>479200</v>
      </c>
      <c r="D120" s="29" t="s">
        <v>42</v>
      </c>
      <c r="E120" s="33" t="n">
        <f aca="false">IF(D120="totale",(C120/(A120*24))/F120,IF(D120="marché libre",(C120/(A120*24))/G120,"spécifier histo"))</f>
        <v>0.742034586987761</v>
      </c>
      <c r="F120" s="9" t="n">
        <v>868</v>
      </c>
      <c r="G120" s="9" t="n">
        <f aca="false">F120-H120</f>
        <v>868</v>
      </c>
      <c r="H120" s="9" t="n">
        <v>0</v>
      </c>
      <c r="J120" s="103"/>
      <c r="K120" s="103"/>
    </row>
    <row r="121" customFormat="false" ht="24.7" hidden="false" customHeight="true" outlineLevel="0" collapsed="false">
      <c r="A121" s="0" t="n">
        <v>30</v>
      </c>
      <c r="B121" s="34" t="n">
        <v>35886</v>
      </c>
      <c r="C121" s="26" t="n">
        <v>522800</v>
      </c>
      <c r="D121" s="29" t="s">
        <v>42</v>
      </c>
      <c r="E121" s="33" t="n">
        <f aca="false">IF(D121="totale",(C121/(A121*24))/F121,IF(D121="marché libre",(C121/(A121*24))/G121,"spécifier histo"))</f>
        <v>0.836533538146441</v>
      </c>
      <c r="F121" s="9" t="n">
        <v>868</v>
      </c>
      <c r="G121" s="9" t="n">
        <f aca="false">F121-H121</f>
        <v>868</v>
      </c>
      <c r="H121" s="9" t="n">
        <v>0</v>
      </c>
      <c r="J121" s="103"/>
      <c r="K121" s="103"/>
    </row>
    <row r="122" customFormat="false" ht="24.7" hidden="false" customHeight="true" outlineLevel="0" collapsed="false">
      <c r="A122" s="0" t="n">
        <v>31</v>
      </c>
      <c r="B122" s="31" t="n">
        <v>35916</v>
      </c>
      <c r="C122" s="26" t="n">
        <v>301800</v>
      </c>
      <c r="D122" s="29" t="s">
        <v>42</v>
      </c>
      <c r="E122" s="33" t="n">
        <f aca="false">IF(D122="totale",(C122/(A122*24))/F122,IF(D122="marché libre",(C122/(A122*24))/G122,"spécifier histo"))</f>
        <v>0.4673331351271</v>
      </c>
      <c r="F122" s="9" t="n">
        <v>868</v>
      </c>
      <c r="G122" s="9" t="n">
        <f aca="false">F122-H122</f>
        <v>868</v>
      </c>
      <c r="H122" s="9" t="n">
        <v>0</v>
      </c>
      <c r="J122" s="103"/>
      <c r="K122" s="103"/>
    </row>
    <row r="123" customFormat="false" ht="24.7" hidden="false" customHeight="true" outlineLevel="0" collapsed="false">
      <c r="A123" s="0" t="n">
        <v>30</v>
      </c>
      <c r="B123" s="34" t="n">
        <v>35947</v>
      </c>
      <c r="C123" s="26" t="n">
        <v>217400</v>
      </c>
      <c r="D123" s="29" t="s">
        <v>42</v>
      </c>
      <c r="E123" s="33" t="n">
        <f aca="false">IF(D123="totale",(C123/(A123*24))/F123,IF(D123="marché libre",(C123/(A123*24))/G123,"spécifier histo"))</f>
        <v>0.347862263184844</v>
      </c>
      <c r="F123" s="9" t="n">
        <v>868</v>
      </c>
      <c r="G123" s="9" t="n">
        <f aca="false">F123-H123</f>
        <v>868</v>
      </c>
      <c r="H123" s="9" t="n">
        <v>0</v>
      </c>
      <c r="J123" s="103"/>
      <c r="K123" s="103"/>
    </row>
    <row r="124" customFormat="false" ht="24.7" hidden="false" customHeight="true" outlineLevel="0" collapsed="false">
      <c r="A124" s="0" t="n">
        <v>31</v>
      </c>
      <c r="B124" s="31" t="n">
        <v>35977</v>
      </c>
      <c r="C124" s="26" t="n">
        <v>0</v>
      </c>
      <c r="D124" s="29" t="s">
        <v>42</v>
      </c>
      <c r="E124" s="33" t="n">
        <f aca="false">IF(D124="totale",(C124/(A124*24))/F124,IF(D124="marché libre",(C124/(A124*24))/G124,"spécifier histo"))</f>
        <v>0</v>
      </c>
      <c r="F124" s="9" t="n">
        <v>868</v>
      </c>
      <c r="G124" s="9" t="n">
        <f aca="false">F124-H124</f>
        <v>868</v>
      </c>
      <c r="H124" s="9" t="n">
        <v>0</v>
      </c>
      <c r="J124" s="316" t="s">
        <v>432</v>
      </c>
      <c r="K124" s="103"/>
    </row>
    <row r="125" customFormat="false" ht="24.7" hidden="false" customHeight="true" outlineLevel="0" collapsed="false">
      <c r="A125" s="0" t="n">
        <v>31</v>
      </c>
      <c r="B125" s="34" t="n">
        <v>36008</v>
      </c>
      <c r="C125" s="26" t="n">
        <v>0</v>
      </c>
      <c r="D125" s="29" t="s">
        <v>42</v>
      </c>
      <c r="E125" s="33" t="n">
        <f aca="false">IF(D125="totale",(C125/(A125*24))/F125,IF(D125="marché libre",(C125/(A125*24))/G125,"spécifier histo"))</f>
        <v>0</v>
      </c>
      <c r="F125" s="9" t="n">
        <v>868</v>
      </c>
      <c r="G125" s="9" t="n">
        <f aca="false">F125-H125</f>
        <v>868</v>
      </c>
      <c r="H125" s="9" t="n">
        <v>0</v>
      </c>
      <c r="J125" s="316" t="s">
        <v>432</v>
      </c>
      <c r="K125" s="103"/>
    </row>
    <row r="126" customFormat="false" ht="24.7" hidden="false" customHeight="true" outlineLevel="0" collapsed="false">
      <c r="A126" s="0" t="n">
        <v>30</v>
      </c>
      <c r="B126" s="31" t="n">
        <v>36039</v>
      </c>
      <c r="C126" s="26" t="n">
        <v>0</v>
      </c>
      <c r="D126" s="29" t="s">
        <v>42</v>
      </c>
      <c r="E126" s="33" t="n">
        <f aca="false">IF(D126="totale",(C126/(A126*24))/F126,IF(D126="marché libre",(C126/(A126*24))/G126,"spécifier histo"))</f>
        <v>0</v>
      </c>
      <c r="F126" s="9" t="n">
        <v>868</v>
      </c>
      <c r="G126" s="9" t="n">
        <f aca="false">F126-H126</f>
        <v>868</v>
      </c>
      <c r="H126" s="9" t="n">
        <v>0</v>
      </c>
      <c r="J126" s="316" t="s">
        <v>432</v>
      </c>
      <c r="K126" s="103"/>
    </row>
    <row r="127" customFormat="false" ht="24.7" hidden="false" customHeight="true" outlineLevel="0" collapsed="false">
      <c r="A127" s="0" t="n">
        <v>31</v>
      </c>
      <c r="B127" s="34" t="n">
        <v>36069</v>
      </c>
      <c r="C127" s="26" t="n">
        <v>249600</v>
      </c>
      <c r="D127" s="29" t="s">
        <v>42</v>
      </c>
      <c r="E127" s="33" t="n">
        <f aca="false">IF(D127="totale",(C127/(A127*24))/F127,IF(D127="marché libre",(C127/(A127*24))/G127,"spécifier histo"))</f>
        <v>0.38650215549279</v>
      </c>
      <c r="F127" s="9" t="n">
        <v>868</v>
      </c>
      <c r="G127" s="9" t="n">
        <f aca="false">F127-H127</f>
        <v>868</v>
      </c>
      <c r="H127" s="9" t="n">
        <v>0</v>
      </c>
      <c r="J127" s="103"/>
      <c r="K127" s="103"/>
    </row>
    <row r="128" customFormat="false" ht="24.7" hidden="false" customHeight="true" outlineLevel="0" collapsed="false">
      <c r="A128" s="0" t="n">
        <v>30</v>
      </c>
      <c r="B128" s="31" t="n">
        <v>36100</v>
      </c>
      <c r="C128" s="26" t="n">
        <v>575600</v>
      </c>
      <c r="D128" s="29" t="s">
        <v>42</v>
      </c>
      <c r="E128" s="33" t="n">
        <f aca="false">IF(D128="totale",(C128/(A128*24))/F128,IF(D128="marché libre",(C128/(A128*24))/G128,"spécifier histo"))</f>
        <v>0.921018945212494</v>
      </c>
      <c r="F128" s="9" t="n">
        <v>868</v>
      </c>
      <c r="G128" s="9" t="n">
        <f aca="false">F128-H128</f>
        <v>868</v>
      </c>
      <c r="H128" s="9" t="n">
        <v>0</v>
      </c>
      <c r="J128" s="103"/>
      <c r="K128" s="103"/>
    </row>
    <row r="129" customFormat="false" ht="24.7" hidden="false" customHeight="true" outlineLevel="0" collapsed="false">
      <c r="A129" s="0" t="n">
        <v>31</v>
      </c>
      <c r="B129" s="34" t="n">
        <v>36130</v>
      </c>
      <c r="C129" s="26" t="n">
        <v>392800</v>
      </c>
      <c r="D129" s="29" t="s">
        <v>42</v>
      </c>
      <c r="E129" s="33" t="n">
        <f aca="false">IF(D129="totale",(C129/(A129*24))/F129,IF(D129="marché libre",(C129/(A129*24))/G129,"spécifier histo"))</f>
        <v>0.60824537931718</v>
      </c>
      <c r="F129" s="9" t="n">
        <v>868</v>
      </c>
      <c r="G129" s="9" t="n">
        <f aca="false">F129-H129</f>
        <v>868</v>
      </c>
      <c r="H129" s="9" t="n">
        <v>0</v>
      </c>
      <c r="J129" s="103"/>
      <c r="K129" s="103"/>
    </row>
    <row r="130" customFormat="false" ht="24.7" hidden="false" customHeight="true" outlineLevel="0" collapsed="false">
      <c r="A130" s="0" t="n">
        <v>31</v>
      </c>
      <c r="B130" s="31" t="n">
        <v>36161</v>
      </c>
      <c r="C130" s="26" t="n">
        <v>224800</v>
      </c>
      <c r="D130" s="29" t="s">
        <v>42</v>
      </c>
      <c r="E130" s="33" t="n">
        <f aca="false">IF(D130="totale",(C130/(A130*24))/F130,IF(D130="marché libre",(C130/(A130*24))/G130,"spécifier histo"))</f>
        <v>0.348099697735494</v>
      </c>
      <c r="F130" s="9" t="n">
        <v>868</v>
      </c>
      <c r="G130" s="9" t="n">
        <f aca="false">F130-H130</f>
        <v>868</v>
      </c>
      <c r="H130" s="9" t="n">
        <v>0</v>
      </c>
      <c r="J130" s="103"/>
      <c r="K130" s="103"/>
    </row>
    <row r="131" customFormat="false" ht="24.7" hidden="false" customHeight="true" outlineLevel="0" collapsed="false">
      <c r="A131" s="0" t="n">
        <v>28</v>
      </c>
      <c r="B131" s="34" t="n">
        <v>36192</v>
      </c>
      <c r="C131" s="26" t="n">
        <v>150400</v>
      </c>
      <c r="D131" s="29" t="s">
        <v>42</v>
      </c>
      <c r="E131" s="33" t="n">
        <f aca="false">IF(D131="totale",(C131/(A131*24))/F131,IF(D131="marché libre",(C131/(A131*24))/G131,"spécifier histo"))</f>
        <v>0.257845073513276</v>
      </c>
      <c r="F131" s="9" t="n">
        <v>868</v>
      </c>
      <c r="G131" s="9" t="n">
        <f aca="false">F131-H131</f>
        <v>868</v>
      </c>
      <c r="H131" s="9" t="n">
        <v>0</v>
      </c>
      <c r="J131" s="103"/>
      <c r="K131" s="103"/>
    </row>
    <row r="132" customFormat="false" ht="24.7" hidden="false" customHeight="true" outlineLevel="0" collapsed="false">
      <c r="A132" s="0" t="n">
        <v>31</v>
      </c>
      <c r="B132" s="31" t="n">
        <v>36220</v>
      </c>
      <c r="C132" s="26" t="n">
        <v>339200</v>
      </c>
      <c r="D132" s="29" t="s">
        <v>42</v>
      </c>
      <c r="E132" s="33" t="n">
        <f aca="false">IF(D132="totale",(C132/(A132*24))/F132,IF(D132="marché libre",(C132/(A132*24))/G132,"spécifier histo"))</f>
        <v>0.525246519003023</v>
      </c>
      <c r="F132" s="9" t="n">
        <v>868</v>
      </c>
      <c r="G132" s="9" t="n">
        <f aca="false">F132-H132</f>
        <v>868</v>
      </c>
      <c r="H132" s="9" t="n">
        <v>0</v>
      </c>
      <c r="J132" s="103"/>
      <c r="K132" s="103"/>
    </row>
    <row r="133" customFormat="false" ht="24.7" hidden="false" customHeight="true" outlineLevel="0" collapsed="false">
      <c r="A133" s="0" t="n">
        <v>30</v>
      </c>
      <c r="B133" s="34" t="n">
        <v>36251</v>
      </c>
      <c r="C133" s="26" t="n">
        <v>453400</v>
      </c>
      <c r="D133" s="29" t="s">
        <v>42</v>
      </c>
      <c r="E133" s="33" t="n">
        <f aca="false">IF(D133="totale",(C133/(A133*24))/F133,IF(D133="marché libre",(C133/(A133*24))/G133,"spécifier histo"))</f>
        <v>0.725486431131592</v>
      </c>
      <c r="F133" s="9" t="n">
        <v>868</v>
      </c>
      <c r="G133" s="9" t="n">
        <f aca="false">F133-H133</f>
        <v>868</v>
      </c>
      <c r="H133" s="9" t="n">
        <v>0</v>
      </c>
      <c r="J133" s="103"/>
      <c r="K133" s="103"/>
    </row>
    <row r="134" customFormat="false" ht="24.7" hidden="false" customHeight="true" outlineLevel="0" collapsed="false">
      <c r="A134" s="0" t="n">
        <v>31</v>
      </c>
      <c r="B134" s="31" t="n">
        <v>36281</v>
      </c>
      <c r="C134" s="26" t="n">
        <v>300000</v>
      </c>
      <c r="D134" s="29" t="s">
        <v>42</v>
      </c>
      <c r="E134" s="33" t="n">
        <f aca="false">IF(D134="totale",(C134/(A134*24))/F134,IF(D134="marché libre",(C134/(A134*24))/G134,"spécifier histo"))</f>
        <v>0.464545859967296</v>
      </c>
      <c r="F134" s="9" t="n">
        <v>868</v>
      </c>
      <c r="G134" s="9" t="n">
        <f aca="false">F134-H134</f>
        <v>868</v>
      </c>
      <c r="H134" s="9" t="n">
        <v>0</v>
      </c>
      <c r="J134" s="103"/>
      <c r="K134" s="103"/>
    </row>
    <row r="135" customFormat="false" ht="24.7" hidden="false" customHeight="true" outlineLevel="0" collapsed="false">
      <c r="A135" s="0" t="n">
        <v>30</v>
      </c>
      <c r="B135" s="34" t="n">
        <v>36312</v>
      </c>
      <c r="C135" s="26" t="n">
        <v>422600</v>
      </c>
      <c r="D135" s="29" t="s">
        <v>42</v>
      </c>
      <c r="E135" s="33" t="n">
        <f aca="false">IF(D135="totale",(C135/(A135*24))/F135,IF(D135="marché libre",(C135/(A135*24))/G135,"spécifier histo"))</f>
        <v>0.676203277009729</v>
      </c>
      <c r="F135" s="9" t="n">
        <v>868</v>
      </c>
      <c r="G135" s="9" t="n">
        <f aca="false">F135-H135</f>
        <v>868</v>
      </c>
      <c r="H135" s="9" t="n">
        <v>0</v>
      </c>
      <c r="J135" s="103"/>
      <c r="K135" s="103"/>
    </row>
    <row r="136" customFormat="false" ht="24.7" hidden="false" customHeight="true" outlineLevel="0" collapsed="false">
      <c r="A136" s="0" t="n">
        <v>31</v>
      </c>
      <c r="B136" s="31" t="n">
        <v>36342</v>
      </c>
      <c r="C136" s="26" t="n">
        <v>146401</v>
      </c>
      <c r="D136" s="29" t="s">
        <v>42</v>
      </c>
      <c r="E136" s="33" t="n">
        <f aca="false">IF(D136="totale",(C136/(A136*24))/F136,IF(D136="marché libre",(C136/(A136*24))/G136,"spécifier histo"))</f>
        <v>0.22669992815024</v>
      </c>
      <c r="F136" s="9" t="n">
        <v>868</v>
      </c>
      <c r="G136" s="9" t="n">
        <f aca="false">F136-H136</f>
        <v>868</v>
      </c>
      <c r="H136" s="9" t="n">
        <v>0</v>
      </c>
      <c r="J136" s="103"/>
      <c r="K136" s="103"/>
    </row>
    <row r="137" customFormat="false" ht="24.7" hidden="false" customHeight="true" outlineLevel="0" collapsed="false">
      <c r="A137" s="0" t="n">
        <v>31</v>
      </c>
      <c r="B137" s="34" t="n">
        <v>36373</v>
      </c>
      <c r="C137" s="26" t="n">
        <v>0</v>
      </c>
      <c r="D137" s="29" t="s">
        <v>42</v>
      </c>
      <c r="E137" s="33" t="n">
        <f aca="false">IF(D137="totale",(C137/(A137*24))/F137,IF(D137="marché libre",(C137/(A137*24))/G137,"spécifier histo"))</f>
        <v>0</v>
      </c>
      <c r="F137" s="9" t="n">
        <v>868</v>
      </c>
      <c r="G137" s="9" t="n">
        <f aca="false">F137-H137</f>
        <v>868</v>
      </c>
      <c r="H137" s="9" t="n">
        <v>0</v>
      </c>
      <c r="J137" s="316" t="s">
        <v>432</v>
      </c>
      <c r="K137" s="103"/>
    </row>
    <row r="138" customFormat="false" ht="24.7" hidden="false" customHeight="true" outlineLevel="0" collapsed="false">
      <c r="A138" s="0" t="n">
        <v>30</v>
      </c>
      <c r="B138" s="31" t="n">
        <v>36404</v>
      </c>
      <c r="C138" s="26" t="n">
        <v>0</v>
      </c>
      <c r="D138" s="29" t="s">
        <v>42</v>
      </c>
      <c r="E138" s="33" t="n">
        <f aca="false">IF(D138="totale",(C138/(A138*24))/F138,IF(D138="marché libre",(C138/(A138*24))/G138,"spécifier histo"))</f>
        <v>0</v>
      </c>
      <c r="F138" s="9" t="n">
        <v>868</v>
      </c>
      <c r="G138" s="9" t="n">
        <f aca="false">F138-H138</f>
        <v>868</v>
      </c>
      <c r="H138" s="9" t="n">
        <v>0</v>
      </c>
      <c r="J138" s="316" t="s">
        <v>432</v>
      </c>
      <c r="K138" s="103"/>
    </row>
    <row r="139" customFormat="false" ht="24.7" hidden="false" customHeight="true" outlineLevel="0" collapsed="false">
      <c r="A139" s="0" t="n">
        <v>31</v>
      </c>
      <c r="B139" s="34" t="n">
        <v>36434</v>
      </c>
      <c r="C139" s="26" t="n">
        <v>304400</v>
      </c>
      <c r="D139" s="29" t="s">
        <v>42</v>
      </c>
      <c r="E139" s="33" t="n">
        <f aca="false">IF(D139="totale",(C139/(A139*24))/F139,IF(D139="marché libre",(C139/(A139*24))/G139,"spécifier histo"))</f>
        <v>0.471359199246816</v>
      </c>
      <c r="F139" s="9" t="n">
        <v>868</v>
      </c>
      <c r="G139" s="9" t="n">
        <f aca="false">F139-H139</f>
        <v>868</v>
      </c>
      <c r="H139" s="9" t="n">
        <v>0</v>
      </c>
      <c r="J139" s="103"/>
      <c r="K139" s="103"/>
    </row>
    <row r="140" customFormat="false" ht="24.7" hidden="false" customHeight="true" outlineLevel="0" collapsed="false">
      <c r="A140" s="0" t="n">
        <v>30</v>
      </c>
      <c r="B140" s="31" t="n">
        <v>36465</v>
      </c>
      <c r="C140" s="26" t="n">
        <v>472200</v>
      </c>
      <c r="D140" s="29" t="s">
        <v>42</v>
      </c>
      <c r="E140" s="33" t="n">
        <f aca="false">IF(D140="totale",(C140/(A140*24))/F140,IF(D140="marché libre",(C140/(A140*24))/G140,"spécifier histo"))</f>
        <v>0.755568356374808</v>
      </c>
      <c r="F140" s="9" t="n">
        <v>868</v>
      </c>
      <c r="G140" s="9" t="n">
        <f aca="false">F140-H140</f>
        <v>868</v>
      </c>
      <c r="H140" s="9" t="n">
        <v>0</v>
      </c>
      <c r="J140" s="103"/>
      <c r="K140" s="103"/>
    </row>
    <row r="141" customFormat="false" ht="24.7" hidden="false" customHeight="true" outlineLevel="0" collapsed="false">
      <c r="A141" s="0" t="n">
        <v>31</v>
      </c>
      <c r="B141" s="34" t="n">
        <v>36495</v>
      </c>
      <c r="C141" s="26" t="n">
        <v>436600</v>
      </c>
      <c r="D141" s="29" t="s">
        <v>42</v>
      </c>
      <c r="E141" s="33" t="n">
        <f aca="false">IF(D141="totale",(C141/(A141*24))/F141,IF(D141="marché libre",(C141/(A141*24))/G141,"spécifier histo"))</f>
        <v>0.676069074872405</v>
      </c>
      <c r="F141" s="9" t="n">
        <v>868</v>
      </c>
      <c r="G141" s="9" t="n">
        <f aca="false">F141-H141</f>
        <v>868</v>
      </c>
      <c r="H141" s="9" t="n">
        <v>0</v>
      </c>
      <c r="J141" s="103"/>
      <c r="K141" s="103"/>
    </row>
    <row r="142" customFormat="false" ht="24.7" hidden="false" customHeight="true" outlineLevel="0" collapsed="false">
      <c r="A142" s="0" t="n">
        <v>31</v>
      </c>
      <c r="B142" s="31" t="n">
        <v>36526</v>
      </c>
      <c r="C142" s="26" t="n">
        <v>319600</v>
      </c>
      <c r="D142" s="29" t="s">
        <v>42</v>
      </c>
      <c r="E142" s="33" t="n">
        <f aca="false">IF(D142="totale",(C142/(A142*24))/F142,IF(D142="marché libre",(C142/(A142*24))/G142,"spécifier histo"))</f>
        <v>0.494896189485159</v>
      </c>
      <c r="F142" s="9" t="n">
        <v>868</v>
      </c>
      <c r="G142" s="9" t="n">
        <f aca="false">F142-H142</f>
        <v>868</v>
      </c>
      <c r="H142" s="9" t="n">
        <v>0</v>
      </c>
      <c r="J142" s="103"/>
      <c r="K142" s="103"/>
    </row>
    <row r="143" customFormat="false" ht="24.7" hidden="false" customHeight="true" outlineLevel="0" collapsed="false">
      <c r="A143" s="0" t="n">
        <v>28</v>
      </c>
      <c r="B143" s="34" t="n">
        <v>36557</v>
      </c>
      <c r="C143" s="26" t="n">
        <v>270600</v>
      </c>
      <c r="D143" s="29" t="s">
        <v>42</v>
      </c>
      <c r="E143" s="33" t="n">
        <f aca="false">IF(D143="totale",(C143/(A143*24))/F143,IF(D143="marché libre",(C143/(A143*24))/G143,"spécifier histo"))</f>
        <v>0.463915404871626</v>
      </c>
      <c r="F143" s="9" t="n">
        <v>868</v>
      </c>
      <c r="G143" s="9" t="n">
        <f aca="false">F143-H143</f>
        <v>868</v>
      </c>
      <c r="H143" s="9" t="n">
        <v>0</v>
      </c>
      <c r="J143" s="103"/>
      <c r="K143" s="103"/>
    </row>
    <row r="144" customFormat="false" ht="24.7" hidden="false" customHeight="true" outlineLevel="0" collapsed="false">
      <c r="A144" s="0" t="n">
        <v>31</v>
      </c>
      <c r="B144" s="31" t="n">
        <v>36586</v>
      </c>
      <c r="C144" s="26" t="n">
        <v>390200</v>
      </c>
      <c r="D144" s="29" t="s">
        <v>42</v>
      </c>
      <c r="E144" s="33" t="n">
        <f aca="false">IF(D144="totale",(C144/(A144*24))/F144,IF(D144="marché libre",(C144/(A144*24))/G144,"spécifier histo"))</f>
        <v>0.604219315197463</v>
      </c>
      <c r="F144" s="9" t="n">
        <v>868</v>
      </c>
      <c r="G144" s="9" t="n">
        <f aca="false">F144-H144</f>
        <v>868</v>
      </c>
      <c r="H144" s="9" t="n">
        <v>0</v>
      </c>
      <c r="J144" s="103"/>
      <c r="K144" s="103"/>
    </row>
    <row r="145" customFormat="false" ht="24.7" hidden="false" customHeight="true" outlineLevel="0" collapsed="false">
      <c r="A145" s="0" t="n">
        <v>30</v>
      </c>
      <c r="B145" s="34" t="n">
        <v>36617</v>
      </c>
      <c r="C145" s="26" t="n">
        <v>433600</v>
      </c>
      <c r="D145" s="29" t="s">
        <v>42</v>
      </c>
      <c r="E145" s="33" t="n">
        <f aca="false">IF(D145="totale",(C145/(A145*24))/F145,IF(D145="marché libre",(C145/(A145*24))/G145,"spécifier histo"))</f>
        <v>0.693804403481823</v>
      </c>
      <c r="F145" s="9" t="n">
        <v>868</v>
      </c>
      <c r="G145" s="9" t="n">
        <f aca="false">F145-H145</f>
        <v>868</v>
      </c>
      <c r="H145" s="9" t="n">
        <v>0</v>
      </c>
      <c r="J145" s="103"/>
      <c r="K145" s="103"/>
    </row>
    <row r="146" customFormat="false" ht="24.7" hidden="false" customHeight="true" outlineLevel="0" collapsed="false">
      <c r="A146" s="0" t="n">
        <v>31</v>
      </c>
      <c r="B146" s="31" t="n">
        <v>36647</v>
      </c>
      <c r="C146" s="26" t="n">
        <v>420800</v>
      </c>
      <c r="D146" s="29" t="s">
        <v>42</v>
      </c>
      <c r="E146" s="33" t="n">
        <f aca="false">IF(D146="totale",(C146/(A146*24))/F146,IF(D146="marché libre",(C146/(A146*24))/G146,"spécifier histo"))</f>
        <v>0.651602992914127</v>
      </c>
      <c r="F146" s="9" t="n">
        <v>868</v>
      </c>
      <c r="G146" s="9" t="n">
        <f aca="false">F146-H146</f>
        <v>868</v>
      </c>
      <c r="H146" s="9" t="n">
        <v>0</v>
      </c>
      <c r="J146" s="103"/>
      <c r="K146" s="103"/>
    </row>
    <row r="147" customFormat="false" ht="24.7" hidden="false" customHeight="true" outlineLevel="0" collapsed="false">
      <c r="A147" s="0" t="n">
        <v>30</v>
      </c>
      <c r="B147" s="34" t="n">
        <v>36678</v>
      </c>
      <c r="C147" s="26" t="n">
        <v>371000</v>
      </c>
      <c r="D147" s="29" t="s">
        <v>42</v>
      </c>
      <c r="E147" s="33" t="n">
        <f aca="false">IF(D147="totale",(C147/(A147*24))/F147,IF(D147="marché libre",(C147/(A147*24))/G147,"spécifier histo"))</f>
        <v>0.593637992831541</v>
      </c>
      <c r="F147" s="9" t="n">
        <v>868</v>
      </c>
      <c r="G147" s="9" t="n">
        <f aca="false">F147-H147</f>
        <v>868</v>
      </c>
      <c r="H147" s="9" t="n">
        <v>0</v>
      </c>
      <c r="J147" s="103"/>
      <c r="K147" s="103"/>
    </row>
    <row r="148" customFormat="false" ht="24.7" hidden="false" customHeight="true" outlineLevel="0" collapsed="false">
      <c r="A148" s="0" t="n">
        <v>31</v>
      </c>
      <c r="B148" s="31" t="n">
        <v>36708</v>
      </c>
      <c r="C148" s="26" t="n">
        <v>0</v>
      </c>
      <c r="D148" s="29" t="s">
        <v>42</v>
      </c>
      <c r="E148" s="33" t="n">
        <f aca="false">IF(D148="totale",(C148/(A148*24))/F148,IF(D148="marché libre",(C148/(A148*24))/G148,"spécifier histo"))</f>
        <v>0</v>
      </c>
      <c r="F148" s="9" t="n">
        <v>868</v>
      </c>
      <c r="G148" s="9" t="n">
        <f aca="false">F148-H148</f>
        <v>868</v>
      </c>
      <c r="H148" s="9" t="n">
        <v>0</v>
      </c>
      <c r="J148" s="316" t="s">
        <v>432</v>
      </c>
      <c r="K148" s="103"/>
    </row>
    <row r="149" customFormat="false" ht="24.7" hidden="false" customHeight="true" outlineLevel="0" collapsed="false">
      <c r="A149" s="0" t="n">
        <v>31</v>
      </c>
      <c r="B149" s="34" t="n">
        <v>36739</v>
      </c>
      <c r="C149" s="26" t="n">
        <v>0</v>
      </c>
      <c r="D149" s="29" t="s">
        <v>42</v>
      </c>
      <c r="E149" s="33" t="n">
        <f aca="false">IF(D149="totale",(C149/(A149*24))/F149,IF(D149="marché libre",(C149/(A149*24))/G149,"spécifier histo"))</f>
        <v>0</v>
      </c>
      <c r="F149" s="9" t="n">
        <v>868</v>
      </c>
      <c r="G149" s="9" t="n">
        <f aca="false">F149-H149</f>
        <v>868</v>
      </c>
      <c r="H149" s="9" t="n">
        <v>0</v>
      </c>
      <c r="J149" s="316" t="s">
        <v>432</v>
      </c>
      <c r="K149" s="103"/>
    </row>
    <row r="150" customFormat="false" ht="24.7" hidden="false" customHeight="true" outlineLevel="0" collapsed="false">
      <c r="A150" s="0" t="n">
        <v>30</v>
      </c>
      <c r="B150" s="31" t="n">
        <v>36770</v>
      </c>
      <c r="C150" s="26" t="n">
        <v>0</v>
      </c>
      <c r="D150" s="29" t="s">
        <v>42</v>
      </c>
      <c r="E150" s="33" t="n">
        <f aca="false">IF(D150="totale",(C150/(A150*24))/F150,IF(D150="marché libre",(C150/(A150*24))/G150,"spécifier histo"))</f>
        <v>0</v>
      </c>
      <c r="F150" s="9" t="n">
        <v>868</v>
      </c>
      <c r="G150" s="9" t="n">
        <f aca="false">F150-H150</f>
        <v>868</v>
      </c>
      <c r="H150" s="9" t="n">
        <v>0</v>
      </c>
      <c r="J150" s="316" t="s">
        <v>432</v>
      </c>
      <c r="K150" s="103"/>
    </row>
    <row r="151" customFormat="false" ht="24.7" hidden="false" customHeight="true" outlineLevel="0" collapsed="false">
      <c r="A151" s="0" t="n">
        <v>31</v>
      </c>
      <c r="B151" s="34" t="n">
        <v>36800</v>
      </c>
      <c r="C151" s="26" t="n">
        <v>120000</v>
      </c>
      <c r="D151" s="29" t="s">
        <v>42</v>
      </c>
      <c r="E151" s="33" t="n">
        <f aca="false">IF(D151="totale",(C151/(A151*24))/F151,IF(D151="marché libre",(C151/(A151*24))/G151,"spécifier histo"))</f>
        <v>0.185818343986918</v>
      </c>
      <c r="F151" s="9" t="n">
        <v>868</v>
      </c>
      <c r="G151" s="9" t="n">
        <f aca="false">F151-H151</f>
        <v>868</v>
      </c>
      <c r="H151" s="9" t="n">
        <v>0</v>
      </c>
      <c r="J151" s="103"/>
      <c r="K151" s="103"/>
    </row>
    <row r="152" customFormat="false" ht="24.7" hidden="false" customHeight="true" outlineLevel="0" collapsed="false">
      <c r="A152" s="0" t="n">
        <v>30</v>
      </c>
      <c r="B152" s="31" t="n">
        <v>36831</v>
      </c>
      <c r="C152" s="26" t="n">
        <v>331800</v>
      </c>
      <c r="D152" s="29" t="s">
        <v>42</v>
      </c>
      <c r="E152" s="33" t="n">
        <f aca="false">IF(D152="totale",(C152/(A152*24))/F152,IF(D152="marché libre",(C152/(A152*24))/G152,"spécifier histo"))</f>
        <v>0.530913978494624</v>
      </c>
      <c r="F152" s="9" t="n">
        <v>868</v>
      </c>
      <c r="G152" s="9" t="n">
        <f aca="false">F152-H152</f>
        <v>868</v>
      </c>
      <c r="H152" s="9" t="n">
        <v>0</v>
      </c>
      <c r="J152" s="103"/>
      <c r="K152" s="103"/>
    </row>
    <row r="153" customFormat="false" ht="24.7" hidden="false" customHeight="true" outlineLevel="0" collapsed="false">
      <c r="A153" s="0" t="n">
        <v>31</v>
      </c>
      <c r="B153" s="34" t="n">
        <v>36861</v>
      </c>
      <c r="C153" s="26" t="n">
        <v>431400</v>
      </c>
      <c r="D153" s="29" t="s">
        <v>42</v>
      </c>
      <c r="E153" s="33" t="n">
        <f aca="false">IF(D153="totale",(C153/(A153*24))/F153,IF(D153="marché libre",(C153/(A153*24))/G153,"spécifier histo"))</f>
        <v>0.668016946632972</v>
      </c>
      <c r="F153" s="9" t="n">
        <v>868</v>
      </c>
      <c r="G153" s="9" t="n">
        <f aca="false">F153-H153</f>
        <v>868</v>
      </c>
      <c r="H153" s="9" t="n">
        <v>0</v>
      </c>
      <c r="J153" s="103"/>
      <c r="K153" s="103"/>
    </row>
    <row r="154" customFormat="false" ht="24.7" hidden="false" customHeight="true" outlineLevel="0" collapsed="false">
      <c r="A154" s="0" t="n">
        <v>31</v>
      </c>
      <c r="B154" s="31" t="n">
        <v>36892</v>
      </c>
      <c r="C154" s="26" t="n">
        <v>369800</v>
      </c>
      <c r="D154" s="29" t="s">
        <v>42</v>
      </c>
      <c r="E154" s="33" t="n">
        <f aca="false">IF(D154="totale",(C154/(A154*24))/F154,IF(D154="marché libre",(C154/(A154*24))/G154,"spécifier histo"))</f>
        <v>0.572630196719687</v>
      </c>
      <c r="F154" s="9" t="n">
        <v>868</v>
      </c>
      <c r="G154" s="9" t="n">
        <f aca="false">F154-H154</f>
        <v>868</v>
      </c>
      <c r="H154" s="9" t="n">
        <v>0</v>
      </c>
      <c r="J154" s="103"/>
      <c r="K154" s="103"/>
    </row>
    <row r="155" customFormat="false" ht="24.7" hidden="false" customHeight="true" outlineLevel="0" collapsed="false">
      <c r="A155" s="0" t="n">
        <v>28</v>
      </c>
      <c r="B155" s="34" t="n">
        <v>36923</v>
      </c>
      <c r="C155" s="26" t="n">
        <v>414600</v>
      </c>
      <c r="D155" s="29" t="s">
        <v>42</v>
      </c>
      <c r="E155" s="33" t="n">
        <f aca="false">IF(D155="totale",(C155/(A155*24))/F155,IF(D155="marché libre",(C155/(A155*24))/G155,"spécifier histo"))</f>
        <v>0.710788347597103</v>
      </c>
      <c r="F155" s="9" t="n">
        <v>868</v>
      </c>
      <c r="G155" s="9" t="n">
        <f aca="false">F155-H155</f>
        <v>868</v>
      </c>
      <c r="H155" s="9" t="n">
        <v>0</v>
      </c>
      <c r="J155" s="103"/>
      <c r="K155" s="103"/>
    </row>
    <row r="156" customFormat="false" ht="24.7" hidden="false" customHeight="true" outlineLevel="0" collapsed="false">
      <c r="A156" s="0" t="n">
        <v>31</v>
      </c>
      <c r="B156" s="31" t="n">
        <v>36951</v>
      </c>
      <c r="C156" s="26" t="n">
        <v>423000</v>
      </c>
      <c r="D156" s="29" t="s">
        <v>42</v>
      </c>
      <c r="E156" s="33" t="n">
        <f aca="false">IF(D156="totale",(C156/(A156*24))/F156,IF(D156="marché libre",(C156/(A156*24))/G156,"spécifier histo"))</f>
        <v>0.655009662553887</v>
      </c>
      <c r="F156" s="9" t="n">
        <v>868</v>
      </c>
      <c r="G156" s="9" t="n">
        <f aca="false">F156-H156</f>
        <v>868</v>
      </c>
      <c r="H156" s="9" t="n">
        <v>0</v>
      </c>
      <c r="J156" s="103"/>
      <c r="K156" s="103"/>
    </row>
    <row r="157" customFormat="false" ht="24.7" hidden="false" customHeight="true" outlineLevel="0" collapsed="false">
      <c r="A157" s="0" t="n">
        <v>30</v>
      </c>
      <c r="B157" s="34" t="n">
        <v>36982</v>
      </c>
      <c r="C157" s="26" t="n">
        <v>474400</v>
      </c>
      <c r="D157" s="29" t="s">
        <v>42</v>
      </c>
      <c r="E157" s="33" t="n">
        <f aca="false">IF(D157="totale",(C157/(A157*24))/F157,IF(D157="marché libre",(C157/(A157*24))/G157,"spécifier histo"))</f>
        <v>0.759088581669227</v>
      </c>
      <c r="F157" s="9" t="n">
        <v>868</v>
      </c>
      <c r="G157" s="9" t="n">
        <f aca="false">F157-H157</f>
        <v>868</v>
      </c>
      <c r="H157" s="9" t="n">
        <v>0</v>
      </c>
      <c r="J157" s="103"/>
      <c r="K157" s="103"/>
    </row>
    <row r="158" customFormat="false" ht="24.7" hidden="false" customHeight="true" outlineLevel="0" collapsed="false">
      <c r="A158" s="0" t="n">
        <v>31</v>
      </c>
      <c r="B158" s="31" t="n">
        <v>37012</v>
      </c>
      <c r="C158" s="26" t="n">
        <v>239000</v>
      </c>
      <c r="D158" s="29" t="s">
        <v>42</v>
      </c>
      <c r="E158" s="33" t="n">
        <f aca="false">IF(D158="totale",(C158/(A158*24))/F158,IF(D158="marché libre",(C158/(A158*24))/G158,"spécifier histo"))</f>
        <v>0.370088201773946</v>
      </c>
      <c r="F158" s="9" t="n">
        <v>868</v>
      </c>
      <c r="G158" s="9" t="n">
        <f aca="false">F158-H158</f>
        <v>868</v>
      </c>
      <c r="H158" s="9" t="n">
        <v>0</v>
      </c>
      <c r="J158" s="103"/>
      <c r="K158" s="103"/>
    </row>
    <row r="159" customFormat="false" ht="24.7" hidden="false" customHeight="true" outlineLevel="0" collapsed="false">
      <c r="A159" s="0" t="n">
        <v>30</v>
      </c>
      <c r="B159" s="34" t="n">
        <v>37043</v>
      </c>
      <c r="C159" s="26" t="n">
        <v>0</v>
      </c>
      <c r="D159" s="29" t="s">
        <v>42</v>
      </c>
      <c r="E159" s="33" t="n">
        <f aca="false">IF(D159="totale",(C159/(A159*24))/F159,IF(D159="marché libre",(C159/(A159*24))/G159,"spécifier histo"))</f>
        <v>0</v>
      </c>
      <c r="F159" s="9" t="n">
        <v>868</v>
      </c>
      <c r="G159" s="9" t="n">
        <f aca="false">F159-H159</f>
        <v>868</v>
      </c>
      <c r="H159" s="9" t="n">
        <v>0</v>
      </c>
      <c r="J159" s="316" t="s">
        <v>432</v>
      </c>
      <c r="K159" s="103"/>
    </row>
    <row r="160" customFormat="false" ht="24.7" hidden="false" customHeight="true" outlineLevel="0" collapsed="false">
      <c r="A160" s="0" t="n">
        <v>31</v>
      </c>
      <c r="B160" s="31" t="n">
        <v>37073</v>
      </c>
      <c r="C160" s="26" t="n">
        <v>0</v>
      </c>
      <c r="D160" s="29" t="s">
        <v>42</v>
      </c>
      <c r="E160" s="33" t="n">
        <f aca="false">IF(D160="totale",(C160/(A160*24))/F160,IF(D160="marché libre",(C160/(A160*24))/G160,"spécifier histo"))</f>
        <v>0</v>
      </c>
      <c r="F160" s="9" t="n">
        <v>868</v>
      </c>
      <c r="G160" s="9" t="n">
        <f aca="false">F160-H160</f>
        <v>868</v>
      </c>
      <c r="H160" s="9" t="n">
        <v>0</v>
      </c>
      <c r="J160" s="316" t="s">
        <v>432</v>
      </c>
      <c r="K160" s="103"/>
    </row>
    <row r="161" customFormat="false" ht="24.7" hidden="false" customHeight="true" outlineLevel="0" collapsed="false">
      <c r="A161" s="0" t="n">
        <v>31</v>
      </c>
      <c r="B161" s="34" t="n">
        <v>37104</v>
      </c>
      <c r="C161" s="26" t="n">
        <v>0</v>
      </c>
      <c r="D161" s="29" t="s">
        <v>42</v>
      </c>
      <c r="E161" s="33" t="n">
        <f aca="false">IF(D161="totale",(C161/(A161*24))/F161,IF(D161="marché libre",(C161/(A161*24))/G161,"spécifier histo"))</f>
        <v>0</v>
      </c>
      <c r="F161" s="9" t="n">
        <v>868</v>
      </c>
      <c r="G161" s="9" t="n">
        <f aca="false">F161-H161</f>
        <v>868</v>
      </c>
      <c r="H161" s="9" t="n">
        <v>0</v>
      </c>
      <c r="J161" s="316" t="s">
        <v>432</v>
      </c>
      <c r="K161" s="103"/>
    </row>
    <row r="162" customFormat="false" ht="24.7" hidden="false" customHeight="true" outlineLevel="0" collapsed="false">
      <c r="A162" s="0" t="n">
        <v>30</v>
      </c>
      <c r="B162" s="31" t="n">
        <v>37135</v>
      </c>
      <c r="C162" s="26" t="n">
        <v>104200</v>
      </c>
      <c r="D162" s="29" t="s">
        <v>42</v>
      </c>
      <c r="E162" s="33" t="n">
        <f aca="false">IF(D162="totale",(C162/(A162*24))/F162,IF(D162="marché libre",(C162/(A162*24))/G162,"spécifier histo"))</f>
        <v>0.166730670762929</v>
      </c>
      <c r="F162" s="9" t="n">
        <v>868</v>
      </c>
      <c r="G162" s="9" t="n">
        <f aca="false">F162-H162</f>
        <v>868</v>
      </c>
      <c r="H162" s="9" t="n">
        <v>0</v>
      </c>
      <c r="J162" s="316" t="s">
        <v>432</v>
      </c>
      <c r="K162" s="103"/>
    </row>
    <row r="163" customFormat="false" ht="24.7" hidden="false" customHeight="true" outlineLevel="0" collapsed="false">
      <c r="A163" s="0" t="n">
        <v>31</v>
      </c>
      <c r="B163" s="34" t="n">
        <v>37165</v>
      </c>
      <c r="C163" s="26" t="n">
        <v>0</v>
      </c>
      <c r="D163" s="29" t="s">
        <v>42</v>
      </c>
      <c r="E163" s="33" t="n">
        <f aca="false">IF(D163="totale",(C163/(A163*24))/F163,IF(D163="marché libre",(C163/(A163*24))/G163,"spécifier histo"))</f>
        <v>0</v>
      </c>
      <c r="F163" s="9" t="n">
        <v>868</v>
      </c>
      <c r="G163" s="9" t="n">
        <f aca="false">F163-H163</f>
        <v>868</v>
      </c>
      <c r="H163" s="9" t="n">
        <v>0</v>
      </c>
      <c r="J163" s="316" t="s">
        <v>432</v>
      </c>
      <c r="K163" s="103"/>
    </row>
    <row r="164" customFormat="false" ht="24.7" hidden="false" customHeight="true" outlineLevel="0" collapsed="false">
      <c r="A164" s="0" t="n">
        <v>30</v>
      </c>
      <c r="B164" s="31" t="n">
        <v>37196</v>
      </c>
      <c r="C164" s="26" t="n">
        <v>395800</v>
      </c>
      <c r="D164" s="29" t="s">
        <v>42</v>
      </c>
      <c r="E164" s="33" t="n">
        <f aca="false">IF(D164="totale",(C164/(A164*24))/F164,IF(D164="marché libre",(C164/(A164*24))/G164,"spécifier histo"))</f>
        <v>0.633320532514081</v>
      </c>
      <c r="F164" s="9" t="n">
        <v>868</v>
      </c>
      <c r="G164" s="9" t="n">
        <f aca="false">F164-H164</f>
        <v>868</v>
      </c>
      <c r="H164" s="9" t="n">
        <v>0</v>
      </c>
      <c r="J164" s="103"/>
      <c r="K164" s="103"/>
    </row>
    <row r="165" customFormat="false" ht="24.7" hidden="false" customHeight="true" outlineLevel="0" collapsed="false">
      <c r="A165" s="0" t="n">
        <v>31</v>
      </c>
      <c r="B165" s="34" t="n">
        <v>37226</v>
      </c>
      <c r="C165" s="26" t="n">
        <v>187800</v>
      </c>
      <c r="D165" s="29" t="s">
        <v>42</v>
      </c>
      <c r="E165" s="33" t="n">
        <f aca="false">IF(D165="totale",(C165/(A165*24))/F165,IF(D165="marché libre",(C165/(A165*24))/G165,"spécifier histo"))</f>
        <v>0.290805708339527</v>
      </c>
      <c r="F165" s="9" t="n">
        <v>868</v>
      </c>
      <c r="G165" s="9" t="n">
        <f aca="false">F165-H165</f>
        <v>868</v>
      </c>
      <c r="H165" s="9" t="n">
        <v>0</v>
      </c>
      <c r="J165" s="103"/>
      <c r="K165" s="103"/>
    </row>
    <row r="166" customFormat="false" ht="24.7" hidden="false" customHeight="true" outlineLevel="0" collapsed="false">
      <c r="A166" s="0" t="n">
        <v>31</v>
      </c>
      <c r="B166" s="31" t="n">
        <v>37257</v>
      </c>
      <c r="C166" s="26" t="n">
        <v>140000</v>
      </c>
      <c r="D166" s="29" t="s">
        <v>42</v>
      </c>
      <c r="E166" s="33" t="n">
        <f aca="false">IF(D166="totale",(C166/(A166*24))/F166,IF(D166="marché libre",(C166/(A166*24))/G166,"spécifier histo"))</f>
        <v>0.216788067984738</v>
      </c>
      <c r="F166" s="9" t="n">
        <v>868</v>
      </c>
      <c r="G166" s="9" t="n">
        <f aca="false">F166-H166</f>
        <v>868</v>
      </c>
      <c r="H166" s="9" t="n">
        <v>0</v>
      </c>
      <c r="J166" s="103"/>
      <c r="K166" s="103"/>
    </row>
    <row r="167" customFormat="false" ht="24.7" hidden="false" customHeight="true" outlineLevel="0" collapsed="false">
      <c r="A167" s="0" t="n">
        <v>28</v>
      </c>
      <c r="B167" s="34" t="n">
        <v>37288</v>
      </c>
      <c r="C167" s="26" t="n">
        <v>49200</v>
      </c>
      <c r="D167" s="29" t="s">
        <v>42</v>
      </c>
      <c r="E167" s="33" t="n">
        <f aca="false">IF(D167="totale",(C167/(A167*24))/F167,IF(D167="marché libre",(C167/(A167*24))/G167,"spécifier histo"))</f>
        <v>0.0843482554312047</v>
      </c>
      <c r="F167" s="9" t="n">
        <v>868</v>
      </c>
      <c r="G167" s="9" t="n">
        <f aca="false">F167-H167</f>
        <v>868</v>
      </c>
      <c r="H167" s="9" t="n">
        <v>0</v>
      </c>
      <c r="J167" s="103"/>
      <c r="K167" s="103"/>
    </row>
    <row r="168" customFormat="false" ht="24.7" hidden="false" customHeight="true" outlineLevel="0" collapsed="false">
      <c r="A168" s="0" t="n">
        <v>31</v>
      </c>
      <c r="B168" s="31" t="n">
        <v>37316</v>
      </c>
      <c r="C168" s="26" t="n">
        <v>229400</v>
      </c>
      <c r="D168" s="29" t="s">
        <v>42</v>
      </c>
      <c r="E168" s="33" t="n">
        <f aca="false">IF(D168="totale",(C168/(A168*24))/F168,IF(D168="marché libre",(C168/(A168*24))/G168,"spécifier histo"))</f>
        <v>0.355222734254992</v>
      </c>
      <c r="F168" s="9" t="n">
        <v>868</v>
      </c>
      <c r="G168" s="9" t="n">
        <f aca="false">F168-H168</f>
        <v>868</v>
      </c>
      <c r="H168" s="9" t="n">
        <v>0</v>
      </c>
      <c r="J168" s="103"/>
      <c r="K168" s="103"/>
    </row>
    <row r="169" customFormat="false" ht="27.35" hidden="false" customHeight="true" outlineLevel="0" collapsed="false">
      <c r="A169" s="0" t="n">
        <v>30</v>
      </c>
      <c r="B169" s="34" t="n">
        <v>37347</v>
      </c>
      <c r="C169" s="26" t="n">
        <v>428800</v>
      </c>
      <c r="D169" s="29" t="s">
        <v>42</v>
      </c>
      <c r="E169" s="33" t="n">
        <f aca="false">IF(D169="totale",(C169/(A169*24))/F169,IF(D169="marché libre",(C169/(A169*24))/G169,"spécifier histo"))</f>
        <v>0.686123911930364</v>
      </c>
      <c r="F169" s="9" t="n">
        <v>868</v>
      </c>
      <c r="G169" s="9" t="n">
        <f aca="false">F169-H169</f>
        <v>868</v>
      </c>
      <c r="H169" s="9" t="n">
        <v>0</v>
      </c>
      <c r="J169" s="103"/>
      <c r="K169" s="103"/>
    </row>
    <row r="170" customFormat="false" ht="27.35" hidden="false" customHeight="true" outlineLevel="0" collapsed="false">
      <c r="A170" s="0" t="n">
        <v>31</v>
      </c>
      <c r="B170" s="31" t="n">
        <v>37377</v>
      </c>
      <c r="C170" s="26" t="n">
        <v>0</v>
      </c>
      <c r="D170" s="29" t="s">
        <v>42</v>
      </c>
      <c r="E170" s="33" t="n">
        <f aca="false">IF(D170="totale",(C170/(A170*24))/F170,IF(D170="marché libre",(C170/(A170*24))/G170,"spécifier histo"))</f>
        <v>0</v>
      </c>
      <c r="F170" s="9" t="n">
        <v>868</v>
      </c>
      <c r="G170" s="9" t="n">
        <f aca="false">F170-H170</f>
        <v>868</v>
      </c>
      <c r="H170" s="9" t="n">
        <v>0</v>
      </c>
      <c r="J170" s="103"/>
      <c r="K170" s="103"/>
    </row>
    <row r="171" customFormat="false" ht="27.35" hidden="false" customHeight="true" outlineLevel="0" collapsed="false">
      <c r="A171" s="0" t="n">
        <v>30</v>
      </c>
      <c r="B171" s="34" t="n">
        <v>37408</v>
      </c>
      <c r="C171" s="26" t="n">
        <v>377800</v>
      </c>
      <c r="D171" s="29" t="s">
        <v>42</v>
      </c>
      <c r="E171" s="33" t="n">
        <f aca="false">IF(D171="totale",(C171/(A171*24))/F171,IF(D171="marché libre",(C171/(A171*24))/G171,"spécifier histo"))</f>
        <v>0.604518689196109</v>
      </c>
      <c r="F171" s="9" t="n">
        <v>868</v>
      </c>
      <c r="G171" s="9" t="n">
        <f aca="false">F171-H171</f>
        <v>868</v>
      </c>
      <c r="H171" s="9" t="n">
        <v>0</v>
      </c>
      <c r="J171" s="103"/>
      <c r="K171" s="103"/>
    </row>
    <row r="172" customFormat="false" ht="27.35" hidden="false" customHeight="true" outlineLevel="0" collapsed="false">
      <c r="A172" s="0" t="n">
        <v>31</v>
      </c>
      <c r="B172" s="31" t="n">
        <v>37438</v>
      </c>
      <c r="C172" s="26" t="n">
        <v>90800</v>
      </c>
      <c r="D172" s="29" t="s">
        <v>42</v>
      </c>
      <c r="E172" s="33" t="n">
        <f aca="false">IF(D172="totale",(C172/(A172*24))/F172,IF(D172="marché libre",(C172/(A172*24))/G172,"spécifier histo"))</f>
        <v>0.140602546950102</v>
      </c>
      <c r="F172" s="9" t="n">
        <v>868</v>
      </c>
      <c r="G172" s="9" t="n">
        <f aca="false">F172-H172</f>
        <v>868</v>
      </c>
      <c r="H172" s="9" t="n">
        <v>0</v>
      </c>
      <c r="J172" s="316" t="s">
        <v>432</v>
      </c>
      <c r="K172" s="103"/>
    </row>
    <row r="173" customFormat="false" ht="27.35" hidden="false" customHeight="true" outlineLevel="0" collapsed="false">
      <c r="A173" s="0" t="n">
        <v>31</v>
      </c>
      <c r="B173" s="34" t="n">
        <v>37469</v>
      </c>
      <c r="C173" s="26" t="n">
        <v>0</v>
      </c>
      <c r="D173" s="29" t="s">
        <v>42</v>
      </c>
      <c r="E173" s="33" t="n">
        <f aca="false">IF(D173="totale",(C173/(A173*24))/F173,IF(D173="marché libre",(C173/(A173*24))/G173,"spécifier histo"))</f>
        <v>0</v>
      </c>
      <c r="F173" s="9" t="n">
        <v>868</v>
      </c>
      <c r="G173" s="9" t="n">
        <f aca="false">F173-H173</f>
        <v>868</v>
      </c>
      <c r="H173" s="9" t="n">
        <v>0</v>
      </c>
      <c r="J173" s="316" t="s">
        <v>432</v>
      </c>
      <c r="K173" s="103"/>
    </row>
    <row r="174" customFormat="false" ht="27.35" hidden="false" customHeight="true" outlineLevel="0" collapsed="false">
      <c r="A174" s="0" t="n">
        <v>30</v>
      </c>
      <c r="B174" s="31" t="n">
        <v>37500</v>
      </c>
      <c r="C174" s="26" t="n">
        <v>0</v>
      </c>
      <c r="D174" s="29" t="s">
        <v>42</v>
      </c>
      <c r="E174" s="33" t="n">
        <f aca="false">IF(D174="totale",(C174/(A174*24))/F174,IF(D174="marché libre",(C174/(A174*24))/G174,"spécifier histo"))</f>
        <v>0</v>
      </c>
      <c r="F174" s="9" t="n">
        <v>868</v>
      </c>
      <c r="G174" s="9" t="n">
        <f aca="false">F174-H174</f>
        <v>868</v>
      </c>
      <c r="H174" s="9" t="n">
        <v>0</v>
      </c>
      <c r="J174" s="316" t="s">
        <v>432</v>
      </c>
      <c r="K174" s="103"/>
    </row>
    <row r="175" customFormat="false" ht="27.35" hidden="false" customHeight="true" outlineLevel="0" collapsed="false">
      <c r="A175" s="0" t="n">
        <v>31</v>
      </c>
      <c r="B175" s="34" t="n">
        <v>37530</v>
      </c>
      <c r="C175" s="26" t="n">
        <v>4800</v>
      </c>
      <c r="D175" s="29" t="s">
        <v>42</v>
      </c>
      <c r="E175" s="33" t="n">
        <f aca="false">IF(D175="totale",(C175/(A175*24))/F175,IF(D175="marché libre",(C175/(A175*24))/G175,"spécifier histo"))</f>
        <v>0.00743273375947674</v>
      </c>
      <c r="F175" s="9" t="n">
        <v>868</v>
      </c>
      <c r="G175" s="9" t="n">
        <f aca="false">F175-H175</f>
        <v>868</v>
      </c>
      <c r="H175" s="9" t="n">
        <v>0</v>
      </c>
      <c r="J175" s="316" t="s">
        <v>432</v>
      </c>
      <c r="K175" s="103"/>
    </row>
    <row r="176" customFormat="false" ht="27.35" hidden="false" customHeight="true" outlineLevel="0" collapsed="false">
      <c r="A176" s="0" t="n">
        <v>30</v>
      </c>
      <c r="B176" s="31" t="n">
        <v>37561</v>
      </c>
      <c r="C176" s="26" t="n">
        <v>130800</v>
      </c>
      <c r="D176" s="29" t="s">
        <v>42</v>
      </c>
      <c r="E176" s="33" t="n">
        <f aca="false">IF(D176="totale",(C176/(A176*24))/F176,IF(D176="marché libre",(C176/(A176*24))/G176,"spécifier histo"))</f>
        <v>0.209293394777266</v>
      </c>
      <c r="F176" s="9" t="n">
        <v>868</v>
      </c>
      <c r="G176" s="9" t="n">
        <f aca="false">F176-H176</f>
        <v>868</v>
      </c>
      <c r="H176" s="9" t="n">
        <v>0</v>
      </c>
      <c r="J176" s="103"/>
      <c r="K176" s="103"/>
    </row>
    <row r="177" customFormat="false" ht="27.35" hidden="false" customHeight="true" outlineLevel="0" collapsed="false">
      <c r="A177" s="0" t="n">
        <v>31</v>
      </c>
      <c r="B177" s="34" t="n">
        <v>37591</v>
      </c>
      <c r="C177" s="26" t="n">
        <v>205600</v>
      </c>
      <c r="D177" s="29" t="s">
        <v>42</v>
      </c>
      <c r="E177" s="33" t="n">
        <f aca="false">IF(D177="totale",(C177/(A177*24))/F177,IF(D177="marché libre",(C177/(A177*24))/G177,"spécifier histo"))</f>
        <v>0.318368762697587</v>
      </c>
      <c r="F177" s="9" t="n">
        <v>868</v>
      </c>
      <c r="G177" s="9" t="n">
        <f aca="false">F177-H177</f>
        <v>868</v>
      </c>
      <c r="H177" s="9" t="n">
        <v>0</v>
      </c>
      <c r="J177" s="103"/>
      <c r="K177" s="103"/>
    </row>
    <row r="178" customFormat="false" ht="27.35" hidden="false" customHeight="true" outlineLevel="0" collapsed="false">
      <c r="A178" s="0" t="n">
        <v>31</v>
      </c>
      <c r="B178" s="31" t="n">
        <v>37622</v>
      </c>
      <c r="C178" s="26" t="n">
        <v>0</v>
      </c>
      <c r="D178" s="29" t="s">
        <v>42</v>
      </c>
      <c r="E178" s="33" t="n">
        <f aca="false">IF(D178="totale",(C178/(A178*24))/F178,IF(D178="marché libre",(C178/(A178*24))/G178,"spécifier histo"))</f>
        <v>0</v>
      </c>
      <c r="F178" s="9" t="n">
        <v>868</v>
      </c>
      <c r="G178" s="9" t="n">
        <f aca="false">F178-H178</f>
        <v>868</v>
      </c>
      <c r="H178" s="9" t="n">
        <v>0</v>
      </c>
      <c r="I178" s="9" t="s">
        <v>268</v>
      </c>
      <c r="J178" s="316" t="s">
        <v>433</v>
      </c>
      <c r="K178" s="103"/>
    </row>
    <row r="179" customFormat="false" ht="27.35" hidden="false" customHeight="true" outlineLevel="0" collapsed="false">
      <c r="A179" s="0" t="n">
        <v>28</v>
      </c>
      <c r="B179" s="34" t="n">
        <v>37653</v>
      </c>
      <c r="C179" s="26" t="n">
        <v>0</v>
      </c>
      <c r="D179" s="29" t="s">
        <v>42</v>
      </c>
      <c r="E179" s="33" t="n">
        <f aca="false">IF(D179="totale",(C179/(A179*24))/F179,IF(D179="marché libre",(C179/(A179*24))/G179,"spécifier histo"))</f>
        <v>0</v>
      </c>
      <c r="F179" s="9" t="n">
        <v>868</v>
      </c>
      <c r="G179" s="9" t="n">
        <f aca="false">F179-H179</f>
        <v>868</v>
      </c>
      <c r="H179" s="9" t="n">
        <v>0</v>
      </c>
      <c r="I179" s="9" t="s">
        <v>268</v>
      </c>
      <c r="J179" s="316" t="s">
        <v>433</v>
      </c>
      <c r="K179" s="103"/>
    </row>
    <row r="180" customFormat="false" ht="27.35" hidden="false" customHeight="true" outlineLevel="0" collapsed="false">
      <c r="A180" s="0" t="n">
        <v>31</v>
      </c>
      <c r="B180" s="31" t="n">
        <v>37681</v>
      </c>
      <c r="C180" s="26" t="n">
        <v>0</v>
      </c>
      <c r="D180" s="29" t="s">
        <v>42</v>
      </c>
      <c r="E180" s="33" t="n">
        <f aca="false">IF(D180="totale",(C180/(A180*24))/F180,IF(D180="marché libre",(C180/(A180*24))/G180,"spécifier histo"))</f>
        <v>0</v>
      </c>
      <c r="F180" s="9" t="n">
        <v>868</v>
      </c>
      <c r="G180" s="9" t="n">
        <f aca="false">F180-H180</f>
        <v>868</v>
      </c>
      <c r="H180" s="9" t="n">
        <v>0</v>
      </c>
      <c r="I180" s="9" t="s">
        <v>268</v>
      </c>
      <c r="J180" s="316" t="s">
        <v>433</v>
      </c>
      <c r="K180" s="103"/>
    </row>
    <row r="181" customFormat="false" ht="27.35" hidden="false" customHeight="true" outlineLevel="0" collapsed="false">
      <c r="A181" s="0" t="n">
        <v>30</v>
      </c>
      <c r="B181" s="34" t="n">
        <v>37712</v>
      </c>
      <c r="C181" s="26" t="n">
        <v>0</v>
      </c>
      <c r="D181" s="29" t="s">
        <v>42</v>
      </c>
      <c r="E181" s="33" t="n">
        <f aca="false">IF(D181="totale",(C181/(A181*24))/F181,IF(D181="marché libre",(C181/(A181*24))/G181,"spécifier histo"))</f>
        <v>0</v>
      </c>
      <c r="F181" s="9" t="n">
        <v>868</v>
      </c>
      <c r="G181" s="9" t="n">
        <f aca="false">F181-H181</f>
        <v>868</v>
      </c>
      <c r="H181" s="9" t="n">
        <v>0</v>
      </c>
      <c r="I181" s="9" t="s">
        <v>268</v>
      </c>
      <c r="J181" s="316" t="s">
        <v>433</v>
      </c>
      <c r="K181" s="103"/>
    </row>
    <row r="182" customFormat="false" ht="27.35" hidden="false" customHeight="true" outlineLevel="0" collapsed="false">
      <c r="A182" s="0" t="n">
        <v>31</v>
      </c>
      <c r="B182" s="31" t="n">
        <v>37742</v>
      </c>
      <c r="C182" s="26" t="n">
        <v>0</v>
      </c>
      <c r="D182" s="29" t="s">
        <v>42</v>
      </c>
      <c r="E182" s="33" t="n">
        <f aca="false">IF(D182="totale",(C182/(A182*24))/F182,IF(D182="marché libre",(C182/(A182*24))/G182,"spécifier histo"))</f>
        <v>0</v>
      </c>
      <c r="F182" s="9" t="n">
        <v>868</v>
      </c>
      <c r="G182" s="9" t="n">
        <f aca="false">F182-H182</f>
        <v>868</v>
      </c>
      <c r="H182" s="9" t="n">
        <v>0</v>
      </c>
      <c r="I182" s="9" t="s">
        <v>268</v>
      </c>
      <c r="J182" s="316" t="s">
        <v>433</v>
      </c>
      <c r="K182" s="103"/>
    </row>
    <row r="183" customFormat="false" ht="27.35" hidden="false" customHeight="true" outlineLevel="0" collapsed="false">
      <c r="A183" s="0" t="n">
        <v>30</v>
      </c>
      <c r="B183" s="34" t="n">
        <v>37773</v>
      </c>
      <c r="C183" s="26" t="n">
        <v>0</v>
      </c>
      <c r="D183" s="29" t="s">
        <v>42</v>
      </c>
      <c r="E183" s="33" t="n">
        <f aca="false">IF(D183="totale",(C183/(A183*24))/F183,IF(D183="marché libre",(C183/(A183*24))/G183,"spécifier histo"))</f>
        <v>0</v>
      </c>
      <c r="F183" s="9" t="n">
        <v>868</v>
      </c>
      <c r="G183" s="9" t="n">
        <f aca="false">F183-H183</f>
        <v>868</v>
      </c>
      <c r="H183" s="9" t="n">
        <v>0</v>
      </c>
      <c r="I183" s="9" t="s">
        <v>268</v>
      </c>
      <c r="J183" s="316" t="s">
        <v>433</v>
      </c>
      <c r="K183" s="103"/>
    </row>
    <row r="184" customFormat="false" ht="27.35" hidden="false" customHeight="true" outlineLevel="0" collapsed="false">
      <c r="A184" s="0" t="n">
        <v>31</v>
      </c>
      <c r="B184" s="31" t="n">
        <v>37803</v>
      </c>
      <c r="C184" s="26" t="n">
        <v>0</v>
      </c>
      <c r="D184" s="29" t="s">
        <v>42</v>
      </c>
      <c r="E184" s="33" t="n">
        <f aca="false">IF(D184="totale",(C184/(A184*24))/F184,IF(D184="marché libre",(C184/(A184*24))/G184,"spécifier histo"))</f>
        <v>0</v>
      </c>
      <c r="F184" s="9" t="n">
        <v>868</v>
      </c>
      <c r="G184" s="9" t="n">
        <f aca="false">F184-H184</f>
        <v>868</v>
      </c>
      <c r="H184" s="9" t="n">
        <v>0</v>
      </c>
      <c r="I184" s="9" t="s">
        <v>268</v>
      </c>
      <c r="J184" s="316" t="s">
        <v>433</v>
      </c>
      <c r="K184" s="103"/>
    </row>
    <row r="185" customFormat="false" ht="27.35" hidden="false" customHeight="true" outlineLevel="0" collapsed="false">
      <c r="A185" s="0" t="n">
        <v>31</v>
      </c>
      <c r="B185" s="34" t="n">
        <v>37834</v>
      </c>
      <c r="C185" s="26" t="n">
        <v>0</v>
      </c>
      <c r="D185" s="29" t="s">
        <v>42</v>
      </c>
      <c r="E185" s="33" t="n">
        <f aca="false">IF(D185="totale",(C185/(A185*24))/F185,IF(D185="marché libre",(C185/(A185*24))/G185,"spécifier histo"))</f>
        <v>0</v>
      </c>
      <c r="F185" s="9" t="n">
        <v>868</v>
      </c>
      <c r="G185" s="9" t="n">
        <f aca="false">F185-H185</f>
        <v>868</v>
      </c>
      <c r="H185" s="9" t="n">
        <v>0</v>
      </c>
      <c r="I185" s="9" t="s">
        <v>268</v>
      </c>
      <c r="J185" s="316" t="s">
        <v>433</v>
      </c>
      <c r="K185" s="103"/>
    </row>
    <row r="186" customFormat="false" ht="27.35" hidden="false" customHeight="true" outlineLevel="0" collapsed="false">
      <c r="A186" s="0" t="n">
        <v>30</v>
      </c>
      <c r="B186" s="31" t="n">
        <v>37865</v>
      </c>
      <c r="C186" s="26" t="n">
        <v>0</v>
      </c>
      <c r="D186" s="29" t="s">
        <v>42</v>
      </c>
      <c r="E186" s="33" t="n">
        <f aca="false">IF(D186="totale",(C186/(A186*24))/F186,IF(D186="marché libre",(C186/(A186*24))/G186,"spécifier histo"))</f>
        <v>0</v>
      </c>
      <c r="F186" s="9" t="n">
        <v>868</v>
      </c>
      <c r="G186" s="9" t="n">
        <f aca="false">F186-H186</f>
        <v>868</v>
      </c>
      <c r="H186" s="9" t="n">
        <v>0</v>
      </c>
      <c r="I186" s="9" t="s">
        <v>268</v>
      </c>
      <c r="J186" s="316" t="s">
        <v>433</v>
      </c>
      <c r="K186" s="103"/>
    </row>
    <row r="187" customFormat="false" ht="27.35" hidden="false" customHeight="true" outlineLevel="0" collapsed="false">
      <c r="A187" s="0" t="n">
        <v>31</v>
      </c>
      <c r="B187" s="34" t="n">
        <v>37895</v>
      </c>
      <c r="C187" s="26" t="n">
        <v>0</v>
      </c>
      <c r="D187" s="29" t="s">
        <v>42</v>
      </c>
      <c r="E187" s="33" t="n">
        <f aca="false">IF(D187="totale",(C187/(A187*24))/F187,IF(D187="marché libre",(C187/(A187*24))/G187,"spécifier histo"))</f>
        <v>0</v>
      </c>
      <c r="F187" s="9" t="n">
        <v>868</v>
      </c>
      <c r="G187" s="9" t="n">
        <f aca="false">F187-H187</f>
        <v>868</v>
      </c>
      <c r="H187" s="9" t="n">
        <v>0</v>
      </c>
      <c r="I187" s="9" t="s">
        <v>268</v>
      </c>
      <c r="J187" s="316" t="s">
        <v>433</v>
      </c>
      <c r="K187" s="103"/>
    </row>
    <row r="188" customFormat="false" ht="27.35" hidden="false" customHeight="true" outlineLevel="0" collapsed="false">
      <c r="A188" s="0" t="n">
        <v>30</v>
      </c>
      <c r="B188" s="31" t="n">
        <v>37926</v>
      </c>
      <c r="C188" s="26" t="n">
        <v>0</v>
      </c>
      <c r="D188" s="29" t="s">
        <v>42</v>
      </c>
      <c r="E188" s="33" t="n">
        <f aca="false">IF(D188="totale",(C188/(A188*24))/F188,IF(D188="marché libre",(C188/(A188*24))/G188,"spécifier histo"))</f>
        <v>0</v>
      </c>
      <c r="F188" s="9" t="n">
        <v>868</v>
      </c>
      <c r="G188" s="9" t="n">
        <f aca="false">F188-H188</f>
        <v>868</v>
      </c>
      <c r="H188" s="9" t="n">
        <v>0</v>
      </c>
      <c r="I188" s="9" t="s">
        <v>268</v>
      </c>
      <c r="J188" s="316" t="s">
        <v>433</v>
      </c>
      <c r="K188" s="103"/>
    </row>
    <row r="189" customFormat="false" ht="27.35" hidden="false" customHeight="true" outlineLevel="0" collapsed="false">
      <c r="A189" s="0" t="n">
        <v>31</v>
      </c>
      <c r="B189" s="34" t="n">
        <v>37956</v>
      </c>
      <c r="C189" s="26" t="n">
        <v>0</v>
      </c>
      <c r="D189" s="29" t="s">
        <v>42</v>
      </c>
      <c r="E189" s="33" t="n">
        <f aca="false">IF(D189="totale",(C189/(A189*24))/F189,IF(D189="marché libre",(C189/(A189*24))/G189,"spécifier histo"))</f>
        <v>0</v>
      </c>
      <c r="F189" s="9" t="n">
        <v>868</v>
      </c>
      <c r="G189" s="9" t="n">
        <f aca="false">F189-H189</f>
        <v>868</v>
      </c>
      <c r="H189" s="9" t="n">
        <v>0</v>
      </c>
      <c r="I189" s="9" t="s">
        <v>268</v>
      </c>
      <c r="J189" s="316" t="s">
        <v>433</v>
      </c>
      <c r="K189" s="103"/>
    </row>
    <row r="190" customFormat="false" ht="27.35" hidden="false" customHeight="true" outlineLevel="0" collapsed="false">
      <c r="A190" s="0" t="n">
        <v>31</v>
      </c>
      <c r="B190" s="31" t="n">
        <v>37987</v>
      </c>
      <c r="C190" s="26" t="n">
        <v>0</v>
      </c>
      <c r="D190" s="29" t="s">
        <v>42</v>
      </c>
      <c r="E190" s="33" t="n">
        <f aca="false">IF(D190="totale",(C190/(A190*24))/F190,IF(D190="marché libre",(C190/(A190*24))/G190,"spécifier histo"))</f>
        <v>0</v>
      </c>
      <c r="F190" s="9" t="n">
        <v>868</v>
      </c>
      <c r="G190" s="9" t="n">
        <f aca="false">F190-H190</f>
        <v>868</v>
      </c>
      <c r="H190" s="9" t="n">
        <v>0</v>
      </c>
      <c r="I190" s="9" t="s">
        <v>268</v>
      </c>
      <c r="J190" s="316" t="s">
        <v>433</v>
      </c>
      <c r="K190" s="103"/>
    </row>
    <row r="191" customFormat="false" ht="27.35" hidden="false" customHeight="true" outlineLevel="0" collapsed="false">
      <c r="A191" s="0" t="n">
        <v>28</v>
      </c>
      <c r="B191" s="34" t="n">
        <v>38018</v>
      </c>
      <c r="C191" s="26" t="n">
        <v>0</v>
      </c>
      <c r="D191" s="29" t="s">
        <v>42</v>
      </c>
      <c r="E191" s="33" t="n">
        <f aca="false">IF(D191="totale",(C191/(A191*24))/F191,IF(D191="marché libre",(C191/(A191*24))/G191,"spécifier histo"))</f>
        <v>0</v>
      </c>
      <c r="F191" s="9" t="n">
        <v>868</v>
      </c>
      <c r="G191" s="9" t="n">
        <f aca="false">F191-H191</f>
        <v>868</v>
      </c>
      <c r="H191" s="9" t="n">
        <v>0</v>
      </c>
      <c r="I191" s="9" t="s">
        <v>268</v>
      </c>
      <c r="J191" s="316" t="s">
        <v>433</v>
      </c>
      <c r="K191" s="103"/>
    </row>
    <row r="192" customFormat="false" ht="27.35" hidden="false" customHeight="true" outlineLevel="0" collapsed="false">
      <c r="A192" s="0" t="n">
        <v>31</v>
      </c>
      <c r="B192" s="31" t="n">
        <v>38047</v>
      </c>
      <c r="C192" s="26" t="n">
        <v>461800</v>
      </c>
      <c r="D192" s="29" t="s">
        <v>42</v>
      </c>
      <c r="E192" s="33" t="n">
        <f aca="false">IF(D192="totale",(C192/(A192*24))/F192,IF(D192="marché libre",(C192/(A192*24))/G192,"spécifier histo"))</f>
        <v>0.715090927109658</v>
      </c>
      <c r="F192" s="9" t="n">
        <v>868</v>
      </c>
      <c r="G192" s="9" t="n">
        <f aca="false">F192-H192</f>
        <v>868</v>
      </c>
      <c r="H192" s="9" t="n">
        <v>0</v>
      </c>
      <c r="J192" s="103"/>
      <c r="K192" s="103"/>
    </row>
    <row r="193" customFormat="false" ht="27.35" hidden="false" customHeight="true" outlineLevel="0" collapsed="false">
      <c r="A193" s="0" t="n">
        <v>30</v>
      </c>
      <c r="B193" s="34" t="n">
        <v>38078</v>
      </c>
      <c r="C193" s="26" t="n">
        <v>516200</v>
      </c>
      <c r="D193" s="29" t="s">
        <v>42</v>
      </c>
      <c r="E193" s="33" t="n">
        <f aca="false">IF(D193="totale",(C193/(A193*24))/F193,IF(D193="marché libre",(C193/(A193*24))/G193,"spécifier histo"))</f>
        <v>0.825972862263185</v>
      </c>
      <c r="F193" s="9" t="n">
        <v>868</v>
      </c>
      <c r="G193" s="9" t="n">
        <f aca="false">F193-H193</f>
        <v>868</v>
      </c>
      <c r="H193" s="9" t="n">
        <v>0</v>
      </c>
      <c r="J193" s="103"/>
      <c r="K193" s="103"/>
    </row>
    <row r="194" customFormat="false" ht="27.35" hidden="false" customHeight="true" outlineLevel="0" collapsed="false">
      <c r="A194" s="0" t="n">
        <v>31</v>
      </c>
      <c r="B194" s="31" t="n">
        <v>38108</v>
      </c>
      <c r="C194" s="26" t="n">
        <v>541200</v>
      </c>
      <c r="D194" s="29" t="s">
        <v>42</v>
      </c>
      <c r="E194" s="33" t="n">
        <f aca="false">IF(D194="totale",(C194/(A194*24))/F194,IF(D194="marché libre",(C194/(A194*24))/G194,"spécifier histo"))</f>
        <v>0.838040731381002</v>
      </c>
      <c r="F194" s="9" t="n">
        <v>868</v>
      </c>
      <c r="G194" s="9" t="n">
        <f aca="false">F194-H194</f>
        <v>868</v>
      </c>
      <c r="H194" s="9" t="n">
        <v>0</v>
      </c>
      <c r="J194" s="103"/>
      <c r="K194" s="103"/>
    </row>
    <row r="195" customFormat="false" ht="27.35" hidden="false" customHeight="true" outlineLevel="0" collapsed="false">
      <c r="A195" s="0" t="n">
        <v>30</v>
      </c>
      <c r="B195" s="34" t="n">
        <v>38139</v>
      </c>
      <c r="C195" s="26" t="n">
        <v>498600</v>
      </c>
      <c r="D195" s="29" t="s">
        <v>42</v>
      </c>
      <c r="E195" s="33" t="n">
        <f aca="false">IF(D195="totale",(C195/(A195*24))/F195,IF(D195="marché libre",(C195/(A195*24))/G195,"spécifier histo"))</f>
        <v>0.797811059907834</v>
      </c>
      <c r="F195" s="9" t="n">
        <v>868</v>
      </c>
      <c r="G195" s="9" t="n">
        <f aca="false">F195-H195</f>
        <v>868</v>
      </c>
      <c r="H195" s="9" t="n">
        <v>0</v>
      </c>
      <c r="J195" s="103"/>
      <c r="K195" s="103"/>
    </row>
    <row r="196" customFormat="false" ht="27.35" hidden="false" customHeight="true" outlineLevel="0" collapsed="false">
      <c r="A196" s="0" t="n">
        <v>31</v>
      </c>
      <c r="B196" s="31" t="n">
        <v>38169</v>
      </c>
      <c r="C196" s="26" t="n">
        <v>0</v>
      </c>
      <c r="D196" s="29" t="s">
        <v>42</v>
      </c>
      <c r="E196" s="33" t="n">
        <f aca="false">IF(D196="totale",(C196/(A196*24))/F196,IF(D196="marché libre",(C196/(A196*24))/G196,"spécifier histo"))</f>
        <v>0</v>
      </c>
      <c r="F196" s="9" t="n">
        <v>868</v>
      </c>
      <c r="G196" s="9" t="n">
        <f aca="false">F196-H196</f>
        <v>868</v>
      </c>
      <c r="H196" s="9" t="n">
        <v>0</v>
      </c>
      <c r="J196" s="316" t="s">
        <v>432</v>
      </c>
      <c r="K196" s="103"/>
    </row>
    <row r="197" customFormat="false" ht="27.35" hidden="false" customHeight="true" outlineLevel="0" collapsed="false">
      <c r="A197" s="0" t="n">
        <v>31</v>
      </c>
      <c r="B197" s="34" t="n">
        <v>38200</v>
      </c>
      <c r="C197" s="26" t="n">
        <v>0</v>
      </c>
      <c r="D197" s="29" t="s">
        <v>42</v>
      </c>
      <c r="E197" s="33" t="n">
        <f aca="false">IF(D197="totale",(C197/(A197*24))/F197,IF(D197="marché libre",(C197/(A197*24))/G197,"spécifier histo"))</f>
        <v>0</v>
      </c>
      <c r="F197" s="9" t="n">
        <v>868</v>
      </c>
      <c r="G197" s="9" t="n">
        <f aca="false">F197-H197</f>
        <v>868</v>
      </c>
      <c r="H197" s="9" t="n">
        <v>0</v>
      </c>
      <c r="J197" s="316" t="s">
        <v>432</v>
      </c>
      <c r="K197" s="103"/>
    </row>
    <row r="198" customFormat="false" ht="27.35" hidden="false" customHeight="true" outlineLevel="0" collapsed="false">
      <c r="A198" s="0" t="n">
        <v>30</v>
      </c>
      <c r="B198" s="31" t="n">
        <v>38231</v>
      </c>
      <c r="C198" s="26" t="n">
        <v>0</v>
      </c>
      <c r="D198" s="29" t="s">
        <v>42</v>
      </c>
      <c r="E198" s="33" t="n">
        <f aca="false">IF(D198="totale",(C198/(A198*24))/F198,IF(D198="marché libre",(C198/(A198*24))/G198,"spécifier histo"))</f>
        <v>0</v>
      </c>
      <c r="F198" s="9" t="n">
        <v>868</v>
      </c>
      <c r="G198" s="9" t="n">
        <f aca="false">F198-H198</f>
        <v>868</v>
      </c>
      <c r="H198" s="9" t="n">
        <v>0</v>
      </c>
      <c r="J198" s="316" t="s">
        <v>432</v>
      </c>
      <c r="K198" s="103"/>
    </row>
    <row r="199" customFormat="false" ht="27.35" hidden="false" customHeight="true" outlineLevel="0" collapsed="false">
      <c r="A199" s="0" t="n">
        <v>31</v>
      </c>
      <c r="B199" s="34" t="n">
        <v>38261</v>
      </c>
      <c r="C199" s="26" t="n">
        <v>128400</v>
      </c>
      <c r="D199" s="29" t="s">
        <v>42</v>
      </c>
      <c r="E199" s="33" t="n">
        <f aca="false">IF(D199="totale",(C199/(A199*24))/F199,IF(D199="marché libre",(C199/(A199*24))/G199,"spécifier histo"))</f>
        <v>0.198825628066003</v>
      </c>
      <c r="F199" s="9" t="n">
        <v>868</v>
      </c>
      <c r="G199" s="9" t="n">
        <f aca="false">F199-H199</f>
        <v>868</v>
      </c>
      <c r="H199" s="9" t="n">
        <v>0</v>
      </c>
      <c r="J199" s="103"/>
      <c r="K199" s="103"/>
    </row>
    <row r="200" customFormat="false" ht="27.35" hidden="false" customHeight="true" outlineLevel="0" collapsed="false">
      <c r="A200" s="0" t="n">
        <v>30</v>
      </c>
      <c r="B200" s="31" t="n">
        <v>38292</v>
      </c>
      <c r="C200" s="26" t="n">
        <v>296000</v>
      </c>
      <c r="D200" s="29" t="s">
        <v>42</v>
      </c>
      <c r="E200" s="33" t="n">
        <f aca="false">IF(D200="totale",(C200/(A200*24))/F200,IF(D200="marché libre",(C200/(A200*24))/G200,"spécifier histo"))</f>
        <v>0.47363031233999</v>
      </c>
      <c r="F200" s="9" t="n">
        <v>868</v>
      </c>
      <c r="G200" s="9" t="n">
        <f aca="false">F200-H200</f>
        <v>868</v>
      </c>
      <c r="H200" s="9" t="n">
        <v>0</v>
      </c>
      <c r="J200" s="103"/>
      <c r="K200" s="103"/>
    </row>
    <row r="201" customFormat="false" ht="27.35" hidden="false" customHeight="true" outlineLevel="0" collapsed="false">
      <c r="A201" s="0" t="n">
        <v>31</v>
      </c>
      <c r="B201" s="34" t="n">
        <v>38322</v>
      </c>
      <c r="C201" s="26" t="n">
        <v>148200</v>
      </c>
      <c r="D201" s="29" t="s">
        <v>42</v>
      </c>
      <c r="E201" s="33" t="n">
        <f aca="false">IF(D201="totale",(C201/(A201*24))/F201,IF(D201="marché libre",(C201/(A201*24))/G201,"spécifier histo"))</f>
        <v>0.229485654823844</v>
      </c>
      <c r="F201" s="9" t="n">
        <v>868</v>
      </c>
      <c r="G201" s="9" t="n">
        <f aca="false">F201-H201</f>
        <v>868</v>
      </c>
      <c r="H201" s="9" t="n">
        <v>0</v>
      </c>
      <c r="J201" s="103"/>
      <c r="K201" s="103"/>
    </row>
    <row r="202" customFormat="false" ht="27.35" hidden="false" customHeight="true" outlineLevel="0" collapsed="false">
      <c r="A202" s="0" t="n">
        <v>31</v>
      </c>
      <c r="B202" s="31" t="n">
        <v>38353</v>
      </c>
      <c r="C202" s="26" t="n">
        <v>328800</v>
      </c>
      <c r="D202" s="29" t="s">
        <v>42</v>
      </c>
      <c r="E202" s="33" t="n">
        <f aca="false">IF(D202="totale",(C202/(A202*24))/F202,IF(D202="marché libre",(C202/(A202*24))/G202,"spécifier histo"))</f>
        <v>0.509142262524156</v>
      </c>
      <c r="F202" s="9" t="n">
        <v>868</v>
      </c>
      <c r="G202" s="9" t="n">
        <f aca="false">F202-H202</f>
        <v>868</v>
      </c>
      <c r="H202" s="9" t="n">
        <v>0</v>
      </c>
      <c r="J202" s="103"/>
      <c r="K202" s="103"/>
    </row>
    <row r="203" customFormat="false" ht="27.35" hidden="false" customHeight="true" outlineLevel="0" collapsed="false">
      <c r="A203" s="0" t="n">
        <v>28</v>
      </c>
      <c r="B203" s="34" t="n">
        <v>38384</v>
      </c>
      <c r="C203" s="26" t="n">
        <v>271200</v>
      </c>
      <c r="D203" s="29" t="s">
        <v>42</v>
      </c>
      <c r="E203" s="33" t="n">
        <f aca="false">IF(D203="totale",(C203/(A203*24))/F203,IF(D203="marché libre",(C203/(A203*24))/G203,"spécifier histo"))</f>
        <v>0.464944042132982</v>
      </c>
      <c r="F203" s="9" t="n">
        <v>868</v>
      </c>
      <c r="G203" s="9" t="n">
        <f aca="false">F203-H203</f>
        <v>868</v>
      </c>
      <c r="H203" s="9" t="n">
        <v>0</v>
      </c>
      <c r="J203" s="103"/>
      <c r="K203" s="103"/>
    </row>
    <row r="204" customFormat="false" ht="27.35" hidden="false" customHeight="true" outlineLevel="0" collapsed="false">
      <c r="A204" s="0" t="n">
        <v>31</v>
      </c>
      <c r="B204" s="31" t="n">
        <v>38412</v>
      </c>
      <c r="C204" s="26" t="n">
        <v>215200</v>
      </c>
      <c r="D204" s="29" t="s">
        <v>42</v>
      </c>
      <c r="E204" s="33" t="n">
        <f aca="false">IF(D204="totale",(C204/(A204*24))/F204,IF(D204="marché libre",(C204/(A204*24))/G204,"spécifier histo"))</f>
        <v>0.33323423021654</v>
      </c>
      <c r="F204" s="9" t="n">
        <v>868</v>
      </c>
      <c r="G204" s="9" t="n">
        <f aca="false">F204-H204</f>
        <v>868</v>
      </c>
      <c r="H204" s="9" t="n">
        <v>0</v>
      </c>
      <c r="J204" s="103"/>
      <c r="K204" s="103"/>
    </row>
    <row r="205" customFormat="false" ht="27.35" hidden="false" customHeight="true" outlineLevel="0" collapsed="false">
      <c r="A205" s="0" t="n">
        <v>30</v>
      </c>
      <c r="B205" s="34" t="n">
        <v>38443</v>
      </c>
      <c r="C205" s="26" t="n">
        <v>363450</v>
      </c>
      <c r="D205" s="29" t="s">
        <v>42</v>
      </c>
      <c r="E205" s="33" t="n">
        <f aca="false">IF(D205="totale",(C205/(A205*24))/F205,IF(D205="marché libre",(C205/(A205*24))/G205,"spécifier histo"))</f>
        <v>0.581557219662058</v>
      </c>
      <c r="F205" s="9" t="n">
        <v>868</v>
      </c>
      <c r="G205" s="9" t="n">
        <f aca="false">F205-H205</f>
        <v>868</v>
      </c>
      <c r="H205" s="9" t="n">
        <v>0</v>
      </c>
      <c r="J205" s="103"/>
      <c r="K205" s="103"/>
    </row>
    <row r="206" customFormat="false" ht="27.35" hidden="false" customHeight="true" outlineLevel="0" collapsed="false">
      <c r="A206" s="0" t="n">
        <v>31</v>
      </c>
      <c r="B206" s="31" t="n">
        <v>38473</v>
      </c>
      <c r="C206" s="26" t="n">
        <v>473072</v>
      </c>
      <c r="D206" s="29" t="s">
        <v>42</v>
      </c>
      <c r="E206" s="33" t="n">
        <f aca="false">IF(D206="totale",(C206/(A206*24))/F206,IF(D206="marché libre",(C206/(A206*24))/G206,"spécifier histo"))</f>
        <v>0.732545463554829</v>
      </c>
      <c r="F206" s="9" t="n">
        <v>868</v>
      </c>
      <c r="G206" s="9" t="n">
        <f aca="false">F206-H206</f>
        <v>868</v>
      </c>
      <c r="H206" s="9" t="n">
        <v>0</v>
      </c>
      <c r="J206" s="103"/>
      <c r="K206" s="103"/>
    </row>
    <row r="207" customFormat="false" ht="27.35" hidden="false" customHeight="true" outlineLevel="0" collapsed="false">
      <c r="A207" s="0" t="n">
        <v>30</v>
      </c>
      <c r="B207" s="34" t="n">
        <v>38504</v>
      </c>
      <c r="C207" s="26" t="n">
        <v>124999</v>
      </c>
      <c r="D207" s="29" t="s">
        <v>42</v>
      </c>
      <c r="E207" s="33" t="n">
        <f aca="false">IF(D207="totale",(C207/(A207*24))/F207,IF(D207="marché libre",(C207/(A207*24))/G207,"spécifier histo"))</f>
        <v>0.200011200716846</v>
      </c>
      <c r="F207" s="9" t="n">
        <v>868</v>
      </c>
      <c r="G207" s="9" t="n">
        <f aca="false">F207-H207</f>
        <v>868</v>
      </c>
      <c r="H207" s="9" t="n">
        <v>0</v>
      </c>
      <c r="J207" s="103"/>
      <c r="K207" s="103"/>
    </row>
    <row r="208" customFormat="false" ht="27.35" hidden="false" customHeight="true" outlineLevel="0" collapsed="false">
      <c r="A208" s="0" t="n">
        <v>31</v>
      </c>
      <c r="B208" s="31" t="n">
        <v>38534</v>
      </c>
      <c r="C208" s="26" t="n">
        <v>0</v>
      </c>
      <c r="D208" s="29" t="s">
        <v>42</v>
      </c>
      <c r="E208" s="33" t="n">
        <f aca="false">IF(D208="totale",(C208/(A208*24))/F208,IF(D208="marché libre",(C208/(A208*24))/G208,"spécifier histo"))</f>
        <v>0</v>
      </c>
      <c r="F208" s="9" t="n">
        <v>868</v>
      </c>
      <c r="G208" s="9" t="n">
        <f aca="false">F208-H208</f>
        <v>868</v>
      </c>
      <c r="H208" s="9" t="n">
        <v>0</v>
      </c>
      <c r="J208" s="316" t="s">
        <v>432</v>
      </c>
      <c r="K208" s="103"/>
    </row>
    <row r="209" customFormat="false" ht="27.35" hidden="false" customHeight="true" outlineLevel="0" collapsed="false">
      <c r="A209" s="0" t="n">
        <v>31</v>
      </c>
      <c r="B209" s="34" t="n">
        <v>38565</v>
      </c>
      <c r="C209" s="26" t="n">
        <v>0</v>
      </c>
      <c r="D209" s="29" t="s">
        <v>42</v>
      </c>
      <c r="E209" s="33" t="n">
        <f aca="false">IF(D209="totale",(C209/(A209*24))/F209,IF(D209="marché libre",(C209/(A209*24))/G209,"spécifier histo"))</f>
        <v>0</v>
      </c>
      <c r="F209" s="9" t="n">
        <v>868</v>
      </c>
      <c r="G209" s="9" t="n">
        <f aca="false">F209-H209</f>
        <v>868</v>
      </c>
      <c r="H209" s="9" t="n">
        <v>0</v>
      </c>
      <c r="J209" s="316" t="s">
        <v>432</v>
      </c>
      <c r="K209" s="103"/>
    </row>
    <row r="210" customFormat="false" ht="27.35" hidden="false" customHeight="true" outlineLevel="0" collapsed="false">
      <c r="A210" s="0" t="n">
        <v>30</v>
      </c>
      <c r="B210" s="31" t="n">
        <v>38596</v>
      </c>
      <c r="C210" s="26" t="n">
        <v>0</v>
      </c>
      <c r="D210" s="29" t="s">
        <v>42</v>
      </c>
      <c r="E210" s="33" t="n">
        <f aca="false">IF(D210="totale",(C210/(A210*24))/F210,IF(D210="marché libre",(C210/(A210*24))/G210,"spécifier histo"))</f>
        <v>0</v>
      </c>
      <c r="F210" s="9" t="n">
        <v>868</v>
      </c>
      <c r="G210" s="9" t="n">
        <f aca="false">F210-H210</f>
        <v>868</v>
      </c>
      <c r="H210" s="9" t="n">
        <v>0</v>
      </c>
      <c r="J210" s="316" t="s">
        <v>432</v>
      </c>
      <c r="K210" s="103"/>
    </row>
    <row r="211" customFormat="false" ht="27.35" hidden="false" customHeight="true" outlineLevel="0" collapsed="false">
      <c r="A211" s="0" t="n">
        <v>31</v>
      </c>
      <c r="B211" s="34" t="n">
        <v>38626</v>
      </c>
      <c r="C211" s="26" t="n">
        <v>0</v>
      </c>
      <c r="D211" s="29" t="s">
        <v>42</v>
      </c>
      <c r="E211" s="33" t="n">
        <f aca="false">IF(D211="totale",(C211/(A211*24))/F211,IF(D211="marché libre",(C211/(A211*24))/G211,"spécifier histo"))</f>
        <v>0</v>
      </c>
      <c r="F211" s="9" t="n">
        <v>868</v>
      </c>
      <c r="G211" s="9" t="n">
        <f aca="false">F211-H211</f>
        <v>868</v>
      </c>
      <c r="H211" s="9" t="n">
        <v>0</v>
      </c>
      <c r="J211" s="316" t="s">
        <v>432</v>
      </c>
      <c r="K211" s="103"/>
    </row>
    <row r="212" customFormat="false" ht="27.35" hidden="false" customHeight="true" outlineLevel="0" collapsed="false">
      <c r="A212" s="0" t="n">
        <v>30</v>
      </c>
      <c r="B212" s="31" t="n">
        <v>38657</v>
      </c>
      <c r="C212" s="26" t="n">
        <v>350339</v>
      </c>
      <c r="D212" s="29" t="s">
        <v>42</v>
      </c>
      <c r="E212" s="33" t="n">
        <f aca="false">IF(D212="totale",(C212/(A212*24))/F212,IF(D212="marché libre",(C212/(A212*24))/G212,"spécifier histo"))</f>
        <v>0.560578277009729</v>
      </c>
      <c r="F212" s="9" t="n">
        <v>868</v>
      </c>
      <c r="G212" s="9" t="n">
        <f aca="false">F212-H212</f>
        <v>868</v>
      </c>
      <c r="H212" s="9" t="n">
        <v>0</v>
      </c>
      <c r="J212" s="103"/>
      <c r="K212" s="103"/>
    </row>
    <row r="213" customFormat="false" ht="27.35" hidden="false" customHeight="true" outlineLevel="0" collapsed="false">
      <c r="A213" s="0" t="n">
        <v>31</v>
      </c>
      <c r="B213" s="34" t="n">
        <v>38687</v>
      </c>
      <c r="C213" s="26" t="n">
        <v>415841</v>
      </c>
      <c r="D213" s="29" t="s">
        <v>42</v>
      </c>
      <c r="E213" s="33" t="n">
        <f aca="false">IF(D213="totale",(C213/(A213*24))/F213,IF(D213="marché libre",(C213/(A213*24))/G213,"spécifier histo"))</f>
        <v>0.643924049848868</v>
      </c>
      <c r="F213" s="9" t="n">
        <v>868</v>
      </c>
      <c r="G213" s="9" t="n">
        <f aca="false">F213-H213</f>
        <v>868</v>
      </c>
      <c r="H213" s="9" t="n">
        <v>0</v>
      </c>
      <c r="J213" s="103"/>
      <c r="K213" s="103"/>
    </row>
    <row r="214" customFormat="false" ht="27.35" hidden="false" customHeight="true" outlineLevel="0" collapsed="false">
      <c r="A214" s="0" t="n">
        <v>31</v>
      </c>
      <c r="B214" s="31" t="n">
        <v>38718</v>
      </c>
      <c r="C214" s="26" t="n">
        <v>281321</v>
      </c>
      <c r="D214" s="29" t="s">
        <v>42</v>
      </c>
      <c r="E214" s="33" t="n">
        <f aca="false">IF(D214="totale",(C214/(A214*24))/F214,IF(D214="marché libre",(C214/(A214*24))/G214,"spécifier histo"))</f>
        <v>0.435621686239532</v>
      </c>
      <c r="F214" s="9" t="n">
        <v>868</v>
      </c>
      <c r="G214" s="9" t="n">
        <f aca="false">F214-H214</f>
        <v>868</v>
      </c>
      <c r="H214" s="9" t="n">
        <v>0</v>
      </c>
      <c r="J214" s="103"/>
      <c r="K214" s="103"/>
    </row>
    <row r="215" customFormat="false" ht="27.35" hidden="false" customHeight="true" outlineLevel="0" collapsed="false">
      <c r="A215" s="0" t="n">
        <v>28</v>
      </c>
      <c r="B215" s="34" t="n">
        <v>38749</v>
      </c>
      <c r="C215" s="26" t="n">
        <v>234587</v>
      </c>
      <c r="D215" s="29" t="s">
        <v>42</v>
      </c>
      <c r="E215" s="33" t="n">
        <f aca="false">IF(D215="totale",(C215/(A215*24))/F215,IF(D215="marché libre",(C215/(A215*24))/G215,"spécifier histo"))</f>
        <v>0.402174882049594</v>
      </c>
      <c r="F215" s="9" t="n">
        <v>868</v>
      </c>
      <c r="G215" s="9" t="n">
        <f aca="false">F215-H215</f>
        <v>868</v>
      </c>
      <c r="H215" s="9" t="n">
        <v>0</v>
      </c>
      <c r="J215" s="103"/>
      <c r="K215" s="103"/>
    </row>
    <row r="216" customFormat="false" ht="27.35" hidden="false" customHeight="true" outlineLevel="0" collapsed="false">
      <c r="A216" s="0" t="n">
        <v>31</v>
      </c>
      <c r="B216" s="31" t="n">
        <v>38777</v>
      </c>
      <c r="C216" s="26" t="n">
        <v>330884</v>
      </c>
      <c r="D216" s="29" t="s">
        <v>42</v>
      </c>
      <c r="E216" s="33" t="n">
        <f aca="false">IF(D216="totale",(C216/(A216*24))/F216,IF(D216="marché libre",(C216/(A216*24))/G216,"spécifier histo"))</f>
        <v>0.512369307764729</v>
      </c>
      <c r="F216" s="9" t="n">
        <v>868</v>
      </c>
      <c r="G216" s="9" t="n">
        <f aca="false">F216-H216</f>
        <v>868</v>
      </c>
      <c r="H216" s="9" t="n">
        <v>0</v>
      </c>
      <c r="J216" s="103"/>
      <c r="K216" s="103"/>
    </row>
    <row r="217" customFormat="false" ht="27.35" hidden="false" customHeight="true" outlineLevel="0" collapsed="false">
      <c r="A217" s="0" t="n">
        <v>30</v>
      </c>
      <c r="B217" s="34" t="n">
        <v>38808</v>
      </c>
      <c r="C217" s="26" t="n">
        <v>449440</v>
      </c>
      <c r="D217" s="29" t="s">
        <v>42</v>
      </c>
      <c r="E217" s="33" t="n">
        <f aca="false">IF(D217="totale",(C217/(A217*24))/F217,IF(D217="marché libre",(C217/(A217*24))/G217,"spécifier histo"))</f>
        <v>0.719150025601638</v>
      </c>
      <c r="F217" s="9" t="n">
        <v>868</v>
      </c>
      <c r="G217" s="9" t="n">
        <f aca="false">F217-H217</f>
        <v>868</v>
      </c>
      <c r="H217" s="9" t="n">
        <v>0</v>
      </c>
      <c r="J217" s="103"/>
      <c r="K217" s="103"/>
    </row>
    <row r="218" customFormat="false" ht="27.35" hidden="false" customHeight="true" outlineLevel="0" collapsed="false">
      <c r="A218" s="0" t="n">
        <v>31</v>
      </c>
      <c r="B218" s="31" t="n">
        <v>38838</v>
      </c>
      <c r="C218" s="26" t="n">
        <v>293951</v>
      </c>
      <c r="D218" s="29" t="s">
        <v>42</v>
      </c>
      <c r="E218" s="33" t="n">
        <f aca="false">IF(D218="totale",(C218/(A218*24))/F218,IF(D218="marché libre",(C218/(A218*24))/G218,"spécifier histo"))</f>
        <v>0.455179066944155</v>
      </c>
      <c r="F218" s="9" t="n">
        <v>868</v>
      </c>
      <c r="G218" s="9" t="n">
        <f aca="false">F218-H218</f>
        <v>868</v>
      </c>
      <c r="H218" s="9" t="n">
        <v>0</v>
      </c>
      <c r="J218" s="103"/>
      <c r="K218" s="103"/>
    </row>
    <row r="219" customFormat="false" ht="27.35" hidden="false" customHeight="true" outlineLevel="0" collapsed="false">
      <c r="A219" s="0" t="n">
        <v>30</v>
      </c>
      <c r="B219" s="34" t="n">
        <v>38869</v>
      </c>
      <c r="C219" s="26" t="n">
        <v>423553</v>
      </c>
      <c r="D219" s="29" t="s">
        <v>42</v>
      </c>
      <c r="E219" s="33" t="n">
        <f aca="false">IF(D219="totale",(C219/(A219*24))/F219,IF(D219="marché libre",(C219/(A219*24))/G219,"spécifier histo"))</f>
        <v>0.677728174603175</v>
      </c>
      <c r="F219" s="9" t="n">
        <v>868</v>
      </c>
      <c r="G219" s="9" t="n">
        <f aca="false">F219-H219</f>
        <v>868</v>
      </c>
      <c r="H219" s="9" t="n">
        <v>0</v>
      </c>
      <c r="J219" s="103"/>
      <c r="K219" s="103"/>
    </row>
    <row r="220" customFormat="false" ht="27.35" hidden="false" customHeight="true" outlineLevel="0" collapsed="false">
      <c r="A220" s="0" t="n">
        <v>31</v>
      </c>
      <c r="B220" s="31" t="n">
        <v>38899</v>
      </c>
      <c r="C220" s="26" t="n">
        <v>91614</v>
      </c>
      <c r="D220" s="29" t="s">
        <v>42</v>
      </c>
      <c r="E220" s="33" t="n">
        <f aca="false">IF(D220="totale",(C220/(A220*24))/F220,IF(D220="marché libre",(C220/(A220*24))/G220,"spécifier histo"))</f>
        <v>0.141863014716813</v>
      </c>
      <c r="F220" s="9" t="n">
        <v>868</v>
      </c>
      <c r="G220" s="9" t="n">
        <f aca="false">F220-H220</f>
        <v>868</v>
      </c>
      <c r="H220" s="9" t="n">
        <v>0</v>
      </c>
      <c r="J220" s="103"/>
      <c r="K220" s="103"/>
    </row>
    <row r="221" customFormat="false" ht="27.35" hidden="false" customHeight="true" outlineLevel="0" collapsed="false">
      <c r="A221" s="0" t="n">
        <v>31</v>
      </c>
      <c r="B221" s="34" t="n">
        <v>38930</v>
      </c>
      <c r="C221" s="26" t="n">
        <v>0</v>
      </c>
      <c r="D221" s="29" t="s">
        <v>42</v>
      </c>
      <c r="E221" s="33" t="n">
        <f aca="false">IF(D221="totale",(C221/(A221*24))/F221,IF(D221="marché libre",(C221/(A221*24))/G221,"spécifier histo"))</f>
        <v>0</v>
      </c>
      <c r="F221" s="9" t="n">
        <v>868</v>
      </c>
      <c r="G221" s="9" t="n">
        <f aca="false">F221-H221</f>
        <v>868</v>
      </c>
      <c r="H221" s="9" t="n">
        <v>0</v>
      </c>
      <c r="J221" s="316" t="s">
        <v>432</v>
      </c>
      <c r="K221" s="103"/>
    </row>
    <row r="222" customFormat="false" ht="27.35" hidden="false" customHeight="true" outlineLevel="0" collapsed="false">
      <c r="A222" s="0" t="n">
        <v>30</v>
      </c>
      <c r="B222" s="31" t="n">
        <v>38961</v>
      </c>
      <c r="C222" s="26" t="n">
        <v>18540</v>
      </c>
      <c r="D222" s="29" t="s">
        <v>42</v>
      </c>
      <c r="E222" s="33" t="n">
        <f aca="false">IF(D222="totale",(C222/(A222*24))/F222,IF(D222="marché libre",(C222/(A222*24))/G222,"spécifier histo"))</f>
        <v>0.0296658986175115</v>
      </c>
      <c r="F222" s="9" t="n">
        <v>868</v>
      </c>
      <c r="G222" s="9" t="n">
        <f aca="false">F222-H222</f>
        <v>868</v>
      </c>
      <c r="H222" s="9" t="n">
        <v>0</v>
      </c>
      <c r="J222" s="103"/>
      <c r="K222" s="103"/>
    </row>
    <row r="223" customFormat="false" ht="27.35" hidden="false" customHeight="true" outlineLevel="0" collapsed="false">
      <c r="A223" s="0" t="n">
        <v>31</v>
      </c>
      <c r="B223" s="34" t="n">
        <v>38991</v>
      </c>
      <c r="C223" s="26" t="n">
        <v>313499</v>
      </c>
      <c r="D223" s="29" t="s">
        <v>42</v>
      </c>
      <c r="E223" s="33" t="n">
        <f aca="false">IF(D223="totale",(C223/(A223*24))/F223,IF(D223="marché libre",(C223/(A223*24))/G223,"spécifier histo"))</f>
        <v>0.485448875179624</v>
      </c>
      <c r="F223" s="9" t="n">
        <v>868</v>
      </c>
      <c r="G223" s="9" t="n">
        <f aca="false">F223-H223</f>
        <v>868</v>
      </c>
      <c r="H223" s="9" t="n">
        <v>0</v>
      </c>
      <c r="J223" s="103"/>
      <c r="K223" s="103"/>
    </row>
    <row r="224" customFormat="false" ht="27.35" hidden="false" customHeight="true" outlineLevel="0" collapsed="false">
      <c r="A224" s="0" t="n">
        <v>30</v>
      </c>
      <c r="B224" s="31" t="n">
        <v>39022</v>
      </c>
      <c r="C224" s="26" t="n">
        <v>484179</v>
      </c>
      <c r="D224" s="29" t="s">
        <v>42</v>
      </c>
      <c r="E224" s="33" t="n">
        <f aca="false">IF(D224="totale",(C224/(A224*24))/F224,IF(D224="marché libre",(C224/(A224*24))/G224,"spécifier histo"))</f>
        <v>0.774735983102919</v>
      </c>
      <c r="F224" s="9" t="n">
        <v>868</v>
      </c>
      <c r="G224" s="9" t="n">
        <f aca="false">F224-H224</f>
        <v>868</v>
      </c>
      <c r="H224" s="9" t="n">
        <v>0</v>
      </c>
      <c r="J224" s="103"/>
      <c r="K224" s="103"/>
    </row>
    <row r="225" customFormat="false" ht="27.35" hidden="false" customHeight="true" outlineLevel="0" collapsed="false">
      <c r="A225" s="0" t="n">
        <v>31</v>
      </c>
      <c r="B225" s="34" t="n">
        <v>39052</v>
      </c>
      <c r="C225" s="26" t="n">
        <v>376788</v>
      </c>
      <c r="D225" s="29" t="s">
        <v>42</v>
      </c>
      <c r="E225" s="33" t="n">
        <f aca="false">IF(D225="totale",(C225/(A225*24))/F225,IF(D225="marché libre",(C225/(A225*24))/G225,"spécifier histo"))</f>
        <v>0.583451018284525</v>
      </c>
      <c r="F225" s="9" t="n">
        <v>868</v>
      </c>
      <c r="G225" s="9" t="n">
        <f aca="false">F225-H225</f>
        <v>868</v>
      </c>
      <c r="H225" s="9" t="n">
        <v>0</v>
      </c>
      <c r="J225" s="103"/>
      <c r="K225" s="103"/>
    </row>
    <row r="226" customFormat="false" ht="27.35" hidden="false" customHeight="true" outlineLevel="0" collapsed="false">
      <c r="A226" s="0" t="n">
        <v>31</v>
      </c>
      <c r="B226" s="31" t="n">
        <v>39083</v>
      </c>
      <c r="C226" s="26" t="n">
        <v>564217</v>
      </c>
      <c r="D226" s="29" t="s">
        <v>42</v>
      </c>
      <c r="E226" s="33" t="n">
        <f aca="false">IF(D226="totale",(C226/(A226*24))/F226,IF(D226="marché libre",(C226/(A226*24))/G226,"spécifier histo"))</f>
        <v>0.873682238243893</v>
      </c>
      <c r="F226" s="9" t="n">
        <v>868</v>
      </c>
      <c r="G226" s="9" t="n">
        <f aca="false">F226-H226</f>
        <v>868</v>
      </c>
      <c r="H226" s="9" t="n">
        <v>0</v>
      </c>
      <c r="J226" s="103"/>
      <c r="K226" s="103"/>
    </row>
    <row r="227" customFormat="false" ht="27.35" hidden="false" customHeight="true" outlineLevel="0" collapsed="false">
      <c r="A227" s="0" t="n">
        <v>28</v>
      </c>
      <c r="B227" s="34" t="n">
        <v>39114</v>
      </c>
      <c r="C227" s="26" t="n">
        <v>451175</v>
      </c>
      <c r="D227" s="29" t="s">
        <v>42</v>
      </c>
      <c r="E227" s="33" t="n">
        <f aca="false">IF(D227="totale",(C227/(A227*24))/F227,IF(D227="marché libre",(C227/(A227*24))/G227,"spécifier histo"))</f>
        <v>0.773492360653939</v>
      </c>
      <c r="F227" s="9" t="n">
        <v>868</v>
      </c>
      <c r="G227" s="9" t="n">
        <f aca="false">F227-H227</f>
        <v>868</v>
      </c>
      <c r="H227" s="9" t="n">
        <v>0</v>
      </c>
      <c r="J227" s="103"/>
      <c r="K227" s="103"/>
    </row>
    <row r="228" customFormat="false" ht="27.35" hidden="false" customHeight="true" outlineLevel="0" collapsed="false">
      <c r="A228" s="0" t="n">
        <v>31</v>
      </c>
      <c r="B228" s="31" t="n">
        <v>39142</v>
      </c>
      <c r="C228" s="26" t="n">
        <v>546932</v>
      </c>
      <c r="D228" s="29" t="s">
        <v>42</v>
      </c>
      <c r="E228" s="33" t="n">
        <f aca="false">IF(D228="totale",(C228/(A228*24))/F228,IF(D228="marché libre",(C228/(A228*24))/G228,"spécifier histo"))</f>
        <v>0.846916654278777</v>
      </c>
      <c r="F228" s="9" t="n">
        <v>868</v>
      </c>
      <c r="G228" s="9" t="n">
        <f aca="false">F228-H228</f>
        <v>868</v>
      </c>
      <c r="H228" s="9" t="n">
        <v>0</v>
      </c>
      <c r="J228" s="103"/>
      <c r="K228" s="103"/>
    </row>
    <row r="229" customFormat="false" ht="27.35" hidden="false" customHeight="true" outlineLevel="0" collapsed="false">
      <c r="A229" s="0" t="n">
        <v>30</v>
      </c>
      <c r="B229" s="34" t="n">
        <v>39173</v>
      </c>
      <c r="C229" s="26" t="n">
        <v>558490</v>
      </c>
      <c r="D229" s="29" t="s">
        <v>42</v>
      </c>
      <c r="E229" s="33" t="n">
        <f aca="false">IF(D229="totale",(C229/(A229*24))/F229,IF(D229="marché libre",(C229/(A229*24))/G229,"spécifier histo"))</f>
        <v>0.893641193036354</v>
      </c>
      <c r="F229" s="9" t="n">
        <v>868</v>
      </c>
      <c r="G229" s="9" t="n">
        <f aca="false">F229-H229</f>
        <v>868</v>
      </c>
      <c r="H229" s="9" t="n">
        <v>0</v>
      </c>
      <c r="J229" s="103"/>
      <c r="K229" s="103"/>
    </row>
    <row r="230" customFormat="false" ht="27.35" hidden="false" customHeight="true" outlineLevel="0" collapsed="false">
      <c r="A230" s="0" t="n">
        <v>31</v>
      </c>
      <c r="B230" s="31" t="n">
        <v>39203</v>
      </c>
      <c r="C230" s="26" t="n">
        <v>512827</v>
      </c>
      <c r="D230" s="29" t="s">
        <v>42</v>
      </c>
      <c r="E230" s="33" t="n">
        <f aca="false">IF(D230="totale",(C230/(A230*24))/F230,IF(D230="marché libre",(C230/(A230*24))/G230,"spécifier histo"))</f>
        <v>0.794105532431495</v>
      </c>
      <c r="F230" s="9" t="n">
        <v>868</v>
      </c>
      <c r="G230" s="9" t="n">
        <f aca="false">F230-H230</f>
        <v>868</v>
      </c>
      <c r="H230" s="9" t="n">
        <v>0</v>
      </c>
      <c r="J230" s="103"/>
      <c r="K230" s="103"/>
    </row>
    <row r="231" customFormat="false" ht="27.35" hidden="false" customHeight="true" outlineLevel="0" collapsed="false">
      <c r="A231" s="0" t="n">
        <v>30</v>
      </c>
      <c r="B231" s="34" t="n">
        <v>39234</v>
      </c>
      <c r="C231" s="26" t="n">
        <v>77531</v>
      </c>
      <c r="D231" s="29" t="s">
        <v>42</v>
      </c>
      <c r="E231" s="33" t="n">
        <f aca="false">IF(D231="totale",(C231/(A231*24))/F231,IF(D231="marché libre",(C231/(A231*24))/G231,"spécifier histo"))</f>
        <v>0.12405753968254</v>
      </c>
      <c r="F231" s="9" t="n">
        <v>868</v>
      </c>
      <c r="G231" s="9" t="n">
        <f aca="false">F231-H231</f>
        <v>868</v>
      </c>
      <c r="H231" s="9" t="n">
        <v>0</v>
      </c>
      <c r="J231" s="103"/>
      <c r="K231" s="103"/>
    </row>
    <row r="232" customFormat="false" ht="27.35" hidden="false" customHeight="true" outlineLevel="0" collapsed="false">
      <c r="A232" s="0" t="n">
        <v>31</v>
      </c>
      <c r="B232" s="31" t="n">
        <v>39264</v>
      </c>
      <c r="C232" s="26" t="n">
        <v>0</v>
      </c>
      <c r="D232" s="29" t="s">
        <v>42</v>
      </c>
      <c r="E232" s="33" t="n">
        <f aca="false">IF(D232="totale",(C232/(A232*24))/F232,IF(D232="marché libre",(C232/(A232*24))/G232,"spécifier histo"))</f>
        <v>0</v>
      </c>
      <c r="F232" s="9" t="n">
        <v>868</v>
      </c>
      <c r="G232" s="9" t="n">
        <f aca="false">F232-H232</f>
        <v>868</v>
      </c>
      <c r="H232" s="9" t="n">
        <v>0</v>
      </c>
      <c r="J232" s="316" t="s">
        <v>432</v>
      </c>
      <c r="K232" s="103"/>
    </row>
    <row r="233" customFormat="false" ht="27.35" hidden="false" customHeight="true" outlineLevel="0" collapsed="false">
      <c r="A233" s="0" t="n">
        <v>31</v>
      </c>
      <c r="B233" s="34" t="n">
        <v>39295</v>
      </c>
      <c r="C233" s="26" t="n">
        <v>0</v>
      </c>
      <c r="D233" s="29" t="s">
        <v>42</v>
      </c>
      <c r="E233" s="33" t="n">
        <f aca="false">IF(D233="totale",(C233/(A233*24))/F233,IF(D233="marché libre",(C233/(A233*24))/G233,"spécifier histo"))</f>
        <v>0</v>
      </c>
      <c r="F233" s="9" t="n">
        <v>868</v>
      </c>
      <c r="G233" s="9" t="n">
        <f aca="false">F233-H233</f>
        <v>868</v>
      </c>
      <c r="H233" s="9" t="n">
        <v>0</v>
      </c>
      <c r="J233" s="316" t="s">
        <v>432</v>
      </c>
      <c r="K233" s="103"/>
    </row>
    <row r="234" customFormat="false" ht="27.35" hidden="false" customHeight="true" outlineLevel="0" collapsed="false">
      <c r="A234" s="0" t="n">
        <v>30</v>
      </c>
      <c r="B234" s="31" t="n">
        <v>39326</v>
      </c>
      <c r="C234" s="26" t="n">
        <v>0</v>
      </c>
      <c r="D234" s="29" t="s">
        <v>42</v>
      </c>
      <c r="E234" s="33" t="n">
        <f aca="false">IF(D234="totale",(C234/(A234*24))/F234,IF(D234="marché libre",(C234/(A234*24))/G234,"spécifier histo"))</f>
        <v>0</v>
      </c>
      <c r="F234" s="9" t="n">
        <v>868</v>
      </c>
      <c r="G234" s="9" t="n">
        <f aca="false">F234-H234</f>
        <v>868</v>
      </c>
      <c r="H234" s="9" t="n">
        <v>0</v>
      </c>
      <c r="J234" s="316" t="s">
        <v>432</v>
      </c>
      <c r="K234" s="103"/>
    </row>
    <row r="235" customFormat="false" ht="27.35" hidden="false" customHeight="true" outlineLevel="0" collapsed="false">
      <c r="A235" s="0" t="n">
        <v>31</v>
      </c>
      <c r="B235" s="34" t="n">
        <v>39356</v>
      </c>
      <c r="C235" s="26" t="n">
        <v>0</v>
      </c>
      <c r="D235" s="29" t="s">
        <v>42</v>
      </c>
      <c r="E235" s="33" t="n">
        <f aca="false">IF(D235="totale",(C235/(A235*24))/F235,IF(D235="marché libre",(C235/(A235*24))/G235,"spécifier histo"))</f>
        <v>0</v>
      </c>
      <c r="F235" s="9" t="n">
        <v>868</v>
      </c>
      <c r="G235" s="9" t="n">
        <f aca="false">F235-H235</f>
        <v>868</v>
      </c>
      <c r="H235" s="9" t="n">
        <v>0</v>
      </c>
      <c r="J235" s="316" t="s">
        <v>432</v>
      </c>
      <c r="K235" s="103"/>
    </row>
    <row r="236" customFormat="false" ht="27.35" hidden="false" customHeight="true" outlineLevel="0" collapsed="false">
      <c r="A236" s="0" t="n">
        <v>30</v>
      </c>
      <c r="B236" s="31" t="n">
        <v>39387</v>
      </c>
      <c r="C236" s="26" t="n">
        <v>0</v>
      </c>
      <c r="D236" s="29" t="s">
        <v>42</v>
      </c>
      <c r="E236" s="33" t="n">
        <f aca="false">IF(D236="totale",(C236/(A236*24))/F236,IF(D236="marché libre",(C236/(A236*24))/G236,"spécifier histo"))</f>
        <v>0</v>
      </c>
      <c r="F236" s="9" t="n">
        <v>868</v>
      </c>
      <c r="G236" s="9" t="n">
        <f aca="false">F236-H236</f>
        <v>868</v>
      </c>
      <c r="H236" s="9" t="n">
        <v>0</v>
      </c>
      <c r="J236" s="316"/>
      <c r="K236" s="103"/>
    </row>
    <row r="237" customFormat="false" ht="27.35" hidden="false" customHeight="true" outlineLevel="0" collapsed="false">
      <c r="A237" s="0" t="n">
        <v>31</v>
      </c>
      <c r="B237" s="34" t="n">
        <v>39417</v>
      </c>
      <c r="C237" s="26" t="n">
        <v>0</v>
      </c>
      <c r="D237" s="29" t="s">
        <v>42</v>
      </c>
      <c r="E237" s="33" t="n">
        <f aca="false">IF(D237="totale",(C237/(A237*24))/F237,IF(D237="marché libre",(C237/(A237*24))/G237,"spécifier histo"))</f>
        <v>0</v>
      </c>
      <c r="F237" s="9" t="n">
        <v>868</v>
      </c>
      <c r="G237" s="9" t="n">
        <f aca="false">F237-H237</f>
        <v>868</v>
      </c>
      <c r="H237" s="9" t="n">
        <v>0</v>
      </c>
      <c r="J237" s="316"/>
      <c r="K237" s="103"/>
    </row>
    <row r="238" customFormat="false" ht="27.35" hidden="false" customHeight="true" outlineLevel="0" collapsed="false">
      <c r="A238" s="0" t="n">
        <v>31</v>
      </c>
      <c r="B238" s="31" t="n">
        <v>39448</v>
      </c>
      <c r="C238" s="26" t="n">
        <v>71755</v>
      </c>
      <c r="D238" s="29" t="s">
        <v>42</v>
      </c>
      <c r="E238" s="33" t="n">
        <f aca="false">IF(D238="totale",(C238/(A238*24))/F238,IF(D238="marché libre",(C238/(A238*24))/G238,"spécifier histo"))</f>
        <v>0.111111627273178</v>
      </c>
      <c r="F238" s="9" t="n">
        <v>868</v>
      </c>
      <c r="G238" s="9" t="n">
        <f aca="false">F238-H238</f>
        <v>868</v>
      </c>
      <c r="H238" s="9" t="n">
        <v>0</v>
      </c>
      <c r="J238" s="103"/>
      <c r="K238" s="103"/>
    </row>
    <row r="239" customFormat="false" ht="27.35" hidden="false" customHeight="true" outlineLevel="0" collapsed="false">
      <c r="A239" s="0" t="n">
        <v>28</v>
      </c>
      <c r="B239" s="34" t="n">
        <v>39479</v>
      </c>
      <c r="C239" s="26" t="n">
        <v>433170</v>
      </c>
      <c r="D239" s="29" t="s">
        <v>42</v>
      </c>
      <c r="E239" s="33" t="n">
        <f aca="false">IF(D239="totale",(C239/(A239*24))/F239,IF(D239="marché libre",(C239/(A239*24))/G239,"spécifier histo"))</f>
        <v>0.742624670836076</v>
      </c>
      <c r="F239" s="9" t="n">
        <v>868</v>
      </c>
      <c r="G239" s="9" t="n">
        <f aca="false">F239-H239</f>
        <v>868</v>
      </c>
      <c r="H239" s="9" t="n">
        <v>0</v>
      </c>
      <c r="J239" s="103"/>
      <c r="K239" s="103"/>
    </row>
    <row r="240" customFormat="false" ht="27.35" hidden="false" customHeight="true" outlineLevel="0" collapsed="false">
      <c r="A240" s="0" t="n">
        <v>31</v>
      </c>
      <c r="B240" s="31" t="n">
        <v>39508</v>
      </c>
      <c r="C240" s="26" t="n">
        <v>425933</v>
      </c>
      <c r="D240" s="29" t="s">
        <v>42</v>
      </c>
      <c r="E240" s="33" t="n">
        <f aca="false">IF(D240="totale",(C240/(A240*24))/F240,IF(D240="marché libre",(C240/(A240*24))/G240,"spécifier histo"))</f>
        <v>0.659551372578168</v>
      </c>
      <c r="F240" s="9" t="n">
        <v>868</v>
      </c>
      <c r="G240" s="9" t="n">
        <f aca="false">F240-H240</f>
        <v>868</v>
      </c>
      <c r="H240" s="9" t="n">
        <v>0</v>
      </c>
      <c r="J240" s="103"/>
      <c r="K240" s="103"/>
    </row>
    <row r="241" customFormat="false" ht="27.35" hidden="false" customHeight="true" outlineLevel="0" collapsed="false">
      <c r="A241" s="0" t="n">
        <v>30</v>
      </c>
      <c r="B241" s="34" t="n">
        <v>39539</v>
      </c>
      <c r="C241" s="26" t="n">
        <v>382616</v>
      </c>
      <c r="D241" s="29" t="s">
        <v>42</v>
      </c>
      <c r="E241" s="33" t="n">
        <f aca="false">IF(D241="totale",(C241/(A241*24))/F241,IF(D241="marché libre",(C241/(A241*24))/G241,"spécifier histo"))</f>
        <v>0.612224782386073</v>
      </c>
      <c r="F241" s="9" t="n">
        <v>868</v>
      </c>
      <c r="G241" s="9" t="n">
        <f aca="false">F241-H241</f>
        <v>868</v>
      </c>
      <c r="H241" s="9" t="n">
        <v>0</v>
      </c>
      <c r="J241" s="103"/>
      <c r="K241" s="103"/>
    </row>
    <row r="242" customFormat="false" ht="27.35" hidden="false" customHeight="true" outlineLevel="0" collapsed="false">
      <c r="A242" s="0" t="n">
        <v>31</v>
      </c>
      <c r="B242" s="31" t="n">
        <v>39569</v>
      </c>
      <c r="C242" s="26" t="n">
        <v>136186</v>
      </c>
      <c r="D242" s="29" t="s">
        <v>42</v>
      </c>
      <c r="E242" s="33" t="n">
        <f aca="false">IF(D242="totale",(C242/(A242*24))/F242,IF(D242="marché libre",(C242/(A242*24))/G242,"spécifier histo"))</f>
        <v>0.210882141618354</v>
      </c>
      <c r="F242" s="9" t="n">
        <v>868</v>
      </c>
      <c r="G242" s="9" t="n">
        <f aca="false">F242-H242</f>
        <v>868</v>
      </c>
      <c r="H242" s="9" t="n">
        <v>0</v>
      </c>
      <c r="J242" s="103"/>
      <c r="K242" s="103"/>
    </row>
    <row r="243" customFormat="false" ht="27.35" hidden="false" customHeight="true" outlineLevel="0" collapsed="false">
      <c r="A243" s="0" t="n">
        <v>30</v>
      </c>
      <c r="B243" s="34" t="n">
        <v>39600</v>
      </c>
      <c r="C243" s="26" t="n">
        <v>0</v>
      </c>
      <c r="D243" s="29" t="s">
        <v>42</v>
      </c>
      <c r="E243" s="33" t="n">
        <f aca="false">IF(D243="totale",(C243/(A243*24))/F243,IF(D243="marché libre",(C243/(A243*24))/G243,"spécifier histo"))</f>
        <v>0</v>
      </c>
      <c r="F243" s="9" t="n">
        <v>868</v>
      </c>
      <c r="G243" s="9" t="n">
        <f aca="false">F243-H243</f>
        <v>868</v>
      </c>
      <c r="H243" s="9" t="n">
        <v>0</v>
      </c>
      <c r="J243" s="316" t="s">
        <v>432</v>
      </c>
      <c r="K243" s="103"/>
    </row>
    <row r="244" customFormat="false" ht="27.35" hidden="false" customHeight="true" outlineLevel="0" collapsed="false">
      <c r="A244" s="0" t="n">
        <v>31</v>
      </c>
      <c r="B244" s="31" t="n">
        <v>39630</v>
      </c>
      <c r="C244" s="26" t="n">
        <v>380963</v>
      </c>
      <c r="D244" s="29" t="s">
        <v>42</v>
      </c>
      <c r="E244" s="33" t="n">
        <f aca="false">IF(D244="totale",(C244/(A244*24))/F244,IF(D244="marché libre",(C244/(A244*24))/G244,"spécifier histo"))</f>
        <v>0.58991594816907</v>
      </c>
      <c r="F244" s="9" t="n">
        <v>868</v>
      </c>
      <c r="G244" s="9" t="n">
        <f aca="false">F244-H244</f>
        <v>868</v>
      </c>
      <c r="H244" s="9" t="n">
        <v>0</v>
      </c>
      <c r="J244" s="103"/>
      <c r="K244" s="103"/>
    </row>
    <row r="245" customFormat="false" ht="27.35" hidden="false" customHeight="true" outlineLevel="0" collapsed="false">
      <c r="A245" s="0" t="n">
        <v>31</v>
      </c>
      <c r="B245" s="34" t="n">
        <v>39661</v>
      </c>
      <c r="C245" s="26" t="n">
        <v>301650</v>
      </c>
      <c r="D245" s="29" t="s">
        <v>42</v>
      </c>
      <c r="E245" s="33" t="n">
        <f aca="false">IF(D245="totale",(C245/(A245*24))/F245,IF(D245="marché libre",(C245/(A245*24))/G245,"spécifier histo"))</f>
        <v>0.467100862197116</v>
      </c>
      <c r="F245" s="9" t="n">
        <v>868</v>
      </c>
      <c r="G245" s="9" t="n">
        <f aca="false">F245-H245</f>
        <v>868</v>
      </c>
      <c r="H245" s="9" t="n">
        <v>0</v>
      </c>
      <c r="J245" s="103"/>
      <c r="K245" s="103"/>
    </row>
    <row r="246" customFormat="false" ht="27.35" hidden="false" customHeight="true" outlineLevel="0" collapsed="false">
      <c r="A246" s="0" t="n">
        <v>30</v>
      </c>
      <c r="B246" s="31" t="n">
        <v>39692</v>
      </c>
      <c r="C246" s="26" t="n">
        <v>480692</v>
      </c>
      <c r="D246" s="29" t="s">
        <v>42</v>
      </c>
      <c r="E246" s="33" t="n">
        <f aca="false">IF(D246="totale",(C246/(A246*24))/F246,IF(D246="marché libre",(C246/(A246*24))/G246,"spécifier histo"))</f>
        <v>0.769156426011265</v>
      </c>
      <c r="F246" s="9" t="n">
        <v>868</v>
      </c>
      <c r="G246" s="9" t="n">
        <f aca="false">F246-H246</f>
        <v>868</v>
      </c>
      <c r="H246" s="9" t="n">
        <v>0</v>
      </c>
      <c r="J246" s="103"/>
      <c r="K246" s="103"/>
    </row>
    <row r="247" customFormat="false" ht="27.35" hidden="false" customHeight="true" outlineLevel="0" collapsed="false">
      <c r="A247" s="0" t="n">
        <v>31</v>
      </c>
      <c r="B247" s="34" t="n">
        <v>39722</v>
      </c>
      <c r="C247" s="26" t="n">
        <v>261839</v>
      </c>
      <c r="D247" s="29" t="s">
        <v>42</v>
      </c>
      <c r="E247" s="33" t="n">
        <f aca="false">IF(D247="totale",(C247/(A247*24))/F247,IF(D247="marché libre",(C247/(A247*24))/G247,"spécifier histo"))</f>
        <v>0.405454078093256</v>
      </c>
      <c r="F247" s="9" t="n">
        <v>868</v>
      </c>
      <c r="G247" s="9" t="n">
        <f aca="false">F247-H247</f>
        <v>868</v>
      </c>
      <c r="H247" s="9" t="n">
        <v>0</v>
      </c>
      <c r="J247" s="103"/>
      <c r="K247" s="103"/>
    </row>
    <row r="248" customFormat="false" ht="27.35" hidden="false" customHeight="true" outlineLevel="0" collapsed="false">
      <c r="A248" s="0" t="n">
        <v>30</v>
      </c>
      <c r="B248" s="31" t="n">
        <v>39753</v>
      </c>
      <c r="C248" s="26" t="n">
        <v>386929</v>
      </c>
      <c r="D248" s="29" t="s">
        <v>42</v>
      </c>
      <c r="E248" s="33" t="n">
        <f aca="false">IF(D248="totale",(C248/(A248*24))/F248,IF(D248="marché libre",(C248/(A248*24))/G248,"spécifier histo"))</f>
        <v>0.61912602406554</v>
      </c>
      <c r="F248" s="9" t="n">
        <v>868</v>
      </c>
      <c r="G248" s="9" t="n">
        <f aca="false">F248-H248</f>
        <v>868</v>
      </c>
      <c r="H248" s="9" t="n">
        <v>0</v>
      </c>
      <c r="J248" s="103"/>
      <c r="K248" s="103"/>
    </row>
    <row r="249" customFormat="false" ht="27.35" hidden="false" customHeight="true" outlineLevel="0" collapsed="false">
      <c r="A249" s="0" t="n">
        <v>31</v>
      </c>
      <c r="B249" s="34" t="n">
        <v>39783</v>
      </c>
      <c r="C249" s="26" t="n">
        <v>488302</v>
      </c>
      <c r="D249" s="29" t="s">
        <v>42</v>
      </c>
      <c r="E249" s="33" t="n">
        <f aca="false">IF(D249="totale",(C249/(A249*24))/F249,IF(D249="marché libre",(C249/(A249*24))/G249,"spécifier histo"))</f>
        <v>0.756128908379169</v>
      </c>
      <c r="F249" s="9" t="n">
        <v>868</v>
      </c>
      <c r="G249" s="9" t="n">
        <f aca="false">F249-H249</f>
        <v>868</v>
      </c>
      <c r="H249" s="9" t="n">
        <v>0</v>
      </c>
      <c r="J249" s="103"/>
      <c r="K249" s="103"/>
    </row>
    <row r="250" customFormat="false" ht="27.35" hidden="false" customHeight="true" outlineLevel="0" collapsed="false">
      <c r="A250" s="0" t="n">
        <v>31</v>
      </c>
      <c r="B250" s="31" t="n">
        <v>39814</v>
      </c>
      <c r="C250" s="26" t="n">
        <v>441683</v>
      </c>
      <c r="D250" s="29" t="s">
        <v>42</v>
      </c>
      <c r="E250" s="33" t="n">
        <f aca="false">IF(D250="totale",(C250/(A250*24))/F250,IF(D250="marché libre",(C250/(A250*24))/G250,"spécifier histo"))</f>
        <v>0.683940030226451</v>
      </c>
      <c r="F250" s="9" t="n">
        <v>868</v>
      </c>
      <c r="G250" s="9" t="n">
        <f aca="false">F250-H250</f>
        <v>868</v>
      </c>
      <c r="H250" s="9" t="n">
        <v>0</v>
      </c>
      <c r="J250" s="103"/>
      <c r="K250" s="103"/>
    </row>
    <row r="251" customFormat="false" ht="27.35" hidden="false" customHeight="true" outlineLevel="0" collapsed="false">
      <c r="A251" s="0" t="n">
        <v>28</v>
      </c>
      <c r="B251" s="34" t="n">
        <v>39845</v>
      </c>
      <c r="C251" s="26" t="n">
        <v>368424</v>
      </c>
      <c r="D251" s="29" t="s">
        <v>42</v>
      </c>
      <c r="E251" s="33" t="n">
        <f aca="false">IF(D251="totale",(C251/(A251*24))/F251,IF(D251="marché libre",(C251/(A251*24))/G251,"spécifier histo"))</f>
        <v>0.631624423963134</v>
      </c>
      <c r="F251" s="9" t="n">
        <v>868</v>
      </c>
      <c r="G251" s="9" t="n">
        <f aca="false">F251-H251</f>
        <v>868</v>
      </c>
      <c r="H251" s="9" t="n">
        <v>0</v>
      </c>
      <c r="J251" s="103"/>
      <c r="K251" s="103"/>
    </row>
    <row r="252" customFormat="false" ht="27.35" hidden="false" customHeight="true" outlineLevel="0" collapsed="false">
      <c r="A252" s="0" t="n">
        <v>31</v>
      </c>
      <c r="B252" s="31" t="n">
        <v>39873</v>
      </c>
      <c r="C252" s="26" t="n">
        <v>452159</v>
      </c>
      <c r="D252" s="29" t="s">
        <v>42</v>
      </c>
      <c r="E252" s="33" t="n">
        <f aca="false">IF(D252="totale",(C252/(A252*24))/F252,IF(D252="marché libre",(C252/(A252*24))/G252,"spécifier histo"))</f>
        <v>0.700161971656509</v>
      </c>
      <c r="F252" s="9" t="n">
        <v>868</v>
      </c>
      <c r="G252" s="9" t="n">
        <f aca="false">F252-H252</f>
        <v>868</v>
      </c>
      <c r="H252" s="9" t="n">
        <v>0</v>
      </c>
      <c r="J252" s="103"/>
      <c r="K252" s="103"/>
    </row>
    <row r="253" customFormat="false" ht="27.35" hidden="false" customHeight="true" outlineLevel="0" collapsed="false">
      <c r="A253" s="0" t="n">
        <v>30</v>
      </c>
      <c r="B253" s="34" t="n">
        <v>39904</v>
      </c>
      <c r="C253" s="26" t="n">
        <v>503127</v>
      </c>
      <c r="D253" s="29" t="s">
        <v>42</v>
      </c>
      <c r="E253" s="33" t="n">
        <f aca="false">IF(D253="totale",(C253/(A253*24))/F253,IF(D253="marché libre",(C253/(A253*24))/G253,"spécifier histo"))</f>
        <v>0.805054723502304</v>
      </c>
      <c r="F253" s="9" t="n">
        <v>868</v>
      </c>
      <c r="G253" s="9" t="n">
        <f aca="false">F253-H253</f>
        <v>868</v>
      </c>
      <c r="H253" s="9" t="n">
        <v>0</v>
      </c>
      <c r="J253" s="103"/>
      <c r="K253" s="103"/>
    </row>
    <row r="254" customFormat="false" ht="27.35" hidden="false" customHeight="true" outlineLevel="0" collapsed="false">
      <c r="A254" s="0" t="n">
        <v>31</v>
      </c>
      <c r="B254" s="31" t="n">
        <v>39934</v>
      </c>
      <c r="C254" s="26" t="n">
        <v>206279</v>
      </c>
      <c r="D254" s="29" t="s">
        <v>42</v>
      </c>
      <c r="E254" s="33" t="n">
        <f aca="false">IF(D254="totale",(C254/(A254*24))/F254,IF(D254="marché libre",(C254/(A254*24))/G254,"spécifier histo"))</f>
        <v>0.319420184827313</v>
      </c>
      <c r="F254" s="9" t="n">
        <v>868</v>
      </c>
      <c r="G254" s="9" t="n">
        <f aca="false">F254-H254</f>
        <v>868</v>
      </c>
      <c r="H254" s="9" t="n">
        <v>0</v>
      </c>
      <c r="J254" s="103"/>
      <c r="K254" s="103"/>
    </row>
    <row r="255" customFormat="false" ht="27.35" hidden="false" customHeight="true" outlineLevel="0" collapsed="false">
      <c r="A255" s="0" t="n">
        <v>30</v>
      </c>
      <c r="B255" s="34" t="n">
        <v>39965</v>
      </c>
      <c r="C255" s="26" t="n">
        <v>298625</v>
      </c>
      <c r="D255" s="29" t="s">
        <v>42</v>
      </c>
      <c r="E255" s="33" t="n">
        <f aca="false">IF(D255="totale",(C255/(A255*24))/F255,IF(D255="marché libre",(C255/(A255*24))/G255,"spécifier histo"))</f>
        <v>0.477830581157194</v>
      </c>
      <c r="F255" s="9" t="n">
        <v>868</v>
      </c>
      <c r="G255" s="9" t="n">
        <f aca="false">F255-H255</f>
        <v>868</v>
      </c>
      <c r="H255" s="9" t="n">
        <v>0</v>
      </c>
      <c r="J255" s="103"/>
      <c r="K255" s="103"/>
    </row>
    <row r="256" customFormat="false" ht="27.35" hidden="false" customHeight="true" outlineLevel="0" collapsed="false">
      <c r="A256" s="0" t="n">
        <v>31</v>
      </c>
      <c r="B256" s="31" t="n">
        <v>39995</v>
      </c>
      <c r="C256" s="26" t="n">
        <v>183027</v>
      </c>
      <c r="D256" s="29" t="s">
        <v>42</v>
      </c>
      <c r="E256" s="33" t="n">
        <f aca="false">IF(D256="totale",(C256/(A256*24))/F256,IF(D256="marché libre",(C256/(A256*24))/G256,"spécifier histo"))</f>
        <v>0.283414783707448</v>
      </c>
      <c r="F256" s="9" t="n">
        <v>868</v>
      </c>
      <c r="G256" s="9" t="n">
        <f aca="false">F256-H256</f>
        <v>868</v>
      </c>
      <c r="H256" s="9" t="n">
        <v>0</v>
      </c>
      <c r="J256" s="103"/>
      <c r="K256" s="103"/>
    </row>
    <row r="257" customFormat="false" ht="27.35" hidden="false" customHeight="true" outlineLevel="0" collapsed="false">
      <c r="A257" s="0" t="n">
        <v>31</v>
      </c>
      <c r="B257" s="34" t="n">
        <v>40026</v>
      </c>
      <c r="C257" s="26" t="n">
        <v>0</v>
      </c>
      <c r="D257" s="29" t="s">
        <v>42</v>
      </c>
      <c r="E257" s="33" t="n">
        <f aca="false">IF(D257="totale",(C257/(A257*24))/F257,IF(D257="marché libre",(C257/(A257*24))/G257,"spécifier histo"))</f>
        <v>0</v>
      </c>
      <c r="F257" s="9" t="n">
        <v>868</v>
      </c>
      <c r="G257" s="9" t="n">
        <f aca="false">F257-H257</f>
        <v>868</v>
      </c>
      <c r="H257" s="9" t="n">
        <v>0</v>
      </c>
      <c r="J257" s="316" t="s">
        <v>432</v>
      </c>
      <c r="K257" s="103"/>
    </row>
    <row r="258" customFormat="false" ht="27.35" hidden="false" customHeight="true" outlineLevel="0" collapsed="false">
      <c r="A258" s="0" t="n">
        <v>30</v>
      </c>
      <c r="B258" s="31" t="n">
        <v>40057</v>
      </c>
      <c r="C258" s="26" t="n">
        <v>0</v>
      </c>
      <c r="D258" s="29" t="s">
        <v>42</v>
      </c>
      <c r="E258" s="33" t="n">
        <f aca="false">IF(D258="totale",(C258/(A258*24))/F258,IF(D258="marché libre",(C258/(A258*24))/G258,"spécifier histo"))</f>
        <v>0</v>
      </c>
      <c r="F258" s="9" t="n">
        <v>868</v>
      </c>
      <c r="G258" s="9" t="n">
        <f aca="false">F258-H258</f>
        <v>868</v>
      </c>
      <c r="H258" s="9" t="n">
        <v>0</v>
      </c>
      <c r="J258" s="316" t="s">
        <v>432</v>
      </c>
      <c r="K258" s="103"/>
    </row>
    <row r="259" customFormat="false" ht="27.35" hidden="false" customHeight="true" outlineLevel="0" collapsed="false">
      <c r="A259" s="0" t="n">
        <v>31</v>
      </c>
      <c r="B259" s="34" t="n">
        <v>40087</v>
      </c>
      <c r="C259" s="26" t="n">
        <v>0</v>
      </c>
      <c r="D259" s="29" t="s">
        <v>42</v>
      </c>
      <c r="E259" s="33" t="n">
        <f aca="false">IF(D259="totale",(C259/(A259*24))/F259,IF(D259="marché libre",(C259/(A259*24))/G259,"spécifier histo"))</f>
        <v>0</v>
      </c>
      <c r="F259" s="9" t="n">
        <v>868</v>
      </c>
      <c r="G259" s="9" t="n">
        <f aca="false">F259-H259</f>
        <v>868</v>
      </c>
      <c r="H259" s="9" t="n">
        <v>0</v>
      </c>
      <c r="J259" s="316" t="s">
        <v>432</v>
      </c>
      <c r="K259" s="103"/>
    </row>
    <row r="260" customFormat="false" ht="27.35" hidden="false" customHeight="true" outlineLevel="0" collapsed="false">
      <c r="A260" s="0" t="n">
        <v>30</v>
      </c>
      <c r="B260" s="31" t="n">
        <v>40118</v>
      </c>
      <c r="C260" s="26" t="n">
        <v>103735</v>
      </c>
      <c r="D260" s="29" t="s">
        <v>42</v>
      </c>
      <c r="E260" s="33" t="n">
        <f aca="false">IF(D260="totale",(C260/(A260*24))/F260,IF(D260="marché libre",(C260/(A260*24))/G260,"spécifier histo"))</f>
        <v>0.165986623143881</v>
      </c>
      <c r="F260" s="9" t="n">
        <v>868</v>
      </c>
      <c r="G260" s="9" t="n">
        <f aca="false">F260-H260</f>
        <v>868</v>
      </c>
      <c r="H260" s="9" t="n">
        <v>0</v>
      </c>
      <c r="J260" s="103"/>
      <c r="K260" s="103"/>
    </row>
    <row r="261" customFormat="false" ht="27.35" hidden="false" customHeight="true" outlineLevel="0" collapsed="false">
      <c r="A261" s="0" t="n">
        <v>31</v>
      </c>
      <c r="B261" s="34" t="n">
        <v>40148</v>
      </c>
      <c r="C261" s="26" t="n">
        <v>0</v>
      </c>
      <c r="D261" s="29" t="s">
        <v>42</v>
      </c>
      <c r="E261" s="33" t="n">
        <f aca="false">IF(D261="totale",(C261/(A261*24))/F261,IF(D261="marché libre",(C261/(A261*24))/G261,"spécifier histo"))</f>
        <v>0</v>
      </c>
      <c r="F261" s="9" t="n">
        <v>868</v>
      </c>
      <c r="G261" s="9" t="n">
        <f aca="false">F261-H261</f>
        <v>868</v>
      </c>
      <c r="H261" s="9" t="n">
        <v>0</v>
      </c>
      <c r="J261" s="103"/>
      <c r="K261" s="103"/>
    </row>
    <row r="262" customFormat="false" ht="27.35" hidden="false" customHeight="true" outlineLevel="0" collapsed="false">
      <c r="A262" s="0" t="n">
        <v>31</v>
      </c>
      <c r="B262" s="31" t="n">
        <v>40179</v>
      </c>
      <c r="C262" s="26" t="n">
        <v>189187</v>
      </c>
      <c r="D262" s="29" t="s">
        <v>42</v>
      </c>
      <c r="E262" s="33" t="n">
        <f aca="false">IF(D262="totale",(C262/(A262*24))/F262,IF(D262="marché libre",(C262/(A262*24))/G262,"spécifier histo"))</f>
        <v>0.292953458698776</v>
      </c>
      <c r="F262" s="9" t="n">
        <v>868</v>
      </c>
      <c r="G262" s="9" t="n">
        <f aca="false">F262-H262</f>
        <v>868</v>
      </c>
      <c r="H262" s="9" t="n">
        <v>0</v>
      </c>
      <c r="J262" s="103"/>
      <c r="K262" s="103"/>
    </row>
    <row r="263" customFormat="false" ht="27.35" hidden="false" customHeight="true" outlineLevel="0" collapsed="false">
      <c r="A263" s="0" t="n">
        <v>28</v>
      </c>
      <c r="B263" s="34" t="n">
        <v>40210</v>
      </c>
      <c r="C263" s="26" t="n">
        <v>464805</v>
      </c>
      <c r="D263" s="29" t="s">
        <v>42</v>
      </c>
      <c r="E263" s="33" t="n">
        <f aca="false">IF(D263="totale",(C263/(A263*24))/F263,IF(D263="marché libre",(C263/(A263*24))/G263,"spécifier histo"))</f>
        <v>0.79685957044108</v>
      </c>
      <c r="F263" s="9" t="n">
        <v>868</v>
      </c>
      <c r="G263" s="9" t="n">
        <f aca="false">F263-H263</f>
        <v>868</v>
      </c>
      <c r="H263" s="9" t="n">
        <v>0</v>
      </c>
      <c r="J263" s="103"/>
      <c r="K263" s="103"/>
    </row>
    <row r="264" customFormat="false" ht="27.35" hidden="false" customHeight="true" outlineLevel="0" collapsed="false">
      <c r="A264" s="0" t="n">
        <v>31</v>
      </c>
      <c r="B264" s="31" t="n">
        <v>40238</v>
      </c>
      <c r="C264" s="26" t="n">
        <v>499062</v>
      </c>
      <c r="D264" s="29" t="s">
        <v>42</v>
      </c>
      <c r="E264" s="33" t="n">
        <f aca="false">IF(D264="totale",(C264/(A264*24))/F264,IF(D264="marché libre",(C264/(A264*24))/G264,"spécifier histo"))</f>
        <v>0.772790619889996</v>
      </c>
      <c r="F264" s="9" t="n">
        <v>868</v>
      </c>
      <c r="G264" s="9" t="n">
        <f aca="false">F264-H264</f>
        <v>868</v>
      </c>
      <c r="H264" s="9" t="n">
        <v>0</v>
      </c>
      <c r="J264" s="103"/>
      <c r="K264" s="103"/>
    </row>
    <row r="265" customFormat="false" ht="27.35" hidden="false" customHeight="true" outlineLevel="0" collapsed="false">
      <c r="A265" s="0" t="n">
        <v>30</v>
      </c>
      <c r="B265" s="34" t="n">
        <v>40269</v>
      </c>
      <c r="C265" s="26" t="n">
        <v>483807</v>
      </c>
      <c r="D265" s="29" t="s">
        <v>42</v>
      </c>
      <c r="E265" s="33" t="n">
        <f aca="false">IF(D265="totale",(C265/(A265*24))/F265,IF(D265="marché libre",(C265/(A265*24))/G265,"spécifier histo"))</f>
        <v>0.774140745007681</v>
      </c>
      <c r="F265" s="9" t="n">
        <v>868</v>
      </c>
      <c r="G265" s="9" t="n">
        <f aca="false">F265-H265</f>
        <v>868</v>
      </c>
      <c r="H265" s="9" t="n">
        <v>0</v>
      </c>
      <c r="J265" s="103"/>
      <c r="K265" s="103"/>
    </row>
    <row r="266" customFormat="false" ht="27.35" hidden="false" customHeight="true" outlineLevel="0" collapsed="false">
      <c r="A266" s="0" t="n">
        <v>31</v>
      </c>
      <c r="B266" s="31" t="n">
        <v>40299</v>
      </c>
      <c r="C266" s="26" t="n">
        <v>102442</v>
      </c>
      <c r="D266" s="29" t="s">
        <v>42</v>
      </c>
      <c r="E266" s="33" t="n">
        <f aca="false">IF(D266="totale",(C266/(A266*24))/F266,IF(D266="marché libre",(C266/(A266*24))/G266,"spécifier histo"))</f>
        <v>0.158630023289232</v>
      </c>
      <c r="F266" s="9" t="n">
        <v>868</v>
      </c>
      <c r="G266" s="9" t="n">
        <f aca="false">F266-H266</f>
        <v>868</v>
      </c>
      <c r="H266" s="9" t="n">
        <v>0</v>
      </c>
      <c r="J266" s="103"/>
      <c r="K266" s="103"/>
    </row>
    <row r="267" customFormat="false" ht="27.35" hidden="false" customHeight="true" outlineLevel="0" collapsed="false">
      <c r="A267" s="0" t="n">
        <v>30</v>
      </c>
      <c r="B267" s="34" t="n">
        <v>40330</v>
      </c>
      <c r="C267" s="26" t="n">
        <v>135188</v>
      </c>
      <c r="D267" s="29" t="s">
        <v>42</v>
      </c>
      <c r="E267" s="33" t="n">
        <f aca="false">IF(D267="totale",(C267/(A267*24))/F267,IF(D267="marché libre",(C267/(A267*24))/G267,"spécifier histo"))</f>
        <v>0.216314644137225</v>
      </c>
      <c r="F267" s="9" t="n">
        <v>868</v>
      </c>
      <c r="G267" s="9" t="n">
        <f aca="false">F267-H267</f>
        <v>868</v>
      </c>
      <c r="H267" s="9" t="n">
        <v>0</v>
      </c>
      <c r="J267" s="103"/>
      <c r="K267" s="103"/>
    </row>
    <row r="268" customFormat="false" ht="27.35" hidden="false" customHeight="true" outlineLevel="0" collapsed="false">
      <c r="A268" s="0" t="n">
        <v>31</v>
      </c>
      <c r="B268" s="31" t="n">
        <v>40360</v>
      </c>
      <c r="C268" s="26" t="n">
        <v>530028</v>
      </c>
      <c r="D268" s="29" t="s">
        <v>42</v>
      </c>
      <c r="E268" s="33" t="n">
        <f aca="false">IF(D268="totale",(C268/(A268*24))/F268,IF(D268="marché libre",(C268/(A268*24))/G268,"spécifier histo"))</f>
        <v>0.82074104355582</v>
      </c>
      <c r="F268" s="9" t="n">
        <v>868</v>
      </c>
      <c r="G268" s="9" t="n">
        <f aca="false">F268-H268</f>
        <v>868</v>
      </c>
      <c r="H268" s="9" t="n">
        <v>0</v>
      </c>
      <c r="J268" s="103"/>
      <c r="K268" s="103"/>
    </row>
    <row r="269" customFormat="false" ht="27.35" hidden="false" customHeight="true" outlineLevel="0" collapsed="false">
      <c r="A269" s="0" t="n">
        <v>31</v>
      </c>
      <c r="B269" s="34" t="n">
        <v>40391</v>
      </c>
      <c r="C269" s="26" t="n">
        <v>31487</v>
      </c>
      <c r="D269" s="29" t="s">
        <v>42</v>
      </c>
      <c r="E269" s="33" t="n">
        <f aca="false">IF(D269="totale",(C269/(A269*24))/F269,IF(D269="marché libre",(C269/(A269*24))/G269,"spécifier histo"))</f>
        <v>0.0487571849759675</v>
      </c>
      <c r="F269" s="9" t="n">
        <v>868</v>
      </c>
      <c r="G269" s="9" t="n">
        <f aca="false">F269-H269</f>
        <v>868</v>
      </c>
      <c r="H269" s="9" t="n">
        <v>0</v>
      </c>
      <c r="J269" s="103"/>
      <c r="K269" s="103"/>
    </row>
    <row r="270" customFormat="false" ht="27.35" hidden="false" customHeight="true" outlineLevel="0" collapsed="false">
      <c r="A270" s="0" t="n">
        <v>30</v>
      </c>
      <c r="B270" s="31" t="n">
        <v>40422</v>
      </c>
      <c r="C270" s="26" t="n">
        <v>0</v>
      </c>
      <c r="D270" s="29" t="s">
        <v>42</v>
      </c>
      <c r="E270" s="33" t="n">
        <f aca="false">IF(D270="totale",(C270/(A270*24))/F270,IF(D270="marché libre",(C270/(A270*24))/G270,"spécifier histo"))</f>
        <v>0</v>
      </c>
      <c r="F270" s="9" t="n">
        <v>868</v>
      </c>
      <c r="G270" s="9" t="n">
        <f aca="false">F270-H270</f>
        <v>868</v>
      </c>
      <c r="H270" s="9" t="n">
        <v>0</v>
      </c>
      <c r="I270" s="9" t="s">
        <v>434</v>
      </c>
      <c r="J270" s="316" t="s">
        <v>435</v>
      </c>
      <c r="K270" s="103"/>
    </row>
    <row r="271" customFormat="false" ht="27.35" hidden="false" customHeight="true" outlineLevel="0" collapsed="false">
      <c r="A271" s="0" t="n">
        <v>31</v>
      </c>
      <c r="B271" s="34" t="n">
        <v>40452</v>
      </c>
      <c r="C271" s="26" t="n">
        <v>0</v>
      </c>
      <c r="D271" s="29" t="s">
        <v>42</v>
      </c>
      <c r="E271" s="33" t="n">
        <f aca="false">IF(D271="totale",(C271/(A271*24))/F271,IF(D271="marché libre",(C271/(A271*24))/G271,"spécifier histo"))</f>
        <v>0</v>
      </c>
      <c r="F271" s="9" t="n">
        <v>868</v>
      </c>
      <c r="G271" s="9" t="n">
        <f aca="false">F271-H271</f>
        <v>868</v>
      </c>
      <c r="H271" s="9" t="n">
        <v>0</v>
      </c>
      <c r="I271" s="9" t="s">
        <v>434</v>
      </c>
      <c r="J271" s="316" t="s">
        <v>435</v>
      </c>
      <c r="K271" s="103"/>
    </row>
    <row r="272" customFormat="false" ht="27.35" hidden="false" customHeight="true" outlineLevel="0" collapsed="false">
      <c r="A272" s="0" t="n">
        <v>30</v>
      </c>
      <c r="B272" s="31" t="n">
        <v>40483</v>
      </c>
      <c r="C272" s="26" t="n">
        <v>0</v>
      </c>
      <c r="D272" s="29" t="s">
        <v>42</v>
      </c>
      <c r="E272" s="33" t="n">
        <f aca="false">IF(D272="totale",(C272/(A272*24))/F272,IF(D272="marché libre",(C272/(A272*24))/G272,"spécifier histo"))</f>
        <v>0</v>
      </c>
      <c r="F272" s="9" t="n">
        <v>868</v>
      </c>
      <c r="G272" s="9" t="n">
        <f aca="false">F272-H272</f>
        <v>868</v>
      </c>
      <c r="H272" s="9" t="n">
        <v>0</v>
      </c>
      <c r="I272" s="9" t="s">
        <v>434</v>
      </c>
      <c r="J272" s="316" t="s">
        <v>435</v>
      </c>
      <c r="K272" s="103"/>
    </row>
    <row r="273" customFormat="false" ht="27.35" hidden="false" customHeight="true" outlineLevel="0" collapsed="false">
      <c r="A273" s="0" t="n">
        <v>31</v>
      </c>
      <c r="B273" s="34" t="n">
        <v>40513</v>
      </c>
      <c r="C273" s="26" t="n">
        <v>0</v>
      </c>
      <c r="D273" s="29" t="s">
        <v>42</v>
      </c>
      <c r="E273" s="33" t="n">
        <f aca="false">IF(D273="totale",(C273/(A273*24))/F273,IF(D273="marché libre",(C273/(A273*24))/G273,"spécifier histo"))</f>
        <v>0</v>
      </c>
      <c r="F273" s="9" t="n">
        <v>868</v>
      </c>
      <c r="G273" s="9" t="n">
        <f aca="false">F273-H273</f>
        <v>868</v>
      </c>
      <c r="H273" s="9" t="n">
        <v>0</v>
      </c>
      <c r="I273" s="9" t="s">
        <v>434</v>
      </c>
      <c r="J273" s="316" t="s">
        <v>435</v>
      </c>
      <c r="K273" s="103"/>
    </row>
    <row r="274" customFormat="false" ht="27.35" hidden="false" customHeight="true" outlineLevel="0" collapsed="false">
      <c r="A274" s="0" t="n">
        <v>31</v>
      </c>
      <c r="B274" s="31" t="n">
        <v>40544</v>
      </c>
      <c r="C274" s="26" t="n">
        <v>0</v>
      </c>
      <c r="D274" s="29" t="s">
        <v>42</v>
      </c>
      <c r="E274" s="33" t="n">
        <f aca="false">IF(D274="totale",(C274/(A274*24))/F274,IF(D274="marché libre",(C274/(A274*24))/G274,"spécifier histo"))</f>
        <v>0</v>
      </c>
      <c r="F274" s="9" t="n">
        <v>868</v>
      </c>
      <c r="G274" s="9" t="n">
        <f aca="false">F274-H274</f>
        <v>868</v>
      </c>
      <c r="H274" s="9" t="n">
        <v>0</v>
      </c>
      <c r="I274" s="9" t="s">
        <v>434</v>
      </c>
      <c r="J274" s="316" t="s">
        <v>435</v>
      </c>
      <c r="K274" s="103"/>
    </row>
    <row r="275" customFormat="false" ht="27.35" hidden="false" customHeight="true" outlineLevel="0" collapsed="false">
      <c r="A275" s="0" t="n">
        <v>28</v>
      </c>
      <c r="B275" s="34" t="n">
        <v>40575</v>
      </c>
      <c r="C275" s="26" t="n">
        <v>0</v>
      </c>
      <c r="D275" s="29" t="s">
        <v>42</v>
      </c>
      <c r="E275" s="33" t="n">
        <f aca="false">IF(D275="totale",(C275/(A275*24))/F275,IF(D275="marché libre",(C275/(A275*24))/G275,"spécifier histo"))</f>
        <v>0</v>
      </c>
      <c r="F275" s="9" t="n">
        <v>868</v>
      </c>
      <c r="G275" s="9" t="n">
        <f aca="false">F275-H275</f>
        <v>868</v>
      </c>
      <c r="H275" s="9" t="n">
        <v>0</v>
      </c>
      <c r="I275" s="9" t="s">
        <v>434</v>
      </c>
      <c r="J275" s="316" t="s">
        <v>435</v>
      </c>
      <c r="K275" s="103"/>
    </row>
    <row r="276" customFormat="false" ht="27.35" hidden="false" customHeight="true" outlineLevel="0" collapsed="false">
      <c r="A276" s="0" t="n">
        <v>31</v>
      </c>
      <c r="B276" s="31" t="n">
        <v>40603</v>
      </c>
      <c r="C276" s="26" t="n">
        <v>0</v>
      </c>
      <c r="D276" s="29" t="s">
        <v>42</v>
      </c>
      <c r="E276" s="33" t="n">
        <f aca="false">IF(D276="totale",(C276/(A276*24))/F276,IF(D276="marché libre",(C276/(A276*24))/G276,"spécifier histo"))</f>
        <v>0</v>
      </c>
      <c r="F276" s="9" t="n">
        <v>868</v>
      </c>
      <c r="G276" s="9" t="n">
        <f aca="false">F276-H276</f>
        <v>868</v>
      </c>
      <c r="H276" s="9" t="n">
        <v>0</v>
      </c>
      <c r="I276" s="9" t="s">
        <v>434</v>
      </c>
      <c r="J276" s="316" t="s">
        <v>435</v>
      </c>
      <c r="K276" s="103"/>
    </row>
    <row r="277" customFormat="false" ht="27.35" hidden="false" customHeight="true" outlineLevel="0" collapsed="false">
      <c r="A277" s="0" t="n">
        <v>30</v>
      </c>
      <c r="B277" s="34" t="n">
        <v>40634</v>
      </c>
      <c r="C277" s="26" t="n">
        <v>0</v>
      </c>
      <c r="D277" s="29" t="s">
        <v>42</v>
      </c>
      <c r="E277" s="33" t="n">
        <f aca="false">IF(D277="totale",(C277/(A277*24))/F277,IF(D277="marché libre",(C277/(A277*24))/G277,"spécifier histo"))</f>
        <v>0</v>
      </c>
      <c r="F277" s="9" t="n">
        <v>868</v>
      </c>
      <c r="G277" s="9" t="n">
        <f aca="false">F277-H277</f>
        <v>868</v>
      </c>
      <c r="H277" s="9" t="n">
        <v>0</v>
      </c>
      <c r="I277" s="9" t="s">
        <v>434</v>
      </c>
      <c r="J277" s="316" t="s">
        <v>435</v>
      </c>
      <c r="K277" s="103"/>
    </row>
    <row r="278" customFormat="false" ht="27.35" hidden="false" customHeight="true" outlineLevel="0" collapsed="false">
      <c r="A278" s="0" t="n">
        <v>31</v>
      </c>
      <c r="B278" s="31" t="n">
        <v>40664</v>
      </c>
      <c r="C278" s="26" t="n">
        <v>0</v>
      </c>
      <c r="D278" s="29" t="s">
        <v>42</v>
      </c>
      <c r="E278" s="33" t="n">
        <f aca="false">IF(D278="totale",(C278/(A278*24))/F278,IF(D278="marché libre",(C278/(A278*24))/G278,"spécifier histo"))</f>
        <v>0</v>
      </c>
      <c r="F278" s="9" t="n">
        <v>868</v>
      </c>
      <c r="G278" s="9" t="n">
        <f aca="false">F278-H278</f>
        <v>868</v>
      </c>
      <c r="H278" s="9" t="n">
        <v>0</v>
      </c>
      <c r="I278" s="9" t="s">
        <v>434</v>
      </c>
      <c r="J278" s="316" t="s">
        <v>435</v>
      </c>
      <c r="K278" s="103"/>
    </row>
    <row r="279" customFormat="false" ht="27.35" hidden="false" customHeight="true" outlineLevel="0" collapsed="false">
      <c r="A279" s="0" t="n">
        <v>30</v>
      </c>
      <c r="B279" s="34" t="n">
        <v>40695</v>
      </c>
      <c r="C279" s="26" t="n">
        <v>0</v>
      </c>
      <c r="D279" s="29" t="s">
        <v>42</v>
      </c>
      <c r="E279" s="33" t="n">
        <f aca="false">IF(D279="totale",(C279/(A279*24))/F279,IF(D279="marché libre",(C279/(A279*24))/G279,"spécifier histo"))</f>
        <v>0</v>
      </c>
      <c r="F279" s="9" t="n">
        <v>868</v>
      </c>
      <c r="G279" s="9" t="n">
        <f aca="false">F279-H279</f>
        <v>868</v>
      </c>
      <c r="H279" s="9" t="n">
        <v>0</v>
      </c>
      <c r="I279" s="9" t="s">
        <v>434</v>
      </c>
      <c r="J279" s="316" t="s">
        <v>435</v>
      </c>
      <c r="K279" s="103"/>
    </row>
    <row r="280" customFormat="false" ht="27.35" hidden="false" customHeight="true" outlineLevel="0" collapsed="false">
      <c r="A280" s="0" t="n">
        <v>31</v>
      </c>
      <c r="B280" s="31" t="n">
        <v>40725</v>
      </c>
      <c r="C280" s="26" t="n">
        <v>0</v>
      </c>
      <c r="D280" s="29" t="s">
        <v>42</v>
      </c>
      <c r="E280" s="33" t="n">
        <f aca="false">IF(D280="totale",(C280/(A280*24))/F280,IF(D280="marché libre",(C280/(A280*24))/G280,"spécifier histo"))</f>
        <v>0</v>
      </c>
      <c r="F280" s="9" t="n">
        <v>868</v>
      </c>
      <c r="G280" s="9" t="n">
        <f aca="false">F280-H280</f>
        <v>868</v>
      </c>
      <c r="H280" s="9" t="n">
        <v>0</v>
      </c>
      <c r="I280" s="9" t="s">
        <v>434</v>
      </c>
      <c r="J280" s="316" t="s">
        <v>435</v>
      </c>
      <c r="K280" s="103"/>
    </row>
    <row r="281" customFormat="false" ht="27.35" hidden="false" customHeight="true" outlineLevel="0" collapsed="false">
      <c r="A281" s="0" t="n">
        <v>31</v>
      </c>
      <c r="B281" s="34" t="n">
        <v>40756</v>
      </c>
      <c r="C281" s="26" t="n">
        <v>0</v>
      </c>
      <c r="D281" s="29" t="s">
        <v>42</v>
      </c>
      <c r="E281" s="33" t="n">
        <f aca="false">IF(D281="totale",(C281/(A281*24))/F281,IF(D281="marché libre",(C281/(A281*24))/G281,"spécifier histo"))</f>
        <v>0</v>
      </c>
      <c r="F281" s="9" t="n">
        <v>868</v>
      </c>
      <c r="G281" s="9" t="n">
        <f aca="false">F281-H281</f>
        <v>868</v>
      </c>
      <c r="H281" s="9" t="n">
        <v>0</v>
      </c>
      <c r="I281" s="9" t="s">
        <v>434</v>
      </c>
      <c r="J281" s="316" t="s">
        <v>435</v>
      </c>
      <c r="K281" s="103"/>
    </row>
    <row r="282" customFormat="false" ht="27.35" hidden="false" customHeight="true" outlineLevel="0" collapsed="false">
      <c r="A282" s="0" t="n">
        <v>30</v>
      </c>
      <c r="B282" s="31" t="n">
        <v>40787</v>
      </c>
      <c r="C282" s="26" t="n">
        <v>0</v>
      </c>
      <c r="D282" s="29" t="s">
        <v>42</v>
      </c>
      <c r="E282" s="33" t="n">
        <f aca="false">IF(D282="totale",(C282/(A282*24))/F282,IF(D282="marché libre",(C282/(A282*24))/G282,"spécifier histo"))</f>
        <v>0</v>
      </c>
      <c r="F282" s="9" t="n">
        <v>868</v>
      </c>
      <c r="G282" s="9" t="n">
        <f aca="false">F282-H282</f>
        <v>868</v>
      </c>
      <c r="H282" s="9" t="n">
        <v>0</v>
      </c>
      <c r="I282" s="9" t="s">
        <v>434</v>
      </c>
      <c r="J282" s="316" t="s">
        <v>435</v>
      </c>
      <c r="K282" s="103"/>
    </row>
    <row r="283" customFormat="false" ht="27.35" hidden="false" customHeight="true" outlineLevel="0" collapsed="false">
      <c r="A283" s="0" t="n">
        <v>31</v>
      </c>
      <c r="B283" s="34" t="n">
        <v>40817</v>
      </c>
      <c r="C283" s="26" t="n">
        <v>0</v>
      </c>
      <c r="D283" s="29" t="s">
        <v>42</v>
      </c>
      <c r="E283" s="33" t="n">
        <f aca="false">IF(D283="totale",(C283/(A283*24))/F283,IF(D283="marché libre",(C283/(A283*24))/G283,"spécifier histo"))</f>
        <v>0</v>
      </c>
      <c r="F283" s="9" t="n">
        <v>868</v>
      </c>
      <c r="G283" s="9" t="n">
        <f aca="false">F283-H283</f>
        <v>868</v>
      </c>
      <c r="H283" s="9" t="n">
        <v>0</v>
      </c>
      <c r="I283" s="9" t="s">
        <v>434</v>
      </c>
      <c r="J283" s="316" t="s">
        <v>435</v>
      </c>
      <c r="K283" s="103"/>
    </row>
    <row r="284" customFormat="false" ht="27.35" hidden="false" customHeight="true" outlineLevel="0" collapsed="false">
      <c r="A284" s="0" t="n">
        <v>30</v>
      </c>
      <c r="B284" s="31" t="n">
        <v>40848</v>
      </c>
      <c r="C284" s="26" t="n">
        <v>0</v>
      </c>
      <c r="D284" s="29" t="s">
        <v>42</v>
      </c>
      <c r="E284" s="33" t="n">
        <f aca="false">IF(D284="totale",(C284/(A284*24))/F284,IF(D284="marché libre",(C284/(A284*24))/G284,"spécifier histo"))</f>
        <v>0</v>
      </c>
      <c r="F284" s="9" t="n">
        <v>868</v>
      </c>
      <c r="G284" s="9" t="n">
        <f aca="false">F284-H284</f>
        <v>868</v>
      </c>
      <c r="H284" s="9" t="n">
        <v>0</v>
      </c>
      <c r="I284" s="9" t="s">
        <v>434</v>
      </c>
      <c r="J284" s="316" t="s">
        <v>435</v>
      </c>
      <c r="K284" s="103"/>
    </row>
    <row r="285" customFormat="false" ht="27.35" hidden="false" customHeight="true" outlineLevel="0" collapsed="false">
      <c r="A285" s="0" t="n">
        <v>31</v>
      </c>
      <c r="B285" s="34" t="n">
        <v>40878</v>
      </c>
      <c r="C285" s="26" t="n">
        <v>230429</v>
      </c>
      <c r="D285" s="29" t="s">
        <v>42</v>
      </c>
      <c r="E285" s="33" t="n">
        <f aca="false">IF(D285="totale",(C285/(A285*24))/F285,IF(D285="marché libre",(C285/(A285*24))/G285,"spécifier histo"))</f>
        <v>0.35681612655468</v>
      </c>
      <c r="F285" s="9" t="n">
        <v>868</v>
      </c>
      <c r="G285" s="9" t="n">
        <f aca="false">F285-H285</f>
        <v>868</v>
      </c>
      <c r="H285" s="9" t="n">
        <v>0</v>
      </c>
      <c r="J285" s="103"/>
      <c r="K285" s="103"/>
    </row>
    <row r="286" customFormat="false" ht="28.2" hidden="false" customHeight="true" outlineLevel="0" collapsed="false">
      <c r="A286" s="0" t="n">
        <v>31</v>
      </c>
      <c r="B286" s="31" t="n">
        <v>40909</v>
      </c>
      <c r="C286" s="9" t="n">
        <v>477072</v>
      </c>
      <c r="D286" s="29" t="s">
        <v>42</v>
      </c>
      <c r="E286" s="33" t="n">
        <f aca="false">IF(D286="totale",(C286/(A286*24))/F286,IF(D286="marché libre",(C286/(A286*24))/G286,"spécifier histo"))</f>
        <v>0.738739408354393</v>
      </c>
      <c r="F286" s="9" t="n">
        <v>868</v>
      </c>
      <c r="G286" s="9" t="n">
        <f aca="false">F286-H286</f>
        <v>868</v>
      </c>
      <c r="H286" s="9" t="n">
        <v>0</v>
      </c>
      <c r="J286" s="103"/>
      <c r="K286" s="103"/>
    </row>
    <row r="287" customFormat="false" ht="28.2" hidden="false" customHeight="true" outlineLevel="0" collapsed="false">
      <c r="A287" s="0" t="n">
        <v>28</v>
      </c>
      <c r="B287" s="34" t="n">
        <v>40940</v>
      </c>
      <c r="C287" s="9" t="n">
        <v>388067</v>
      </c>
      <c r="D287" s="29" t="s">
        <v>42</v>
      </c>
      <c r="E287" s="33" t="n">
        <f aca="false">IF(D287="totale",(C287/(A287*24))/F287,IF(D287="marché libre",(C287/(A287*24))/G287,"spécifier histo"))</f>
        <v>0.665300293504499</v>
      </c>
      <c r="F287" s="9" t="n">
        <v>868</v>
      </c>
      <c r="G287" s="9" t="n">
        <f aca="false">F287-H287</f>
        <v>868</v>
      </c>
      <c r="H287" s="9" t="n">
        <v>0</v>
      </c>
      <c r="J287" s="103"/>
      <c r="K287" s="103"/>
    </row>
    <row r="288" customFormat="false" ht="28.2" hidden="false" customHeight="true" outlineLevel="0" collapsed="false">
      <c r="A288" s="0" t="n">
        <v>31</v>
      </c>
      <c r="B288" s="31" t="n">
        <v>40969</v>
      </c>
      <c r="C288" s="9" t="n">
        <v>394464</v>
      </c>
      <c r="D288" s="29" t="s">
        <v>42</v>
      </c>
      <c r="E288" s="33" t="n">
        <f aca="false">IF(D288="totale",(C288/(A288*24))/F288,IF(D288="marché libre",(C288/(A288*24))/G288,"spécifier histo"))</f>
        <v>0.610822060353798</v>
      </c>
      <c r="F288" s="9" t="n">
        <v>868</v>
      </c>
      <c r="G288" s="9" t="n">
        <f aca="false">F288-H288</f>
        <v>868</v>
      </c>
      <c r="H288" s="9" t="n">
        <v>0</v>
      </c>
      <c r="J288" s="103"/>
      <c r="K288" s="103"/>
    </row>
    <row r="289" customFormat="false" ht="28.2" hidden="false" customHeight="true" outlineLevel="0" collapsed="false">
      <c r="A289" s="0" t="n">
        <v>30</v>
      </c>
      <c r="B289" s="34" t="n">
        <v>41000</v>
      </c>
      <c r="C289" s="9" t="n">
        <v>516399</v>
      </c>
      <c r="D289" s="29" t="s">
        <v>42</v>
      </c>
      <c r="E289" s="33" t="n">
        <f aca="false">IF(D289="totale",(C289/(A289*24))/F289,IF(D289="marché libre",(C289/(A289*24))/G289,"spécifier histo"))</f>
        <v>0.826291282642089</v>
      </c>
      <c r="F289" s="9" t="n">
        <v>868</v>
      </c>
      <c r="G289" s="9" t="n">
        <f aca="false">F289-H289</f>
        <v>868</v>
      </c>
      <c r="H289" s="9" t="n">
        <v>0</v>
      </c>
      <c r="J289" s="103"/>
      <c r="K289" s="103"/>
    </row>
    <row r="290" customFormat="false" ht="28.2" hidden="false" customHeight="true" outlineLevel="0" collapsed="false">
      <c r="A290" s="0" t="n">
        <v>31</v>
      </c>
      <c r="B290" s="31" t="n">
        <v>41030</v>
      </c>
      <c r="C290" s="9" t="n">
        <v>380346</v>
      </c>
      <c r="D290" s="29" t="s">
        <v>42</v>
      </c>
      <c r="E290" s="33" t="n">
        <f aca="false">IF(D290="totale",(C290/(A290*24))/F290,IF(D290="marché libre",(C290/(A290*24))/G290,"spécifier histo"))</f>
        <v>0.588960532183737</v>
      </c>
      <c r="F290" s="9" t="n">
        <v>868</v>
      </c>
      <c r="G290" s="9" t="n">
        <f aca="false">F290-H290</f>
        <v>868</v>
      </c>
      <c r="H290" s="9" t="n">
        <v>0</v>
      </c>
      <c r="J290" s="103"/>
      <c r="K290" s="103"/>
    </row>
    <row r="291" customFormat="false" ht="28.2" hidden="false" customHeight="true" outlineLevel="0" collapsed="false">
      <c r="A291" s="0" t="n">
        <v>30</v>
      </c>
      <c r="B291" s="34" t="n">
        <v>41061</v>
      </c>
      <c r="C291" s="9" t="n">
        <v>556853</v>
      </c>
      <c r="D291" s="29" t="s">
        <v>42</v>
      </c>
      <c r="E291" s="33" t="n">
        <f aca="false">IF(D291="totale",(C291/(A291*24))/F291,IF(D291="marché libre",(C291/(A291*24))/G291,"spécifier histo"))</f>
        <v>0.891021825396825</v>
      </c>
      <c r="F291" s="9" t="n">
        <v>868</v>
      </c>
      <c r="G291" s="9" t="n">
        <f aca="false">F291-H291</f>
        <v>868</v>
      </c>
      <c r="H291" s="9" t="n">
        <v>0</v>
      </c>
      <c r="J291" s="103"/>
      <c r="K291" s="103"/>
    </row>
    <row r="292" customFormat="false" ht="28.2" hidden="false" customHeight="true" outlineLevel="0" collapsed="false">
      <c r="A292" s="0" t="n">
        <v>31</v>
      </c>
      <c r="B292" s="31" t="n">
        <v>41091</v>
      </c>
      <c r="C292" s="9" t="n">
        <v>150189</v>
      </c>
      <c r="D292" s="29" t="s">
        <v>42</v>
      </c>
      <c r="E292" s="33" t="n">
        <f aca="false">IF(D292="totale",(C292/(A292*24))/F292,IF(D292="marché libre",(C292/(A292*24))/G292,"spécifier histo"))</f>
        <v>0.232565593875427</v>
      </c>
      <c r="F292" s="9" t="n">
        <v>868</v>
      </c>
      <c r="G292" s="9" t="n">
        <f aca="false">F292-H292</f>
        <v>868</v>
      </c>
      <c r="H292" s="9" t="n">
        <v>0</v>
      </c>
      <c r="J292" s="103"/>
      <c r="K292" s="103"/>
    </row>
    <row r="293" customFormat="false" ht="28.2" hidden="false" customHeight="true" outlineLevel="0" collapsed="false">
      <c r="A293" s="0" t="n">
        <v>31</v>
      </c>
      <c r="B293" s="34" t="n">
        <v>41122</v>
      </c>
      <c r="C293" s="9" t="n">
        <v>0</v>
      </c>
      <c r="D293" s="29" t="s">
        <v>42</v>
      </c>
      <c r="E293" s="33" t="n">
        <f aca="false">IF(D293="totale",(C293/(A293*24))/F293,IF(D293="marché libre",(C293/(A293*24))/G293,"spécifier histo"))</f>
        <v>0</v>
      </c>
      <c r="F293" s="9" t="n">
        <v>868</v>
      </c>
      <c r="G293" s="9" t="n">
        <f aca="false">F293-H293</f>
        <v>868</v>
      </c>
      <c r="H293" s="9" t="n">
        <v>0</v>
      </c>
      <c r="J293" s="316" t="s">
        <v>432</v>
      </c>
      <c r="K293" s="103"/>
    </row>
    <row r="294" customFormat="false" ht="28.2" hidden="false" customHeight="true" outlineLevel="0" collapsed="false">
      <c r="A294" s="0" t="n">
        <v>30</v>
      </c>
      <c r="B294" s="31" t="n">
        <v>41153</v>
      </c>
      <c r="C294" s="9" t="n">
        <v>0</v>
      </c>
      <c r="D294" s="29" t="s">
        <v>42</v>
      </c>
      <c r="E294" s="33" t="n">
        <f aca="false">IF(D294="totale",(C294/(A294*24))/F294,IF(D294="marché libre",(C294/(A294*24))/G294,"spécifier histo"))</f>
        <v>0</v>
      </c>
      <c r="F294" s="9" t="n">
        <v>868</v>
      </c>
      <c r="G294" s="9" t="n">
        <f aca="false">F294-H294</f>
        <v>868</v>
      </c>
      <c r="H294" s="9" t="n">
        <v>0</v>
      </c>
      <c r="J294" s="316" t="s">
        <v>432</v>
      </c>
      <c r="K294" s="103"/>
    </row>
    <row r="295" customFormat="false" ht="19.85" hidden="false" customHeight="true" outlineLevel="0" collapsed="false">
      <c r="A295" s="210" t="n">
        <v>31</v>
      </c>
      <c r="B295" s="211" t="n">
        <v>41183</v>
      </c>
      <c r="C295" s="317" t="n">
        <v>0</v>
      </c>
      <c r="D295" s="318" t="s">
        <v>42</v>
      </c>
      <c r="E295" s="214" t="n">
        <f aca="false">IF(D295="totale",(C295/(A295*24))/F295,IF(D295="marché libre",(C295/(A295*24))/G295,"spécifier histo"))</f>
        <v>0</v>
      </c>
      <c r="F295" s="319" t="n">
        <v>868</v>
      </c>
      <c r="G295" s="319" t="n">
        <f aca="false">F295-H295</f>
        <v>868</v>
      </c>
      <c r="H295" s="319" t="n">
        <v>0</v>
      </c>
      <c r="J295" s="103"/>
      <c r="K295" s="103"/>
    </row>
    <row r="296" customFormat="false" ht="19.85" hidden="false" customHeight="true" outlineLevel="0" collapsed="false">
      <c r="A296" s="0" t="n">
        <v>30</v>
      </c>
      <c r="B296" s="31" t="n">
        <v>41214</v>
      </c>
      <c r="C296" s="320" t="n">
        <v>30945</v>
      </c>
      <c r="D296" s="29" t="s">
        <v>42</v>
      </c>
      <c r="E296" s="33" t="n">
        <f aca="false">IF(D296="totale",(C296/(A296*24))/F296,IF(D296="marché libre",(C296/(A296*24))/G296,"spécifier histo"))</f>
        <v>0.0495151689708141</v>
      </c>
      <c r="F296" s="9" t="n">
        <v>868</v>
      </c>
      <c r="G296" s="9" t="n">
        <f aca="false">F296-H296</f>
        <v>868</v>
      </c>
      <c r="H296" s="9" t="n">
        <v>0</v>
      </c>
      <c r="J296" s="103"/>
      <c r="K296" s="103"/>
    </row>
    <row r="297" customFormat="false" ht="19.85" hidden="false" customHeight="true" outlineLevel="0" collapsed="false">
      <c r="A297" s="0" t="n">
        <v>31</v>
      </c>
      <c r="B297" s="34" t="n">
        <v>41244</v>
      </c>
      <c r="C297" s="320" t="n">
        <v>578362</v>
      </c>
      <c r="D297" s="29" t="s">
        <v>42</v>
      </c>
      <c r="E297" s="33" t="n">
        <f aca="false">IF(D297="totale",(C297/(A297*24))/F297,IF(D297="marché libre",(C297/(A297*24))/G297,"spécifier histo"))</f>
        <v>0.895585575541351</v>
      </c>
      <c r="F297" s="9" t="n">
        <v>868</v>
      </c>
      <c r="G297" s="9" t="n">
        <f aca="false">F297-H297</f>
        <v>868</v>
      </c>
      <c r="H297" s="9" t="n">
        <v>0</v>
      </c>
      <c r="J297" s="103"/>
      <c r="K297" s="103"/>
    </row>
    <row r="298" customFormat="false" ht="19.85" hidden="false" customHeight="true" outlineLevel="0" collapsed="false">
      <c r="A298" s="0" t="n">
        <v>31</v>
      </c>
      <c r="B298" s="31" t="n">
        <v>41275</v>
      </c>
      <c r="C298" s="320" t="n">
        <v>571357</v>
      </c>
      <c r="D298" s="29" t="s">
        <v>42</v>
      </c>
      <c r="E298" s="33" t="n">
        <f aca="false">IF(D298="totale",(C298/(A298*24))/F298,IF(D298="marché libre",(C298/(A298*24))/G298,"spécifier histo"))</f>
        <v>0.884738429711114</v>
      </c>
      <c r="F298" s="9" t="n">
        <v>868</v>
      </c>
      <c r="G298" s="9" t="n">
        <f aca="false">F298-H298</f>
        <v>868</v>
      </c>
      <c r="H298" s="9" t="n">
        <v>0</v>
      </c>
      <c r="J298" s="103"/>
      <c r="K298" s="103"/>
    </row>
    <row r="299" customFormat="false" ht="19.85" hidden="false" customHeight="true" outlineLevel="0" collapsed="false">
      <c r="A299" s="0" t="n">
        <v>28</v>
      </c>
      <c r="B299" s="34" t="n">
        <v>41306</v>
      </c>
      <c r="C299" s="320" t="n">
        <v>384571</v>
      </c>
      <c r="D299" s="29" t="s">
        <v>42</v>
      </c>
      <c r="E299" s="33" t="n">
        <f aca="false">IF(D299="totale",(C299/(A299*24))/F299,IF(D299="marché libre",(C299/(A299*24))/G299,"spécifier histo"))</f>
        <v>0.659306767061664</v>
      </c>
      <c r="F299" s="9" t="n">
        <v>868</v>
      </c>
      <c r="G299" s="9" t="n">
        <f aca="false">F299-H299</f>
        <v>868</v>
      </c>
      <c r="H299" s="9" t="n">
        <v>0</v>
      </c>
      <c r="J299" s="103"/>
      <c r="K299" s="103"/>
    </row>
    <row r="300" customFormat="false" ht="19.85" hidden="false" customHeight="true" outlineLevel="0" collapsed="false">
      <c r="A300" s="0" t="n">
        <v>31</v>
      </c>
      <c r="B300" s="31" t="n">
        <v>41334</v>
      </c>
      <c r="C300" s="320" t="n">
        <v>448193</v>
      </c>
      <c r="D300" s="29" t="s">
        <v>42</v>
      </c>
      <c r="E300" s="33" t="n">
        <f aca="false">IF(D300="totale",(C300/(A300*24))/F300,IF(D300="marché libre",(C300/(A300*24))/G300,"spécifier histo"))</f>
        <v>0.694020675387741</v>
      </c>
      <c r="F300" s="9" t="n">
        <v>868</v>
      </c>
      <c r="G300" s="9" t="n">
        <f aca="false">F300-H300</f>
        <v>868</v>
      </c>
      <c r="H300" s="9" t="n">
        <v>0</v>
      </c>
      <c r="J300" s="103"/>
      <c r="K300" s="103"/>
    </row>
    <row r="301" customFormat="false" ht="19.85" hidden="false" customHeight="true" outlineLevel="0" collapsed="false">
      <c r="A301" s="0" t="n">
        <v>30</v>
      </c>
      <c r="B301" s="34" t="n">
        <v>41365</v>
      </c>
      <c r="C301" s="320" t="n">
        <v>192081</v>
      </c>
      <c r="D301" s="29" t="s">
        <v>42</v>
      </c>
      <c r="E301" s="33" t="n">
        <f aca="false">IF(D301="totale",(C301/(A301*24))/F301,IF(D301="marché libre",(C301/(A301*24))/G301,"spécifier histo"))</f>
        <v>0.307349270353303</v>
      </c>
      <c r="F301" s="9" t="n">
        <v>868</v>
      </c>
      <c r="G301" s="9" t="n">
        <f aca="false">F301-H301</f>
        <v>868</v>
      </c>
      <c r="H301" s="9" t="n">
        <v>0</v>
      </c>
      <c r="J301" s="103"/>
      <c r="K301" s="103"/>
    </row>
    <row r="302" customFormat="false" ht="19.85" hidden="false" customHeight="true" outlineLevel="0" collapsed="false">
      <c r="A302" s="0" t="n">
        <v>31</v>
      </c>
      <c r="B302" s="31" t="n">
        <v>41395</v>
      </c>
      <c r="C302" s="320" t="n">
        <v>12581</v>
      </c>
      <c r="D302" s="29" t="s">
        <v>42</v>
      </c>
      <c r="E302" s="33" t="n">
        <f aca="false">IF(D302="totale",(C302/(A302*24))/F302,IF(D302="marché libre",(C302/(A302*24))/G302,"spécifier histo"))</f>
        <v>0.0194815048808285</v>
      </c>
      <c r="F302" s="9" t="n">
        <v>868</v>
      </c>
      <c r="G302" s="9" t="n">
        <f aca="false">F302-H302</f>
        <v>868</v>
      </c>
      <c r="H302" s="9" t="n">
        <v>0</v>
      </c>
      <c r="J302" s="103"/>
      <c r="K302" s="103"/>
    </row>
    <row r="303" customFormat="false" ht="19.85" hidden="false" customHeight="true" outlineLevel="0" collapsed="false">
      <c r="A303" s="0" t="n">
        <v>30</v>
      </c>
      <c r="B303" s="34" t="n">
        <v>41426</v>
      </c>
      <c r="C303" s="320" t="n">
        <v>493591</v>
      </c>
      <c r="D303" s="29" t="s">
        <v>42</v>
      </c>
      <c r="E303" s="33" t="n">
        <f aca="false">IF(D303="totale",(C303/(A303*24))/F303,IF(D303="marché libre",(C303/(A303*24))/G303,"spécifier histo"))</f>
        <v>0.789796146953405</v>
      </c>
      <c r="F303" s="9" t="n">
        <v>868</v>
      </c>
      <c r="G303" s="9" t="n">
        <f aca="false">F303-H303</f>
        <v>868</v>
      </c>
      <c r="H303" s="9" t="n">
        <v>0</v>
      </c>
      <c r="I303" s="1"/>
      <c r="J303" s="117"/>
    </row>
    <row r="304" customFormat="false" ht="19.85" hidden="false" customHeight="true" outlineLevel="0" collapsed="false">
      <c r="A304" s="0" t="n">
        <v>31</v>
      </c>
      <c r="B304" s="31" t="n">
        <v>41456</v>
      </c>
      <c r="C304" s="320" t="n">
        <v>433797</v>
      </c>
      <c r="D304" s="29" t="s">
        <v>42</v>
      </c>
      <c r="E304" s="33" t="n">
        <f aca="false">IF(D304="totale",(C304/(A304*24))/F304,IF(D304="marché libre",(C304/(A304*24))/G304,"spécifier histo"))</f>
        <v>0.67172866805411</v>
      </c>
      <c r="F304" s="9" t="n">
        <v>868</v>
      </c>
      <c r="G304" s="9" t="n">
        <f aca="false">F304-H304</f>
        <v>868</v>
      </c>
      <c r="H304" s="9" t="n">
        <v>0</v>
      </c>
      <c r="I304" s="1"/>
      <c r="J304" s="117"/>
    </row>
    <row r="305" customFormat="false" ht="19.85" hidden="false" customHeight="true" outlineLevel="0" collapsed="false">
      <c r="A305" s="0" t="n">
        <v>31</v>
      </c>
      <c r="B305" s="34" t="n">
        <v>41487</v>
      </c>
      <c r="C305" s="320" t="n">
        <v>419855</v>
      </c>
      <c r="D305" s="29" t="s">
        <v>42</v>
      </c>
      <c r="E305" s="33" t="n">
        <f aca="false">IF(D305="totale",(C305/(A305*24))/F305,IF(D305="marché libre",(C305/(A305*24))/G305,"spécifier histo"))</f>
        <v>0.65013967345523</v>
      </c>
      <c r="F305" s="9" t="n">
        <v>868</v>
      </c>
      <c r="G305" s="9" t="n">
        <f aca="false">F305-H305</f>
        <v>868</v>
      </c>
      <c r="H305" s="9" t="n">
        <v>0</v>
      </c>
      <c r="I305" s="1"/>
      <c r="J305" s="117"/>
    </row>
    <row r="306" customFormat="false" ht="19.85" hidden="false" customHeight="true" outlineLevel="0" collapsed="false">
      <c r="A306" s="0" t="n">
        <v>30</v>
      </c>
      <c r="B306" s="31" t="n">
        <v>41518</v>
      </c>
      <c r="C306" s="320" t="n">
        <v>0</v>
      </c>
      <c r="D306" s="29" t="s">
        <v>42</v>
      </c>
      <c r="E306" s="33" t="n">
        <f aca="false">IF(D306="totale",(C306/(A306*24))/F306,IF(D306="marché libre",(C306/(A306*24))/G306,"spécifier histo"))</f>
        <v>0</v>
      </c>
      <c r="F306" s="9" t="n">
        <v>868</v>
      </c>
      <c r="G306" s="9" t="n">
        <f aca="false">F306-H306</f>
        <v>868</v>
      </c>
      <c r="H306" s="9" t="n">
        <v>0</v>
      </c>
      <c r="I306" s="1"/>
      <c r="J306" s="117"/>
    </row>
    <row r="307" customFormat="false" ht="19.85" hidden="false" customHeight="true" outlineLevel="0" collapsed="false">
      <c r="A307" s="0" t="n">
        <v>31</v>
      </c>
      <c r="B307" s="34" t="n">
        <v>41548</v>
      </c>
      <c r="C307" s="320" t="n">
        <v>252130</v>
      </c>
      <c r="D307" s="29" t="s">
        <v>42</v>
      </c>
      <c r="E307" s="33" t="n">
        <f aca="false">IF(D307="totale",(C307/(A307*24))/F307,IF(D307="marché libre",(C307/(A307*24))/G307,"spécifier histo"))</f>
        <v>0.390419825578514</v>
      </c>
      <c r="F307" s="9" t="n">
        <v>868</v>
      </c>
      <c r="G307" s="9" t="n">
        <f aca="false">F307-H307</f>
        <v>868</v>
      </c>
      <c r="H307" s="9" t="n">
        <v>0</v>
      </c>
      <c r="I307" s="1"/>
      <c r="J307" s="117"/>
    </row>
    <row r="308" customFormat="false" ht="19.85" hidden="false" customHeight="true" outlineLevel="0" collapsed="false">
      <c r="A308" s="0" t="n">
        <v>30</v>
      </c>
      <c r="B308" s="31" t="n">
        <v>41579</v>
      </c>
      <c r="C308" s="320" t="n">
        <v>85452</v>
      </c>
      <c r="D308" s="29" t="s">
        <v>42</v>
      </c>
      <c r="E308" s="118" t="n">
        <f aca="false">IF(D308="totale",(C308/(A308*24))/F308,IF(D308="marché libre",(C308/(A308*24))/G308,"spécifier histo"))</f>
        <v>0.136731950844854</v>
      </c>
      <c r="F308" s="9" t="n">
        <v>868</v>
      </c>
      <c r="G308" s="9" t="n">
        <f aca="false">F308-H308</f>
        <v>868</v>
      </c>
      <c r="H308" s="9" t="n">
        <v>0</v>
      </c>
      <c r="I308" s="1"/>
      <c r="J308" s="117"/>
    </row>
    <row r="309" customFormat="false" ht="19.85" hidden="false" customHeight="true" outlineLevel="0" collapsed="false">
      <c r="A309" s="0" t="n">
        <v>31</v>
      </c>
      <c r="B309" s="34" t="n">
        <v>41609</v>
      </c>
      <c r="C309" s="320" t="n">
        <v>0</v>
      </c>
      <c r="D309" s="29" t="s">
        <v>42</v>
      </c>
      <c r="E309" s="33" t="n">
        <f aca="false">IF(D309="totale",(C309/(A309*24))/F309,IF(D309="marché libre",(C309/(A309*24))/G309,"spécifier histo"))</f>
        <v>0</v>
      </c>
      <c r="F309" s="9" t="n">
        <v>868</v>
      </c>
      <c r="G309" s="9" t="n">
        <f aca="false">F309-H309</f>
        <v>868</v>
      </c>
      <c r="H309" s="9" t="n">
        <v>0</v>
      </c>
      <c r="I309" s="1" t="s">
        <v>436</v>
      </c>
      <c r="J309" s="1"/>
    </row>
    <row r="310" customFormat="false" ht="19.85" hidden="false" customHeight="true" outlineLevel="0" collapsed="false">
      <c r="A310" s="0" t="n">
        <v>31</v>
      </c>
      <c r="B310" s="31" t="n">
        <v>41640</v>
      </c>
      <c r="C310" s="320" t="n">
        <v>0</v>
      </c>
      <c r="D310" s="29" t="s">
        <v>42</v>
      </c>
      <c r="E310" s="33" t="n">
        <f aca="false">IF(D310="totale",(C310/(A310*24))/F310,IF(D310="marché libre",(C310/(A310*24))/G310,"spécifier histo"))</f>
        <v>0</v>
      </c>
      <c r="F310" s="9" t="n">
        <v>868</v>
      </c>
      <c r="G310" s="9" t="n">
        <f aca="false">F310-H310</f>
        <v>868</v>
      </c>
      <c r="H310" s="9" t="n">
        <v>0</v>
      </c>
      <c r="I310" s="1" t="s">
        <v>436</v>
      </c>
    </row>
    <row r="311" customFormat="false" ht="19.85" hidden="false" customHeight="true" outlineLevel="0" collapsed="false">
      <c r="A311" s="0" t="n">
        <v>28</v>
      </c>
      <c r="B311" s="34" t="n">
        <v>41671</v>
      </c>
      <c r="C311" s="320" t="n">
        <v>0</v>
      </c>
      <c r="D311" s="29" t="s">
        <v>42</v>
      </c>
      <c r="E311" s="33" t="n">
        <f aca="false">IF(D311="totale",(C311/(A311*24))/F311,IF(D311="marché libre",(C311/(A311*24))/G311,"spécifier histo"))</f>
        <v>0</v>
      </c>
      <c r="F311" s="9" t="n">
        <v>868</v>
      </c>
      <c r="G311" s="9" t="n">
        <f aca="false">F311-H311</f>
        <v>868</v>
      </c>
      <c r="H311" s="9" t="n">
        <v>0</v>
      </c>
      <c r="I311" s="1" t="s">
        <v>436</v>
      </c>
    </row>
    <row r="312" customFormat="false" ht="19.85" hidden="false" customHeight="true" outlineLevel="0" collapsed="false">
      <c r="A312" s="0" t="n">
        <v>31</v>
      </c>
      <c r="B312" s="31" t="n">
        <v>41699</v>
      </c>
      <c r="C312" s="320" t="n">
        <v>0</v>
      </c>
      <c r="D312" s="29" t="s">
        <v>42</v>
      </c>
      <c r="E312" s="33" t="n">
        <f aca="false">IF(D312="totale",(C312/(A312*24))/F312,IF(D312="marché libre",(C312/(A312*24))/G312,"spécifier histo"))</f>
        <v>0</v>
      </c>
      <c r="F312" s="9" t="n">
        <v>868</v>
      </c>
      <c r="G312" s="9" t="n">
        <f aca="false">F312-H312</f>
        <v>868</v>
      </c>
      <c r="H312" s="9" t="n">
        <v>0</v>
      </c>
      <c r="I312" s="1" t="s">
        <v>436</v>
      </c>
    </row>
    <row r="313" customFormat="false" ht="15.85" hidden="false" customHeight="true" outlineLevel="0" collapsed="false">
      <c r="A313" s="0" t="n">
        <v>30</v>
      </c>
      <c r="B313" s="34" t="n">
        <v>41730</v>
      </c>
      <c r="C313" s="320" t="n">
        <v>0</v>
      </c>
      <c r="D313" s="29" t="s">
        <v>42</v>
      </c>
      <c r="E313" s="33" t="n">
        <f aca="false">IF(D313="totale",(C313/(A313*24))/F313,IF(D313="marché libre",(C313/(A313*24))/G313,"spécifier histo"))</f>
        <v>0</v>
      </c>
      <c r="F313" s="9" t="n">
        <v>868</v>
      </c>
      <c r="G313" s="9" t="n">
        <f aca="false">F313-H313</f>
        <v>868</v>
      </c>
      <c r="H313" s="9" t="n">
        <v>0</v>
      </c>
      <c r="I313" s="1" t="s">
        <v>436</v>
      </c>
    </row>
    <row r="314" customFormat="false" ht="15.85" hidden="false" customHeight="true" outlineLevel="0" collapsed="false">
      <c r="A314" s="0" t="n">
        <v>31</v>
      </c>
      <c r="B314" s="31" t="n">
        <v>41760</v>
      </c>
      <c r="C314" s="320" t="n">
        <v>0</v>
      </c>
      <c r="D314" s="29" t="s">
        <v>42</v>
      </c>
      <c r="E314" s="33" t="n">
        <f aca="false">IF(D314="totale",(C314/(A314*24))/F314,IF(D314="marché libre",(C314/(A314*24))/G314,"spécifier histo"))</f>
        <v>0</v>
      </c>
      <c r="F314" s="9" t="n">
        <v>868</v>
      </c>
      <c r="G314" s="9" t="n">
        <f aca="false">F314-H314</f>
        <v>868</v>
      </c>
      <c r="H314" s="9" t="n">
        <v>0</v>
      </c>
      <c r="I314" s="1" t="s">
        <v>436</v>
      </c>
    </row>
    <row r="315" customFormat="false" ht="15.85" hidden="false" customHeight="true" outlineLevel="0" collapsed="false">
      <c r="A315" s="0" t="n">
        <v>30</v>
      </c>
      <c r="B315" s="34" t="n">
        <v>41791</v>
      </c>
      <c r="C315" s="320" t="n">
        <v>386256</v>
      </c>
      <c r="D315" s="29" t="s">
        <v>42</v>
      </c>
      <c r="E315" s="33" t="n">
        <f aca="false">IF(D315="totale",(C315/(A315*24))/F315,IF(D315="marché libre",(C315/(A315*24))/G315,"spécifier histo"))</f>
        <v>0.618049155145929</v>
      </c>
      <c r="F315" s="9" t="n">
        <v>868</v>
      </c>
      <c r="G315" s="9" t="n">
        <f aca="false">F315-H315</f>
        <v>868</v>
      </c>
      <c r="H315" s="9" t="n">
        <v>0</v>
      </c>
    </row>
    <row r="316" customFormat="false" ht="15.85" hidden="false" customHeight="true" outlineLevel="0" collapsed="false">
      <c r="A316" s="0" t="n">
        <v>31</v>
      </c>
      <c r="B316" s="31" t="n">
        <v>41821</v>
      </c>
      <c r="C316" s="320" t="n">
        <v>339988</v>
      </c>
      <c r="D316" s="29" t="s">
        <v>42</v>
      </c>
      <c r="E316" s="33" t="n">
        <f aca="false">IF(D316="totale",(C316/(A316*24))/F316,IF(D316="marché libre",(C316/(A316*24))/G316,"spécifier histo"))</f>
        <v>0.526466726128537</v>
      </c>
      <c r="F316" s="9" t="n">
        <v>868</v>
      </c>
      <c r="G316" s="9" t="n">
        <f aca="false">F316-H316</f>
        <v>868</v>
      </c>
      <c r="H316" s="9" t="n">
        <v>0</v>
      </c>
    </row>
    <row r="317" customFormat="false" ht="15.85" hidden="false" customHeight="true" outlineLevel="0" collapsed="false">
      <c r="A317" s="0" t="n">
        <v>31</v>
      </c>
      <c r="B317" s="34" t="n">
        <v>41852</v>
      </c>
      <c r="C317" s="320" t="n">
        <v>369262</v>
      </c>
      <c r="D317" s="29" t="s">
        <v>42</v>
      </c>
      <c r="E317" s="33" t="n">
        <f aca="false">IF(D317="totale",(C317/(A317*24))/F317,IF(D317="marché libre",(C317/(A317*24))/G317,"spécifier histo"))</f>
        <v>0.571797111144145</v>
      </c>
      <c r="F317" s="9" t="n">
        <v>868</v>
      </c>
      <c r="G317" s="9" t="n">
        <f aca="false">F317-H317</f>
        <v>868</v>
      </c>
      <c r="H317" s="9" t="n">
        <v>0</v>
      </c>
    </row>
    <row r="318" customFormat="false" ht="15.85" hidden="false" customHeight="true" outlineLevel="0" collapsed="false">
      <c r="A318" s="0" t="n">
        <v>30</v>
      </c>
      <c r="B318" s="31" t="n">
        <v>41883</v>
      </c>
      <c r="C318" s="320" t="n">
        <v>408478</v>
      </c>
      <c r="D318" s="29" t="s">
        <v>42</v>
      </c>
      <c r="E318" s="33" t="n">
        <f aca="false">IF(D318="totale",(C318/(A318*24))/F318,IF(D318="marché libre",(C318/(A318*24))/G318,"spécifier histo"))</f>
        <v>0.653606630824373</v>
      </c>
      <c r="F318" s="9" t="n">
        <v>868</v>
      </c>
      <c r="G318" s="9" t="n">
        <f aca="false">F318-H318</f>
        <v>868</v>
      </c>
      <c r="H318" s="9" t="n">
        <v>0</v>
      </c>
    </row>
    <row r="319" customFormat="false" ht="15.85" hidden="false" customHeight="true" outlineLevel="0" collapsed="false">
      <c r="A319" s="0" t="n">
        <v>31</v>
      </c>
      <c r="B319" s="34" t="n">
        <v>41913</v>
      </c>
      <c r="C319" s="320" t="n">
        <v>226493</v>
      </c>
      <c r="D319" s="29" t="s">
        <v>42</v>
      </c>
      <c r="E319" s="33" t="n">
        <f aca="false">IF(D319="totale",(C319/(A319*24))/F319,IF(D319="marché libre",(C319/(A319*24))/G319,"spécifier histo"))</f>
        <v>0.350721284871909</v>
      </c>
      <c r="F319" s="9" t="n">
        <v>868</v>
      </c>
      <c r="G319" s="9" t="n">
        <f aca="false">F319-H319</f>
        <v>868</v>
      </c>
      <c r="H319" s="9" t="n">
        <v>0</v>
      </c>
    </row>
    <row r="320" customFormat="false" ht="15.85" hidden="false" customHeight="true" outlineLevel="0" collapsed="false">
      <c r="A320" s="0" t="n">
        <v>30</v>
      </c>
      <c r="B320" s="31" t="n">
        <v>41944</v>
      </c>
      <c r="C320" s="320" t="n">
        <v>222907</v>
      </c>
      <c r="D320" s="29" t="s">
        <v>42</v>
      </c>
      <c r="E320" s="33" t="n">
        <f aca="false">IF(D320="totale",(C320/(A320*24))/F320,IF(D320="marché libre",(C320/(A320*24))/G320,"spécifier histo"))</f>
        <v>0.356674027137737</v>
      </c>
      <c r="F320" s="9" t="n">
        <v>868</v>
      </c>
      <c r="G320" s="9" t="n">
        <f aca="false">F320-H320</f>
        <v>868</v>
      </c>
      <c r="H320" s="9" t="n">
        <v>0</v>
      </c>
    </row>
    <row r="321" customFormat="false" ht="15.85" hidden="false" customHeight="true" outlineLevel="0" collapsed="false">
      <c r="A321" s="0" t="n">
        <v>31</v>
      </c>
      <c r="B321" s="34" t="n">
        <v>41974</v>
      </c>
      <c r="C321" s="320" t="n">
        <v>4485</v>
      </c>
      <c r="D321" s="29" t="s">
        <v>42</v>
      </c>
      <c r="E321" s="33" t="n">
        <f aca="false">IF(D321="totale",(C321/(A321*24))/F321,IF(D321="marché libre",(C321/(A321*24))/G321,"spécifier histo"))</f>
        <v>0.00694496060651108</v>
      </c>
      <c r="F321" s="9" t="n">
        <v>868</v>
      </c>
      <c r="G321" s="9" t="n">
        <f aca="false">F321-H321</f>
        <v>868</v>
      </c>
      <c r="H321" s="9" t="n">
        <v>0</v>
      </c>
    </row>
    <row r="322" customFormat="false" ht="15.85" hidden="false" customHeight="true" outlineLevel="0" collapsed="false">
      <c r="A322" s="0" t="n">
        <v>31</v>
      </c>
      <c r="B322" s="31" t="n">
        <v>42005</v>
      </c>
      <c r="C322" s="320" t="n">
        <v>0</v>
      </c>
      <c r="D322" s="29" t="s">
        <v>42</v>
      </c>
      <c r="E322" s="33" t="n">
        <f aca="false">IF(D322="totale",(C322/(A322*24))/F322,IF(D322="marché libre",(C322/(A322*24))/G322,"spécifier histo"))</f>
        <v>0</v>
      </c>
      <c r="F322" s="9" t="n">
        <v>868</v>
      </c>
      <c r="G322" s="9" t="n">
        <f aca="false">F322-H322</f>
        <v>868</v>
      </c>
      <c r="H322" s="9" t="n">
        <v>0</v>
      </c>
    </row>
    <row r="323" customFormat="false" ht="15.85" hidden="false" customHeight="true" outlineLevel="0" collapsed="false">
      <c r="A323" s="0" t="n">
        <v>28</v>
      </c>
      <c r="B323" s="34" t="n">
        <v>42036</v>
      </c>
      <c r="C323" s="320" t="n">
        <v>190330</v>
      </c>
      <c r="D323" s="29" t="s">
        <v>42</v>
      </c>
      <c r="E323" s="33" t="n">
        <f aca="false">IF(D323="totale",(C323/(A323*24))/F323,IF(D323="marché libre",(C323/(A323*24))/G323,"spécifier histo"))</f>
        <v>0.326300883256528</v>
      </c>
      <c r="F323" s="9" t="n">
        <v>868</v>
      </c>
      <c r="G323" s="9" t="n">
        <f aca="false">F323-H323</f>
        <v>868</v>
      </c>
      <c r="H323" s="9" t="n">
        <v>0</v>
      </c>
    </row>
    <row r="324" customFormat="false" ht="15.85" hidden="false" customHeight="true" outlineLevel="0" collapsed="false">
      <c r="A324" s="0" t="n">
        <v>31</v>
      </c>
      <c r="B324" s="31" t="n">
        <v>42064</v>
      </c>
      <c r="C324" s="320" t="n">
        <v>439529</v>
      </c>
      <c r="D324" s="29" t="s">
        <v>42</v>
      </c>
      <c r="E324" s="33" t="n">
        <f aca="false">IF(D324="totale",(C324/(A324*24))/F324,IF(D324="marché libre",(C324/(A324*24))/G324,"spécifier histo"))</f>
        <v>0.680604590951885</v>
      </c>
      <c r="F324" s="9" t="n">
        <v>868</v>
      </c>
      <c r="G324" s="9" t="n">
        <f aca="false">F324-H324</f>
        <v>868</v>
      </c>
      <c r="H324" s="9" t="n">
        <v>0</v>
      </c>
    </row>
    <row r="325" customFormat="false" ht="15.85" hidden="false" customHeight="true" outlineLevel="0" collapsed="false">
      <c r="A325" s="0" t="n">
        <v>30</v>
      </c>
      <c r="B325" s="34" t="n">
        <v>42095</v>
      </c>
      <c r="C325" s="320" t="n">
        <v>494352</v>
      </c>
      <c r="D325" s="29" t="s">
        <v>42</v>
      </c>
      <c r="E325" s="33" t="n">
        <f aca="false">IF(D325="totale",(C325/(A325*24))/F325,IF(D325="marché libre",(C325/(A325*24))/G325,"spécifier histo"))</f>
        <v>0.791013824884793</v>
      </c>
      <c r="F325" s="9" t="n">
        <v>868</v>
      </c>
      <c r="G325" s="9" t="n">
        <f aca="false">F325-H325</f>
        <v>868</v>
      </c>
      <c r="H325" s="9" t="n">
        <v>0</v>
      </c>
    </row>
    <row r="326" customFormat="false" ht="15.85" hidden="false" customHeight="true" outlineLevel="0" collapsed="false">
      <c r="A326" s="0" t="n">
        <v>31</v>
      </c>
      <c r="B326" s="31" t="n">
        <v>42125</v>
      </c>
      <c r="C326" s="320" t="n">
        <v>392790</v>
      </c>
      <c r="D326" s="29" t="s">
        <v>42</v>
      </c>
      <c r="E326" s="33" t="n">
        <f aca="false">IF(D326="totale",(C326/(A326*24))/F326,IF(D326="marché libre",(C326/(A326*24))/G326,"spécifier histo"))</f>
        <v>0.608229894455181</v>
      </c>
      <c r="F326" s="9" t="n">
        <v>868</v>
      </c>
      <c r="G326" s="9" t="n">
        <f aca="false">F326-H326</f>
        <v>868</v>
      </c>
      <c r="H326" s="9" t="n">
        <v>0</v>
      </c>
    </row>
    <row r="327" customFormat="false" ht="15.85" hidden="false" customHeight="true" outlineLevel="0" collapsed="false">
      <c r="A327" s="0" t="n">
        <v>30</v>
      </c>
      <c r="B327" s="34" t="n">
        <v>42156</v>
      </c>
      <c r="C327" s="320" t="n">
        <v>382148</v>
      </c>
      <c r="D327" s="29" t="s">
        <v>42</v>
      </c>
      <c r="E327" s="33" t="n">
        <f aca="false">IF(D327="totale",(C327/(A327*24))/F327,IF(D327="marché libre",(C327/(A327*24))/G327,"spécifier histo"))</f>
        <v>0.611475934459805</v>
      </c>
      <c r="F327" s="9" t="n">
        <v>868</v>
      </c>
      <c r="G327" s="9" t="n">
        <f aca="false">F327-H327</f>
        <v>868</v>
      </c>
      <c r="H327" s="9" t="n">
        <v>0</v>
      </c>
    </row>
    <row r="328" customFormat="false" ht="13.8" hidden="false" customHeight="false" outlineLevel="0" collapsed="false">
      <c r="A328" s="0" t="n">
        <v>31</v>
      </c>
      <c r="B328" s="31" t="n">
        <v>42186</v>
      </c>
      <c r="C328" s="320" t="n">
        <v>334538</v>
      </c>
      <c r="D328" s="29" t="s">
        <v>42</v>
      </c>
      <c r="E328" s="33" t="n">
        <f aca="false">IF(D328="totale",(C328/(A328*24))/F328,IF(D328="marché libre",(C328/(A328*24))/G328,"spécifier histo"))</f>
        <v>0.518027476339131</v>
      </c>
      <c r="F328" s="9" t="n">
        <v>868</v>
      </c>
      <c r="G328" s="9" t="n">
        <f aca="false">F328-H328</f>
        <v>868</v>
      </c>
      <c r="H328" s="9" t="n">
        <v>0</v>
      </c>
    </row>
    <row r="329" customFormat="false" ht="13.8" hidden="false" customHeight="false" outlineLevel="0" collapsed="false">
      <c r="A329" s="0" t="n">
        <v>31</v>
      </c>
      <c r="B329" s="34" t="n">
        <v>42217</v>
      </c>
      <c r="C329" s="320" t="n">
        <v>178506</v>
      </c>
      <c r="D329" s="29" t="s">
        <v>42</v>
      </c>
      <c r="E329" s="33" t="n">
        <f aca="false">IF(D329="totale",(C329/(A329*24))/F329,IF(D329="marché libre",(C329/(A329*24))/G329,"spécifier histo"))</f>
        <v>0.27641407759774</v>
      </c>
      <c r="F329" s="9" t="n">
        <v>868</v>
      </c>
      <c r="G329" s="9" t="n">
        <f aca="false">F329-H329</f>
        <v>868</v>
      </c>
      <c r="H329" s="9" t="n">
        <v>0</v>
      </c>
    </row>
    <row r="330" customFormat="false" ht="13.8" hidden="false" customHeight="false" outlineLevel="0" collapsed="false">
      <c r="A330" s="0" t="n">
        <v>30</v>
      </c>
      <c r="B330" s="31" t="n">
        <v>42248</v>
      </c>
      <c r="C330" s="320" t="n">
        <v>255467</v>
      </c>
      <c r="D330" s="29" t="s">
        <v>42</v>
      </c>
      <c r="E330" s="33" t="n">
        <f aca="false">IF(D330="totale",(C330/(A330*24))/F330,IF(D330="marché libre",(C330/(A330*24))/G330,"spécifier histo"))</f>
        <v>0.408773361495136</v>
      </c>
      <c r="F330" s="9" t="n">
        <v>868</v>
      </c>
      <c r="G330" s="9" t="n">
        <f aca="false">F330-H330</f>
        <v>868</v>
      </c>
      <c r="H330" s="9" t="n">
        <v>0</v>
      </c>
    </row>
    <row r="331" customFormat="false" ht="13.8" hidden="false" customHeight="false" outlineLevel="0" collapsed="false">
      <c r="A331" s="0" t="n">
        <v>31</v>
      </c>
      <c r="B331" s="34" t="n">
        <v>42278</v>
      </c>
      <c r="C331" s="320" t="n">
        <v>313924</v>
      </c>
      <c r="D331" s="29" t="s">
        <v>42</v>
      </c>
      <c r="E331" s="33" t="n">
        <f aca="false">IF(D331="totale",(C331/(A331*24))/F331,IF(D331="marché libre",(C331/(A331*24))/G331,"spécifier histo"))</f>
        <v>0.486106981814578</v>
      </c>
      <c r="F331" s="9" t="n">
        <v>868</v>
      </c>
      <c r="G331" s="9" t="n">
        <f aca="false">F331-H331</f>
        <v>868</v>
      </c>
      <c r="H331" s="9" t="n">
        <v>0</v>
      </c>
    </row>
    <row r="332" customFormat="false" ht="13.8" hidden="false" customHeight="false" outlineLevel="0" collapsed="false">
      <c r="A332" s="0" t="n">
        <v>30</v>
      </c>
      <c r="B332" s="31" t="n">
        <v>42309</v>
      </c>
      <c r="C332" s="320" t="n">
        <v>440915</v>
      </c>
      <c r="D332" s="29" t="s">
        <v>42</v>
      </c>
      <c r="E332" s="33" t="n">
        <f aca="false">IF(D332="totale",(C332/(A332*24))/F332,IF(D332="marché libre",(C332/(A332*24))/G332,"spécifier histo"))</f>
        <v>0.705509152585766</v>
      </c>
      <c r="F332" s="9" t="n">
        <v>868</v>
      </c>
      <c r="G332" s="9" t="n">
        <f aca="false">F332-H332</f>
        <v>868</v>
      </c>
      <c r="H332" s="9" t="n">
        <v>0</v>
      </c>
    </row>
    <row r="333" customFormat="false" ht="13.8" hidden="false" customHeight="false" outlineLevel="0" collapsed="false">
      <c r="A333" s="0" t="n">
        <v>31</v>
      </c>
      <c r="B333" s="34" t="n">
        <v>42339</v>
      </c>
      <c r="C333" s="320" t="n">
        <v>423720</v>
      </c>
      <c r="D333" s="29" t="s">
        <v>42</v>
      </c>
      <c r="E333" s="33" t="n">
        <f aca="false">IF(D333="totale",(C333/(A333*24))/F333,IF(D333="marché libre",(C333/(A333*24))/G333,"spécifier histo"))</f>
        <v>0.656124572617809</v>
      </c>
      <c r="F333" s="9" t="n">
        <v>868</v>
      </c>
      <c r="G333" s="9" t="n">
        <f aca="false">F333-H333</f>
        <v>868</v>
      </c>
      <c r="H333" s="9" t="n">
        <v>0</v>
      </c>
    </row>
    <row r="334" customFormat="false" ht="12.8" hidden="false" customHeight="false" outlineLevel="0" collapsed="false">
      <c r="A334" s="244" t="n">
        <v>31</v>
      </c>
      <c r="B334" s="31" t="n">
        <v>42370</v>
      </c>
      <c r="C334" s="164" t="n">
        <v>247738</v>
      </c>
      <c r="D334" s="29" t="s">
        <v>42</v>
      </c>
      <c r="E334" s="33" t="n">
        <f aca="false">IF(D334="totale",(C334/(A334*24))/F334,IF(D334="marché libre",(C334/(A334*24))/G334,"spécifier histo"))</f>
        <v>0.383618874188593</v>
      </c>
      <c r="F334" s="9" t="n">
        <v>868</v>
      </c>
      <c r="G334" s="9" t="n">
        <f aca="false">F334-H334</f>
        <v>868</v>
      </c>
      <c r="H334" s="9" t="n">
        <v>0</v>
      </c>
    </row>
    <row r="335" customFormat="false" ht="12.8" hidden="false" customHeight="false" outlineLevel="0" collapsed="false">
      <c r="A335" s="0" t="n">
        <v>28</v>
      </c>
      <c r="B335" s="34" t="n">
        <v>42401</v>
      </c>
      <c r="C335" s="164" t="n">
        <v>321034</v>
      </c>
      <c r="D335" s="29" t="s">
        <v>42</v>
      </c>
      <c r="E335" s="33" t="n">
        <f aca="false">IF(D335="totale",(C335/(A335*24))/F335,IF(D335="marché libre",(C335/(A335*24))/G335,"spécifier histo"))</f>
        <v>0.550379224270353</v>
      </c>
      <c r="F335" s="9" t="n">
        <v>868</v>
      </c>
      <c r="G335" s="9" t="n">
        <f aca="false">F335-H335</f>
        <v>868</v>
      </c>
      <c r="H335" s="9" t="n">
        <v>0</v>
      </c>
    </row>
    <row r="336" customFormat="false" ht="12.8" hidden="false" customHeight="false" outlineLevel="0" collapsed="false">
      <c r="A336" s="0" t="n">
        <v>31</v>
      </c>
      <c r="B336" s="31" t="n">
        <v>42430</v>
      </c>
      <c r="C336" s="164" t="n">
        <v>486058</v>
      </c>
      <c r="D336" s="29" t="s">
        <v>42</v>
      </c>
      <c r="E336" s="33" t="n">
        <f aca="false">IF(D336="totale",(C336/(A336*24))/F336,IF(D336="marché libre",(C336/(A336*24))/G336,"spécifier histo"))</f>
        <v>0.752654105346613</v>
      </c>
      <c r="F336" s="9" t="n">
        <v>868</v>
      </c>
      <c r="G336" s="9" t="n">
        <f aca="false">F336-H336</f>
        <v>868</v>
      </c>
      <c r="H336" s="9" t="n">
        <v>0</v>
      </c>
    </row>
    <row r="337" customFormat="false" ht="12.8" hidden="false" customHeight="false" outlineLevel="0" collapsed="false">
      <c r="A337" s="0" t="n">
        <v>30</v>
      </c>
      <c r="B337" s="34" t="n">
        <v>42461</v>
      </c>
      <c r="C337" s="164" t="n">
        <v>517450</v>
      </c>
      <c r="D337" s="29" t="s">
        <v>42</v>
      </c>
      <c r="E337" s="33" t="n">
        <f aca="false">IF(D337="totale",(C337/(A337*24))/F337,IF(D337="marché libre",(C337/(A337*24))/G337,"spécifier histo"))</f>
        <v>0.827972990271377</v>
      </c>
      <c r="F337" s="9" t="n">
        <v>868</v>
      </c>
      <c r="G337" s="9" t="n">
        <f aca="false">F337-H337</f>
        <v>868</v>
      </c>
      <c r="H337" s="9" t="n">
        <v>0</v>
      </c>
    </row>
    <row r="338" customFormat="false" ht="12.8" hidden="false" customHeight="false" outlineLevel="0" collapsed="false">
      <c r="A338" s="0" t="n">
        <v>31</v>
      </c>
      <c r="B338" s="31" t="n">
        <v>42491</v>
      </c>
      <c r="C338" s="164" t="n">
        <v>319793</v>
      </c>
      <c r="D338" s="29" t="s">
        <v>42</v>
      </c>
      <c r="E338" s="33" t="n">
        <f aca="false">IF(D338="totale",(C338/(A338*24))/F338,IF(D338="marché libre",(C338/(A338*24))/G338,"spécifier histo"))</f>
        <v>0.495195047321738</v>
      </c>
      <c r="F338" s="9" t="n">
        <v>868</v>
      </c>
      <c r="G338" s="9" t="n">
        <f aca="false">F338-H338</f>
        <v>868</v>
      </c>
      <c r="H338" s="9" t="n">
        <v>0</v>
      </c>
    </row>
    <row r="339" customFormat="false" ht="12.8" hidden="false" customHeight="false" outlineLevel="0" collapsed="false">
      <c r="A339" s="0" t="n">
        <v>30</v>
      </c>
      <c r="B339" s="34" t="n">
        <v>42522</v>
      </c>
      <c r="C339" s="164" t="n">
        <v>346591</v>
      </c>
      <c r="D339" s="29" t="s">
        <v>42</v>
      </c>
      <c r="E339" s="33" t="n">
        <f aca="false">IF(D339="totale",(C339/(A339*24))/F339,IF(D339="marché libre",(C339/(A339*24))/G339,"spécifier histo"))</f>
        <v>0.554581093189964</v>
      </c>
      <c r="F339" s="9" t="n">
        <v>868</v>
      </c>
      <c r="G339" s="9" t="n">
        <f aca="false">F339-H339</f>
        <v>868</v>
      </c>
      <c r="H339" s="9" t="n">
        <v>0</v>
      </c>
    </row>
    <row r="340" customFormat="false" ht="12.8" hidden="false" customHeight="false" outlineLevel="0" collapsed="false">
      <c r="A340" s="0" t="n">
        <v>31</v>
      </c>
      <c r="B340" s="31" t="n">
        <v>42552</v>
      </c>
      <c r="C340" s="164" t="n">
        <v>167900</v>
      </c>
      <c r="D340" s="29" t="s">
        <v>42</v>
      </c>
      <c r="E340" s="33" t="n">
        <f aca="false">IF(D340="totale",(C340/(A340*24))/F340,IF(D340="marché libre",(C340/(A340*24))/G340,"spécifier histo"))</f>
        <v>0.259990832961697</v>
      </c>
      <c r="F340" s="9" t="n">
        <v>868</v>
      </c>
      <c r="G340" s="9" t="n">
        <f aca="false">F340-H340</f>
        <v>868</v>
      </c>
      <c r="H340" s="9" t="n">
        <v>0</v>
      </c>
    </row>
    <row r="341" customFormat="false" ht="12.8" hidden="false" customHeight="false" outlineLevel="0" collapsed="false">
      <c r="A341" s="0" t="n">
        <v>31</v>
      </c>
      <c r="B341" s="34" t="n">
        <v>42583</v>
      </c>
      <c r="C341" s="164" t="n">
        <v>266908</v>
      </c>
      <c r="D341" s="29" t="s">
        <v>42</v>
      </c>
      <c r="E341" s="33" t="n">
        <f aca="false">IF(D341="totale",(C341/(A341*24))/F341,IF(D341="marché libre",(C341/(A341*24))/G341,"spécifier histo"))</f>
        <v>0.413303354640503</v>
      </c>
      <c r="F341" s="9" t="n">
        <v>868</v>
      </c>
      <c r="G341" s="9" t="n">
        <f aca="false">F341-H341</f>
        <v>868</v>
      </c>
      <c r="H341" s="9" t="n">
        <v>0</v>
      </c>
    </row>
    <row r="342" customFormat="false" ht="12.8" hidden="false" customHeight="false" outlineLevel="0" collapsed="false">
      <c r="A342" s="0" t="n">
        <v>30</v>
      </c>
      <c r="B342" s="31" t="n">
        <v>42614</v>
      </c>
      <c r="C342" s="164" t="n">
        <v>89875</v>
      </c>
      <c r="D342" s="29" t="s">
        <v>42</v>
      </c>
      <c r="E342" s="33" t="n">
        <f aca="false">IF(D342="totale",(C342/(A342*24))/F342,IF(D342="marché libre",(C342/(A342*24))/G342,"spécifier histo"))</f>
        <v>0.143809203789043</v>
      </c>
      <c r="F342" s="9" t="n">
        <v>868</v>
      </c>
      <c r="G342" s="9" t="n">
        <f aca="false">F342-H342</f>
        <v>868</v>
      </c>
      <c r="H342" s="9" t="n">
        <v>0</v>
      </c>
    </row>
    <row r="343" customFormat="false" ht="12.8" hidden="false" customHeight="false" outlineLevel="0" collapsed="false">
      <c r="A343" s="0" t="n">
        <v>31</v>
      </c>
      <c r="B343" s="34" t="n">
        <v>42644</v>
      </c>
      <c r="C343" s="164" t="n">
        <v>145150</v>
      </c>
      <c r="D343" s="29" t="s">
        <v>42</v>
      </c>
      <c r="E343" s="33" t="n">
        <f aca="false">IF(D343="totale",(C343/(A343*24))/F343,IF(D343="marché libre",(C343/(A343*24))/G343,"spécifier histo"))</f>
        <v>0.224762771914177</v>
      </c>
      <c r="F343" s="9" t="n">
        <v>868</v>
      </c>
      <c r="G343" s="9" t="n">
        <f aca="false">F343-H343</f>
        <v>868</v>
      </c>
      <c r="H343" s="9" t="n">
        <v>0</v>
      </c>
    </row>
    <row r="344" customFormat="false" ht="12.8" hidden="false" customHeight="false" outlineLevel="0" collapsed="false">
      <c r="A344" s="0" t="n">
        <v>30</v>
      </c>
      <c r="B344" s="31" t="n">
        <v>42675</v>
      </c>
      <c r="C344" s="164" t="n">
        <v>162744</v>
      </c>
      <c r="D344" s="29" t="s">
        <v>42</v>
      </c>
      <c r="E344" s="33" t="n">
        <f aca="false">IF(D344="totale",(C344/(A344*24))/F344,IF(D344="marché libre",(C344/(A344*24))/G344,"spécifier histo"))</f>
        <v>0.260407066052227</v>
      </c>
      <c r="F344" s="9" t="n">
        <v>868</v>
      </c>
      <c r="G344" s="9" t="n">
        <f aca="false">F344-H344</f>
        <v>868</v>
      </c>
      <c r="H344" s="9" t="n">
        <v>0</v>
      </c>
    </row>
    <row r="345" customFormat="false" ht="12.8" hidden="false" customHeight="false" outlineLevel="0" collapsed="false">
      <c r="A345" s="0" t="n">
        <v>31</v>
      </c>
      <c r="B345" s="34" t="n">
        <v>42705</v>
      </c>
      <c r="C345" s="164" t="n">
        <v>557858</v>
      </c>
      <c r="D345" s="29" t="s">
        <v>42</v>
      </c>
      <c r="E345" s="33" t="n">
        <f aca="false">IF(D345="totale",(C345/(A345*24))/F345,IF(D345="marché libre",(C345/(A345*24))/G345,"spécifier histo"))</f>
        <v>0.863835414498786</v>
      </c>
      <c r="F345" s="9" t="n">
        <v>868</v>
      </c>
      <c r="G345" s="9" t="n">
        <f aca="false">F345-H345</f>
        <v>868</v>
      </c>
      <c r="H345" s="9" t="n">
        <v>0</v>
      </c>
    </row>
    <row r="346" customFormat="false" ht="12.8" hidden="false" customHeight="false" outlineLevel="0" collapsed="false">
      <c r="A346" s="0" t="n">
        <v>31</v>
      </c>
      <c r="B346" s="31" t="n">
        <v>42736</v>
      </c>
      <c r="C346" s="164" t="n">
        <v>355902</v>
      </c>
      <c r="D346" s="29" t="s">
        <v>42</v>
      </c>
      <c r="E346" s="33" t="n">
        <f aca="false">IF(D346="totale",(C346/(A346*24))/F346,IF(D346="marché libre",(C346/(A346*24))/G346,"spécifier histo"))</f>
        <v>0.551109335513602</v>
      </c>
      <c r="F346" s="9" t="n">
        <v>868</v>
      </c>
      <c r="G346" s="9" t="n">
        <f aca="false">F346-H346</f>
        <v>868</v>
      </c>
      <c r="H346" s="9" t="n">
        <v>0</v>
      </c>
    </row>
    <row r="347" customFormat="false" ht="12.8" hidden="false" customHeight="false" outlineLevel="0" collapsed="false">
      <c r="A347" s="0" t="n">
        <v>28</v>
      </c>
      <c r="B347" s="34" t="n">
        <v>42767</v>
      </c>
      <c r="C347" s="164" t="n">
        <v>210619</v>
      </c>
      <c r="D347" s="29" t="s">
        <v>42</v>
      </c>
      <c r="E347" s="33" t="n">
        <f aca="false">IF(D347="totale",(C347/(A347*24))/F347,IF(D347="marché libre",(C347/(A347*24))/G347,"spécifier histo"))</f>
        <v>0.361084252249287</v>
      </c>
      <c r="F347" s="9" t="n">
        <v>868</v>
      </c>
      <c r="G347" s="9" t="n">
        <f aca="false">F347-H347</f>
        <v>868</v>
      </c>
      <c r="H347" s="9" t="n">
        <v>0</v>
      </c>
    </row>
    <row r="348" customFormat="false" ht="12.8" hidden="false" customHeight="false" outlineLevel="0" collapsed="false">
      <c r="A348" s="0" t="n">
        <v>31</v>
      </c>
      <c r="B348" s="31" t="n">
        <v>42795</v>
      </c>
      <c r="C348" s="164" t="n">
        <v>319427</v>
      </c>
      <c r="D348" s="29" t="s">
        <v>42</v>
      </c>
      <c r="E348" s="33" t="n">
        <f aca="false">IF(D348="totale",(C348/(A348*24))/F348,IF(D348="marché libre",(C348/(A348*24))/G348,"spécifier histo"))</f>
        <v>0.494628301372578</v>
      </c>
      <c r="F348" s="9" t="n">
        <v>868</v>
      </c>
      <c r="G348" s="9" t="n">
        <f aca="false">F348-H348</f>
        <v>868</v>
      </c>
      <c r="H348" s="9" t="n">
        <v>0</v>
      </c>
    </row>
    <row r="349" customFormat="false" ht="12.8" hidden="false" customHeight="false" outlineLevel="0" collapsed="false">
      <c r="A349" s="0" t="n">
        <v>30</v>
      </c>
      <c r="B349" s="34" t="n">
        <v>42826</v>
      </c>
      <c r="C349" s="164" t="n">
        <v>220428</v>
      </c>
      <c r="D349" s="29" t="s">
        <v>42</v>
      </c>
      <c r="E349" s="33" t="n">
        <f aca="false">IF(D349="totale",(C349/(A349*24))/F349,IF(D349="marché libre",(C349/(A349*24))/G349,"spécifier histo"))</f>
        <v>0.352707373271889</v>
      </c>
      <c r="F349" s="9" t="n">
        <v>868</v>
      </c>
      <c r="G349" s="9" t="n">
        <f aca="false">F349-H349</f>
        <v>868</v>
      </c>
      <c r="H349" s="9" t="n">
        <v>0</v>
      </c>
    </row>
    <row r="350" customFormat="false" ht="12.8" hidden="false" customHeight="false" outlineLevel="0" collapsed="false">
      <c r="A350" s="0" t="n">
        <v>31</v>
      </c>
      <c r="B350" s="31" t="n">
        <v>42856</v>
      </c>
      <c r="C350" s="164" t="n">
        <v>346651</v>
      </c>
      <c r="D350" s="29" t="s">
        <v>42</v>
      </c>
      <c r="E350" s="33" t="n">
        <f aca="false">IF(D350="totale",(C350/(A350*24))/F350,IF(D350="marché libre",(C350/(A350*24))/G350,"spécifier histo"))</f>
        <v>0.53678428967841</v>
      </c>
      <c r="F350" s="9" t="n">
        <v>868</v>
      </c>
      <c r="G350" s="9" t="n">
        <f aca="false">F350-H350</f>
        <v>868</v>
      </c>
      <c r="H350" s="9" t="n">
        <v>0</v>
      </c>
    </row>
    <row r="351" customFormat="false" ht="12.8" hidden="false" customHeight="false" outlineLevel="0" collapsed="false">
      <c r="A351" s="0" t="n">
        <v>30</v>
      </c>
      <c r="B351" s="34" t="n">
        <v>42887</v>
      </c>
      <c r="C351" s="164" t="n">
        <v>501351</v>
      </c>
      <c r="D351" s="29" t="s">
        <v>42</v>
      </c>
      <c r="E351" s="33" t="n">
        <f aca="false">IF(D351="totale",(C351/(A351*24))/F351,IF(D351="marché libre",(C351/(A351*24))/G351,"spécifier histo"))</f>
        <v>0.802212941628264</v>
      </c>
      <c r="F351" s="9" t="n">
        <v>868</v>
      </c>
      <c r="G351" s="9" t="n">
        <f aca="false">F351-H351</f>
        <v>868</v>
      </c>
      <c r="H351" s="9" t="n">
        <v>0</v>
      </c>
    </row>
    <row r="352" customFormat="false" ht="12.8" hidden="false" customHeight="false" outlineLevel="0" collapsed="false">
      <c r="A352" s="0" t="n">
        <v>31</v>
      </c>
      <c r="B352" s="31" t="n">
        <v>42917</v>
      </c>
      <c r="C352" s="164" t="n">
        <v>389407</v>
      </c>
      <c r="D352" s="29" t="s">
        <v>42</v>
      </c>
      <c r="E352" s="33" t="n">
        <f aca="false">IF(D352="totale",(C352/(A352*24))/F352,IF(D352="marché libre",(C352/(A352*24))/G352,"spécifier histo"))</f>
        <v>0.602991365640949</v>
      </c>
      <c r="F352" s="9" t="n">
        <v>868</v>
      </c>
      <c r="G352" s="9" t="n">
        <f aca="false">F352-H352</f>
        <v>868</v>
      </c>
      <c r="H352" s="9" t="n">
        <v>0</v>
      </c>
    </row>
    <row r="353" customFormat="false" ht="12.8" hidden="false" customHeight="false" outlineLevel="0" collapsed="false">
      <c r="A353" s="0" t="n">
        <v>31</v>
      </c>
      <c r="B353" s="34" t="n">
        <v>42948</v>
      </c>
      <c r="C353" s="164" t="n">
        <v>197200</v>
      </c>
      <c r="D353" s="29" t="s">
        <v>42</v>
      </c>
      <c r="E353" s="33" t="n">
        <f aca="false">IF(D353="totale",(C353/(A353*24))/F353,IF(D353="marché libre",(C353/(A353*24))/G353,"spécifier histo"))</f>
        <v>0.305361478618503</v>
      </c>
      <c r="F353" s="9" t="n">
        <v>868</v>
      </c>
      <c r="G353" s="9" t="n">
        <f aca="false">F353-H353</f>
        <v>868</v>
      </c>
      <c r="H353" s="9" t="n">
        <v>0</v>
      </c>
    </row>
    <row r="354" customFormat="false" ht="12.8" hidden="false" customHeight="false" outlineLevel="0" collapsed="false">
      <c r="A354" s="0" t="n">
        <v>30</v>
      </c>
      <c r="B354" s="31" t="n">
        <v>42979</v>
      </c>
      <c r="C354" s="164" t="n">
        <v>93131</v>
      </c>
      <c r="D354" s="29" t="s">
        <v>42</v>
      </c>
      <c r="E354" s="33" t="n">
        <f aca="false">IF(D354="totale",(C354/(A354*24))/F354,IF(D354="marché libre",(C354/(A354*24))/G354,"spécifier histo"))</f>
        <v>0.149019137224782</v>
      </c>
      <c r="F354" s="9" t="n">
        <v>868</v>
      </c>
      <c r="G354" s="9" t="n">
        <f aca="false">F354-H354</f>
        <v>868</v>
      </c>
      <c r="H354" s="9" t="n">
        <v>0</v>
      </c>
    </row>
    <row r="355" customFormat="false" ht="12.8" hidden="false" customHeight="false" outlineLevel="0" collapsed="false">
      <c r="A355" s="0" t="n">
        <v>31</v>
      </c>
      <c r="B355" s="34" t="n">
        <v>43009</v>
      </c>
      <c r="C355" s="164" t="n">
        <v>5259</v>
      </c>
      <c r="D355" s="29" t="s">
        <v>42</v>
      </c>
      <c r="E355" s="33" t="n">
        <f aca="false">IF(D355="totale",(C355/(A355*24))/F355,IF(D355="marché libre",(C355/(A355*24))/G355,"spécifier histo"))</f>
        <v>0.0081434889252267</v>
      </c>
      <c r="F355" s="9" t="n">
        <v>868</v>
      </c>
      <c r="G355" s="9" t="n">
        <f aca="false">F355-H355</f>
        <v>868</v>
      </c>
      <c r="H355" s="9" t="n">
        <v>0</v>
      </c>
    </row>
    <row r="356" customFormat="false" ht="12.8" hidden="false" customHeight="false" outlineLevel="0" collapsed="false">
      <c r="A356" s="0" t="n">
        <v>30</v>
      </c>
      <c r="B356" s="31" t="n">
        <v>43040</v>
      </c>
      <c r="C356" s="164" t="n">
        <v>0</v>
      </c>
      <c r="D356" s="29" t="s">
        <v>42</v>
      </c>
      <c r="E356" s="33" t="n">
        <f aca="false">IF(D356="totale",(C356/(A356*24))/F356,IF(D356="marché libre",(C356/(A356*24))/G356,"spécifier histo"))</f>
        <v>0</v>
      </c>
      <c r="F356" s="9" t="n">
        <v>868</v>
      </c>
      <c r="G356" s="9" t="n">
        <f aca="false">F356-H356</f>
        <v>868</v>
      </c>
      <c r="H356" s="9" t="n">
        <v>0</v>
      </c>
    </row>
    <row r="357" customFormat="false" ht="12.8" hidden="false" customHeight="false" outlineLevel="0" collapsed="false">
      <c r="A357" s="0" t="n">
        <v>31</v>
      </c>
      <c r="B357" s="34" t="n">
        <v>43070</v>
      </c>
      <c r="C357" s="164" t="n">
        <v>0</v>
      </c>
      <c r="D357" s="29" t="s">
        <v>42</v>
      </c>
      <c r="E357" s="33" t="n">
        <f aca="false">IF(D357="totale",(C357/(A357*24))/F357,IF(D357="marché libre",(C357/(A357*24))/G357,"spécifier histo"))</f>
        <v>0</v>
      </c>
      <c r="F357" s="9" t="n">
        <v>868</v>
      </c>
      <c r="G357" s="9" t="n">
        <f aca="false">F357-H357</f>
        <v>868</v>
      </c>
      <c r="H357" s="9" t="n">
        <v>0</v>
      </c>
    </row>
    <row r="358" customFormat="false" ht="12.8" hidden="false" customHeight="false" outlineLevel="0" collapsed="false">
      <c r="A358" s="0" t="n">
        <v>31</v>
      </c>
      <c r="B358" s="31" t="n">
        <v>43101</v>
      </c>
      <c r="C358" s="164" t="n">
        <v>96385</v>
      </c>
      <c r="D358" s="29" t="s">
        <v>42</v>
      </c>
      <c r="E358" s="33" t="n">
        <f aca="false">IF(D358="totale",(C358/(A358*24))/F358,IF(D358="marché libre",(C358/(A358*24))/G358,"spécifier histo"))</f>
        <v>0.149250842376493</v>
      </c>
      <c r="F358" s="9" t="n">
        <v>868</v>
      </c>
      <c r="G358" s="9" t="n">
        <f aca="false">F358-H358</f>
        <v>868</v>
      </c>
      <c r="H358" s="9" t="n">
        <v>0</v>
      </c>
    </row>
    <row r="359" customFormat="false" ht="12.8" hidden="false" customHeight="false" outlineLevel="0" collapsed="false">
      <c r="A359" s="0" t="n">
        <v>28</v>
      </c>
      <c r="B359" s="34" t="n">
        <v>43132</v>
      </c>
      <c r="C359" s="164" t="n">
        <v>146259</v>
      </c>
      <c r="D359" s="29" t="s">
        <v>42</v>
      </c>
      <c r="E359" s="33" t="n">
        <f aca="false">IF(D359="totale",(C359/(A359*24))/F359,IF(D359="marché libre",(C359/(A359*24))/G359,"spécifier histo"))</f>
        <v>0.250745762014483</v>
      </c>
      <c r="F359" s="9" t="n">
        <v>868</v>
      </c>
      <c r="G359" s="9" t="n">
        <f aca="false">F359-H359</f>
        <v>868</v>
      </c>
      <c r="H359" s="9" t="n">
        <v>0</v>
      </c>
    </row>
    <row r="360" customFormat="false" ht="12.8" hidden="false" customHeight="false" outlineLevel="0" collapsed="false">
      <c r="A360" s="0" t="n">
        <v>31</v>
      </c>
      <c r="B360" s="31" t="n">
        <v>43160</v>
      </c>
      <c r="C360" s="164" t="n">
        <v>344707</v>
      </c>
      <c r="D360" s="29" t="s">
        <v>42</v>
      </c>
      <c r="E360" s="33" t="n">
        <f aca="false">IF(D360="totale",(C360/(A360*24))/F360,IF(D360="marché libre",(C360/(A360*24))/G360,"spécifier histo"))</f>
        <v>0.533774032505822</v>
      </c>
      <c r="F360" s="9" t="n">
        <v>868</v>
      </c>
      <c r="G360" s="9" t="n">
        <f aca="false">F360-H360</f>
        <v>868</v>
      </c>
      <c r="H360" s="9" t="n">
        <v>0</v>
      </c>
    </row>
    <row r="361" customFormat="false" ht="12.8" hidden="false" customHeight="false" outlineLevel="0" collapsed="false">
      <c r="A361" s="0" t="n">
        <v>28</v>
      </c>
      <c r="B361" s="34" t="n">
        <v>43191</v>
      </c>
      <c r="C361" s="164" t="n">
        <v>248890</v>
      </c>
      <c r="D361" s="29" t="s">
        <v>42</v>
      </c>
      <c r="E361" s="33" t="n">
        <f aca="false">IF(D361="totale",(C361/(A361*24))/F361,IF(D361="marché libre",(C361/(A361*24))/G361,"spécifier histo"))</f>
        <v>0.426695879964889</v>
      </c>
      <c r="F361" s="9" t="n">
        <v>868</v>
      </c>
      <c r="G361" s="9" t="n">
        <f aca="false">F361-H361</f>
        <v>868</v>
      </c>
      <c r="H361" s="9" t="n">
        <v>0</v>
      </c>
    </row>
    <row r="362" customFormat="false" ht="12.8" hidden="false" customHeight="false" outlineLevel="0" collapsed="false">
      <c r="A362" s="0" t="n">
        <v>31</v>
      </c>
      <c r="B362" s="31" t="n">
        <v>43221</v>
      </c>
      <c r="C362" s="164" t="n">
        <v>36260</v>
      </c>
      <c r="D362" s="29" t="s">
        <v>42</v>
      </c>
      <c r="E362" s="33" t="n">
        <f aca="false">IF(D362="totale",(C362/(A362*24))/F362,IF(D362="marché libre",(C362/(A362*24))/G362,"spécifier histo"))</f>
        <v>0.0561481096080472</v>
      </c>
      <c r="F362" s="9" t="n">
        <v>868</v>
      </c>
      <c r="G362" s="9" t="n">
        <f aca="false">F362-H362</f>
        <v>868</v>
      </c>
      <c r="H362" s="9" t="n">
        <v>0</v>
      </c>
    </row>
    <row r="363" customFormat="false" ht="12.8" hidden="false" customHeight="false" outlineLevel="0" collapsed="false">
      <c r="A363" s="0" t="n">
        <v>30</v>
      </c>
      <c r="B363" s="34" t="n">
        <v>43252</v>
      </c>
      <c r="C363" s="164" t="n">
        <v>152728</v>
      </c>
      <c r="D363" s="29" t="s">
        <v>42</v>
      </c>
      <c r="E363" s="33" t="n">
        <f aca="false">IF(D363="totale",(C363/(A363*24))/F363,IF(D363="marché libre",(C363/(A363*24))/G363,"spécifier histo"))</f>
        <v>0.244380440348182</v>
      </c>
      <c r="F363" s="9" t="n">
        <v>868</v>
      </c>
      <c r="G363" s="9" t="n">
        <f aca="false">F363-H363</f>
        <v>868</v>
      </c>
      <c r="H363" s="9" t="n">
        <v>0</v>
      </c>
    </row>
    <row r="364" customFormat="false" ht="12.8" hidden="false" customHeight="false" outlineLevel="0" collapsed="false">
      <c r="A364" s="0" t="n">
        <v>31</v>
      </c>
      <c r="B364" s="31" t="n">
        <v>43282</v>
      </c>
      <c r="C364" s="164" t="n">
        <v>326015</v>
      </c>
      <c r="D364" s="29" t="s">
        <v>42</v>
      </c>
      <c r="E364" s="33" t="n">
        <f aca="false">IF(D364="totale",(C364/(A364*24))/F364,IF(D364="marché libre",(C364/(A364*24))/G364,"spécifier histo"))</f>
        <v>0.50482972845746</v>
      </c>
      <c r="F364" s="9" t="n">
        <v>868</v>
      </c>
      <c r="G364" s="9" t="n">
        <f aca="false">F364-H364</f>
        <v>868</v>
      </c>
      <c r="H364" s="9" t="n">
        <v>0</v>
      </c>
    </row>
    <row r="365" customFormat="false" ht="12.8" hidden="false" customHeight="false" outlineLevel="0" collapsed="false">
      <c r="A365" s="0" t="n">
        <v>30</v>
      </c>
      <c r="B365" s="34" t="n">
        <v>43313</v>
      </c>
      <c r="C365" s="164" t="n">
        <v>202855</v>
      </c>
      <c r="D365" s="29" t="s">
        <v>42</v>
      </c>
      <c r="E365" s="33" t="n">
        <f aca="false">IF(D365="totale",(C365/(A365*24))/F365,IF(D365="marché libre",(C365/(A365*24))/G365,"spécifier histo"))</f>
        <v>0.324588773681516</v>
      </c>
      <c r="F365" s="9" t="n">
        <v>868</v>
      </c>
      <c r="G365" s="9" t="n">
        <f aca="false">F365-H365</f>
        <v>868</v>
      </c>
      <c r="H365" s="9" t="n">
        <v>0</v>
      </c>
    </row>
    <row r="366" customFormat="false" ht="12.8" hidden="false" customHeight="false" outlineLevel="0" collapsed="false">
      <c r="A366" s="0" t="n">
        <v>31</v>
      </c>
      <c r="B366" s="31" t="n">
        <v>43344</v>
      </c>
      <c r="C366" s="164" t="n">
        <v>342066</v>
      </c>
      <c r="D366" s="29" t="s">
        <v>42</v>
      </c>
      <c r="E366" s="33" t="n">
        <f aca="false">IF(D366="totale",(C366/(A366*24))/F366,IF(D366="marché libre",(C366/(A366*24))/G366,"spécifier histo"))</f>
        <v>0.52968448045191</v>
      </c>
      <c r="F366" s="9" t="n">
        <v>868</v>
      </c>
      <c r="G366" s="9" t="n">
        <f aca="false">F366-H366</f>
        <v>868</v>
      </c>
      <c r="H366" s="9" t="n">
        <v>0</v>
      </c>
    </row>
    <row r="367" customFormat="false" ht="12.8" hidden="false" customHeight="false" outlineLevel="0" collapsed="false">
      <c r="A367" s="0" t="n">
        <v>31</v>
      </c>
      <c r="B367" s="34" t="n">
        <v>43374</v>
      </c>
      <c r="C367" s="164" t="n">
        <v>200490</v>
      </c>
      <c r="D367" s="29" t="s">
        <v>42</v>
      </c>
      <c r="E367" s="33" t="n">
        <f aca="false">IF(D367="totale",(C367/(A367*24))/F367,IF(D367="marché libre",(C367/(A367*24))/G367,"spécifier histo"))</f>
        <v>0.310455998216144</v>
      </c>
      <c r="F367" s="9" t="n">
        <v>868</v>
      </c>
      <c r="G367" s="9" t="n">
        <f aca="false">F367-H367</f>
        <v>868</v>
      </c>
      <c r="H367" s="9" t="n">
        <v>0</v>
      </c>
    </row>
    <row r="368" customFormat="false" ht="12.8" hidden="false" customHeight="false" outlineLevel="0" collapsed="false">
      <c r="A368" s="0" t="n">
        <v>30</v>
      </c>
      <c r="B368" s="31" t="n">
        <v>43405</v>
      </c>
      <c r="C368" s="164" t="n">
        <v>257352</v>
      </c>
      <c r="D368" s="29" t="s">
        <v>42</v>
      </c>
      <c r="E368" s="33" t="n">
        <f aca="false">IF(D368="totale",(C368/(A368*24))/F368,IF(D368="marché libre",(C368/(A368*24))/G368,"spécifier histo"))</f>
        <v>0.41178955453149</v>
      </c>
      <c r="F368" s="9" t="n">
        <v>868</v>
      </c>
      <c r="G368" s="9" t="n">
        <f aca="false">F368-H368</f>
        <v>868</v>
      </c>
      <c r="H368" s="9" t="n">
        <v>0</v>
      </c>
    </row>
    <row r="369" customFormat="false" ht="12.8" hidden="false" customHeight="false" outlineLevel="0" collapsed="false">
      <c r="A369" s="1"/>
      <c r="B369" s="1"/>
      <c r="C369" s="1"/>
      <c r="D369" s="1"/>
      <c r="E369" s="1"/>
    </row>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36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G6" r:id="rId1" display="Données demandées d’avant 2012 – info@mairie-saint-bonnet.net et direction@mairie-saint-bonnet.net&#10;(adresse obsolète benevent-charbillac@wanadoo.fr)"/>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AA198"/>
  <sheetViews>
    <sheetView showFormulas="false" showGridLines="true" showRowColHeaders="true" showZeros="true" rightToLeft="false" tabSelected="false" showOutlineSymbols="true" defaultGridColor="true" view="normal" topLeftCell="A149" colorId="64" zoomScale="90" zoomScaleNormal="90" zoomScalePageLayoutView="100" workbookViewId="0">
      <selection pane="topLeft" activeCell="B162" activeCellId="0" sqref="B162"/>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35" t="s">
        <v>437</v>
      </c>
      <c r="C4" s="16" t="n">
        <v>51216</v>
      </c>
      <c r="D4" s="5" t="s">
        <v>438</v>
      </c>
      <c r="E4" s="14" t="s">
        <v>439</v>
      </c>
      <c r="F4" s="15" t="n">
        <v>1140</v>
      </c>
      <c r="G4" s="15" t="n">
        <v>1300</v>
      </c>
      <c r="H4" s="15"/>
      <c r="I4" s="16"/>
      <c r="J4" s="15" t="n">
        <v>740</v>
      </c>
      <c r="K4" s="16"/>
      <c r="L4" s="16"/>
      <c r="M4" s="16" t="n">
        <v>400</v>
      </c>
      <c r="N4" s="16"/>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c r="H6" s="19"/>
      <c r="I6" s="19"/>
      <c r="J6" s="19"/>
      <c r="K6" s="19"/>
      <c r="L6" s="19"/>
      <c r="M6" s="19"/>
      <c r="N6" s="19"/>
      <c r="P6" s="21" t="n">
        <v>43466</v>
      </c>
      <c r="Q6" s="19" t="s">
        <v>27</v>
      </c>
      <c r="R6" s="9"/>
      <c r="S6" s="22"/>
      <c r="T6" s="5" t="s">
        <v>28</v>
      </c>
    </row>
    <row r="7" customFormat="false" ht="41.65" hidden="false" customHeight="true" outlineLevel="0" collapsed="false">
      <c r="A7" s="0"/>
      <c r="B7" s="0"/>
      <c r="C7" s="126" t="s">
        <v>440</v>
      </c>
      <c r="D7" s="126"/>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205" t="s">
        <v>40</v>
      </c>
      <c r="K9" s="206"/>
    </row>
    <row r="10" customFormat="false" ht="23" hidden="false" customHeight="true" outlineLevel="0" collapsed="false">
      <c r="A10" s="0" t="n">
        <v>31</v>
      </c>
      <c r="B10" s="31" t="n">
        <v>39083</v>
      </c>
      <c r="C10" s="321" t="n">
        <v>261931</v>
      </c>
      <c r="D10" s="1" t="s">
        <v>41</v>
      </c>
      <c r="E10" s="33" t="n">
        <f aca="false">IF(D10="totale",(C10/(A10*24))/F10,IF(D10="marché libre",(C10/(A10*24))/G10,"spécifier histo"))</f>
        <v>0.308822627806074</v>
      </c>
      <c r="F10" s="59" t="n">
        <v>1140</v>
      </c>
      <c r="G10" s="59" t="n">
        <f aca="false">1140</f>
        <v>1140</v>
      </c>
      <c r="H10" s="59" t="n">
        <f aca="false">0</f>
        <v>0</v>
      </c>
      <c r="I10" s="9"/>
      <c r="J10" s="205"/>
      <c r="K10" s="206"/>
    </row>
    <row r="11" customFormat="false" ht="23" hidden="false" customHeight="true" outlineLevel="0" collapsed="false">
      <c r="A11" s="0" t="n">
        <v>31</v>
      </c>
      <c r="B11" s="34" t="n">
        <v>39114</v>
      </c>
      <c r="C11" s="321" t="n">
        <v>172675</v>
      </c>
      <c r="D11" s="1" t="s">
        <v>41</v>
      </c>
      <c r="E11" s="33" t="n">
        <f aca="false">IF(D11="totale",(C11/(A11*24))/F11,IF(D11="marché libre",(C11/(A11*24))/G11,"spécifier histo"))</f>
        <v>0.203587766459159</v>
      </c>
      <c r="F11" s="59" t="n">
        <v>1140</v>
      </c>
      <c r="G11" s="59" t="n">
        <f aca="false">1140</f>
        <v>1140</v>
      </c>
      <c r="H11" s="59" t="n">
        <f aca="false">0</f>
        <v>0</v>
      </c>
      <c r="I11" s="9"/>
      <c r="J11" s="205"/>
      <c r="K11" s="206"/>
    </row>
    <row r="12" customFormat="false" ht="23" hidden="false" customHeight="true" outlineLevel="0" collapsed="false">
      <c r="A12" s="0" t="n">
        <v>30</v>
      </c>
      <c r="B12" s="31" t="n">
        <v>39142</v>
      </c>
      <c r="C12" s="321" t="n">
        <v>287307</v>
      </c>
      <c r="D12" s="1" t="s">
        <v>41</v>
      </c>
      <c r="E12" s="33" t="n">
        <f aca="false">IF(D12="totale",(C12/(A12*24))/F12,IF(D12="marché libre",(C12/(A12*24))/G12,"spécifier histo"))</f>
        <v>0.350032894736842</v>
      </c>
      <c r="F12" s="59" t="n">
        <v>1140</v>
      </c>
      <c r="G12" s="59" t="n">
        <f aca="false">1140</f>
        <v>1140</v>
      </c>
      <c r="H12" s="59" t="n">
        <f aca="false">0</f>
        <v>0</v>
      </c>
      <c r="I12" s="9"/>
      <c r="J12" s="205"/>
      <c r="K12" s="206"/>
    </row>
    <row r="13" customFormat="false" ht="23" hidden="false" customHeight="true" outlineLevel="0" collapsed="false">
      <c r="A13" s="0" t="n">
        <v>31</v>
      </c>
      <c r="B13" s="34" t="n">
        <v>39173</v>
      </c>
      <c r="C13" s="321" t="n">
        <v>738976</v>
      </c>
      <c r="D13" s="1" t="s">
        <v>41</v>
      </c>
      <c r="E13" s="33" t="n">
        <f aca="false">IF(D13="totale",(C13/(A13*24))/F13,IF(D13="marché libre",(C13/(A13*24))/G13,"spécifier histo"))</f>
        <v>0.87126957177891</v>
      </c>
      <c r="F13" s="59" t="n">
        <v>1140</v>
      </c>
      <c r="G13" s="59" t="n">
        <f aca="false">1140</f>
        <v>1140</v>
      </c>
      <c r="H13" s="59" t="n">
        <f aca="false">0</f>
        <v>0</v>
      </c>
      <c r="I13" s="9"/>
      <c r="J13" s="205"/>
      <c r="K13" s="206"/>
    </row>
    <row r="14" customFormat="false" ht="23" hidden="false" customHeight="true" outlineLevel="0" collapsed="false">
      <c r="A14" s="0" t="n">
        <v>30</v>
      </c>
      <c r="B14" s="31" t="n">
        <v>39203</v>
      </c>
      <c r="C14" s="321" t="n">
        <v>942627</v>
      </c>
      <c r="D14" s="1" t="s">
        <v>41</v>
      </c>
      <c r="E14" s="33" t="n">
        <f aca="false">IF(D14="totale",(C14/(A14*24))/F14,IF(D14="marché libre",(C14/(A14*24))/G14,"spécifier histo"))</f>
        <v>1.14842470760234</v>
      </c>
      <c r="F14" s="59" t="n">
        <v>1140</v>
      </c>
      <c r="G14" s="59" t="n">
        <f aca="false">1140</f>
        <v>1140</v>
      </c>
      <c r="H14" s="59" t="n">
        <f aca="false">0</f>
        <v>0</v>
      </c>
      <c r="I14" s="9"/>
      <c r="J14" s="205"/>
      <c r="K14" s="206"/>
    </row>
    <row r="15" customFormat="false" ht="23" hidden="false" customHeight="true" outlineLevel="0" collapsed="false">
      <c r="A15" s="0" t="n">
        <v>31</v>
      </c>
      <c r="B15" s="34" t="n">
        <v>39234</v>
      </c>
      <c r="C15" s="321" t="n">
        <v>917732</v>
      </c>
      <c r="D15" s="1" t="s">
        <v>41</v>
      </c>
      <c r="E15" s="33" t="n">
        <f aca="false">IF(D15="totale",(C15/(A15*24))/F15,IF(D15="marché libre",(C15/(A15*24))/G15,"spécifier histo"))</f>
        <v>1.08202697604226</v>
      </c>
      <c r="F15" s="59" t="n">
        <v>1140</v>
      </c>
      <c r="G15" s="59" t="n">
        <f aca="false">1140</f>
        <v>1140</v>
      </c>
      <c r="H15" s="59" t="n">
        <f aca="false">0</f>
        <v>0</v>
      </c>
      <c r="I15" s="9"/>
      <c r="J15" s="205"/>
      <c r="K15" s="206"/>
    </row>
    <row r="16" customFormat="false" ht="23" hidden="false" customHeight="true" outlineLevel="0" collapsed="false">
      <c r="A16" s="0" t="n">
        <v>31</v>
      </c>
      <c r="B16" s="31" t="n">
        <v>39264</v>
      </c>
      <c r="C16" s="321" t="n">
        <v>805988</v>
      </c>
      <c r="D16" s="1" t="s">
        <v>41</v>
      </c>
      <c r="E16" s="33" t="n">
        <f aca="false">IF(D16="totale",(C16/(A16*24))/F16,IF(D16="marché libre",(C16/(A16*24))/G16,"spécifier histo"))</f>
        <v>0.950278249386908</v>
      </c>
      <c r="F16" s="59" t="n">
        <v>1140</v>
      </c>
      <c r="G16" s="59" t="n">
        <f aca="false">1140</f>
        <v>1140</v>
      </c>
      <c r="H16" s="59" t="n">
        <f aca="false">0</f>
        <v>0</v>
      </c>
      <c r="I16" s="9"/>
      <c r="J16" s="205"/>
      <c r="K16" s="206"/>
    </row>
    <row r="17" customFormat="false" ht="23" hidden="false" customHeight="true" outlineLevel="0" collapsed="false">
      <c r="A17" s="0" t="n">
        <v>31</v>
      </c>
      <c r="B17" s="34" t="n">
        <v>39295</v>
      </c>
      <c r="C17" s="321" t="n">
        <v>534965</v>
      </c>
      <c r="D17" s="1" t="s">
        <v>41</v>
      </c>
      <c r="E17" s="33" t="n">
        <f aca="false">IF(D17="totale",(C17/(A17*24))/F17,IF(D17="marché libre",(C17/(A17*24))/G17,"spécifier histo"))</f>
        <v>0.630735946047915</v>
      </c>
      <c r="F17" s="59" t="n">
        <v>1140</v>
      </c>
      <c r="G17" s="59" t="n">
        <f aca="false">1140</f>
        <v>1140</v>
      </c>
      <c r="H17" s="59" t="n">
        <f aca="false">0</f>
        <v>0</v>
      </c>
      <c r="I17" s="9"/>
      <c r="J17" s="205"/>
      <c r="K17" s="206"/>
    </row>
    <row r="18" customFormat="false" ht="23" hidden="false" customHeight="true" outlineLevel="0" collapsed="false">
      <c r="A18" s="0" t="n">
        <v>30</v>
      </c>
      <c r="B18" s="31" t="n">
        <v>39326</v>
      </c>
      <c r="C18" s="321" t="n">
        <v>279219</v>
      </c>
      <c r="D18" s="1" t="s">
        <v>41</v>
      </c>
      <c r="E18" s="33" t="n">
        <f aca="false">IF(D18="totale",(C18/(A18*24))/F18,IF(D18="marché libre",(C18/(A18*24))/G18,"spécifier histo"))</f>
        <v>0.340179093567251</v>
      </c>
      <c r="F18" s="59" t="n">
        <v>1140</v>
      </c>
      <c r="G18" s="59" t="n">
        <f aca="false">1140</f>
        <v>1140</v>
      </c>
      <c r="H18" s="59" t="n">
        <f aca="false">0</f>
        <v>0</v>
      </c>
      <c r="I18" s="9"/>
      <c r="J18" s="205"/>
      <c r="K18" s="206"/>
    </row>
    <row r="19" customFormat="false" ht="23" hidden="false" customHeight="true" outlineLevel="0" collapsed="false">
      <c r="A19" s="0" t="n">
        <v>31</v>
      </c>
      <c r="B19" s="34" t="n">
        <v>39356</v>
      </c>
      <c r="C19" s="321" t="n">
        <v>241906</v>
      </c>
      <c r="D19" s="1" t="s">
        <v>41</v>
      </c>
      <c r="E19" s="33" t="n">
        <f aca="false">IF(D19="totale",(C19/(A19*24))/F19,IF(D19="marché libre",(C19/(A19*24))/G19,"spécifier histo"))</f>
        <v>0.285212695717789</v>
      </c>
      <c r="F19" s="59" t="n">
        <v>1140</v>
      </c>
      <c r="G19" s="59" t="n">
        <f aca="false">1140</f>
        <v>1140</v>
      </c>
      <c r="H19" s="59" t="n">
        <f aca="false">0</f>
        <v>0</v>
      </c>
      <c r="I19" s="9"/>
      <c r="J19" s="205"/>
      <c r="K19" s="206"/>
    </row>
    <row r="20" customFormat="false" ht="23" hidden="false" customHeight="true" outlineLevel="0" collapsed="false">
      <c r="A20" s="0" t="n">
        <v>30</v>
      </c>
      <c r="B20" s="31" t="n">
        <v>39387</v>
      </c>
      <c r="C20" s="321" t="n">
        <v>130646</v>
      </c>
      <c r="D20" s="1" t="s">
        <v>41</v>
      </c>
      <c r="E20" s="33" t="n">
        <f aca="false">IF(D20="totale",(C20/(A20*24))/F20,IF(D20="marché libre",(C20/(A20*24))/G20,"spécifier histo"))</f>
        <v>0.15916910331384</v>
      </c>
      <c r="F20" s="59" t="n">
        <v>1140</v>
      </c>
      <c r="G20" s="59" t="n">
        <f aca="false">1140</f>
        <v>1140</v>
      </c>
      <c r="H20" s="59" t="n">
        <f aca="false">0</f>
        <v>0</v>
      </c>
      <c r="I20" s="9"/>
      <c r="J20" s="205"/>
      <c r="K20" s="206"/>
    </row>
    <row r="21" customFormat="false" ht="23" hidden="false" customHeight="true" outlineLevel="0" collapsed="false">
      <c r="A21" s="0" t="n">
        <v>31</v>
      </c>
      <c r="B21" s="34" t="n">
        <v>39417</v>
      </c>
      <c r="C21" s="321" t="n">
        <v>121089</v>
      </c>
      <c r="D21" s="1" t="s">
        <v>41</v>
      </c>
      <c r="E21" s="33" t="n">
        <f aca="false">IF(D21="totale",(C21/(A21*24))/F21,IF(D21="marché libre",(C21/(A21*24))/G21,"spécifier histo"))</f>
        <v>0.142766694963214</v>
      </c>
      <c r="F21" s="59" t="n">
        <v>1140</v>
      </c>
      <c r="G21" s="59" t="n">
        <f aca="false">1140</f>
        <v>1140</v>
      </c>
      <c r="H21" s="59" t="n">
        <f aca="false">0</f>
        <v>0</v>
      </c>
      <c r="I21" s="9"/>
      <c r="J21" s="205"/>
      <c r="K21" s="206"/>
    </row>
    <row r="22" customFormat="false" ht="23" hidden="false" customHeight="true" outlineLevel="0" collapsed="false">
      <c r="A22" s="0" t="n">
        <v>31</v>
      </c>
      <c r="B22" s="31" t="n">
        <v>39448</v>
      </c>
      <c r="C22" s="321" t="n">
        <v>91812</v>
      </c>
      <c r="D22" s="1" t="s">
        <v>41</v>
      </c>
      <c r="E22" s="33" t="n">
        <f aca="false">IF(D22="totale",(C22/(A22*24))/F22,IF(D22="marché libre",(C22/(A22*24))/G22,"spécifier histo"))</f>
        <v>0.10824844368987</v>
      </c>
      <c r="F22" s="59" t="n">
        <v>1140</v>
      </c>
      <c r="G22" s="59" t="n">
        <f aca="false">1140</f>
        <v>1140</v>
      </c>
      <c r="H22" s="59" t="n">
        <f aca="false">0</f>
        <v>0</v>
      </c>
      <c r="I22" s="9"/>
      <c r="J22" s="205"/>
      <c r="K22" s="206"/>
    </row>
    <row r="23" customFormat="false" ht="23" hidden="false" customHeight="true" outlineLevel="0" collapsed="false">
      <c r="A23" s="0" t="n">
        <v>28</v>
      </c>
      <c r="B23" s="34" t="n">
        <v>39479</v>
      </c>
      <c r="C23" s="321" t="n">
        <v>116532</v>
      </c>
      <c r="D23" s="1" t="s">
        <v>41</v>
      </c>
      <c r="E23" s="33" t="n">
        <f aca="false">IF(D23="totale",(C23/(A23*24))/F23,IF(D23="marché libre",(C23/(A23*24))/G23,"spécifier histo"))</f>
        <v>0.152114661654135</v>
      </c>
      <c r="F23" s="59" t="n">
        <v>1140</v>
      </c>
      <c r="G23" s="59" t="n">
        <f aca="false">1140</f>
        <v>1140</v>
      </c>
      <c r="H23" s="59" t="n">
        <f aca="false">0</f>
        <v>0</v>
      </c>
      <c r="I23" s="9"/>
      <c r="J23" s="205"/>
      <c r="K23" s="206"/>
    </row>
    <row r="24" customFormat="false" ht="23" hidden="false" customHeight="true" outlineLevel="0" collapsed="false">
      <c r="A24" s="0" t="n">
        <v>31</v>
      </c>
      <c r="B24" s="31" t="n">
        <v>39508</v>
      </c>
      <c r="C24" s="321" t="n">
        <v>231467</v>
      </c>
      <c r="D24" s="1" t="s">
        <v>41</v>
      </c>
      <c r="E24" s="33" t="n">
        <f aca="false">IF(D24="totale",(C24/(A24*24))/F24,IF(D24="marché libre",(C24/(A24*24))/G24,"spécifier histo"))</f>
        <v>0.272904876438408</v>
      </c>
      <c r="F24" s="59" t="n">
        <v>1140</v>
      </c>
      <c r="G24" s="59" t="n">
        <f aca="false">1140</f>
        <v>1140</v>
      </c>
      <c r="H24" s="59" t="n">
        <f aca="false">0</f>
        <v>0</v>
      </c>
      <c r="I24" s="9"/>
      <c r="J24" s="205"/>
      <c r="K24" s="206"/>
    </row>
    <row r="25" customFormat="false" ht="23" hidden="false" customHeight="true" outlineLevel="0" collapsed="false">
      <c r="A25" s="0" t="n">
        <v>30</v>
      </c>
      <c r="B25" s="34" t="n">
        <v>39539</v>
      </c>
      <c r="C25" s="321" t="n">
        <v>421808</v>
      </c>
      <c r="D25" s="1" t="s">
        <v>41</v>
      </c>
      <c r="E25" s="33" t="n">
        <f aca="false">IF(D25="totale",(C25/(A25*24))/F25,IF(D25="marché libre",(C25/(A25*24))/G25,"spécifier histo"))</f>
        <v>0.513898635477583</v>
      </c>
      <c r="F25" s="59" t="n">
        <v>1140</v>
      </c>
      <c r="G25" s="59" t="n">
        <f aca="false">1140</f>
        <v>1140</v>
      </c>
      <c r="H25" s="59" t="n">
        <f aca="false">0</f>
        <v>0</v>
      </c>
      <c r="I25" s="9"/>
      <c r="J25" s="205"/>
      <c r="K25" s="206"/>
    </row>
    <row r="26" customFormat="false" ht="23" hidden="false" customHeight="true" outlineLevel="0" collapsed="false">
      <c r="A26" s="0" t="n">
        <v>31</v>
      </c>
      <c r="B26" s="31" t="n">
        <v>39569</v>
      </c>
      <c r="C26" s="321" t="n">
        <v>899929</v>
      </c>
      <c r="D26" s="1" t="s">
        <v>41</v>
      </c>
      <c r="E26" s="33" t="n">
        <f aca="false">IF(D26="totale",(C26/(A26*24))/F26,IF(D26="marché libre",(C26/(A26*24))/G26,"spécifier histo"))</f>
        <v>1.06103683267308</v>
      </c>
      <c r="F26" s="59" t="n">
        <v>1140</v>
      </c>
      <c r="G26" s="59" t="n">
        <f aca="false">1140</f>
        <v>1140</v>
      </c>
      <c r="H26" s="59" t="n">
        <f aca="false">0</f>
        <v>0</v>
      </c>
      <c r="I26" s="9"/>
      <c r="J26" s="205"/>
      <c r="K26" s="206"/>
    </row>
    <row r="27" customFormat="false" ht="23" hidden="false" customHeight="true" outlineLevel="0" collapsed="false">
      <c r="A27" s="0" t="n">
        <v>30</v>
      </c>
      <c r="B27" s="34" t="n">
        <v>39600</v>
      </c>
      <c r="C27" s="321" t="n">
        <v>874364</v>
      </c>
      <c r="D27" s="1" t="s">
        <v>41</v>
      </c>
      <c r="E27" s="33" t="n">
        <f aca="false">IF(D27="totale",(C27/(A27*24))/F27,IF(D27="marché libre",(C27/(A27*24))/G27,"spécifier histo"))</f>
        <v>1.06525828460039</v>
      </c>
      <c r="F27" s="59" t="n">
        <v>1140</v>
      </c>
      <c r="G27" s="59" t="n">
        <f aca="false">1140</f>
        <v>1140</v>
      </c>
      <c r="H27" s="59" t="n">
        <f aca="false">0</f>
        <v>0</v>
      </c>
      <c r="I27" s="9"/>
      <c r="J27" s="205"/>
      <c r="K27" s="206"/>
    </row>
    <row r="28" customFormat="false" ht="23" hidden="false" customHeight="true" outlineLevel="0" collapsed="false">
      <c r="A28" s="0" t="n">
        <v>31</v>
      </c>
      <c r="B28" s="31" t="n">
        <v>39630</v>
      </c>
      <c r="C28" s="321" t="n">
        <v>613120</v>
      </c>
      <c r="D28" s="1" t="s">
        <v>41</v>
      </c>
      <c r="E28" s="33" t="n">
        <f aca="false">IF(D28="totale",(C28/(A28*24))/F28,IF(D28="marché libre",(C28/(A28*24))/G28,"spécifier histo"))</f>
        <v>0.722882475004716</v>
      </c>
      <c r="F28" s="59" t="n">
        <v>1140</v>
      </c>
      <c r="G28" s="59" t="n">
        <f aca="false">1140</f>
        <v>1140</v>
      </c>
      <c r="H28" s="59" t="n">
        <f aca="false">0</f>
        <v>0</v>
      </c>
      <c r="I28" s="9"/>
      <c r="J28" s="205"/>
      <c r="K28" s="206"/>
    </row>
    <row r="29" customFormat="false" ht="23" hidden="false" customHeight="true" outlineLevel="0" collapsed="false">
      <c r="A29" s="0" t="n">
        <v>31</v>
      </c>
      <c r="B29" s="34" t="n">
        <v>39661</v>
      </c>
      <c r="C29" s="321" t="n">
        <v>619841</v>
      </c>
      <c r="D29" s="1" t="s">
        <v>41</v>
      </c>
      <c r="E29" s="33" t="n">
        <f aca="false">IF(D29="totale",(C29/(A29*24))/F29,IF(D29="marché libre",(C29/(A29*24))/G29,"spécifier histo"))</f>
        <v>0.730806687417468</v>
      </c>
      <c r="F29" s="59" t="n">
        <v>1140</v>
      </c>
      <c r="G29" s="59" t="n">
        <f aca="false">1140</f>
        <v>1140</v>
      </c>
      <c r="H29" s="59" t="n">
        <f aca="false">0</f>
        <v>0</v>
      </c>
      <c r="I29" s="9"/>
      <c r="J29" s="205"/>
      <c r="K29" s="206"/>
    </row>
    <row r="30" customFormat="false" ht="23" hidden="false" customHeight="true" outlineLevel="0" collapsed="false">
      <c r="A30" s="0" t="n">
        <v>30</v>
      </c>
      <c r="B30" s="31" t="n">
        <v>39692</v>
      </c>
      <c r="C30" s="321" t="n">
        <v>708510</v>
      </c>
      <c r="D30" s="1" t="s">
        <v>41</v>
      </c>
      <c r="E30" s="33" t="n">
        <f aca="false">IF(D30="totale",(C30/(A30*24))/F30,IF(D30="marché libre",(C30/(A30*24))/G30,"spécifier histo"))</f>
        <v>0.863194444444444</v>
      </c>
      <c r="F30" s="59" t="n">
        <v>1140</v>
      </c>
      <c r="G30" s="59" t="n">
        <f aca="false">1140</f>
        <v>1140</v>
      </c>
      <c r="H30" s="59" t="n">
        <f aca="false">0</f>
        <v>0</v>
      </c>
      <c r="I30" s="9"/>
      <c r="J30" s="205"/>
      <c r="K30" s="206"/>
    </row>
    <row r="31" customFormat="false" ht="23" hidden="false" customHeight="true" outlineLevel="0" collapsed="false">
      <c r="A31" s="0" t="n">
        <v>31</v>
      </c>
      <c r="B31" s="34" t="n">
        <v>39722</v>
      </c>
      <c r="C31" s="321" t="n">
        <v>367726</v>
      </c>
      <c r="D31" s="1" t="s">
        <v>41</v>
      </c>
      <c r="E31" s="33" t="n">
        <f aca="false">IF(D31="totale",(C31/(A31*24))/F31,IF(D31="marché libre",(C31/(A31*24))/G31,"spécifier histo"))</f>
        <v>0.433557347670251</v>
      </c>
      <c r="F31" s="59" t="n">
        <v>1140</v>
      </c>
      <c r="G31" s="59" t="n">
        <f aca="false">1140</f>
        <v>1140</v>
      </c>
      <c r="H31" s="59" t="n">
        <f aca="false">0</f>
        <v>0</v>
      </c>
      <c r="I31" s="9"/>
      <c r="J31" s="205"/>
      <c r="K31" s="206"/>
    </row>
    <row r="32" customFormat="false" ht="23" hidden="false" customHeight="true" outlineLevel="0" collapsed="false">
      <c r="A32" s="0" t="n">
        <v>30</v>
      </c>
      <c r="B32" s="31" t="n">
        <v>39753</v>
      </c>
      <c r="C32" s="321" t="n">
        <v>399995</v>
      </c>
      <c r="D32" s="1" t="s">
        <v>41</v>
      </c>
      <c r="E32" s="33" t="n">
        <f aca="false">IF(D32="totale",(C32/(A32*24))/F32,IF(D32="marché libre",(C32/(A32*24))/G32,"spécifier histo"))</f>
        <v>0.487323343079922</v>
      </c>
      <c r="F32" s="59" t="n">
        <v>1140</v>
      </c>
      <c r="G32" s="59" t="n">
        <f aca="false">1140</f>
        <v>1140</v>
      </c>
      <c r="H32" s="59" t="n">
        <f aca="false">0</f>
        <v>0</v>
      </c>
      <c r="I32" s="9"/>
      <c r="J32" s="205"/>
      <c r="K32" s="206"/>
    </row>
    <row r="33" customFormat="false" ht="23" hidden="false" customHeight="true" outlineLevel="0" collapsed="false">
      <c r="A33" s="0" t="n">
        <v>31</v>
      </c>
      <c r="B33" s="34" t="n">
        <v>39783</v>
      </c>
      <c r="C33" s="321" t="n">
        <v>267361</v>
      </c>
      <c r="D33" s="1" t="s">
        <v>41</v>
      </c>
      <c r="E33" s="33" t="n">
        <f aca="false">IF(D33="totale",(C33/(A33*24))/F33,IF(D33="marché libre",(C33/(A33*24))/G33,"spécifier histo"))</f>
        <v>0.315224721750613</v>
      </c>
      <c r="F33" s="59" t="n">
        <v>1140</v>
      </c>
      <c r="G33" s="59" t="n">
        <f aca="false">1140</f>
        <v>1140</v>
      </c>
      <c r="H33" s="59" t="n">
        <f aca="false">0</f>
        <v>0</v>
      </c>
      <c r="I33" s="9"/>
      <c r="J33" s="205"/>
      <c r="K33" s="206"/>
    </row>
    <row r="34" customFormat="false" ht="23" hidden="false" customHeight="true" outlineLevel="0" collapsed="false">
      <c r="A34" s="0" t="n">
        <v>31</v>
      </c>
      <c r="B34" s="31" t="n">
        <v>39814</v>
      </c>
      <c r="C34" s="321" t="n">
        <v>183279.832833333</v>
      </c>
      <c r="D34" s="1" t="s">
        <v>41</v>
      </c>
      <c r="E34" s="33" t="n">
        <f aca="false">IF(D34="totale",(C34/(A34*24))/F34,IF(D34="marché libre",(C34/(A34*24))/G34,"spécifier histo"))</f>
        <v>0.21609110643432</v>
      </c>
      <c r="F34" s="59" t="n">
        <v>1140</v>
      </c>
      <c r="G34" s="59" t="n">
        <f aca="false">1140</f>
        <v>1140</v>
      </c>
      <c r="H34" s="59" t="n">
        <f aca="false">0</f>
        <v>0</v>
      </c>
      <c r="I34" s="9"/>
      <c r="J34" s="205"/>
      <c r="K34" s="206"/>
    </row>
    <row r="35" customFormat="false" ht="23" hidden="false" customHeight="true" outlineLevel="0" collapsed="false">
      <c r="A35" s="0" t="n">
        <v>28</v>
      </c>
      <c r="B35" s="34" t="n">
        <v>39845</v>
      </c>
      <c r="C35" s="321" t="n">
        <v>128206.833333333</v>
      </c>
      <c r="D35" s="1" t="s">
        <v>41</v>
      </c>
      <c r="E35" s="33" t="n">
        <f aca="false">IF(D35="totale",(C35/(A35*24))/F35,IF(D35="marché libre",(C35/(A35*24))/G35,"spécifier histo"))</f>
        <v>0.167354366819827</v>
      </c>
      <c r="F35" s="59" t="n">
        <v>1140</v>
      </c>
      <c r="G35" s="59" t="n">
        <f aca="false">1140</f>
        <v>1140</v>
      </c>
      <c r="H35" s="59" t="n">
        <f aca="false">0</f>
        <v>0</v>
      </c>
      <c r="I35" s="9"/>
      <c r="J35" s="205"/>
      <c r="K35" s="206"/>
    </row>
    <row r="36" customFormat="false" ht="23" hidden="false" customHeight="true" outlineLevel="0" collapsed="false">
      <c r="A36" s="0" t="n">
        <v>31</v>
      </c>
      <c r="B36" s="31" t="n">
        <v>39873</v>
      </c>
      <c r="C36" s="321" t="n">
        <v>224728.833333333</v>
      </c>
      <c r="D36" s="1" t="s">
        <v>41</v>
      </c>
      <c r="E36" s="33" t="n">
        <f aca="false">IF(D36="totale",(C36/(A36*24))/F36,IF(D36="marché libre",(C36/(A36*24))/G36,"spécifier histo"))</f>
        <v>0.264960424133811</v>
      </c>
      <c r="F36" s="59" t="n">
        <v>1140</v>
      </c>
      <c r="G36" s="59" t="n">
        <f aca="false">1140</f>
        <v>1140</v>
      </c>
      <c r="H36" s="59" t="n">
        <f aca="false">0</f>
        <v>0</v>
      </c>
      <c r="I36" s="9"/>
      <c r="J36" s="205"/>
      <c r="K36" s="206"/>
    </row>
    <row r="37" customFormat="false" ht="23" hidden="false" customHeight="true" outlineLevel="0" collapsed="false">
      <c r="A37" s="0" t="n">
        <v>30</v>
      </c>
      <c r="B37" s="34" t="n">
        <v>39904</v>
      </c>
      <c r="C37" s="321" t="n">
        <v>617045.166666667</v>
      </c>
      <c r="D37" s="1" t="s">
        <v>41</v>
      </c>
      <c r="E37" s="33" t="n">
        <f aca="false">IF(D37="totale",(C37/(A37*24))/F37,IF(D37="marché libre",(C37/(A37*24))/G37,"spécifier histo"))</f>
        <v>0.751760680636778</v>
      </c>
      <c r="F37" s="59" t="n">
        <v>1140</v>
      </c>
      <c r="G37" s="59" t="n">
        <f aca="false">1140</f>
        <v>1140</v>
      </c>
      <c r="H37" s="59" t="n">
        <f aca="false">0</f>
        <v>0</v>
      </c>
      <c r="I37" s="9"/>
      <c r="J37" s="205"/>
      <c r="K37" s="206"/>
    </row>
    <row r="38" customFormat="false" ht="23" hidden="false" customHeight="true" outlineLevel="0" collapsed="false">
      <c r="A38" s="0" t="n">
        <v>31</v>
      </c>
      <c r="B38" s="31" t="n">
        <v>39934</v>
      </c>
      <c r="C38" s="321" t="n">
        <v>941276.166666667</v>
      </c>
      <c r="D38" s="1" t="s">
        <v>41</v>
      </c>
      <c r="E38" s="33" t="n">
        <f aca="false">IF(D38="totale",(C38/(A38*24))/F38,IF(D38="marché libre",(C38/(A38*24))/G38,"spécifier histo"))</f>
        <v>1.10978608595862</v>
      </c>
      <c r="F38" s="59" t="n">
        <v>1140</v>
      </c>
      <c r="G38" s="59" t="n">
        <f aca="false">1140</f>
        <v>1140</v>
      </c>
      <c r="H38" s="59" t="n">
        <f aca="false">0</f>
        <v>0</v>
      </c>
      <c r="I38" s="9"/>
      <c r="J38" s="205"/>
      <c r="K38" s="206"/>
    </row>
    <row r="39" customFormat="false" ht="23" hidden="false" customHeight="true" outlineLevel="0" collapsed="false">
      <c r="A39" s="0" t="n">
        <v>30</v>
      </c>
      <c r="B39" s="34" t="n">
        <v>39965</v>
      </c>
      <c r="C39" s="321" t="n">
        <v>924677.166666667</v>
      </c>
      <c r="D39" s="1" t="s">
        <v>41</v>
      </c>
      <c r="E39" s="33" t="n">
        <f aca="false">IF(D39="totale",(C39/(A39*24))/F39,IF(D39="marché libre",(C39/(A39*24))/G39,"spécifier histo"))</f>
        <v>1.1265560022742</v>
      </c>
      <c r="F39" s="59" t="n">
        <v>1140</v>
      </c>
      <c r="G39" s="59" t="n">
        <f aca="false">1140</f>
        <v>1140</v>
      </c>
      <c r="H39" s="59" t="n">
        <f aca="false">0</f>
        <v>0</v>
      </c>
      <c r="I39" s="9"/>
      <c r="J39" s="205"/>
      <c r="K39" s="206"/>
    </row>
    <row r="40" customFormat="false" ht="23" hidden="false" customHeight="true" outlineLevel="0" collapsed="false">
      <c r="A40" s="0" t="n">
        <v>31</v>
      </c>
      <c r="B40" s="31" t="n">
        <v>39995</v>
      </c>
      <c r="C40" s="321" t="n">
        <v>810030</v>
      </c>
      <c r="D40" s="1" t="s">
        <v>41</v>
      </c>
      <c r="E40" s="33" t="n">
        <f aca="false">IF(D40="totale",(C40/(A40*24))/F40,IF(D40="marché libre",(C40/(A40*24))/G40,"spécifier histo"))</f>
        <v>0.955043859649123</v>
      </c>
      <c r="F40" s="59" t="n">
        <v>1140</v>
      </c>
      <c r="G40" s="59" t="n">
        <f aca="false">1140</f>
        <v>1140</v>
      </c>
      <c r="H40" s="59" t="n">
        <f aca="false">0</f>
        <v>0</v>
      </c>
      <c r="I40" s="9"/>
      <c r="J40" s="205"/>
      <c r="K40" s="206"/>
    </row>
    <row r="41" customFormat="false" ht="23" hidden="false" customHeight="true" outlineLevel="0" collapsed="false">
      <c r="A41" s="0" t="n">
        <v>31</v>
      </c>
      <c r="B41" s="34" t="n">
        <v>40026</v>
      </c>
      <c r="C41" s="321" t="n">
        <v>416195.166666667</v>
      </c>
      <c r="D41" s="1" t="s">
        <v>41</v>
      </c>
      <c r="E41" s="33" t="n">
        <f aca="false">IF(D41="totale",(C41/(A41*24))/F41,IF(D41="marché libre",(C41/(A41*24))/G41,"spécifier histo"))</f>
        <v>0.490703601521726</v>
      </c>
      <c r="F41" s="59" t="n">
        <v>1140</v>
      </c>
      <c r="G41" s="59" t="n">
        <f aca="false">1140</f>
        <v>1140</v>
      </c>
      <c r="H41" s="59" t="n">
        <f aca="false">0</f>
        <v>0</v>
      </c>
      <c r="I41" s="9"/>
      <c r="J41" s="205"/>
      <c r="K41" s="206"/>
    </row>
    <row r="42" customFormat="false" ht="23" hidden="false" customHeight="true" outlineLevel="0" collapsed="false">
      <c r="A42" s="0" t="n">
        <v>30</v>
      </c>
      <c r="B42" s="31" t="n">
        <v>40057</v>
      </c>
      <c r="C42" s="321" t="n">
        <v>296989</v>
      </c>
      <c r="D42" s="1" t="s">
        <v>41</v>
      </c>
      <c r="E42" s="33" t="n">
        <f aca="false">IF(D42="totale",(C42/(A42*24))/F42,IF(D42="marché libre",(C42/(A42*24))/G42,"spécifier histo"))</f>
        <v>0.361828703703704</v>
      </c>
      <c r="F42" s="59" t="n">
        <v>1140</v>
      </c>
      <c r="G42" s="59" t="n">
        <f aca="false">1140</f>
        <v>1140</v>
      </c>
      <c r="H42" s="59" t="n">
        <f aca="false">0</f>
        <v>0</v>
      </c>
      <c r="I42" s="9"/>
      <c r="J42" s="205"/>
      <c r="K42" s="206"/>
    </row>
    <row r="43" customFormat="false" ht="23" hidden="false" customHeight="true" outlineLevel="0" collapsed="false">
      <c r="A43" s="0" t="n">
        <v>31</v>
      </c>
      <c r="B43" s="34" t="n">
        <v>40087</v>
      </c>
      <c r="C43" s="321" t="n">
        <v>241791.833333333</v>
      </c>
      <c r="D43" s="1" t="s">
        <v>41</v>
      </c>
      <c r="E43" s="33" t="n">
        <f aca="false">IF(D43="totale",(C43/(A43*24))/F43,IF(D43="marché libre",(C43/(A43*24))/G43,"spécifier histo"))</f>
        <v>0.285078090611834</v>
      </c>
      <c r="F43" s="59" t="n">
        <v>1140</v>
      </c>
      <c r="G43" s="59" t="n">
        <f aca="false">1140</f>
        <v>1140</v>
      </c>
      <c r="H43" s="59" t="n">
        <f aca="false">0</f>
        <v>0</v>
      </c>
      <c r="I43" s="9"/>
      <c r="J43" s="205"/>
      <c r="K43" s="206"/>
    </row>
    <row r="44" customFormat="false" ht="23" hidden="false" customHeight="true" outlineLevel="0" collapsed="false">
      <c r="A44" s="0" t="n">
        <v>30</v>
      </c>
      <c r="B44" s="31" t="n">
        <v>40118</v>
      </c>
      <c r="C44" s="321" t="n">
        <v>281573.833333333</v>
      </c>
      <c r="D44" s="1" t="s">
        <v>41</v>
      </c>
      <c r="E44" s="33" t="n">
        <f aca="false">IF(D44="totale",(C44/(A44*24))/F44,IF(D44="marché libre",(C44/(A44*24))/G44,"spécifier histo"))</f>
        <v>0.343048042560104</v>
      </c>
      <c r="F44" s="59" t="n">
        <v>1140</v>
      </c>
      <c r="G44" s="59" t="n">
        <f aca="false">1140</f>
        <v>1140</v>
      </c>
      <c r="H44" s="59" t="n">
        <f aca="false">0</f>
        <v>0</v>
      </c>
      <c r="I44" s="9"/>
      <c r="J44" s="205"/>
      <c r="K44" s="206"/>
    </row>
    <row r="45" customFormat="false" ht="23" hidden="false" customHeight="true" outlineLevel="0" collapsed="false">
      <c r="A45" s="0" t="n">
        <v>31</v>
      </c>
      <c r="B45" s="34" t="n">
        <v>40148</v>
      </c>
      <c r="C45" s="321" t="n">
        <v>184828.333333333</v>
      </c>
      <c r="D45" s="1" t="s">
        <v>41</v>
      </c>
      <c r="E45" s="33" t="n">
        <f aca="false">IF(D45="totale",(C45/(A45*24))/F45,IF(D45="marché libre",(C45/(A45*24))/G45,"spécifier histo"))</f>
        <v>0.21791682386971</v>
      </c>
      <c r="F45" s="59" t="n">
        <v>1140</v>
      </c>
      <c r="G45" s="59" t="n">
        <f aca="false">1140</f>
        <v>1140</v>
      </c>
      <c r="H45" s="59" t="n">
        <f aca="false">0</f>
        <v>0</v>
      </c>
      <c r="I45" s="9"/>
      <c r="J45" s="205"/>
      <c r="K45" s="206"/>
    </row>
    <row r="46" customFormat="false" ht="23" hidden="false" customHeight="true" outlineLevel="0" collapsed="false">
      <c r="A46" s="0" t="n">
        <v>31</v>
      </c>
      <c r="B46" s="31" t="n">
        <v>40179</v>
      </c>
      <c r="C46" s="321" t="n">
        <v>122168.464333333</v>
      </c>
      <c r="D46" s="1" t="s">
        <v>41</v>
      </c>
      <c r="E46" s="33" t="n">
        <f aca="false">IF(D46="totale",(C46/(A46*24))/F46,IF(D46="marché libre",(C46/(A46*24))/G46,"spécifier histo"))</f>
        <v>0.144039408051939</v>
      </c>
      <c r="F46" s="59" t="n">
        <v>1140</v>
      </c>
      <c r="G46" s="59" t="n">
        <f aca="false">1140</f>
        <v>1140</v>
      </c>
      <c r="H46" s="59" t="n">
        <f aca="false">0</f>
        <v>0</v>
      </c>
      <c r="I46" s="9"/>
      <c r="J46" s="205"/>
      <c r="K46" s="206"/>
    </row>
    <row r="47" customFormat="false" ht="23" hidden="false" customHeight="true" outlineLevel="0" collapsed="false">
      <c r="A47" s="0" t="n">
        <v>28</v>
      </c>
      <c r="B47" s="34" t="n">
        <v>40210</v>
      </c>
      <c r="C47" s="321" t="n">
        <v>76842.5</v>
      </c>
      <c r="D47" s="1" t="s">
        <v>41</v>
      </c>
      <c r="E47" s="33" t="n">
        <f aca="false">IF(D47="totale",(C47/(A47*24))/F47,IF(D47="marché libre",(C47/(A47*24))/G47,"spécifier histo"))</f>
        <v>0.10030610380117</v>
      </c>
      <c r="F47" s="59" t="n">
        <v>1140</v>
      </c>
      <c r="G47" s="59" t="n">
        <f aca="false">1140</f>
        <v>1140</v>
      </c>
      <c r="H47" s="59" t="n">
        <f aca="false">0</f>
        <v>0</v>
      </c>
      <c r="I47" s="9"/>
      <c r="J47" s="205"/>
      <c r="K47" s="206"/>
    </row>
    <row r="48" customFormat="false" ht="23" hidden="false" customHeight="true" outlineLevel="0" collapsed="false">
      <c r="A48" s="0" t="n">
        <v>31</v>
      </c>
      <c r="B48" s="31" t="n">
        <v>40238</v>
      </c>
      <c r="C48" s="321" t="n">
        <v>162991.166666667</v>
      </c>
      <c r="D48" s="1" t="s">
        <v>41</v>
      </c>
      <c r="E48" s="33" t="n">
        <f aca="false">IF(D48="totale",(C48/(A48*24))/F48,IF(D48="marché libre",(C48/(A48*24))/G48,"spécifier histo"))</f>
        <v>0.192170305917123</v>
      </c>
      <c r="F48" s="59" t="n">
        <v>1140</v>
      </c>
      <c r="G48" s="59" t="n">
        <f aca="false">1140</f>
        <v>1140</v>
      </c>
      <c r="H48" s="59" t="n">
        <f aca="false">0</f>
        <v>0</v>
      </c>
      <c r="I48" s="9"/>
      <c r="J48" s="205"/>
      <c r="K48" s="206"/>
    </row>
    <row r="49" customFormat="false" ht="23" hidden="false" customHeight="true" outlineLevel="0" collapsed="false">
      <c r="A49" s="0" t="n">
        <v>30</v>
      </c>
      <c r="B49" s="34" t="n">
        <v>40269</v>
      </c>
      <c r="C49" s="321" t="n">
        <v>593251.5</v>
      </c>
      <c r="D49" s="1" t="s">
        <v>41</v>
      </c>
      <c r="E49" s="33" t="n">
        <f aca="false">IF(D49="totale",(C49/(A49*24))/F49,IF(D49="marché libre",(C49/(A49*24))/G49,"spécifier histo"))</f>
        <v>0.722772295321637</v>
      </c>
      <c r="F49" s="59" t="n">
        <v>1140</v>
      </c>
      <c r="G49" s="59" t="n">
        <f aca="false">1140</f>
        <v>1140</v>
      </c>
      <c r="H49" s="59" t="n">
        <f aca="false">0</f>
        <v>0</v>
      </c>
      <c r="I49" s="9"/>
      <c r="J49" s="205"/>
      <c r="K49" s="206"/>
    </row>
    <row r="50" customFormat="false" ht="23" hidden="false" customHeight="true" outlineLevel="0" collapsed="false">
      <c r="A50" s="0" t="n">
        <v>31</v>
      </c>
      <c r="B50" s="31" t="n">
        <v>40299</v>
      </c>
      <c r="C50" s="321" t="n">
        <v>569039</v>
      </c>
      <c r="D50" s="1" t="s">
        <v>41</v>
      </c>
      <c r="E50" s="33" t="n">
        <f aca="false">IF(D50="totale",(C50/(A50*24))/F50,IF(D50="marché libre",(C50/(A50*24))/G50,"spécifier histo"))</f>
        <v>0.670909969817016</v>
      </c>
      <c r="F50" s="59" t="n">
        <v>1140</v>
      </c>
      <c r="G50" s="59" t="n">
        <f aca="false">1140</f>
        <v>1140</v>
      </c>
      <c r="H50" s="59" t="n">
        <f aca="false">0</f>
        <v>0</v>
      </c>
      <c r="I50" s="9"/>
      <c r="J50" s="205"/>
      <c r="K50" s="206"/>
    </row>
    <row r="51" customFormat="false" ht="23" hidden="false" customHeight="true" outlineLevel="0" collapsed="false">
      <c r="A51" s="0" t="n">
        <v>30</v>
      </c>
      <c r="B51" s="34" t="n">
        <v>40330</v>
      </c>
      <c r="C51" s="321" t="n">
        <v>755376</v>
      </c>
      <c r="D51" s="1" t="s">
        <v>41</v>
      </c>
      <c r="E51" s="33" t="n">
        <f aca="false">IF(D51="totale",(C51/(A51*24))/F51,IF(D51="marché libre",(C51/(A51*24))/G51,"spécifier histo"))</f>
        <v>0.920292397660819</v>
      </c>
      <c r="F51" s="59" t="n">
        <v>1140</v>
      </c>
      <c r="G51" s="59" t="n">
        <f aca="false">1140</f>
        <v>1140</v>
      </c>
      <c r="H51" s="59" t="n">
        <f aca="false">0</f>
        <v>0</v>
      </c>
      <c r="I51" s="9"/>
      <c r="J51" s="205"/>
      <c r="K51" s="206"/>
    </row>
    <row r="52" customFormat="false" ht="23" hidden="false" customHeight="true" outlineLevel="0" collapsed="false">
      <c r="A52" s="0" t="n">
        <v>31</v>
      </c>
      <c r="B52" s="31" t="n">
        <v>40360</v>
      </c>
      <c r="C52" s="321" t="n">
        <v>870152.333333333</v>
      </c>
      <c r="D52" s="1" t="s">
        <v>41</v>
      </c>
      <c r="E52" s="33" t="n">
        <f aca="false">IF(D52="totale",(C52/(A52*24))/F52,IF(D52="marché libre",(C52/(A52*24))/G52,"spécifier histo"))</f>
        <v>1.0259294629944</v>
      </c>
      <c r="F52" s="59" t="n">
        <v>1140</v>
      </c>
      <c r="G52" s="59" t="n">
        <f aca="false">1140</f>
        <v>1140</v>
      </c>
      <c r="H52" s="59" t="n">
        <f aca="false">0</f>
        <v>0</v>
      </c>
      <c r="I52" s="9"/>
      <c r="J52" s="205"/>
      <c r="K52" s="206"/>
    </row>
    <row r="53" customFormat="false" ht="23" hidden="false" customHeight="true" outlineLevel="0" collapsed="false">
      <c r="A53" s="0" t="n">
        <v>31</v>
      </c>
      <c r="B53" s="34" t="n">
        <v>40391</v>
      </c>
      <c r="C53" s="321" t="n">
        <v>663371</v>
      </c>
      <c r="D53" s="1" t="s">
        <v>41</v>
      </c>
      <c r="E53" s="33" t="n">
        <f aca="false">IF(D53="totale",(C53/(A53*24))/F53,IF(D53="marché libre",(C53/(A53*24))/G53,"spécifier histo"))</f>
        <v>0.782129551028108</v>
      </c>
      <c r="F53" s="59" t="n">
        <v>1140</v>
      </c>
      <c r="G53" s="59" t="n">
        <f aca="false">1140</f>
        <v>1140</v>
      </c>
      <c r="H53" s="59" t="n">
        <f aca="false">0</f>
        <v>0</v>
      </c>
      <c r="I53" s="9"/>
      <c r="J53" s="205"/>
      <c r="K53" s="206"/>
    </row>
    <row r="54" customFormat="false" ht="23" hidden="false" customHeight="true" outlineLevel="0" collapsed="false">
      <c r="A54" s="0" t="n">
        <v>30</v>
      </c>
      <c r="B54" s="31" t="n">
        <v>40422</v>
      </c>
      <c r="C54" s="321" t="n">
        <v>384342.166666667</v>
      </c>
      <c r="D54" s="1" t="s">
        <v>41</v>
      </c>
      <c r="E54" s="33" t="n">
        <f aca="false">IF(D54="totale",(C54/(A54*24))/F54,IF(D54="marché libre",(C54/(A54*24))/G54,"spécifier histo"))</f>
        <v>0.46825312703054</v>
      </c>
      <c r="F54" s="59" t="n">
        <v>1140</v>
      </c>
      <c r="G54" s="59" t="n">
        <f aca="false">1140</f>
        <v>1140</v>
      </c>
      <c r="H54" s="59" t="n">
        <f aca="false">0</f>
        <v>0</v>
      </c>
      <c r="I54" s="9"/>
      <c r="J54" s="205"/>
      <c r="K54" s="206"/>
    </row>
    <row r="55" customFormat="false" ht="23" hidden="false" customHeight="true" outlineLevel="0" collapsed="false">
      <c r="A55" s="0" t="n">
        <v>31</v>
      </c>
      <c r="B55" s="34" t="n">
        <v>40452</v>
      </c>
      <c r="C55" s="321" t="n">
        <v>385774</v>
      </c>
      <c r="D55" s="1" t="s">
        <v>41</v>
      </c>
      <c r="E55" s="33" t="n">
        <f aca="false">IF(D55="totale",(C55/(A55*24))/F55,IF(D55="marché libre",(C55/(A55*24))/G55,"spécifier histo"))</f>
        <v>0.454836351631768</v>
      </c>
      <c r="F55" s="59" t="n">
        <v>1140</v>
      </c>
      <c r="G55" s="59" t="n">
        <f aca="false">1140</f>
        <v>1140</v>
      </c>
      <c r="H55" s="59" t="n">
        <f aca="false">0</f>
        <v>0</v>
      </c>
      <c r="I55" s="9"/>
      <c r="J55" s="205"/>
      <c r="K55" s="206"/>
    </row>
    <row r="56" customFormat="false" ht="23" hidden="false" customHeight="true" outlineLevel="0" collapsed="false">
      <c r="A56" s="0" t="n">
        <v>30</v>
      </c>
      <c r="B56" s="31" t="n">
        <v>40483</v>
      </c>
      <c r="C56" s="321" t="n">
        <v>479028.833333333</v>
      </c>
      <c r="D56" s="1" t="s">
        <v>41</v>
      </c>
      <c r="E56" s="33" t="n">
        <f aca="false">IF(D56="totale",(C56/(A56*24))/F56,IF(D56="marché libre",(C56/(A56*24))/G56,"spécifier histo"))</f>
        <v>0.583612126380766</v>
      </c>
      <c r="F56" s="59" t="n">
        <v>1140</v>
      </c>
      <c r="G56" s="59" t="n">
        <f aca="false">1140</f>
        <v>1140</v>
      </c>
      <c r="H56" s="59" t="n">
        <f aca="false">0</f>
        <v>0</v>
      </c>
      <c r="I56" s="9"/>
      <c r="J56" s="205"/>
      <c r="K56" s="206"/>
    </row>
    <row r="57" customFormat="false" ht="23" hidden="false" customHeight="true" outlineLevel="0" collapsed="false">
      <c r="A57" s="0" t="n">
        <v>31</v>
      </c>
      <c r="B57" s="34" t="n">
        <v>40513</v>
      </c>
      <c r="C57" s="321" t="n">
        <v>283760.666666667</v>
      </c>
      <c r="D57" s="1" t="s">
        <v>41</v>
      </c>
      <c r="E57" s="33" t="n">
        <f aca="false">IF(D57="totale",(C57/(A57*24))/F57,IF(D57="marché libre",(C57/(A57*24))/G57,"spécifier histo"))</f>
        <v>0.334560303087468</v>
      </c>
      <c r="F57" s="59" t="n">
        <v>1140</v>
      </c>
      <c r="G57" s="59" t="n">
        <f aca="false">1140</f>
        <v>1140</v>
      </c>
      <c r="H57" s="59" t="n">
        <f aca="false">0</f>
        <v>0</v>
      </c>
      <c r="I57" s="9"/>
      <c r="J57" s="205"/>
      <c r="K57" s="206"/>
    </row>
    <row r="58" customFormat="false" ht="23" hidden="false" customHeight="true" outlineLevel="0" collapsed="false">
      <c r="A58" s="0" t="n">
        <v>31</v>
      </c>
      <c r="B58" s="31" t="n">
        <v>40544</v>
      </c>
      <c r="C58" s="321" t="n">
        <v>176130.150333333</v>
      </c>
      <c r="D58" s="1" t="s">
        <v>41</v>
      </c>
      <c r="E58" s="33" t="n">
        <f aca="false">IF(D58="totale",(C58/(A58*24))/F58,IF(D58="marché libre",(C58/(A58*24))/G58,"spécifier histo"))</f>
        <v>0.207661467569012</v>
      </c>
      <c r="F58" s="59" t="n">
        <v>1140</v>
      </c>
      <c r="G58" s="59" t="n">
        <f aca="false">1140</f>
        <v>1140</v>
      </c>
      <c r="H58" s="59" t="n">
        <f aca="false">0</f>
        <v>0</v>
      </c>
      <c r="I58" s="9"/>
      <c r="J58" s="205"/>
      <c r="K58" s="206"/>
    </row>
    <row r="59" customFormat="false" ht="23" hidden="false" customHeight="true" outlineLevel="0" collapsed="false">
      <c r="A59" s="0" t="n">
        <v>28</v>
      </c>
      <c r="B59" s="34" t="n">
        <v>40575</v>
      </c>
      <c r="C59" s="321" t="n">
        <v>126668.666666667</v>
      </c>
      <c r="D59" s="1" t="s">
        <v>41</v>
      </c>
      <c r="E59" s="33" t="n">
        <f aca="false">IF(D59="totale",(C59/(A59*24))/F59,IF(D59="marché libre",(C59/(A59*24))/G59,"spécifier histo"))</f>
        <v>0.165346526037316</v>
      </c>
      <c r="F59" s="59" t="n">
        <v>1140</v>
      </c>
      <c r="G59" s="59" t="n">
        <f aca="false">1140</f>
        <v>1140</v>
      </c>
      <c r="H59" s="59" t="n">
        <f aca="false">0</f>
        <v>0</v>
      </c>
      <c r="I59" s="9"/>
      <c r="J59" s="205"/>
      <c r="K59" s="206"/>
    </row>
    <row r="60" customFormat="false" ht="23" hidden="false" customHeight="true" outlineLevel="0" collapsed="false">
      <c r="A60" s="0" t="n">
        <v>31</v>
      </c>
      <c r="B60" s="31" t="n">
        <v>40603</v>
      </c>
      <c r="C60" s="321" t="n">
        <v>223366</v>
      </c>
      <c r="D60" s="1" t="s">
        <v>41</v>
      </c>
      <c r="E60" s="33" t="n">
        <f aca="false">IF(D60="totale",(C60/(A60*24))/F60,IF(D60="marché libre",(C60/(A60*24))/G60,"spécifier histo"))</f>
        <v>0.263353612525938</v>
      </c>
      <c r="F60" s="59" t="n">
        <v>1140</v>
      </c>
      <c r="G60" s="59" t="n">
        <f aca="false">1140</f>
        <v>1140</v>
      </c>
      <c r="H60" s="59" t="n">
        <f aca="false">0</f>
        <v>0</v>
      </c>
      <c r="I60" s="9"/>
      <c r="J60" s="205"/>
      <c r="K60" s="206"/>
    </row>
    <row r="61" customFormat="false" ht="23" hidden="false" customHeight="true" outlineLevel="0" collapsed="false">
      <c r="A61" s="0" t="n">
        <v>30</v>
      </c>
      <c r="B61" s="34" t="n">
        <v>40634</v>
      </c>
      <c r="C61" s="321" t="n">
        <v>920937</v>
      </c>
      <c r="D61" s="1" t="s">
        <v>41</v>
      </c>
      <c r="E61" s="33" t="n">
        <f aca="false">IF(D61="totale",(C61/(A61*24))/F61,IF(D61="marché libre",(C61/(A61*24))/G61,"spécifier histo"))</f>
        <v>1.12199926900585</v>
      </c>
      <c r="F61" s="59" t="n">
        <v>1140</v>
      </c>
      <c r="G61" s="59" t="n">
        <f aca="false">1140</f>
        <v>1140</v>
      </c>
      <c r="H61" s="59" t="n">
        <f aca="false">0</f>
        <v>0</v>
      </c>
      <c r="I61" s="9"/>
      <c r="J61" s="205"/>
      <c r="K61" s="206"/>
    </row>
    <row r="62" customFormat="false" ht="23" hidden="false" customHeight="true" outlineLevel="0" collapsed="false">
      <c r="A62" s="0" t="n">
        <v>31</v>
      </c>
      <c r="B62" s="31" t="n">
        <v>40664</v>
      </c>
      <c r="C62" s="321" t="n">
        <v>967020.833333333</v>
      </c>
      <c r="D62" s="1" t="s">
        <v>41</v>
      </c>
      <c r="E62" s="33" t="n">
        <f aca="false">IF(D62="totale",(C62/(A62*24))/F62,IF(D62="marché libre",(C62/(A62*24))/G62,"spécifier histo"))</f>
        <v>1.14013963560334</v>
      </c>
      <c r="F62" s="59" t="n">
        <v>1140</v>
      </c>
      <c r="G62" s="59" t="n">
        <f aca="false">1140</f>
        <v>1140</v>
      </c>
      <c r="H62" s="59" t="n">
        <f aca="false">0</f>
        <v>0</v>
      </c>
      <c r="I62" s="9"/>
      <c r="J62" s="205"/>
      <c r="K62" s="206"/>
    </row>
    <row r="63" customFormat="false" ht="23" hidden="false" customHeight="true" outlineLevel="0" collapsed="false">
      <c r="A63" s="0" t="n">
        <v>30</v>
      </c>
      <c r="B63" s="34" t="n">
        <v>40695</v>
      </c>
      <c r="C63" s="321" t="n">
        <v>928195.166666667</v>
      </c>
      <c r="D63" s="1" t="s">
        <v>41</v>
      </c>
      <c r="E63" s="33" t="n">
        <f aca="false">IF(D63="totale",(C63/(A63*24))/F63,IF(D63="marché libre",(C63/(A63*24))/G63,"spécifier histo"))</f>
        <v>1.13084206465237</v>
      </c>
      <c r="F63" s="59" t="n">
        <v>1140</v>
      </c>
      <c r="G63" s="59" t="n">
        <f aca="false">1140</f>
        <v>1140</v>
      </c>
      <c r="H63" s="59" t="n">
        <f aca="false">0</f>
        <v>0</v>
      </c>
      <c r="I63" s="9"/>
      <c r="J63" s="205"/>
      <c r="K63" s="206"/>
    </row>
    <row r="64" customFormat="false" ht="23" hidden="false" customHeight="true" outlineLevel="0" collapsed="false">
      <c r="A64" s="0" t="n">
        <v>31</v>
      </c>
      <c r="B64" s="31" t="n">
        <v>40725</v>
      </c>
      <c r="C64" s="321" t="n">
        <v>862204.166666667</v>
      </c>
      <c r="D64" s="1" t="s">
        <v>41</v>
      </c>
      <c r="E64" s="33" t="n">
        <f aca="false">IF(D64="totale",(C64/(A64*24))/F64,IF(D64="marché libre",(C64/(A64*24))/G64,"spécifier histo"))</f>
        <v>1.01655839307049</v>
      </c>
      <c r="F64" s="59" t="n">
        <v>1140</v>
      </c>
      <c r="G64" s="59" t="n">
        <f aca="false">1140</f>
        <v>1140</v>
      </c>
      <c r="H64" s="59" t="n">
        <f aca="false">0</f>
        <v>0</v>
      </c>
      <c r="I64" s="9"/>
      <c r="J64" s="205"/>
      <c r="K64" s="206"/>
    </row>
    <row r="65" customFormat="false" ht="23" hidden="false" customHeight="true" outlineLevel="0" collapsed="false">
      <c r="A65" s="0" t="n">
        <v>31</v>
      </c>
      <c r="B65" s="34" t="n">
        <v>40756</v>
      </c>
      <c r="C65" s="321" t="n">
        <v>562881.5</v>
      </c>
      <c r="D65" s="1" t="s">
        <v>41</v>
      </c>
      <c r="E65" s="33" t="n">
        <f aca="false">IF(D65="totale",(C65/(A65*24))/F65,IF(D65="marché libre",(C65/(A65*24))/G65,"spécifier histo"))</f>
        <v>0.663650136766648</v>
      </c>
      <c r="F65" s="59" t="n">
        <v>1140</v>
      </c>
      <c r="G65" s="59" t="n">
        <f aca="false">1140</f>
        <v>1140</v>
      </c>
      <c r="H65" s="59" t="n">
        <f aca="false">0</f>
        <v>0</v>
      </c>
      <c r="I65" s="9"/>
      <c r="J65" s="205"/>
      <c r="K65" s="206"/>
    </row>
    <row r="66" customFormat="false" ht="23" hidden="false" customHeight="true" outlineLevel="0" collapsed="false">
      <c r="A66" s="0" t="n">
        <v>30</v>
      </c>
      <c r="B66" s="31" t="n">
        <v>40787</v>
      </c>
      <c r="C66" s="321" t="n">
        <v>395758.5</v>
      </c>
      <c r="D66" s="1" t="s">
        <v>41</v>
      </c>
      <c r="E66" s="33" t="n">
        <f aca="false">IF(D66="totale",(C66/(A66*24))/F66,IF(D66="marché libre",(C66/(A66*24))/G66,"spécifier histo"))</f>
        <v>0.482161915204678</v>
      </c>
      <c r="F66" s="59" t="n">
        <v>1140</v>
      </c>
      <c r="G66" s="59" t="n">
        <f aca="false">1140</f>
        <v>1140</v>
      </c>
      <c r="H66" s="59" t="n">
        <f aca="false">0</f>
        <v>0</v>
      </c>
      <c r="I66" s="9"/>
      <c r="J66" s="205"/>
      <c r="K66" s="206"/>
    </row>
    <row r="67" customFormat="false" ht="23" hidden="false" customHeight="true" outlineLevel="0" collapsed="false">
      <c r="A67" s="0" t="n">
        <v>31</v>
      </c>
      <c r="B67" s="34" t="n">
        <v>40817</v>
      </c>
      <c r="C67" s="321" t="n">
        <v>422599.333333333</v>
      </c>
      <c r="D67" s="1" t="s">
        <v>41</v>
      </c>
      <c r="E67" s="33" t="n">
        <f aca="false">IF(D67="totale",(C67/(A67*24))/F67,IF(D67="marché libre",(C67/(A67*24))/G67,"spécifier histo"))</f>
        <v>0.498254260202477</v>
      </c>
      <c r="F67" s="59" t="n">
        <v>1140</v>
      </c>
      <c r="G67" s="59" t="n">
        <f aca="false">1140</f>
        <v>1140</v>
      </c>
      <c r="H67" s="59" t="n">
        <f aca="false">0</f>
        <v>0</v>
      </c>
      <c r="I67" s="9"/>
      <c r="J67" s="205"/>
      <c r="K67" s="206"/>
    </row>
    <row r="68" customFormat="false" ht="23" hidden="false" customHeight="true" outlineLevel="0" collapsed="false">
      <c r="A68" s="0" t="n">
        <v>30</v>
      </c>
      <c r="B68" s="31" t="n">
        <v>40848</v>
      </c>
      <c r="C68" s="321" t="n">
        <v>473327.166666667</v>
      </c>
      <c r="D68" s="1" t="s">
        <v>41</v>
      </c>
      <c r="E68" s="33" t="n">
        <f aca="false">IF(D68="totale",(C68/(A68*24))/F68,IF(D68="marché libre",(C68/(A68*24))/G68,"spécifier histo"))</f>
        <v>0.576665651397011</v>
      </c>
      <c r="F68" s="59" t="n">
        <v>1140</v>
      </c>
      <c r="G68" s="59" t="n">
        <f aca="false">1140</f>
        <v>1140</v>
      </c>
      <c r="H68" s="59" t="n">
        <f aca="false">0</f>
        <v>0</v>
      </c>
      <c r="I68" s="9"/>
      <c r="J68" s="205"/>
      <c r="K68" s="206"/>
    </row>
    <row r="69" customFormat="false" ht="23" hidden="false" customHeight="true" outlineLevel="0" collapsed="false">
      <c r="A69" s="0" t="n">
        <v>31</v>
      </c>
      <c r="B69" s="34" t="n">
        <v>40878</v>
      </c>
      <c r="C69" s="321" t="n">
        <v>343436.666666667</v>
      </c>
      <c r="D69" s="1" t="s">
        <v>41</v>
      </c>
      <c r="E69" s="33" t="n">
        <f aca="false">IF(D69="totale",(C69/(A69*24))/F69,IF(D69="marché libre",(C69/(A69*24))/G69,"spécifier histo"))</f>
        <v>0.404919669244797</v>
      </c>
      <c r="F69" s="59" t="n">
        <v>1140</v>
      </c>
      <c r="G69" s="59" t="n">
        <f aca="false">1140</f>
        <v>1140</v>
      </c>
      <c r="H69" s="59" t="n">
        <f aca="false">0</f>
        <v>0</v>
      </c>
      <c r="I69" s="9"/>
      <c r="J69" s="205"/>
      <c r="K69" s="206"/>
    </row>
    <row r="70" customFormat="false" ht="23" hidden="false" customHeight="true" outlineLevel="0" collapsed="false">
      <c r="A70" s="0" t="n">
        <v>31</v>
      </c>
      <c r="B70" s="31" t="n">
        <v>40909</v>
      </c>
      <c r="C70" s="321" t="n">
        <v>254375</v>
      </c>
      <c r="D70" s="1" t="s">
        <v>41</v>
      </c>
      <c r="E70" s="33" t="n">
        <f aca="false">IF(D70="totale",(C70/(A70*24))/F70,IF(D70="marché libre",(C70/(A70*24))/G70,"spécifier histo"))</f>
        <v>0.299913931333711</v>
      </c>
      <c r="F70" s="59" t="n">
        <v>1140</v>
      </c>
      <c r="G70" s="59" t="n">
        <f aca="false">1140</f>
        <v>1140</v>
      </c>
      <c r="H70" s="59" t="n">
        <f aca="false">0</f>
        <v>0</v>
      </c>
      <c r="I70" s="9"/>
      <c r="J70" s="205"/>
      <c r="K70" s="206"/>
    </row>
    <row r="71" customFormat="false" ht="23" hidden="false" customHeight="true" outlineLevel="0" collapsed="false">
      <c r="A71" s="0" t="n">
        <v>31</v>
      </c>
      <c r="B71" s="34" t="n">
        <v>40940</v>
      </c>
      <c r="C71" s="321" t="n">
        <v>171376.166666667</v>
      </c>
      <c r="D71" s="1" t="s">
        <v>41</v>
      </c>
      <c r="E71" s="33" t="n">
        <f aca="false">IF(D71="totale",(C71/(A71*24))/F71,IF(D71="marché libre",(C71/(A71*24))/G71,"spécifier histo"))</f>
        <v>0.202056412312143</v>
      </c>
      <c r="F71" s="59" t="n">
        <v>1140</v>
      </c>
      <c r="G71" s="59" t="n">
        <f aca="false">1140</f>
        <v>1140</v>
      </c>
      <c r="H71" s="59" t="n">
        <f aca="false">0</f>
        <v>0</v>
      </c>
      <c r="I71" s="9"/>
      <c r="J71" s="205"/>
      <c r="K71" s="206"/>
    </row>
    <row r="72" customFormat="false" ht="23" hidden="false" customHeight="true" outlineLevel="0" collapsed="false">
      <c r="A72" s="0" t="n">
        <v>30</v>
      </c>
      <c r="B72" s="31" t="n">
        <v>40969</v>
      </c>
      <c r="C72" s="321" t="n">
        <v>557799.5</v>
      </c>
      <c r="D72" s="1" t="s">
        <v>41</v>
      </c>
      <c r="E72" s="33" t="n">
        <f aca="false">IF(D72="totale",(C72/(A72*24))/F72,IF(D72="marché libre",(C72/(A72*24))/G72,"spécifier histo"))</f>
        <v>0.679580287524366</v>
      </c>
      <c r="F72" s="59" t="n">
        <v>1140</v>
      </c>
      <c r="G72" s="59" t="n">
        <f aca="false">1140</f>
        <v>1140</v>
      </c>
      <c r="H72" s="59" t="n">
        <f aca="false">0</f>
        <v>0</v>
      </c>
      <c r="I72" s="9"/>
      <c r="J72" s="205"/>
      <c r="K72" s="206"/>
    </row>
    <row r="73" customFormat="false" ht="23" hidden="false" customHeight="true" outlineLevel="0" collapsed="false">
      <c r="A73" s="0" t="n">
        <v>31</v>
      </c>
      <c r="B73" s="34" t="n">
        <v>41000</v>
      </c>
      <c r="C73" s="321" t="n">
        <v>734194.833333334</v>
      </c>
      <c r="D73" s="1" t="s">
        <v>41</v>
      </c>
      <c r="E73" s="33" t="n">
        <f aca="false">IF(D73="totale",(C73/(A73*24))/F73,IF(D73="marché libre",(C73/(A73*24))/G73,"spécifier histo"))</f>
        <v>0.865632467144565</v>
      </c>
      <c r="F73" s="59" t="n">
        <v>1140</v>
      </c>
      <c r="G73" s="59" t="n">
        <f aca="false">1140</f>
        <v>1140</v>
      </c>
      <c r="H73" s="59" t="n">
        <f aca="false">0</f>
        <v>0</v>
      </c>
      <c r="I73" s="9"/>
      <c r="J73" s="205"/>
      <c r="K73" s="206"/>
    </row>
    <row r="74" customFormat="false" ht="23" hidden="false" customHeight="true" outlineLevel="0" collapsed="false">
      <c r="A74" s="0" t="n">
        <v>30</v>
      </c>
      <c r="B74" s="31" t="n">
        <v>41030</v>
      </c>
      <c r="C74" s="321" t="n">
        <v>948033</v>
      </c>
      <c r="D74" s="1" t="s">
        <v>41</v>
      </c>
      <c r="E74" s="33" t="n">
        <f aca="false">IF(D74="totale",(C74/(A74*24))/F74,IF(D74="marché libre",(C74/(A74*24))/G74,"spécifier histo"))</f>
        <v>1.15501096491228</v>
      </c>
      <c r="F74" s="59" t="n">
        <v>1140</v>
      </c>
      <c r="G74" s="59" t="n">
        <f aca="false">1140</f>
        <v>1140</v>
      </c>
      <c r="H74" s="59" t="n">
        <f aca="false">0</f>
        <v>0</v>
      </c>
      <c r="I74" s="9"/>
      <c r="J74" s="205"/>
      <c r="K74" s="206"/>
    </row>
    <row r="75" customFormat="false" ht="23" hidden="false" customHeight="true" outlineLevel="0" collapsed="false">
      <c r="A75" s="0" t="n">
        <v>31</v>
      </c>
      <c r="B75" s="34" t="n">
        <v>41061</v>
      </c>
      <c r="C75" s="321" t="n">
        <v>919894.833333333</v>
      </c>
      <c r="D75" s="1" t="s">
        <v>41</v>
      </c>
      <c r="E75" s="33" t="n">
        <f aca="false">IF(D75="totale",(C75/(A75*24))/F75,IF(D75="marché libre",(C75/(A75*24))/G75,"spécifier histo"))</f>
        <v>1.08457700591083</v>
      </c>
      <c r="F75" s="59" t="n">
        <v>1140</v>
      </c>
      <c r="G75" s="59" t="n">
        <f aca="false">1140</f>
        <v>1140</v>
      </c>
      <c r="H75" s="59" t="n">
        <f aca="false">0</f>
        <v>0</v>
      </c>
      <c r="I75" s="9"/>
      <c r="J75" s="205"/>
      <c r="K75" s="206"/>
    </row>
    <row r="76" customFormat="false" ht="23" hidden="false" customHeight="true" outlineLevel="0" collapsed="false">
      <c r="A76" s="0" t="n">
        <v>31</v>
      </c>
      <c r="B76" s="31" t="n">
        <v>41091</v>
      </c>
      <c r="C76" s="321" t="n">
        <v>886489.166666667</v>
      </c>
      <c r="D76" s="1" t="s">
        <v>41</v>
      </c>
      <c r="E76" s="33" t="n">
        <f aca="false">IF(D76="totale",(C76/(A76*24))/F76,IF(D76="marché libre",(C76/(A76*24))/G76,"spécifier histo"))</f>
        <v>1.04519096239703</v>
      </c>
      <c r="F76" s="59" t="n">
        <v>1140</v>
      </c>
      <c r="G76" s="59" t="n">
        <f aca="false">1140</f>
        <v>1140</v>
      </c>
      <c r="H76" s="59" t="n">
        <f aca="false">0</f>
        <v>0</v>
      </c>
      <c r="I76" s="9"/>
      <c r="J76" s="205"/>
      <c r="K76" s="206"/>
    </row>
    <row r="77" customFormat="false" ht="23" hidden="false" customHeight="true" outlineLevel="0" collapsed="false">
      <c r="A77" s="0" t="n">
        <v>31</v>
      </c>
      <c r="B77" s="34" t="n">
        <v>41122</v>
      </c>
      <c r="C77" s="321" t="n">
        <v>456311.5</v>
      </c>
      <c r="D77" s="1" t="s">
        <v>41</v>
      </c>
      <c r="E77" s="33" t="n">
        <f aca="false">IF(D77="totale",(C77/(A77*24))/F77,IF(D77="marché libre",(C77/(A77*24))/G77,"spécifier histo"))</f>
        <v>0.538001674212413</v>
      </c>
      <c r="F77" s="59" t="n">
        <v>1140</v>
      </c>
      <c r="G77" s="59" t="n">
        <f aca="false">1140</f>
        <v>1140</v>
      </c>
      <c r="H77" s="59" t="n">
        <f aca="false">0</f>
        <v>0</v>
      </c>
      <c r="I77" s="9"/>
      <c r="J77" s="205"/>
      <c r="K77" s="206"/>
    </row>
    <row r="78" customFormat="false" ht="23" hidden="false" customHeight="true" outlineLevel="0" collapsed="false">
      <c r="A78" s="0" t="n">
        <v>30</v>
      </c>
      <c r="B78" s="31" t="n">
        <v>41153</v>
      </c>
      <c r="C78" s="321" t="n">
        <v>499957.5</v>
      </c>
      <c r="D78" s="1" t="s">
        <v>41</v>
      </c>
      <c r="E78" s="33" t="n">
        <f aca="false">IF(D78="totale",(C78/(A78*24))/F78,IF(D78="marché libre",(C78/(A78*24))/G78,"spécifier histo"))</f>
        <v>0.609110014619883</v>
      </c>
      <c r="F78" s="59" t="n">
        <v>1140</v>
      </c>
      <c r="G78" s="59" t="n">
        <f aca="false">1140</f>
        <v>1140</v>
      </c>
      <c r="H78" s="59" t="n">
        <f aca="false">0</f>
        <v>0</v>
      </c>
      <c r="I78" s="9"/>
      <c r="J78" s="205"/>
      <c r="K78" s="206"/>
    </row>
    <row r="79" customFormat="false" ht="23" hidden="false" customHeight="true" outlineLevel="0" collapsed="false">
      <c r="A79" s="0" t="n">
        <v>31</v>
      </c>
      <c r="B79" s="34" t="n">
        <v>41183</v>
      </c>
      <c r="C79" s="321" t="n">
        <v>485496.166666667</v>
      </c>
      <c r="D79" s="1" t="s">
        <v>41</v>
      </c>
      <c r="E79" s="33" t="n">
        <f aca="false">IF(D79="totale",(C79/(A79*24))/F79,IF(D79="marché libre",(C79/(A79*24))/G79,"spécifier histo"))</f>
        <v>0.572411062378168</v>
      </c>
      <c r="F79" s="59" t="n">
        <v>1140</v>
      </c>
      <c r="G79" s="59" t="n">
        <f aca="false">1140</f>
        <v>1140</v>
      </c>
      <c r="H79" s="59" t="n">
        <f aca="false">0</f>
        <v>0</v>
      </c>
      <c r="I79" s="9"/>
      <c r="J79" s="205"/>
      <c r="K79" s="206"/>
    </row>
    <row r="80" customFormat="false" ht="20.5" hidden="false" customHeight="true" outlineLevel="0" collapsed="false">
      <c r="A80" s="0" t="n">
        <v>30</v>
      </c>
      <c r="B80" s="31" t="n">
        <v>41214</v>
      </c>
      <c r="C80" s="321" t="n">
        <v>572326</v>
      </c>
      <c r="D80" s="1" t="s">
        <v>41</v>
      </c>
      <c r="E80" s="33" t="n">
        <f aca="false">IF(D80="totale",(C80/(A80*24))/F80,IF(D80="marché libre",(C80/(A80*24))/G80,"spécifier histo"))</f>
        <v>0.697278265107213</v>
      </c>
      <c r="F80" s="59" t="n">
        <v>1140</v>
      </c>
      <c r="G80" s="59" t="n">
        <f aca="false">1140</f>
        <v>1140</v>
      </c>
      <c r="H80" s="59" t="n">
        <f aca="false">0</f>
        <v>0</v>
      </c>
      <c r="I80" s="9"/>
      <c r="J80" s="0"/>
      <c r="K80" s="0"/>
      <c r="L80" s="0"/>
      <c r="M80" s="0"/>
      <c r="N80" s="0"/>
      <c r="O80" s="0"/>
      <c r="P80" s="0"/>
      <c r="Q80" s="0"/>
      <c r="R80" s="0"/>
      <c r="S80" s="0"/>
      <c r="T80" s="0"/>
      <c r="U80" s="0"/>
      <c r="V80" s="0"/>
    </row>
    <row r="81" customFormat="false" ht="20.5" hidden="false" customHeight="true" outlineLevel="0" collapsed="false">
      <c r="A81" s="0" t="n">
        <v>31</v>
      </c>
      <c r="B81" s="34" t="n">
        <v>41244</v>
      </c>
      <c r="C81" s="321" t="n">
        <v>403505</v>
      </c>
      <c r="D81" s="1" t="s">
        <v>41</v>
      </c>
      <c r="E81" s="33" t="n">
        <f aca="false">IF(D81="totale",(C81/(A81*24))/F81,IF(D81="marché libre",(C81/(A81*24))/G81,"spécifier histo"))</f>
        <v>0.47574160535748</v>
      </c>
      <c r="F81" s="59" t="n">
        <v>1140</v>
      </c>
      <c r="G81" s="59" t="n">
        <f aca="false">1140</f>
        <v>1140</v>
      </c>
      <c r="H81" s="59" t="n">
        <f aca="false">0</f>
        <v>0</v>
      </c>
      <c r="I81" s="9"/>
      <c r="J81" s="0"/>
      <c r="K81" s="0"/>
      <c r="L81" s="0"/>
      <c r="M81" s="0"/>
      <c r="N81" s="0"/>
      <c r="O81" s="0"/>
      <c r="P81" s="0"/>
      <c r="Q81" s="0"/>
      <c r="R81" s="0"/>
      <c r="S81" s="0"/>
      <c r="T81" s="0"/>
      <c r="U81" s="0"/>
      <c r="V81" s="0"/>
    </row>
    <row r="82" customFormat="false" ht="20.5" hidden="false" customHeight="true" outlineLevel="0" collapsed="false">
      <c r="A82" s="0" t="n">
        <v>31</v>
      </c>
      <c r="B82" s="31" t="n">
        <v>41275</v>
      </c>
      <c r="C82" s="321" t="n">
        <v>263407</v>
      </c>
      <c r="D82" s="1" t="s">
        <v>41</v>
      </c>
      <c r="E82" s="33" t="n">
        <f aca="false">IF(D82="totale",(C82/(A82*24))/F82,IF(D82="marché libre",(C82/(A82*24))/G82,"spécifier histo"))</f>
        <v>0.310562865497076</v>
      </c>
      <c r="F82" s="59" t="n">
        <v>1140</v>
      </c>
      <c r="G82" s="59" t="n">
        <f aca="false">1140</f>
        <v>1140</v>
      </c>
      <c r="H82" s="59" t="n">
        <f aca="false">0</f>
        <v>0</v>
      </c>
      <c r="I82" s="9"/>
      <c r="J82" s="0"/>
      <c r="K82" s="0"/>
      <c r="L82" s="0"/>
      <c r="M82" s="0"/>
      <c r="N82" s="0"/>
      <c r="O82" s="0"/>
      <c r="P82" s="0"/>
      <c r="Q82" s="0"/>
      <c r="R82" s="0"/>
      <c r="S82" s="0"/>
      <c r="T82" s="0"/>
      <c r="U82" s="0"/>
      <c r="V82" s="0"/>
    </row>
    <row r="83" customFormat="false" ht="20.5" hidden="false" customHeight="true" outlineLevel="0" collapsed="false">
      <c r="A83" s="0" t="n">
        <v>28</v>
      </c>
      <c r="B83" s="34" t="n">
        <v>41306</v>
      </c>
      <c r="C83" s="321" t="n">
        <v>175885</v>
      </c>
      <c r="D83" s="1" t="s">
        <v>41</v>
      </c>
      <c r="E83" s="33" t="n">
        <f aca="false">IF(D83="totale",(C83/(A83*24))/F83,IF(D83="marché libre",(C83/(A83*24))/G83,"spécifier histo"))</f>
        <v>0.229590904344194</v>
      </c>
      <c r="F83" s="59" t="n">
        <v>1140</v>
      </c>
      <c r="G83" s="59" t="n">
        <f aca="false">1140</f>
        <v>1140</v>
      </c>
      <c r="H83" s="59" t="n">
        <f aca="false">0</f>
        <v>0</v>
      </c>
      <c r="I83" s="9"/>
      <c r="J83" s="0"/>
      <c r="K83" s="0"/>
      <c r="L83" s="0"/>
      <c r="M83" s="0"/>
      <c r="N83" s="0"/>
      <c r="O83" s="0"/>
      <c r="P83" s="0"/>
      <c r="Q83" s="0"/>
      <c r="R83" s="0"/>
      <c r="S83" s="0"/>
      <c r="T83" s="0"/>
      <c r="U83" s="0"/>
      <c r="V83" s="0"/>
    </row>
    <row r="84" customFormat="false" ht="20.5" hidden="false" customHeight="true" outlineLevel="0" collapsed="false">
      <c r="A84" s="0" t="n">
        <v>31</v>
      </c>
      <c r="B84" s="31" t="n">
        <v>41334</v>
      </c>
      <c r="C84" s="321" t="n">
        <v>162417.83</v>
      </c>
      <c r="D84" s="1" t="s">
        <v>41</v>
      </c>
      <c r="E84" s="33" t="n">
        <f aca="false">IF(D84="totale",(C84/(A84*24))/F84,IF(D84="marché libre",(C84/(A84*24))/G84,"spécifier histo"))</f>
        <v>0.191494328900207</v>
      </c>
      <c r="F84" s="59" t="n">
        <v>1140</v>
      </c>
      <c r="G84" s="59" t="n">
        <f aca="false">1140</f>
        <v>1140</v>
      </c>
      <c r="H84" s="59" t="n">
        <f aca="false">0</f>
        <v>0</v>
      </c>
      <c r="I84" s="9"/>
      <c r="J84" s="0"/>
      <c r="K84" s="0"/>
      <c r="L84" s="0"/>
      <c r="M84" s="0"/>
      <c r="N84" s="0"/>
      <c r="O84" s="0"/>
      <c r="P84" s="0"/>
      <c r="Q84" s="0"/>
      <c r="R84" s="0"/>
      <c r="S84" s="0"/>
      <c r="T84" s="0"/>
      <c r="U84" s="0"/>
      <c r="V84" s="0"/>
    </row>
    <row r="85" customFormat="false" ht="20.5" hidden="false" customHeight="true" outlineLevel="0" collapsed="false">
      <c r="A85" s="0" t="n">
        <v>30</v>
      </c>
      <c r="B85" s="34" t="n">
        <v>41365</v>
      </c>
      <c r="C85" s="321" t="n">
        <v>606813</v>
      </c>
      <c r="D85" s="1" t="s">
        <v>41</v>
      </c>
      <c r="E85" s="33" t="n">
        <f aca="false">IF(D85="totale",(C85/(A85*24))/F85,IF(D85="marché libre",(C85/(A85*24))/G85,"spécifier histo"))</f>
        <v>0.739294590643275</v>
      </c>
      <c r="F85" s="59" t="n">
        <v>1140</v>
      </c>
      <c r="G85" s="59" t="n">
        <f aca="false">1140</f>
        <v>1140</v>
      </c>
      <c r="H85" s="59" t="n">
        <f aca="false">0</f>
        <v>0</v>
      </c>
      <c r="I85" s="9"/>
      <c r="J85" s="0"/>
      <c r="K85" s="0"/>
      <c r="L85" s="0"/>
      <c r="M85" s="0"/>
      <c r="N85" s="0"/>
      <c r="O85" s="0"/>
      <c r="P85" s="0"/>
      <c r="Q85" s="0"/>
      <c r="R85" s="0"/>
      <c r="S85" s="0"/>
      <c r="T85" s="0"/>
      <c r="U85" s="0"/>
      <c r="V85" s="0"/>
    </row>
    <row r="86" customFormat="false" ht="20.5" hidden="false" customHeight="true" outlineLevel="0" collapsed="false">
      <c r="A86" s="0" t="n">
        <v>31</v>
      </c>
      <c r="B86" s="31" t="n">
        <v>41395</v>
      </c>
      <c r="C86" s="321" t="n">
        <v>952074</v>
      </c>
      <c r="D86" s="1" t="s">
        <v>41</v>
      </c>
      <c r="E86" s="33" t="n">
        <f aca="false">IF(D86="totale",(C86/(A86*24))/F86,IF(D86="marché libre",(C86/(A86*24))/G86,"spécifier histo"))</f>
        <v>1.12251697792869</v>
      </c>
      <c r="F86" s="59" t="n">
        <v>1140</v>
      </c>
      <c r="G86" s="59" t="n">
        <f aca="false">1140</f>
        <v>1140</v>
      </c>
      <c r="H86" s="59" t="n">
        <f aca="false">0</f>
        <v>0</v>
      </c>
      <c r="I86" s="9"/>
      <c r="J86" s="0"/>
      <c r="K86" s="0"/>
      <c r="L86" s="0"/>
      <c r="M86" s="0"/>
      <c r="N86" s="0"/>
      <c r="O86" s="0"/>
      <c r="P86" s="0"/>
      <c r="Q86" s="0"/>
      <c r="R86" s="0"/>
      <c r="S86" s="0"/>
      <c r="T86" s="0"/>
      <c r="U86" s="0"/>
      <c r="V86" s="0"/>
    </row>
    <row r="87" customFormat="false" ht="20.5" hidden="false" customHeight="true" outlineLevel="0" collapsed="false">
      <c r="A87" s="0" t="n">
        <v>30</v>
      </c>
      <c r="B87" s="34" t="n">
        <v>41426</v>
      </c>
      <c r="C87" s="321" t="n">
        <v>919340</v>
      </c>
      <c r="D87" s="1" t="s">
        <v>41</v>
      </c>
      <c r="E87" s="33" t="n">
        <f aca="false">IF(D87="totale",(C87/(A87*24))/F87,IF(D87="marché libre",(C87/(A87*24))/G87,"spécifier histo"))</f>
        <v>1.12005360623782</v>
      </c>
      <c r="F87" s="59" t="n">
        <v>1140</v>
      </c>
      <c r="G87" s="59" t="n">
        <f aca="false">1140</f>
        <v>1140</v>
      </c>
      <c r="H87" s="59" t="n">
        <f aca="false">0</f>
        <v>0</v>
      </c>
      <c r="I87" s="9"/>
      <c r="J87" s="0"/>
      <c r="K87" s="0"/>
      <c r="L87" s="0"/>
      <c r="M87" s="0"/>
      <c r="N87" s="0"/>
      <c r="O87" s="0"/>
      <c r="P87" s="0"/>
      <c r="Q87" s="0"/>
      <c r="R87" s="0"/>
      <c r="S87" s="0"/>
      <c r="T87" s="0"/>
      <c r="U87" s="0"/>
      <c r="V87" s="0"/>
    </row>
    <row r="88" customFormat="false" ht="20.5" hidden="false" customHeight="true" outlineLevel="0" collapsed="false">
      <c r="A88" s="0" t="n">
        <v>31</v>
      </c>
      <c r="B88" s="31" t="n">
        <v>41456</v>
      </c>
      <c r="C88" s="321" t="n">
        <v>962357</v>
      </c>
      <c r="D88" s="1" t="s">
        <v>41</v>
      </c>
      <c r="E88" s="33" t="n">
        <f aca="false">IF(D88="totale",(C88/(A88*24))/F88,IF(D88="marché libre",(C88/(A88*24))/G88,"spécifier histo"))</f>
        <v>1.13464086964724</v>
      </c>
      <c r="F88" s="59" t="n">
        <v>1140</v>
      </c>
      <c r="G88" s="59" t="n">
        <f aca="false">1140</f>
        <v>1140</v>
      </c>
      <c r="H88" s="59" t="n">
        <f aca="false">0</f>
        <v>0</v>
      </c>
      <c r="I88" s="9"/>
      <c r="J88" s="0"/>
      <c r="K88" s="0"/>
      <c r="L88" s="0"/>
      <c r="M88" s="0"/>
      <c r="N88" s="0"/>
      <c r="O88" s="0"/>
      <c r="P88" s="0"/>
      <c r="Q88" s="0"/>
      <c r="R88" s="0"/>
      <c r="S88" s="0"/>
      <c r="T88" s="0"/>
      <c r="U88" s="0"/>
      <c r="V88" s="0"/>
    </row>
    <row r="89" customFormat="false" ht="20.5" hidden="false" customHeight="true" outlineLevel="0" collapsed="false">
      <c r="A89" s="0" t="n">
        <v>31</v>
      </c>
      <c r="B89" s="34" t="n">
        <v>41487</v>
      </c>
      <c r="C89" s="321" t="n">
        <v>504247</v>
      </c>
      <c r="D89" s="1" t="s">
        <v>41</v>
      </c>
      <c r="E89" s="33" t="n">
        <f aca="false">IF(D89="totale",(C89/(A89*24))/F89,IF(D89="marché libre",(C89/(A89*24))/G89,"spécifier histo"))</f>
        <v>0.594518722882475</v>
      </c>
      <c r="F89" s="59" t="n">
        <v>1140</v>
      </c>
      <c r="G89" s="59" t="n">
        <f aca="false">1140</f>
        <v>1140</v>
      </c>
      <c r="H89" s="59" t="n">
        <f aca="false">0</f>
        <v>0</v>
      </c>
      <c r="I89" s="9"/>
    </row>
    <row r="90" customFormat="false" ht="20.5" hidden="false" customHeight="true" outlineLevel="0" collapsed="false">
      <c r="A90" s="0" t="n">
        <v>30</v>
      </c>
      <c r="B90" s="31" t="n">
        <v>41518</v>
      </c>
      <c r="C90" s="321" t="n">
        <v>194335</v>
      </c>
      <c r="D90" s="1" t="s">
        <v>41</v>
      </c>
      <c r="E90" s="33" t="n">
        <f aca="false">IF(D90="totale",(C90/(A90*24))/F90,IF(D90="marché libre",(C90/(A90*24))/G90,"spécifier histo"))</f>
        <v>0.236762914230019</v>
      </c>
      <c r="F90" s="59" t="n">
        <v>1140</v>
      </c>
      <c r="G90" s="59" t="n">
        <f aca="false">1140</f>
        <v>1140</v>
      </c>
      <c r="H90" s="59" t="n">
        <f aca="false">0</f>
        <v>0</v>
      </c>
      <c r="I90" s="9"/>
      <c r="L90" s="0"/>
      <c r="M90" s="0"/>
      <c r="N90" s="0"/>
      <c r="O90" s="0"/>
      <c r="P90" s="0"/>
      <c r="Q90" s="0"/>
      <c r="R90" s="0"/>
      <c r="S90" s="0"/>
      <c r="T90" s="0"/>
      <c r="U90" s="0"/>
      <c r="V90" s="0"/>
    </row>
    <row r="91" customFormat="false" ht="20.5" hidden="false" customHeight="true" outlineLevel="0" collapsed="false">
      <c r="A91" s="0" t="n">
        <v>31</v>
      </c>
      <c r="B91" s="34" t="n">
        <v>41548</v>
      </c>
      <c r="C91" s="321" t="n">
        <v>35</v>
      </c>
      <c r="D91" s="1" t="s">
        <v>41</v>
      </c>
      <c r="E91" s="33" t="n">
        <f aca="false">IF(D91="totale",(C91/(A91*24))/F91,IF(D91="marché libre",(C91/(A91*24))/G91,"spécifier histo"))</f>
        <v>4.12657989058668E-005</v>
      </c>
      <c r="F91" s="59" t="n">
        <v>1140</v>
      </c>
      <c r="G91" s="59" t="n">
        <f aca="false">1140</f>
        <v>1140</v>
      </c>
      <c r="H91" s="59" t="n">
        <f aca="false">0</f>
        <v>0</v>
      </c>
      <c r="I91" s="9"/>
      <c r="L91" s="0"/>
      <c r="M91" s="0"/>
      <c r="N91" s="0"/>
      <c r="O91" s="0"/>
      <c r="P91" s="0"/>
      <c r="Q91" s="0"/>
      <c r="R91" s="0"/>
      <c r="S91" s="0"/>
      <c r="T91" s="0"/>
      <c r="U91" s="0"/>
      <c r="V91" s="0"/>
    </row>
    <row r="92" customFormat="false" ht="20.5" hidden="false" customHeight="true" outlineLevel="0" collapsed="false">
      <c r="A92" s="0" t="n">
        <v>30</v>
      </c>
      <c r="B92" s="31" t="n">
        <v>41579</v>
      </c>
      <c r="C92" s="321" t="n">
        <v>642787</v>
      </c>
      <c r="D92" s="1" t="s">
        <v>41</v>
      </c>
      <c r="E92" s="33" t="n">
        <f aca="false">IF(D92="totale",(C92/(A92*24))/F92,IF(D92="marché libre",(C92/(A92*24))/G92,"spécifier histo"))</f>
        <v>0.783122563352826</v>
      </c>
      <c r="F92" s="59" t="n">
        <v>1140</v>
      </c>
      <c r="G92" s="59" t="n">
        <f aca="false">1140</f>
        <v>1140</v>
      </c>
      <c r="H92" s="59" t="n">
        <f aca="false">0</f>
        <v>0</v>
      </c>
      <c r="I92" s="9"/>
      <c r="L92" s="0"/>
      <c r="M92" s="0"/>
      <c r="N92" s="0"/>
      <c r="O92" s="0"/>
      <c r="P92" s="0"/>
      <c r="Q92" s="0"/>
      <c r="R92" s="0"/>
      <c r="S92" s="0"/>
      <c r="T92" s="0"/>
      <c r="U92" s="0"/>
      <c r="V92" s="0"/>
    </row>
    <row r="93" customFormat="false" ht="20.5" hidden="false" customHeight="true" outlineLevel="0" collapsed="false">
      <c r="A93" s="0" t="n">
        <v>31</v>
      </c>
      <c r="B93" s="34" t="n">
        <v>41609</v>
      </c>
      <c r="C93" s="321" t="n">
        <v>321950</v>
      </c>
      <c r="D93" s="1" t="s">
        <v>41</v>
      </c>
      <c r="E93" s="33" t="n">
        <f aca="false">IF(D93="totale",(C93/(A93*24))/F93,IF(D93="marché libre",(C93/(A93*24))/G93,"spécifier histo"))</f>
        <v>0.379586398792681</v>
      </c>
      <c r="F93" s="59" t="n">
        <v>1140</v>
      </c>
      <c r="G93" s="59" t="n">
        <f aca="false">1140</f>
        <v>1140</v>
      </c>
      <c r="H93" s="59" t="n">
        <f aca="false">0</f>
        <v>0</v>
      </c>
      <c r="I93" s="9"/>
      <c r="L93" s="0"/>
      <c r="M93" s="0"/>
      <c r="N93" s="0"/>
      <c r="O93" s="0"/>
      <c r="P93" s="0"/>
      <c r="Q93" s="0"/>
      <c r="R93" s="0"/>
      <c r="S93" s="0"/>
      <c r="T93" s="0"/>
      <c r="U93" s="0"/>
      <c r="V93" s="0"/>
    </row>
    <row r="94" customFormat="false" ht="20.5" hidden="false" customHeight="true" outlineLevel="0" collapsed="false">
      <c r="A94" s="0" t="n">
        <v>31</v>
      </c>
      <c r="B94" s="31" t="n">
        <v>41640</v>
      </c>
      <c r="C94" s="321" t="n">
        <v>252546</v>
      </c>
      <c r="D94" s="1" t="s">
        <v>41</v>
      </c>
      <c r="E94" s="33" t="n">
        <f aca="false">IF(D94="totale",(C94/(A94*24))/F94,IF(D94="marché libre",(C94/(A94*24))/G94,"spécifier histo"))</f>
        <v>0.297757498585173</v>
      </c>
      <c r="F94" s="59" t="n">
        <v>1140</v>
      </c>
      <c r="G94" s="59" t="n">
        <f aca="false">1140</f>
        <v>1140</v>
      </c>
      <c r="H94" s="59" t="n">
        <f aca="false">0</f>
        <v>0</v>
      </c>
      <c r="I94" s="9"/>
      <c r="L94" s="0"/>
      <c r="M94" s="0"/>
      <c r="N94" s="0"/>
      <c r="O94" s="0"/>
      <c r="P94" s="0"/>
      <c r="Q94" s="0"/>
      <c r="R94" s="0"/>
      <c r="S94" s="0"/>
      <c r="T94" s="0"/>
      <c r="U94" s="0"/>
      <c r="V94" s="0"/>
    </row>
    <row r="95" customFormat="false" ht="20.5" hidden="false" customHeight="true" outlineLevel="0" collapsed="false">
      <c r="A95" s="0" t="n">
        <v>28</v>
      </c>
      <c r="B95" s="34" t="n">
        <v>41671</v>
      </c>
      <c r="C95" s="321" t="n">
        <v>130496</v>
      </c>
      <c r="D95" s="1" t="s">
        <v>41</v>
      </c>
      <c r="E95" s="33" t="n">
        <f aca="false">IF(D95="totale",(C95/(A95*24))/F95,IF(D95="marché libre",(C95/(A95*24))/G95,"spécifier histo"))</f>
        <v>0.170342522974102</v>
      </c>
      <c r="F95" s="59" t="n">
        <v>1140</v>
      </c>
      <c r="G95" s="59" t="n">
        <f aca="false">1140</f>
        <v>1140</v>
      </c>
      <c r="H95" s="59" t="n">
        <f aca="false">0</f>
        <v>0</v>
      </c>
      <c r="I95" s="9"/>
      <c r="L95" s="0"/>
      <c r="M95" s="0"/>
      <c r="N95" s="0"/>
      <c r="O95" s="0"/>
      <c r="P95" s="0"/>
      <c r="Q95" s="0"/>
      <c r="R95" s="0"/>
      <c r="S95" s="0"/>
      <c r="T95" s="0"/>
      <c r="U95" s="0"/>
      <c r="V95" s="0"/>
    </row>
    <row r="96" customFormat="false" ht="20.5" hidden="false" customHeight="true" outlineLevel="0" collapsed="false">
      <c r="A96" s="0" t="n">
        <v>31</v>
      </c>
      <c r="B96" s="31" t="n">
        <v>41699</v>
      </c>
      <c r="C96" s="321" t="n">
        <v>421485</v>
      </c>
      <c r="D96" s="1" t="s">
        <v>41</v>
      </c>
      <c r="E96" s="33" t="n">
        <f aca="false">IF(D96="totale",(C96/(A96*24))/F96,IF(D96="marché libre",(C96/(A96*24))/G96,"spécifier histo"))</f>
        <v>0.496940435766836</v>
      </c>
      <c r="F96" s="59" t="n">
        <v>1140</v>
      </c>
      <c r="G96" s="59" t="n">
        <f aca="false">1140</f>
        <v>1140</v>
      </c>
      <c r="H96" s="59" t="n">
        <f aca="false">0</f>
        <v>0</v>
      </c>
      <c r="I96" s="9"/>
      <c r="L96" s="0"/>
      <c r="M96" s="0"/>
      <c r="N96" s="0"/>
      <c r="O96" s="0"/>
      <c r="P96" s="0"/>
      <c r="Q96" s="0"/>
      <c r="R96" s="0"/>
      <c r="S96" s="0"/>
      <c r="T96" s="0"/>
      <c r="U96" s="0"/>
      <c r="V96" s="0"/>
    </row>
    <row r="97" customFormat="false" ht="20.5" hidden="false" customHeight="true" outlineLevel="0" collapsed="false">
      <c r="A97" s="0" t="n">
        <v>30</v>
      </c>
      <c r="B97" s="34" t="n">
        <v>41730</v>
      </c>
      <c r="C97" s="321" t="n">
        <v>783068</v>
      </c>
      <c r="D97" s="1" t="s">
        <v>41</v>
      </c>
      <c r="E97" s="33" t="n">
        <f aca="false">IF(D97="totale",(C97/(A97*24))/F97,IF(D97="marché libre",(C97/(A97*24))/G97,"spécifier histo"))</f>
        <v>0.954030214424951</v>
      </c>
      <c r="F97" s="59" t="n">
        <v>1140</v>
      </c>
      <c r="G97" s="59" t="n">
        <f aca="false">1140</f>
        <v>1140</v>
      </c>
      <c r="H97" s="59" t="n">
        <f aca="false">0</f>
        <v>0</v>
      </c>
      <c r="I97" s="9"/>
      <c r="L97" s="0"/>
      <c r="M97" s="0"/>
      <c r="N97" s="0"/>
      <c r="O97" s="0"/>
      <c r="P97" s="0"/>
      <c r="Q97" s="0"/>
      <c r="R97" s="0"/>
      <c r="S97" s="0"/>
      <c r="T97" s="0"/>
      <c r="U97" s="0"/>
      <c r="V97" s="0"/>
    </row>
    <row r="98" customFormat="false" ht="20.5" hidden="false" customHeight="true" outlineLevel="0" collapsed="false">
      <c r="A98" s="0" t="n">
        <v>31</v>
      </c>
      <c r="B98" s="31" t="n">
        <v>41760</v>
      </c>
      <c r="C98" s="321" t="n">
        <v>815276</v>
      </c>
      <c r="D98" s="1" t="s">
        <v>41</v>
      </c>
      <c r="E98" s="33" t="n">
        <f aca="false">IF(D98="totale",(C98/(A98*24))/F98,IF(D98="marché libre",(C98/(A98*24))/G98,"spécifier histo"))</f>
        <v>0.961229013393699</v>
      </c>
      <c r="F98" s="59" t="n">
        <v>1140</v>
      </c>
      <c r="G98" s="59" t="n">
        <f aca="false">1140</f>
        <v>1140</v>
      </c>
      <c r="H98" s="59" t="n">
        <f aca="false">0</f>
        <v>0</v>
      </c>
      <c r="I98" s="9"/>
      <c r="L98" s="0"/>
      <c r="M98" s="0"/>
      <c r="N98" s="0"/>
      <c r="O98" s="0"/>
      <c r="P98" s="0"/>
      <c r="Q98" s="0"/>
      <c r="R98" s="0"/>
      <c r="S98" s="0"/>
      <c r="T98" s="0"/>
      <c r="U98" s="0"/>
      <c r="V98" s="0"/>
    </row>
    <row r="99" customFormat="false" ht="20.5" hidden="false" customHeight="true" outlineLevel="0" collapsed="false">
      <c r="A99" s="0" t="n">
        <v>30</v>
      </c>
      <c r="B99" s="34" t="n">
        <v>41791</v>
      </c>
      <c r="C99" s="321" t="n">
        <v>789319</v>
      </c>
      <c r="D99" s="1" t="s">
        <v>41</v>
      </c>
      <c r="E99" s="33" t="n">
        <f aca="false">IF(D99="totale",(C99/(A99*24))/F99,IF(D99="marché libre",(C99/(A99*24))/G99,"spécifier histo"))</f>
        <v>0.961645955165692</v>
      </c>
      <c r="F99" s="59" t="n">
        <v>1140</v>
      </c>
      <c r="G99" s="59" t="n">
        <f aca="false">1140</f>
        <v>1140</v>
      </c>
      <c r="H99" s="59" t="n">
        <f aca="false">0</f>
        <v>0</v>
      </c>
      <c r="I99" s="9"/>
      <c r="L99" s="0"/>
      <c r="M99" s="0"/>
      <c r="N99" s="0"/>
      <c r="O99" s="0"/>
      <c r="P99" s="0"/>
      <c r="Q99" s="0"/>
      <c r="R99" s="0"/>
      <c r="S99" s="0"/>
      <c r="T99" s="0"/>
      <c r="U99" s="0"/>
      <c r="V99" s="0"/>
    </row>
    <row r="100" customFormat="false" ht="20.5" hidden="false" customHeight="true" outlineLevel="0" collapsed="false">
      <c r="A100" s="0" t="n">
        <v>31</v>
      </c>
      <c r="B100" s="31" t="n">
        <v>41821</v>
      </c>
      <c r="C100" s="321" t="n">
        <v>815065</v>
      </c>
      <c r="D100" s="1" t="s">
        <v>41</v>
      </c>
      <c r="E100" s="33" t="n">
        <f aca="false">IF(D100="totale",(C100/(A100*24))/F100,IF(D100="marché libre",(C100/(A100*24))/G100,"spécifier histo"))</f>
        <v>0.960980239577438</v>
      </c>
      <c r="F100" s="59" t="n">
        <v>1140</v>
      </c>
      <c r="G100" s="59" t="n">
        <f aca="false">1140</f>
        <v>1140</v>
      </c>
      <c r="H100" s="59" t="n">
        <f aca="false">0</f>
        <v>0</v>
      </c>
      <c r="I100" s="9"/>
      <c r="L100" s="0"/>
      <c r="M100" s="0"/>
      <c r="N100" s="0"/>
      <c r="O100" s="0"/>
      <c r="P100" s="0"/>
      <c r="Q100" s="0"/>
      <c r="R100" s="0"/>
      <c r="S100" s="0"/>
      <c r="T100" s="0"/>
      <c r="U100" s="0"/>
      <c r="V100" s="0"/>
    </row>
    <row r="101" customFormat="false" ht="20.5" hidden="false" customHeight="true" outlineLevel="0" collapsed="false">
      <c r="A101" s="0" t="n">
        <v>31</v>
      </c>
      <c r="B101" s="34" t="n">
        <v>41852</v>
      </c>
      <c r="C101" s="321" t="n">
        <v>773403</v>
      </c>
      <c r="D101" s="1" t="s">
        <v>41</v>
      </c>
      <c r="E101" s="33" t="n">
        <f aca="false">IF(D101="totale",(C101/(A101*24))/F101,IF(D101="marché libre",(C101/(A101*24))/G101,"spécifier histo"))</f>
        <v>0.911859790605546</v>
      </c>
      <c r="F101" s="59" t="n">
        <v>1140</v>
      </c>
      <c r="G101" s="59" t="n">
        <f aca="false">1140</f>
        <v>1140</v>
      </c>
      <c r="H101" s="59" t="n">
        <f aca="false">0</f>
        <v>0</v>
      </c>
      <c r="I101" s="9"/>
      <c r="L101" s="0"/>
      <c r="M101" s="0"/>
      <c r="N101" s="0"/>
      <c r="O101" s="0"/>
      <c r="P101" s="0"/>
      <c r="Q101" s="0"/>
      <c r="R101" s="0"/>
      <c r="S101" s="0"/>
      <c r="T101" s="0"/>
      <c r="U101" s="0"/>
      <c r="V101" s="0"/>
    </row>
    <row r="102" customFormat="false" ht="20.5" hidden="false" customHeight="true" outlineLevel="0" collapsed="false">
      <c r="A102" s="0" t="n">
        <v>30</v>
      </c>
      <c r="B102" s="31" t="n">
        <v>41883</v>
      </c>
      <c r="C102" s="321" t="n">
        <v>421128</v>
      </c>
      <c r="D102" s="1" t="s">
        <v>41</v>
      </c>
      <c r="E102" s="33" t="n">
        <f aca="false">IF(D102="totale",(C102/(A102*24))/F102,IF(D102="marché libre",(C102/(A102*24))/G102,"spécifier histo"))</f>
        <v>0.513070175438596</v>
      </c>
      <c r="F102" s="59" t="n">
        <v>1140</v>
      </c>
      <c r="G102" s="59" t="n">
        <f aca="false">1140</f>
        <v>1140</v>
      </c>
      <c r="H102" s="59" t="n">
        <f aca="false">0</f>
        <v>0</v>
      </c>
      <c r="I102" s="9"/>
      <c r="J102" s="205"/>
      <c r="K102" s="206"/>
      <c r="L102" s="0"/>
      <c r="Q102" s="0"/>
      <c r="T102" s="0"/>
    </row>
    <row r="103" customFormat="false" ht="20.5" hidden="false" customHeight="true" outlineLevel="0" collapsed="false">
      <c r="A103" s="0" t="n">
        <v>31</v>
      </c>
      <c r="B103" s="34" t="n">
        <v>41913</v>
      </c>
      <c r="C103" s="321" t="n">
        <v>410228</v>
      </c>
      <c r="D103" s="1" t="s">
        <v>41</v>
      </c>
      <c r="E103" s="33" t="n">
        <f aca="false">IF(D103="totale",(C103/(A103*24))/F103,IF(D103="marché libre",(C103/(A103*24))/G103,"spécifier histo"))</f>
        <v>0.483668175815884</v>
      </c>
      <c r="F103" s="59" t="n">
        <v>1140</v>
      </c>
      <c r="G103" s="59" t="n">
        <f aca="false">1140</f>
        <v>1140</v>
      </c>
      <c r="H103" s="59" t="n">
        <f aca="false">0</f>
        <v>0</v>
      </c>
      <c r="I103" s="9"/>
      <c r="J103" s="205"/>
      <c r="K103" s="206"/>
      <c r="L103" s="0"/>
      <c r="Q103" s="0"/>
      <c r="T103" s="0"/>
    </row>
    <row r="104" customFormat="false" ht="20.5" hidden="false" customHeight="true" outlineLevel="0" collapsed="false">
      <c r="A104" s="0" t="n">
        <v>30</v>
      </c>
      <c r="B104" s="31" t="n">
        <v>41944</v>
      </c>
      <c r="C104" s="321" t="n">
        <v>523762</v>
      </c>
      <c r="D104" s="1" t="s">
        <v>41</v>
      </c>
      <c r="E104" s="33" t="n">
        <f aca="false">IF(D104="totale",(C104/(A104*24))/F104,IF(D104="marché libre",(C104/(A104*24))/G104,"spécifier histo"))</f>
        <v>0.638111598440546</v>
      </c>
      <c r="F104" s="59" t="n">
        <v>1140</v>
      </c>
      <c r="G104" s="59" t="n">
        <f aca="false">1140</f>
        <v>1140</v>
      </c>
      <c r="H104" s="59" t="n">
        <f aca="false">0</f>
        <v>0</v>
      </c>
      <c r="I104" s="9"/>
      <c r="J104" s="205"/>
      <c r="K104" s="206"/>
      <c r="L104" s="0"/>
      <c r="Q104" s="0"/>
      <c r="T104" s="0"/>
    </row>
    <row r="105" customFormat="false" ht="20.5" hidden="false" customHeight="true" outlineLevel="0" collapsed="false">
      <c r="A105" s="0" t="n">
        <v>31</v>
      </c>
      <c r="B105" s="34" t="n">
        <v>41974</v>
      </c>
      <c r="C105" s="321" t="n">
        <v>440830</v>
      </c>
      <c r="D105" s="1" t="s">
        <v>41</v>
      </c>
      <c r="E105" s="33" t="n">
        <f aca="false">IF(D105="totale",(C105/(A105*24))/F105,IF(D105="marché libre",(C105/(A105*24))/G105,"spécifier histo"))</f>
        <v>0.519748632333522</v>
      </c>
      <c r="F105" s="59" t="n">
        <v>1140</v>
      </c>
      <c r="G105" s="59" t="n">
        <f aca="false">1140</f>
        <v>1140</v>
      </c>
      <c r="H105" s="59" t="n">
        <f aca="false">0</f>
        <v>0</v>
      </c>
      <c r="I105" s="9"/>
      <c r="J105" s="205"/>
      <c r="K105" s="206"/>
      <c r="L105" s="0"/>
      <c r="Q105" s="0"/>
      <c r="T105" s="0"/>
    </row>
    <row r="106" customFormat="false" ht="15.75" hidden="false" customHeight="true" outlineLevel="0" collapsed="false">
      <c r="A106" s="0" t="n">
        <v>31</v>
      </c>
      <c r="B106" s="31" t="n">
        <v>42005</v>
      </c>
      <c r="C106" s="321" t="n">
        <v>278376</v>
      </c>
      <c r="D106" s="1" t="s">
        <v>41</v>
      </c>
      <c r="E106" s="33" t="n">
        <f aca="false">IF(D106="totale",(C106/(A106*24))/F106,IF(D106="marché libre",(C106/(A106*24))/G106,"spécifier histo"))</f>
        <v>0.328211658177702</v>
      </c>
      <c r="F106" s="59" t="n">
        <v>1140</v>
      </c>
      <c r="G106" s="59" t="n">
        <f aca="false">1140</f>
        <v>1140</v>
      </c>
      <c r="H106" s="59" t="n">
        <f aca="false">0</f>
        <v>0</v>
      </c>
      <c r="I106" s="9"/>
      <c r="J106" s="205"/>
      <c r="K106" s="206"/>
      <c r="L106" s="0"/>
      <c r="Q106" s="0"/>
      <c r="T106" s="0"/>
    </row>
    <row r="107" customFormat="false" ht="15.75" hidden="false" customHeight="true" outlineLevel="0" collapsed="false">
      <c r="A107" s="0" t="n">
        <v>28</v>
      </c>
      <c r="B107" s="34" t="n">
        <v>42036</v>
      </c>
      <c r="C107" s="321" t="n">
        <v>167667</v>
      </c>
      <c r="D107" s="1" t="s">
        <v>41</v>
      </c>
      <c r="E107" s="33" t="n">
        <f aca="false">IF(D107="totale",(C107/(A107*24))/F107,IF(D107="marché libre",(C107/(A107*24))/G107,"spécifier histo"))</f>
        <v>0.218863565162907</v>
      </c>
      <c r="F107" s="59" t="n">
        <v>1140</v>
      </c>
      <c r="G107" s="59" t="n">
        <f aca="false">1140</f>
        <v>1140</v>
      </c>
      <c r="H107" s="59" t="n">
        <f aca="false">0</f>
        <v>0</v>
      </c>
      <c r="I107" s="9"/>
      <c r="J107" s="205"/>
      <c r="K107" s="206"/>
      <c r="L107" s="0"/>
      <c r="Q107" s="0"/>
      <c r="T107" s="0"/>
    </row>
    <row r="108" customFormat="false" ht="15.75" hidden="false" customHeight="true" outlineLevel="0" collapsed="false">
      <c r="A108" s="0" t="n">
        <v>31</v>
      </c>
      <c r="B108" s="31" t="n">
        <v>42064</v>
      </c>
      <c r="C108" s="321" t="n">
        <v>255777</v>
      </c>
      <c r="D108" s="1" t="s">
        <v>41</v>
      </c>
      <c r="E108" s="33" t="n">
        <f aca="false">IF(D108="totale",(C108/(A108*24))/F108,IF(D108="marché libre",(C108/(A108*24))/G108,"spécifier histo"))</f>
        <v>0.301566921335597</v>
      </c>
      <c r="F108" s="59" t="n">
        <v>1140</v>
      </c>
      <c r="G108" s="59" t="n">
        <f aca="false">1140</f>
        <v>1140</v>
      </c>
      <c r="H108" s="59" t="n">
        <f aca="false">0</f>
        <v>0</v>
      </c>
      <c r="I108" s="9"/>
      <c r="J108" s="0"/>
      <c r="K108" s="0"/>
      <c r="L108" s="0"/>
      <c r="M108" s="0"/>
      <c r="N108" s="0"/>
      <c r="O108" s="0"/>
      <c r="P108" s="0"/>
      <c r="Q108" s="0"/>
      <c r="R108" s="0"/>
      <c r="S108" s="0"/>
      <c r="T108" s="0"/>
      <c r="U108" s="0"/>
      <c r="V108" s="0"/>
      <c r="W108" s="0"/>
      <c r="X108" s="0"/>
      <c r="Y108" s="0"/>
      <c r="Z108" s="0"/>
      <c r="AA108" s="0"/>
    </row>
    <row r="109" customFormat="false" ht="15.75" hidden="false" customHeight="true" outlineLevel="0" collapsed="false">
      <c r="A109" s="0" t="n">
        <v>30</v>
      </c>
      <c r="B109" s="31" t="n">
        <v>42095</v>
      </c>
      <c r="C109" s="321" t="n">
        <v>574341</v>
      </c>
      <c r="D109" s="1" t="s">
        <v>41</v>
      </c>
      <c r="E109" s="33" t="n">
        <f aca="false">IF(D109="totale",(C109/(A109*24))/F109,IF(D109="marché libre",(C109/(A109*24))/G109,"spécifier histo"))</f>
        <v>0.699733187134503</v>
      </c>
      <c r="F109" s="59" t="n">
        <v>1140</v>
      </c>
      <c r="G109" s="59" t="n">
        <f aca="false">1140</f>
        <v>1140</v>
      </c>
      <c r="H109" s="59" t="n">
        <f aca="false">0</f>
        <v>0</v>
      </c>
      <c r="I109" s="9"/>
      <c r="J109" s="0"/>
      <c r="K109" s="0"/>
      <c r="L109" s="0"/>
      <c r="M109" s="0"/>
      <c r="N109" s="0"/>
      <c r="O109" s="0"/>
      <c r="P109" s="0"/>
      <c r="Q109" s="0"/>
      <c r="R109" s="0"/>
      <c r="S109" s="0"/>
      <c r="T109" s="0"/>
      <c r="U109" s="0"/>
      <c r="V109" s="0"/>
      <c r="W109" s="0"/>
      <c r="X109" s="0"/>
      <c r="Y109" s="0"/>
      <c r="Z109" s="0"/>
      <c r="AA109" s="0"/>
    </row>
    <row r="110" customFormat="false" ht="15.75" hidden="false" customHeight="true" outlineLevel="0" collapsed="false">
      <c r="A110" s="0" t="n">
        <v>31</v>
      </c>
      <c r="B110" s="34" t="n">
        <v>42125</v>
      </c>
      <c r="C110" s="321" t="n">
        <v>297586</v>
      </c>
      <c r="D110" s="1" t="s">
        <v>41</v>
      </c>
      <c r="E110" s="33" t="n">
        <f aca="false">IF(D110="totale",(C110/(A110*24))/F110,IF(D110="marché libre",(C110/(A110*24))/G110,"spécifier histo"))</f>
        <v>0.350860686662894</v>
      </c>
      <c r="F110" s="59" t="n">
        <v>1140</v>
      </c>
      <c r="G110" s="59" t="n">
        <f aca="false">1140</f>
        <v>1140</v>
      </c>
      <c r="H110" s="59" t="n">
        <f aca="false">0</f>
        <v>0</v>
      </c>
      <c r="I110" s="9"/>
      <c r="J110" s="0"/>
      <c r="K110" s="0"/>
      <c r="L110" s="0"/>
      <c r="M110" s="0"/>
      <c r="N110" s="0"/>
      <c r="O110" s="0"/>
      <c r="P110" s="0"/>
      <c r="Q110" s="0"/>
      <c r="R110" s="0"/>
      <c r="S110" s="0"/>
      <c r="T110" s="0"/>
      <c r="U110" s="0"/>
      <c r="V110" s="0"/>
      <c r="W110" s="0"/>
      <c r="X110" s="0"/>
      <c r="Y110" s="0"/>
      <c r="Z110" s="0"/>
      <c r="AA110" s="0"/>
    </row>
    <row r="111" customFormat="false" ht="15.75" hidden="false" customHeight="true" outlineLevel="0" collapsed="false">
      <c r="A111" s="0" t="n">
        <v>30</v>
      </c>
      <c r="B111" s="31" t="n">
        <v>42156</v>
      </c>
      <c r="C111" s="321" t="n">
        <v>467852</v>
      </c>
      <c r="D111" s="1" t="s">
        <v>41</v>
      </c>
      <c r="E111" s="33" t="n">
        <f aca="false">IF(D111="totale",(C111/(A111*24))/F111,IF(D111="marché libre",(C111/(A111*24))/G111,"spécifier histo"))</f>
        <v>0.569995126705653</v>
      </c>
      <c r="F111" s="59" t="n">
        <v>1140</v>
      </c>
      <c r="G111" s="59" t="n">
        <f aca="false">1140</f>
        <v>1140</v>
      </c>
      <c r="H111" s="59" t="n">
        <f aca="false">0</f>
        <v>0</v>
      </c>
      <c r="I111" s="9"/>
      <c r="J111" s="0"/>
      <c r="K111" s="0"/>
      <c r="L111" s="0"/>
      <c r="M111" s="0"/>
      <c r="N111" s="0"/>
      <c r="O111" s="0"/>
      <c r="P111" s="0"/>
      <c r="Q111" s="0"/>
      <c r="R111" s="0"/>
      <c r="S111" s="0"/>
      <c r="T111" s="0"/>
      <c r="U111" s="0"/>
      <c r="V111" s="0"/>
      <c r="W111" s="0"/>
      <c r="X111" s="0"/>
      <c r="Y111" s="0"/>
      <c r="Z111" s="0"/>
      <c r="AA111" s="0"/>
    </row>
    <row r="112" customFormat="false" ht="15.75" hidden="false" customHeight="true" outlineLevel="0" collapsed="false">
      <c r="A112" s="0" t="n">
        <v>31</v>
      </c>
      <c r="B112" s="31" t="n">
        <v>42186</v>
      </c>
      <c r="C112" s="321" t="n">
        <v>681901</v>
      </c>
      <c r="D112" s="1" t="s">
        <v>41</v>
      </c>
      <c r="E112" s="33" t="n">
        <f aca="false">IF(D112="totale",(C112/(A112*24))/F112,IF(D112="marché libre",(C112/(A112*24))/G112,"spécifier histo"))</f>
        <v>0.8039768439917</v>
      </c>
      <c r="F112" s="59" t="n">
        <v>1140</v>
      </c>
      <c r="G112" s="59" t="n">
        <f aca="false">1140</f>
        <v>1140</v>
      </c>
      <c r="H112" s="59" t="n">
        <f aca="false">0</f>
        <v>0</v>
      </c>
      <c r="I112" s="9"/>
      <c r="J112" s="0"/>
      <c r="K112" s="0"/>
      <c r="L112" s="0"/>
      <c r="M112" s="0"/>
      <c r="N112" s="0"/>
      <c r="O112" s="0"/>
      <c r="P112" s="0"/>
      <c r="Q112" s="0"/>
      <c r="R112" s="0"/>
      <c r="S112" s="0"/>
      <c r="T112" s="0"/>
      <c r="U112" s="0"/>
      <c r="V112" s="0"/>
      <c r="W112" s="0"/>
      <c r="X112" s="0"/>
      <c r="Y112" s="0"/>
      <c r="Z112" s="0"/>
      <c r="AA112" s="0"/>
    </row>
    <row r="113" customFormat="false" ht="15.75" hidden="false" customHeight="true" outlineLevel="0" collapsed="false">
      <c r="A113" s="0" t="n">
        <v>31</v>
      </c>
      <c r="B113" s="34" t="n">
        <v>42217</v>
      </c>
      <c r="C113" s="321" t="n">
        <v>508300</v>
      </c>
      <c r="D113" s="1" t="s">
        <v>41</v>
      </c>
      <c r="E113" s="33" t="n">
        <f aca="false">IF(D113="totale",(C113/(A113*24))/F113,IF(D113="marché libre",(C113/(A113*24))/G113,"spécifier histo"))</f>
        <v>0.599297302395774</v>
      </c>
      <c r="F113" s="59" t="n">
        <v>1140</v>
      </c>
      <c r="G113" s="59" t="n">
        <f aca="false">1140</f>
        <v>1140</v>
      </c>
      <c r="H113" s="59" t="n">
        <f aca="false">0</f>
        <v>0</v>
      </c>
      <c r="I113" s="9"/>
      <c r="J113" s="0"/>
      <c r="K113" s="0"/>
      <c r="L113" s="0"/>
      <c r="M113" s="0"/>
      <c r="N113" s="0"/>
      <c r="O113" s="0"/>
      <c r="P113" s="0"/>
      <c r="Q113" s="0"/>
      <c r="R113" s="0"/>
      <c r="S113" s="0"/>
      <c r="T113" s="0"/>
      <c r="U113" s="0"/>
      <c r="V113" s="0"/>
      <c r="W113" s="0"/>
      <c r="X113" s="0"/>
      <c r="Y113" s="0"/>
      <c r="Z113" s="0"/>
      <c r="AA113" s="0"/>
    </row>
    <row r="114" customFormat="false" ht="15.75" hidden="false" customHeight="true" outlineLevel="0" collapsed="false">
      <c r="A114" s="0" t="n">
        <v>30</v>
      </c>
      <c r="B114" s="31" t="n">
        <v>42248</v>
      </c>
      <c r="C114" s="321" t="n">
        <v>453576</v>
      </c>
      <c r="D114" s="1" t="s">
        <v>41</v>
      </c>
      <c r="E114" s="33" t="n">
        <f aca="false">IF(D114="totale",(C114/(A114*24))/F114,IF(D114="marché libre",(C114/(A114*24))/G114,"spécifier histo"))</f>
        <v>0.552602339181287</v>
      </c>
      <c r="F114" s="59" t="n">
        <v>1140</v>
      </c>
      <c r="G114" s="59" t="n">
        <f aca="false">1140</f>
        <v>1140</v>
      </c>
      <c r="H114" s="59" t="n">
        <f aca="false">0</f>
        <v>0</v>
      </c>
      <c r="I114" s="9"/>
      <c r="J114" s="0"/>
      <c r="K114" s="0"/>
      <c r="L114" s="0"/>
      <c r="M114" s="0"/>
      <c r="N114" s="0"/>
      <c r="O114" s="0"/>
      <c r="P114" s="0"/>
      <c r="Q114" s="0"/>
      <c r="R114" s="0"/>
      <c r="S114" s="0"/>
      <c r="T114" s="0"/>
      <c r="U114" s="0"/>
      <c r="V114" s="0"/>
      <c r="W114" s="0"/>
      <c r="X114" s="0"/>
      <c r="Y114" s="0"/>
      <c r="Z114" s="0"/>
      <c r="AA114" s="0"/>
    </row>
    <row r="115" customFormat="false" ht="15.75" hidden="false" customHeight="true" outlineLevel="0" collapsed="false">
      <c r="A115" s="0" t="n">
        <v>31</v>
      </c>
      <c r="B115" s="31" t="n">
        <v>42278</v>
      </c>
      <c r="C115" s="321" t="n">
        <v>629208</v>
      </c>
      <c r="D115" s="1" t="s">
        <v>41</v>
      </c>
      <c r="E115" s="33" t="n">
        <f aca="false">IF(D115="totale",(C115/(A115*24))/F115,IF(D115="marché libre",(C115/(A115*24))/G115,"spécifier histo"))</f>
        <v>0.741850594227504</v>
      </c>
      <c r="F115" s="59" t="n">
        <v>1140</v>
      </c>
      <c r="G115" s="59" t="n">
        <f aca="false">1140</f>
        <v>1140</v>
      </c>
      <c r="H115" s="59" t="n">
        <f aca="false">0</f>
        <v>0</v>
      </c>
      <c r="I115" s="9"/>
      <c r="J115" s="0"/>
      <c r="K115" s="0"/>
      <c r="L115" s="0"/>
      <c r="M115" s="0"/>
      <c r="N115" s="0"/>
      <c r="O115" s="0"/>
      <c r="P115" s="0"/>
      <c r="Q115" s="0"/>
      <c r="R115" s="0"/>
      <c r="S115" s="0"/>
      <c r="T115" s="0"/>
      <c r="U115" s="0"/>
      <c r="V115" s="0"/>
      <c r="W115" s="0"/>
      <c r="X115" s="0"/>
      <c r="Y115" s="0"/>
      <c r="Z115" s="0"/>
      <c r="AA115" s="292"/>
    </row>
    <row r="116" customFormat="false" ht="15.75" hidden="false" customHeight="true" outlineLevel="0" collapsed="false">
      <c r="A116" s="0" t="n">
        <v>30</v>
      </c>
      <c r="B116" s="34" t="n">
        <v>42309</v>
      </c>
      <c r="C116" s="321" t="n">
        <v>462919</v>
      </c>
      <c r="D116" s="1" t="s">
        <v>41</v>
      </c>
      <c r="E116" s="33" t="n">
        <f aca="false">IF(D116="totale",(C116/(A116*24))/F116,IF(D116="marché libre",(C116/(A116*24))/G116,"spécifier histo"))</f>
        <v>0.563985136452242</v>
      </c>
      <c r="F116" s="59" t="n">
        <v>1140</v>
      </c>
      <c r="G116" s="59" t="n">
        <f aca="false">1140</f>
        <v>1140</v>
      </c>
      <c r="H116" s="59" t="n">
        <f aca="false">0</f>
        <v>0</v>
      </c>
      <c r="I116" s="9"/>
      <c r="J116" s="0"/>
      <c r="K116" s="0"/>
      <c r="L116" s="0"/>
      <c r="M116" s="0"/>
      <c r="N116" s="0"/>
      <c r="O116" s="0"/>
      <c r="P116" s="0"/>
      <c r="Q116" s="0"/>
      <c r="R116" s="0"/>
      <c r="S116" s="0"/>
      <c r="T116" s="0"/>
      <c r="U116" s="0"/>
      <c r="V116" s="0"/>
      <c r="W116" s="0"/>
      <c r="X116" s="0"/>
      <c r="Y116" s="0"/>
      <c r="Z116" s="0"/>
      <c r="AA116" s="292"/>
    </row>
    <row r="117" customFormat="false" ht="15.75" hidden="false" customHeight="true" outlineLevel="0" collapsed="false">
      <c r="A117" s="0" t="n">
        <v>31</v>
      </c>
      <c r="B117" s="31" t="n">
        <v>42339</v>
      </c>
      <c r="C117" s="321" t="n">
        <v>263964</v>
      </c>
      <c r="D117" s="1" t="s">
        <v>41</v>
      </c>
      <c r="E117" s="33" t="n">
        <f aca="false">IF(D117="totale",(C117/(A117*24))/F117,IF(D117="marché libre",(C117/(A117*24))/G117,"spécifier histo"))</f>
        <v>0.311219581211092</v>
      </c>
      <c r="F117" s="59" t="n">
        <v>1140</v>
      </c>
      <c r="G117" s="59" t="n">
        <f aca="false">1140</f>
        <v>1140</v>
      </c>
      <c r="H117" s="59" t="n">
        <f aca="false">0</f>
        <v>0</v>
      </c>
      <c r="I117" s="9"/>
      <c r="J117" s="0"/>
      <c r="K117" s="0"/>
      <c r="L117" s="0"/>
      <c r="M117" s="0"/>
      <c r="N117" s="0"/>
      <c r="O117" s="0"/>
      <c r="P117" s="0"/>
      <c r="Q117" s="0"/>
      <c r="R117" s="0"/>
      <c r="S117" s="0"/>
      <c r="T117" s="0"/>
      <c r="U117" s="0"/>
      <c r="V117" s="0"/>
      <c r="W117" s="0"/>
      <c r="X117" s="0"/>
      <c r="Y117" s="0"/>
      <c r="Z117" s="0"/>
      <c r="AA117" s="292"/>
    </row>
    <row r="118" customFormat="false" ht="15.75" hidden="false" customHeight="true" outlineLevel="0" collapsed="false">
      <c r="A118" s="0" t="n">
        <v>31</v>
      </c>
      <c r="B118" s="31" t="n">
        <v>42370</v>
      </c>
      <c r="C118" s="321" t="n">
        <v>196719</v>
      </c>
      <c r="D118" s="1" t="s">
        <v>41</v>
      </c>
      <c r="E118" s="33" t="n">
        <f aca="false">IF(D118="totale",(C118/(A118*24))/F118,IF(D118="marché libre",(C118/(A118*24))/G118,"spécifier histo"))</f>
        <v>0.231936191284663</v>
      </c>
      <c r="F118" s="59" t="n">
        <v>1140</v>
      </c>
      <c r="G118" s="59" t="n">
        <f aca="false">1140</f>
        <v>1140</v>
      </c>
      <c r="H118" s="59" t="n">
        <f aca="false">0</f>
        <v>0</v>
      </c>
      <c r="I118" s="9"/>
      <c r="J118" s="0"/>
      <c r="K118" s="0"/>
      <c r="L118" s="0"/>
      <c r="M118" s="0"/>
      <c r="N118" s="0"/>
      <c r="O118" s="0"/>
      <c r="P118" s="0"/>
      <c r="Q118" s="0"/>
      <c r="R118" s="0"/>
      <c r="S118" s="0"/>
      <c r="T118" s="0"/>
      <c r="U118" s="0"/>
      <c r="V118" s="0"/>
      <c r="W118" s="0"/>
      <c r="X118" s="0"/>
      <c r="Y118" s="0"/>
      <c r="Z118" s="0"/>
      <c r="AA118" s="292"/>
    </row>
    <row r="119" customFormat="false" ht="15.75" hidden="false" customHeight="true" outlineLevel="0" collapsed="false">
      <c r="A119" s="0" t="n">
        <v>28</v>
      </c>
      <c r="B119" s="34" t="n">
        <v>42401</v>
      </c>
      <c r="C119" s="321" t="n">
        <v>215586</v>
      </c>
      <c r="D119" s="1" t="s">
        <v>41</v>
      </c>
      <c r="E119" s="33" t="n">
        <f aca="false">IF(D119="totale",(C119/(A119*24))/F119,IF(D119="marché libre",(C119/(A119*24))/G119,"spécifier histo"))</f>
        <v>0.28141447368421</v>
      </c>
      <c r="F119" s="59" t="n">
        <v>1140</v>
      </c>
      <c r="G119" s="59" t="n">
        <f aca="false">1140</f>
        <v>1140</v>
      </c>
      <c r="H119" s="59" t="n">
        <f aca="false">0</f>
        <v>0</v>
      </c>
      <c r="I119" s="9"/>
      <c r="J119" s="0"/>
      <c r="K119" s="0"/>
      <c r="L119" s="0"/>
      <c r="M119" s="0"/>
      <c r="N119" s="0"/>
      <c r="O119" s="0"/>
      <c r="P119" s="0"/>
      <c r="Q119" s="0"/>
      <c r="R119" s="0"/>
      <c r="S119" s="0"/>
      <c r="T119" s="0"/>
      <c r="U119" s="0"/>
      <c r="V119" s="0"/>
      <c r="W119" s="0"/>
      <c r="X119" s="0"/>
      <c r="Y119" s="0"/>
      <c r="Z119" s="0"/>
      <c r="AA119" s="292"/>
    </row>
    <row r="120" customFormat="false" ht="15.75" hidden="false" customHeight="true" outlineLevel="0" collapsed="false">
      <c r="A120" s="0" t="n">
        <v>31</v>
      </c>
      <c r="B120" s="31" t="n">
        <v>42430</v>
      </c>
      <c r="C120" s="321" t="n">
        <v>226180</v>
      </c>
      <c r="D120" s="1" t="s">
        <v>41</v>
      </c>
      <c r="E120" s="33" t="n">
        <f aca="false">IF(D120="totale",(C120/(A120*24))/F120,IF(D120="marché libre",(C120/(A120*24))/G120,"spécifier histo"))</f>
        <v>0.26667138275797</v>
      </c>
      <c r="F120" s="59" t="n">
        <v>1140</v>
      </c>
      <c r="G120" s="59" t="n">
        <f aca="false">1140</f>
        <v>1140</v>
      </c>
      <c r="H120" s="59" t="n">
        <f aca="false">0</f>
        <v>0</v>
      </c>
      <c r="I120" s="9"/>
      <c r="J120" s="0"/>
      <c r="K120" s="293"/>
      <c r="L120" s="0"/>
      <c r="M120" s="292"/>
      <c r="N120" s="0"/>
      <c r="O120" s="292"/>
      <c r="P120" s="292"/>
      <c r="Q120" s="0"/>
      <c r="R120" s="292"/>
      <c r="S120" s="0"/>
      <c r="T120" s="0"/>
      <c r="U120" s="292"/>
      <c r="V120" s="0"/>
      <c r="Y120" s="0"/>
    </row>
    <row r="121" customFormat="false" ht="15.75" hidden="false" customHeight="true" outlineLevel="0" collapsed="false">
      <c r="A121" s="0" t="n">
        <v>30</v>
      </c>
      <c r="B121" s="31" t="n">
        <v>42461</v>
      </c>
      <c r="C121" s="321" t="n">
        <v>765465</v>
      </c>
      <c r="D121" s="1" t="s">
        <v>41</v>
      </c>
      <c r="E121" s="33" t="n">
        <f aca="false">IF(D121="totale",(C121/(A121*24))/F121,IF(D121="marché libre",(C121/(A121*24))/G121,"spécifier histo"))</f>
        <v>0.932584064327485</v>
      </c>
      <c r="F121" s="59" t="n">
        <v>1140</v>
      </c>
      <c r="G121" s="59" t="n">
        <f aca="false">1140</f>
        <v>1140</v>
      </c>
      <c r="H121" s="59" t="n">
        <f aca="false">0</f>
        <v>0</v>
      </c>
      <c r="I121" s="9"/>
      <c r="J121" s="0"/>
      <c r="K121" s="293"/>
      <c r="L121" s="0"/>
      <c r="M121" s="292"/>
      <c r="N121" s="0"/>
      <c r="O121" s="292"/>
      <c r="P121" s="292"/>
      <c r="Q121" s="0"/>
      <c r="R121" s="292"/>
      <c r="S121" s="0"/>
      <c r="T121" s="0"/>
      <c r="U121" s="292"/>
      <c r="V121" s="0"/>
      <c r="Y121" s="0"/>
    </row>
    <row r="122" customFormat="false" ht="15.75" hidden="false" customHeight="true" outlineLevel="0" collapsed="false">
      <c r="A122" s="0" t="n">
        <v>31</v>
      </c>
      <c r="B122" s="34" t="n">
        <v>42491</v>
      </c>
      <c r="C122" s="321" t="n">
        <v>809683</v>
      </c>
      <c r="D122" s="1" t="s">
        <v>41</v>
      </c>
      <c r="E122" s="33" t="n">
        <f aca="false">IF(D122="totale",(C122/(A122*24))/F122,IF(D122="marché libre",(C122/(A122*24))/G122,"spécifier histo"))</f>
        <v>0.954634738728542</v>
      </c>
      <c r="F122" s="59" t="n">
        <v>1140</v>
      </c>
      <c r="G122" s="59" t="n">
        <f aca="false">1140</f>
        <v>1140</v>
      </c>
      <c r="H122" s="59" t="n">
        <f aca="false">0</f>
        <v>0</v>
      </c>
      <c r="I122" s="9"/>
      <c r="J122" s="0"/>
      <c r="K122" s="293"/>
      <c r="L122" s="0"/>
      <c r="M122" s="292"/>
      <c r="N122" s="0"/>
      <c r="O122" s="292"/>
      <c r="P122" s="292"/>
      <c r="Q122" s="0"/>
      <c r="R122" s="292"/>
      <c r="S122" s="0"/>
      <c r="T122" s="0"/>
      <c r="U122" s="292"/>
      <c r="V122" s="0"/>
      <c r="Y122" s="0"/>
    </row>
    <row r="123" customFormat="false" ht="15.75" hidden="false" customHeight="true" outlineLevel="0" collapsed="false">
      <c r="A123" s="0" t="n">
        <v>30</v>
      </c>
      <c r="B123" s="31" t="n">
        <v>42522</v>
      </c>
      <c r="C123" s="321" t="n">
        <v>787000</v>
      </c>
      <c r="D123" s="1" t="s">
        <v>41</v>
      </c>
      <c r="E123" s="33" t="n">
        <f aca="false">IF(D123="totale",(C123/(A123*24))/F123,IF(D123="marché libre",(C123/(A123*24))/G123,"spécifier histo"))</f>
        <v>0.958820662768031</v>
      </c>
      <c r="F123" s="59" t="n">
        <v>1140</v>
      </c>
      <c r="G123" s="59" t="n">
        <f aca="false">1140</f>
        <v>1140</v>
      </c>
      <c r="H123" s="59" t="n">
        <f aca="false">0</f>
        <v>0</v>
      </c>
      <c r="I123" s="9"/>
      <c r="J123" s="0"/>
      <c r="K123" s="293"/>
      <c r="L123" s="0"/>
      <c r="M123" s="292"/>
      <c r="N123" s="0"/>
      <c r="O123" s="292"/>
      <c r="P123" s="292"/>
      <c r="Q123" s="0"/>
      <c r="R123" s="292"/>
      <c r="S123" s="0"/>
      <c r="T123" s="0"/>
      <c r="U123" s="292"/>
      <c r="V123" s="0"/>
      <c r="Y123" s="0"/>
    </row>
    <row r="124" customFormat="false" ht="15.75" hidden="false" customHeight="true" outlineLevel="0" collapsed="false">
      <c r="A124" s="0" t="n">
        <v>31</v>
      </c>
      <c r="B124" s="31" t="n">
        <v>42552</v>
      </c>
      <c r="C124" s="321" t="n">
        <v>768827</v>
      </c>
      <c r="D124" s="1" t="s">
        <v>41</v>
      </c>
      <c r="E124" s="33" t="n">
        <f aca="false">IF(D124="totale",(C124/(A124*24))/F124,IF(D124="marché libre",(C124/(A124*24))/G124,"spécifier histo"))</f>
        <v>0.90646458215431</v>
      </c>
      <c r="F124" s="59" t="n">
        <v>1140</v>
      </c>
      <c r="G124" s="59" t="n">
        <f aca="false">1140</f>
        <v>1140</v>
      </c>
      <c r="H124" s="59" t="n">
        <f aca="false">0</f>
        <v>0</v>
      </c>
      <c r="I124" s="9"/>
      <c r="J124" s="0"/>
      <c r="K124" s="293"/>
      <c r="L124" s="0"/>
      <c r="M124" s="292"/>
      <c r="N124" s="0"/>
      <c r="O124" s="292"/>
      <c r="P124" s="292"/>
      <c r="Q124" s="0"/>
      <c r="R124" s="292"/>
      <c r="S124" s="0"/>
      <c r="T124" s="0"/>
      <c r="U124" s="292"/>
      <c r="V124" s="0"/>
      <c r="Y124" s="0"/>
    </row>
    <row r="125" customFormat="false" ht="15.75" hidden="false" customHeight="true" outlineLevel="0" collapsed="false">
      <c r="A125" s="0" t="n">
        <v>31</v>
      </c>
      <c r="B125" s="34" t="n">
        <v>42583</v>
      </c>
      <c r="C125" s="321" t="n">
        <v>489317</v>
      </c>
      <c r="D125" s="1" t="s">
        <v>41</v>
      </c>
      <c r="E125" s="33" t="n">
        <f aca="false">IF(D125="totale",(C125/(A125*24))/F125,IF(D125="marché libre",(C125/(A125*24))/G125,"spécifier histo"))</f>
        <v>0.576915912092058</v>
      </c>
      <c r="F125" s="59" t="n">
        <v>1140</v>
      </c>
      <c r="G125" s="59" t="n">
        <f aca="false">1140</f>
        <v>1140</v>
      </c>
      <c r="H125" s="59" t="n">
        <f aca="false">0</f>
        <v>0</v>
      </c>
      <c r="I125" s="9"/>
      <c r="J125" s="0"/>
      <c r="K125" s="293"/>
      <c r="L125" s="0"/>
      <c r="M125" s="292"/>
      <c r="N125" s="0"/>
      <c r="O125" s="292"/>
      <c r="P125" s="292"/>
      <c r="Q125" s="0"/>
      <c r="R125" s="292"/>
      <c r="S125" s="0"/>
      <c r="T125" s="0"/>
      <c r="U125" s="292"/>
      <c r="V125" s="0"/>
      <c r="Y125" s="0"/>
    </row>
    <row r="126" customFormat="false" ht="15.75" hidden="false" customHeight="true" outlineLevel="0" collapsed="false">
      <c r="A126" s="0" t="n">
        <v>30</v>
      </c>
      <c r="B126" s="31" t="n">
        <v>42614</v>
      </c>
      <c r="C126" s="321" t="n">
        <v>337999</v>
      </c>
      <c r="D126" s="1" t="s">
        <v>41</v>
      </c>
      <c r="E126" s="33" t="n">
        <f aca="false">IF(D126="totale",(C126/(A126*24))/F126,IF(D126="marché libre",(C126/(A126*24))/G126,"spécifier histo"))</f>
        <v>0.411792153996101</v>
      </c>
      <c r="F126" s="59" t="n">
        <v>1140</v>
      </c>
      <c r="G126" s="59" t="n">
        <f aca="false">1140</f>
        <v>1140</v>
      </c>
      <c r="H126" s="59" t="n">
        <f aca="false">0</f>
        <v>0</v>
      </c>
      <c r="I126" s="9"/>
      <c r="J126" s="0"/>
      <c r="K126" s="206"/>
      <c r="L126" s="0"/>
      <c r="N126" s="0"/>
      <c r="Q126" s="0"/>
      <c r="S126" s="0"/>
      <c r="V126" s="0"/>
      <c r="Y126" s="0"/>
    </row>
    <row r="127" customFormat="false" ht="15.75" hidden="false" customHeight="true" outlineLevel="0" collapsed="false">
      <c r="A127" s="0" t="n">
        <v>31</v>
      </c>
      <c r="B127" s="31" t="n">
        <v>42644</v>
      </c>
      <c r="C127" s="321" t="n">
        <v>358489</v>
      </c>
      <c r="D127" s="1" t="s">
        <v>41</v>
      </c>
      <c r="E127" s="33" t="n">
        <f aca="false">IF(D127="totale",(C127/(A127*24))/F127,IF(D127="marché libre",(C127/(A127*24))/G127,"spécifier histo"))</f>
        <v>0.42266671382758</v>
      </c>
      <c r="F127" s="59" t="n">
        <v>1140</v>
      </c>
      <c r="G127" s="59" t="n">
        <f aca="false">1140</f>
        <v>1140</v>
      </c>
      <c r="H127" s="59" t="n">
        <f aca="false">0</f>
        <v>0</v>
      </c>
      <c r="I127" s="9"/>
      <c r="J127" s="0"/>
      <c r="K127" s="206"/>
      <c r="L127" s="0"/>
      <c r="N127" s="0"/>
      <c r="Q127" s="0"/>
      <c r="S127" s="0"/>
      <c r="V127" s="0"/>
      <c r="Y127" s="0"/>
    </row>
    <row r="128" customFormat="false" ht="15.75" hidden="false" customHeight="true" outlineLevel="0" collapsed="false">
      <c r="A128" s="0" t="n">
        <v>30</v>
      </c>
      <c r="B128" s="34" t="n">
        <v>42675</v>
      </c>
      <c r="C128" s="321" t="n">
        <v>544699</v>
      </c>
      <c r="D128" s="1" t="s">
        <v>41</v>
      </c>
      <c r="E128" s="33" t="n">
        <f aca="false">IF(D128="totale",(C128/(A128*24))/F128,IF(D128="marché libre",(C128/(A128*24))/G128,"spécifier histo"))</f>
        <v>0.663619639376218</v>
      </c>
      <c r="F128" s="59" t="n">
        <v>1140</v>
      </c>
      <c r="G128" s="59" t="n">
        <f aca="false">1140</f>
        <v>1140</v>
      </c>
      <c r="H128" s="59" t="n">
        <f aca="false">0</f>
        <v>0</v>
      </c>
      <c r="I128" s="9"/>
      <c r="J128" s="0"/>
      <c r="K128" s="206"/>
      <c r="L128" s="0"/>
      <c r="N128" s="0"/>
      <c r="Q128" s="0"/>
      <c r="S128" s="0"/>
      <c r="V128" s="0"/>
      <c r="Y128" s="0"/>
    </row>
    <row r="129" customFormat="false" ht="15.75" hidden="false" customHeight="true" outlineLevel="0" collapsed="false">
      <c r="A129" s="0" t="n">
        <v>31</v>
      </c>
      <c r="B129" s="31" t="n">
        <v>42705</v>
      </c>
      <c r="C129" s="321" t="n">
        <v>310536</v>
      </c>
      <c r="D129" s="1" t="s">
        <v>41</v>
      </c>
      <c r="E129" s="33" t="n">
        <f aca="false">IF(D129="totale",(C129/(A129*24))/F129,IF(D129="marché libre",(C129/(A129*24))/G129,"spécifier histo"))</f>
        <v>0.366129032258064</v>
      </c>
      <c r="F129" s="59" t="n">
        <v>1140</v>
      </c>
      <c r="G129" s="59" t="n">
        <f aca="false">1140</f>
        <v>1140</v>
      </c>
      <c r="H129" s="59" t="n">
        <f aca="false">0</f>
        <v>0</v>
      </c>
      <c r="I129" s="9"/>
      <c r="J129" s="0"/>
      <c r="K129" s="206"/>
      <c r="L129" s="0"/>
      <c r="N129" s="0"/>
      <c r="Q129" s="0"/>
      <c r="S129" s="0"/>
      <c r="V129" s="0"/>
      <c r="Y129" s="0"/>
    </row>
    <row r="130" customFormat="false" ht="15.75" hidden="false" customHeight="true" outlineLevel="0" collapsed="false">
      <c r="A130" s="0" t="n">
        <v>31</v>
      </c>
      <c r="B130" s="31" t="n">
        <v>42736</v>
      </c>
      <c r="C130" s="321" t="n">
        <v>184864</v>
      </c>
      <c r="D130" s="1" t="s">
        <v>41</v>
      </c>
      <c r="E130" s="33" t="n">
        <f aca="false">IF(D130="totale",(C130/(A130*24))/F130,IF(D130="marché libre",(C130/(A130*24))/G130,"spécifier histo"))</f>
        <v>0.217958875683833</v>
      </c>
      <c r="F130" s="59" t="n">
        <v>1140</v>
      </c>
      <c r="G130" s="59" t="n">
        <f aca="false">1140</f>
        <v>1140</v>
      </c>
      <c r="H130" s="59" t="n">
        <f aca="false">0</f>
        <v>0</v>
      </c>
      <c r="J130" s="0"/>
      <c r="K130" s="206"/>
      <c r="L130" s="0"/>
      <c r="N130" s="0"/>
      <c r="Q130" s="0"/>
      <c r="S130" s="0"/>
      <c r="V130" s="0"/>
      <c r="Y130" s="0"/>
    </row>
    <row r="131" customFormat="false" ht="15.75" hidden="false" customHeight="true" outlineLevel="0" collapsed="false">
      <c r="A131" s="0" t="n">
        <v>31</v>
      </c>
      <c r="B131" s="34" t="n">
        <v>42767</v>
      </c>
      <c r="C131" s="321" t="n">
        <v>124952</v>
      </c>
      <c r="D131" s="1" t="s">
        <v>41</v>
      </c>
      <c r="E131" s="33" t="n">
        <f aca="false">IF(D131="totale",(C131/(A131*24))/F131,IF(D131="marché libre",(C131/(A131*24))/G131,"spécifier histo"))</f>
        <v>0.147321260139596</v>
      </c>
      <c r="F131" s="59" t="n">
        <v>1140</v>
      </c>
      <c r="G131" s="59" t="n">
        <f aca="false">1140</f>
        <v>1140</v>
      </c>
      <c r="H131" s="59" t="n">
        <f aca="false">0</f>
        <v>0</v>
      </c>
      <c r="I131" s="206"/>
      <c r="J131" s="0"/>
      <c r="K131" s="206"/>
      <c r="L131" s="0"/>
      <c r="M131" s="206"/>
      <c r="N131" s="0"/>
      <c r="Q131" s="0"/>
      <c r="S131" s="0"/>
      <c r="V131" s="0"/>
      <c r="Y131" s="0"/>
    </row>
    <row r="132" customFormat="false" ht="15.75" hidden="false" customHeight="true" outlineLevel="0" collapsed="false">
      <c r="A132" s="0" t="n">
        <v>30</v>
      </c>
      <c r="B132" s="31" t="n">
        <v>42795</v>
      </c>
      <c r="C132" s="321" t="n">
        <v>382807</v>
      </c>
      <c r="D132" s="1" t="s">
        <v>41</v>
      </c>
      <c r="E132" s="33" t="n">
        <f aca="false">IF(D132="totale",(C132/(A132*24))/F132,IF(D132="marché libre",(C132/(A132*24))/G132,"spécifier histo"))</f>
        <v>0.466382797270955</v>
      </c>
      <c r="F132" s="59" t="n">
        <v>1140</v>
      </c>
      <c r="G132" s="59" t="n">
        <f aca="false">1140</f>
        <v>1140</v>
      </c>
      <c r="H132" s="59" t="n">
        <f aca="false">0</f>
        <v>0</v>
      </c>
      <c r="J132" s="0"/>
      <c r="K132" s="206"/>
      <c r="L132" s="0"/>
      <c r="N132" s="0"/>
      <c r="Q132" s="0"/>
      <c r="S132" s="0"/>
      <c r="V132" s="0"/>
      <c r="Y132" s="0"/>
    </row>
    <row r="133" customFormat="false" ht="19.85" hidden="false" customHeight="true" outlineLevel="0" collapsed="false">
      <c r="A133" s="0" t="n">
        <v>31</v>
      </c>
      <c r="B133" s="34" t="n">
        <v>42826</v>
      </c>
      <c r="C133" s="321" t="n">
        <v>771084</v>
      </c>
      <c r="D133" s="1" t="s">
        <v>41</v>
      </c>
      <c r="E133" s="33" t="n">
        <f aca="false">IF(D133="totale",(C133/(A133*24))/F133,IF(D133="marché libre",(C133/(A133*24))/G133,"spécifier histo"))</f>
        <v>0.909125636672326</v>
      </c>
      <c r="F133" s="59" t="n">
        <v>1140</v>
      </c>
      <c r="G133" s="59" t="n">
        <f aca="false">1140</f>
        <v>1140</v>
      </c>
      <c r="H133" s="59" t="n">
        <f aca="false">0</f>
        <v>0</v>
      </c>
      <c r="J133" s="0"/>
      <c r="K133" s="206"/>
      <c r="L133" s="0"/>
      <c r="N133" s="0"/>
      <c r="Q133" s="0"/>
      <c r="S133" s="0"/>
      <c r="V133" s="0"/>
      <c r="Y133" s="0"/>
    </row>
    <row r="134" customFormat="false" ht="19.85" hidden="false" customHeight="true" outlineLevel="0" collapsed="false">
      <c r="A134" s="0" t="n">
        <v>30</v>
      </c>
      <c r="B134" s="31" t="n">
        <v>42856</v>
      </c>
      <c r="C134" s="321" t="n">
        <v>774405</v>
      </c>
      <c r="D134" s="1" t="s">
        <v>41</v>
      </c>
      <c r="E134" s="33" t="n">
        <f aca="false">IF(D134="totale",(C134/(A134*24))/F134,IF(D134="marché libre",(C134/(A134*24))/G134,"spécifier histo"))</f>
        <v>0.943475877192982</v>
      </c>
      <c r="F134" s="59" t="n">
        <v>1140</v>
      </c>
      <c r="G134" s="59" t="n">
        <f aca="false">1140</f>
        <v>1140</v>
      </c>
      <c r="H134" s="59" t="n">
        <f aca="false">0</f>
        <v>0</v>
      </c>
      <c r="J134" s="0"/>
      <c r="K134" s="206"/>
      <c r="L134" s="0"/>
      <c r="N134" s="0"/>
      <c r="Q134" s="0"/>
      <c r="S134" s="0"/>
      <c r="V134" s="0"/>
      <c r="Y134" s="0"/>
    </row>
    <row r="135" customFormat="false" ht="22.45" hidden="false" customHeight="true" outlineLevel="0" collapsed="false">
      <c r="A135" s="0" t="n">
        <v>31</v>
      </c>
      <c r="B135" s="34" t="n">
        <v>42887</v>
      </c>
      <c r="C135" s="321" t="n">
        <v>783856</v>
      </c>
      <c r="D135" s="1" t="s">
        <v>41</v>
      </c>
      <c r="E135" s="33" t="n">
        <f aca="false">IF(D135="totale",(C135/(A135*24))/F135,IF(D135="marché libre",(C135/(A135*24))/G135,"spécifier histo"))</f>
        <v>0.92418411620449</v>
      </c>
      <c r="F135" s="59" t="n">
        <v>1140</v>
      </c>
      <c r="G135" s="59" t="n">
        <f aca="false">1140</f>
        <v>1140</v>
      </c>
      <c r="H135" s="59" t="n">
        <f aca="false">0</f>
        <v>0</v>
      </c>
      <c r="J135" s="0"/>
      <c r="K135" s="206"/>
      <c r="L135" s="0"/>
      <c r="N135" s="0"/>
      <c r="Q135" s="0"/>
      <c r="S135" s="0"/>
      <c r="V135" s="0"/>
      <c r="Y135" s="0"/>
    </row>
    <row r="136" customFormat="false" ht="21.65" hidden="false" customHeight="true" outlineLevel="0" collapsed="false">
      <c r="A136" s="0" t="n">
        <v>31</v>
      </c>
      <c r="B136" s="31" t="n">
        <v>42917</v>
      </c>
      <c r="C136" s="321" t="n">
        <v>757349</v>
      </c>
      <c r="D136" s="1" t="s">
        <v>41</v>
      </c>
      <c r="E136" s="33" t="n">
        <f aca="false">IF(D136="totale",(C136/(A136*24))/F136,IF(D136="marché libre",(C136/(A136*24))/G136,"spécifier histo"))</f>
        <v>0.892931758158838</v>
      </c>
      <c r="F136" s="59" t="n">
        <v>1140</v>
      </c>
      <c r="G136" s="59" t="n">
        <f aca="false">1140</f>
        <v>1140</v>
      </c>
      <c r="H136" s="59" t="n">
        <f aca="false">0</f>
        <v>0</v>
      </c>
      <c r="J136" s="0"/>
      <c r="K136" s="206"/>
      <c r="L136" s="0"/>
      <c r="N136" s="0"/>
      <c r="Q136" s="0"/>
      <c r="S136" s="0"/>
      <c r="V136" s="0"/>
      <c r="Y136" s="0"/>
    </row>
    <row r="137" customFormat="false" ht="21.65" hidden="false" customHeight="true" outlineLevel="0" collapsed="false">
      <c r="A137" s="0" t="n">
        <v>31</v>
      </c>
      <c r="B137" s="34" t="n">
        <v>42948</v>
      </c>
      <c r="C137" s="321" t="n">
        <v>415707</v>
      </c>
      <c r="D137" s="1" t="s">
        <v>41</v>
      </c>
      <c r="E137" s="33" t="n">
        <f aca="false">IF(D137="totale",(C137/(A137*24))/F137,IF(D137="marché libre",(C137/(A137*24))/G137,"spécifier histo"))</f>
        <v>0.490128041878891</v>
      </c>
      <c r="F137" s="59" t="n">
        <v>1140</v>
      </c>
      <c r="G137" s="59" t="n">
        <f aca="false">1140</f>
        <v>1140</v>
      </c>
      <c r="H137" s="59" t="n">
        <f aca="false">0</f>
        <v>0</v>
      </c>
      <c r="J137" s="0"/>
      <c r="K137" s="206"/>
      <c r="L137" s="0"/>
      <c r="N137" s="0"/>
      <c r="Q137" s="0"/>
      <c r="S137" s="0"/>
      <c r="V137" s="0"/>
      <c r="Y137" s="0"/>
    </row>
    <row r="138" customFormat="false" ht="21.65" hidden="false" customHeight="true" outlineLevel="0" collapsed="false">
      <c r="A138" s="0" t="n">
        <v>30</v>
      </c>
      <c r="B138" s="31" t="n">
        <v>42979</v>
      </c>
      <c r="C138" s="321" t="n">
        <v>229429</v>
      </c>
      <c r="D138" s="1" t="s">
        <v>41</v>
      </c>
      <c r="E138" s="33" t="n">
        <f aca="false">IF(D138="totale",(C138/(A138*24))/F138,IF(D138="marché libre",(C138/(A138*24))/G138,"spécifier histo"))</f>
        <v>0.279518762183236</v>
      </c>
      <c r="F138" s="59" t="n">
        <v>1140</v>
      </c>
      <c r="G138" s="59" t="n">
        <f aca="false">1140</f>
        <v>1140</v>
      </c>
      <c r="H138" s="59" t="n">
        <f aca="false">0</f>
        <v>0</v>
      </c>
      <c r="J138" s="0"/>
      <c r="K138" s="206"/>
      <c r="L138" s="0"/>
      <c r="N138" s="0"/>
      <c r="Q138" s="0"/>
      <c r="S138" s="0"/>
      <c r="V138" s="0"/>
      <c r="Y138" s="0"/>
    </row>
    <row r="139" customFormat="false" ht="21.65" hidden="false" customHeight="true" outlineLevel="0" collapsed="false">
      <c r="A139" s="0" t="n">
        <v>31</v>
      </c>
      <c r="B139" s="34" t="n">
        <v>43009</v>
      </c>
      <c r="C139" s="321" t="n">
        <v>168368</v>
      </c>
      <c r="D139" s="1" t="s">
        <v>41</v>
      </c>
      <c r="E139" s="33" t="n">
        <f aca="false">IF(D139="totale",(C139/(A139*24))/F139,IF(D139="marché libre",(C139/(A139*24))/G139,"spécifier histo"))</f>
        <v>0.198509715148085</v>
      </c>
      <c r="F139" s="59" t="n">
        <v>1140</v>
      </c>
      <c r="G139" s="59" t="n">
        <f aca="false">1140</f>
        <v>1140</v>
      </c>
      <c r="H139" s="59" t="n">
        <f aca="false">0</f>
        <v>0</v>
      </c>
      <c r="J139" s="0"/>
      <c r="K139" s="206"/>
      <c r="L139" s="0"/>
      <c r="N139" s="0"/>
      <c r="Q139" s="0"/>
      <c r="S139" s="0"/>
      <c r="V139" s="0"/>
      <c r="Y139" s="0"/>
    </row>
    <row r="140" customFormat="false" ht="21.65" hidden="false" customHeight="true" outlineLevel="0" collapsed="false">
      <c r="A140" s="0" t="n">
        <v>30</v>
      </c>
      <c r="B140" s="31" t="n">
        <v>43040</v>
      </c>
      <c r="C140" s="321" t="n">
        <v>152100</v>
      </c>
      <c r="D140" s="1" t="s">
        <v>41</v>
      </c>
      <c r="E140" s="33" t="n">
        <f aca="false">IF(D140="totale",(C140/(A140*24))/F140,IF(D140="marché libre",(C140/(A140*24))/G140,"spécifier histo"))</f>
        <v>0.18530701754386</v>
      </c>
      <c r="F140" s="59" t="n">
        <v>1140</v>
      </c>
      <c r="G140" s="59" t="n">
        <f aca="false">1140</f>
        <v>1140</v>
      </c>
      <c r="H140" s="59" t="n">
        <f aca="false">0</f>
        <v>0</v>
      </c>
      <c r="J140" s="0"/>
      <c r="K140" s="206"/>
      <c r="L140" s="0"/>
      <c r="N140" s="0"/>
      <c r="Q140" s="0"/>
      <c r="S140" s="0"/>
      <c r="V140" s="0"/>
    </row>
    <row r="141" customFormat="false" ht="21.65" hidden="false" customHeight="true" outlineLevel="0" collapsed="false">
      <c r="A141" s="0" t="n">
        <v>31</v>
      </c>
      <c r="B141" s="34" t="n">
        <v>43070</v>
      </c>
      <c r="C141" s="321" t="n">
        <v>91514</v>
      </c>
      <c r="D141" s="1" t="s">
        <v>41</v>
      </c>
      <c r="E141" s="33" t="n">
        <f aca="false">IF(D141="totale",(C141/(A141*24))/F141,IF(D141="marché libre",(C141/(A141*24))/G141,"spécifier histo"))</f>
        <v>0.107897094887757</v>
      </c>
      <c r="F141" s="59" t="n">
        <v>1140</v>
      </c>
      <c r="G141" s="59" t="n">
        <f aca="false">1140</f>
        <v>1140</v>
      </c>
      <c r="H141" s="59" t="n">
        <f aca="false">0</f>
        <v>0</v>
      </c>
      <c r="J141" s="0"/>
      <c r="K141" s="206"/>
      <c r="L141" s="0"/>
      <c r="N141" s="0"/>
      <c r="Q141" s="0"/>
      <c r="S141" s="0"/>
      <c r="V141" s="0"/>
    </row>
    <row r="142" customFormat="false" ht="28.35" hidden="false" customHeight="true" outlineLevel="0" collapsed="false">
      <c r="A142" s="0" t="n">
        <v>31</v>
      </c>
      <c r="B142" s="31" t="n">
        <v>43101</v>
      </c>
      <c r="C142" s="321" t="n">
        <v>109500</v>
      </c>
      <c r="D142" s="1" t="s">
        <v>41</v>
      </c>
      <c r="E142" s="33" t="n">
        <f aca="false">IF(D142="totale",(C142/(A142*24))/F142,IF(D142="marché libre",(C142/(A142*24))/G142,"spécifier histo"))</f>
        <v>0.129102999434069</v>
      </c>
      <c r="F142" s="59" t="n">
        <v>1140</v>
      </c>
      <c r="G142" s="59" t="n">
        <f aca="false">1140</f>
        <v>1140</v>
      </c>
      <c r="H142" s="59" t="n">
        <f aca="false">0</f>
        <v>0</v>
      </c>
      <c r="J142" s="0"/>
      <c r="K142" s="206"/>
      <c r="L142" s="0"/>
      <c r="N142" s="0"/>
      <c r="Q142" s="0"/>
      <c r="S142" s="0"/>
      <c r="V142" s="0"/>
    </row>
    <row r="143" customFormat="false" ht="28.35" hidden="false" customHeight="true" outlineLevel="0" collapsed="false">
      <c r="A143" s="0" t="n">
        <v>28</v>
      </c>
      <c r="B143" s="34" t="n">
        <v>43132</v>
      </c>
      <c r="C143" s="321" t="n">
        <v>61955</v>
      </c>
      <c r="D143" s="1" t="s">
        <v>41</v>
      </c>
      <c r="E143" s="33" t="n">
        <f aca="false">IF(D143="totale",(C143/(A143*24))/F143,IF(D143="marché libre",(C143/(A143*24))/G143,"spécifier histo"))</f>
        <v>0.0808727548036759</v>
      </c>
      <c r="F143" s="59" t="n">
        <v>1140</v>
      </c>
      <c r="G143" s="59" t="n">
        <f aca="false">1140</f>
        <v>1140</v>
      </c>
      <c r="H143" s="59" t="n">
        <f aca="false">0</f>
        <v>0</v>
      </c>
      <c r="J143" s="0"/>
      <c r="K143" s="206"/>
      <c r="L143" s="0"/>
      <c r="N143" s="0"/>
      <c r="Q143" s="0"/>
      <c r="S143" s="0"/>
      <c r="V143" s="0"/>
    </row>
    <row r="144" customFormat="false" ht="28.35" hidden="false" customHeight="true" outlineLevel="0" collapsed="false">
      <c r="A144" s="0" t="n">
        <v>31</v>
      </c>
      <c r="B144" s="31" t="n">
        <v>43160</v>
      </c>
      <c r="C144" s="321" t="n">
        <v>52213</v>
      </c>
      <c r="D144" s="1" t="s">
        <v>41</v>
      </c>
      <c r="E144" s="33" t="n">
        <f aca="false">IF(D144="totale",(C144/(A144*24))/F144,IF(D144="marché libre",(C144/(A144*24))/G144,"spécifier histo"))</f>
        <v>0.0615603188077721</v>
      </c>
      <c r="F144" s="59" t="n">
        <v>1140</v>
      </c>
      <c r="G144" s="59" t="n">
        <f aca="false">1140</f>
        <v>1140</v>
      </c>
      <c r="H144" s="59" t="n">
        <f aca="false">0</f>
        <v>0</v>
      </c>
      <c r="J144" s="0"/>
      <c r="K144" s="206"/>
      <c r="L144" s="0"/>
      <c r="Q144" s="0"/>
      <c r="S144" s="0"/>
      <c r="V144" s="0"/>
    </row>
    <row r="145" customFormat="false" ht="28.35" hidden="false" customHeight="true" outlineLevel="0" collapsed="false">
      <c r="A145" s="0" t="n">
        <v>30</v>
      </c>
      <c r="B145" s="34" t="n">
        <v>43191</v>
      </c>
      <c r="C145" s="321" t="n">
        <v>462001</v>
      </c>
      <c r="D145" s="1" t="s">
        <v>41</v>
      </c>
      <c r="E145" s="33" t="n">
        <f aca="false">IF(D145="totale",(C145/(A145*24))/F145,IF(D145="marché libre",(C145/(A145*24))/G145,"spécifier histo"))</f>
        <v>0.56286671539961</v>
      </c>
      <c r="F145" s="59" t="n">
        <v>1140</v>
      </c>
      <c r="G145" s="59" t="n">
        <f aca="false">1140</f>
        <v>1140</v>
      </c>
      <c r="H145" s="59" t="n">
        <f aca="false">0</f>
        <v>0</v>
      </c>
      <c r="J145" s="0"/>
      <c r="K145" s="206"/>
      <c r="L145" s="0"/>
      <c r="Q145" s="0"/>
      <c r="S145" s="0"/>
    </row>
    <row r="146" customFormat="false" ht="28.35" hidden="false" customHeight="true" outlineLevel="0" collapsed="false">
      <c r="A146" s="0" t="n">
        <v>31</v>
      </c>
      <c r="B146" s="31" t="n">
        <v>43221</v>
      </c>
      <c r="C146" s="321" t="n">
        <v>810546</v>
      </c>
      <c r="D146" s="1" t="s">
        <v>41</v>
      </c>
      <c r="E146" s="33" t="n">
        <f aca="false">IF(D146="totale",(C146/(A146*24))/F146,IF(D146="marché libre",(C146/(A146*24))/G146,"spécifier histo"))</f>
        <v>0.955652235427278</v>
      </c>
      <c r="F146" s="59" t="n">
        <v>1140</v>
      </c>
      <c r="G146" s="59" t="n">
        <f aca="false">1140</f>
        <v>1140</v>
      </c>
      <c r="H146" s="59" t="n">
        <f aca="false">0</f>
        <v>0</v>
      </c>
      <c r="J146" s="0"/>
      <c r="K146" s="206"/>
      <c r="L146" s="0"/>
      <c r="Q146" s="0"/>
      <c r="S146" s="0"/>
    </row>
    <row r="147" customFormat="false" ht="28.35" hidden="false" customHeight="true" outlineLevel="0" collapsed="false">
      <c r="A147" s="0" t="n">
        <v>30</v>
      </c>
      <c r="B147" s="34" t="n">
        <v>43252</v>
      </c>
      <c r="C147" s="321" t="n">
        <v>784655</v>
      </c>
      <c r="D147" s="1" t="s">
        <v>41</v>
      </c>
      <c r="E147" s="33" t="n">
        <f aca="false">IF(D147="totale",(C147/(A147*24))/F147,IF(D147="marché libre",(C147/(A147*24))/G147,"spécifier histo"))</f>
        <v>0.955963693957115</v>
      </c>
      <c r="F147" s="59" t="n">
        <v>1140</v>
      </c>
      <c r="G147" s="59" t="n">
        <f aca="false">1140</f>
        <v>1140</v>
      </c>
      <c r="H147" s="59" t="n">
        <f aca="false">0</f>
        <v>0</v>
      </c>
      <c r="J147" s="0"/>
      <c r="L147" s="0"/>
      <c r="Q147" s="0"/>
      <c r="S147" s="0"/>
    </row>
    <row r="148" customFormat="false" ht="28.35" hidden="false" customHeight="true" outlineLevel="0" collapsed="false">
      <c r="A148" s="0" t="n">
        <v>31</v>
      </c>
      <c r="B148" s="31" t="n">
        <v>43282</v>
      </c>
      <c r="C148" s="321" t="n">
        <v>804102</v>
      </c>
      <c r="D148" s="1" t="s">
        <v>41</v>
      </c>
      <c r="E148" s="33" t="n">
        <f aca="false">IF(D148="totale",(C148/(A148*24))/F148,IF(D148="marché libre",(C148/(A148*24))/G148,"spécifier histo"))</f>
        <v>0.948054612337295</v>
      </c>
      <c r="F148" s="59" t="n">
        <v>1140</v>
      </c>
      <c r="G148" s="59" t="n">
        <f aca="false">1140</f>
        <v>1140</v>
      </c>
      <c r="H148" s="59" t="n">
        <f aca="false">0</f>
        <v>0</v>
      </c>
      <c r="J148" s="0"/>
      <c r="L148" s="0"/>
      <c r="Q148" s="0"/>
      <c r="S148" s="0"/>
    </row>
    <row r="149" customFormat="false" ht="28.35" hidden="false" customHeight="true" outlineLevel="0" collapsed="false">
      <c r="A149" s="0" t="n">
        <v>31</v>
      </c>
      <c r="B149" s="34" t="n">
        <v>43313</v>
      </c>
      <c r="C149" s="321" t="n">
        <v>675024</v>
      </c>
      <c r="D149" s="1" t="s">
        <v>41</v>
      </c>
      <c r="E149" s="33" t="n">
        <f aca="false">IF(D149="totale",(C149/(A149*24))/F149,IF(D149="marché libre",(C149/(A149*24))/G149,"spécifier histo"))</f>
        <v>0.79586870401811</v>
      </c>
      <c r="F149" s="59" t="n">
        <v>1140</v>
      </c>
      <c r="G149" s="59" t="n">
        <f aca="false">1140</f>
        <v>1140</v>
      </c>
      <c r="H149" s="59" t="n">
        <f aca="false">0</f>
        <v>0</v>
      </c>
      <c r="J149" s="0"/>
      <c r="L149" s="0"/>
      <c r="Q149" s="0"/>
      <c r="S149" s="0"/>
    </row>
    <row r="150" customFormat="false" ht="28.35" hidden="false" customHeight="true" outlineLevel="0" collapsed="false">
      <c r="A150" s="0" t="n">
        <v>30</v>
      </c>
      <c r="B150" s="31" t="n">
        <v>43344</v>
      </c>
      <c r="C150" s="321" t="n">
        <v>277814</v>
      </c>
      <c r="D150" s="1" t="s">
        <v>41</v>
      </c>
      <c r="E150" s="33" t="n">
        <f aca="false">IF(D150="totale",(C150/(A150*24))/F150,IF(D150="marché libre",(C150/(A150*24))/G150,"spécifier histo"))</f>
        <v>0.338467348927875</v>
      </c>
      <c r="F150" s="59" t="n">
        <v>1140</v>
      </c>
      <c r="G150" s="59" t="n">
        <f aca="false">1140</f>
        <v>1140</v>
      </c>
      <c r="H150" s="59" t="n">
        <f aca="false">0</f>
        <v>0</v>
      </c>
      <c r="J150" s="0"/>
      <c r="L150" s="0"/>
      <c r="Q150" s="0"/>
      <c r="S150" s="0"/>
    </row>
    <row r="151" customFormat="false" ht="28.35" hidden="false" customHeight="true" outlineLevel="0" collapsed="false">
      <c r="A151" s="0" t="n">
        <v>31</v>
      </c>
      <c r="B151" s="34" t="n">
        <v>43374</v>
      </c>
      <c r="C151" s="321" t="n">
        <v>340157</v>
      </c>
      <c r="D151" s="1" t="s">
        <v>41</v>
      </c>
      <c r="E151" s="33" t="n">
        <f aca="false">IF(D151="totale",(C151/(A151*24))/F151,IF(D151="marché libre",(C151/(A151*24))/G151,"spécifier histo"))</f>
        <v>0.401052867383513</v>
      </c>
      <c r="F151" s="59" t="n">
        <v>1140</v>
      </c>
      <c r="G151" s="59" t="n">
        <f aca="false">1140</f>
        <v>1140</v>
      </c>
      <c r="H151" s="59" t="n">
        <f aca="false">0</f>
        <v>0</v>
      </c>
      <c r="J151" s="0"/>
      <c r="L151" s="0"/>
      <c r="Q151" s="0"/>
      <c r="S151" s="0"/>
    </row>
    <row r="152" customFormat="false" ht="28.35" hidden="false" customHeight="true" outlineLevel="0" collapsed="false">
      <c r="A152" s="0" t="n">
        <v>30</v>
      </c>
      <c r="B152" s="31" t="n">
        <v>43405</v>
      </c>
      <c r="C152" s="321" t="n">
        <v>247746</v>
      </c>
      <c r="D152" s="1" t="s">
        <v>41</v>
      </c>
      <c r="E152" s="33" t="n">
        <f aca="false">IF(D152="totale",(C152/(A152*24))/F152,IF(D152="marché libre",(C152/(A152*24))/G152,"spécifier histo"))</f>
        <v>0.301834795321637</v>
      </c>
      <c r="F152" s="59" t="n">
        <v>1140</v>
      </c>
      <c r="G152" s="59" t="n">
        <f aca="false">1140</f>
        <v>1140</v>
      </c>
      <c r="H152" s="59" t="n">
        <f aca="false">0</f>
        <v>0</v>
      </c>
      <c r="J152" s="0"/>
      <c r="L152" s="0"/>
      <c r="Q152" s="0"/>
      <c r="S152" s="0"/>
    </row>
    <row r="153" customFormat="false" ht="28.35" hidden="false" customHeight="true" outlineLevel="0" collapsed="false">
      <c r="A153" s="0" t="n">
        <v>31</v>
      </c>
      <c r="B153" s="34" t="n">
        <v>43435</v>
      </c>
      <c r="C153" s="321" t="n">
        <v>81194</v>
      </c>
      <c r="D153" s="1" t="s">
        <v>41</v>
      </c>
      <c r="E153" s="33" t="n">
        <f aca="false">IF(D153="totale",(C153/(A153*24))/F153,IF(D153="marché libre",(C153/(A153*24))/G153,"spécifier histo"))</f>
        <v>0.0957295793246557</v>
      </c>
      <c r="F153" s="59" t="n">
        <v>1140</v>
      </c>
      <c r="G153" s="59" t="n">
        <f aca="false">1140</f>
        <v>1140</v>
      </c>
      <c r="H153" s="59" t="n">
        <f aca="false">0</f>
        <v>0</v>
      </c>
      <c r="J153" s="0"/>
      <c r="L153" s="0"/>
      <c r="Q153" s="0"/>
      <c r="S153" s="0"/>
    </row>
    <row r="154" customFormat="false" ht="12.8" hidden="false" customHeight="false" outlineLevel="0" collapsed="false">
      <c r="C154" s="296"/>
      <c r="J154" s="0"/>
      <c r="L154" s="0"/>
      <c r="Q154" s="0"/>
    </row>
    <row r="155" customFormat="false" ht="12.8" hidden="false" customHeight="false" outlineLevel="0" collapsed="false">
      <c r="C155" s="296"/>
      <c r="J155" s="0"/>
      <c r="L155" s="0"/>
      <c r="Q155" s="0"/>
    </row>
    <row r="156" customFormat="false" ht="12.8" hidden="false" customHeight="false" outlineLevel="0" collapsed="false">
      <c r="C156" s="296"/>
      <c r="L156" s="0"/>
      <c r="Q156" s="0"/>
    </row>
    <row r="157" customFormat="false" ht="12.8" hidden="false" customHeight="false" outlineLevel="0" collapsed="false">
      <c r="C157" s="296"/>
      <c r="L157" s="0"/>
      <c r="Q157" s="0"/>
    </row>
    <row r="158" customFormat="false" ht="12.8" hidden="false" customHeight="false" outlineLevel="0" collapsed="false">
      <c r="C158" s="296"/>
      <c r="L158" s="0"/>
      <c r="Q158" s="0"/>
    </row>
    <row r="159" customFormat="false" ht="12.8" hidden="false" customHeight="false" outlineLevel="0" collapsed="false">
      <c r="C159" s="296"/>
      <c r="L159" s="0"/>
      <c r="Q159" s="0"/>
    </row>
    <row r="160" customFormat="false" ht="12.8" hidden="false" customHeight="false" outlineLevel="0" collapsed="false">
      <c r="C160" s="296"/>
      <c r="L160" s="0"/>
      <c r="Q160" s="0"/>
    </row>
    <row r="161" customFormat="false" ht="12.8" hidden="false" customHeight="false" outlineLevel="0" collapsed="false">
      <c r="C161" s="296"/>
      <c r="L161" s="0"/>
      <c r="Q161" s="0"/>
    </row>
    <row r="162" customFormat="false" ht="12.8" hidden="false" customHeight="false" outlineLevel="0" collapsed="false">
      <c r="C162" s="296"/>
      <c r="L162" s="0"/>
      <c r="Q162" s="0"/>
    </row>
    <row r="163" customFormat="false" ht="12.8" hidden="false" customHeight="false" outlineLevel="0" collapsed="false">
      <c r="C163" s="296"/>
      <c r="L163" s="0"/>
      <c r="Q163" s="0"/>
    </row>
    <row r="164" customFormat="false" ht="12.8" hidden="false" customHeight="false" outlineLevel="0" collapsed="false">
      <c r="C164" s="296"/>
      <c r="L164" s="0"/>
      <c r="Q164" s="0"/>
    </row>
    <row r="165" customFormat="false" ht="12.8" hidden="false" customHeight="false" outlineLevel="0" collapsed="false">
      <c r="C165" s="296"/>
      <c r="L165" s="0"/>
      <c r="Q165" s="0"/>
    </row>
    <row r="166" customFormat="false" ht="12.8" hidden="false" customHeight="false" outlineLevel="0" collapsed="false">
      <c r="C166" s="296"/>
      <c r="L166" s="0"/>
      <c r="Q166" s="0"/>
    </row>
    <row r="167" customFormat="false" ht="12.8" hidden="false" customHeight="false" outlineLevel="0" collapsed="false">
      <c r="C167" s="296"/>
      <c r="L167" s="0"/>
      <c r="Q167" s="0"/>
    </row>
    <row r="168" customFormat="false" ht="12.8" hidden="false" customHeight="false" outlineLevel="0" collapsed="false">
      <c r="C168" s="296"/>
      <c r="L168" s="0"/>
      <c r="Q168" s="0"/>
    </row>
    <row r="169" customFormat="false" ht="12.8" hidden="false" customHeight="false" outlineLevel="0" collapsed="false">
      <c r="C169" s="296"/>
      <c r="L169" s="0"/>
      <c r="Q169" s="0"/>
    </row>
    <row r="170" customFormat="false" ht="12.8" hidden="false" customHeight="false" outlineLevel="0" collapsed="false">
      <c r="C170" s="296"/>
      <c r="L170" s="0"/>
      <c r="Q170" s="0"/>
    </row>
    <row r="171" customFormat="false" ht="12.8" hidden="false" customHeight="false" outlineLevel="0" collapsed="false">
      <c r="C171" s="296"/>
      <c r="L171" s="0"/>
      <c r="Q171" s="0"/>
    </row>
    <row r="172" customFormat="false" ht="12.8" hidden="false" customHeight="false" outlineLevel="0" collapsed="false">
      <c r="C172" s="296"/>
      <c r="L172" s="0"/>
      <c r="Q172" s="0"/>
    </row>
    <row r="173" customFormat="false" ht="12.8" hidden="false" customHeight="false" outlineLevel="0" collapsed="false">
      <c r="C173" s="296"/>
      <c r="L173" s="0"/>
      <c r="Q173" s="0"/>
    </row>
    <row r="174" customFormat="false" ht="12.8" hidden="false" customHeight="false" outlineLevel="0" collapsed="false">
      <c r="C174" s="296"/>
      <c r="L174" s="0"/>
      <c r="Q174" s="0"/>
    </row>
    <row r="175" customFormat="false" ht="12.8" hidden="false" customHeight="false" outlineLevel="0" collapsed="false">
      <c r="C175" s="296"/>
      <c r="L175" s="0"/>
      <c r="Q175" s="0"/>
    </row>
    <row r="176" customFormat="false" ht="12.8" hidden="false" customHeight="false" outlineLevel="0" collapsed="false">
      <c r="C176" s="296"/>
      <c r="L176" s="0"/>
      <c r="Q176" s="0"/>
    </row>
    <row r="177" customFormat="false" ht="12.8" hidden="false" customHeight="false" outlineLevel="0" collapsed="false">
      <c r="C177" s="296"/>
      <c r="L177" s="0"/>
      <c r="Q177" s="0"/>
    </row>
    <row r="178" customFormat="false" ht="12.8" hidden="false" customHeight="false" outlineLevel="0" collapsed="false">
      <c r="C178" s="296"/>
      <c r="L178" s="0"/>
      <c r="Q178" s="0"/>
    </row>
    <row r="179" customFormat="false" ht="12.8" hidden="false" customHeight="false" outlineLevel="0" collapsed="false">
      <c r="C179" s="133"/>
      <c r="L179" s="0"/>
      <c r="Q179" s="0"/>
    </row>
    <row r="180" customFormat="false" ht="12.8" hidden="false" customHeight="false" outlineLevel="0" collapsed="false">
      <c r="C180" s="133"/>
      <c r="L180" s="0"/>
      <c r="Q180" s="0"/>
    </row>
    <row r="181" customFormat="false" ht="12.8" hidden="false" customHeight="false" outlineLevel="0" collapsed="false">
      <c r="L181" s="0"/>
      <c r="Q181" s="0"/>
    </row>
    <row r="182" customFormat="false" ht="12.8" hidden="false" customHeight="false" outlineLevel="0" collapsed="false">
      <c r="L182" s="0"/>
      <c r="Q182" s="0"/>
    </row>
    <row r="183" customFormat="false" ht="12.8" hidden="false" customHeight="false" outlineLevel="0" collapsed="false">
      <c r="L183" s="0"/>
      <c r="Q183" s="0"/>
    </row>
    <row r="184" customFormat="false" ht="12.8" hidden="false" customHeight="false" outlineLevel="0" collapsed="false">
      <c r="L184" s="0"/>
      <c r="Q184" s="0"/>
    </row>
    <row r="185" customFormat="false" ht="12.8" hidden="false" customHeight="false" outlineLevel="0" collapsed="false">
      <c r="L185" s="0"/>
      <c r="Q185" s="0"/>
    </row>
    <row r="186" customFormat="false" ht="12.8" hidden="false" customHeight="false" outlineLevel="0" collapsed="false">
      <c r="Q186" s="0"/>
    </row>
    <row r="187" customFormat="false" ht="12.8" hidden="false" customHeight="false" outlineLevel="0" collapsed="false">
      <c r="Q187" s="0"/>
    </row>
    <row r="188" customFormat="false" ht="12.8" hidden="false" customHeight="false" outlineLevel="0" collapsed="false">
      <c r="Q188" s="0"/>
    </row>
    <row r="189" customFormat="false" ht="12.8" hidden="false" customHeight="false" outlineLevel="0" collapsed="false">
      <c r="Q189" s="0"/>
    </row>
    <row r="190" customFormat="false" ht="12.8" hidden="false" customHeight="false" outlineLevel="0" collapsed="false">
      <c r="Q190" s="0"/>
    </row>
    <row r="191" customFormat="false" ht="12.8" hidden="false" customHeight="false" outlineLevel="0" collapsed="false">
      <c r="Q191" s="0"/>
    </row>
    <row r="192" customFormat="false" ht="12.8" hidden="false" customHeight="false" outlineLevel="0" collapsed="false">
      <c r="Q192" s="0"/>
    </row>
    <row r="193" customFormat="false" ht="12.8" hidden="false" customHeight="false" outlineLevel="0" collapsed="false">
      <c r="Q193" s="0"/>
    </row>
    <row r="194" customFormat="false" ht="12.8" hidden="false" customHeight="false" outlineLevel="0" collapsed="false">
      <c r="Q194" s="0"/>
    </row>
    <row r="195" customFormat="false" ht="12.8" hidden="false" customHeight="false" outlineLevel="0" collapsed="false">
      <c r="Q195" s="0"/>
    </row>
    <row r="196" customFormat="false" ht="12.8" hidden="false" customHeight="false" outlineLevel="0" collapsed="false">
      <c r="Q196" s="0"/>
    </row>
    <row r="197" customFormat="false" ht="12.8" hidden="false" customHeight="false" outlineLevel="0" collapsed="false">
      <c r="Q197" s="0"/>
    </row>
    <row r="198" customFormat="false" ht="12.8" hidden="false" customHeight="false" outlineLevel="0" collapsed="false">
      <c r="Q198"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5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B4" r:id="rId1" display="CT_HYDRO_172"/>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1.xml><?xml version="1.0" encoding="utf-8"?>
<worksheet xmlns="http://schemas.openxmlformats.org/spreadsheetml/2006/main" xmlns:r="http://schemas.openxmlformats.org/officeDocument/2006/relationships">
  <sheetPr filterMode="false">
    <tabColor rgb="FF00CC33"/>
    <pageSetUpPr fitToPage="false"/>
  </sheetPr>
  <dimension ref="A1:Y26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B234" activeCellId="0" sqref="B234"/>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8.79"/>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22" t="s">
        <v>108</v>
      </c>
      <c r="B1" s="2" t="s">
        <v>0</v>
      </c>
      <c r="C1" s="2"/>
      <c r="D1" s="2"/>
      <c r="E1" s="2"/>
      <c r="F1" s="3" t="s">
        <v>1</v>
      </c>
      <c r="G1" s="3"/>
      <c r="H1" s="3"/>
      <c r="I1" s="3"/>
      <c r="J1" s="3"/>
      <c r="K1" s="3"/>
      <c r="L1" s="3"/>
      <c r="M1" s="3"/>
      <c r="N1" s="3"/>
    </row>
    <row r="2" customFormat="false" ht="30.8" hidden="false" customHeight="true" outlineLevel="0" collapsed="false">
      <c r="A2" s="0" t="s">
        <v>441</v>
      </c>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442</v>
      </c>
      <c r="C4" s="16" t="n">
        <v>51217</v>
      </c>
      <c r="D4" s="5" t="s">
        <v>443</v>
      </c>
      <c r="E4" s="14" t="s">
        <v>444</v>
      </c>
      <c r="F4" s="15" t="n">
        <v>2232</v>
      </c>
      <c r="G4" s="15" t="n">
        <v>1850</v>
      </c>
      <c r="H4" s="15" t="n">
        <v>1450</v>
      </c>
      <c r="I4" s="16" t="s">
        <v>445</v>
      </c>
      <c r="J4" s="15" t="n">
        <v>1800</v>
      </c>
      <c r="K4" s="16" t="s">
        <v>223</v>
      </c>
      <c r="L4" s="16" t="s">
        <v>446</v>
      </c>
      <c r="M4" s="16" t="n">
        <v>1200</v>
      </c>
      <c r="N4" s="17"/>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c r="H6" s="19"/>
      <c r="I6" s="19"/>
      <c r="J6" s="19"/>
      <c r="K6" s="19"/>
      <c r="L6" s="19"/>
      <c r="M6" s="19"/>
      <c r="N6" s="19"/>
      <c r="P6" s="21" t="n">
        <v>42736</v>
      </c>
      <c r="Q6" s="19" t="s">
        <v>27</v>
      </c>
      <c r="R6" s="9"/>
      <c r="S6" s="22"/>
      <c r="T6" s="5" t="s">
        <v>28</v>
      </c>
    </row>
    <row r="7" customFormat="false" ht="66.9" hidden="false" customHeight="true" outlineLevel="0" collapsed="false">
      <c r="A7" s="0"/>
      <c r="B7" s="0"/>
      <c r="C7" s="23" t="s">
        <v>447</v>
      </c>
      <c r="D7" s="23"/>
      <c r="F7" s="20"/>
      <c r="G7" s="20"/>
      <c r="H7" s="19"/>
      <c r="I7" s="19"/>
      <c r="J7" s="19"/>
      <c r="K7" s="19"/>
      <c r="L7" s="19"/>
      <c r="M7" s="19"/>
      <c r="N7" s="19"/>
      <c r="P7" s="24"/>
      <c r="Q7" s="5" t="s">
        <v>29</v>
      </c>
      <c r="R7" s="9"/>
      <c r="S7" s="25"/>
      <c r="T7" s="5" t="s">
        <v>30</v>
      </c>
    </row>
    <row r="8" customFormat="false" ht="42.45" hidden="false" customHeight="true" outlineLevel="0" collapsed="false">
      <c r="A8" s="26" t="n">
        <f aca="false">_xlfn.SHEET()</f>
        <v>31</v>
      </c>
      <c r="C8" s="0"/>
      <c r="F8" s="9"/>
      <c r="G8" s="9"/>
      <c r="H8" s="9"/>
      <c r="J8" s="9"/>
      <c r="R8" s="9"/>
      <c r="S8" s="27"/>
      <c r="T8" s="16" t="s">
        <v>31</v>
      </c>
    </row>
    <row r="9" customFormat="false" ht="36.65" hidden="false" customHeight="true" outlineLevel="0" collapsed="false">
      <c r="A9" s="26" t="n">
        <f aca="false">_xlfn.SHEETS()</f>
        <v>79</v>
      </c>
      <c r="B9" s="9" t="s">
        <v>32</v>
      </c>
      <c r="C9" s="1" t="s">
        <v>33</v>
      </c>
      <c r="D9" s="0"/>
      <c r="E9" s="1" t="s">
        <v>35</v>
      </c>
      <c r="F9" s="9" t="s">
        <v>36</v>
      </c>
      <c r="G9" s="9" t="s">
        <v>37</v>
      </c>
      <c r="H9" s="9" t="s">
        <v>38</v>
      </c>
      <c r="I9" s="9" t="s">
        <v>39</v>
      </c>
      <c r="J9" s="205" t="s">
        <v>40</v>
      </c>
    </row>
    <row r="10" customFormat="false" ht="21.15" hidden="false" customHeight="true" outlineLevel="0" collapsed="false">
      <c r="A10" s="0" t="n">
        <v>31</v>
      </c>
      <c r="B10" s="31" t="n">
        <v>36526</v>
      </c>
      <c r="C10" s="1" t="n">
        <v>180800</v>
      </c>
      <c r="D10" s="0" t="s">
        <v>41</v>
      </c>
      <c r="E10" s="33" t="n">
        <f aca="false">IF(D10="totale",(C10/(A10*24))/F10,IF(D10="marché libre",(C10/(A10*24))/G10,"spécifier histo"))</f>
        <v>0.131357163615228</v>
      </c>
      <c r="F10" s="59" t="n">
        <v>1850</v>
      </c>
      <c r="G10" s="59" t="n">
        <f aca="false">F10-H10</f>
        <v>0</v>
      </c>
      <c r="H10" s="9" t="n">
        <v>1850</v>
      </c>
      <c r="I10" s="9"/>
      <c r="J10" s="205"/>
    </row>
    <row r="11" customFormat="false" ht="21.15" hidden="false" customHeight="true" outlineLevel="0" collapsed="false">
      <c r="A11" s="0" t="n">
        <v>28</v>
      </c>
      <c r="B11" s="34" t="n">
        <v>36557</v>
      </c>
      <c r="C11" s="1" t="n">
        <v>134800</v>
      </c>
      <c r="D11" s="0" t="s">
        <v>41</v>
      </c>
      <c r="E11" s="33" t="n">
        <f aca="false">IF(D11="totale",(C11/(A11*24))/F11,IF(D11="marché libre",(C11/(A11*24))/G11,"spécifier histo"))</f>
        <v>0.108429858429858</v>
      </c>
      <c r="F11" s="59" t="n">
        <v>1850</v>
      </c>
      <c r="G11" s="59" t="n">
        <f aca="false">F11-H11</f>
        <v>0</v>
      </c>
      <c r="H11" s="9" t="n">
        <v>1850</v>
      </c>
      <c r="I11" s="9"/>
      <c r="J11" s="0"/>
      <c r="K11" s="0"/>
      <c r="L11" s="0"/>
    </row>
    <row r="12" customFormat="false" ht="21.15" hidden="false" customHeight="true" outlineLevel="0" collapsed="false">
      <c r="A12" s="0" t="n">
        <v>31</v>
      </c>
      <c r="B12" s="31" t="n">
        <v>36586</v>
      </c>
      <c r="C12" s="1" t="n">
        <v>400400</v>
      </c>
      <c r="D12" s="0" t="s">
        <v>41</v>
      </c>
      <c r="E12" s="33" t="n">
        <f aca="false">IF(D12="totale",(C12/(A12*24))/F12,IF(D12="marché libre",(C12/(A12*24))/G12,"spécifier histo"))</f>
        <v>0.290903807032839</v>
      </c>
      <c r="F12" s="59" t="n">
        <v>1850</v>
      </c>
      <c r="G12" s="59" t="n">
        <f aca="false">F12-H12</f>
        <v>0</v>
      </c>
      <c r="H12" s="9" t="n">
        <v>1850</v>
      </c>
      <c r="I12" s="9"/>
      <c r="J12" s="0"/>
      <c r="K12" s="0"/>
      <c r="L12" s="0"/>
    </row>
    <row r="13" customFormat="false" ht="21.15" hidden="false" customHeight="true" outlineLevel="0" collapsed="false">
      <c r="A13" s="0" t="n">
        <v>30</v>
      </c>
      <c r="B13" s="34" t="n">
        <v>36617</v>
      </c>
      <c r="C13" s="1" t="n">
        <v>697200</v>
      </c>
      <c r="D13" s="0" t="s">
        <v>41</v>
      </c>
      <c r="E13" s="33" t="n">
        <f aca="false">IF(D13="totale",(C13/(A13*24))/F13,IF(D13="marché libre",(C13/(A13*24))/G13,"spécifier histo"))</f>
        <v>0.523423423423423</v>
      </c>
      <c r="F13" s="59" t="n">
        <v>1850</v>
      </c>
      <c r="G13" s="59" t="n">
        <f aca="false">F13-H13</f>
        <v>0</v>
      </c>
      <c r="H13" s="9" t="n">
        <v>1850</v>
      </c>
      <c r="I13" s="9"/>
      <c r="J13" s="0"/>
      <c r="K13" s="0"/>
      <c r="L13" s="0"/>
    </row>
    <row r="14" customFormat="false" ht="21.15" hidden="false" customHeight="true" outlineLevel="0" collapsed="false">
      <c r="A14" s="0" t="n">
        <v>31</v>
      </c>
      <c r="B14" s="31" t="n">
        <v>36647</v>
      </c>
      <c r="C14" s="1" t="n">
        <v>1200800</v>
      </c>
      <c r="D14" s="0" t="s">
        <v>41</v>
      </c>
      <c r="E14" s="33" t="n">
        <f aca="false">IF(D14="totale",(C14/(A14*24))/F14,IF(D14="marché libre",(C14/(A14*24))/G14,"spécifier histo"))</f>
        <v>0.872420807904679</v>
      </c>
      <c r="F14" s="59" t="n">
        <v>1850</v>
      </c>
      <c r="G14" s="59" t="n">
        <f aca="false">F14-H14</f>
        <v>0</v>
      </c>
      <c r="H14" s="9" t="n">
        <v>1850</v>
      </c>
      <c r="I14" s="9"/>
      <c r="J14" s="0"/>
      <c r="K14" s="0"/>
      <c r="L14" s="0"/>
    </row>
    <row r="15" customFormat="false" ht="21.15" hidden="false" customHeight="true" outlineLevel="0" collapsed="false">
      <c r="A15" s="0" t="n">
        <v>30</v>
      </c>
      <c r="B15" s="34" t="n">
        <v>36678</v>
      </c>
      <c r="C15" s="1" t="n">
        <v>1202800</v>
      </c>
      <c r="D15" s="0" t="s">
        <v>41</v>
      </c>
      <c r="E15" s="33" t="n">
        <f aca="false">IF(D15="totale",(C15/(A15*24))/F15,IF(D15="marché libre",(C15/(A15*24))/G15,"spécifier histo"))</f>
        <v>0.903003003003003</v>
      </c>
      <c r="F15" s="59" t="n">
        <v>1850</v>
      </c>
      <c r="G15" s="59" t="n">
        <f aca="false">F15-H15</f>
        <v>0</v>
      </c>
      <c r="H15" s="9" t="n">
        <v>1850</v>
      </c>
      <c r="I15" s="9"/>
      <c r="J15" s="0"/>
      <c r="K15" s="0"/>
      <c r="L15" s="0"/>
    </row>
    <row r="16" customFormat="false" ht="21.15" hidden="false" customHeight="true" outlineLevel="0" collapsed="false">
      <c r="A16" s="0" t="n">
        <v>31</v>
      </c>
      <c r="B16" s="31" t="n">
        <v>36708</v>
      </c>
      <c r="C16" s="1" t="n">
        <v>370400</v>
      </c>
      <c r="D16" s="0" t="s">
        <v>41</v>
      </c>
      <c r="E16" s="33" t="n">
        <f aca="false">IF(D16="totale",(C16/(A16*24))/F16,IF(D16="marché libre",(C16/(A16*24))/G16,"spécifier histo"))</f>
        <v>0.269107817494914</v>
      </c>
      <c r="F16" s="59" t="n">
        <v>1850</v>
      </c>
      <c r="G16" s="59" t="n">
        <f aca="false">F16-H16</f>
        <v>0</v>
      </c>
      <c r="H16" s="9" t="n">
        <v>1850</v>
      </c>
      <c r="I16" s="9"/>
      <c r="J16" s="0"/>
      <c r="K16" s="0"/>
      <c r="L16" s="0"/>
    </row>
    <row r="17" customFormat="false" ht="21.15" hidden="false" customHeight="true" outlineLevel="0" collapsed="false">
      <c r="A17" s="0" t="n">
        <v>31</v>
      </c>
      <c r="B17" s="34" t="n">
        <v>36739</v>
      </c>
      <c r="C17" s="1" t="n">
        <v>77200</v>
      </c>
      <c r="D17" s="0" t="s">
        <v>41</v>
      </c>
      <c r="E17" s="33" t="n">
        <f aca="false">IF(D17="totale",(C17/(A17*24))/F17,IF(D17="marché libre",(C17/(A17*24))/G17,"spécifier histo"))</f>
        <v>0.0560883464109271</v>
      </c>
      <c r="F17" s="59" t="n">
        <v>1850</v>
      </c>
      <c r="G17" s="59" t="n">
        <f aca="false">F17-H17</f>
        <v>0</v>
      </c>
      <c r="H17" s="9" t="n">
        <v>1850</v>
      </c>
      <c r="I17" s="9"/>
      <c r="J17" s="0"/>
      <c r="K17" s="0"/>
      <c r="L17" s="0"/>
    </row>
    <row r="18" customFormat="false" ht="21.15" hidden="false" customHeight="true" outlineLevel="0" collapsed="false">
      <c r="A18" s="0" t="n">
        <v>30</v>
      </c>
      <c r="B18" s="31" t="n">
        <v>36770</v>
      </c>
      <c r="C18" s="1" t="n">
        <v>114000</v>
      </c>
      <c r="D18" s="0" t="s">
        <v>41</v>
      </c>
      <c r="E18" s="33" t="n">
        <f aca="false">IF(D18="totale",(C18/(A18*24))/F18,IF(D18="marché libre",(C18/(A18*24))/G18,"spécifier histo"))</f>
        <v>0.0855855855855856</v>
      </c>
      <c r="F18" s="59" t="n">
        <v>1850</v>
      </c>
      <c r="G18" s="59" t="n">
        <f aca="false">F18-H18</f>
        <v>0</v>
      </c>
      <c r="H18" s="9" t="n">
        <v>1850</v>
      </c>
      <c r="I18" s="9"/>
      <c r="J18" s="0"/>
      <c r="K18" s="0"/>
      <c r="L18" s="0"/>
    </row>
    <row r="19" customFormat="false" ht="21.15" hidden="false" customHeight="true" outlineLevel="0" collapsed="false">
      <c r="A19" s="0" t="n">
        <v>31</v>
      </c>
      <c r="B19" s="34" t="n">
        <v>36800</v>
      </c>
      <c r="C19" s="1" t="n">
        <v>603600</v>
      </c>
      <c r="D19" s="0" t="s">
        <v>41</v>
      </c>
      <c r="E19" s="33" t="n">
        <f aca="false">IF(D19="totale",(C19/(A19*24))/F19,IF(D19="marché libre",(C19/(A19*24))/G19,"spécifier histo"))</f>
        <v>0.438535309503051</v>
      </c>
      <c r="F19" s="59" t="n">
        <v>1850</v>
      </c>
      <c r="G19" s="59" t="n">
        <f aca="false">F19-H19</f>
        <v>0</v>
      </c>
      <c r="H19" s="9" t="n">
        <v>1850</v>
      </c>
      <c r="I19" s="9"/>
      <c r="J19" s="0"/>
      <c r="K19" s="0"/>
      <c r="L19" s="0"/>
    </row>
    <row r="20" customFormat="false" ht="21.15" hidden="false" customHeight="true" outlineLevel="0" collapsed="false">
      <c r="A20" s="0" t="n">
        <v>30</v>
      </c>
      <c r="B20" s="31" t="n">
        <v>36831</v>
      </c>
      <c r="C20" s="1" t="n">
        <v>1009200</v>
      </c>
      <c r="D20" s="0" t="s">
        <v>41</v>
      </c>
      <c r="E20" s="33" t="n">
        <f aca="false">IF(D20="totale",(C20/(A20*24))/F20,IF(D20="marché libre",(C20/(A20*24))/G20,"spécifier histo"))</f>
        <v>0.757657657657658</v>
      </c>
      <c r="F20" s="59" t="n">
        <v>1850</v>
      </c>
      <c r="G20" s="59" t="n">
        <f aca="false">F20-H20</f>
        <v>0</v>
      </c>
      <c r="H20" s="9" t="n">
        <v>1850</v>
      </c>
      <c r="I20" s="9"/>
      <c r="J20" s="0"/>
      <c r="K20" s="0"/>
      <c r="L20" s="0"/>
    </row>
    <row r="21" customFormat="false" ht="21.15" hidden="false" customHeight="true" outlineLevel="0" collapsed="false">
      <c r="A21" s="0" t="n">
        <v>31</v>
      </c>
      <c r="B21" s="34" t="n">
        <v>36861</v>
      </c>
      <c r="C21" s="1" t="n">
        <v>861200</v>
      </c>
      <c r="D21" s="0" t="s">
        <v>41</v>
      </c>
      <c r="E21" s="33" t="n">
        <f aca="false">IF(D21="totale",(C21/(A21*24))/F21,IF(D21="marché libre",(C21/(A21*24))/G21,"spécifier histo"))</f>
        <v>0.625690206335368</v>
      </c>
      <c r="F21" s="59" t="n">
        <v>1850</v>
      </c>
      <c r="G21" s="59" t="n">
        <f aca="false">F21-H21</f>
        <v>0</v>
      </c>
      <c r="H21" s="9" t="n">
        <v>1850</v>
      </c>
      <c r="I21" s="9"/>
      <c r="J21" s="0"/>
      <c r="K21" s="0"/>
      <c r="L21" s="0"/>
    </row>
    <row r="22" customFormat="false" ht="21.15" hidden="false" customHeight="true" outlineLevel="0" collapsed="false">
      <c r="A22" s="0" t="n">
        <v>31</v>
      </c>
      <c r="B22" s="31" t="n">
        <v>36892</v>
      </c>
      <c r="C22" s="1" t="n">
        <v>884800</v>
      </c>
      <c r="D22" s="0" t="s">
        <v>41</v>
      </c>
      <c r="E22" s="33" t="n">
        <f aca="false">IF(D22="totale",(C22/(A22*24))/F22,IF(D22="marché libre",(C22/(A22*24))/G22,"spécifier histo"))</f>
        <v>0.642836384771869</v>
      </c>
      <c r="F22" s="59" t="n">
        <v>1850</v>
      </c>
      <c r="G22" s="59" t="n">
        <f aca="false">F22-H22</f>
        <v>0</v>
      </c>
      <c r="H22" s="9" t="n">
        <v>1850</v>
      </c>
      <c r="I22" s="9"/>
      <c r="J22" s="0"/>
      <c r="K22" s="0"/>
      <c r="L22" s="0"/>
    </row>
    <row r="23" customFormat="false" ht="21.15" hidden="false" customHeight="true" outlineLevel="0" collapsed="false">
      <c r="A23" s="0" t="n">
        <v>28</v>
      </c>
      <c r="B23" s="34" t="n">
        <v>36923</v>
      </c>
      <c r="C23" s="1" t="n">
        <v>624000</v>
      </c>
      <c r="D23" s="0" t="s">
        <v>41</v>
      </c>
      <c r="E23" s="33" t="n">
        <f aca="false">IF(D23="totale",(C23/(A23*24))/F23,IF(D23="marché libre",(C23/(A23*24))/G23,"spécifier histo"))</f>
        <v>0.501930501930502</v>
      </c>
      <c r="F23" s="59" t="n">
        <v>1850</v>
      </c>
      <c r="G23" s="59" t="n">
        <f aca="false">F23-H23</f>
        <v>0</v>
      </c>
      <c r="H23" s="9" t="n">
        <v>1850</v>
      </c>
      <c r="I23" s="9"/>
      <c r="J23" s="0"/>
      <c r="K23" s="0"/>
      <c r="L23" s="0"/>
    </row>
    <row r="24" customFormat="false" ht="21.15" hidden="false" customHeight="true" outlineLevel="0" collapsed="false">
      <c r="A24" s="0" t="n">
        <v>31</v>
      </c>
      <c r="B24" s="31" t="n">
        <v>36951</v>
      </c>
      <c r="C24" s="1" t="n">
        <v>995200</v>
      </c>
      <c r="D24" s="0" t="s">
        <v>41</v>
      </c>
      <c r="E24" s="33" t="n">
        <f aca="false">IF(D24="totale",(C24/(A24*24))/F24,IF(D24="marché libre",(C24/(A24*24))/G24,"spécifier histo"))</f>
        <v>0.723045626271433</v>
      </c>
      <c r="F24" s="59" t="n">
        <v>1850</v>
      </c>
      <c r="G24" s="59" t="n">
        <f aca="false">F24-H24</f>
        <v>0</v>
      </c>
      <c r="H24" s="9" t="n">
        <v>1850</v>
      </c>
      <c r="I24" s="9"/>
      <c r="J24" s="205"/>
    </row>
    <row r="25" customFormat="false" ht="21.15" hidden="false" customHeight="true" outlineLevel="0" collapsed="false">
      <c r="A25" s="0" t="n">
        <v>30</v>
      </c>
      <c r="B25" s="34" t="n">
        <v>36982</v>
      </c>
      <c r="C25" s="1" t="n">
        <v>688400</v>
      </c>
      <c r="D25" s="0" t="s">
        <v>41</v>
      </c>
      <c r="E25" s="33" t="n">
        <f aca="false">IF(D25="totale",(C25/(A25*24))/F25,IF(D25="marché libre",(C25/(A25*24))/G25,"spécifier histo"))</f>
        <v>0.516816816816817</v>
      </c>
      <c r="F25" s="59" t="n">
        <v>1850</v>
      </c>
      <c r="G25" s="59" t="n">
        <f aca="false">F25-H25</f>
        <v>0</v>
      </c>
      <c r="H25" s="9" t="n">
        <v>1850</v>
      </c>
      <c r="I25" s="9"/>
      <c r="J25" s="205"/>
    </row>
    <row r="26" customFormat="false" ht="21.15" hidden="false" customHeight="true" outlineLevel="0" collapsed="false">
      <c r="A26" s="0" t="n">
        <v>31</v>
      </c>
      <c r="B26" s="31" t="n">
        <v>37012</v>
      </c>
      <c r="C26" s="1" t="n">
        <v>942000</v>
      </c>
      <c r="D26" s="0" t="s">
        <v>41</v>
      </c>
      <c r="E26" s="33" t="n">
        <f aca="false">IF(D26="totale",(C26/(A26*24))/F26,IF(D26="marché libre",(C26/(A26*24))/G26,"spécifier histo"))</f>
        <v>0.684394071490846</v>
      </c>
      <c r="F26" s="59" t="n">
        <v>1850</v>
      </c>
      <c r="G26" s="59" t="n">
        <f aca="false">F26-H26</f>
        <v>0</v>
      </c>
      <c r="H26" s="9" t="n">
        <v>1850</v>
      </c>
      <c r="I26" s="9"/>
      <c r="J26" s="205"/>
    </row>
    <row r="27" customFormat="false" ht="21.15" hidden="false" customHeight="true" outlineLevel="0" collapsed="false">
      <c r="A27" s="0" t="n">
        <v>30</v>
      </c>
      <c r="B27" s="34" t="n">
        <v>37043</v>
      </c>
      <c r="C27" s="1" t="n">
        <v>1100000</v>
      </c>
      <c r="D27" s="0" t="s">
        <v>41</v>
      </c>
      <c r="E27" s="33" t="n">
        <f aca="false">IF(D27="totale",(C27/(A27*24))/F27,IF(D27="marché libre",(C27/(A27*24))/G27,"spécifier histo"))</f>
        <v>0.825825825825826</v>
      </c>
      <c r="F27" s="59" t="n">
        <v>1850</v>
      </c>
      <c r="G27" s="59" t="n">
        <f aca="false">F27-H27</f>
        <v>0</v>
      </c>
      <c r="H27" s="9" t="n">
        <v>1850</v>
      </c>
      <c r="I27" s="9"/>
      <c r="J27" s="205"/>
    </row>
    <row r="28" customFormat="false" ht="21.15" hidden="false" customHeight="true" outlineLevel="0" collapsed="false">
      <c r="A28" s="0" t="n">
        <v>31</v>
      </c>
      <c r="B28" s="31" t="n">
        <v>37073</v>
      </c>
      <c r="C28" s="1" t="n">
        <v>1014800</v>
      </c>
      <c r="D28" s="0" t="s">
        <v>41</v>
      </c>
      <c r="E28" s="33" t="n">
        <f aca="false">IF(D28="totale",(C28/(A28*24))/F28,IF(D28="marché libre",(C28/(A28*24))/G28,"spécifier histo"))</f>
        <v>0.737285672769544</v>
      </c>
      <c r="F28" s="59" t="n">
        <v>1850</v>
      </c>
      <c r="G28" s="59" t="n">
        <f aca="false">F28-H28</f>
        <v>0</v>
      </c>
      <c r="H28" s="9" t="n">
        <v>1850</v>
      </c>
      <c r="I28" s="9"/>
      <c r="J28" s="205"/>
    </row>
    <row r="29" customFormat="false" ht="21.15" hidden="false" customHeight="true" outlineLevel="0" collapsed="false">
      <c r="A29" s="0" t="n">
        <v>31</v>
      </c>
      <c r="B29" s="34" t="n">
        <v>37104</v>
      </c>
      <c r="C29" s="1" t="n">
        <v>129600</v>
      </c>
      <c r="D29" s="0" t="s">
        <v>41</v>
      </c>
      <c r="E29" s="33" t="n">
        <f aca="false">IF(D29="totale",(C29/(A29*24))/F29,IF(D29="marché libre",(C29/(A29*24))/G29,"spécifier histo"))</f>
        <v>0.0941586748038361</v>
      </c>
      <c r="F29" s="59" t="n">
        <v>1850</v>
      </c>
      <c r="G29" s="59" t="n">
        <f aca="false">F29-H29</f>
        <v>0</v>
      </c>
      <c r="H29" s="9" t="n">
        <v>1850</v>
      </c>
      <c r="I29" s="9"/>
      <c r="J29" s="205"/>
    </row>
    <row r="30" customFormat="false" ht="21.15" hidden="false" customHeight="true" outlineLevel="0" collapsed="false">
      <c r="A30" s="0" t="n">
        <v>30</v>
      </c>
      <c r="B30" s="31" t="n">
        <v>37135</v>
      </c>
      <c r="C30" s="1" t="n">
        <v>0</v>
      </c>
      <c r="D30" s="0" t="s">
        <v>41</v>
      </c>
      <c r="E30" s="33" t="n">
        <f aca="false">IF(D30="totale",(C30/(A30*24))/F30,IF(D30="marché libre",(C30/(A30*24))/G30,"spécifier histo"))</f>
        <v>0</v>
      </c>
      <c r="F30" s="59" t="n">
        <v>1850</v>
      </c>
      <c r="G30" s="59" t="n">
        <f aca="false">F30-H30</f>
        <v>0</v>
      </c>
      <c r="H30" s="9" t="n">
        <v>1850</v>
      </c>
      <c r="I30" s="9"/>
      <c r="J30" s="205"/>
    </row>
    <row r="31" customFormat="false" ht="21.15" hidden="false" customHeight="true" outlineLevel="0" collapsed="false">
      <c r="A31" s="0" t="n">
        <v>31</v>
      </c>
      <c r="B31" s="34" t="n">
        <v>37165</v>
      </c>
      <c r="C31" s="1" t="n">
        <v>385600</v>
      </c>
      <c r="D31" s="0" t="s">
        <v>41</v>
      </c>
      <c r="E31" s="33" t="n">
        <f aca="false">IF(D31="totale",(C31/(A31*24))/F31,IF(D31="marché libre",(C31/(A31*24))/G31,"spécifier histo"))</f>
        <v>0.280151118860796</v>
      </c>
      <c r="F31" s="59" t="n">
        <v>1850</v>
      </c>
      <c r="G31" s="59" t="n">
        <f aca="false">F31-H31</f>
        <v>0</v>
      </c>
      <c r="H31" s="9" t="n">
        <v>1850</v>
      </c>
      <c r="I31" s="9"/>
      <c r="J31" s="205"/>
    </row>
    <row r="32" customFormat="false" ht="21.15" hidden="false" customHeight="true" outlineLevel="0" collapsed="false">
      <c r="A32" s="0" t="n">
        <v>30</v>
      </c>
      <c r="B32" s="31" t="n">
        <v>37196</v>
      </c>
      <c r="C32" s="1" t="n">
        <v>162400</v>
      </c>
      <c r="D32" s="0" t="s">
        <v>41</v>
      </c>
      <c r="E32" s="33" t="n">
        <f aca="false">IF(D32="totale",(C32/(A32*24))/F32,IF(D32="marché libre",(C32/(A32*24))/G32,"spécifier histo"))</f>
        <v>0.121921921921922</v>
      </c>
      <c r="F32" s="59" t="n">
        <v>1850</v>
      </c>
      <c r="G32" s="59" t="n">
        <f aca="false">F32-H32</f>
        <v>0</v>
      </c>
      <c r="H32" s="9" t="n">
        <v>1850</v>
      </c>
      <c r="I32" s="9"/>
      <c r="J32" s="205"/>
    </row>
    <row r="33" customFormat="false" ht="21.15" hidden="false" customHeight="true" outlineLevel="0" collapsed="false">
      <c r="A33" s="0" t="n">
        <v>31</v>
      </c>
      <c r="B33" s="34" t="n">
        <v>37226</v>
      </c>
      <c r="C33" s="1" t="n">
        <v>42000</v>
      </c>
      <c r="D33" s="0" t="s">
        <v>41</v>
      </c>
      <c r="E33" s="33" t="n">
        <f aca="false">IF(D33="totale",(C33/(A33*24))/F33,IF(D33="marché libre",(C33/(A33*24))/G33,"spécifier histo"))</f>
        <v>0.030514385353095</v>
      </c>
      <c r="F33" s="59" t="n">
        <v>1850</v>
      </c>
      <c r="G33" s="59" t="n">
        <f aca="false">F33-H33</f>
        <v>0</v>
      </c>
      <c r="H33" s="9" t="n">
        <v>1850</v>
      </c>
      <c r="I33" s="9"/>
      <c r="J33" s="205"/>
    </row>
    <row r="34" customFormat="false" ht="21.15" hidden="false" customHeight="true" outlineLevel="0" collapsed="false">
      <c r="A34" s="0" t="n">
        <v>31</v>
      </c>
      <c r="B34" s="31" t="n">
        <v>37257</v>
      </c>
      <c r="C34" s="1" t="n">
        <v>12800</v>
      </c>
      <c r="D34" s="0" t="s">
        <v>41</v>
      </c>
      <c r="E34" s="33" t="n">
        <f aca="false">IF(D34="totale",(C34/(A34*24))/F34,IF(D34="marché libre",(C34/(A34*24))/G34,"spécifier histo"))</f>
        <v>0.00929962220284801</v>
      </c>
      <c r="F34" s="59" t="n">
        <v>1850</v>
      </c>
      <c r="G34" s="59" t="n">
        <f aca="false">F34-H34</f>
        <v>0</v>
      </c>
      <c r="H34" s="9" t="n">
        <v>1850</v>
      </c>
      <c r="I34" s="9"/>
      <c r="J34" s="205"/>
    </row>
    <row r="35" customFormat="false" ht="21.15" hidden="false" customHeight="true" outlineLevel="0" collapsed="false">
      <c r="A35" s="0" t="n">
        <v>28</v>
      </c>
      <c r="B35" s="34" t="n">
        <v>37288</v>
      </c>
      <c r="C35" s="1" t="n">
        <v>26000</v>
      </c>
      <c r="D35" s="0" t="s">
        <v>41</v>
      </c>
      <c r="E35" s="33" t="n">
        <f aca="false">IF(D35="totale",(C35/(A35*24))/F35,IF(D35="marché libre",(C35/(A35*24))/G35,"spécifier histo"))</f>
        <v>0.0209137709137709</v>
      </c>
      <c r="F35" s="59" t="n">
        <v>1850</v>
      </c>
      <c r="G35" s="59" t="n">
        <f aca="false">F35-H35</f>
        <v>0</v>
      </c>
      <c r="H35" s="9" t="n">
        <v>1850</v>
      </c>
      <c r="I35" s="9"/>
      <c r="J35" s="205"/>
    </row>
    <row r="36" customFormat="false" ht="21.15" hidden="false" customHeight="true" outlineLevel="0" collapsed="false">
      <c r="A36" s="0" t="n">
        <v>31</v>
      </c>
      <c r="B36" s="31" t="n">
        <v>37316</v>
      </c>
      <c r="C36" s="1" t="n">
        <v>224800</v>
      </c>
      <c r="D36" s="0" t="s">
        <v>41</v>
      </c>
      <c r="E36" s="33" t="n">
        <f aca="false">IF(D36="totale",(C36/(A36*24))/F36,IF(D36="marché libre",(C36/(A36*24))/G36,"spécifier histo"))</f>
        <v>0.163324614937518</v>
      </c>
      <c r="F36" s="59" t="n">
        <v>1850</v>
      </c>
      <c r="G36" s="59" t="n">
        <f aca="false">F36-H36</f>
        <v>0</v>
      </c>
      <c r="H36" s="9" t="n">
        <v>1850</v>
      </c>
      <c r="I36" s="9"/>
      <c r="J36" s="205"/>
    </row>
    <row r="37" customFormat="false" ht="21.15" hidden="false" customHeight="true" outlineLevel="0" collapsed="false">
      <c r="A37" s="0" t="n">
        <v>30</v>
      </c>
      <c r="B37" s="34" t="n">
        <v>37347</v>
      </c>
      <c r="C37" s="1" t="n">
        <v>402400</v>
      </c>
      <c r="D37" s="0" t="s">
        <v>41</v>
      </c>
      <c r="E37" s="33" t="n">
        <f aca="false">IF(D37="totale",(C37/(A37*24))/F37,IF(D37="marché libre",(C37/(A37*24))/G37,"spécifier histo"))</f>
        <v>0.302102102102102</v>
      </c>
      <c r="F37" s="59" t="n">
        <v>1850</v>
      </c>
      <c r="G37" s="59" t="n">
        <f aca="false">F37-H37</f>
        <v>0</v>
      </c>
      <c r="H37" s="9" t="n">
        <v>1850</v>
      </c>
      <c r="I37" s="9"/>
      <c r="J37" s="205"/>
    </row>
    <row r="38" customFormat="false" ht="21.15" hidden="false" customHeight="true" outlineLevel="0" collapsed="false">
      <c r="A38" s="0" t="n">
        <v>31</v>
      </c>
      <c r="B38" s="31" t="n">
        <v>37377</v>
      </c>
      <c r="C38" s="1" t="n">
        <v>1040400</v>
      </c>
      <c r="D38" s="0" t="s">
        <v>41</v>
      </c>
      <c r="E38" s="33" t="n">
        <f aca="false">IF(D38="totale",(C38/(A38*24))/F38,IF(D38="marché libre",(C38/(A38*24))/G38,"spécifier histo"))</f>
        <v>0.75588491717524</v>
      </c>
      <c r="F38" s="59" t="n">
        <v>1850</v>
      </c>
      <c r="G38" s="59" t="n">
        <f aca="false">F38-H38</f>
        <v>0</v>
      </c>
      <c r="H38" s="9" t="n">
        <v>1850</v>
      </c>
      <c r="I38" s="9"/>
      <c r="J38" s="205"/>
    </row>
    <row r="39" customFormat="false" ht="21.15" hidden="false" customHeight="true" outlineLevel="0" collapsed="false">
      <c r="A39" s="0" t="n">
        <v>30</v>
      </c>
      <c r="B39" s="34" t="n">
        <v>37408</v>
      </c>
      <c r="C39" s="1" t="n">
        <v>693200</v>
      </c>
      <c r="D39" s="0" t="s">
        <v>41</v>
      </c>
      <c r="E39" s="33" t="n">
        <f aca="false">IF(D39="totale",(C39/(A39*24))/F39,IF(D39="marché libre",(C39/(A39*24))/G39,"spécifier histo"))</f>
        <v>0.52042042042042</v>
      </c>
      <c r="F39" s="59" t="n">
        <v>1850</v>
      </c>
      <c r="G39" s="59" t="n">
        <f aca="false">F39-H39</f>
        <v>0</v>
      </c>
      <c r="H39" s="9" t="n">
        <v>1850</v>
      </c>
      <c r="I39" s="9"/>
      <c r="J39" s="205"/>
    </row>
    <row r="40" customFormat="false" ht="21.15" hidden="false" customHeight="true" outlineLevel="0" collapsed="false">
      <c r="A40" s="0" t="n">
        <v>31</v>
      </c>
      <c r="B40" s="31" t="n">
        <v>37438</v>
      </c>
      <c r="C40" s="1" t="n">
        <v>0</v>
      </c>
      <c r="D40" s="0" t="s">
        <v>41</v>
      </c>
      <c r="E40" s="33" t="n">
        <f aca="false">IF(D40="totale",(C40/(A40*24))/F40,IF(D40="marché libre",(C40/(A40*24))/G40,"spécifier histo"))</f>
        <v>0</v>
      </c>
      <c r="F40" s="59" t="n">
        <v>1850</v>
      </c>
      <c r="G40" s="59" t="n">
        <f aca="false">F40-H40</f>
        <v>0</v>
      </c>
      <c r="H40" s="9" t="n">
        <v>1850</v>
      </c>
      <c r="I40" s="9"/>
      <c r="J40" s="205"/>
    </row>
    <row r="41" customFormat="false" ht="21.15" hidden="false" customHeight="true" outlineLevel="0" collapsed="false">
      <c r="A41" s="0" t="n">
        <v>31</v>
      </c>
      <c r="B41" s="34" t="n">
        <v>37469</v>
      </c>
      <c r="C41" s="1" t="n">
        <v>168800</v>
      </c>
      <c r="D41" s="0" t="s">
        <v>41</v>
      </c>
      <c r="E41" s="33" t="n">
        <f aca="false">IF(D41="totale",(C41/(A41*24))/F41,IF(D41="marché libre",(C41/(A41*24))/G41,"spécifier histo"))</f>
        <v>0.122638767800058</v>
      </c>
      <c r="F41" s="59" t="n">
        <v>1850</v>
      </c>
      <c r="G41" s="59" t="n">
        <f aca="false">F41-H41</f>
        <v>0</v>
      </c>
      <c r="H41" s="9" t="n">
        <v>1850</v>
      </c>
      <c r="I41" s="9"/>
      <c r="J41" s="205"/>
    </row>
    <row r="42" customFormat="false" ht="21.15" hidden="false" customHeight="true" outlineLevel="0" collapsed="false">
      <c r="A42" s="0" t="n">
        <v>30</v>
      </c>
      <c r="B42" s="31" t="n">
        <v>37500</v>
      </c>
      <c r="C42" s="1" t="n">
        <v>539600</v>
      </c>
      <c r="D42" s="0" t="s">
        <v>41</v>
      </c>
      <c r="E42" s="33" t="n">
        <f aca="false">IF(D42="totale",(C42/(A42*24))/F42,IF(D42="marché libre",(C42/(A42*24))/G42,"spécifier histo"))</f>
        <v>0.405105105105105</v>
      </c>
      <c r="F42" s="59" t="n">
        <v>1850</v>
      </c>
      <c r="G42" s="59" t="n">
        <f aca="false">F42-H42</f>
        <v>0</v>
      </c>
      <c r="H42" s="9" t="n">
        <v>1850</v>
      </c>
      <c r="I42" s="9"/>
      <c r="J42" s="205"/>
    </row>
    <row r="43" customFormat="false" ht="21.15" hidden="false" customHeight="true" outlineLevel="0" collapsed="false">
      <c r="A43" s="0" t="n">
        <v>31</v>
      </c>
      <c r="B43" s="34" t="n">
        <v>37530</v>
      </c>
      <c r="C43" s="1" t="n">
        <v>489200</v>
      </c>
      <c r="D43" s="0" t="s">
        <v>41</v>
      </c>
      <c r="E43" s="33" t="n">
        <f aca="false">IF(D43="totale",(C43/(A43*24))/F43,IF(D43="marché libre",(C43/(A43*24))/G43,"spécifier histo"))</f>
        <v>0.355419936065097</v>
      </c>
      <c r="F43" s="59" t="n">
        <v>1850</v>
      </c>
      <c r="G43" s="59" t="n">
        <f aca="false">F43-H43</f>
        <v>0</v>
      </c>
      <c r="H43" s="9" t="n">
        <v>1850</v>
      </c>
      <c r="I43" s="9"/>
      <c r="J43" s="205"/>
    </row>
    <row r="44" customFormat="false" ht="21.15" hidden="false" customHeight="true" outlineLevel="0" collapsed="false">
      <c r="A44" s="0" t="n">
        <v>30</v>
      </c>
      <c r="B44" s="31" t="n">
        <v>37561</v>
      </c>
      <c r="C44" s="1" t="n">
        <v>816400</v>
      </c>
      <c r="D44" s="0" t="s">
        <v>41</v>
      </c>
      <c r="E44" s="33" t="n">
        <f aca="false">IF(D44="totale",(C44/(A44*24))/F44,IF(D44="marché libre",(C44/(A44*24))/G44,"spécifier histo"))</f>
        <v>0.612912912912913</v>
      </c>
      <c r="F44" s="59" t="n">
        <v>1850</v>
      </c>
      <c r="G44" s="59" t="n">
        <f aca="false">F44-H44</f>
        <v>0</v>
      </c>
      <c r="H44" s="9" t="n">
        <v>1850</v>
      </c>
      <c r="I44" s="9"/>
      <c r="J44" s="205"/>
    </row>
    <row r="45" customFormat="false" ht="21.15" hidden="false" customHeight="true" outlineLevel="0" collapsed="false">
      <c r="A45" s="0" t="n">
        <v>31</v>
      </c>
      <c r="B45" s="34" t="n">
        <v>37591</v>
      </c>
      <c r="C45" s="1" t="n">
        <v>543600</v>
      </c>
      <c r="D45" s="0" t="s">
        <v>41</v>
      </c>
      <c r="E45" s="33" t="n">
        <f aca="false">IF(D45="totale",(C45/(A45*24))/F45,IF(D45="marché libre",(C45/(A45*24))/G45,"spécifier histo"))</f>
        <v>0.394943330427201</v>
      </c>
      <c r="F45" s="59" t="n">
        <v>1850</v>
      </c>
      <c r="G45" s="59" t="n">
        <f aca="false">F45-H45</f>
        <v>0</v>
      </c>
      <c r="H45" s="9" t="n">
        <v>1850</v>
      </c>
      <c r="I45" s="9"/>
      <c r="J45" s="205"/>
    </row>
    <row r="46" customFormat="false" ht="21.15" hidden="false" customHeight="true" outlineLevel="0" collapsed="false">
      <c r="A46" s="0" t="n">
        <v>31</v>
      </c>
      <c r="B46" s="31" t="n">
        <v>37622</v>
      </c>
      <c r="C46" s="1" t="n">
        <v>397600</v>
      </c>
      <c r="D46" s="0" t="s">
        <v>41</v>
      </c>
      <c r="E46" s="33" t="n">
        <f aca="false">IF(D46="totale",(C46/(A46*24))/F46,IF(D46="marché libre",(C46/(A46*24))/G46,"spécifier histo"))</f>
        <v>0.288869514675966</v>
      </c>
      <c r="F46" s="59" t="n">
        <v>1850</v>
      </c>
      <c r="G46" s="59" t="n">
        <f aca="false">F46-H46</f>
        <v>0</v>
      </c>
      <c r="H46" s="9" t="n">
        <v>1850</v>
      </c>
      <c r="I46" s="9"/>
      <c r="J46" s="205"/>
    </row>
    <row r="47" customFormat="false" ht="21.15" hidden="false" customHeight="true" outlineLevel="0" collapsed="false">
      <c r="A47" s="0" t="n">
        <v>28</v>
      </c>
      <c r="B47" s="34" t="n">
        <v>37653</v>
      </c>
      <c r="C47" s="1" t="n">
        <v>184000</v>
      </c>
      <c r="D47" s="0" t="s">
        <v>41</v>
      </c>
      <c r="E47" s="33" t="n">
        <f aca="false">IF(D47="totale",(C47/(A47*24))/F47,IF(D47="marché libre",(C47/(A47*24))/G47,"spécifier histo"))</f>
        <v>0.148005148005148</v>
      </c>
      <c r="F47" s="59" t="n">
        <v>1850</v>
      </c>
      <c r="G47" s="59" t="n">
        <f aca="false">F47-H47</f>
        <v>0</v>
      </c>
      <c r="H47" s="9" t="n">
        <v>1850</v>
      </c>
      <c r="I47" s="9"/>
      <c r="J47" s="205"/>
    </row>
    <row r="48" customFormat="false" ht="21.15" hidden="false" customHeight="true" outlineLevel="0" collapsed="false">
      <c r="A48" s="0" t="n">
        <v>31</v>
      </c>
      <c r="B48" s="31" t="n">
        <v>37681</v>
      </c>
      <c r="C48" s="1" t="n">
        <v>425200</v>
      </c>
      <c r="D48" s="0" t="s">
        <v>41</v>
      </c>
      <c r="E48" s="33" t="n">
        <f aca="false">IF(D48="totale",(C48/(A48*24))/F48,IF(D48="marché libre",(C48/(A48*24))/G48,"spécifier histo"))</f>
        <v>0.308921825050857</v>
      </c>
      <c r="F48" s="59" t="n">
        <v>1850</v>
      </c>
      <c r="G48" s="59" t="n">
        <f aca="false">F48-H48</f>
        <v>0</v>
      </c>
      <c r="H48" s="9" t="n">
        <v>1850</v>
      </c>
      <c r="I48" s="9"/>
      <c r="J48" s="205"/>
    </row>
    <row r="49" customFormat="false" ht="21.15" hidden="false" customHeight="true" outlineLevel="0" collapsed="false">
      <c r="A49" s="0" t="n">
        <v>30</v>
      </c>
      <c r="B49" s="34" t="n">
        <v>37712</v>
      </c>
      <c r="C49" s="1" t="n">
        <v>910400</v>
      </c>
      <c r="D49" s="0" t="s">
        <v>41</v>
      </c>
      <c r="E49" s="33" t="n">
        <f aca="false">IF(D49="totale",(C49/(A49*24))/F49,IF(D49="marché libre",(C49/(A49*24))/G49,"spécifier histo"))</f>
        <v>0.683483483483483</v>
      </c>
      <c r="F49" s="59" t="n">
        <v>1850</v>
      </c>
      <c r="G49" s="59" t="n">
        <f aca="false">F49-H49</f>
        <v>0</v>
      </c>
      <c r="H49" s="9" t="n">
        <v>1850</v>
      </c>
      <c r="I49" s="9"/>
      <c r="J49" s="205"/>
    </row>
    <row r="50" customFormat="false" ht="21.15" hidden="false" customHeight="true" outlineLevel="0" collapsed="false">
      <c r="A50" s="0" t="n">
        <v>31</v>
      </c>
      <c r="B50" s="31" t="n">
        <v>37742</v>
      </c>
      <c r="C50" s="1" t="n">
        <v>1284000</v>
      </c>
      <c r="D50" s="0" t="s">
        <v>41</v>
      </c>
      <c r="E50" s="33" t="n">
        <f aca="false">IF(D50="totale",(C50/(A50*24))/F50,IF(D50="marché libre",(C50/(A50*24))/G50,"spécifier histo"))</f>
        <v>0.932868352223191</v>
      </c>
      <c r="F50" s="59" t="n">
        <v>1850</v>
      </c>
      <c r="G50" s="59" t="n">
        <f aca="false">F50-H50</f>
        <v>0</v>
      </c>
      <c r="H50" s="9" t="n">
        <v>1850</v>
      </c>
      <c r="I50" s="9"/>
      <c r="J50" s="205"/>
    </row>
    <row r="51" customFormat="false" ht="21.15" hidden="false" customHeight="true" outlineLevel="0" collapsed="false">
      <c r="A51" s="0" t="n">
        <v>30</v>
      </c>
      <c r="B51" s="34" t="n">
        <v>37773</v>
      </c>
      <c r="C51" s="1" t="n">
        <v>1152400</v>
      </c>
      <c r="D51" s="0" t="s">
        <v>41</v>
      </c>
      <c r="E51" s="33" t="n">
        <f aca="false">IF(D51="totale",(C51/(A51*24))/F51,IF(D51="marché libre",(C51/(A51*24))/G51,"spécifier histo"))</f>
        <v>0.865165165165165</v>
      </c>
      <c r="F51" s="59" t="n">
        <v>1850</v>
      </c>
      <c r="G51" s="59" t="n">
        <f aca="false">F51-H51</f>
        <v>0</v>
      </c>
      <c r="H51" s="9" t="n">
        <v>1850</v>
      </c>
      <c r="I51" s="9"/>
      <c r="J51" s="205"/>
    </row>
    <row r="52" customFormat="false" ht="21.15" hidden="false" customHeight="true" outlineLevel="0" collapsed="false">
      <c r="A52" s="0" t="n">
        <v>31</v>
      </c>
      <c r="B52" s="31" t="n">
        <v>37803</v>
      </c>
      <c r="C52" s="1" t="n">
        <v>50400</v>
      </c>
      <c r="D52" s="0" t="s">
        <v>41</v>
      </c>
      <c r="E52" s="33" t="n">
        <f aca="false">IF(D52="totale",(C52/(A52*24))/F52,IF(D52="marché libre",(C52/(A52*24))/G52,"spécifier histo"))</f>
        <v>0.036617262423714</v>
      </c>
      <c r="F52" s="59" t="n">
        <v>1850</v>
      </c>
      <c r="G52" s="59" t="n">
        <f aca="false">F52-H52</f>
        <v>0</v>
      </c>
      <c r="H52" s="9" t="n">
        <v>1850</v>
      </c>
      <c r="I52" s="9"/>
      <c r="J52" s="205"/>
    </row>
    <row r="53" customFormat="false" ht="21.15" hidden="false" customHeight="true" outlineLevel="0" collapsed="false">
      <c r="A53" s="0" t="n">
        <v>31</v>
      </c>
      <c r="B53" s="34" t="n">
        <v>37834</v>
      </c>
      <c r="C53" s="1" t="n">
        <v>0</v>
      </c>
      <c r="D53" s="0" t="s">
        <v>41</v>
      </c>
      <c r="E53" s="33" t="n">
        <f aca="false">IF(D53="totale",(C53/(A53*24))/F53,IF(D53="marché libre",(C53/(A53*24))/G53,"spécifier histo"))</f>
        <v>0</v>
      </c>
      <c r="F53" s="59" t="n">
        <v>1850</v>
      </c>
      <c r="G53" s="59" t="n">
        <f aca="false">F53-H53</f>
        <v>0</v>
      </c>
      <c r="H53" s="9" t="n">
        <v>1850</v>
      </c>
      <c r="I53" s="9"/>
      <c r="J53" s="205"/>
    </row>
    <row r="54" customFormat="false" ht="21.15" hidden="false" customHeight="true" outlineLevel="0" collapsed="false">
      <c r="A54" s="0" t="n">
        <v>30</v>
      </c>
      <c r="B54" s="31" t="n">
        <v>37865</v>
      </c>
      <c r="C54" s="1" t="n">
        <v>0</v>
      </c>
      <c r="D54" s="0" t="s">
        <v>41</v>
      </c>
      <c r="E54" s="33" t="n">
        <f aca="false">IF(D54="totale",(C54/(A54*24))/F54,IF(D54="marché libre",(C54/(A54*24))/G54,"spécifier histo"))</f>
        <v>0</v>
      </c>
      <c r="F54" s="59" t="n">
        <v>1850</v>
      </c>
      <c r="G54" s="59" t="n">
        <f aca="false">F54-H54</f>
        <v>0</v>
      </c>
      <c r="H54" s="9" t="n">
        <v>1850</v>
      </c>
      <c r="I54" s="9"/>
      <c r="J54" s="205"/>
    </row>
    <row r="55" customFormat="false" ht="21.15" hidden="false" customHeight="true" outlineLevel="0" collapsed="false">
      <c r="A55" s="0" t="n">
        <v>31</v>
      </c>
      <c r="B55" s="34" t="n">
        <v>37895</v>
      </c>
      <c r="C55" s="1" t="n">
        <v>179200</v>
      </c>
      <c r="D55" s="0" t="s">
        <v>41</v>
      </c>
      <c r="E55" s="33" t="n">
        <f aca="false">IF(D55="totale",(C55/(A55*24))/F55,IF(D55="marché libre",(C55/(A55*24))/G55,"spécifier histo"))</f>
        <v>0.130194710839872</v>
      </c>
      <c r="F55" s="59" t="n">
        <v>1850</v>
      </c>
      <c r="G55" s="59" t="n">
        <f aca="false">F55-H55</f>
        <v>0</v>
      </c>
      <c r="H55" s="9" t="n">
        <v>1850</v>
      </c>
      <c r="I55" s="9"/>
      <c r="J55" s="205"/>
    </row>
    <row r="56" customFormat="false" ht="21.15" hidden="false" customHeight="true" outlineLevel="0" collapsed="false">
      <c r="A56" s="0" t="n">
        <v>30</v>
      </c>
      <c r="B56" s="31" t="n">
        <v>37926</v>
      </c>
      <c r="C56" s="1" t="n">
        <v>461600</v>
      </c>
      <c r="D56" s="0" t="s">
        <v>41</v>
      </c>
      <c r="E56" s="33" t="n">
        <f aca="false">IF(D56="totale",(C56/(A56*24))/F56,IF(D56="marché libre",(C56/(A56*24))/G56,"spécifier histo"))</f>
        <v>0.346546546546547</v>
      </c>
      <c r="F56" s="59" t="n">
        <v>1850</v>
      </c>
      <c r="G56" s="59" t="n">
        <f aca="false">F56-H56</f>
        <v>0</v>
      </c>
      <c r="H56" s="9" t="n">
        <v>1850</v>
      </c>
      <c r="I56" s="9"/>
      <c r="J56" s="205"/>
    </row>
    <row r="57" customFormat="false" ht="21.15" hidden="false" customHeight="true" outlineLevel="0" collapsed="false">
      <c r="A57" s="0" t="n">
        <v>31</v>
      </c>
      <c r="B57" s="34" t="n">
        <v>37956</v>
      </c>
      <c r="C57" s="1" t="n">
        <v>257200</v>
      </c>
      <c r="D57" s="0" t="s">
        <v>41</v>
      </c>
      <c r="E57" s="33" t="n">
        <f aca="false">IF(D57="totale",(C57/(A57*24))/F57,IF(D57="marché libre",(C57/(A57*24))/G57,"spécifier histo"))</f>
        <v>0.186864283638477</v>
      </c>
      <c r="F57" s="59" t="n">
        <v>1850</v>
      </c>
      <c r="G57" s="59" t="n">
        <f aca="false">F57-H57</f>
        <v>0</v>
      </c>
      <c r="H57" s="9" t="n">
        <v>1850</v>
      </c>
      <c r="I57" s="9"/>
      <c r="J57" s="205"/>
    </row>
    <row r="58" customFormat="false" ht="21.15" hidden="false" customHeight="true" outlineLevel="0" collapsed="false">
      <c r="A58" s="0" t="n">
        <v>31</v>
      </c>
      <c r="B58" s="31" t="n">
        <v>37987</v>
      </c>
      <c r="C58" s="1" t="n">
        <v>228400</v>
      </c>
      <c r="D58" s="0" t="s">
        <v>41</v>
      </c>
      <c r="E58" s="33" t="n">
        <f aca="false">IF(D58="totale",(C58/(A58*24))/F58,IF(D58="marché libre",(C58/(A58*24))/G58,"spécifier histo"))</f>
        <v>0.165940133682069</v>
      </c>
      <c r="F58" s="59" t="n">
        <v>1850</v>
      </c>
      <c r="G58" s="59" t="n">
        <f aca="false">F58-H58</f>
        <v>0</v>
      </c>
      <c r="H58" s="9" t="n">
        <v>1850</v>
      </c>
      <c r="I58" s="9"/>
      <c r="J58" s="205"/>
    </row>
    <row r="59" customFormat="false" ht="21.15" hidden="false" customHeight="true" outlineLevel="0" collapsed="false">
      <c r="A59" s="0" t="n">
        <v>28</v>
      </c>
      <c r="B59" s="34" t="n">
        <v>38018</v>
      </c>
      <c r="C59" s="1" t="n">
        <v>243600</v>
      </c>
      <c r="D59" s="0" t="s">
        <v>41</v>
      </c>
      <c r="E59" s="33" t="n">
        <f aca="false">IF(D59="totale",(C59/(A59*24))/F59,IF(D59="marché libre",(C59/(A59*24))/G59,"spécifier histo"))</f>
        <v>0.195945945945946</v>
      </c>
      <c r="F59" s="59" t="n">
        <v>1850</v>
      </c>
      <c r="G59" s="59" t="n">
        <f aca="false">F59-H59</f>
        <v>0</v>
      </c>
      <c r="H59" s="9" t="n">
        <v>1850</v>
      </c>
      <c r="I59" s="9"/>
      <c r="J59" s="205"/>
    </row>
    <row r="60" customFormat="false" ht="21.15" hidden="false" customHeight="true" outlineLevel="0" collapsed="false">
      <c r="A60" s="0" t="n">
        <v>31</v>
      </c>
      <c r="B60" s="31" t="n">
        <v>38047</v>
      </c>
      <c r="C60" s="1" t="n">
        <v>456800</v>
      </c>
      <c r="D60" s="0" t="s">
        <v>41</v>
      </c>
      <c r="E60" s="33" t="n">
        <f aca="false">IF(D60="totale",(C60/(A60*24))/F60,IF(D60="marché libre",(C60/(A60*24))/G60,"spécifier histo"))</f>
        <v>0.331880267364138</v>
      </c>
      <c r="F60" s="59" t="n">
        <v>1850</v>
      </c>
      <c r="G60" s="59" t="n">
        <f aca="false">F60-H60</f>
        <v>0</v>
      </c>
      <c r="H60" s="9" t="n">
        <v>1850</v>
      </c>
      <c r="I60" s="9"/>
      <c r="J60" s="205"/>
    </row>
    <row r="61" customFormat="false" ht="21.15" hidden="false" customHeight="true" outlineLevel="0" collapsed="false">
      <c r="A61" s="0" t="n">
        <v>30</v>
      </c>
      <c r="B61" s="34" t="n">
        <v>38078</v>
      </c>
      <c r="C61" s="1" t="n">
        <v>601600</v>
      </c>
      <c r="D61" s="0" t="s">
        <v>41</v>
      </c>
      <c r="E61" s="33" t="n">
        <f aca="false">IF(D61="totale",(C61/(A61*24))/F61,IF(D61="marché libre",(C61/(A61*24))/G61,"spécifier histo"))</f>
        <v>0.451651651651652</v>
      </c>
      <c r="F61" s="59" t="n">
        <v>1850</v>
      </c>
      <c r="G61" s="59" t="n">
        <f aca="false">F61-H61</f>
        <v>0</v>
      </c>
      <c r="H61" s="9" t="n">
        <v>1850</v>
      </c>
      <c r="I61" s="9"/>
      <c r="J61" s="205"/>
    </row>
    <row r="62" customFormat="false" ht="21.15" hidden="false" customHeight="true" outlineLevel="0" collapsed="false">
      <c r="A62" s="0" t="n">
        <v>31</v>
      </c>
      <c r="B62" s="31" t="n">
        <v>38108</v>
      </c>
      <c r="C62" s="1" t="n">
        <v>958400</v>
      </c>
      <c r="D62" s="0" t="s">
        <v>41</v>
      </c>
      <c r="E62" s="33" t="n">
        <f aca="false">IF(D62="totale",(C62/(A62*24))/F62,IF(D62="marché libre",(C62/(A62*24))/G62,"spécifier histo"))</f>
        <v>0.696309212438245</v>
      </c>
      <c r="F62" s="59" t="n">
        <v>1850</v>
      </c>
      <c r="G62" s="59" t="n">
        <f aca="false">F62-H62</f>
        <v>0</v>
      </c>
      <c r="H62" s="9" t="n">
        <v>1850</v>
      </c>
      <c r="I62" s="9"/>
      <c r="J62" s="205"/>
    </row>
    <row r="63" customFormat="false" ht="21.15" hidden="false" customHeight="true" outlineLevel="0" collapsed="false">
      <c r="A63" s="0" t="n">
        <v>30</v>
      </c>
      <c r="B63" s="34" t="n">
        <v>38139</v>
      </c>
      <c r="C63" s="1" t="n">
        <v>1211200</v>
      </c>
      <c r="D63" s="0" t="s">
        <v>41</v>
      </c>
      <c r="E63" s="33" t="n">
        <f aca="false">IF(D63="totale",(C63/(A63*24))/F63,IF(D63="marché libre",(C63/(A63*24))/G63,"spécifier histo"))</f>
        <v>0.909309309309309</v>
      </c>
      <c r="F63" s="59" t="n">
        <v>1850</v>
      </c>
      <c r="G63" s="59" t="n">
        <f aca="false">F63-H63</f>
        <v>0</v>
      </c>
      <c r="H63" s="9" t="n">
        <v>1850</v>
      </c>
      <c r="I63" s="9"/>
      <c r="J63" s="205"/>
    </row>
    <row r="64" customFormat="false" ht="21.15" hidden="false" customHeight="true" outlineLevel="0" collapsed="false">
      <c r="A64" s="0" t="n">
        <v>31</v>
      </c>
      <c r="B64" s="31" t="n">
        <v>38169</v>
      </c>
      <c r="C64" s="1" t="n">
        <v>464000</v>
      </c>
      <c r="D64" s="0" t="s">
        <v>41</v>
      </c>
      <c r="E64" s="33" t="n">
        <f aca="false">IF(D64="totale",(C64/(A64*24))/F64,IF(D64="marché libre",(C64/(A64*24))/G64,"spécifier histo"))</f>
        <v>0.33711130485324</v>
      </c>
      <c r="F64" s="59" t="n">
        <v>1850</v>
      </c>
      <c r="G64" s="59" t="n">
        <f aca="false">F64-H64</f>
        <v>0</v>
      </c>
      <c r="H64" s="9" t="n">
        <v>1850</v>
      </c>
      <c r="I64" s="9"/>
      <c r="J64" s="205"/>
    </row>
    <row r="65" customFormat="false" ht="21.15" hidden="false" customHeight="true" outlineLevel="0" collapsed="false">
      <c r="A65" s="0" t="n">
        <v>31</v>
      </c>
      <c r="B65" s="34" t="n">
        <v>38200</v>
      </c>
      <c r="C65" s="1" t="n">
        <v>0</v>
      </c>
      <c r="D65" s="0" t="s">
        <v>41</v>
      </c>
      <c r="E65" s="33" t="n">
        <f aca="false">IF(D65="totale",(C65/(A65*24))/F65,IF(D65="marché libre",(C65/(A65*24))/G65,"spécifier histo"))</f>
        <v>0</v>
      </c>
      <c r="F65" s="59" t="n">
        <v>1850</v>
      </c>
      <c r="G65" s="59" t="n">
        <f aca="false">F65-H65</f>
        <v>0</v>
      </c>
      <c r="H65" s="9" t="n">
        <v>1850</v>
      </c>
      <c r="I65" s="9"/>
      <c r="J65" s="205"/>
    </row>
    <row r="66" customFormat="false" ht="21.15" hidden="false" customHeight="true" outlineLevel="0" collapsed="false">
      <c r="A66" s="0" t="n">
        <v>30</v>
      </c>
      <c r="B66" s="31" t="n">
        <v>38231</v>
      </c>
      <c r="C66" s="1" t="n">
        <v>0</v>
      </c>
      <c r="D66" s="0" t="s">
        <v>41</v>
      </c>
      <c r="E66" s="33" t="n">
        <f aca="false">IF(D66="totale",(C66/(A66*24))/F66,IF(D66="marché libre",(C66/(A66*24))/G66,"spécifier histo"))</f>
        <v>0</v>
      </c>
      <c r="F66" s="59" t="n">
        <v>1850</v>
      </c>
      <c r="G66" s="59" t="n">
        <f aca="false">F66-H66</f>
        <v>0</v>
      </c>
      <c r="H66" s="9" t="n">
        <v>1850</v>
      </c>
      <c r="I66" s="9"/>
      <c r="J66" s="205"/>
    </row>
    <row r="67" customFormat="false" ht="21.15" hidden="false" customHeight="true" outlineLevel="0" collapsed="false">
      <c r="A67" s="0" t="n">
        <v>31</v>
      </c>
      <c r="B67" s="34" t="n">
        <v>38261</v>
      </c>
      <c r="C67" s="1" t="n">
        <v>320000</v>
      </c>
      <c r="D67" s="0" t="s">
        <v>41</v>
      </c>
      <c r="E67" s="33" t="n">
        <f aca="false">IF(D67="totale",(C67/(A67*24))/F67,IF(D67="marché libre",(C67/(A67*24))/G67,"spécifier histo"))</f>
        <v>0.2324905550712</v>
      </c>
      <c r="F67" s="59" t="n">
        <v>1850</v>
      </c>
      <c r="G67" s="59" t="n">
        <f aca="false">F67-H67</f>
        <v>0</v>
      </c>
      <c r="H67" s="9" t="n">
        <v>1850</v>
      </c>
      <c r="I67" s="9"/>
      <c r="J67" s="205"/>
    </row>
    <row r="68" customFormat="false" ht="21.15" hidden="false" customHeight="true" outlineLevel="0" collapsed="false">
      <c r="A68" s="0" t="n">
        <v>30</v>
      </c>
      <c r="B68" s="31" t="n">
        <v>38292</v>
      </c>
      <c r="C68" s="1" t="n">
        <v>421600</v>
      </c>
      <c r="D68" s="0" t="s">
        <v>41</v>
      </c>
      <c r="E68" s="33" t="n">
        <f aca="false">IF(D68="totale",(C68/(A68*24))/F68,IF(D68="marché libre",(C68/(A68*24))/G68,"spécifier histo"))</f>
        <v>0.316516516516516</v>
      </c>
      <c r="F68" s="59" t="n">
        <v>1850</v>
      </c>
      <c r="G68" s="59" t="n">
        <f aca="false">F68-H68</f>
        <v>0</v>
      </c>
      <c r="H68" s="9" t="n">
        <v>1850</v>
      </c>
      <c r="I68" s="9"/>
      <c r="J68" s="205"/>
    </row>
    <row r="69" customFormat="false" ht="21.15" hidden="false" customHeight="true" outlineLevel="0" collapsed="false">
      <c r="A69" s="0" t="n">
        <v>31</v>
      </c>
      <c r="B69" s="34" t="n">
        <v>38322</v>
      </c>
      <c r="C69" s="1" t="n">
        <v>107200</v>
      </c>
      <c r="D69" s="0" t="s">
        <v>41</v>
      </c>
      <c r="E69" s="33" t="n">
        <f aca="false">IF(D69="totale",(C69/(A69*24))/F69,IF(D69="marché libre",(C69/(A69*24))/G69,"spécifier histo"))</f>
        <v>0.0778843359488521</v>
      </c>
      <c r="F69" s="59" t="n">
        <v>1850</v>
      </c>
      <c r="G69" s="59" t="n">
        <f aca="false">F69-H69</f>
        <v>0</v>
      </c>
      <c r="H69" s="9" t="n">
        <v>1850</v>
      </c>
      <c r="I69" s="9"/>
      <c r="J69" s="205"/>
    </row>
    <row r="70" customFormat="false" ht="19.85" hidden="false" customHeight="true" outlineLevel="0" collapsed="false">
      <c r="A70" s="0" t="n">
        <v>31</v>
      </c>
      <c r="B70" s="31" t="n">
        <v>38353</v>
      </c>
      <c r="C70" s="56" t="n">
        <v>36400</v>
      </c>
      <c r="D70" s="0" t="s">
        <v>41</v>
      </c>
      <c r="E70" s="33" t="n">
        <f aca="false">IF(D70="totale",(C70/(A70*24))/F70,IF(D70="marché libre",(C70/(A70*24))/G70,"spécifier histo"))</f>
        <v>0.026445800639349</v>
      </c>
      <c r="F70" s="59" t="n">
        <v>1850</v>
      </c>
      <c r="G70" s="59" t="n">
        <f aca="false">F70-H70</f>
        <v>0</v>
      </c>
      <c r="H70" s="9" t="n">
        <v>1850</v>
      </c>
      <c r="J70" s="241" t="s">
        <v>448</v>
      </c>
    </row>
    <row r="71" customFormat="false" ht="19.85" hidden="false" customHeight="true" outlineLevel="0" collapsed="false">
      <c r="A71" s="0" t="n">
        <v>28</v>
      </c>
      <c r="B71" s="34" t="n">
        <v>38384</v>
      </c>
      <c r="C71" s="56" t="n">
        <v>5600</v>
      </c>
      <c r="D71" s="0" t="s">
        <v>41</v>
      </c>
      <c r="E71" s="33" t="n">
        <f aca="false">IF(D71="totale",(C71/(A71*24))/F71,IF(D71="marché libre",(C71/(A71*24))/G71,"spécifier histo"))</f>
        <v>0.00450450450450451</v>
      </c>
      <c r="F71" s="59" t="n">
        <v>1850</v>
      </c>
      <c r="G71" s="59" t="n">
        <f aca="false">F71-H71</f>
        <v>0</v>
      </c>
      <c r="H71" s="9" t="n">
        <v>1850</v>
      </c>
      <c r="J71" s="241"/>
    </row>
    <row r="72" customFormat="false" ht="19.85" hidden="false" customHeight="true" outlineLevel="0" collapsed="false">
      <c r="A72" s="0" t="n">
        <v>31</v>
      </c>
      <c r="B72" s="31" t="n">
        <v>38412</v>
      </c>
      <c r="C72" s="56" t="n">
        <v>186000</v>
      </c>
      <c r="D72" s="0" t="s">
        <v>41</v>
      </c>
      <c r="E72" s="33" t="n">
        <f aca="false">IF(D72="totale",(C72/(A72*24))/F72,IF(D72="marché libre",(C72/(A72*24))/G72,"spécifier histo"))</f>
        <v>0.135135135135135</v>
      </c>
      <c r="F72" s="59" t="n">
        <v>1850</v>
      </c>
      <c r="G72" s="59" t="n">
        <f aca="false">F72-H72</f>
        <v>0</v>
      </c>
      <c r="H72" s="9" t="n">
        <v>1850</v>
      </c>
      <c r="J72" s="241"/>
    </row>
    <row r="73" customFormat="false" ht="19.85" hidden="false" customHeight="true" outlineLevel="0" collapsed="false">
      <c r="A73" s="0" t="n">
        <v>30</v>
      </c>
      <c r="B73" s="34" t="n">
        <v>38443</v>
      </c>
      <c r="C73" s="56" t="n">
        <v>570000</v>
      </c>
      <c r="D73" s="0" t="s">
        <v>41</v>
      </c>
      <c r="E73" s="33" t="n">
        <f aca="false">IF(D73="totale",(C73/(A73*24))/F73,IF(D73="marché libre",(C73/(A73*24))/G73,"spécifier histo"))</f>
        <v>0.427927927927928</v>
      </c>
      <c r="F73" s="59" t="n">
        <v>1850</v>
      </c>
      <c r="G73" s="59" t="n">
        <f aca="false">F73-H73</f>
        <v>0</v>
      </c>
      <c r="H73" s="9" t="n">
        <v>1850</v>
      </c>
      <c r="Y73" s="0"/>
    </row>
    <row r="74" customFormat="false" ht="19.85" hidden="false" customHeight="true" outlineLevel="0" collapsed="false">
      <c r="A74" s="0" t="n">
        <v>31</v>
      </c>
      <c r="B74" s="31" t="n">
        <v>38473</v>
      </c>
      <c r="C74" s="56" t="n">
        <v>1153600</v>
      </c>
      <c r="D74" s="0" t="s">
        <v>41</v>
      </c>
      <c r="E74" s="33" t="n">
        <f aca="false">IF(D74="totale",(C74/(A74*24))/F74,IF(D74="marché libre",(C74/(A74*24))/G74,"spécifier histo"))</f>
        <v>0.838128451031677</v>
      </c>
      <c r="F74" s="59" t="n">
        <v>1850</v>
      </c>
      <c r="G74" s="59" t="n">
        <f aca="false">F74-H74</f>
        <v>0</v>
      </c>
      <c r="H74" s="9" t="n">
        <v>1850</v>
      </c>
      <c r="L74" s="0"/>
      <c r="M74" s="0"/>
      <c r="N74" s="0"/>
      <c r="O74" s="0"/>
      <c r="P74" s="0"/>
      <c r="Y74" s="0"/>
    </row>
    <row r="75" customFormat="false" ht="19.85" hidden="false" customHeight="true" outlineLevel="0" collapsed="false">
      <c r="A75" s="0" t="n">
        <v>30</v>
      </c>
      <c r="B75" s="34" t="n">
        <v>38504</v>
      </c>
      <c r="C75" s="56" t="n">
        <v>756400</v>
      </c>
      <c r="D75" s="0" t="s">
        <v>41</v>
      </c>
      <c r="E75" s="33" t="n">
        <f aca="false">IF(D75="totale",(C75/(A75*24))/F75,IF(D75="marché libre",(C75/(A75*24))/G75,"spécifier histo"))</f>
        <v>0.567867867867868</v>
      </c>
      <c r="F75" s="59" t="n">
        <v>1850</v>
      </c>
      <c r="G75" s="59" t="n">
        <f aca="false">F75-H75</f>
        <v>0</v>
      </c>
      <c r="H75" s="9" t="n">
        <v>1850</v>
      </c>
      <c r="L75" s="0"/>
      <c r="M75" s="0"/>
      <c r="N75" s="0"/>
      <c r="O75" s="0"/>
      <c r="P75" s="0"/>
      <c r="Y75" s="0"/>
    </row>
    <row r="76" customFormat="false" ht="19.85" hidden="false" customHeight="true" outlineLevel="0" collapsed="false">
      <c r="A76" s="0" t="n">
        <v>31</v>
      </c>
      <c r="B76" s="31" t="n">
        <v>38534</v>
      </c>
      <c r="C76" s="56" t="n">
        <v>218000</v>
      </c>
      <c r="D76" s="0" t="s">
        <v>41</v>
      </c>
      <c r="E76" s="33" t="n">
        <f aca="false">IF(D76="totale",(C76/(A76*24))/F76,IF(D76="marché libre",(C76/(A76*24))/G76,"spécifier histo"))</f>
        <v>0.158384190642255</v>
      </c>
      <c r="F76" s="59" t="n">
        <v>1850</v>
      </c>
      <c r="G76" s="59" t="n">
        <f aca="false">F76-H76</f>
        <v>0</v>
      </c>
      <c r="H76" s="9" t="n">
        <v>1850</v>
      </c>
      <c r="L76" s="0"/>
      <c r="M76" s="0"/>
      <c r="N76" s="0"/>
      <c r="O76" s="0"/>
      <c r="P76" s="0"/>
      <c r="Y76" s="0"/>
    </row>
    <row r="77" customFormat="false" ht="19.85" hidden="false" customHeight="true" outlineLevel="0" collapsed="false">
      <c r="A77" s="0" t="n">
        <v>31</v>
      </c>
      <c r="B77" s="34" t="n">
        <v>38565</v>
      </c>
      <c r="C77" s="56" t="n">
        <v>0</v>
      </c>
      <c r="D77" s="0" t="s">
        <v>41</v>
      </c>
      <c r="E77" s="33" t="n">
        <f aca="false">IF(D77="totale",(C77/(A77*24))/F77,IF(D77="marché libre",(C77/(A77*24))/G77,"spécifier histo"))</f>
        <v>0</v>
      </c>
      <c r="F77" s="59" t="n">
        <v>1850</v>
      </c>
      <c r="G77" s="59" t="n">
        <f aca="false">F77-H77</f>
        <v>0</v>
      </c>
      <c r="H77" s="9" t="n">
        <v>1850</v>
      </c>
      <c r="L77" s="0"/>
      <c r="M77" s="0"/>
      <c r="N77" s="0"/>
      <c r="O77" s="0"/>
      <c r="P77" s="0"/>
      <c r="Y77" s="0"/>
    </row>
    <row r="78" customFormat="false" ht="19.85" hidden="false" customHeight="true" outlineLevel="0" collapsed="false">
      <c r="A78" s="0" t="n">
        <v>30</v>
      </c>
      <c r="B78" s="31" t="n">
        <v>38596</v>
      </c>
      <c r="C78" s="56" t="n">
        <v>139600</v>
      </c>
      <c r="D78" s="0" t="s">
        <v>41</v>
      </c>
      <c r="E78" s="33" t="n">
        <f aca="false">IF(D78="totale",(C78/(A78*24))/F78,IF(D78="marché libre",(C78/(A78*24))/G78,"spécifier histo"))</f>
        <v>0.104804804804805</v>
      </c>
      <c r="F78" s="59" t="n">
        <v>1850</v>
      </c>
      <c r="G78" s="59" t="n">
        <f aca="false">F78-H78</f>
        <v>0</v>
      </c>
      <c r="H78" s="9" t="n">
        <v>1850</v>
      </c>
      <c r="L78" s="0"/>
      <c r="M78" s="0"/>
      <c r="N78" s="0"/>
      <c r="O78" s="0"/>
      <c r="P78" s="0"/>
      <c r="Y78" s="0"/>
    </row>
    <row r="79" customFormat="false" ht="19.85" hidden="false" customHeight="true" outlineLevel="0" collapsed="false">
      <c r="A79" s="0" t="n">
        <v>31</v>
      </c>
      <c r="B79" s="34" t="n">
        <v>38626</v>
      </c>
      <c r="C79" s="56" t="n">
        <v>256000</v>
      </c>
      <c r="D79" s="0" t="s">
        <v>41</v>
      </c>
      <c r="E79" s="33" t="n">
        <f aca="false">IF(D79="totale",(C79/(A79*24))/F79,IF(D79="marché libre",(C79/(A79*24))/G79,"spécifier histo"))</f>
        <v>0.18599244405696</v>
      </c>
      <c r="F79" s="59" t="n">
        <v>1850</v>
      </c>
      <c r="G79" s="59" t="n">
        <f aca="false">F79-H79</f>
        <v>0</v>
      </c>
      <c r="H79" s="9" t="n">
        <v>1850</v>
      </c>
      <c r="L79" s="0"/>
      <c r="M79" s="0"/>
      <c r="N79" s="0"/>
      <c r="O79" s="0"/>
      <c r="P79" s="0"/>
      <c r="Y79" s="0"/>
    </row>
    <row r="80" customFormat="false" ht="19.85" hidden="false" customHeight="true" outlineLevel="0" collapsed="false">
      <c r="A80" s="0" t="n">
        <v>30</v>
      </c>
      <c r="B80" s="31" t="n">
        <v>38657</v>
      </c>
      <c r="C80" s="56" t="n">
        <v>329600</v>
      </c>
      <c r="D80" s="0" t="s">
        <v>41</v>
      </c>
      <c r="E80" s="33" t="n">
        <f aca="false">IF(D80="totale",(C80/(A80*24))/F80,IF(D80="marché libre",(C80/(A80*24))/G80,"spécifier histo"))</f>
        <v>0.247447447447447</v>
      </c>
      <c r="F80" s="59" t="n">
        <v>1850</v>
      </c>
      <c r="G80" s="59" t="n">
        <f aca="false">F80-H80</f>
        <v>0</v>
      </c>
      <c r="H80" s="9" t="n">
        <v>1850</v>
      </c>
      <c r="L80" s="0"/>
      <c r="M80" s="0"/>
      <c r="N80" s="0"/>
      <c r="O80" s="0"/>
      <c r="P80" s="0"/>
      <c r="Y80" s="0"/>
    </row>
    <row r="81" customFormat="false" ht="19.85" hidden="false" customHeight="true" outlineLevel="0" collapsed="false">
      <c r="A81" s="0" t="n">
        <v>31</v>
      </c>
      <c r="B81" s="34" t="n">
        <v>38687</v>
      </c>
      <c r="C81" s="56" t="n">
        <v>100000</v>
      </c>
      <c r="D81" s="0" t="s">
        <v>41</v>
      </c>
      <c r="E81" s="33" t="n">
        <f aca="false">IF(D81="totale",(C81/(A81*24))/F81,IF(D81="marché libre",(C81/(A81*24))/G81,"spécifier histo"))</f>
        <v>0.0726532984597501</v>
      </c>
      <c r="F81" s="59" t="n">
        <v>1850</v>
      </c>
      <c r="G81" s="59" t="n">
        <f aca="false">F81-H81</f>
        <v>0</v>
      </c>
      <c r="H81" s="9" t="n">
        <v>1850</v>
      </c>
      <c r="L81" s="0"/>
      <c r="M81" s="0"/>
      <c r="N81" s="0"/>
      <c r="O81" s="0"/>
      <c r="P81" s="0"/>
      <c r="Y81" s="0"/>
    </row>
    <row r="82" customFormat="false" ht="19.85" hidden="false" customHeight="true" outlineLevel="0" collapsed="false">
      <c r="A82" s="0" t="n">
        <v>31</v>
      </c>
      <c r="B82" s="31" t="n">
        <v>38718</v>
      </c>
      <c r="C82" s="56" t="n">
        <v>33200</v>
      </c>
      <c r="D82" s="0" t="s">
        <v>41</v>
      </c>
      <c r="E82" s="33" t="n">
        <f aca="false">IF(D82="totale",(C82/(A82*24))/F82,IF(D82="marché libre",(C82/(A82*24))/G82,"spécifier histo"))</f>
        <v>0.024120895088637</v>
      </c>
      <c r="F82" s="59" t="n">
        <v>1850</v>
      </c>
      <c r="G82" s="59" t="n">
        <f aca="false">F82-H82</f>
        <v>0</v>
      </c>
      <c r="H82" s="9" t="n">
        <v>1850</v>
      </c>
      <c r="L82" s="0"/>
      <c r="M82" s="0"/>
      <c r="N82" s="0"/>
      <c r="O82" s="0"/>
      <c r="P82" s="0"/>
      <c r="Y82" s="0"/>
    </row>
    <row r="83" customFormat="false" ht="19.85" hidden="false" customHeight="true" outlineLevel="0" collapsed="false">
      <c r="A83" s="0" t="n">
        <v>28</v>
      </c>
      <c r="B83" s="34" t="n">
        <v>38749</v>
      </c>
      <c r="C83" s="56" t="n">
        <v>23200</v>
      </c>
      <c r="D83" s="0" t="s">
        <v>41</v>
      </c>
      <c r="E83" s="33" t="n">
        <f aca="false">IF(D83="totale",(C83/(A83*24))/F83,IF(D83="marché libre",(C83/(A83*24))/G83,"spécifier histo"))</f>
        <v>0.0186615186615187</v>
      </c>
      <c r="F83" s="59" t="n">
        <v>1850</v>
      </c>
      <c r="G83" s="59" t="n">
        <f aca="false">F83-H83</f>
        <v>0</v>
      </c>
      <c r="H83" s="9" t="n">
        <v>1850</v>
      </c>
      <c r="L83" s="0"/>
      <c r="M83" s="0"/>
      <c r="N83" s="0"/>
      <c r="O83" s="0"/>
      <c r="P83" s="0"/>
      <c r="Y83" s="0"/>
    </row>
    <row r="84" customFormat="false" ht="19.85" hidden="false" customHeight="true" outlineLevel="0" collapsed="false">
      <c r="A84" s="0" t="n">
        <v>31</v>
      </c>
      <c r="B84" s="31" t="n">
        <v>38777</v>
      </c>
      <c r="C84" s="56" t="n">
        <v>306800</v>
      </c>
      <c r="D84" s="0" t="s">
        <v>41</v>
      </c>
      <c r="E84" s="33" t="n">
        <f aca="false">IF(D84="totale",(C84/(A84*24))/F84,IF(D84="marché libre",(C84/(A84*24))/G84,"spécifier histo"))</f>
        <v>0.222900319674513</v>
      </c>
      <c r="F84" s="59" t="n">
        <v>1850</v>
      </c>
      <c r="G84" s="59" t="n">
        <f aca="false">F84-H84</f>
        <v>0</v>
      </c>
      <c r="H84" s="9" t="n">
        <v>1850</v>
      </c>
      <c r="L84" s="0"/>
      <c r="M84" s="0"/>
      <c r="N84" s="0"/>
      <c r="O84" s="0"/>
      <c r="P84" s="0"/>
      <c r="Y84" s="0"/>
    </row>
    <row r="85" customFormat="false" ht="19.85" hidden="false" customHeight="true" outlineLevel="0" collapsed="false">
      <c r="A85" s="0" t="n">
        <v>30</v>
      </c>
      <c r="B85" s="34" t="n">
        <v>38808</v>
      </c>
      <c r="C85" s="56" t="n">
        <v>1010800</v>
      </c>
      <c r="D85" s="0" t="s">
        <v>41</v>
      </c>
      <c r="E85" s="33" t="n">
        <f aca="false">IF(D85="totale",(C85/(A85*24))/F85,IF(D85="marché libre",(C85/(A85*24))/G85,"spécifier histo"))</f>
        <v>0.758858858858859</v>
      </c>
      <c r="F85" s="59" t="n">
        <v>1850</v>
      </c>
      <c r="G85" s="59" t="n">
        <f aca="false">F85-H85</f>
        <v>0</v>
      </c>
      <c r="H85" s="9" t="n">
        <v>1850</v>
      </c>
      <c r="L85" s="0"/>
      <c r="M85" s="0"/>
      <c r="N85" s="0"/>
      <c r="O85" s="0"/>
      <c r="P85" s="0"/>
      <c r="Y85" s="0"/>
    </row>
    <row r="86" customFormat="false" ht="19.85" hidden="false" customHeight="true" outlineLevel="0" collapsed="false">
      <c r="A86" s="0" t="n">
        <v>31</v>
      </c>
      <c r="B86" s="31" t="n">
        <v>38838</v>
      </c>
      <c r="C86" s="56" t="n">
        <v>1190400</v>
      </c>
      <c r="D86" s="0" t="s">
        <v>41</v>
      </c>
      <c r="E86" s="33" t="n">
        <f aca="false">IF(D86="totale",(C86/(A86*24))/F86,IF(D86="marché libre",(C86/(A86*24))/G86,"spécifier histo"))</f>
        <v>0.864864864864865</v>
      </c>
      <c r="F86" s="59" t="n">
        <v>1850</v>
      </c>
      <c r="G86" s="59" t="n">
        <f aca="false">F86-H86</f>
        <v>0</v>
      </c>
      <c r="H86" s="9" t="n">
        <v>1850</v>
      </c>
      <c r="J86" s="208"/>
      <c r="L86" s="0"/>
      <c r="O86" s="0"/>
    </row>
    <row r="87" customFormat="false" ht="19.85" hidden="false" customHeight="true" outlineLevel="0" collapsed="false">
      <c r="A87" s="0" t="n">
        <v>30</v>
      </c>
      <c r="B87" s="34" t="n">
        <v>38869</v>
      </c>
      <c r="C87" s="56" t="n">
        <v>1220800</v>
      </c>
      <c r="D87" s="0" t="s">
        <v>41</v>
      </c>
      <c r="E87" s="33" t="n">
        <f aca="false">IF(D87="totale",(C87/(A87*24))/F87,IF(D87="marché libre",(C87/(A87*24))/G87,"spécifier histo"))</f>
        <v>0.916516516516517</v>
      </c>
      <c r="F87" s="59" t="n">
        <v>1850</v>
      </c>
      <c r="G87" s="59" t="n">
        <f aca="false">F87-H87</f>
        <v>0</v>
      </c>
      <c r="H87" s="9" t="n">
        <v>1850</v>
      </c>
      <c r="J87" s="208"/>
      <c r="L87" s="0"/>
      <c r="O87" s="0"/>
    </row>
    <row r="88" customFormat="false" ht="19.85" hidden="false" customHeight="true" outlineLevel="0" collapsed="false">
      <c r="A88" s="0" t="n">
        <v>31</v>
      </c>
      <c r="B88" s="31" t="n">
        <v>38899</v>
      </c>
      <c r="C88" s="56" t="n">
        <v>468000</v>
      </c>
      <c r="D88" s="0" t="s">
        <v>41</v>
      </c>
      <c r="E88" s="33" t="n">
        <f aca="false">IF(D88="totale",(C88/(A88*24))/F88,IF(D88="marché libre",(C88/(A88*24))/G88,"spécifier histo"))</f>
        <v>0.34001743679163</v>
      </c>
      <c r="F88" s="59" t="n">
        <v>1850</v>
      </c>
      <c r="G88" s="59" t="n">
        <f aca="false">F88-H88</f>
        <v>0</v>
      </c>
      <c r="H88" s="9" t="n">
        <v>1850</v>
      </c>
      <c r="J88" s="208"/>
      <c r="L88" s="0"/>
      <c r="O88" s="0"/>
    </row>
    <row r="89" customFormat="false" ht="19.85" hidden="false" customHeight="true" outlineLevel="0" collapsed="false">
      <c r="A89" s="0" t="n">
        <v>31</v>
      </c>
      <c r="B89" s="34" t="n">
        <v>38930</v>
      </c>
      <c r="C89" s="56" t="n">
        <v>8800</v>
      </c>
      <c r="D89" s="0" t="s">
        <v>41</v>
      </c>
      <c r="E89" s="33" t="n">
        <f aca="false">IF(D89="totale",(C89/(A89*24))/F89,IF(D89="marché libre",(C89/(A89*24))/G89,"spécifier histo"))</f>
        <v>0.00639349026445801</v>
      </c>
      <c r="F89" s="59" t="n">
        <v>1850</v>
      </c>
      <c r="G89" s="59" t="n">
        <f aca="false">F89-H89</f>
        <v>0</v>
      </c>
      <c r="H89" s="9" t="n">
        <v>1850</v>
      </c>
      <c r="J89" s="208"/>
      <c r="L89" s="0"/>
      <c r="O89" s="0"/>
    </row>
    <row r="90" customFormat="false" ht="19.85" hidden="false" customHeight="true" outlineLevel="0" collapsed="false">
      <c r="A90" s="0" t="n">
        <v>30</v>
      </c>
      <c r="B90" s="31" t="n">
        <v>38961</v>
      </c>
      <c r="C90" s="56" t="n">
        <v>193200</v>
      </c>
      <c r="D90" s="0" t="s">
        <v>41</v>
      </c>
      <c r="E90" s="33" t="n">
        <f aca="false">IF(D90="totale",(C90/(A90*24))/F90,IF(D90="marché libre",(C90/(A90*24))/G90,"spécifier histo"))</f>
        <v>0.145045045045045</v>
      </c>
      <c r="F90" s="59" t="n">
        <v>1850</v>
      </c>
      <c r="G90" s="59" t="n">
        <f aca="false">F90-H90</f>
        <v>0</v>
      </c>
      <c r="H90" s="9" t="n">
        <v>1850</v>
      </c>
      <c r="J90" s="109" t="s">
        <v>417</v>
      </c>
      <c r="L90" s="0"/>
      <c r="O90" s="0"/>
    </row>
    <row r="91" customFormat="false" ht="19.85" hidden="false" customHeight="true" outlineLevel="0" collapsed="false">
      <c r="A91" s="0" t="n">
        <v>31</v>
      </c>
      <c r="B91" s="34" t="n">
        <v>38991</v>
      </c>
      <c r="C91" s="56" t="n">
        <v>607200</v>
      </c>
      <c r="D91" s="0" t="s">
        <v>41</v>
      </c>
      <c r="E91" s="33" t="n">
        <f aca="false">IF(D91="totale",(C91/(A91*24))/F91,IF(D91="marché libre",(C91/(A91*24))/G91,"spécifier histo"))</f>
        <v>0.441150828247602</v>
      </c>
      <c r="F91" s="59" t="n">
        <v>1850</v>
      </c>
      <c r="G91" s="59" t="n">
        <f aca="false">F91-H91</f>
        <v>0</v>
      </c>
      <c r="H91" s="9" t="n">
        <v>1850</v>
      </c>
      <c r="J91" s="322" t="s">
        <v>189</v>
      </c>
      <c r="L91" s="0"/>
      <c r="O91" s="0"/>
    </row>
    <row r="92" customFormat="false" ht="19.85" hidden="false" customHeight="true" outlineLevel="0" collapsed="false">
      <c r="A92" s="0" t="n">
        <v>30</v>
      </c>
      <c r="B92" s="31" t="n">
        <v>39022</v>
      </c>
      <c r="C92" s="56" t="n">
        <v>364800</v>
      </c>
      <c r="D92" s="0" t="s">
        <v>41</v>
      </c>
      <c r="E92" s="33" t="n">
        <f aca="false">IF(D92="totale",(C92/(A92*24))/F92,IF(D92="marché libre",(C92/(A92*24))/G92,"spécifier histo"))</f>
        <v>0.273873873873874</v>
      </c>
      <c r="F92" s="59" t="n">
        <v>1850</v>
      </c>
      <c r="G92" s="59" t="n">
        <f aca="false">F92-H92</f>
        <v>0</v>
      </c>
      <c r="H92" s="9" t="n">
        <v>1850</v>
      </c>
      <c r="J92" s="322" t="s">
        <v>449</v>
      </c>
      <c r="L92" s="0"/>
      <c r="O92" s="0"/>
    </row>
    <row r="93" customFormat="false" ht="19.85" hidden="false" customHeight="true" outlineLevel="0" collapsed="false">
      <c r="A93" s="0" t="n">
        <v>31</v>
      </c>
      <c r="B93" s="34" t="n">
        <v>39052</v>
      </c>
      <c r="C93" s="56" t="n">
        <v>431200</v>
      </c>
      <c r="D93" s="0" t="s">
        <v>41</v>
      </c>
      <c r="E93" s="33" t="n">
        <f aca="false">IF(D93="totale",(C93/(A93*24))/F93,IF(D93="marché libre",(C93/(A93*24))/G93,"spécifier histo"))</f>
        <v>0.313281022958442</v>
      </c>
      <c r="F93" s="59" t="n">
        <v>1850</v>
      </c>
      <c r="G93" s="59" t="n">
        <f aca="false">F93-H93</f>
        <v>0</v>
      </c>
      <c r="H93" s="9" t="n">
        <v>1850</v>
      </c>
      <c r="J93" s="322" t="s">
        <v>450</v>
      </c>
      <c r="L93" s="0"/>
      <c r="O93" s="0"/>
    </row>
    <row r="94" customFormat="false" ht="19.85" hidden="false" customHeight="true" outlineLevel="0" collapsed="false">
      <c r="A94" s="0" t="n">
        <v>31</v>
      </c>
      <c r="B94" s="31" t="n">
        <v>39083</v>
      </c>
      <c r="C94" s="56" t="n">
        <v>222400</v>
      </c>
      <c r="D94" s="0" t="s">
        <v>41</v>
      </c>
      <c r="E94" s="33" t="n">
        <f aca="false">IF(D94="totale",(C94/(A94*24))/F94,IF(D94="marché libre",(C94/(A94*24))/G94,"spécifier histo"))</f>
        <v>0.161580935774484</v>
      </c>
      <c r="F94" s="59" t="n">
        <v>1850</v>
      </c>
      <c r="G94" s="59" t="n">
        <f aca="false">F94-H94</f>
        <v>0</v>
      </c>
      <c r="H94" s="9" t="n">
        <v>1850</v>
      </c>
      <c r="J94" s="322" t="s">
        <v>451</v>
      </c>
      <c r="L94" s="0"/>
      <c r="O94" s="0"/>
    </row>
    <row r="95" customFormat="false" ht="19.85" hidden="false" customHeight="true" outlineLevel="0" collapsed="false">
      <c r="A95" s="0" t="n">
        <v>28</v>
      </c>
      <c r="B95" s="34" t="n">
        <v>39114</v>
      </c>
      <c r="C95" s="56" t="n">
        <v>175600</v>
      </c>
      <c r="D95" s="0" t="s">
        <v>41</v>
      </c>
      <c r="E95" s="33" t="n">
        <f aca="false">IF(D95="totale",(C95/(A95*24))/F95,IF(D95="marché libre",(C95/(A95*24))/G95,"spécifier histo"))</f>
        <v>0.141248391248391</v>
      </c>
      <c r="F95" s="59" t="n">
        <v>1850</v>
      </c>
      <c r="G95" s="59" t="n">
        <f aca="false">F95-H95</f>
        <v>0</v>
      </c>
      <c r="H95" s="9" t="n">
        <v>1850</v>
      </c>
      <c r="J95" s="322" t="s">
        <v>452</v>
      </c>
      <c r="L95" s="0"/>
      <c r="O95" s="0"/>
    </row>
    <row r="96" customFormat="false" ht="19.85" hidden="false" customHeight="true" outlineLevel="0" collapsed="false">
      <c r="A96" s="0" t="n">
        <v>31</v>
      </c>
      <c r="B96" s="31" t="n">
        <v>39142</v>
      </c>
      <c r="C96" s="56" t="n">
        <v>360400</v>
      </c>
      <c r="D96" s="0" t="s">
        <v>41</v>
      </c>
      <c r="E96" s="33" t="n">
        <f aca="false">IF(D96="totale",(C96/(A96*24))/F96,IF(D96="marché libre",(C96/(A96*24))/G96,"spécifier histo"))</f>
        <v>0.261842487648939</v>
      </c>
      <c r="F96" s="59" t="n">
        <v>1850</v>
      </c>
      <c r="G96" s="59" t="n">
        <f aca="false">F96-H96</f>
        <v>0</v>
      </c>
      <c r="H96" s="9" t="n">
        <v>1850</v>
      </c>
      <c r="J96" s="322" t="s">
        <v>453</v>
      </c>
      <c r="L96" s="0"/>
      <c r="O96" s="0"/>
    </row>
    <row r="97" customFormat="false" ht="19.85" hidden="false" customHeight="true" outlineLevel="0" collapsed="false">
      <c r="A97" s="0" t="n">
        <v>30</v>
      </c>
      <c r="B97" s="34" t="n">
        <v>39173</v>
      </c>
      <c r="C97" s="56" t="n">
        <v>856000</v>
      </c>
      <c r="D97" s="0" t="s">
        <v>41</v>
      </c>
      <c r="E97" s="33" t="n">
        <f aca="false">IF(D97="totale",(C97/(A97*24))/F97,IF(D97="marché libre",(C97/(A97*24))/G97,"spécifier histo"))</f>
        <v>0.642642642642643</v>
      </c>
      <c r="F97" s="59" t="n">
        <v>1850</v>
      </c>
      <c r="G97" s="59" t="n">
        <f aca="false">F97-H97</f>
        <v>0</v>
      </c>
      <c r="H97" s="9" t="n">
        <v>1850</v>
      </c>
      <c r="J97" s="322" t="s">
        <v>189</v>
      </c>
      <c r="L97" s="0"/>
      <c r="O97" s="0"/>
    </row>
    <row r="98" customFormat="false" ht="19.85" hidden="false" customHeight="true" outlineLevel="0" collapsed="false">
      <c r="A98" s="0" t="n">
        <v>31</v>
      </c>
      <c r="B98" s="31" t="n">
        <v>39203</v>
      </c>
      <c r="C98" s="56" t="n">
        <v>1342000</v>
      </c>
      <c r="D98" s="0" t="s">
        <v>41</v>
      </c>
      <c r="E98" s="33" t="n">
        <f aca="false">IF(D98="totale",(C98/(A98*24))/F98,IF(D98="marché libre",(C98/(A98*24))/G98,"spécifier histo"))</f>
        <v>0.975007265329846</v>
      </c>
      <c r="F98" s="59" t="n">
        <v>1850</v>
      </c>
      <c r="G98" s="59" t="n">
        <f aca="false">F98-H98</f>
        <v>0</v>
      </c>
      <c r="H98" s="9" t="n">
        <v>1850</v>
      </c>
      <c r="J98" s="322" t="s">
        <v>454</v>
      </c>
      <c r="L98" s="0"/>
    </row>
    <row r="99" customFormat="false" ht="19.85" hidden="false" customHeight="true" outlineLevel="0" collapsed="false">
      <c r="A99" s="0" t="n">
        <v>30</v>
      </c>
      <c r="B99" s="34" t="n">
        <v>39234</v>
      </c>
      <c r="C99" s="56" t="n">
        <v>1228000</v>
      </c>
      <c r="D99" s="0" t="s">
        <v>41</v>
      </c>
      <c r="E99" s="33" t="n">
        <f aca="false">IF(D99="totale",(C99/(A99*24))/F99,IF(D99="marché libre",(C99/(A99*24))/G99,"spécifier histo"))</f>
        <v>0.921921921921922</v>
      </c>
      <c r="F99" s="59" t="n">
        <v>1850</v>
      </c>
      <c r="G99" s="59" t="n">
        <f aca="false">F99-H99</f>
        <v>0</v>
      </c>
      <c r="H99" s="9" t="n">
        <v>1850</v>
      </c>
      <c r="J99" s="208"/>
      <c r="L99" s="0"/>
    </row>
    <row r="100" customFormat="false" ht="19.85" hidden="false" customHeight="true" outlineLevel="0" collapsed="false">
      <c r="A100" s="0" t="n">
        <v>31</v>
      </c>
      <c r="B100" s="31" t="n">
        <v>39264</v>
      </c>
      <c r="C100" s="56" t="n">
        <v>295200</v>
      </c>
      <c r="D100" s="0" t="s">
        <v>41</v>
      </c>
      <c r="E100" s="33" t="n">
        <f aca="false">IF(D100="totale",(C100/(A100*24))/F100,IF(D100="marché libre",(C100/(A100*24))/G100,"spécifier histo"))</f>
        <v>0.214472537053182</v>
      </c>
      <c r="F100" s="59" t="n">
        <v>1850</v>
      </c>
      <c r="G100" s="59" t="n">
        <f aca="false">F100-H100</f>
        <v>0</v>
      </c>
      <c r="H100" s="9" t="n">
        <v>1850</v>
      </c>
      <c r="J100" s="208" t="s">
        <v>455</v>
      </c>
      <c r="L100" s="0"/>
    </row>
    <row r="101" customFormat="false" ht="19.85" hidden="false" customHeight="true" outlineLevel="0" collapsed="false">
      <c r="A101" s="0" t="n">
        <v>31</v>
      </c>
      <c r="B101" s="34" t="n">
        <v>39295</v>
      </c>
      <c r="C101" s="56" t="n">
        <v>0</v>
      </c>
      <c r="D101" s="0" t="s">
        <v>41</v>
      </c>
      <c r="E101" s="33" t="n">
        <f aca="false">IF(D101="totale",(C101/(A101*24))/F101,IF(D101="marché libre",(C101/(A101*24))/G101,"spécifier histo"))</f>
        <v>0</v>
      </c>
      <c r="F101" s="59" t="n">
        <v>1850</v>
      </c>
      <c r="G101" s="59" t="n">
        <f aca="false">F101-H101</f>
        <v>0</v>
      </c>
      <c r="H101" s="9" t="n">
        <v>1850</v>
      </c>
      <c r="J101" s="208"/>
      <c r="L101" s="0"/>
    </row>
    <row r="102" customFormat="false" ht="19.85" hidden="false" customHeight="true" outlineLevel="0" collapsed="false">
      <c r="A102" s="0" t="n">
        <v>30</v>
      </c>
      <c r="B102" s="31" t="n">
        <v>39326</v>
      </c>
      <c r="C102" s="56" t="n">
        <v>400</v>
      </c>
      <c r="D102" s="0" t="s">
        <v>41</v>
      </c>
      <c r="E102" s="33" t="n">
        <f aca="false">IF(D102="totale",(C102/(A102*24))/F102,IF(D102="marché libre",(C102/(A102*24))/G102,"spécifier histo"))</f>
        <v>0.0003003003003003</v>
      </c>
      <c r="F102" s="59" t="n">
        <v>1850</v>
      </c>
      <c r="G102" s="59" t="n">
        <f aca="false">F102-H102</f>
        <v>0</v>
      </c>
      <c r="H102" s="9" t="n">
        <v>1850</v>
      </c>
      <c r="J102" s="208"/>
      <c r="L102" s="0"/>
    </row>
    <row r="103" customFormat="false" ht="19.85" hidden="false" customHeight="true" outlineLevel="0" collapsed="false">
      <c r="A103" s="0" t="n">
        <v>31</v>
      </c>
      <c r="B103" s="34" t="n">
        <v>39356</v>
      </c>
      <c r="C103" s="56" t="n">
        <v>47200</v>
      </c>
      <c r="D103" s="0" t="s">
        <v>41</v>
      </c>
      <c r="E103" s="33" t="n">
        <f aca="false">IF(D103="totale",(C103/(A103*24))/F103,IF(D103="marché libre",(C103/(A103*24))/G103,"spécifier histo"))</f>
        <v>0.034292356873002</v>
      </c>
      <c r="F103" s="59" t="n">
        <v>1850</v>
      </c>
      <c r="G103" s="59" t="n">
        <f aca="false">F103-H103</f>
        <v>0</v>
      </c>
      <c r="H103" s="9" t="n">
        <v>1850</v>
      </c>
      <c r="J103" s="208"/>
      <c r="L103" s="0"/>
    </row>
    <row r="104" customFormat="false" ht="19.85" hidden="false" customHeight="true" outlineLevel="0" collapsed="false">
      <c r="A104" s="0" t="n">
        <v>30</v>
      </c>
      <c r="B104" s="31" t="n">
        <v>39387</v>
      </c>
      <c r="C104" s="56" t="n">
        <v>34400</v>
      </c>
      <c r="D104" s="0" t="s">
        <v>41</v>
      </c>
      <c r="E104" s="33" t="n">
        <f aca="false">IF(D104="totale",(C104/(A104*24))/F104,IF(D104="marché libre",(C104/(A104*24))/G104,"spécifier histo"))</f>
        <v>0.0258258258258258</v>
      </c>
      <c r="F104" s="59" t="n">
        <v>1850</v>
      </c>
      <c r="G104" s="59" t="n">
        <f aca="false">F104-H104</f>
        <v>0</v>
      </c>
      <c r="H104" s="9" t="n">
        <v>1850</v>
      </c>
      <c r="J104" s="208"/>
      <c r="L104" s="0"/>
    </row>
    <row r="105" customFormat="false" ht="19.85" hidden="false" customHeight="true" outlineLevel="0" collapsed="false">
      <c r="A105" s="0" t="n">
        <v>31</v>
      </c>
      <c r="B105" s="34" t="n">
        <v>39417</v>
      </c>
      <c r="C105" s="56" t="n">
        <v>800</v>
      </c>
      <c r="D105" s="0" t="s">
        <v>41</v>
      </c>
      <c r="E105" s="33" t="n">
        <f aca="false">IF(D105="totale",(C105/(A105*24))/F105,IF(D105="marché libre",(C105/(A105*24))/G105,"spécifier histo"))</f>
        <v>0.000581226387678001</v>
      </c>
      <c r="F105" s="59" t="n">
        <v>1850</v>
      </c>
      <c r="G105" s="59" t="n">
        <f aca="false">F105-H105</f>
        <v>0</v>
      </c>
      <c r="H105" s="9" t="n">
        <v>1850</v>
      </c>
      <c r="J105" s="208"/>
      <c r="L105" s="0"/>
    </row>
    <row r="106" customFormat="false" ht="19.85" hidden="false" customHeight="true" outlineLevel="0" collapsed="false">
      <c r="A106" s="0" t="n">
        <v>31</v>
      </c>
      <c r="B106" s="31" t="n">
        <v>39448</v>
      </c>
      <c r="C106" s="56" t="n">
        <v>14000</v>
      </c>
      <c r="D106" s="0" t="s">
        <v>41</v>
      </c>
      <c r="E106" s="33" t="n">
        <f aca="false">IF(D106="totale",(C106/(A106*24))/F106,IF(D106="marché libre",(C106/(A106*24))/G106,"spécifier histo"))</f>
        <v>0.010171461784365</v>
      </c>
      <c r="F106" s="59" t="n">
        <v>1850</v>
      </c>
      <c r="G106" s="59" t="n">
        <f aca="false">F106-H106</f>
        <v>0</v>
      </c>
      <c r="H106" s="9" t="n">
        <v>1850</v>
      </c>
      <c r="J106" s="208"/>
      <c r="L106" s="0"/>
    </row>
    <row r="107" customFormat="false" ht="19.85" hidden="false" customHeight="true" outlineLevel="0" collapsed="false">
      <c r="A107" s="0" t="n">
        <v>28</v>
      </c>
      <c r="B107" s="34" t="n">
        <v>39479</v>
      </c>
      <c r="C107" s="56" t="n">
        <v>38000</v>
      </c>
      <c r="D107" s="0" t="s">
        <v>41</v>
      </c>
      <c r="E107" s="33" t="n">
        <f aca="false">IF(D107="totale",(C107/(A107*24))/F107,IF(D107="marché libre",(C107/(A107*24))/G107,"spécifier histo"))</f>
        <v>0.0305662805662806</v>
      </c>
      <c r="F107" s="59" t="n">
        <v>1850</v>
      </c>
      <c r="G107" s="59" t="n">
        <f aca="false">F107-H107</f>
        <v>0</v>
      </c>
      <c r="H107" s="9" t="n">
        <v>1850</v>
      </c>
      <c r="J107" s="208"/>
      <c r="L107" s="0"/>
    </row>
    <row r="108" customFormat="false" ht="19.85" hidden="false" customHeight="true" outlineLevel="0" collapsed="false">
      <c r="A108" s="0" t="n">
        <v>31</v>
      </c>
      <c r="B108" s="31" t="n">
        <v>39508</v>
      </c>
      <c r="C108" s="56" t="n">
        <v>116400</v>
      </c>
      <c r="D108" s="0" t="s">
        <v>41</v>
      </c>
      <c r="E108" s="33" t="n">
        <f aca="false">IF(D108="totale",(C108/(A108*24))/F108,IF(D108="marché libre",(C108/(A108*24))/G108,"spécifier histo"))</f>
        <v>0.0845684394071491</v>
      </c>
      <c r="F108" s="59" t="n">
        <v>1850</v>
      </c>
      <c r="G108" s="59" t="n">
        <f aca="false">F108-H108</f>
        <v>0</v>
      </c>
      <c r="H108" s="9" t="n">
        <v>1850</v>
      </c>
      <c r="J108" s="208"/>
      <c r="L108" s="0"/>
    </row>
    <row r="109" customFormat="false" ht="19.85" hidden="false" customHeight="true" outlineLevel="0" collapsed="false">
      <c r="A109" s="0" t="n">
        <v>30</v>
      </c>
      <c r="B109" s="34" t="n">
        <v>39539</v>
      </c>
      <c r="C109" s="56" t="n">
        <v>435200</v>
      </c>
      <c r="D109" s="0" t="s">
        <v>41</v>
      </c>
      <c r="E109" s="33" t="n">
        <f aca="false">IF(D109="totale",(C109/(A109*24))/F109,IF(D109="marché libre",(C109/(A109*24))/G109,"spécifier histo"))</f>
        <v>0.326726726726727</v>
      </c>
      <c r="F109" s="59" t="n">
        <v>1850</v>
      </c>
      <c r="G109" s="59" t="n">
        <f aca="false">F109-H109</f>
        <v>0</v>
      </c>
      <c r="H109" s="9" t="n">
        <v>1850</v>
      </c>
      <c r="J109" s="208"/>
      <c r="L109" s="0"/>
    </row>
    <row r="110" customFormat="false" ht="19.85" hidden="false" customHeight="true" outlineLevel="0" collapsed="false">
      <c r="A110" s="0" t="n">
        <v>31</v>
      </c>
      <c r="B110" s="31" t="n">
        <v>39569</v>
      </c>
      <c r="C110" s="56" t="n">
        <v>1159600</v>
      </c>
      <c r="D110" s="0" t="s">
        <v>41</v>
      </c>
      <c r="E110" s="33" t="n">
        <f aca="false">IF(D110="totale",(C110/(A110*24))/F110,IF(D110="marché libre",(C110/(A110*24))/G110,"spécifier histo"))</f>
        <v>0.842487648939262</v>
      </c>
      <c r="F110" s="59" t="n">
        <v>1850</v>
      </c>
      <c r="G110" s="59" t="n">
        <f aca="false">F110-H110</f>
        <v>0</v>
      </c>
      <c r="H110" s="9" t="n">
        <v>1850</v>
      </c>
      <c r="J110" s="208"/>
      <c r="L110" s="0"/>
    </row>
    <row r="111" customFormat="false" ht="19.85" hidden="false" customHeight="true" outlineLevel="0" collapsed="false">
      <c r="A111" s="0" t="n">
        <v>30</v>
      </c>
      <c r="B111" s="34" t="n">
        <v>39600</v>
      </c>
      <c r="C111" s="56" t="n">
        <v>886400</v>
      </c>
      <c r="D111" s="0" t="s">
        <v>41</v>
      </c>
      <c r="E111" s="33" t="n">
        <f aca="false">IF(D111="totale",(C111/(A111*24))/F111,IF(D111="marché libre",(C111/(A111*24))/G111,"spécifier histo"))</f>
        <v>0.665465465465466</v>
      </c>
      <c r="F111" s="59" t="n">
        <v>1850</v>
      </c>
      <c r="G111" s="59" t="n">
        <f aca="false">F111-H111</f>
        <v>0</v>
      </c>
      <c r="H111" s="9" t="n">
        <v>1850</v>
      </c>
      <c r="J111" s="208"/>
      <c r="L111" s="0"/>
    </row>
    <row r="112" customFormat="false" ht="19.85" hidden="false" customHeight="true" outlineLevel="0" collapsed="false">
      <c r="A112" s="0" t="n">
        <v>31</v>
      </c>
      <c r="B112" s="31" t="n">
        <v>39630</v>
      </c>
      <c r="C112" s="56" t="n">
        <v>916400</v>
      </c>
      <c r="D112" s="0" t="s">
        <v>41</v>
      </c>
      <c r="E112" s="33" t="n">
        <f aca="false">IF(D112="totale",(C112/(A112*24))/F112,IF(D112="marché libre",(C112/(A112*24))/G112,"spécifier histo"))</f>
        <v>0.66579482708515</v>
      </c>
      <c r="F112" s="59" t="n">
        <v>1850</v>
      </c>
      <c r="G112" s="59" t="n">
        <f aca="false">F112-H112</f>
        <v>0</v>
      </c>
      <c r="H112" s="9" t="n">
        <v>1850</v>
      </c>
      <c r="J112" s="208"/>
      <c r="L112" s="0"/>
    </row>
    <row r="113" customFormat="false" ht="19.85" hidden="false" customHeight="true" outlineLevel="0" collapsed="false">
      <c r="A113" s="0" t="n">
        <v>31</v>
      </c>
      <c r="B113" s="34" t="n">
        <v>39661</v>
      </c>
      <c r="C113" s="56" t="n">
        <v>135200</v>
      </c>
      <c r="D113" s="0" t="s">
        <v>41</v>
      </c>
      <c r="E113" s="33" t="n">
        <f aca="false">IF(D113="totale",(C113/(A113*24))/F113,IF(D113="marché libre",(C113/(A113*24))/G113,"spécifier histo"))</f>
        <v>0.0982272595175821</v>
      </c>
      <c r="F113" s="59" t="n">
        <v>1850</v>
      </c>
      <c r="G113" s="59" t="n">
        <f aca="false">F113-H113</f>
        <v>0</v>
      </c>
      <c r="H113" s="9" t="n">
        <v>1850</v>
      </c>
      <c r="J113" s="208"/>
      <c r="L113" s="0"/>
    </row>
    <row r="114" customFormat="false" ht="19.85" hidden="false" customHeight="true" outlineLevel="0" collapsed="false">
      <c r="A114" s="0" t="n">
        <v>30</v>
      </c>
      <c r="B114" s="31" t="n">
        <v>39692</v>
      </c>
      <c r="C114" s="56" t="n">
        <v>230400</v>
      </c>
      <c r="D114" s="0" t="s">
        <v>41</v>
      </c>
      <c r="E114" s="33" t="n">
        <f aca="false">IF(D114="totale",(C114/(A114*24))/F114,IF(D114="marché libre",(C114/(A114*24))/G114,"spécifier histo"))</f>
        <v>0.172972972972973</v>
      </c>
      <c r="F114" s="59" t="n">
        <v>1850</v>
      </c>
      <c r="G114" s="59" t="n">
        <f aca="false">F114-H114</f>
        <v>0</v>
      </c>
      <c r="H114" s="9" t="n">
        <v>1850</v>
      </c>
      <c r="J114" s="208"/>
      <c r="L114" s="0"/>
    </row>
    <row r="115" customFormat="false" ht="19.85" hidden="false" customHeight="true" outlineLevel="0" collapsed="false">
      <c r="A115" s="0" t="n">
        <v>31</v>
      </c>
      <c r="B115" s="34" t="n">
        <v>39722</v>
      </c>
      <c r="C115" s="56" t="n">
        <v>119200</v>
      </c>
      <c r="D115" s="0" t="s">
        <v>41</v>
      </c>
      <c r="E115" s="33" t="n">
        <f aca="false">IF(D115="totale",(C115/(A115*24))/F115,IF(D115="marché libre",(C115/(A115*24))/G115,"spécifier histo"))</f>
        <v>0.0866027317640221</v>
      </c>
      <c r="F115" s="59" t="n">
        <v>1850</v>
      </c>
      <c r="G115" s="59" t="n">
        <f aca="false">F115-H115</f>
        <v>0</v>
      </c>
      <c r="H115" s="9" t="n">
        <v>1850</v>
      </c>
      <c r="J115" s="208"/>
      <c r="L115" s="0"/>
    </row>
    <row r="116" customFormat="false" ht="19.85" hidden="false" customHeight="true" outlineLevel="0" collapsed="false">
      <c r="A116" s="0" t="n">
        <v>30</v>
      </c>
      <c r="B116" s="31" t="n">
        <v>39753</v>
      </c>
      <c r="C116" s="56" t="n">
        <v>314400</v>
      </c>
      <c r="D116" s="0" t="s">
        <v>41</v>
      </c>
      <c r="E116" s="33" t="n">
        <f aca="false">IF(D116="totale",(C116/(A116*24))/F116,IF(D116="marché libre",(C116/(A116*24))/G116,"spécifier histo"))</f>
        <v>0.236036036036036</v>
      </c>
      <c r="F116" s="59" t="n">
        <v>1850</v>
      </c>
      <c r="G116" s="59" t="n">
        <f aca="false">F116-H116</f>
        <v>0</v>
      </c>
      <c r="H116" s="9" t="n">
        <v>1850</v>
      </c>
      <c r="J116" s="208"/>
      <c r="L116" s="0"/>
    </row>
    <row r="117" customFormat="false" ht="19.85" hidden="false" customHeight="true" outlineLevel="0" collapsed="false">
      <c r="A117" s="0" t="n">
        <v>31</v>
      </c>
      <c r="B117" s="34" t="n">
        <v>39783</v>
      </c>
      <c r="C117" s="56" t="n">
        <v>165600</v>
      </c>
      <c r="D117" s="0" t="s">
        <v>41</v>
      </c>
      <c r="E117" s="33" t="n">
        <f aca="false">IF(D117="totale",(C117/(A117*24))/F117,IF(D117="marché libre",(C117/(A117*24))/G117,"spécifier histo"))</f>
        <v>0.120313862249346</v>
      </c>
      <c r="F117" s="59" t="n">
        <v>1850</v>
      </c>
      <c r="G117" s="59" t="n">
        <f aca="false">F117-H117</f>
        <v>0</v>
      </c>
      <c r="H117" s="9" t="n">
        <v>1850</v>
      </c>
      <c r="J117" s="208"/>
      <c r="L117" s="0"/>
    </row>
    <row r="118" customFormat="false" ht="19.85" hidden="false" customHeight="true" outlineLevel="0" collapsed="false">
      <c r="A118" s="0" t="n">
        <v>31</v>
      </c>
      <c r="B118" s="31" t="n">
        <v>39814</v>
      </c>
      <c r="C118" s="56" t="n">
        <v>93200</v>
      </c>
      <c r="D118" s="0" t="s">
        <v>41</v>
      </c>
      <c r="E118" s="33" t="n">
        <f aca="false">IF(D118="totale",(C118/(A118*24))/F118,IF(D118="marché libre",(C118/(A118*24))/G118,"spécifier histo"))</f>
        <v>0.0677128741644871</v>
      </c>
      <c r="F118" s="59" t="n">
        <v>1850</v>
      </c>
      <c r="G118" s="59" t="n">
        <f aca="false">F118-H118</f>
        <v>0</v>
      </c>
      <c r="H118" s="9" t="n">
        <v>1850</v>
      </c>
      <c r="J118" s="208"/>
      <c r="L118" s="0"/>
    </row>
    <row r="119" customFormat="false" ht="19.85" hidden="false" customHeight="true" outlineLevel="0" collapsed="false">
      <c r="A119" s="0" t="n">
        <v>28</v>
      </c>
      <c r="B119" s="34" t="n">
        <v>39845</v>
      </c>
      <c r="C119" s="56" t="n">
        <v>96800</v>
      </c>
      <c r="D119" s="0" t="s">
        <v>41</v>
      </c>
      <c r="E119" s="33" t="n">
        <f aca="false">IF(D119="totale",(C119/(A119*24))/F119,IF(D119="marché libre",(C119/(A119*24))/G119,"spécifier histo"))</f>
        <v>0.0778635778635779</v>
      </c>
      <c r="F119" s="59" t="n">
        <v>1850</v>
      </c>
      <c r="G119" s="59" t="n">
        <f aca="false">F119-H119</f>
        <v>0</v>
      </c>
      <c r="H119" s="9" t="n">
        <v>1850</v>
      </c>
      <c r="J119" s="208"/>
      <c r="L119" s="0"/>
    </row>
    <row r="120" customFormat="false" ht="19.85" hidden="false" customHeight="true" outlineLevel="0" collapsed="false">
      <c r="A120" s="0" t="n">
        <v>31</v>
      </c>
      <c r="B120" s="31" t="n">
        <v>39873</v>
      </c>
      <c r="C120" s="56" t="n">
        <v>413200</v>
      </c>
      <c r="D120" s="0" t="s">
        <v>41</v>
      </c>
      <c r="E120" s="33" t="n">
        <f aca="false">IF(D120="totale",(C120/(A120*24))/F120,IF(D120="marché libre",(C120/(A120*24))/G120,"spécifier histo"))</f>
        <v>0.300203429235687</v>
      </c>
      <c r="F120" s="59" t="n">
        <v>1850</v>
      </c>
      <c r="G120" s="59" t="n">
        <f aca="false">F120-H120</f>
        <v>0</v>
      </c>
      <c r="H120" s="9" t="n">
        <v>1850</v>
      </c>
      <c r="J120" s="208"/>
      <c r="L120" s="0"/>
    </row>
    <row r="121" customFormat="false" ht="19.85" hidden="false" customHeight="true" outlineLevel="0" collapsed="false">
      <c r="A121" s="0" t="n">
        <v>30</v>
      </c>
      <c r="B121" s="34" t="n">
        <v>39904</v>
      </c>
      <c r="C121" s="56" t="n">
        <v>1044800</v>
      </c>
      <c r="D121" s="0" t="s">
        <v>41</v>
      </c>
      <c r="E121" s="33" t="n">
        <f aca="false">IF(D121="totale",(C121/(A121*24))/F121,IF(D121="marché libre",(C121/(A121*24))/G121,"spécifier histo"))</f>
        <v>0.784384384384384</v>
      </c>
      <c r="F121" s="59" t="n">
        <v>1850</v>
      </c>
      <c r="G121" s="59" t="n">
        <f aca="false">F121-H121</f>
        <v>0</v>
      </c>
      <c r="H121" s="9" t="n">
        <v>1850</v>
      </c>
      <c r="J121" s="208"/>
      <c r="L121" s="0"/>
    </row>
    <row r="122" customFormat="false" ht="19.85" hidden="false" customHeight="true" outlineLevel="0" collapsed="false">
      <c r="A122" s="0" t="n">
        <v>31</v>
      </c>
      <c r="B122" s="31" t="n">
        <v>39934</v>
      </c>
      <c r="C122" s="56" t="n">
        <v>1208800</v>
      </c>
      <c r="D122" s="0" t="s">
        <v>41</v>
      </c>
      <c r="E122" s="33" t="n">
        <f aca="false">IF(D122="totale",(C122/(A122*24))/F122,IF(D122="marché libre",(C122/(A122*24))/G122,"spécifier histo"))</f>
        <v>0.878233071781459</v>
      </c>
      <c r="F122" s="59" t="n">
        <v>1850</v>
      </c>
      <c r="G122" s="59" t="n">
        <f aca="false">F122-H122</f>
        <v>0</v>
      </c>
      <c r="H122" s="9" t="n">
        <v>1850</v>
      </c>
      <c r="J122" s="208"/>
      <c r="L122" s="0"/>
    </row>
    <row r="123" customFormat="false" ht="19.85" hidden="false" customHeight="true" outlineLevel="0" collapsed="false">
      <c r="A123" s="0" t="n">
        <v>30</v>
      </c>
      <c r="B123" s="34" t="n">
        <v>39965</v>
      </c>
      <c r="C123" s="56" t="n">
        <v>1350000</v>
      </c>
      <c r="D123" s="0" t="s">
        <v>41</v>
      </c>
      <c r="E123" s="33" t="n">
        <f aca="false">IF(D123="totale",(C123/(A123*24))/F123,IF(D123="marché libre",(C123/(A123*24))/G123,"spécifier histo"))</f>
        <v>1.01351351351351</v>
      </c>
      <c r="F123" s="59" t="n">
        <v>1850</v>
      </c>
      <c r="G123" s="59" t="n">
        <f aca="false">F123-H123</f>
        <v>0</v>
      </c>
      <c r="H123" s="9" t="n">
        <v>1850</v>
      </c>
      <c r="J123" s="208"/>
      <c r="L123" s="0"/>
    </row>
    <row r="124" customFormat="false" ht="19.85" hidden="false" customHeight="true" outlineLevel="0" collapsed="false">
      <c r="A124" s="0" t="n">
        <v>31</v>
      </c>
      <c r="B124" s="31" t="n">
        <v>39995</v>
      </c>
      <c r="C124" s="56" t="n">
        <v>535600</v>
      </c>
      <c r="D124" s="0" t="s">
        <v>41</v>
      </c>
      <c r="E124" s="33" t="n">
        <f aca="false">IF(D124="totale",(C124/(A124*24))/F124,IF(D124="marché libre",(C124/(A124*24))/G124,"spécifier histo"))</f>
        <v>0.389131066550421</v>
      </c>
      <c r="F124" s="59" t="n">
        <v>1850</v>
      </c>
      <c r="G124" s="59" t="n">
        <f aca="false">F124-H124</f>
        <v>0</v>
      </c>
      <c r="H124" s="9" t="n">
        <v>1850</v>
      </c>
      <c r="J124" s="208"/>
      <c r="L124" s="0"/>
    </row>
    <row r="125" customFormat="false" ht="19.85" hidden="false" customHeight="true" outlineLevel="0" collapsed="false">
      <c r="A125" s="0" t="n">
        <v>31</v>
      </c>
      <c r="B125" s="34" t="n">
        <v>40026</v>
      </c>
      <c r="C125" s="56" t="n">
        <v>4000</v>
      </c>
      <c r="D125" s="0" t="s">
        <v>41</v>
      </c>
      <c r="E125" s="33" t="n">
        <f aca="false">IF(D125="totale",(C125/(A125*24))/F125,IF(D125="marché libre",(C125/(A125*24))/G125,"spécifier histo"))</f>
        <v>0.00290613193839</v>
      </c>
      <c r="F125" s="59" t="n">
        <v>1850</v>
      </c>
      <c r="G125" s="59" t="n">
        <f aca="false">F125-H125</f>
        <v>0</v>
      </c>
      <c r="H125" s="9" t="n">
        <v>1850</v>
      </c>
      <c r="J125" s="208"/>
      <c r="L125" s="0"/>
    </row>
    <row r="126" customFormat="false" ht="19.85" hidden="false" customHeight="true" outlineLevel="0" collapsed="false">
      <c r="A126" s="0" t="n">
        <v>30</v>
      </c>
      <c r="B126" s="31" t="n">
        <v>40057</v>
      </c>
      <c r="C126" s="56" t="n">
        <v>400</v>
      </c>
      <c r="D126" s="0" t="s">
        <v>41</v>
      </c>
      <c r="E126" s="33" t="n">
        <f aca="false">IF(D126="totale",(C126/(A126*24))/F126,IF(D126="marché libre",(C126/(A126*24))/G126,"spécifier histo"))</f>
        <v>0.0003003003003003</v>
      </c>
      <c r="F126" s="59" t="n">
        <v>1850</v>
      </c>
      <c r="G126" s="59" t="n">
        <f aca="false">F126-H126</f>
        <v>0</v>
      </c>
      <c r="H126" s="9" t="n">
        <v>1850</v>
      </c>
      <c r="J126" s="208"/>
      <c r="L126" s="0"/>
    </row>
    <row r="127" customFormat="false" ht="19.85" hidden="false" customHeight="true" outlineLevel="0" collapsed="false">
      <c r="A127" s="0" t="n">
        <v>31</v>
      </c>
      <c r="B127" s="34" t="n">
        <v>40087</v>
      </c>
      <c r="C127" s="56" t="n">
        <v>71600</v>
      </c>
      <c r="D127" s="0" t="s">
        <v>41</v>
      </c>
      <c r="E127" s="33" t="n">
        <f aca="false">IF(D127="totale",(C127/(A127*24))/F127,IF(D127="marché libre",(C127/(A127*24))/G127,"spécifier histo"))</f>
        <v>0.0520197616971811</v>
      </c>
      <c r="F127" s="59" t="n">
        <v>1850</v>
      </c>
      <c r="G127" s="59" t="n">
        <f aca="false">F127-H127</f>
        <v>0</v>
      </c>
      <c r="H127" s="9" t="n">
        <v>1850</v>
      </c>
      <c r="J127" s="208"/>
      <c r="L127" s="0"/>
    </row>
    <row r="128" customFormat="false" ht="19.85" hidden="false" customHeight="true" outlineLevel="0" collapsed="false">
      <c r="A128" s="0" t="n">
        <v>30</v>
      </c>
      <c r="B128" s="31" t="n">
        <v>40118</v>
      </c>
      <c r="C128" s="56" t="n">
        <v>88000</v>
      </c>
      <c r="D128" s="0" t="s">
        <v>41</v>
      </c>
      <c r="E128" s="33" t="n">
        <f aca="false">IF(D128="totale",(C128/(A128*24))/F128,IF(D128="marché libre",(C128/(A128*24))/G128,"spécifier histo"))</f>
        <v>0.0660660660660661</v>
      </c>
      <c r="F128" s="59" t="n">
        <v>1850</v>
      </c>
      <c r="G128" s="59" t="n">
        <f aca="false">F128-H128</f>
        <v>0</v>
      </c>
      <c r="H128" s="9" t="n">
        <v>1850</v>
      </c>
      <c r="J128" s="208"/>
      <c r="L128" s="0"/>
    </row>
    <row r="129" customFormat="false" ht="19.85" hidden="false" customHeight="true" outlineLevel="0" collapsed="false">
      <c r="A129" s="0" t="n">
        <v>31</v>
      </c>
      <c r="B129" s="34" t="n">
        <v>40148</v>
      </c>
      <c r="C129" s="56" t="n">
        <v>200400</v>
      </c>
      <c r="D129" s="0" t="s">
        <v>41</v>
      </c>
      <c r="E129" s="33" t="n">
        <f aca="false">IF(D129="totale",(C129/(A129*24))/F129,IF(D129="marché libre",(C129/(A129*24))/G129,"spécifier histo"))</f>
        <v>0.145597210113339</v>
      </c>
      <c r="F129" s="59" t="n">
        <v>1850</v>
      </c>
      <c r="G129" s="59" t="n">
        <f aca="false">F129-H129</f>
        <v>0</v>
      </c>
      <c r="H129" s="9" t="n">
        <v>1850</v>
      </c>
      <c r="J129" s="208"/>
      <c r="L129" s="0"/>
    </row>
    <row r="130" customFormat="false" ht="19.85" hidden="false" customHeight="true" outlineLevel="0" collapsed="false">
      <c r="A130" s="0" t="n">
        <v>31</v>
      </c>
      <c r="B130" s="31" t="n">
        <v>40179</v>
      </c>
      <c r="C130" s="56" t="n">
        <v>272400</v>
      </c>
      <c r="D130" s="0" t="s">
        <v>41</v>
      </c>
      <c r="E130" s="33" t="n">
        <f aca="false">IF(D130="totale",(C130/(A130*24))/F130,IF(D130="marché libre",(C130/(A130*24))/G130,"spécifier histo"))</f>
        <v>0.197907585004359</v>
      </c>
      <c r="F130" s="59" t="n">
        <v>1850</v>
      </c>
      <c r="G130" s="59" t="n">
        <f aca="false">F130-H130</f>
        <v>0</v>
      </c>
      <c r="H130" s="9" t="n">
        <v>1850</v>
      </c>
      <c r="J130" s="208"/>
      <c r="L130" s="0"/>
    </row>
    <row r="131" customFormat="false" ht="19.85" hidden="false" customHeight="true" outlineLevel="0" collapsed="false">
      <c r="A131" s="0" t="n">
        <v>28</v>
      </c>
      <c r="B131" s="34" t="n">
        <v>40210</v>
      </c>
      <c r="C131" s="56" t="n">
        <v>140400</v>
      </c>
      <c r="D131" s="0" t="s">
        <v>41</v>
      </c>
      <c r="E131" s="33" t="n">
        <f aca="false">IF(D131="totale",(C131/(A131*24))/F131,IF(D131="marché libre",(C131/(A131*24))/G131,"spécifier histo"))</f>
        <v>0.112934362934363</v>
      </c>
      <c r="F131" s="59" t="n">
        <v>1850</v>
      </c>
      <c r="G131" s="59" t="n">
        <f aca="false">F131-H131</f>
        <v>0</v>
      </c>
      <c r="H131" s="9" t="n">
        <v>1850</v>
      </c>
      <c r="J131" s="208"/>
      <c r="L131" s="0"/>
    </row>
    <row r="132" customFormat="false" ht="19.85" hidden="false" customHeight="true" outlineLevel="0" collapsed="false">
      <c r="A132" s="0" t="n">
        <v>31</v>
      </c>
      <c r="B132" s="31" t="n">
        <v>40238</v>
      </c>
      <c r="C132" s="56" t="n">
        <v>523370</v>
      </c>
      <c r="D132" s="0" t="s">
        <v>41</v>
      </c>
      <c r="E132" s="33" t="n">
        <f aca="false">IF(D132="totale",(C132/(A132*24))/F132,IF(D132="marché libre",(C132/(A132*24))/G132,"spécifier histo"))</f>
        <v>0.380245568148794</v>
      </c>
      <c r="F132" s="59" t="n">
        <v>1850</v>
      </c>
      <c r="G132" s="59" t="n">
        <f aca="false">F132-H132</f>
        <v>0</v>
      </c>
      <c r="H132" s="9" t="n">
        <v>1850</v>
      </c>
      <c r="J132" s="208"/>
      <c r="L132" s="0"/>
    </row>
    <row r="133" customFormat="false" ht="19.85" hidden="false" customHeight="true" outlineLevel="0" collapsed="false">
      <c r="A133" s="0" t="n">
        <v>30</v>
      </c>
      <c r="B133" s="34" t="n">
        <v>40269</v>
      </c>
      <c r="C133" s="56" t="n">
        <v>874510</v>
      </c>
      <c r="D133" s="0" t="s">
        <v>41</v>
      </c>
      <c r="E133" s="33" t="n">
        <f aca="false">IF(D133="totale",(C133/(A133*24))/F133,IF(D133="marché libre",(C133/(A133*24))/G133,"spécifier histo"))</f>
        <v>0.656539039039039</v>
      </c>
      <c r="F133" s="59" t="n">
        <v>1850</v>
      </c>
      <c r="G133" s="59" t="n">
        <f aca="false">F133-H133</f>
        <v>0</v>
      </c>
      <c r="H133" s="9" t="n">
        <v>1850</v>
      </c>
      <c r="J133" s="208"/>
      <c r="L133" s="0"/>
    </row>
    <row r="134" customFormat="false" ht="19.85" hidden="false" customHeight="true" outlineLevel="0" collapsed="false">
      <c r="A134" s="0" t="n">
        <v>31</v>
      </c>
      <c r="B134" s="31" t="n">
        <v>40299</v>
      </c>
      <c r="C134" s="56" t="n">
        <v>1229990</v>
      </c>
      <c r="D134" s="0" t="s">
        <v>41</v>
      </c>
      <c r="E134" s="33" t="n">
        <f aca="false">IF(D134="totale",(C134/(A134*24))/F134,IF(D134="marché libre",(C134/(A134*24))/G134,"spécifier histo"))</f>
        <v>0.89362830572508</v>
      </c>
      <c r="F134" s="59" t="n">
        <v>1850</v>
      </c>
      <c r="G134" s="59" t="n">
        <f aca="false">F134-H134</f>
        <v>0</v>
      </c>
      <c r="H134" s="9" t="n">
        <v>1850</v>
      </c>
      <c r="J134" s="208"/>
    </row>
    <row r="135" customFormat="false" ht="19.85" hidden="false" customHeight="true" outlineLevel="0" collapsed="false">
      <c r="A135" s="0" t="n">
        <v>30</v>
      </c>
      <c r="B135" s="34" t="n">
        <v>40330</v>
      </c>
      <c r="C135" s="56" t="n">
        <v>1228480</v>
      </c>
      <c r="D135" s="0" t="s">
        <v>41</v>
      </c>
      <c r="E135" s="33" t="n">
        <f aca="false">IF(D135="totale",(C135/(A135*24))/F135,IF(D135="marché libre",(C135/(A135*24))/G135,"spécifier histo"))</f>
        <v>0.922282282282282</v>
      </c>
      <c r="F135" s="59" t="n">
        <v>1850</v>
      </c>
      <c r="G135" s="59" t="n">
        <f aca="false">F135-H135</f>
        <v>0</v>
      </c>
      <c r="H135" s="9" t="n">
        <v>1850</v>
      </c>
      <c r="J135" s="208"/>
    </row>
    <row r="136" customFormat="false" ht="19.85" hidden="false" customHeight="true" outlineLevel="0" collapsed="false">
      <c r="A136" s="0" t="n">
        <v>31</v>
      </c>
      <c r="B136" s="31" t="n">
        <v>40360</v>
      </c>
      <c r="C136" s="56" t="n">
        <v>926420</v>
      </c>
      <c r="D136" s="0" t="s">
        <v>41</v>
      </c>
      <c r="E136" s="33" t="n">
        <f aca="false">IF(D136="totale",(C136/(A136*24))/F136,IF(D136="marché libre",(C136/(A136*24))/G136,"spécifier histo"))</f>
        <v>0.673074687590817</v>
      </c>
      <c r="F136" s="59" t="n">
        <v>1850</v>
      </c>
      <c r="G136" s="59" t="n">
        <f aca="false">F136-H136</f>
        <v>0</v>
      </c>
      <c r="H136" s="9" t="n">
        <v>1850</v>
      </c>
      <c r="J136" s="208"/>
    </row>
    <row r="137" customFormat="false" ht="19.85" hidden="false" customHeight="true" outlineLevel="0" collapsed="false">
      <c r="A137" s="0" t="n">
        <v>31</v>
      </c>
      <c r="B137" s="34" t="n">
        <v>40391</v>
      </c>
      <c r="C137" s="56" t="n">
        <v>33060</v>
      </c>
      <c r="D137" s="0" t="s">
        <v>41</v>
      </c>
      <c r="E137" s="33" t="n">
        <f aca="false">IF(D137="totale",(C137/(A137*24))/F137,IF(D137="marché libre",(C137/(A137*24))/G137,"spécifier histo"))</f>
        <v>0.0240191804707934</v>
      </c>
      <c r="F137" s="59" t="n">
        <v>1850</v>
      </c>
      <c r="G137" s="59" t="n">
        <f aca="false">F137-H137</f>
        <v>0</v>
      </c>
      <c r="H137" s="9" t="n">
        <v>1850</v>
      </c>
      <c r="J137" s="208"/>
    </row>
    <row r="138" customFormat="false" ht="19.85" hidden="false" customHeight="true" outlineLevel="0" collapsed="false">
      <c r="A138" s="0" t="n">
        <v>30</v>
      </c>
      <c r="B138" s="31" t="n">
        <v>40422</v>
      </c>
      <c r="C138" s="56" t="n">
        <v>306900</v>
      </c>
      <c r="D138" s="0" t="s">
        <v>41</v>
      </c>
      <c r="E138" s="33" t="n">
        <f aca="false">IF(D138="totale",(C138/(A138*24))/F138,IF(D138="marché libre",(C138/(A138*24))/G138,"spécifier histo"))</f>
        <v>0.230405405405405</v>
      </c>
      <c r="F138" s="59" t="n">
        <v>1850</v>
      </c>
      <c r="G138" s="59" t="n">
        <f aca="false">F138-H138</f>
        <v>0</v>
      </c>
      <c r="H138" s="9" t="n">
        <v>1850</v>
      </c>
      <c r="J138" s="208"/>
    </row>
    <row r="139" customFormat="false" ht="19.85" hidden="false" customHeight="true" outlineLevel="0" collapsed="false">
      <c r="A139" s="0" t="n">
        <v>31</v>
      </c>
      <c r="B139" s="34" t="n">
        <v>40452</v>
      </c>
      <c r="C139" s="56" t="n">
        <v>263130</v>
      </c>
      <c r="D139" s="0" t="s">
        <v>41</v>
      </c>
      <c r="E139" s="33" t="n">
        <f aca="false">IF(D139="totale",(C139/(A139*24))/F139,IF(D139="marché libre",(C139/(A139*24))/G139,"spécifier histo"))</f>
        <v>0.19117262423714</v>
      </c>
      <c r="F139" s="59" t="n">
        <v>1850</v>
      </c>
      <c r="G139" s="59" t="n">
        <f aca="false">F139-H139</f>
        <v>0</v>
      </c>
      <c r="H139" s="9" t="n">
        <v>1850</v>
      </c>
      <c r="J139" s="208"/>
    </row>
    <row r="140" customFormat="false" ht="19.85" hidden="false" customHeight="true" outlineLevel="0" collapsed="false">
      <c r="A140" s="0" t="n">
        <v>30</v>
      </c>
      <c r="B140" s="31" t="n">
        <v>40483</v>
      </c>
      <c r="C140" s="56" t="n">
        <v>384470</v>
      </c>
      <c r="D140" s="0" t="s">
        <v>41</v>
      </c>
      <c r="E140" s="33" t="n">
        <f aca="false">IF(D140="totale",(C140/(A140*24))/F140,IF(D140="marché libre",(C140/(A140*24))/G140,"spécifier histo"))</f>
        <v>0.288641141141141</v>
      </c>
      <c r="F140" s="59" t="n">
        <v>1850</v>
      </c>
      <c r="G140" s="59" t="n">
        <f aca="false">F140-H140</f>
        <v>0</v>
      </c>
      <c r="H140" s="9" t="n">
        <v>1850</v>
      </c>
      <c r="J140" s="208"/>
    </row>
    <row r="141" customFormat="false" ht="19.85" hidden="false" customHeight="true" outlineLevel="0" collapsed="false">
      <c r="A141" s="0" t="n">
        <v>31</v>
      </c>
      <c r="B141" s="34" t="n">
        <v>40513</v>
      </c>
      <c r="C141" s="56" t="n">
        <v>491970</v>
      </c>
      <c r="D141" s="0" t="s">
        <v>41</v>
      </c>
      <c r="E141" s="33" t="n">
        <f aca="false">IF(D141="totale",(C141/(A141*24))/F141,IF(D141="marché libre",(C141/(A141*24))/G141,"spécifier histo"))</f>
        <v>0.357432432432432</v>
      </c>
      <c r="F141" s="59" t="n">
        <v>1850</v>
      </c>
      <c r="G141" s="59" t="n">
        <f aca="false">F141-H141</f>
        <v>0</v>
      </c>
      <c r="H141" s="9" t="n">
        <v>1850</v>
      </c>
      <c r="J141" s="208"/>
    </row>
    <row r="142" customFormat="false" ht="19.85" hidden="false" customHeight="true" outlineLevel="0" collapsed="false">
      <c r="A142" s="0" t="n">
        <v>31</v>
      </c>
      <c r="B142" s="31" t="n">
        <v>40544</v>
      </c>
      <c r="C142" s="56" t="n">
        <v>357030</v>
      </c>
      <c r="D142" s="0" t="s">
        <v>41</v>
      </c>
      <c r="E142" s="33" t="n">
        <f aca="false">IF(D142="totale",(C142/(A142*24))/F142,IF(D142="marché libre",(C142/(A142*24))/G142,"spécifier histo"))</f>
        <v>0.259394071490846</v>
      </c>
      <c r="F142" s="59" t="n">
        <v>1850</v>
      </c>
      <c r="G142" s="59" t="n">
        <f aca="false">F142-H142</f>
        <v>0</v>
      </c>
      <c r="H142" s="9" t="n">
        <v>1850</v>
      </c>
      <c r="J142" s="208"/>
    </row>
    <row r="143" customFormat="false" ht="19.85" hidden="false" customHeight="true" outlineLevel="0" collapsed="false">
      <c r="A143" s="0" t="n">
        <v>28</v>
      </c>
      <c r="B143" s="34" t="n">
        <v>40575</v>
      </c>
      <c r="C143" s="56" t="n">
        <v>208100</v>
      </c>
      <c r="D143" s="0" t="s">
        <v>41</v>
      </c>
      <c r="E143" s="33" t="n">
        <f aca="false">IF(D143="totale",(C143/(A143*24))/F143,IF(D143="marché libre",(C143/(A143*24))/G143,"spécifier histo"))</f>
        <v>0.167390604890605</v>
      </c>
      <c r="F143" s="59" t="n">
        <v>1850</v>
      </c>
      <c r="G143" s="59" t="n">
        <f aca="false">F143-H143</f>
        <v>0</v>
      </c>
      <c r="H143" s="9" t="n">
        <v>1850</v>
      </c>
      <c r="J143" s="208"/>
    </row>
    <row r="144" customFormat="false" ht="19.85" hidden="false" customHeight="true" outlineLevel="0" collapsed="false">
      <c r="A144" s="0" t="n">
        <v>31</v>
      </c>
      <c r="B144" s="31" t="n">
        <v>40603</v>
      </c>
      <c r="C144" s="56" t="n">
        <v>337230</v>
      </c>
      <c r="D144" s="0" t="s">
        <v>41</v>
      </c>
      <c r="E144" s="33" t="n">
        <f aca="false">IF(D144="totale",(C144/(A144*24))/F144,IF(D144="marché libre",(C144/(A144*24))/G144,"spécifier histo"))</f>
        <v>0.245008718395815</v>
      </c>
      <c r="F144" s="59" t="n">
        <v>1850</v>
      </c>
      <c r="G144" s="59" t="n">
        <f aca="false">F144-H144</f>
        <v>0</v>
      </c>
      <c r="H144" s="9" t="n">
        <v>1850</v>
      </c>
      <c r="J144" s="208"/>
    </row>
    <row r="145" customFormat="false" ht="19.85" hidden="false" customHeight="true" outlineLevel="0" collapsed="false">
      <c r="A145" s="0" t="n">
        <v>30</v>
      </c>
      <c r="B145" s="34" t="n">
        <v>40634</v>
      </c>
      <c r="C145" s="56" t="n">
        <v>1210850</v>
      </c>
      <c r="D145" s="0" t="s">
        <v>41</v>
      </c>
      <c r="E145" s="33" t="n">
        <f aca="false">IF(D145="totale",(C145/(A145*24))/F145,IF(D145="marché libre",(C145/(A145*24))/G145,"spécifier histo"))</f>
        <v>0.909046546546546</v>
      </c>
      <c r="F145" s="59" t="n">
        <v>1850</v>
      </c>
      <c r="G145" s="59" t="n">
        <f aca="false">F145-H145</f>
        <v>0</v>
      </c>
      <c r="H145" s="9" t="n">
        <v>1850</v>
      </c>
      <c r="J145" s="208"/>
    </row>
    <row r="146" customFormat="false" ht="19.85" hidden="false" customHeight="true" outlineLevel="0" collapsed="false">
      <c r="A146" s="0" t="n">
        <v>31</v>
      </c>
      <c r="B146" s="31" t="n">
        <v>40664</v>
      </c>
      <c r="C146" s="56" t="n">
        <v>1140200</v>
      </c>
      <c r="D146" s="0" t="s">
        <v>41</v>
      </c>
      <c r="E146" s="33" t="n">
        <f aca="false">IF(D146="totale",(C146/(A146*24))/F146,IF(D146="marché libre",(C146/(A146*24))/G146,"spécifier histo"))</f>
        <v>0.82839290903807</v>
      </c>
      <c r="F146" s="59" t="n">
        <v>1850</v>
      </c>
      <c r="G146" s="59" t="n">
        <f aca="false">F146-H146</f>
        <v>0</v>
      </c>
      <c r="H146" s="9" t="n">
        <v>1850</v>
      </c>
      <c r="J146" s="208"/>
    </row>
    <row r="147" customFormat="false" ht="19.85" hidden="false" customHeight="true" outlineLevel="0" collapsed="false">
      <c r="A147" s="0" t="n">
        <v>30</v>
      </c>
      <c r="B147" s="34" t="n">
        <v>40695</v>
      </c>
      <c r="C147" s="56" t="n">
        <v>1161960</v>
      </c>
      <c r="D147" s="0" t="s">
        <v>41</v>
      </c>
      <c r="E147" s="33" t="n">
        <f aca="false">IF(D147="totale",(C147/(A147*24))/F147,IF(D147="marché libre",(C147/(A147*24))/G147,"spécifier histo"))</f>
        <v>0.872342342342342</v>
      </c>
      <c r="F147" s="59" t="n">
        <v>1850</v>
      </c>
      <c r="G147" s="59" t="n">
        <f aca="false">F147-H147</f>
        <v>0</v>
      </c>
      <c r="H147" s="9" t="n">
        <v>1850</v>
      </c>
      <c r="J147" s="208"/>
    </row>
    <row r="148" customFormat="false" ht="19.85" hidden="false" customHeight="true" outlineLevel="0" collapsed="false">
      <c r="A148" s="0" t="n">
        <v>31</v>
      </c>
      <c r="B148" s="31" t="n">
        <v>40725</v>
      </c>
      <c r="C148" s="56" t="n">
        <v>629090</v>
      </c>
      <c r="D148" s="0" t="s">
        <v>41</v>
      </c>
      <c r="E148" s="33" t="n">
        <f aca="false">IF(D148="totale",(C148/(A148*24))/F148,IF(D148="marché libre",(C148/(A148*24))/G148,"spécifier histo"))</f>
        <v>0.457054635280442</v>
      </c>
      <c r="F148" s="59" t="n">
        <v>1850</v>
      </c>
      <c r="G148" s="59" t="n">
        <f aca="false">F148-H148</f>
        <v>0</v>
      </c>
      <c r="H148" s="9" t="n">
        <v>1850</v>
      </c>
      <c r="J148" s="208"/>
    </row>
    <row r="149" customFormat="false" ht="19.85" hidden="false" customHeight="true" outlineLevel="0" collapsed="false">
      <c r="A149" s="0" t="n">
        <v>31</v>
      </c>
      <c r="B149" s="34" t="n">
        <v>40756</v>
      </c>
      <c r="C149" s="56" t="n">
        <v>493750</v>
      </c>
      <c r="D149" s="0" t="s">
        <v>41</v>
      </c>
      <c r="E149" s="33" t="n">
        <f aca="false">IF(D149="totale",(C149/(A149*24))/F149,IF(D149="marché libre",(C149/(A149*24))/G149,"spécifier histo"))</f>
        <v>0.358725661145016</v>
      </c>
      <c r="F149" s="59" t="n">
        <v>1850</v>
      </c>
      <c r="G149" s="59" t="n">
        <f aca="false">F149-H149</f>
        <v>0</v>
      </c>
      <c r="H149" s="9" t="n">
        <v>1850</v>
      </c>
      <c r="J149" s="208"/>
    </row>
    <row r="150" customFormat="false" ht="19.85" hidden="false" customHeight="true" outlineLevel="0" collapsed="false">
      <c r="A150" s="0" t="n">
        <v>30</v>
      </c>
      <c r="B150" s="31" t="n">
        <v>40787</v>
      </c>
      <c r="C150" s="56" t="n">
        <v>98040</v>
      </c>
      <c r="D150" s="0" t="s">
        <v>41</v>
      </c>
      <c r="E150" s="33" t="n">
        <f aca="false">IF(D150="totale",(C150/(A150*24))/F150,IF(D150="marché libre",(C150/(A150*24))/G150,"spécifier histo"))</f>
        <v>0.0736036036036036</v>
      </c>
      <c r="F150" s="59" t="n">
        <v>1850</v>
      </c>
      <c r="G150" s="59" t="n">
        <f aca="false">F150-H150</f>
        <v>0</v>
      </c>
      <c r="H150" s="9" t="n">
        <v>1850</v>
      </c>
      <c r="J150" s="208"/>
    </row>
    <row r="151" customFormat="false" ht="19.85" hidden="false" customHeight="true" outlineLevel="0" collapsed="false">
      <c r="A151" s="0" t="n">
        <v>31</v>
      </c>
      <c r="B151" s="34" t="n">
        <v>40817</v>
      </c>
      <c r="C151" s="56" t="n">
        <v>162590</v>
      </c>
      <c r="D151" s="0" t="s">
        <v>41</v>
      </c>
      <c r="E151" s="33" t="n">
        <f aca="false">IF(D151="totale",(C151/(A151*24))/F151,IF(D151="marché libre",(C151/(A151*24))/G151,"spécifier histo"))</f>
        <v>0.118126997965708</v>
      </c>
      <c r="F151" s="59" t="n">
        <v>1850</v>
      </c>
      <c r="G151" s="59" t="n">
        <f aca="false">F151-H151</f>
        <v>0</v>
      </c>
      <c r="H151" s="9" t="n">
        <v>1850</v>
      </c>
      <c r="J151" s="208"/>
    </row>
    <row r="152" customFormat="false" ht="19.85" hidden="false" customHeight="true" outlineLevel="0" collapsed="false">
      <c r="A152" s="0" t="n">
        <v>30</v>
      </c>
      <c r="B152" s="31" t="n">
        <v>40848</v>
      </c>
      <c r="C152" s="56" t="n">
        <v>532400</v>
      </c>
      <c r="D152" s="0" t="s">
        <v>41</v>
      </c>
      <c r="E152" s="33" t="n">
        <f aca="false">IF(D152="totale",(C152/(A152*24))/F152,IF(D152="marché libre",(C152/(A152*24))/G152,"spécifier histo"))</f>
        <v>0.3996996996997</v>
      </c>
      <c r="F152" s="59" t="n">
        <v>1850</v>
      </c>
      <c r="G152" s="59" t="n">
        <f aca="false">F152-H152</f>
        <v>0</v>
      </c>
      <c r="H152" s="9" t="n">
        <v>1850</v>
      </c>
      <c r="J152" s="208"/>
    </row>
    <row r="153" customFormat="false" ht="19.85" hidden="false" customHeight="true" outlineLevel="0" collapsed="false">
      <c r="A153" s="0" t="n">
        <v>31</v>
      </c>
      <c r="B153" s="34" t="n">
        <v>40878</v>
      </c>
      <c r="C153" s="56" t="n">
        <v>330400</v>
      </c>
      <c r="D153" s="0" t="s">
        <v>41</v>
      </c>
      <c r="E153" s="33" t="n">
        <f aca="false">IF(D153="totale",(C153/(A153*24))/F153,IF(D153="marché libre",(C153/(A153*24))/G153,"spécifier histo"))</f>
        <v>0.240046498111014</v>
      </c>
      <c r="F153" s="59" t="n">
        <v>1850</v>
      </c>
      <c r="G153" s="59" t="n">
        <f aca="false">F153-H153</f>
        <v>0</v>
      </c>
      <c r="H153" s="9" t="n">
        <v>1850</v>
      </c>
      <c r="J153" s="208"/>
    </row>
    <row r="154" customFormat="false" ht="19.85" hidden="false" customHeight="true" outlineLevel="0" collapsed="false">
      <c r="A154" s="0" t="n">
        <v>31</v>
      </c>
      <c r="B154" s="31" t="n">
        <v>40909</v>
      </c>
      <c r="C154" s="56" t="n">
        <v>203790</v>
      </c>
      <c r="D154" s="0" t="s">
        <v>41</v>
      </c>
      <c r="E154" s="33" t="n">
        <f aca="false">IF(D154="totale",(C154/(A154*24))/F154,IF(D154="marché libre",(C154/(A154*24))/G154,"spécifier histo"))</f>
        <v>0.148060156931125</v>
      </c>
      <c r="F154" s="59" t="n">
        <v>1850</v>
      </c>
      <c r="G154" s="59" t="n">
        <f aca="false">F154-H154</f>
        <v>0</v>
      </c>
      <c r="H154" s="9" t="n">
        <v>1850</v>
      </c>
      <c r="J154" s="208"/>
    </row>
    <row r="155" customFormat="false" ht="19.85" hidden="false" customHeight="true" outlineLevel="0" collapsed="false">
      <c r="A155" s="0" t="n">
        <v>28</v>
      </c>
      <c r="B155" s="34" t="n">
        <v>40940</v>
      </c>
      <c r="C155" s="56" t="n">
        <v>137060</v>
      </c>
      <c r="D155" s="0" t="s">
        <v>41</v>
      </c>
      <c r="E155" s="33" t="n">
        <f aca="false">IF(D155="totale",(C155/(A155*24))/F155,IF(D155="marché libre",(C155/(A155*24))/G155,"spécifier histo"))</f>
        <v>0.110247747747748</v>
      </c>
      <c r="F155" s="59" t="n">
        <v>1850</v>
      </c>
      <c r="G155" s="59" t="n">
        <f aca="false">F155-H155</f>
        <v>0</v>
      </c>
      <c r="H155" s="9" t="n">
        <v>1850</v>
      </c>
      <c r="J155" s="208"/>
    </row>
    <row r="156" customFormat="false" ht="19.85" hidden="false" customHeight="true" outlineLevel="0" collapsed="false">
      <c r="A156" s="0" t="n">
        <v>31</v>
      </c>
      <c r="B156" s="31" t="n">
        <v>40969</v>
      </c>
      <c r="C156" s="56" t="n">
        <v>310400</v>
      </c>
      <c r="D156" s="0" t="s">
        <v>41</v>
      </c>
      <c r="E156" s="33" t="n">
        <f aca="false">IF(D156="totale",(C156/(A156*24))/F156,IF(D156="marché libre",(C156/(A156*24))/G156,"spécifier histo"))</f>
        <v>0.225515838419064</v>
      </c>
      <c r="F156" s="59" t="n">
        <v>1850</v>
      </c>
      <c r="G156" s="59" t="n">
        <f aca="false">F156-H156</f>
        <v>0</v>
      </c>
      <c r="H156" s="9" t="n">
        <v>1850</v>
      </c>
      <c r="J156" s="208"/>
    </row>
    <row r="157" customFormat="false" ht="19.85" hidden="false" customHeight="true" outlineLevel="0" collapsed="false">
      <c r="A157" s="0" t="n">
        <v>30</v>
      </c>
      <c r="B157" s="34" t="n">
        <v>41000</v>
      </c>
      <c r="C157" s="56" t="n">
        <v>843390</v>
      </c>
      <c r="D157" s="0" t="s">
        <v>41</v>
      </c>
      <c r="E157" s="33" t="n">
        <f aca="false">IF(D157="totale",(C157/(A157*24))/F157,IF(D157="marché libre",(C157/(A157*24))/G157,"spécifier histo"))</f>
        <v>0.633175675675676</v>
      </c>
      <c r="F157" s="59" t="n">
        <v>1850</v>
      </c>
      <c r="G157" s="59" t="n">
        <f aca="false">F157-H157</f>
        <v>0</v>
      </c>
      <c r="H157" s="9" t="n">
        <v>1850</v>
      </c>
      <c r="J157" s="208"/>
    </row>
    <row r="158" customFormat="false" ht="19.85" hidden="false" customHeight="true" outlineLevel="0" collapsed="false">
      <c r="A158" s="0" t="n">
        <v>31</v>
      </c>
      <c r="B158" s="31" t="n">
        <v>41030</v>
      </c>
      <c r="C158" s="56" t="n">
        <v>1340380</v>
      </c>
      <c r="D158" s="0" t="s">
        <v>41</v>
      </c>
      <c r="E158" s="33" t="n">
        <f aca="false">IF(D158="totale",(C158/(A158*24))/F158,IF(D158="marché libre",(C158/(A158*24))/G158,"spécifier histo"))</f>
        <v>0.973830281894798</v>
      </c>
      <c r="F158" s="59" t="n">
        <v>1850</v>
      </c>
      <c r="G158" s="59" t="n">
        <f aca="false">F158-H158</f>
        <v>0</v>
      </c>
      <c r="H158" s="9" t="n">
        <v>1850</v>
      </c>
      <c r="J158" s="208"/>
    </row>
    <row r="159" customFormat="false" ht="19.85" hidden="false" customHeight="true" outlineLevel="0" collapsed="false">
      <c r="A159" s="0" t="n">
        <v>30</v>
      </c>
      <c r="B159" s="34" t="n">
        <v>41061</v>
      </c>
      <c r="C159" s="56" t="n">
        <v>1193490</v>
      </c>
      <c r="D159" s="0" t="s">
        <v>41</v>
      </c>
      <c r="E159" s="33" t="n">
        <f aca="false">IF(D159="totale",(C159/(A159*24))/F159,IF(D159="marché libre",(C159/(A159*24))/G159,"spécifier histo"))</f>
        <v>0.896013513513513</v>
      </c>
      <c r="F159" s="59" t="n">
        <v>1850</v>
      </c>
      <c r="G159" s="59" t="n">
        <f aca="false">F159-H159</f>
        <v>0</v>
      </c>
      <c r="H159" s="9" t="n">
        <v>1850</v>
      </c>
      <c r="J159" s="208"/>
    </row>
    <row r="160" customFormat="false" ht="19.85" hidden="false" customHeight="true" outlineLevel="0" collapsed="false">
      <c r="A160" s="0" t="n">
        <v>31</v>
      </c>
      <c r="B160" s="31" t="n">
        <v>41091</v>
      </c>
      <c r="C160" s="56" t="n">
        <v>471920</v>
      </c>
      <c r="D160" s="0" t="s">
        <v>41</v>
      </c>
      <c r="E160" s="33" t="n">
        <f aca="false">IF(D160="totale",(C160/(A160*24))/F160,IF(D160="marché libre",(C160/(A160*24))/G160,"spécifier histo"))</f>
        <v>0.342865446091252</v>
      </c>
      <c r="F160" s="59" t="n">
        <v>1850</v>
      </c>
      <c r="G160" s="59" t="n">
        <f aca="false">F160-H160</f>
        <v>0</v>
      </c>
      <c r="H160" s="9" t="n">
        <v>1850</v>
      </c>
      <c r="J160" s="208"/>
    </row>
    <row r="161" customFormat="false" ht="19.85" hidden="false" customHeight="true" outlineLevel="0" collapsed="false">
      <c r="A161" s="0" t="n">
        <v>31</v>
      </c>
      <c r="B161" s="34" t="n">
        <v>41122</v>
      </c>
      <c r="C161" s="56" t="n">
        <v>0</v>
      </c>
      <c r="D161" s="0" t="s">
        <v>41</v>
      </c>
      <c r="E161" s="33" t="n">
        <f aca="false">IF(D161="totale",(C161/(A161*24))/F161,IF(D161="marché libre",(C161/(A161*24))/G161,"spécifier histo"))</f>
        <v>0</v>
      </c>
      <c r="F161" s="59" t="n">
        <v>1850</v>
      </c>
      <c r="G161" s="59" t="n">
        <f aca="false">F161-H161</f>
        <v>0</v>
      </c>
      <c r="H161" s="9" t="n">
        <v>1850</v>
      </c>
      <c r="J161" s="208"/>
    </row>
    <row r="162" customFormat="false" ht="19.85" hidden="false" customHeight="true" outlineLevel="0" collapsed="false">
      <c r="A162" s="0" t="n">
        <v>30</v>
      </c>
      <c r="B162" s="31" t="n">
        <v>41153</v>
      </c>
      <c r="C162" s="56" t="n">
        <v>0</v>
      </c>
      <c r="D162" s="0" t="s">
        <v>41</v>
      </c>
      <c r="E162" s="33" t="n">
        <f aca="false">IF(D162="totale",(C162/(A162*24))/F162,IF(D162="marché libre",(C162/(A162*24))/G162,"spécifier histo"))</f>
        <v>0</v>
      </c>
      <c r="F162" s="59" t="n">
        <v>1850</v>
      </c>
      <c r="G162" s="59" t="n">
        <f aca="false">F162-H162</f>
        <v>0</v>
      </c>
      <c r="H162" s="9" t="n">
        <v>1850</v>
      </c>
      <c r="I162" s="0"/>
      <c r="J162" s="208"/>
    </row>
    <row r="163" customFormat="false" ht="19.85" hidden="false" customHeight="true" outlineLevel="0" collapsed="false">
      <c r="A163" s="276" t="n">
        <v>31</v>
      </c>
      <c r="B163" s="323" t="n">
        <v>41183</v>
      </c>
      <c r="C163" s="324" t="n">
        <v>46400</v>
      </c>
      <c r="D163" s="276" t="s">
        <v>41</v>
      </c>
      <c r="E163" s="40" t="n">
        <f aca="false">IF(D163="totale",(C163/(A163*24))/F163,IF(D163="marché libre",(C163/(A163*24))/G163,"spécifier histo"))</f>
        <v>0.033711130485324</v>
      </c>
      <c r="F163" s="201" t="n">
        <v>1850</v>
      </c>
      <c r="G163" s="201" t="n">
        <f aca="false">F163-H163</f>
        <v>1850</v>
      </c>
      <c r="H163" s="41" t="n">
        <v>0</v>
      </c>
      <c r="I163" s="325" t="s">
        <v>456</v>
      </c>
      <c r="J163" s="208"/>
    </row>
    <row r="164" customFormat="false" ht="19.85" hidden="false" customHeight="true" outlineLevel="0" collapsed="false">
      <c r="A164" s="0" t="n">
        <v>30</v>
      </c>
      <c r="B164" s="31" t="n">
        <v>41214</v>
      </c>
      <c r="C164" s="56" t="n">
        <v>695200</v>
      </c>
      <c r="D164" s="0" t="s">
        <v>41</v>
      </c>
      <c r="E164" s="33" t="n">
        <f aca="false">IF(D164="totale",(C164/(A164*24))/F164,IF(D164="marché libre",(C164/(A164*24))/G164,"spécifier histo"))</f>
        <v>0.521921921921922</v>
      </c>
      <c r="F164" s="59" t="n">
        <v>1850</v>
      </c>
      <c r="G164" s="59" t="n">
        <f aca="false">F164-H164</f>
        <v>1850</v>
      </c>
      <c r="H164" s="9" t="n">
        <v>0</v>
      </c>
      <c r="J164" s="208"/>
    </row>
    <row r="165" customFormat="false" ht="19.85" hidden="false" customHeight="true" outlineLevel="0" collapsed="false">
      <c r="A165" s="0" t="n">
        <v>31</v>
      </c>
      <c r="B165" s="34" t="n">
        <v>41244</v>
      </c>
      <c r="C165" s="56" t="n">
        <v>413200</v>
      </c>
      <c r="D165" s="0" t="s">
        <v>41</v>
      </c>
      <c r="E165" s="33" t="n">
        <f aca="false">IF(D165="totale",(C165/(A165*24))/F165,IF(D165="marché libre",(C165/(A165*24))/G165,"spécifier histo"))</f>
        <v>0.300203429235687</v>
      </c>
      <c r="F165" s="59" t="n">
        <v>1850</v>
      </c>
      <c r="G165" s="59" t="n">
        <f aca="false">F165-H165</f>
        <v>1850</v>
      </c>
      <c r="H165" s="9" t="n">
        <v>0</v>
      </c>
      <c r="I165" s="0"/>
      <c r="J165" s="208"/>
    </row>
    <row r="166" customFormat="false" ht="19.85" hidden="false" customHeight="true" outlineLevel="0" collapsed="false">
      <c r="A166" s="0" t="n">
        <v>31</v>
      </c>
      <c r="B166" s="31" t="n">
        <v>41275</v>
      </c>
      <c r="C166" s="56" t="n">
        <v>220000</v>
      </c>
      <c r="D166" s="0" t="s">
        <v>41</v>
      </c>
      <c r="E166" s="33" t="n">
        <f aca="false">IF(D166="totale",(C166/(A166*24))/F166,IF(D166="marché libre",(C166/(A166*24))/G166,"spécifier histo"))</f>
        <v>0.15983725661145</v>
      </c>
      <c r="F166" s="59" t="n">
        <v>1850</v>
      </c>
      <c r="G166" s="59" t="n">
        <f aca="false">F166-H166</f>
        <v>1850</v>
      </c>
      <c r="H166" s="9" t="n">
        <v>0</v>
      </c>
      <c r="I166" s="0"/>
      <c r="J166" s="208"/>
    </row>
    <row r="167" customFormat="false" ht="19.85" hidden="false" customHeight="true" outlineLevel="0" collapsed="false">
      <c r="A167" s="0" t="n">
        <v>28</v>
      </c>
      <c r="B167" s="34" t="n">
        <v>41306</v>
      </c>
      <c r="C167" s="56" t="n">
        <v>98000</v>
      </c>
      <c r="D167" s="0" t="s">
        <v>41</v>
      </c>
      <c r="E167" s="33" t="n">
        <f aca="false">IF(D167="totale",(C167/(A167*24))/F167,IF(D167="marché libre",(C167/(A167*24))/G167,"spécifier histo"))</f>
        <v>0.0788288288288288</v>
      </c>
      <c r="F167" s="59" t="n">
        <v>1850</v>
      </c>
      <c r="G167" s="59" t="n">
        <f aca="false">F167-H167</f>
        <v>1850</v>
      </c>
      <c r="H167" s="9" t="n">
        <v>0</v>
      </c>
      <c r="J167" s="208"/>
    </row>
    <row r="168" customFormat="false" ht="19.85" hidden="false" customHeight="true" outlineLevel="0" collapsed="false">
      <c r="A168" s="0" t="n">
        <v>31</v>
      </c>
      <c r="B168" s="31" t="n">
        <v>41334</v>
      </c>
      <c r="C168" s="56" t="n">
        <v>204000</v>
      </c>
      <c r="D168" s="0" t="s">
        <v>41</v>
      </c>
      <c r="E168" s="33" t="n">
        <f aca="false">IF(D168="totale",(C168/(A168*24))/F168,IF(D168="marché libre",(C168/(A168*24))/G168,"spécifier histo"))</f>
        <v>0.14821272885789</v>
      </c>
      <c r="F168" s="59" t="n">
        <v>1850</v>
      </c>
      <c r="G168" s="59" t="n">
        <f aca="false">F168-H168</f>
        <v>1850</v>
      </c>
      <c r="H168" s="9" t="n">
        <v>0</v>
      </c>
      <c r="J168" s="208"/>
    </row>
    <row r="169" customFormat="false" ht="19.85" hidden="false" customHeight="true" outlineLevel="0" collapsed="false">
      <c r="A169" s="0" t="n">
        <v>30</v>
      </c>
      <c r="B169" s="34" t="n">
        <v>41365</v>
      </c>
      <c r="C169" s="56" t="n">
        <v>894000</v>
      </c>
      <c r="D169" s="0" t="s">
        <v>41</v>
      </c>
      <c r="E169" s="33" t="n">
        <f aca="false">IF(D169="totale",(C169/(A169*24))/F169,IF(D169="marché libre",(C169/(A169*24))/G169,"spécifier histo"))</f>
        <v>0.671171171171171</v>
      </c>
      <c r="F169" s="59" t="n">
        <v>1850</v>
      </c>
      <c r="G169" s="59" t="n">
        <f aca="false">F169-H169</f>
        <v>1850</v>
      </c>
      <c r="H169" s="9" t="n">
        <v>0</v>
      </c>
      <c r="J169" s="208"/>
    </row>
    <row r="170" customFormat="false" ht="19.85" hidden="false" customHeight="true" outlineLevel="0" collapsed="false">
      <c r="A170" s="0" t="n">
        <v>31</v>
      </c>
      <c r="B170" s="31" t="n">
        <v>41395</v>
      </c>
      <c r="C170" s="56" t="n">
        <v>1232800</v>
      </c>
      <c r="D170" s="0" t="s">
        <v>41</v>
      </c>
      <c r="E170" s="33" t="n">
        <f aca="false">IF(D170="totale",(C170/(A170*24))/F170,IF(D170="marché libre",(C170/(A170*24))/G170,"spécifier histo"))</f>
        <v>0.895669863411799</v>
      </c>
      <c r="F170" s="59" t="n">
        <v>1850</v>
      </c>
      <c r="G170" s="59" t="n">
        <f aca="false">F170-H170</f>
        <v>1850</v>
      </c>
      <c r="H170" s="9" t="n">
        <v>0</v>
      </c>
      <c r="J170" s="208"/>
    </row>
    <row r="171" customFormat="false" ht="19.85" hidden="false" customHeight="true" outlineLevel="0" collapsed="false">
      <c r="A171" s="0" t="n">
        <v>30</v>
      </c>
      <c r="B171" s="34" t="n">
        <v>41426</v>
      </c>
      <c r="C171" s="56" t="n">
        <v>1147200</v>
      </c>
      <c r="D171" s="0" t="s">
        <v>41</v>
      </c>
      <c r="E171" s="33" t="n">
        <f aca="false">IF(D171="totale",(C171/(A171*24))/F171,IF(D171="marché libre",(C171/(A171*24))/G171,"spécifier histo"))</f>
        <v>0.861261261261261</v>
      </c>
      <c r="F171" s="59" t="n">
        <v>1850</v>
      </c>
      <c r="G171" s="59" t="n">
        <f aca="false">F171-H171</f>
        <v>1850</v>
      </c>
      <c r="H171" s="9" t="n">
        <v>0</v>
      </c>
      <c r="J171" s="208"/>
    </row>
    <row r="172" customFormat="false" ht="19.85" hidden="false" customHeight="true" outlineLevel="0" collapsed="false">
      <c r="A172" s="0" t="n">
        <v>31</v>
      </c>
      <c r="B172" s="31" t="n">
        <v>41456</v>
      </c>
      <c r="C172" s="56" t="n">
        <v>1139200</v>
      </c>
      <c r="D172" s="0" t="s">
        <v>41</v>
      </c>
      <c r="E172" s="33" t="n">
        <f aca="false">IF(D172="totale",(C172/(A172*24))/F172,IF(D172="marché libre",(C172/(A172*24))/G172,"spécifier histo"))</f>
        <v>0.827666376053473</v>
      </c>
      <c r="F172" s="59" t="n">
        <v>1850</v>
      </c>
      <c r="G172" s="59" t="n">
        <f aca="false">F172-H172</f>
        <v>1850</v>
      </c>
      <c r="H172" s="9" t="n">
        <v>0</v>
      </c>
      <c r="J172" s="208"/>
    </row>
    <row r="173" customFormat="false" ht="19.85" hidden="false" customHeight="true" outlineLevel="0" collapsed="false">
      <c r="A173" s="0" t="n">
        <v>31</v>
      </c>
      <c r="B173" s="34" t="n">
        <v>41487</v>
      </c>
      <c r="C173" s="56" t="n">
        <v>216800</v>
      </c>
      <c r="D173" s="0" t="s">
        <v>41</v>
      </c>
      <c r="E173" s="33" t="n">
        <f aca="false">IF(D173="totale",(C173/(A173*24))/F173,IF(D173="marché libre",(C173/(A173*24))/G173,"spécifier histo"))</f>
        <v>0.157512351060738</v>
      </c>
      <c r="F173" s="59" t="n">
        <v>1850</v>
      </c>
      <c r="G173" s="59" t="n">
        <f aca="false">F173-H173</f>
        <v>1850</v>
      </c>
      <c r="H173" s="9" t="n">
        <v>0</v>
      </c>
      <c r="J173" s="208"/>
    </row>
    <row r="174" customFormat="false" ht="19.85" hidden="false" customHeight="true" outlineLevel="0" collapsed="false">
      <c r="A174" s="0" t="n">
        <v>30</v>
      </c>
      <c r="B174" s="31" t="n">
        <v>41518</v>
      </c>
      <c r="C174" s="56" t="n">
        <v>84000</v>
      </c>
      <c r="D174" s="0" t="s">
        <v>41</v>
      </c>
      <c r="E174" s="33" t="n">
        <f aca="false">IF(D174="totale",(C174/(A174*24))/F174,IF(D174="marché libre",(C174/(A174*24))/G174,"spécifier histo"))</f>
        <v>0.0630630630630631</v>
      </c>
      <c r="F174" s="59" t="n">
        <v>1850</v>
      </c>
      <c r="G174" s="59" t="n">
        <f aca="false">F174-H174</f>
        <v>1850</v>
      </c>
      <c r="H174" s="9" t="n">
        <v>0</v>
      </c>
      <c r="J174" s="208"/>
    </row>
    <row r="175" customFormat="false" ht="19.85" hidden="false" customHeight="true" outlineLevel="0" collapsed="false">
      <c r="A175" s="0" t="n">
        <v>31</v>
      </c>
      <c r="B175" s="34" t="n">
        <v>41548</v>
      </c>
      <c r="C175" s="56" t="n">
        <v>230400</v>
      </c>
      <c r="D175" s="0" t="s">
        <v>41</v>
      </c>
      <c r="E175" s="33" t="n">
        <f aca="false">IF(D175="totale",(C175/(A175*24))/F175,IF(D175="marché libre",(C175/(A175*24))/G175,"spécifier histo"))</f>
        <v>0.167393199651264</v>
      </c>
      <c r="F175" s="59" t="n">
        <v>1850</v>
      </c>
      <c r="G175" s="59" t="n">
        <f aca="false">F175-H175</f>
        <v>1850</v>
      </c>
      <c r="H175" s="9" t="n">
        <v>0</v>
      </c>
      <c r="J175" s="208"/>
    </row>
    <row r="176" customFormat="false" ht="19.85" hidden="false" customHeight="true" outlineLevel="0" collapsed="false">
      <c r="A176" s="0" t="n">
        <v>30</v>
      </c>
      <c r="B176" s="31" t="n">
        <v>41579</v>
      </c>
      <c r="C176" s="56" t="n">
        <v>737600</v>
      </c>
      <c r="D176" s="0" t="s">
        <v>41</v>
      </c>
      <c r="E176" s="33" t="n">
        <f aca="false">IF(D176="totale",(C176/(A176*24))/F176,IF(D176="marché libre",(C176/(A176*24))/G176,"spécifier histo"))</f>
        <v>0.553753753753754</v>
      </c>
      <c r="F176" s="59" t="n">
        <v>1850</v>
      </c>
      <c r="G176" s="59" t="n">
        <f aca="false">F176-H176</f>
        <v>1850</v>
      </c>
      <c r="H176" s="9" t="n">
        <v>0</v>
      </c>
      <c r="J176" s="208"/>
    </row>
    <row r="177" customFormat="false" ht="19.85" hidden="false" customHeight="true" outlineLevel="0" collapsed="false">
      <c r="A177" s="0" t="n">
        <v>31</v>
      </c>
      <c r="B177" s="34" t="n">
        <v>41609</v>
      </c>
      <c r="C177" s="56" t="n">
        <v>290400</v>
      </c>
      <c r="D177" s="0" t="s">
        <v>41</v>
      </c>
      <c r="E177" s="33" t="n">
        <f aca="false">IF(D177="totale",(C177/(A177*24))/F177,IF(D177="marché libre",(C177/(A177*24))/G177,"spécifier histo"))</f>
        <v>0.210985178727114</v>
      </c>
      <c r="F177" s="59" t="n">
        <v>1850</v>
      </c>
      <c r="G177" s="59" t="n">
        <f aca="false">F177-H177</f>
        <v>1850</v>
      </c>
      <c r="H177" s="9" t="n">
        <v>0</v>
      </c>
      <c r="J177" s="208"/>
    </row>
    <row r="178" customFormat="false" ht="19.85" hidden="false" customHeight="true" outlineLevel="0" collapsed="false">
      <c r="A178" s="0" t="n">
        <v>31</v>
      </c>
      <c r="B178" s="31" t="n">
        <v>41640</v>
      </c>
      <c r="C178" s="56" t="n">
        <v>306550</v>
      </c>
      <c r="D178" s="0" t="s">
        <v>41</v>
      </c>
      <c r="E178" s="33" t="n">
        <f aca="false">IF(D178="totale",(C178/(A178*24))/F178,IF(D178="marché libre",(C178/(A178*24))/G178,"spécifier histo"))</f>
        <v>0.222718686428364</v>
      </c>
      <c r="F178" s="59" t="n">
        <v>1850</v>
      </c>
      <c r="G178" s="59" t="n">
        <f aca="false">F178-H178</f>
        <v>1850</v>
      </c>
      <c r="H178" s="9" t="n">
        <v>0</v>
      </c>
      <c r="J178" s="208"/>
    </row>
    <row r="179" customFormat="false" ht="19.85" hidden="false" customHeight="true" outlineLevel="0" collapsed="false">
      <c r="A179" s="0" t="n">
        <v>28</v>
      </c>
      <c r="B179" s="34" t="n">
        <v>41671</v>
      </c>
      <c r="C179" s="56" t="n">
        <v>246800</v>
      </c>
      <c r="D179" s="0" t="s">
        <v>41</v>
      </c>
      <c r="E179" s="33" t="n">
        <f aca="false">IF(D179="totale",(C179/(A179*24))/F179,IF(D179="marché libre",(C179/(A179*24))/G179,"spécifier histo"))</f>
        <v>0.198519948519949</v>
      </c>
      <c r="F179" s="59" t="n">
        <v>1850</v>
      </c>
      <c r="G179" s="59" t="n">
        <f aca="false">F179-H179</f>
        <v>1850</v>
      </c>
      <c r="H179" s="9" t="n">
        <v>0</v>
      </c>
      <c r="J179" s="208"/>
    </row>
    <row r="180" customFormat="false" ht="19.85" hidden="false" customHeight="true" outlineLevel="0" collapsed="false">
      <c r="A180" s="0" t="n">
        <v>31</v>
      </c>
      <c r="B180" s="31" t="n">
        <v>41699</v>
      </c>
      <c r="C180" s="56" t="n">
        <v>613600</v>
      </c>
      <c r="D180" s="0" t="s">
        <v>41</v>
      </c>
      <c r="E180" s="33" t="n">
        <f aca="false">IF(D180="totale",(C180/(A180*24))/F180,IF(D180="marché libre",(C180/(A180*24))/G180,"spécifier histo"))</f>
        <v>0.445800639349026</v>
      </c>
      <c r="F180" s="59" t="n">
        <v>1850</v>
      </c>
      <c r="G180" s="59" t="n">
        <f aca="false">F180-H180</f>
        <v>1850</v>
      </c>
      <c r="H180" s="9" t="n">
        <v>0</v>
      </c>
      <c r="J180" s="208"/>
    </row>
    <row r="181" customFormat="false" ht="19.85" hidden="false" customHeight="true" outlineLevel="0" collapsed="false">
      <c r="A181" s="0" t="n">
        <v>30</v>
      </c>
      <c r="B181" s="34" t="n">
        <v>41730</v>
      </c>
      <c r="C181" s="56" t="n">
        <v>1272000</v>
      </c>
      <c r="D181" s="0" t="s">
        <v>41</v>
      </c>
      <c r="E181" s="33" t="n">
        <f aca="false">IF(D181="totale",(C181/(A181*24))/F181,IF(D181="marché libre",(C181/(A181*24))/G181,"spécifier histo"))</f>
        <v>0.954954954954955</v>
      </c>
      <c r="F181" s="59" t="n">
        <v>1850</v>
      </c>
      <c r="G181" s="59" t="n">
        <f aca="false">F181-H181</f>
        <v>1850</v>
      </c>
      <c r="H181" s="9" t="n">
        <v>0</v>
      </c>
      <c r="J181" s="208"/>
    </row>
    <row r="182" customFormat="false" ht="19.85" hidden="false" customHeight="true" outlineLevel="0" collapsed="false">
      <c r="A182" s="0" t="n">
        <v>31</v>
      </c>
      <c r="B182" s="31" t="n">
        <v>41760</v>
      </c>
      <c r="C182" s="56" t="n">
        <v>1146800</v>
      </c>
      <c r="D182" s="0" t="s">
        <v>41</v>
      </c>
      <c r="E182" s="33" t="n">
        <f aca="false">IF(D182="totale",(C182/(A182*24))/F182,IF(D182="marché libre",(C182/(A182*24))/G182,"spécifier histo"))</f>
        <v>0.833188026736414</v>
      </c>
      <c r="F182" s="59" t="n">
        <v>1850</v>
      </c>
      <c r="G182" s="59" t="n">
        <f aca="false">F182-H182</f>
        <v>1850</v>
      </c>
      <c r="H182" s="9" t="n">
        <v>0</v>
      </c>
      <c r="J182" s="208"/>
    </row>
    <row r="183" customFormat="false" ht="19.85" hidden="false" customHeight="true" outlineLevel="0" collapsed="false">
      <c r="A183" s="0" t="n">
        <v>30</v>
      </c>
      <c r="B183" s="34" t="n">
        <v>41791</v>
      </c>
      <c r="C183" s="56" t="n">
        <v>1148800</v>
      </c>
      <c r="D183" s="0" t="s">
        <v>41</v>
      </c>
      <c r="E183" s="33" t="n">
        <f aca="false">IF(D183="totale",(C183/(A183*24))/F183,IF(D183="marché libre",(C183/(A183*24))/G183,"spécifier histo"))</f>
        <v>0.862462462462463</v>
      </c>
      <c r="F183" s="59" t="n">
        <v>1850</v>
      </c>
      <c r="G183" s="59" t="n">
        <f aca="false">F183-H183</f>
        <v>1850</v>
      </c>
      <c r="H183" s="9" t="n">
        <v>0</v>
      </c>
      <c r="J183" s="208"/>
    </row>
    <row r="184" customFormat="false" ht="19.85" hidden="false" customHeight="true" outlineLevel="0" collapsed="false">
      <c r="A184" s="0" t="n">
        <v>31</v>
      </c>
      <c r="B184" s="31" t="n">
        <v>41821</v>
      </c>
      <c r="C184" s="56" t="n">
        <v>760000</v>
      </c>
      <c r="D184" s="0" t="s">
        <v>41</v>
      </c>
      <c r="E184" s="33" t="n">
        <f aca="false">IF(D184="totale",(C184/(A184*24))/F184,IF(D184="marché libre",(C184/(A184*24))/G184,"spécifier histo"))</f>
        <v>0.5521650682941</v>
      </c>
      <c r="F184" s="59" t="n">
        <v>1850</v>
      </c>
      <c r="G184" s="59" t="n">
        <f aca="false">F184-H184</f>
        <v>1850</v>
      </c>
      <c r="H184" s="9" t="n">
        <v>0</v>
      </c>
      <c r="J184" s="208"/>
    </row>
    <row r="185" customFormat="false" ht="19.85" hidden="false" customHeight="true" outlineLevel="0" collapsed="false">
      <c r="A185" s="0" t="n">
        <v>31</v>
      </c>
      <c r="B185" s="34" t="n">
        <v>41852</v>
      </c>
      <c r="C185" s="56" t="n">
        <v>0</v>
      </c>
      <c r="D185" s="0" t="s">
        <v>41</v>
      </c>
      <c r="E185" s="33" t="n">
        <f aca="false">IF(D185="totale",(C185/(A185*24))/F185,IF(D185="marché libre",(C185/(A185*24))/G185,"spécifier histo"))</f>
        <v>0</v>
      </c>
      <c r="F185" s="59" t="n">
        <v>1850</v>
      </c>
      <c r="G185" s="59" t="n">
        <f aca="false">F185-H185</f>
        <v>1850</v>
      </c>
      <c r="H185" s="9" t="n">
        <v>0</v>
      </c>
      <c r="J185" s="208"/>
    </row>
    <row r="186" customFormat="false" ht="19.85" hidden="false" customHeight="true" outlineLevel="0" collapsed="false">
      <c r="A186" s="0" t="n">
        <v>30</v>
      </c>
      <c r="B186" s="31" t="n">
        <v>41883</v>
      </c>
      <c r="C186" s="56" t="n">
        <v>0</v>
      </c>
      <c r="D186" s="0" t="s">
        <v>41</v>
      </c>
      <c r="E186" s="33" t="n">
        <f aca="false">IF(D186="totale",(C186/(A186*24))/F186,IF(D186="marché libre",(C186/(A186*24))/G186,"spécifier histo"))</f>
        <v>0</v>
      </c>
      <c r="F186" s="59" t="n">
        <v>1850</v>
      </c>
      <c r="G186" s="59" t="n">
        <f aca="false">F186-H186</f>
        <v>1850</v>
      </c>
      <c r="H186" s="9" t="n">
        <v>0</v>
      </c>
      <c r="J186" s="208"/>
    </row>
    <row r="187" customFormat="false" ht="19.85" hidden="false" customHeight="true" outlineLevel="0" collapsed="false">
      <c r="A187" s="0" t="n">
        <v>31</v>
      </c>
      <c r="B187" s="34" t="n">
        <v>41913</v>
      </c>
      <c r="C187" s="56" t="n">
        <v>110900</v>
      </c>
      <c r="D187" s="0" t="s">
        <v>41</v>
      </c>
      <c r="E187" s="33" t="n">
        <f aca="false">IF(D187="totale",(C187/(A187*24))/F187,IF(D187="marché libre",(C187/(A187*24))/G187,"spécifier histo"))</f>
        <v>0.0805725079918628</v>
      </c>
      <c r="F187" s="59" t="n">
        <v>1850</v>
      </c>
      <c r="G187" s="59" t="n">
        <f aca="false">F187-H187</f>
        <v>1450</v>
      </c>
      <c r="H187" s="59" t="n">
        <v>400</v>
      </c>
      <c r="I187" s="248" t="s">
        <v>457</v>
      </c>
      <c r="J187" s="0"/>
      <c r="K187" s="326"/>
      <c r="L187" s="326"/>
    </row>
    <row r="188" customFormat="false" ht="19.85" hidden="false" customHeight="true" outlineLevel="0" collapsed="false">
      <c r="A188" s="0" t="n">
        <v>30</v>
      </c>
      <c r="B188" s="31" t="n">
        <v>41944</v>
      </c>
      <c r="C188" s="56" t="n">
        <v>259100</v>
      </c>
      <c r="D188" s="0" t="s">
        <v>41</v>
      </c>
      <c r="E188" s="33" t="n">
        <f aca="false">IF(D188="totale",(C188/(A188*24))/F188,IF(D188="marché libre",(C188/(A188*24))/G188,"spécifier histo"))</f>
        <v>0.19451951951952</v>
      </c>
      <c r="F188" s="59" t="n">
        <v>1850</v>
      </c>
      <c r="G188" s="59" t="n">
        <f aca="false">F188-H188</f>
        <v>1450</v>
      </c>
      <c r="H188" s="59" t="n">
        <v>400</v>
      </c>
      <c r="I188" s="248"/>
      <c r="J188" s="0"/>
      <c r="K188" s="326"/>
      <c r="L188" s="326"/>
    </row>
    <row r="189" customFormat="false" ht="19.95" hidden="false" customHeight="true" outlineLevel="0" collapsed="false">
      <c r="A189" s="0" t="n">
        <v>31</v>
      </c>
      <c r="B189" s="34" t="n">
        <v>41974</v>
      </c>
      <c r="C189" s="56" t="n">
        <v>139650</v>
      </c>
      <c r="D189" s="0" t="s">
        <v>41</v>
      </c>
      <c r="E189" s="33" t="n">
        <f aca="false">IF(D189="totale",(C189/(A189*24))/F189,IF(D189="marché libre",(C189/(A189*24))/G189,"spécifier histo"))</f>
        <v>0.101460331299041</v>
      </c>
      <c r="F189" s="59" t="n">
        <v>1850</v>
      </c>
      <c r="G189" s="59" t="n">
        <f aca="false">F189-H189</f>
        <v>1450</v>
      </c>
      <c r="H189" s="59" t="n">
        <v>400</v>
      </c>
      <c r="J189" s="208"/>
    </row>
    <row r="190" customFormat="false" ht="19.85" hidden="false" customHeight="true" outlineLevel="0" collapsed="false">
      <c r="A190" s="0" t="n">
        <v>31</v>
      </c>
      <c r="B190" s="31" t="n">
        <v>42005</v>
      </c>
      <c r="C190" s="56" t="n">
        <v>650</v>
      </c>
      <c r="D190" s="0" t="s">
        <v>41</v>
      </c>
      <c r="E190" s="33" t="n">
        <f aca="false">IF(D190="totale",(C190/(A190*24))/F190,IF(D190="marché libre",(C190/(A190*24))/G190,"spécifier histo"))</f>
        <v>0.000472246439988376</v>
      </c>
      <c r="F190" s="59" t="n">
        <v>1850</v>
      </c>
      <c r="G190" s="59" t="n">
        <f aca="false">F190-H190</f>
        <v>1450</v>
      </c>
      <c r="H190" s="59" t="n">
        <v>400</v>
      </c>
      <c r="J190" s="208"/>
    </row>
    <row r="191" customFormat="false" ht="19.85" hidden="false" customHeight="true" outlineLevel="0" collapsed="false">
      <c r="A191" s="0" t="n">
        <v>28</v>
      </c>
      <c r="B191" s="34" t="n">
        <v>42036</v>
      </c>
      <c r="C191" s="56" t="n">
        <v>280</v>
      </c>
      <c r="D191" s="0" t="s">
        <v>41</v>
      </c>
      <c r="E191" s="33" t="n">
        <f aca="false">IF(D191="totale",(C191/(A191*24))/F191,IF(D191="marché libre",(C191/(A191*24))/G191,"spécifier histo"))</f>
        <v>0.000225225225225225</v>
      </c>
      <c r="F191" s="59" t="n">
        <v>1850</v>
      </c>
      <c r="G191" s="59" t="n">
        <f aca="false">F191-H191</f>
        <v>1450</v>
      </c>
      <c r="H191" s="59" t="n">
        <v>400</v>
      </c>
      <c r="J191" s="208"/>
    </row>
    <row r="192" customFormat="false" ht="19.85" hidden="false" customHeight="true" outlineLevel="0" collapsed="false">
      <c r="A192" s="0" t="n">
        <v>31</v>
      </c>
      <c r="B192" s="31" t="n">
        <v>42064</v>
      </c>
      <c r="C192" s="56" t="n">
        <v>52170</v>
      </c>
      <c r="D192" s="0" t="s">
        <v>41</v>
      </c>
      <c r="E192" s="33" t="n">
        <f aca="false">IF(D192="totale",(C192/(A192*24))/F192,IF(D192="marché libre",(C192/(A192*24))/G192,"spécifier histo"))</f>
        <v>0.0379032258064516</v>
      </c>
      <c r="F192" s="59" t="n">
        <v>1850</v>
      </c>
      <c r="G192" s="59" t="n">
        <f aca="false">F192-H192</f>
        <v>1450</v>
      </c>
      <c r="H192" s="59" t="n">
        <v>400</v>
      </c>
      <c r="J192" s="208"/>
    </row>
    <row r="193" customFormat="false" ht="19.85" hidden="false" customHeight="true" outlineLevel="0" collapsed="false">
      <c r="A193" s="0" t="n">
        <v>30</v>
      </c>
      <c r="B193" s="34" t="n">
        <v>42095</v>
      </c>
      <c r="C193" s="56" t="n">
        <v>702000</v>
      </c>
      <c r="D193" s="0" t="s">
        <v>41</v>
      </c>
      <c r="E193" s="33" t="n">
        <f aca="false">IF(D193="totale",(C193/(A193*24))/F193,IF(D193="marché libre",(C193/(A193*24))/G193,"spécifier histo"))</f>
        <v>0.527027027027027</v>
      </c>
      <c r="F193" s="59" t="n">
        <v>1850</v>
      </c>
      <c r="G193" s="59" t="n">
        <f aca="false">F193-H193</f>
        <v>1450</v>
      </c>
      <c r="H193" s="59" t="n">
        <v>400</v>
      </c>
      <c r="J193" s="208"/>
    </row>
    <row r="194" customFormat="false" ht="19.85" hidden="false" customHeight="true" outlineLevel="0" collapsed="false">
      <c r="A194" s="0" t="n">
        <v>31</v>
      </c>
      <c r="B194" s="31" t="n">
        <v>42125</v>
      </c>
      <c r="C194" s="56" t="n">
        <v>1042000</v>
      </c>
      <c r="D194" s="0" t="s">
        <v>41</v>
      </c>
      <c r="E194" s="33" t="n">
        <f aca="false">IF(D194="totale",(C194/(A194*24))/F194,IF(D194="marché libre",(C194/(A194*24))/G194,"spécifier histo"))</f>
        <v>0.757047369950596</v>
      </c>
      <c r="F194" s="59" t="n">
        <v>1850</v>
      </c>
      <c r="G194" s="59" t="n">
        <f aca="false">F194-H194</f>
        <v>1450</v>
      </c>
      <c r="H194" s="59" t="n">
        <v>400</v>
      </c>
      <c r="J194" s="208"/>
    </row>
    <row r="195" customFormat="false" ht="19.85" hidden="false" customHeight="true" outlineLevel="0" collapsed="false">
      <c r="A195" s="0" t="n">
        <v>30</v>
      </c>
      <c r="B195" s="34" t="n">
        <v>42156</v>
      </c>
      <c r="C195" s="56" t="n">
        <v>827830</v>
      </c>
      <c r="D195" s="0" t="s">
        <v>41</v>
      </c>
      <c r="E195" s="33" t="n">
        <f aca="false">IF(D195="totale",(C195/(A195*24))/F195,IF(D195="marché libre",(C195/(A195*24))/G195,"spécifier histo"))</f>
        <v>0.621493993993994</v>
      </c>
      <c r="F195" s="59" t="n">
        <v>1850</v>
      </c>
      <c r="G195" s="59" t="n">
        <f aca="false">F195-H195</f>
        <v>1450</v>
      </c>
      <c r="H195" s="59" t="n">
        <v>400</v>
      </c>
      <c r="J195" s="208"/>
    </row>
    <row r="196" customFormat="false" ht="19.85" hidden="false" customHeight="true" outlineLevel="0" collapsed="false">
      <c r="A196" s="0" t="n">
        <v>31</v>
      </c>
      <c r="B196" s="31" t="n">
        <v>42186</v>
      </c>
      <c r="C196" s="56" t="n">
        <v>3560</v>
      </c>
      <c r="D196" s="0" t="s">
        <v>41</v>
      </c>
      <c r="E196" s="33" t="n">
        <f aca="false">IF(D196="totale",(C196/(A196*24))/F196,IF(D196="marché libre",(C196/(A196*24))/G196,"spécifier histo"))</f>
        <v>0.0025864574251671</v>
      </c>
      <c r="F196" s="59" t="n">
        <v>1850</v>
      </c>
      <c r="G196" s="59" t="n">
        <f aca="false">F196-H196</f>
        <v>1450</v>
      </c>
      <c r="H196" s="59" t="n">
        <v>400</v>
      </c>
      <c r="J196" s="208"/>
    </row>
    <row r="197" customFormat="false" ht="19.85" hidden="false" customHeight="true" outlineLevel="0" collapsed="false">
      <c r="A197" s="0" t="n">
        <v>31</v>
      </c>
      <c r="B197" s="34" t="n">
        <v>42217</v>
      </c>
      <c r="C197" s="56" t="n">
        <v>70</v>
      </c>
      <c r="D197" s="0" t="s">
        <v>41</v>
      </c>
      <c r="E197" s="33" t="n">
        <f aca="false">IF(D197="totale",(C197/(A197*24))/F197,IF(D197="marché libre",(C197/(A197*24))/G197,"spécifier histo"))</f>
        <v>5.0857308921825E-005</v>
      </c>
      <c r="F197" s="59" t="n">
        <v>1850</v>
      </c>
      <c r="G197" s="59" t="n">
        <f aca="false">F197-H197</f>
        <v>1450</v>
      </c>
      <c r="H197" s="59" t="n">
        <v>400</v>
      </c>
      <c r="J197" s="208"/>
    </row>
    <row r="198" customFormat="false" ht="19.85" hidden="false" customHeight="true" outlineLevel="0" collapsed="false">
      <c r="A198" s="0" t="n">
        <v>30</v>
      </c>
      <c r="B198" s="31" t="n">
        <v>42248</v>
      </c>
      <c r="C198" s="56" t="n">
        <v>107100</v>
      </c>
      <c r="D198" s="0" t="s">
        <v>41</v>
      </c>
      <c r="E198" s="33" t="n">
        <f aca="false">IF(D198="totale",(C198/(A198*24))/F198,IF(D198="marché libre",(C198/(A198*24))/G198,"spécifier histo"))</f>
        <v>0.0804054054054054</v>
      </c>
      <c r="F198" s="59" t="n">
        <v>1850</v>
      </c>
      <c r="G198" s="59" t="n">
        <f aca="false">F198-H198</f>
        <v>1450</v>
      </c>
      <c r="H198" s="59" t="n">
        <v>400</v>
      </c>
      <c r="J198" s="208"/>
    </row>
    <row r="199" customFormat="false" ht="19.85" hidden="false" customHeight="true" outlineLevel="0" collapsed="false">
      <c r="A199" s="0" t="n">
        <v>31</v>
      </c>
      <c r="B199" s="34" t="n">
        <v>42278</v>
      </c>
      <c r="C199" s="56" t="n">
        <v>491300</v>
      </c>
      <c r="D199" s="0" t="s">
        <v>41</v>
      </c>
      <c r="E199" s="33" t="n">
        <f aca="false">IF(D199="totale",(C199/(A199*24))/F199,IF(D199="marché libre",(C199/(A199*24))/G199,"spécifier histo"))</f>
        <v>0.356945655332752</v>
      </c>
      <c r="F199" s="59" t="n">
        <v>1850</v>
      </c>
      <c r="G199" s="59" t="n">
        <f aca="false">F199-H199</f>
        <v>1450</v>
      </c>
      <c r="H199" s="59" t="n">
        <v>400</v>
      </c>
      <c r="J199" s="208"/>
    </row>
    <row r="200" customFormat="false" ht="19.85" hidden="false" customHeight="true" outlineLevel="0" collapsed="false">
      <c r="A200" s="0" t="n">
        <v>30</v>
      </c>
      <c r="B200" s="31" t="n">
        <v>42309</v>
      </c>
      <c r="C200" s="56" t="n">
        <v>349686</v>
      </c>
      <c r="D200" s="0" t="s">
        <v>41</v>
      </c>
      <c r="E200" s="33" t="n">
        <f aca="false">IF(D200="totale",(C200/(A200*24))/F200,IF(D200="marché libre",(C200/(A200*24))/G200,"spécifier histo"))</f>
        <v>0.262527027027027</v>
      </c>
      <c r="F200" s="59" t="n">
        <v>1850</v>
      </c>
      <c r="G200" s="59" t="n">
        <f aca="false">F200-H200</f>
        <v>1450</v>
      </c>
      <c r="H200" s="59" t="n">
        <v>400</v>
      </c>
      <c r="J200" s="327" t="s">
        <v>458</v>
      </c>
      <c r="K200" s="328" t="n">
        <v>2015</v>
      </c>
      <c r="L200" s="328" t="n">
        <v>2016</v>
      </c>
    </row>
    <row r="201" customFormat="false" ht="19.85" hidden="false" customHeight="true" outlineLevel="0" collapsed="false">
      <c r="A201" s="0" t="n">
        <v>31</v>
      </c>
      <c r="B201" s="34" t="n">
        <v>42339</v>
      </c>
      <c r="C201" s="56" t="n">
        <v>222702</v>
      </c>
      <c r="D201" s="0" t="s">
        <v>41</v>
      </c>
      <c r="E201" s="33" t="n">
        <f aca="false">IF(D201="totale",(C201/(A201*24))/F201,IF(D201="marché libre",(C201/(A201*24))/G201,"spécifier histo"))</f>
        <v>0.161800348735833</v>
      </c>
      <c r="F201" s="59" t="n">
        <v>1850</v>
      </c>
      <c r="G201" s="59" t="n">
        <f aca="false">F201-H201</f>
        <v>1450</v>
      </c>
      <c r="H201" s="59" t="n">
        <v>400</v>
      </c>
      <c r="J201" s="329" t="s">
        <v>459</v>
      </c>
      <c r="K201" s="330"/>
      <c r="L201" s="331" t="n">
        <v>223242</v>
      </c>
    </row>
    <row r="202" customFormat="false" ht="19.85" hidden="false" customHeight="true" outlineLevel="0" collapsed="false">
      <c r="A202" s="0" t="n">
        <v>31</v>
      </c>
      <c r="B202" s="31" t="n">
        <v>42370</v>
      </c>
      <c r="C202" s="56" t="n">
        <v>223242</v>
      </c>
      <c r="D202" s="0" t="s">
        <v>41</v>
      </c>
      <c r="E202" s="33" t="n">
        <f aca="false">IF(D202="totale",(C202/(A202*24))/F202,IF(D202="marché libre",(C202/(A202*24))/G202,"spécifier histo"))</f>
        <v>0.162192676547515</v>
      </c>
      <c r="F202" s="59" t="n">
        <v>1850</v>
      </c>
      <c r="G202" s="59" t="n">
        <f aca="false">F202-H202</f>
        <v>1450</v>
      </c>
      <c r="H202" s="59" t="n">
        <v>400</v>
      </c>
      <c r="J202" s="332" t="s">
        <v>460</v>
      </c>
      <c r="K202" s="333"/>
      <c r="L202" s="334" t="n">
        <v>253954</v>
      </c>
    </row>
    <row r="203" customFormat="false" ht="19.85" hidden="false" customHeight="true" outlineLevel="0" collapsed="false">
      <c r="A203" s="0" t="n">
        <v>28</v>
      </c>
      <c r="B203" s="34" t="n">
        <v>42401</v>
      </c>
      <c r="C203" s="56" t="n">
        <v>253954</v>
      </c>
      <c r="D203" s="0" t="s">
        <v>41</v>
      </c>
      <c r="E203" s="33" t="n">
        <f aca="false">IF(D203="totale",(C203/(A203*24))/F203,IF(D203="marché libre",(C203/(A203*24))/G203,"spécifier histo"))</f>
        <v>0.204274453024453</v>
      </c>
      <c r="F203" s="59" t="n">
        <v>1850</v>
      </c>
      <c r="G203" s="59" t="n">
        <f aca="false">F203-H203</f>
        <v>1450</v>
      </c>
      <c r="H203" s="59" t="n">
        <v>400</v>
      </c>
      <c r="J203" s="332" t="s">
        <v>461</v>
      </c>
      <c r="K203" s="333"/>
      <c r="L203" s="334" t="n">
        <v>320708</v>
      </c>
    </row>
    <row r="204" customFormat="false" ht="19.85" hidden="false" customHeight="true" outlineLevel="0" collapsed="false">
      <c r="A204" s="0" t="n">
        <v>31</v>
      </c>
      <c r="B204" s="31" t="n">
        <v>42430</v>
      </c>
      <c r="C204" s="56" t="n">
        <v>320708</v>
      </c>
      <c r="D204" s="0" t="s">
        <v>41</v>
      </c>
      <c r="E204" s="33" t="n">
        <f aca="false">IF(D204="totale",(C204/(A204*24))/F204,IF(D204="marché libre",(C204/(A204*24))/G204,"spécifier histo"))</f>
        <v>0.233004940424295</v>
      </c>
      <c r="F204" s="59" t="n">
        <v>1850</v>
      </c>
      <c r="G204" s="59" t="n">
        <f aca="false">F204-H204</f>
        <v>1450</v>
      </c>
      <c r="H204" s="59" t="n">
        <v>400</v>
      </c>
      <c r="J204" s="332" t="s">
        <v>462</v>
      </c>
      <c r="K204" s="333"/>
      <c r="L204" s="334" t="n">
        <v>1239146</v>
      </c>
    </row>
    <row r="205" customFormat="false" ht="19.85" hidden="false" customHeight="true" outlineLevel="0" collapsed="false">
      <c r="A205" s="0" t="n">
        <v>30</v>
      </c>
      <c r="B205" s="34" t="n">
        <v>42461</v>
      </c>
      <c r="C205" s="56" t="n">
        <v>1239146</v>
      </c>
      <c r="D205" s="0" t="s">
        <v>41</v>
      </c>
      <c r="E205" s="33" t="n">
        <f aca="false">IF(D205="totale",(C205/(A205*24))/F205,IF(D205="marché libre",(C205/(A205*24))/G205,"spécifier histo"))</f>
        <v>0.93028978978979</v>
      </c>
      <c r="F205" s="59" t="n">
        <v>1850</v>
      </c>
      <c r="G205" s="59" t="n">
        <f aca="false">F205-H205</f>
        <v>1450</v>
      </c>
      <c r="H205" s="59" t="n">
        <v>400</v>
      </c>
      <c r="J205" s="332" t="s">
        <v>463</v>
      </c>
      <c r="K205" s="333"/>
      <c r="L205" s="334" t="n">
        <v>1296984</v>
      </c>
    </row>
    <row r="206" customFormat="false" ht="19.85" hidden="false" customHeight="true" outlineLevel="0" collapsed="false">
      <c r="A206" s="0" t="n">
        <v>31</v>
      </c>
      <c r="B206" s="31" t="n">
        <v>42491</v>
      </c>
      <c r="C206" s="56" t="n">
        <v>1296984</v>
      </c>
      <c r="D206" s="0" t="s">
        <v>41</v>
      </c>
      <c r="E206" s="33" t="n">
        <f aca="false">IF(D206="totale",(C206/(A206*24))/F206,IF(D206="marché libre",(C206/(A206*24))/G206,"spécifier histo"))</f>
        <v>0.942301656495205</v>
      </c>
      <c r="F206" s="59" t="n">
        <v>1850</v>
      </c>
      <c r="G206" s="59" t="n">
        <f aca="false">F206-H206</f>
        <v>1450</v>
      </c>
      <c r="H206" s="59" t="n">
        <v>400</v>
      </c>
      <c r="J206" s="332" t="s">
        <v>464</v>
      </c>
      <c r="K206" s="333"/>
      <c r="L206" s="334" t="n">
        <v>1239412</v>
      </c>
    </row>
    <row r="207" customFormat="false" ht="19.85" hidden="false" customHeight="true" outlineLevel="0" collapsed="false">
      <c r="A207" s="0" t="n">
        <v>30</v>
      </c>
      <c r="B207" s="34" t="n">
        <v>42522</v>
      </c>
      <c r="C207" s="56" t="n">
        <v>1239412</v>
      </c>
      <c r="D207" s="0" t="s">
        <v>41</v>
      </c>
      <c r="E207" s="33" t="n">
        <f aca="false">IF(D207="totale",(C207/(A207*24))/F207,IF(D207="marché libre",(C207/(A207*24))/G207,"spécifier histo"))</f>
        <v>0.93048948948949</v>
      </c>
      <c r="F207" s="59" t="n">
        <v>1850</v>
      </c>
      <c r="G207" s="59" t="n">
        <f aca="false">F207-H207</f>
        <v>1450</v>
      </c>
      <c r="H207" s="59" t="n">
        <v>400</v>
      </c>
      <c r="J207" s="332" t="s">
        <v>465</v>
      </c>
      <c r="K207" s="333"/>
      <c r="L207" s="334" t="n">
        <v>722255</v>
      </c>
    </row>
    <row r="208" customFormat="false" ht="19.85" hidden="false" customHeight="true" outlineLevel="0" collapsed="false">
      <c r="A208" s="0" t="n">
        <v>31</v>
      </c>
      <c r="B208" s="31" t="n">
        <v>42552</v>
      </c>
      <c r="C208" s="56" t="n">
        <v>722255</v>
      </c>
      <c r="D208" s="0" t="s">
        <v>41</v>
      </c>
      <c r="E208" s="33" t="n">
        <f aca="false">IF(D208="totale",(C208/(A208*24))/F208,IF(D208="marché libre",(C208/(A208*24))/G208,"spécifier histo"))</f>
        <v>0.524742080790468</v>
      </c>
      <c r="F208" s="59" t="n">
        <v>1850</v>
      </c>
      <c r="G208" s="59" t="n">
        <f aca="false">F208-H208</f>
        <v>1450</v>
      </c>
      <c r="H208" s="59" t="n">
        <v>400</v>
      </c>
      <c r="J208" s="332" t="s">
        <v>466</v>
      </c>
      <c r="K208" s="333"/>
      <c r="L208" s="334" t="n">
        <v>85796</v>
      </c>
    </row>
    <row r="209" customFormat="false" ht="19.85" hidden="false" customHeight="true" outlineLevel="0" collapsed="false">
      <c r="A209" s="0" t="n">
        <v>31</v>
      </c>
      <c r="B209" s="34" t="n">
        <v>42583</v>
      </c>
      <c r="C209" s="56" t="n">
        <v>85796</v>
      </c>
      <c r="D209" s="0" t="s">
        <v>41</v>
      </c>
      <c r="E209" s="33" t="n">
        <f aca="false">IF(D209="totale",(C209/(A209*24))/F209,IF(D209="marché libre",(C209/(A209*24))/G209,"spécifier histo"))</f>
        <v>0.0623336239465272</v>
      </c>
      <c r="F209" s="59" t="n">
        <v>1850</v>
      </c>
      <c r="G209" s="59" t="n">
        <f aca="false">F209-H209</f>
        <v>1450</v>
      </c>
      <c r="H209" s="59" t="n">
        <v>400</v>
      </c>
      <c r="J209" s="332" t="s">
        <v>467</v>
      </c>
      <c r="K209" s="333"/>
      <c r="L209" s="334" t="n">
        <v>92891</v>
      </c>
    </row>
    <row r="210" customFormat="false" ht="19.85" hidden="false" customHeight="true" outlineLevel="0" collapsed="false">
      <c r="A210" s="0" t="n">
        <v>30</v>
      </c>
      <c r="B210" s="31" t="n">
        <v>42614</v>
      </c>
      <c r="C210" s="56" t="n">
        <v>92891</v>
      </c>
      <c r="D210" s="0" t="s">
        <v>41</v>
      </c>
      <c r="E210" s="33" t="n">
        <f aca="false">IF(D210="totale",(C210/(A210*24))/F210,IF(D210="marché libre",(C210/(A210*24))/G210,"spécifier histo"))</f>
        <v>0.069737987987988</v>
      </c>
      <c r="F210" s="59" t="n">
        <v>1850</v>
      </c>
      <c r="G210" s="59" t="n">
        <f aca="false">F210-H210</f>
        <v>1450</v>
      </c>
      <c r="H210" s="59" t="n">
        <v>400</v>
      </c>
      <c r="J210" s="332" t="s">
        <v>468</v>
      </c>
      <c r="K210" s="333"/>
      <c r="L210" s="334" t="n">
        <v>330512</v>
      </c>
    </row>
    <row r="211" customFormat="false" ht="19.85" hidden="false" customHeight="true" outlineLevel="0" collapsed="false">
      <c r="A211" s="0" t="n">
        <v>31</v>
      </c>
      <c r="B211" s="34" t="n">
        <v>42644</v>
      </c>
      <c r="C211" s="56" t="n">
        <v>330512</v>
      </c>
      <c r="D211" s="0" t="s">
        <v>41</v>
      </c>
      <c r="E211" s="33" t="n">
        <f aca="false">IF(D211="totale",(C211/(A211*24))/F211,IF(D211="marché libre",(C211/(A211*24))/G211,"spécifier histo"))</f>
        <v>0.240127869805289</v>
      </c>
      <c r="F211" s="59" t="n">
        <v>1850</v>
      </c>
      <c r="G211" s="59" t="n">
        <f aca="false">F211-H211</f>
        <v>1450</v>
      </c>
      <c r="H211" s="59" t="n">
        <v>400</v>
      </c>
      <c r="J211" s="332" t="s">
        <v>469</v>
      </c>
      <c r="K211" s="333" t="n">
        <v>349686</v>
      </c>
      <c r="L211" s="334" t="n">
        <v>757288</v>
      </c>
    </row>
    <row r="212" customFormat="false" ht="19.85" hidden="false" customHeight="true" outlineLevel="0" collapsed="false">
      <c r="A212" s="0" t="n">
        <v>30</v>
      </c>
      <c r="B212" s="31" t="n">
        <v>42675</v>
      </c>
      <c r="C212" s="56" t="n">
        <v>757288</v>
      </c>
      <c r="D212" s="0" t="s">
        <v>41</v>
      </c>
      <c r="E212" s="33" t="n">
        <f aca="false">IF(D212="totale",(C212/(A212*24))/F212,IF(D212="marché libre",(C212/(A212*24))/G212,"spécifier histo"))</f>
        <v>0.568534534534535</v>
      </c>
      <c r="F212" s="59" t="n">
        <v>1850</v>
      </c>
      <c r="G212" s="59" t="n">
        <f aca="false">F212-H212</f>
        <v>1450</v>
      </c>
      <c r="H212" s="59" t="n">
        <v>400</v>
      </c>
      <c r="J212" s="335" t="s">
        <v>470</v>
      </c>
      <c r="K212" s="336" t="n">
        <v>222702</v>
      </c>
      <c r="L212" s="337" t="n">
        <v>481395</v>
      </c>
    </row>
    <row r="213" customFormat="false" ht="19.85" hidden="false" customHeight="true" outlineLevel="0" collapsed="false">
      <c r="A213" s="0" t="n">
        <v>31</v>
      </c>
      <c r="B213" s="34" t="n">
        <v>42705</v>
      </c>
      <c r="C213" s="56" t="n">
        <v>481395</v>
      </c>
      <c r="D213" s="0" t="s">
        <v>41</v>
      </c>
      <c r="E213" s="33" t="n">
        <f aca="false">IF(D213="totale",(C213/(A213*24))/F213,IF(D213="marché libre",(C213/(A213*24))/G213,"spécifier histo"))</f>
        <v>0.349749346120314</v>
      </c>
      <c r="F213" s="59" t="n">
        <v>1850</v>
      </c>
      <c r="G213" s="59" t="n">
        <f aca="false">F213-H213</f>
        <v>1450</v>
      </c>
      <c r="H213" s="59" t="n">
        <v>400</v>
      </c>
      <c r="J213" s="208"/>
    </row>
    <row r="214" customFormat="false" ht="19.85" hidden="false" customHeight="true" outlineLevel="0" collapsed="false">
      <c r="A214" s="0" t="n">
        <v>31</v>
      </c>
      <c r="B214" s="31" t="n">
        <v>42736</v>
      </c>
      <c r="C214" s="338" t="n">
        <v>0</v>
      </c>
      <c r="D214" s="339" t="s">
        <v>42</v>
      </c>
      <c r="E214" s="118" t="n">
        <f aca="false">IF(D214="totale",(C214/(A214*24))/F214,IF(D214="marché libre",(C214/(A214*24))/G214,"spécifier histo"))</f>
        <v>0</v>
      </c>
      <c r="F214" s="232" t="n">
        <v>1850</v>
      </c>
      <c r="G214" s="232" t="n">
        <f aca="false">F214-H214</f>
        <v>1450</v>
      </c>
      <c r="H214" s="245" t="n">
        <v>400</v>
      </c>
      <c r="J214" s="216" t="s">
        <v>471</v>
      </c>
    </row>
    <row r="215" customFormat="false" ht="19.85" hidden="false" customHeight="true" outlineLevel="0" collapsed="false">
      <c r="A215" s="0" t="n">
        <v>28</v>
      </c>
      <c r="B215" s="34" t="n">
        <v>42767</v>
      </c>
      <c r="C215" s="217" t="n">
        <v>0</v>
      </c>
      <c r="D215" s="250" t="s">
        <v>42</v>
      </c>
      <c r="E215" s="33" t="n">
        <f aca="false">IF(D215="totale",(C215/(A215*24))/F215,IF(D215="marché libre",(C215/(A215*24))/G215,"spécifier histo"))</f>
        <v>0</v>
      </c>
      <c r="F215" s="59" t="n">
        <v>1850</v>
      </c>
      <c r="G215" s="59" t="n">
        <f aca="false">F215-H215</f>
        <v>1450</v>
      </c>
      <c r="H215" s="58" t="n">
        <v>400</v>
      </c>
      <c r="J215" s="208" t="s">
        <v>472</v>
      </c>
    </row>
    <row r="216" customFormat="false" ht="19.85" hidden="false" customHeight="true" outlineLevel="0" collapsed="false">
      <c r="A216" s="0" t="n">
        <v>31</v>
      </c>
      <c r="B216" s="31" t="n">
        <v>42795</v>
      </c>
      <c r="C216" s="217" t="n">
        <v>265359</v>
      </c>
      <c r="D216" s="250" t="s">
        <v>42</v>
      </c>
      <c r="E216" s="33" t="n">
        <f aca="false">IF(D216="totale",(C216/(A216*24))/F216,IF(D216="marché libre",(C216/(A216*24))/G216,"spécifier histo"))</f>
        <v>0.245976084538376</v>
      </c>
      <c r="F216" s="59" t="n">
        <v>1850</v>
      </c>
      <c r="G216" s="59" t="n">
        <f aca="false">F216-H216</f>
        <v>1450</v>
      </c>
      <c r="H216" s="58" t="n">
        <v>400</v>
      </c>
      <c r="J216" s="208"/>
    </row>
    <row r="217" customFormat="false" ht="19.85" hidden="false" customHeight="true" outlineLevel="0" collapsed="false">
      <c r="A217" s="0" t="n">
        <v>30</v>
      </c>
      <c r="B217" s="34" t="n">
        <v>42826</v>
      </c>
      <c r="C217" s="217" t="n">
        <v>746552</v>
      </c>
      <c r="D217" s="250" t="s">
        <v>42</v>
      </c>
      <c r="E217" s="33" t="n">
        <f aca="false">IF(D217="totale",(C217/(A217*24))/F217,IF(D217="marché libre",(C217/(A217*24))/G217,"spécifier histo"))</f>
        <v>0.715088122605364</v>
      </c>
      <c r="F217" s="59" t="n">
        <v>1850</v>
      </c>
      <c r="G217" s="59" t="n">
        <f aca="false">F217-H217</f>
        <v>1450</v>
      </c>
      <c r="H217" s="58" t="n">
        <v>400</v>
      </c>
      <c r="J217" s="208"/>
    </row>
    <row r="218" customFormat="false" ht="19.85" hidden="false" customHeight="true" outlineLevel="0" collapsed="false">
      <c r="A218" s="0" t="n">
        <v>31</v>
      </c>
      <c r="B218" s="31" t="n">
        <v>42856</v>
      </c>
      <c r="C218" s="217" t="n">
        <v>965436</v>
      </c>
      <c r="D218" s="250" t="s">
        <v>42</v>
      </c>
      <c r="E218" s="33" t="n">
        <f aca="false">IF(D218="totale",(C218/(A218*24))/F218,IF(D218="marché libre",(C218/(A218*24))/G218,"spécifier histo"))</f>
        <v>0.894916573971079</v>
      </c>
      <c r="F218" s="59" t="n">
        <v>1850</v>
      </c>
      <c r="G218" s="59" t="n">
        <f aca="false">F218-H218</f>
        <v>1450</v>
      </c>
      <c r="H218" s="58" t="n">
        <v>400</v>
      </c>
      <c r="J218" s="208"/>
    </row>
    <row r="219" customFormat="false" ht="22.45" hidden="false" customHeight="true" outlineLevel="0" collapsed="false">
      <c r="A219" s="0" t="n">
        <v>30</v>
      </c>
      <c r="B219" s="34" t="n">
        <v>42887</v>
      </c>
      <c r="C219" s="217" t="n">
        <v>942524</v>
      </c>
      <c r="D219" s="250" t="s">
        <v>42</v>
      </c>
      <c r="E219" s="33" t="n">
        <f aca="false">IF(D219="totale",(C219/(A219*24))/F219,IF(D219="marché libre",(C219/(A219*24))/G219,"spécifier histo"))</f>
        <v>0.902800766283525</v>
      </c>
      <c r="F219" s="59" t="n">
        <v>1850</v>
      </c>
      <c r="G219" s="59" t="n">
        <f aca="false">F219-H219</f>
        <v>1450</v>
      </c>
      <c r="H219" s="58" t="n">
        <v>400</v>
      </c>
      <c r="J219" s="208"/>
    </row>
    <row r="220" customFormat="false" ht="21.65" hidden="false" customHeight="true" outlineLevel="0" collapsed="false">
      <c r="A220" s="0" t="n">
        <v>31</v>
      </c>
      <c r="B220" s="31" t="n">
        <v>42917</v>
      </c>
      <c r="C220" s="217" t="n">
        <v>112287</v>
      </c>
      <c r="D220" s="250" t="s">
        <v>42</v>
      </c>
      <c r="E220" s="33" t="n">
        <f aca="false">IF(D220="totale",(C220/(A220*24))/F220,IF(D220="marché libre",(C220/(A220*24))/G220,"spécifier histo"))</f>
        <v>0.104085094549499</v>
      </c>
      <c r="F220" s="59" t="n">
        <v>1850</v>
      </c>
      <c r="G220" s="59" t="n">
        <f aca="false">F220-H220</f>
        <v>1450</v>
      </c>
      <c r="H220" s="58" t="n">
        <v>400</v>
      </c>
      <c r="J220" s="208"/>
    </row>
    <row r="221" customFormat="false" ht="21.65" hidden="false" customHeight="true" outlineLevel="0" collapsed="false">
      <c r="A221" s="0" t="n">
        <v>31</v>
      </c>
      <c r="B221" s="34" t="n">
        <v>42948</v>
      </c>
      <c r="C221" s="217" t="n">
        <v>192</v>
      </c>
      <c r="D221" s="250" t="s">
        <v>42</v>
      </c>
      <c r="E221" s="33" t="n">
        <f aca="false">IF(D221="totale",(C221/(A221*24))/F221,IF(D221="marché libre",(C221/(A221*24))/G221,"spécifier histo"))</f>
        <v>0.00017797552836485</v>
      </c>
      <c r="F221" s="59" t="n">
        <v>1850</v>
      </c>
      <c r="G221" s="59" t="n">
        <f aca="false">F221-H221</f>
        <v>1450</v>
      </c>
      <c r="H221" s="58" t="n">
        <v>400</v>
      </c>
      <c r="J221" s="208"/>
    </row>
    <row r="222" customFormat="false" ht="21.65" hidden="false" customHeight="true" outlineLevel="0" collapsed="false">
      <c r="A222" s="0" t="n">
        <v>30</v>
      </c>
      <c r="B222" s="31" t="n">
        <v>42979</v>
      </c>
      <c r="C222" s="217" t="n">
        <v>0</v>
      </c>
      <c r="D222" s="250" t="s">
        <v>42</v>
      </c>
      <c r="E222" s="33" t="n">
        <f aca="false">IF(D222="totale",(C222/(A222*24))/F222,IF(D222="marché libre",(C222/(A222*24))/G222,"spécifier histo"))</f>
        <v>0</v>
      </c>
      <c r="F222" s="59" t="n">
        <v>1850</v>
      </c>
      <c r="G222" s="59" t="n">
        <f aca="false">F222-H222</f>
        <v>1450</v>
      </c>
      <c r="H222" s="58" t="n">
        <v>400</v>
      </c>
      <c r="J222" s="208"/>
    </row>
    <row r="223" customFormat="false" ht="21.65" hidden="false" customHeight="true" outlineLevel="0" collapsed="false">
      <c r="A223" s="0" t="n">
        <v>31</v>
      </c>
      <c r="B223" s="34" t="n">
        <v>43009</v>
      </c>
      <c r="C223" s="217" t="n">
        <v>0</v>
      </c>
      <c r="D223" s="250" t="s">
        <v>42</v>
      </c>
      <c r="E223" s="33" t="n">
        <f aca="false">IF(D223="totale",(C223/(A223*24))/F223,IF(D223="marché libre",(C223/(A223*24))/G223,"spécifier histo"))</f>
        <v>0</v>
      </c>
      <c r="F223" s="59" t="n">
        <v>1850</v>
      </c>
      <c r="G223" s="59" t="n">
        <f aca="false">F223-H223</f>
        <v>1450</v>
      </c>
      <c r="H223" s="58" t="n">
        <v>400</v>
      </c>
      <c r="J223" s="208"/>
    </row>
    <row r="224" customFormat="false" ht="21.65" hidden="false" customHeight="true" outlineLevel="0" collapsed="false">
      <c r="A224" s="0" t="n">
        <v>30</v>
      </c>
      <c r="B224" s="31" t="n">
        <v>43040</v>
      </c>
      <c r="C224" s="217" t="n">
        <v>0</v>
      </c>
      <c r="D224" s="250" t="s">
        <v>42</v>
      </c>
      <c r="E224" s="33" t="n">
        <f aca="false">IF(D224="totale",(C224/(A224*24))/F224,IF(D224="marché libre",(C224/(A224*24))/G224,"spécifier histo"))</f>
        <v>0</v>
      </c>
      <c r="F224" s="59" t="n">
        <v>1850</v>
      </c>
      <c r="G224" s="59" t="n">
        <f aca="false">F224-H224</f>
        <v>1450</v>
      </c>
      <c r="H224" s="58" t="n">
        <v>400</v>
      </c>
      <c r="J224" s="208"/>
    </row>
    <row r="225" customFormat="false" ht="21.65" hidden="false" customHeight="true" outlineLevel="0" collapsed="false">
      <c r="A225" s="0" t="n">
        <v>31</v>
      </c>
      <c r="B225" s="34" t="n">
        <v>43070</v>
      </c>
      <c r="C225" s="217" t="n">
        <v>1137</v>
      </c>
      <c r="D225" s="250" t="s">
        <v>42</v>
      </c>
      <c r="E225" s="33" t="n">
        <f aca="false">IF(D225="totale",(C214/(A225*24))/F225,IF(D225="marché libre",(C214/(A225*24))/G225,"spécifier histo"))</f>
        <v>0</v>
      </c>
      <c r="F225" s="59" t="n">
        <v>1850</v>
      </c>
      <c r="G225" s="59" t="n">
        <f aca="false">F225-H225</f>
        <v>1450</v>
      </c>
      <c r="H225" s="58" t="n">
        <v>400</v>
      </c>
      <c r="J225" s="208"/>
    </row>
    <row r="226" customFormat="false" ht="28.35" hidden="false" customHeight="true" outlineLevel="0" collapsed="false">
      <c r="A226" s="0" t="n">
        <v>31</v>
      </c>
      <c r="B226" s="31" t="n">
        <v>43101</v>
      </c>
      <c r="C226" s="217" t="n">
        <v>0</v>
      </c>
      <c r="D226" s="250" t="s">
        <v>42</v>
      </c>
      <c r="E226" s="33" t="n">
        <f aca="false">IF(D226="totale",(C215/(A226*24))/F226,IF(D226="marché libre",(C215/(A226*24))/G226,"spécifier histo"))</f>
        <v>0</v>
      </c>
      <c r="F226" s="59" t="n">
        <v>1850</v>
      </c>
      <c r="G226" s="59" t="n">
        <f aca="false">F226-H226</f>
        <v>1450</v>
      </c>
      <c r="H226" s="58" t="n">
        <v>400</v>
      </c>
      <c r="J226" s="216"/>
    </row>
    <row r="227" customFormat="false" ht="22.45" hidden="false" customHeight="true" outlineLevel="0" collapsed="false">
      <c r="A227" s="0" t="n">
        <v>28</v>
      </c>
      <c r="B227" s="34" t="n">
        <v>43132</v>
      </c>
      <c r="C227" s="217" t="n">
        <v>0</v>
      </c>
      <c r="D227" s="250" t="s">
        <v>42</v>
      </c>
      <c r="E227" s="33" t="n">
        <f aca="false">IF(D227="totale",(C216/(A227*24))/F227,IF(D227="marché libre",(C216/(A227*24))/G227,"spécifier histo"))</f>
        <v>0.272330665024631</v>
      </c>
      <c r="F227" s="59" t="n">
        <v>1850</v>
      </c>
      <c r="G227" s="59" t="n">
        <f aca="false">F227-H227</f>
        <v>1450</v>
      </c>
      <c r="H227" s="58" t="n">
        <v>400</v>
      </c>
      <c r="J227" s="180"/>
    </row>
    <row r="228" customFormat="false" ht="22.45" hidden="false" customHeight="true" outlineLevel="0" collapsed="false">
      <c r="A228" s="0" t="n">
        <v>31</v>
      </c>
      <c r="B228" s="31" t="n">
        <v>43160</v>
      </c>
      <c r="C228" s="217" t="n">
        <v>0</v>
      </c>
      <c r="D228" s="250" t="s">
        <v>42</v>
      </c>
      <c r="E228" s="33" t="n">
        <f aca="false">IF(D228="totale",(C217/(A228*24))/F228,IF(D228="marché libre",(C217/(A228*24))/G228,"spécifier histo"))</f>
        <v>0.692020763811643</v>
      </c>
      <c r="F228" s="59" t="n">
        <v>1850</v>
      </c>
      <c r="G228" s="59" t="n">
        <f aca="false">F228-H228</f>
        <v>1450</v>
      </c>
      <c r="H228" s="58" t="n">
        <v>400</v>
      </c>
      <c r="J228" s="180"/>
    </row>
    <row r="229" customFormat="false" ht="22.45" hidden="false" customHeight="true" outlineLevel="0" collapsed="false">
      <c r="A229" s="0" t="n">
        <v>30</v>
      </c>
      <c r="B229" s="34" t="n">
        <v>43191</v>
      </c>
      <c r="C229" s="217" t="n">
        <v>439748</v>
      </c>
      <c r="D229" s="250" t="s">
        <v>42</v>
      </c>
      <c r="E229" s="33" t="n">
        <f aca="false">IF(D229="totale",(C218/(A229*24))/F229,IF(D229="marché libre",(C218/(A229*24))/G229,"spécifier histo"))</f>
        <v>0.924747126436782</v>
      </c>
      <c r="F229" s="59" t="n">
        <v>1850</v>
      </c>
      <c r="G229" s="59" t="n">
        <f aca="false">F229-H229</f>
        <v>1450</v>
      </c>
      <c r="H229" s="58" t="n">
        <v>400</v>
      </c>
      <c r="J229" s="29"/>
    </row>
    <row r="230" customFormat="false" ht="22.45" hidden="false" customHeight="true" outlineLevel="0" collapsed="false">
      <c r="A230" s="0" t="n">
        <v>31</v>
      </c>
      <c r="B230" s="31" t="n">
        <v>43221</v>
      </c>
      <c r="C230" s="217" t="n">
        <v>952596</v>
      </c>
      <c r="D230" s="250" t="s">
        <v>42</v>
      </c>
      <c r="E230" s="33" t="n">
        <f aca="false">IF(D230="totale",(C219/(A230*24))/F230,IF(D230="marché libre",(C219/(A230*24))/G230,"spécifier histo"))</f>
        <v>0.87367816091954</v>
      </c>
      <c r="F230" s="59" t="n">
        <v>1850</v>
      </c>
      <c r="G230" s="59" t="n">
        <f aca="false">F230-H230</f>
        <v>1450</v>
      </c>
      <c r="H230" s="58" t="n">
        <v>400</v>
      </c>
      <c r="J230" s="29"/>
    </row>
    <row r="231" customFormat="false" ht="22.45" hidden="false" customHeight="true" outlineLevel="0" collapsed="false">
      <c r="A231" s="0" t="n">
        <v>30</v>
      </c>
      <c r="B231" s="34" t="n">
        <v>43252</v>
      </c>
      <c r="C231" s="217" t="n">
        <v>978910</v>
      </c>
      <c r="D231" s="250" t="s">
        <v>42</v>
      </c>
      <c r="E231" s="33" t="n">
        <f aca="false">IF(D231="totale",(C220/(A231*24))/F231,IF(D231="marché libre",(C220/(A231*24))/G231,"spécifier histo"))</f>
        <v>0.107554597701149</v>
      </c>
      <c r="F231" s="59" t="n">
        <v>1850</v>
      </c>
      <c r="G231" s="59" t="n">
        <f aca="false">F231-H231</f>
        <v>1450</v>
      </c>
      <c r="H231" s="58" t="n">
        <v>400</v>
      </c>
      <c r="J231" s="29"/>
    </row>
    <row r="232" customFormat="false" ht="22.45" hidden="false" customHeight="true" outlineLevel="0" collapsed="false">
      <c r="A232" s="0" t="n">
        <v>31</v>
      </c>
      <c r="B232" s="31" t="n">
        <v>43282</v>
      </c>
      <c r="C232" s="217" t="n">
        <v>224499</v>
      </c>
      <c r="D232" s="250" t="s">
        <v>42</v>
      </c>
      <c r="E232" s="33" t="n">
        <f aca="false">IF(D232="totale",(C221/(A232*24))/F232,IF(D232="marché libre",(C221/(A232*24))/G232,"spécifier histo"))</f>
        <v>0.00017797552836485</v>
      </c>
      <c r="F232" s="59" t="n">
        <v>1850</v>
      </c>
      <c r="G232" s="59" t="n">
        <f aca="false">F232-H232</f>
        <v>1450</v>
      </c>
      <c r="H232" s="58" t="n">
        <v>400</v>
      </c>
      <c r="J232" s="29"/>
    </row>
    <row r="233" customFormat="false" ht="22.45" hidden="false" customHeight="true" outlineLevel="0" collapsed="false">
      <c r="A233" s="0" t="n">
        <v>31</v>
      </c>
      <c r="B233" s="34" t="n">
        <v>43313</v>
      </c>
      <c r="C233" s="217" t="n">
        <v>10511</v>
      </c>
      <c r="D233" s="250" t="s">
        <v>42</v>
      </c>
      <c r="E233" s="33" t="n">
        <f aca="false">IF(D233="totale",(C222/(A233*24))/F233,IF(D233="marché libre",(C222/(A233*24))/G233,"spécifier histo"))</f>
        <v>0</v>
      </c>
      <c r="F233" s="59" t="n">
        <v>1850</v>
      </c>
      <c r="G233" s="59" t="n">
        <f aca="false">F233-H233</f>
        <v>1450</v>
      </c>
      <c r="H233" s="58" t="n">
        <v>400</v>
      </c>
    </row>
    <row r="234" customFormat="false" ht="28.35" hidden="false" customHeight="true" outlineLevel="0" collapsed="false">
      <c r="A234" s="0"/>
    </row>
    <row r="235" customFormat="false" ht="28.35" hidden="false" customHeight="true" outlineLevel="0" collapsed="false">
      <c r="A235" s="0"/>
    </row>
    <row r="236" customFormat="false" ht="28.35" hidden="false" customHeight="true" outlineLevel="0" collapsed="false">
      <c r="A236" s="0"/>
    </row>
    <row r="237" customFormat="false" ht="28.35" hidden="false" customHeight="true" outlineLevel="0" collapsed="false">
      <c r="A237" s="0"/>
    </row>
    <row r="238" customFormat="false" ht="28.35" hidden="false" customHeight="true" outlineLevel="0" collapsed="false">
      <c r="A238" s="0"/>
    </row>
    <row r="239" customFormat="false" ht="28.35" hidden="false" customHeight="true" outlineLevel="0" collapsed="false">
      <c r="A239" s="0"/>
    </row>
    <row r="240" customFormat="false" ht="12.8" hidden="false" customHeight="false" outlineLevel="0" collapsed="false">
      <c r="A240" s="0"/>
    </row>
    <row r="241" customFormat="false" ht="12.8" hidden="false" customHeight="false" outlineLevel="0" collapsed="false">
      <c r="A241" s="0"/>
    </row>
    <row r="242" customFormat="false" ht="12.8" hidden="false" customHeight="false" outlineLevel="0" collapsed="false">
      <c r="A242" s="0"/>
    </row>
    <row r="243" customFormat="false" ht="12.8" hidden="false" customHeight="false" outlineLevel="0" collapsed="false">
      <c r="A243" s="0"/>
    </row>
    <row r="244" customFormat="false" ht="12.8" hidden="false" customHeight="false" outlineLevel="0" collapsed="false">
      <c r="A244" s="0"/>
    </row>
    <row r="245" customFormat="false" ht="12.8" hidden="false" customHeight="false" outlineLevel="0" collapsed="false">
      <c r="A245" s="0"/>
    </row>
    <row r="246" customFormat="false" ht="12.8" hidden="false" customHeight="false" outlineLevel="0" collapsed="false">
      <c r="A246" s="0"/>
    </row>
    <row r="247" customFormat="false" ht="12.8" hidden="false" customHeight="false" outlineLevel="0" collapsed="false">
      <c r="A247" s="0"/>
    </row>
    <row r="248" customFormat="false" ht="12.8" hidden="false" customHeight="false" outlineLevel="0" collapsed="false">
      <c r="A248" s="0"/>
    </row>
    <row r="249" customFormat="false" ht="12.8" hidden="false" customHeight="false" outlineLevel="0" collapsed="false">
      <c r="A249" s="0"/>
    </row>
    <row r="250" customFormat="false" ht="12.8" hidden="false" customHeight="false" outlineLevel="0" collapsed="false">
      <c r="A250" s="0"/>
    </row>
    <row r="251" customFormat="false" ht="12.8" hidden="false" customHeight="false" outlineLevel="0" collapsed="false">
      <c r="A251" s="0"/>
    </row>
    <row r="252" customFormat="false" ht="12.8" hidden="false" customHeight="false" outlineLevel="0" collapsed="false">
      <c r="A252" s="0"/>
    </row>
    <row r="253" customFormat="false" ht="12.8" hidden="false" customHeight="false" outlineLevel="0" collapsed="false">
      <c r="A253" s="0"/>
    </row>
    <row r="254" customFormat="false" ht="12.8" hidden="false" customHeight="false" outlineLevel="0" collapsed="false">
      <c r="A254" s="0"/>
    </row>
    <row r="255" customFormat="false" ht="12.8" hidden="false" customHeight="false" outlineLevel="0" collapsed="false">
      <c r="A255" s="0"/>
    </row>
    <row r="256" customFormat="false" ht="12.8" hidden="false" customHeight="false" outlineLevel="0" collapsed="false">
      <c r="A256" s="0"/>
    </row>
    <row r="257" customFormat="false" ht="12.8" hidden="false" customHeight="false" outlineLevel="0" collapsed="false">
      <c r="A257" s="0"/>
    </row>
    <row r="258" customFormat="false" ht="12.8" hidden="false" customHeight="false" outlineLevel="0" collapsed="false">
      <c r="A258" s="0"/>
    </row>
    <row r="259" customFormat="false" ht="12.8" hidden="false" customHeight="false" outlineLevel="0" collapsed="false">
      <c r="A259" s="0"/>
    </row>
    <row r="260" customFormat="false" ht="12.8" hidden="false" customHeight="false" outlineLevel="0" collapsed="false">
      <c r="A260" s="0"/>
    </row>
    <row r="261" customFormat="false" ht="12.8" hidden="false" customHeight="false" outlineLevel="0" collapsed="false">
      <c r="A261" s="0"/>
    </row>
    <row r="262" customFormat="false" ht="12.8" hidden="false" customHeight="false" outlineLevel="0" collapsed="false">
      <c r="A262" s="0"/>
    </row>
    <row r="263" customFormat="false" ht="12.8" hidden="false" customHeight="false" outlineLevel="0" collapsed="false">
      <c r="A263" s="0"/>
    </row>
    <row r="264" customFormat="false" ht="12.8" hidden="false" customHeight="false" outlineLevel="0" collapsed="false">
      <c r="A264" s="0"/>
    </row>
    <row r="265" customFormat="false" ht="12.8" hidden="false" customHeight="false" outlineLevel="0" collapsed="false">
      <c r="A265" s="0"/>
    </row>
    <row r="266" customFormat="false" ht="12.8" hidden="false" customHeight="false" outlineLevel="0" collapsed="false">
      <c r="A266" s="0"/>
    </row>
    <row r="267" customFormat="false" ht="12.8" hidden="false" customHeight="false" outlineLevel="0" collapsed="false">
      <c r="A26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3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2.xml><?xml version="1.0" encoding="utf-8"?>
<worksheet xmlns="http://schemas.openxmlformats.org/spreadsheetml/2006/main" xmlns:r="http://schemas.openxmlformats.org/officeDocument/2006/relationships">
  <sheetPr filterMode="false">
    <tabColor rgb="FF00CC33"/>
    <pageSetUpPr fitToPage="false"/>
  </sheetPr>
  <dimension ref="A1:AS21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8" topLeftCell="B9" activePane="bottomRight" state="frozen"/>
      <selection pane="topLeft" activeCell="A1" activeCellId="0" sqref="A1"/>
      <selection pane="topRight" activeCell="B1" activeCellId="0" sqref="B1"/>
      <selection pane="bottomLeft" activeCell="A9" activeCellId="0" sqref="A9"/>
      <selection pane="bottomRight" activeCell="C209" activeCellId="0" sqref="C209"/>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52"/>
    <col collapsed="false" customWidth="true" hidden="false" outlineLevel="0" max="5" min="5" style="1" width="18.38"/>
    <col collapsed="false" customWidth="true" hidden="false" outlineLevel="0" max="6" min="6" style="1" width="16.07"/>
    <col collapsed="false" customWidth="true" hidden="false" outlineLevel="0" max="7" min="7" style="1" width="14.66"/>
    <col collapsed="false" customWidth="true" hidden="false" outlineLevel="0" max="8" min="8" style="1" width="16.67"/>
    <col collapsed="false" customWidth="true" hidden="false" outlineLevel="0" max="9" min="9" style="1" width="19.31"/>
    <col collapsed="false" customWidth="true" hidden="false" outlineLevel="0" max="10" min="10" style="29" width="23.46"/>
    <col collapsed="false" customWidth="true" hidden="false" outlineLevel="0" max="11" min="11" style="1" width="19.77"/>
    <col collapsed="false" customWidth="true" hidden="false" outlineLevel="0" max="12" min="12" style="1" width="24.54"/>
    <col collapsed="false" customWidth="false" hidden="false" outlineLevel="0" max="13" min="13" style="1" width="11.52"/>
    <col collapsed="false" customWidth="true" hidden="false" outlineLevel="0" max="14" min="14" style="1" width="9.4"/>
    <col collapsed="false" customWidth="true" hidden="false" outlineLevel="0" max="15" min="15" style="1" width="5.24"/>
    <col collapsed="false" customWidth="false" hidden="false" outlineLevel="0" max="16" min="16" style="1" width="11.52"/>
    <col collapsed="false" customWidth="true" hidden="false" outlineLevel="0" max="17" min="17" style="1" width="15.42"/>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197" t="s">
        <v>108</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40" t="s">
        <v>3</v>
      </c>
      <c r="K2" s="340"/>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341" t="s">
        <v>17</v>
      </c>
      <c r="K3" s="10" t="s">
        <v>18</v>
      </c>
      <c r="L3" s="10" t="s">
        <v>19</v>
      </c>
      <c r="M3" s="10" t="s">
        <v>17</v>
      </c>
      <c r="N3" s="3"/>
      <c r="P3" s="12"/>
      <c r="Q3" s="5" t="s">
        <v>20</v>
      </c>
      <c r="S3" s="13"/>
      <c r="T3" s="7" t="s">
        <v>21</v>
      </c>
      <c r="U3" s="8"/>
      <c r="V3" s="9"/>
    </row>
    <row r="4" customFormat="false" ht="42.45" hidden="false" customHeight="true" outlineLevel="0" collapsed="false">
      <c r="A4" s="0"/>
      <c r="B4" s="5" t="s">
        <v>473</v>
      </c>
      <c r="C4" s="5" t="n">
        <v>51526</v>
      </c>
      <c r="D4" s="5" t="s">
        <v>474</v>
      </c>
      <c r="E4" s="14" t="s">
        <v>308</v>
      </c>
      <c r="F4" s="15" t="n">
        <v>1000</v>
      </c>
      <c r="G4" s="15" t="n">
        <v>1000</v>
      </c>
      <c r="H4" s="15" t="n">
        <v>600</v>
      </c>
      <c r="I4" s="16" t="s">
        <v>475</v>
      </c>
      <c r="J4" s="342" t="n">
        <v>1000</v>
      </c>
      <c r="K4" s="16" t="s">
        <v>476</v>
      </c>
      <c r="L4" s="16" t="s">
        <v>477</v>
      </c>
      <c r="M4" s="16"/>
      <c r="N4" s="17"/>
      <c r="P4" s="17"/>
      <c r="Q4" s="16" t="s">
        <v>23</v>
      </c>
      <c r="S4" s="18"/>
      <c r="T4" s="19" t="s">
        <v>24</v>
      </c>
      <c r="U4" s="19"/>
      <c r="V4" s="19"/>
    </row>
    <row r="5" customFormat="false" ht="28.35" hidden="false" customHeight="true" outlineLevel="0" collapsed="false">
      <c r="A5" s="0"/>
      <c r="F5" s="9"/>
      <c r="G5" s="9"/>
      <c r="H5" s="9"/>
      <c r="J5" s="59"/>
      <c r="P5" s="9"/>
      <c r="Q5" s="9"/>
    </row>
    <row r="6" customFormat="false" ht="44.95" hidden="false" customHeight="true" outlineLevel="0" collapsed="false">
      <c r="A6" s="0"/>
      <c r="B6" s="0"/>
      <c r="C6" s="10" t="s">
        <v>25</v>
      </c>
      <c r="D6" s="10"/>
      <c r="F6" s="20" t="s">
        <v>26</v>
      </c>
      <c r="G6" s="19" t="s">
        <v>478</v>
      </c>
      <c r="H6" s="19"/>
      <c r="I6" s="19"/>
      <c r="J6" s="19"/>
      <c r="K6" s="19"/>
      <c r="L6" s="19"/>
      <c r="M6" s="19"/>
      <c r="N6" s="19"/>
      <c r="P6" s="21" t="n">
        <v>42005</v>
      </c>
      <c r="Q6" s="19" t="s">
        <v>27</v>
      </c>
      <c r="R6" s="9"/>
      <c r="S6" s="22"/>
      <c r="T6" s="5" t="s">
        <v>28</v>
      </c>
    </row>
    <row r="7" customFormat="false" ht="66.9" hidden="false" customHeight="true" outlineLevel="0" collapsed="false">
      <c r="A7" s="0"/>
      <c r="B7" s="0"/>
      <c r="C7" s="126" t="s">
        <v>479</v>
      </c>
      <c r="D7" s="126"/>
      <c r="F7" s="20"/>
      <c r="G7" s="20"/>
      <c r="H7" s="19"/>
      <c r="I7" s="19"/>
      <c r="J7" s="19"/>
      <c r="K7" s="19"/>
      <c r="L7" s="19"/>
      <c r="M7" s="19"/>
      <c r="N7" s="19"/>
      <c r="P7" s="24"/>
      <c r="Q7" s="5" t="s">
        <v>29</v>
      </c>
      <c r="R7" s="9"/>
      <c r="S7" s="25"/>
      <c r="T7" s="5" t="s">
        <v>30</v>
      </c>
    </row>
    <row r="8" customFormat="false" ht="43.3" hidden="false" customHeight="true" outlineLevel="0" collapsed="false">
      <c r="C8" s="0"/>
      <c r="G8" s="9"/>
      <c r="H8" s="9"/>
      <c r="I8" s="9"/>
      <c r="K8" s="9"/>
      <c r="R8" s="9"/>
      <c r="S8" s="27"/>
      <c r="T8" s="16" t="s">
        <v>31</v>
      </c>
    </row>
    <row r="9" customFormat="false" ht="40.8" hidden="false" customHeight="true" outlineLevel="0" collapsed="false">
      <c r="B9" s="9" t="s">
        <v>32</v>
      </c>
      <c r="C9" s="1" t="s">
        <v>33</v>
      </c>
      <c r="D9" s="0"/>
      <c r="E9" s="1" t="s">
        <v>35</v>
      </c>
      <c r="F9" s="9" t="s">
        <v>97</v>
      </c>
      <c r="G9" s="9" t="s">
        <v>37</v>
      </c>
      <c r="H9" s="9" t="s">
        <v>38</v>
      </c>
      <c r="I9" s="9" t="s">
        <v>39</v>
      </c>
      <c r="J9" s="205" t="s">
        <v>40</v>
      </c>
    </row>
    <row r="10" customFormat="false" ht="21.15" hidden="false" customHeight="true" outlineLevel="0" collapsed="false">
      <c r="A10" s="1" t="n">
        <v>31</v>
      </c>
      <c r="B10" s="31" t="n">
        <v>37257</v>
      </c>
      <c r="C10" s="1" t="n">
        <v>149600</v>
      </c>
      <c r="D10" s="9" t="s">
        <v>41</v>
      </c>
      <c r="E10" s="33" t="n">
        <f aca="false">IF(D10="totale",(C10/(A10*24))/F10,IF(D10="marché libre",(C10/(A10*24))/G10,"spécifier histo"))</f>
        <v>0.201075268817204</v>
      </c>
      <c r="F10" s="56" t="n">
        <v>1000</v>
      </c>
      <c r="G10" s="56" t="n">
        <f aca="false">F10-H10</f>
        <v>1000</v>
      </c>
      <c r="H10" s="9" t="n">
        <v>0</v>
      </c>
      <c r="I10" s="9" t="str">
        <f aca="false">IF(C10=0,"arrêt administratif","")</f>
        <v/>
      </c>
      <c r="J10" s="205"/>
      <c r="L10" s="0"/>
    </row>
    <row r="11" customFormat="false" ht="21.15" hidden="false" customHeight="true" outlineLevel="0" collapsed="false">
      <c r="A11" s="1" t="n">
        <v>28</v>
      </c>
      <c r="B11" s="34" t="n">
        <v>37288</v>
      </c>
      <c r="C11" s="1" t="n">
        <v>217600</v>
      </c>
      <c r="D11" s="9" t="s">
        <v>41</v>
      </c>
      <c r="E11" s="33" t="n">
        <f aca="false">IF(D11="totale",(C11/(A11*24))/F11,IF(D11="marché libre",(C11/(A11*24))/G11,"spécifier histo"))</f>
        <v>0.323809523809524</v>
      </c>
      <c r="F11" s="56" t="n">
        <v>1000</v>
      </c>
      <c r="G11" s="56" t="n">
        <f aca="false">F11-H11</f>
        <v>1000</v>
      </c>
      <c r="H11" s="9" t="n">
        <v>0</v>
      </c>
      <c r="I11" s="9" t="str">
        <f aca="false">IF(C11=0,"arrêt administratif","")</f>
        <v/>
      </c>
      <c r="J11" s="205"/>
      <c r="L11" s="0"/>
    </row>
    <row r="12" customFormat="false" ht="21.15" hidden="false" customHeight="true" outlineLevel="0" collapsed="false">
      <c r="A12" s="1" t="n">
        <v>31</v>
      </c>
      <c r="B12" s="31" t="n">
        <v>37316</v>
      </c>
      <c r="C12" s="1" t="n">
        <v>353600</v>
      </c>
      <c r="D12" s="9" t="s">
        <v>41</v>
      </c>
      <c r="E12" s="33" t="n">
        <f aca="false">IF(D12="totale",(C12/(A12*24))/F12,IF(D12="marché libre",(C12/(A12*24))/G12,"spécifier histo"))</f>
        <v>0.475268817204301</v>
      </c>
      <c r="F12" s="56" t="n">
        <v>1000</v>
      </c>
      <c r="G12" s="56" t="n">
        <f aca="false">F12-H12</f>
        <v>1000</v>
      </c>
      <c r="H12" s="9" t="n">
        <v>0</v>
      </c>
      <c r="I12" s="9" t="str">
        <f aca="false">IF(C12=0,"arrêt administratif","")</f>
        <v/>
      </c>
      <c r="J12" s="205"/>
      <c r="L12" s="0"/>
      <c r="M12" s="343" t="s">
        <v>480</v>
      </c>
    </row>
    <row r="13" customFormat="false" ht="21.15" hidden="false" customHeight="true" outlineLevel="0" collapsed="false">
      <c r="A13" s="1" t="n">
        <v>30</v>
      </c>
      <c r="B13" s="34" t="n">
        <v>37347</v>
      </c>
      <c r="C13" s="1" t="n">
        <v>342800</v>
      </c>
      <c r="D13" s="9" t="s">
        <v>41</v>
      </c>
      <c r="E13" s="33" t="n">
        <f aca="false">IF(D13="totale",(C13/(A13*24))/F13,IF(D13="marché libre",(C13/(A13*24))/G13,"spécifier histo"))</f>
        <v>0.476111111111111</v>
      </c>
      <c r="F13" s="56" t="n">
        <v>1000</v>
      </c>
      <c r="G13" s="56" t="n">
        <f aca="false">F13-H13</f>
        <v>1000</v>
      </c>
      <c r="H13" s="9" t="n">
        <v>0</v>
      </c>
      <c r="I13" s="9" t="str">
        <f aca="false">IF(C13=0,"arrêt administratif","")</f>
        <v/>
      </c>
      <c r="J13" s="205"/>
      <c r="L13" s="0"/>
    </row>
    <row r="14" customFormat="false" ht="21.15" hidden="false" customHeight="true" outlineLevel="0" collapsed="false">
      <c r="A14" s="1" t="n">
        <v>31</v>
      </c>
      <c r="B14" s="31" t="n">
        <v>37377</v>
      </c>
      <c r="C14" s="1" t="n">
        <v>252400</v>
      </c>
      <c r="D14" s="9" t="s">
        <v>41</v>
      </c>
      <c r="E14" s="33" t="n">
        <f aca="false">IF(D14="totale",(C14/(A14*24))/F14,IF(D14="marché libre",(C14/(A14*24))/G14,"spécifier histo"))</f>
        <v>0.339247311827957</v>
      </c>
      <c r="F14" s="56" t="n">
        <v>1000</v>
      </c>
      <c r="G14" s="56" t="n">
        <f aca="false">F14-H14</f>
        <v>1000</v>
      </c>
      <c r="H14" s="9" t="n">
        <v>0</v>
      </c>
      <c r="I14" s="9" t="str">
        <f aca="false">IF(C14=0,"arrêt administratif","")</f>
        <v/>
      </c>
      <c r="J14" s="205"/>
      <c r="L14" s="0"/>
      <c r="M14" s="29" t="s">
        <v>481</v>
      </c>
    </row>
    <row r="15" customFormat="false" ht="21.15" hidden="false" customHeight="true" outlineLevel="0" collapsed="false">
      <c r="A15" s="1" t="n">
        <v>30</v>
      </c>
      <c r="B15" s="34" t="n">
        <v>37408</v>
      </c>
      <c r="C15" s="1" t="n">
        <v>230800</v>
      </c>
      <c r="D15" s="9" t="s">
        <v>41</v>
      </c>
      <c r="E15" s="33" t="n">
        <f aca="false">IF(D15="totale",(C15/(A15*24))/F15,IF(D15="marché libre",(C15/(A15*24))/G15,"spécifier histo"))</f>
        <v>0.320555555555556</v>
      </c>
      <c r="F15" s="56" t="n">
        <v>1000</v>
      </c>
      <c r="G15" s="56" t="n">
        <f aca="false">F15-H15</f>
        <v>1000</v>
      </c>
      <c r="H15" s="9" t="n">
        <v>0</v>
      </c>
      <c r="I15" s="9" t="str">
        <f aca="false">IF(C15=0,"arrêt administratif","")</f>
        <v/>
      </c>
      <c r="J15" s="205"/>
      <c r="L15" s="0"/>
      <c r="M15" s="29" t="s">
        <v>482</v>
      </c>
    </row>
    <row r="16" customFormat="false" ht="21.15" hidden="false" customHeight="true" outlineLevel="0" collapsed="false">
      <c r="A16" s="1" t="n">
        <v>31</v>
      </c>
      <c r="B16" s="31" t="n">
        <v>37438</v>
      </c>
      <c r="C16" s="1" t="n">
        <v>0</v>
      </c>
      <c r="D16" s="9" t="s">
        <v>41</v>
      </c>
      <c r="E16" s="33" t="e">
        <f aca="false">IF(D16="totale",(C16/(A16*24))/F16,IF(D16="marché libre",(C16/(A16*24))/G16,"spécifier histo"))</f>
        <v>#DIV/0!</v>
      </c>
      <c r="F16" s="9" t="n">
        <v>0</v>
      </c>
      <c r="G16" s="56" t="n">
        <f aca="false">F16-H16</f>
        <v>0</v>
      </c>
      <c r="H16" s="9" t="n">
        <v>0</v>
      </c>
      <c r="I16" s="9" t="str">
        <f aca="false">IF(C16=0,"arrêt administratif","")</f>
        <v>arrêt administratif</v>
      </c>
      <c r="J16" s="205"/>
      <c r="L16" s="0"/>
      <c r="M16" s="29" t="s">
        <v>483</v>
      </c>
    </row>
    <row r="17" customFormat="false" ht="21.15" hidden="false" customHeight="true" outlineLevel="0" collapsed="false">
      <c r="A17" s="1" t="n">
        <v>31</v>
      </c>
      <c r="B17" s="34" t="n">
        <v>37469</v>
      </c>
      <c r="C17" s="1" t="n">
        <v>0</v>
      </c>
      <c r="D17" s="9" t="s">
        <v>41</v>
      </c>
      <c r="E17" s="33" t="e">
        <f aca="false">IF(D17="totale",(C17/(A17*24))/F17,IF(D17="marché libre",(C17/(A17*24))/G17,"spécifier histo"))</f>
        <v>#DIV/0!</v>
      </c>
      <c r="F17" s="9" t="n">
        <v>0</v>
      </c>
      <c r="G17" s="56" t="n">
        <f aca="false">F17-H17</f>
        <v>0</v>
      </c>
      <c r="H17" s="9" t="n">
        <v>0</v>
      </c>
      <c r="I17" s="9" t="str">
        <f aca="false">IF(C17=0,"arrêt administratif","")</f>
        <v>arrêt administratif</v>
      </c>
      <c r="J17" s="205"/>
      <c r="L17" s="0"/>
      <c r="M17" s="29" t="s">
        <v>484</v>
      </c>
    </row>
    <row r="18" customFormat="false" ht="21.15" hidden="false" customHeight="true" outlineLevel="0" collapsed="false">
      <c r="A18" s="1" t="n">
        <v>30</v>
      </c>
      <c r="B18" s="31" t="n">
        <v>37500</v>
      </c>
      <c r="C18" s="1" t="n">
        <v>188600</v>
      </c>
      <c r="D18" s="9" t="s">
        <v>41</v>
      </c>
      <c r="E18" s="33" t="n">
        <f aca="false">IF(D18="totale",(C18/(A18*24))/F18,IF(D18="marché libre",(C18/(A18*24))/G18,"spécifier histo"))</f>
        <v>0.261944444444444</v>
      </c>
      <c r="F18" s="56" t="n">
        <v>1000</v>
      </c>
      <c r="G18" s="56" t="n">
        <f aca="false">F18-H18</f>
        <v>1000</v>
      </c>
      <c r="H18" s="9" t="n">
        <v>0</v>
      </c>
      <c r="I18" s="9" t="str">
        <f aca="false">IF(C18=0,"arrêt administratif","")</f>
        <v/>
      </c>
      <c r="J18" s="205"/>
      <c r="L18" s="0"/>
      <c r="M18" s="29" t="s">
        <v>485</v>
      </c>
    </row>
    <row r="19" customFormat="false" ht="21.15" hidden="false" customHeight="true" outlineLevel="0" collapsed="false">
      <c r="A19" s="1" t="n">
        <v>31</v>
      </c>
      <c r="B19" s="34" t="n">
        <v>37530</v>
      </c>
      <c r="C19" s="1" t="n">
        <v>327000</v>
      </c>
      <c r="D19" s="9" t="s">
        <v>41</v>
      </c>
      <c r="E19" s="33" t="n">
        <f aca="false">IF(D19="totale",(C19/(A19*24))/F19,IF(D19="marché libre",(C19/(A19*24))/G19,"spécifier histo"))</f>
        <v>0.439516129032258</v>
      </c>
      <c r="F19" s="56" t="n">
        <v>1000</v>
      </c>
      <c r="G19" s="56" t="n">
        <f aca="false">F19-H19</f>
        <v>1000</v>
      </c>
      <c r="H19" s="9" t="n">
        <v>0</v>
      </c>
      <c r="I19" s="9" t="str">
        <f aca="false">IF(C19=0,"arrêt administratif","")</f>
        <v/>
      </c>
      <c r="J19" s="205"/>
      <c r="L19" s="0"/>
      <c r="M19" s="29" t="s">
        <v>486</v>
      </c>
    </row>
    <row r="20" customFormat="false" ht="21.15" hidden="false" customHeight="true" outlineLevel="0" collapsed="false">
      <c r="A20" s="1" t="n">
        <v>30</v>
      </c>
      <c r="B20" s="31" t="n">
        <v>37561</v>
      </c>
      <c r="C20" s="1" t="n">
        <v>364800</v>
      </c>
      <c r="D20" s="9" t="s">
        <v>41</v>
      </c>
      <c r="E20" s="33" t="n">
        <f aca="false">IF(D20="totale",(C20/(A20*24))/F20,IF(D20="marché libre",(C20/(A20*24))/G20,"spécifier histo"))</f>
        <v>0.506666666666667</v>
      </c>
      <c r="F20" s="56" t="n">
        <v>1000</v>
      </c>
      <c r="G20" s="56" t="n">
        <f aca="false">F20-H20</f>
        <v>1000</v>
      </c>
      <c r="H20" s="9" t="n">
        <v>0</v>
      </c>
      <c r="I20" s="9" t="str">
        <f aca="false">IF(C20=0,"arrêt administratif","")</f>
        <v/>
      </c>
      <c r="J20" s="205"/>
      <c r="L20" s="0"/>
      <c r="M20" s="29" t="s">
        <v>487</v>
      </c>
    </row>
    <row r="21" customFormat="false" ht="21.15" hidden="false" customHeight="true" outlineLevel="0" collapsed="false">
      <c r="A21" s="1" t="n">
        <v>31</v>
      </c>
      <c r="B21" s="34" t="n">
        <v>37591</v>
      </c>
      <c r="C21" s="1" t="n">
        <v>443200</v>
      </c>
      <c r="D21" s="9" t="s">
        <v>41</v>
      </c>
      <c r="E21" s="33" t="n">
        <f aca="false">IF(D21="totale",(C21/(A21*24))/F21,IF(D21="marché libre",(C21/(A21*24))/G21,"spécifier histo"))</f>
        <v>0.595698924731183</v>
      </c>
      <c r="F21" s="56" t="n">
        <v>1000</v>
      </c>
      <c r="G21" s="56" t="n">
        <f aca="false">F21-H21</f>
        <v>1000</v>
      </c>
      <c r="H21" s="9" t="n">
        <v>0</v>
      </c>
      <c r="I21" s="9" t="str">
        <f aca="false">IF(C21=0,"arrêt administratif","")</f>
        <v/>
      </c>
      <c r="J21" s="205"/>
      <c r="L21" s="0"/>
      <c r="M21" s="29" t="s">
        <v>488</v>
      </c>
    </row>
    <row r="22" customFormat="false" ht="21.15" hidden="false" customHeight="true" outlineLevel="0" collapsed="false">
      <c r="A22" s="1" t="n">
        <v>31</v>
      </c>
      <c r="B22" s="31" t="n">
        <v>37622</v>
      </c>
      <c r="C22" s="1" t="n">
        <v>548600</v>
      </c>
      <c r="D22" s="9" t="s">
        <v>41</v>
      </c>
      <c r="E22" s="33" t="n">
        <f aca="false">IF(D22="totale",(C22/(A22*24))/F22,IF(D22="marché libre",(C22/(A22*24))/G22,"spécifier histo"))</f>
        <v>0.73736559139785</v>
      </c>
      <c r="F22" s="56" t="n">
        <v>1000</v>
      </c>
      <c r="G22" s="56" t="n">
        <f aca="false">F22-H22</f>
        <v>1000</v>
      </c>
      <c r="H22" s="9" t="n">
        <v>0</v>
      </c>
      <c r="I22" s="9" t="str">
        <f aca="false">IF(C22=0,"arrêt administratif","")</f>
        <v/>
      </c>
      <c r="J22" s="205"/>
      <c r="K22" s="0"/>
      <c r="L22" s="0"/>
      <c r="M22" s="29" t="s">
        <v>489</v>
      </c>
      <c r="O22" s="0"/>
      <c r="P22" s="0"/>
      <c r="Q22" s="0"/>
      <c r="R22" s="0"/>
    </row>
    <row r="23" customFormat="false" ht="21.15" hidden="false" customHeight="true" outlineLevel="0" collapsed="false">
      <c r="A23" s="1" t="n">
        <v>28</v>
      </c>
      <c r="B23" s="34" t="n">
        <v>37653</v>
      </c>
      <c r="C23" s="1" t="n">
        <v>419000</v>
      </c>
      <c r="D23" s="9" t="s">
        <v>41</v>
      </c>
      <c r="E23" s="33" t="n">
        <f aca="false">IF(D23="totale",(C23/(A23*24))/F23,IF(D23="marché libre",(C23/(A23*24))/G23,"spécifier histo"))</f>
        <v>0.623511904761905</v>
      </c>
      <c r="F23" s="56" t="n">
        <v>1000</v>
      </c>
      <c r="G23" s="56" t="n">
        <f aca="false">F23-H23</f>
        <v>1000</v>
      </c>
      <c r="H23" s="9" t="n">
        <v>0</v>
      </c>
      <c r="I23" s="9" t="str">
        <f aca="false">IF(C23=0,"arrêt administratif","")</f>
        <v/>
      </c>
      <c r="J23" s="205"/>
      <c r="L23" s="0"/>
      <c r="M23" s="29" t="s">
        <v>490</v>
      </c>
      <c r="O23" s="0"/>
    </row>
    <row r="24" customFormat="false" ht="21.15" hidden="false" customHeight="true" outlineLevel="0" collapsed="false">
      <c r="A24" s="1" t="n">
        <v>31</v>
      </c>
      <c r="B24" s="31" t="n">
        <v>37681</v>
      </c>
      <c r="C24" s="1" t="n">
        <v>535200</v>
      </c>
      <c r="D24" s="9" t="s">
        <v>41</v>
      </c>
      <c r="E24" s="33" t="n">
        <f aca="false">IF(D24="totale",(C24/(A24*24))/F24,IF(D24="marché libre",(C24/(A24*24))/G24,"spécifier histo"))</f>
        <v>0.719354838709677</v>
      </c>
      <c r="F24" s="56" t="n">
        <v>1000</v>
      </c>
      <c r="G24" s="56" t="n">
        <f aca="false">F24-H24</f>
        <v>1000</v>
      </c>
      <c r="H24" s="9" t="n">
        <v>0</v>
      </c>
      <c r="I24" s="9" t="str">
        <f aca="false">IF(C24=0,"arrêt administratif","")</f>
        <v/>
      </c>
      <c r="J24" s="205"/>
      <c r="L24" s="0"/>
      <c r="M24" s="256"/>
    </row>
    <row r="25" customFormat="false" ht="21.15" hidden="false" customHeight="true" outlineLevel="0" collapsed="false">
      <c r="A25" s="1" t="n">
        <v>30</v>
      </c>
      <c r="B25" s="34" t="n">
        <v>37712</v>
      </c>
      <c r="C25" s="1" t="n">
        <v>411600</v>
      </c>
      <c r="D25" s="9" t="s">
        <v>41</v>
      </c>
      <c r="E25" s="33" t="n">
        <f aca="false">IF(D25="totale",(C25/(A25*24))/F25,IF(D25="marché libre",(C25/(A25*24))/G25,"spécifier histo"))</f>
        <v>0.571666666666667</v>
      </c>
      <c r="F25" s="56" t="n">
        <v>1000</v>
      </c>
      <c r="G25" s="56" t="n">
        <f aca="false">F25-H25</f>
        <v>1000</v>
      </c>
      <c r="H25" s="9" t="n">
        <v>0</v>
      </c>
      <c r="I25" s="9" t="str">
        <f aca="false">IF(C25=0,"arrêt administratif","")</f>
        <v/>
      </c>
      <c r="J25" s="205"/>
      <c r="K25" s="0"/>
      <c r="L25" s="0"/>
      <c r="M25" s="0"/>
      <c r="N25" s="0"/>
      <c r="O25" s="0"/>
      <c r="P25" s="0"/>
      <c r="Q25" s="0"/>
    </row>
    <row r="26" customFormat="false" ht="21.15" hidden="false" customHeight="true" outlineLevel="0" collapsed="false">
      <c r="A26" s="1" t="n">
        <v>31</v>
      </c>
      <c r="B26" s="31" t="n">
        <v>37742</v>
      </c>
      <c r="C26" s="1" t="n">
        <v>309000</v>
      </c>
      <c r="D26" s="9" t="s">
        <v>41</v>
      </c>
      <c r="E26" s="33" t="n">
        <f aca="false">IF(D26="totale",(C26/(A26*24))/F26,IF(D26="marché libre",(C26/(A26*24))/G26,"spécifier histo"))</f>
        <v>0.415322580645161</v>
      </c>
      <c r="F26" s="56" t="n">
        <v>1000</v>
      </c>
      <c r="G26" s="56" t="n">
        <f aca="false">F26-H26</f>
        <v>1000</v>
      </c>
      <c r="H26" s="9" t="n">
        <v>0</v>
      </c>
      <c r="I26" s="9" t="str">
        <f aca="false">IF(C26=0,"arrêt administratif","")</f>
        <v/>
      </c>
      <c r="J26" s="205"/>
      <c r="L26" s="0"/>
      <c r="M26" s="29"/>
    </row>
    <row r="27" customFormat="false" ht="21.15" hidden="false" customHeight="true" outlineLevel="0" collapsed="false">
      <c r="A27" s="1" t="n">
        <v>30</v>
      </c>
      <c r="B27" s="34" t="n">
        <v>37773</v>
      </c>
      <c r="C27" s="1" t="n">
        <v>131400</v>
      </c>
      <c r="D27" s="9" t="s">
        <v>41</v>
      </c>
      <c r="E27" s="33" t="n">
        <f aca="false">IF(D27="totale",(C27/(A27*24))/F27,IF(D27="marché libre",(C27/(A27*24))/G27,"spécifier histo"))</f>
        <v>0.1825</v>
      </c>
      <c r="F27" s="56" t="n">
        <v>1000</v>
      </c>
      <c r="G27" s="56" t="n">
        <f aca="false">F27-H27</f>
        <v>1000</v>
      </c>
      <c r="H27" s="9" t="n">
        <v>0</v>
      </c>
      <c r="I27" s="9" t="str">
        <f aca="false">IF(C27=0,"arrêt administratif","")</f>
        <v/>
      </c>
      <c r="J27" s="205"/>
      <c r="L27" s="0"/>
      <c r="M27" s="0"/>
      <c r="N27" s="0"/>
    </row>
    <row r="28" customFormat="false" ht="21.15" hidden="false" customHeight="true" outlineLevel="0" collapsed="false">
      <c r="A28" s="1" t="n">
        <v>31</v>
      </c>
      <c r="B28" s="31" t="n">
        <v>37803</v>
      </c>
      <c r="C28" s="1" t="n">
        <v>0</v>
      </c>
      <c r="D28" s="9" t="s">
        <v>41</v>
      </c>
      <c r="E28" s="33" t="e">
        <f aca="false">IF(D28="totale",(C28/(A28*24))/F28,IF(D28="marché libre",(C28/(A28*24))/G28,"spécifier histo"))</f>
        <v>#DIV/0!</v>
      </c>
      <c r="F28" s="9" t="n">
        <v>0</v>
      </c>
      <c r="G28" s="56" t="n">
        <f aca="false">F28-H28</f>
        <v>0</v>
      </c>
      <c r="H28" s="9" t="n">
        <v>0</v>
      </c>
      <c r="I28" s="9" t="str">
        <f aca="false">IF(C28=0,"arrêt administratif","")</f>
        <v>arrêt administratif</v>
      </c>
      <c r="J28" s="205"/>
      <c r="L28" s="0"/>
      <c r="M28" s="0"/>
      <c r="N28" s="0"/>
    </row>
    <row r="29" customFormat="false" ht="21.15" hidden="false" customHeight="true" outlineLevel="0" collapsed="false">
      <c r="A29" s="1" t="n">
        <v>31</v>
      </c>
      <c r="B29" s="34" t="n">
        <v>37834</v>
      </c>
      <c r="C29" s="1" t="n">
        <v>0</v>
      </c>
      <c r="D29" s="9" t="s">
        <v>41</v>
      </c>
      <c r="E29" s="33" t="e">
        <f aca="false">IF(D29="totale",(C29/(A29*24))/F29,IF(D29="marché libre",(C29/(A29*24))/G29,"spécifier histo"))</f>
        <v>#DIV/0!</v>
      </c>
      <c r="F29" s="9" t="n">
        <v>0</v>
      </c>
      <c r="G29" s="56" t="n">
        <f aca="false">F29-H29</f>
        <v>0</v>
      </c>
      <c r="H29" s="9" t="n">
        <v>0</v>
      </c>
      <c r="I29" s="9" t="str">
        <f aca="false">IF(C29=0,"arrêt administratif","")</f>
        <v>arrêt administratif</v>
      </c>
      <c r="J29" s="205"/>
      <c r="L29" s="0"/>
      <c r="M29" s="0"/>
      <c r="N29" s="0"/>
    </row>
    <row r="30" customFormat="false" ht="21.15" hidden="false" customHeight="true" outlineLevel="0" collapsed="false">
      <c r="A30" s="1" t="n">
        <v>30</v>
      </c>
      <c r="B30" s="31" t="n">
        <v>37865</v>
      </c>
      <c r="C30" s="1" t="n">
        <v>56600</v>
      </c>
      <c r="D30" s="9" t="s">
        <v>41</v>
      </c>
      <c r="E30" s="33" t="n">
        <f aca="false">IF(D30="totale",(C30/(A30*24))/F30,IF(D30="marché libre",(C30/(A30*24))/G30,"spécifier histo"))</f>
        <v>0.0786111111111111</v>
      </c>
      <c r="F30" s="56" t="n">
        <v>1000</v>
      </c>
      <c r="G30" s="56" t="n">
        <f aca="false">F30-H30</f>
        <v>1000</v>
      </c>
      <c r="H30" s="9" t="n">
        <v>0</v>
      </c>
      <c r="I30" s="9" t="str">
        <f aca="false">IF(C30=0,"arrêt administratif","")</f>
        <v/>
      </c>
      <c r="J30" s="205"/>
      <c r="L30" s="0"/>
    </row>
    <row r="31" customFormat="false" ht="21.15" hidden="false" customHeight="true" outlineLevel="0" collapsed="false">
      <c r="A31" s="1" t="n">
        <v>31</v>
      </c>
      <c r="B31" s="34" t="n">
        <v>37895</v>
      </c>
      <c r="C31" s="1" t="n">
        <v>368200</v>
      </c>
      <c r="D31" s="9" t="s">
        <v>41</v>
      </c>
      <c r="E31" s="33" t="n">
        <f aca="false">IF(D31="totale",(C31/(A31*24))/F31,IF(D31="marché libre",(C31/(A31*24))/G31,"spécifier histo"))</f>
        <v>0.49489247311828</v>
      </c>
      <c r="F31" s="56" t="n">
        <v>1000</v>
      </c>
      <c r="G31" s="56" t="n">
        <f aca="false">F31-H31</f>
        <v>1000</v>
      </c>
      <c r="H31" s="9" t="n">
        <v>0</v>
      </c>
      <c r="I31" s="9" t="str">
        <f aca="false">IF(C31=0,"arrêt administratif","")</f>
        <v/>
      </c>
      <c r="J31" s="205"/>
      <c r="L31" s="0"/>
      <c r="M31" s="0"/>
    </row>
    <row r="32" customFormat="false" ht="21.15" hidden="false" customHeight="true" outlineLevel="0" collapsed="false">
      <c r="A32" s="1" t="n">
        <v>30</v>
      </c>
      <c r="B32" s="31" t="n">
        <v>37926</v>
      </c>
      <c r="C32" s="1" t="n">
        <v>342400</v>
      </c>
      <c r="D32" s="9" t="s">
        <v>41</v>
      </c>
      <c r="E32" s="33" t="n">
        <f aca="false">IF(D32="totale",(C32/(A32*24))/F32,IF(D32="marché libre",(C32/(A32*24))/G32,"spécifier histo"))</f>
        <v>0.475555555555556</v>
      </c>
      <c r="F32" s="56" t="n">
        <v>1000</v>
      </c>
      <c r="G32" s="56" t="n">
        <f aca="false">F32-H32</f>
        <v>1000</v>
      </c>
      <c r="H32" s="9" t="n">
        <v>0</v>
      </c>
      <c r="I32" s="9" t="str">
        <f aca="false">IF(C32=0,"arrêt administratif","")</f>
        <v/>
      </c>
      <c r="J32" s="205"/>
      <c r="L32" s="0"/>
      <c r="M32" s="0"/>
    </row>
    <row r="33" customFormat="false" ht="21.15" hidden="false" customHeight="true" outlineLevel="0" collapsed="false">
      <c r="A33" s="1" t="n">
        <v>31</v>
      </c>
      <c r="B33" s="34" t="n">
        <v>37956</v>
      </c>
      <c r="C33" s="1" t="n">
        <v>405400</v>
      </c>
      <c r="D33" s="9" t="s">
        <v>41</v>
      </c>
      <c r="E33" s="33" t="n">
        <f aca="false">IF(D33="totale",(C33/(A33*24))/F33,IF(D33="marché libre",(C33/(A33*24))/G33,"spécifier histo"))</f>
        <v>0.54489247311828</v>
      </c>
      <c r="F33" s="56" t="n">
        <v>1000</v>
      </c>
      <c r="G33" s="56" t="n">
        <f aca="false">F33-H33</f>
        <v>1000</v>
      </c>
      <c r="H33" s="9" t="n">
        <v>0</v>
      </c>
      <c r="I33" s="9" t="str">
        <f aca="false">IF(C33=0,"arrêt administratif","")</f>
        <v/>
      </c>
      <c r="J33" s="205"/>
      <c r="L33" s="0"/>
      <c r="M33" s="0"/>
    </row>
    <row r="34" customFormat="false" ht="21.15" hidden="false" customHeight="true" outlineLevel="0" collapsed="false">
      <c r="A34" s="1" t="n">
        <v>31</v>
      </c>
      <c r="B34" s="31" t="n">
        <v>37987</v>
      </c>
      <c r="C34" s="1" t="n">
        <v>556000</v>
      </c>
      <c r="D34" s="9" t="s">
        <v>41</v>
      </c>
      <c r="E34" s="33" t="n">
        <f aca="false">IF(D34="totale",(C34/(A34*24))/F34,IF(D34="marché libre",(C34/(A34*24))/G34,"spécifier histo"))</f>
        <v>0.747311827956989</v>
      </c>
      <c r="F34" s="56" t="n">
        <v>1000</v>
      </c>
      <c r="G34" s="56" t="n">
        <f aca="false">F34-H34</f>
        <v>1000</v>
      </c>
      <c r="H34" s="9" t="n">
        <v>0</v>
      </c>
      <c r="I34" s="9" t="str">
        <f aca="false">IF(C34=0,"arrêt administratif","")</f>
        <v/>
      </c>
      <c r="J34" s="205"/>
      <c r="L34" s="0"/>
      <c r="M34" s="0"/>
    </row>
    <row r="35" customFormat="false" ht="21.15" hidden="false" customHeight="true" outlineLevel="0" collapsed="false">
      <c r="A35" s="1" t="n">
        <v>28</v>
      </c>
      <c r="B35" s="34" t="n">
        <v>38018</v>
      </c>
      <c r="C35" s="1" t="n">
        <v>300400</v>
      </c>
      <c r="D35" s="9" t="s">
        <v>41</v>
      </c>
      <c r="E35" s="33" t="n">
        <f aca="false">IF(D35="totale",(C35/(A35*24))/F35,IF(D35="marché libre",(C35/(A35*24))/G35,"spécifier histo"))</f>
        <v>0.44702380952381</v>
      </c>
      <c r="F35" s="56" t="n">
        <v>1000</v>
      </c>
      <c r="G35" s="56" t="n">
        <f aca="false">F35-H35</f>
        <v>1000</v>
      </c>
      <c r="H35" s="9" t="n">
        <v>0</v>
      </c>
      <c r="I35" s="9" t="str">
        <f aca="false">IF(C35=0,"arrêt administratif","")</f>
        <v/>
      </c>
      <c r="J35" s="205"/>
      <c r="L35" s="0"/>
      <c r="M35" s="0"/>
    </row>
    <row r="36" customFormat="false" ht="21.15" hidden="false" customHeight="true" outlineLevel="0" collapsed="false">
      <c r="A36" s="1" t="n">
        <v>31</v>
      </c>
      <c r="B36" s="31" t="n">
        <v>38047</v>
      </c>
      <c r="C36" s="1" t="n">
        <v>420000</v>
      </c>
      <c r="D36" s="9" t="s">
        <v>41</v>
      </c>
      <c r="E36" s="33" t="n">
        <f aca="false">IF(D36="totale",(C36/(A36*24))/F36,IF(D36="marché libre",(C36/(A36*24))/G36,"spécifier histo"))</f>
        <v>0.564516129032258</v>
      </c>
      <c r="F36" s="56" t="n">
        <v>1000</v>
      </c>
      <c r="G36" s="56" t="n">
        <f aca="false">F36-H36</f>
        <v>1000</v>
      </c>
      <c r="H36" s="9" t="n">
        <v>0</v>
      </c>
      <c r="I36" s="9" t="str">
        <f aca="false">IF(C36=0,"arrêt administratif","")</f>
        <v/>
      </c>
      <c r="J36" s="205"/>
      <c r="L36" s="0"/>
    </row>
    <row r="37" customFormat="false" ht="21.15" hidden="false" customHeight="true" outlineLevel="0" collapsed="false">
      <c r="A37" s="1" t="n">
        <v>30</v>
      </c>
      <c r="B37" s="34" t="n">
        <v>38078</v>
      </c>
      <c r="C37" s="1" t="n">
        <v>452400</v>
      </c>
      <c r="D37" s="9" t="s">
        <v>41</v>
      </c>
      <c r="E37" s="33" t="n">
        <f aca="false">IF(D37="totale",(C37/(A37*24))/F37,IF(D37="marché libre",(C37/(A37*24))/G37,"spécifier histo"))</f>
        <v>0.628333333333333</v>
      </c>
      <c r="F37" s="56" t="n">
        <v>1000</v>
      </c>
      <c r="G37" s="56" t="n">
        <f aca="false">F37-H37</f>
        <v>1000</v>
      </c>
      <c r="H37" s="9" t="n">
        <v>0</v>
      </c>
      <c r="I37" s="9" t="str">
        <f aca="false">IF(C37=0,"arrêt administratif","")</f>
        <v/>
      </c>
      <c r="J37" s="205"/>
      <c r="L37" s="0"/>
    </row>
    <row r="38" customFormat="false" ht="21.15" hidden="false" customHeight="true" outlineLevel="0" collapsed="false">
      <c r="A38" s="1" t="n">
        <v>31</v>
      </c>
      <c r="B38" s="31" t="n">
        <v>38108</v>
      </c>
      <c r="C38" s="1" t="n">
        <v>469400</v>
      </c>
      <c r="D38" s="9" t="s">
        <v>41</v>
      </c>
      <c r="E38" s="33" t="n">
        <f aca="false">IF(D38="totale",(C38/(A38*24))/F38,IF(D38="marché libre",(C38/(A38*24))/G38,"spécifier histo"))</f>
        <v>0.630913978494624</v>
      </c>
      <c r="F38" s="56" t="n">
        <v>1000</v>
      </c>
      <c r="G38" s="56" t="n">
        <f aca="false">F38-H38</f>
        <v>1000</v>
      </c>
      <c r="H38" s="9" t="n">
        <v>0</v>
      </c>
      <c r="I38" s="9" t="str">
        <f aca="false">IF(C38=0,"arrêt administratif","")</f>
        <v/>
      </c>
      <c r="J38" s="205"/>
      <c r="L38" s="0"/>
    </row>
    <row r="39" customFormat="false" ht="21.15" hidden="false" customHeight="true" outlineLevel="0" collapsed="false">
      <c r="A39" s="1" t="n">
        <v>30</v>
      </c>
      <c r="B39" s="34" t="n">
        <v>38139</v>
      </c>
      <c r="C39" s="1" t="n">
        <v>258400</v>
      </c>
      <c r="D39" s="9" t="s">
        <v>41</v>
      </c>
      <c r="E39" s="33" t="n">
        <f aca="false">IF(D39="totale",(C39/(A39*24))/F39,IF(D39="marché libre",(C39/(A39*24))/G39,"spécifier histo"))</f>
        <v>0.358888888888889</v>
      </c>
      <c r="F39" s="56" t="n">
        <v>1000</v>
      </c>
      <c r="G39" s="56" t="n">
        <f aca="false">F39-H39</f>
        <v>1000</v>
      </c>
      <c r="H39" s="9" t="n">
        <v>0</v>
      </c>
      <c r="I39" s="9" t="str">
        <f aca="false">IF(C39=0,"arrêt administratif","")</f>
        <v/>
      </c>
      <c r="J39" s="205"/>
      <c r="L39" s="0"/>
    </row>
    <row r="40" customFormat="false" ht="21.15" hidden="false" customHeight="true" outlineLevel="0" collapsed="false">
      <c r="A40" s="1" t="n">
        <v>31</v>
      </c>
      <c r="B40" s="31" t="n">
        <v>38169</v>
      </c>
      <c r="C40" s="1" t="n">
        <v>0</v>
      </c>
      <c r="D40" s="9" t="s">
        <v>41</v>
      </c>
      <c r="E40" s="33" t="e">
        <f aca="false">IF(D40="totale",(C40/(A40*24))/F40,IF(D40="marché libre",(C40/(A40*24))/G40,"spécifier histo"))</f>
        <v>#DIV/0!</v>
      </c>
      <c r="F40" s="9" t="n">
        <v>0</v>
      </c>
      <c r="G40" s="56" t="n">
        <f aca="false">F40-H40</f>
        <v>0</v>
      </c>
      <c r="H40" s="9" t="n">
        <v>0</v>
      </c>
      <c r="I40" s="9" t="str">
        <f aca="false">IF(C40=0,"arrêt administratif","")</f>
        <v>arrêt administratif</v>
      </c>
      <c r="J40" s="205"/>
      <c r="L40" s="0"/>
    </row>
    <row r="41" customFormat="false" ht="21.15" hidden="false" customHeight="true" outlineLevel="0" collapsed="false">
      <c r="A41" s="1" t="n">
        <v>31</v>
      </c>
      <c r="B41" s="34" t="n">
        <v>38200</v>
      </c>
      <c r="C41" s="1" t="n">
        <v>0</v>
      </c>
      <c r="D41" s="9" t="s">
        <v>41</v>
      </c>
      <c r="E41" s="33" t="e">
        <f aca="false">IF(D41="totale",(C41/(A41*24))/F41,IF(D41="marché libre",(C41/(A41*24))/G41,"spécifier histo"))</f>
        <v>#DIV/0!</v>
      </c>
      <c r="F41" s="9" t="n">
        <v>0</v>
      </c>
      <c r="G41" s="56" t="n">
        <f aca="false">F41-H41</f>
        <v>0</v>
      </c>
      <c r="H41" s="9" t="n">
        <v>0</v>
      </c>
      <c r="I41" s="9" t="str">
        <f aca="false">IF(C41=0,"arrêt administratif","")</f>
        <v>arrêt administratif</v>
      </c>
      <c r="J41" s="205"/>
      <c r="L41" s="0"/>
    </row>
    <row r="42" customFormat="false" ht="21.15" hidden="false" customHeight="true" outlineLevel="0" collapsed="false">
      <c r="A42" s="1" t="n">
        <v>30</v>
      </c>
      <c r="B42" s="31" t="n">
        <v>38231</v>
      </c>
      <c r="C42" s="1" t="n">
        <v>124600</v>
      </c>
      <c r="D42" s="9" t="s">
        <v>41</v>
      </c>
      <c r="E42" s="33" t="n">
        <f aca="false">IF(D42="totale",(C42/(A42*24))/F42,IF(D42="marché libre",(C42/(A42*24))/G42,"spécifier histo"))</f>
        <v>0.173055555555556</v>
      </c>
      <c r="F42" s="56" t="n">
        <v>1000</v>
      </c>
      <c r="G42" s="56" t="n">
        <f aca="false">F42-H42</f>
        <v>1000</v>
      </c>
      <c r="H42" s="9" t="n">
        <v>0</v>
      </c>
      <c r="I42" s="9" t="str">
        <f aca="false">IF(C42=0,"arrêt administratif","")</f>
        <v/>
      </c>
      <c r="J42" s="205"/>
      <c r="L42" s="0"/>
    </row>
    <row r="43" customFormat="false" ht="21.15" hidden="false" customHeight="true" outlineLevel="0" collapsed="false">
      <c r="A43" s="1" t="n">
        <v>31</v>
      </c>
      <c r="B43" s="34" t="n">
        <v>38261</v>
      </c>
      <c r="C43" s="1" t="n">
        <v>184400</v>
      </c>
      <c r="D43" s="9" t="s">
        <v>41</v>
      </c>
      <c r="E43" s="33" t="n">
        <f aca="false">IF(D43="totale",(C43/(A43*24))/F43,IF(D43="marché libre",(C43/(A43*24))/G43,"spécifier histo"))</f>
        <v>0.247849462365591</v>
      </c>
      <c r="F43" s="56" t="n">
        <v>1000</v>
      </c>
      <c r="G43" s="56" t="n">
        <f aca="false">F43-H43</f>
        <v>1000</v>
      </c>
      <c r="H43" s="9" t="n">
        <v>0</v>
      </c>
      <c r="I43" s="9" t="str">
        <f aca="false">IF(C43=0,"arrêt administratif","")</f>
        <v/>
      </c>
      <c r="J43" s="205"/>
      <c r="L43" s="0"/>
    </row>
    <row r="44" customFormat="false" ht="21.15" hidden="false" customHeight="true" outlineLevel="0" collapsed="false">
      <c r="A44" s="1" t="n">
        <v>30</v>
      </c>
      <c r="B44" s="31" t="n">
        <v>38292</v>
      </c>
      <c r="C44" s="1" t="n">
        <v>329400</v>
      </c>
      <c r="D44" s="9" t="s">
        <v>41</v>
      </c>
      <c r="E44" s="33" t="n">
        <f aca="false">IF(D44="totale",(C44/(A44*24))/F44,IF(D44="marché libre",(C44/(A44*24))/G44,"spécifier histo"))</f>
        <v>0.4575</v>
      </c>
      <c r="F44" s="56" t="n">
        <v>1000</v>
      </c>
      <c r="G44" s="56" t="n">
        <f aca="false">F44-H44</f>
        <v>1000</v>
      </c>
      <c r="H44" s="9" t="n">
        <v>0</v>
      </c>
      <c r="I44" s="9" t="str">
        <f aca="false">IF(C44=0,"arrêt administratif","")</f>
        <v/>
      </c>
      <c r="J44" s="205"/>
      <c r="L44" s="0"/>
    </row>
    <row r="45" customFormat="false" ht="21.15" hidden="false" customHeight="true" outlineLevel="0" collapsed="false">
      <c r="A45" s="1" t="n">
        <v>31</v>
      </c>
      <c r="B45" s="34" t="n">
        <v>38322</v>
      </c>
      <c r="C45" s="1" t="n">
        <v>298800</v>
      </c>
      <c r="D45" s="9" t="s">
        <v>41</v>
      </c>
      <c r="E45" s="33" t="n">
        <f aca="false">IF(D45="totale",(C45/(A45*24))/F45,IF(D45="marché libre",(C45/(A45*24))/G45,"spécifier histo"))</f>
        <v>0.401612903225806</v>
      </c>
      <c r="F45" s="56" t="n">
        <v>1000</v>
      </c>
      <c r="G45" s="56" t="n">
        <f aca="false">F45-H45</f>
        <v>1000</v>
      </c>
      <c r="H45" s="9" t="n">
        <v>0</v>
      </c>
      <c r="I45" s="9" t="str">
        <f aca="false">IF(C45=0,"arrêt administratif","")</f>
        <v/>
      </c>
      <c r="J45" s="205"/>
      <c r="L45" s="0"/>
    </row>
    <row r="46" customFormat="false" ht="19.85" hidden="false" customHeight="true" outlineLevel="0" collapsed="false">
      <c r="A46" s="1" t="n">
        <v>31</v>
      </c>
      <c r="B46" s="31" t="n">
        <v>38353</v>
      </c>
      <c r="C46" s="1" t="n">
        <v>171200</v>
      </c>
      <c r="D46" s="9" t="s">
        <v>41</v>
      </c>
      <c r="E46" s="33" t="n">
        <f aca="false">IF(D46="totale",(C46/(A46*24))/F46,IF(D46="marché libre",(C46/(A46*24))/G46,"spécifier histo"))</f>
        <v>0.23010752688172</v>
      </c>
      <c r="F46" s="56" t="n">
        <v>1000</v>
      </c>
      <c r="G46" s="56" t="n">
        <f aca="false">F46-H46</f>
        <v>1000</v>
      </c>
      <c r="H46" s="9" t="n">
        <v>0</v>
      </c>
      <c r="I46" s="9" t="str">
        <f aca="false">IF(C46=0,"arrêt administratif","")</f>
        <v/>
      </c>
      <c r="J46" s="344"/>
      <c r="L46" s="0"/>
    </row>
    <row r="47" customFormat="false" ht="19.85" hidden="false" customHeight="true" outlineLevel="0" collapsed="false">
      <c r="A47" s="1" t="n">
        <v>28</v>
      </c>
      <c r="B47" s="34" t="n">
        <v>38384</v>
      </c>
      <c r="C47" s="1" t="n">
        <v>152400</v>
      </c>
      <c r="D47" s="9" t="s">
        <v>41</v>
      </c>
      <c r="E47" s="33" t="n">
        <f aca="false">IF(D47="totale",(C47/(A47*24))/F47,IF(D47="marché libre",(C47/(A47*24))/G47,"spécifier histo"))</f>
        <v>0.226785714285714</v>
      </c>
      <c r="F47" s="56" t="n">
        <v>1000</v>
      </c>
      <c r="G47" s="56" t="n">
        <f aca="false">F47-H47</f>
        <v>1000</v>
      </c>
      <c r="H47" s="9" t="n">
        <v>0</v>
      </c>
      <c r="I47" s="9" t="str">
        <f aca="false">IF(C47=0,"arrêt administratif","")</f>
        <v/>
      </c>
      <c r="J47" s="344"/>
      <c r="L47" s="0"/>
    </row>
    <row r="48" customFormat="false" ht="19.85" hidden="false" customHeight="true" outlineLevel="0" collapsed="false">
      <c r="A48" s="1" t="n">
        <v>31</v>
      </c>
      <c r="B48" s="31" t="n">
        <v>38412</v>
      </c>
      <c r="C48" s="1" t="n">
        <v>120000</v>
      </c>
      <c r="D48" s="9" t="s">
        <v>41</v>
      </c>
      <c r="E48" s="33" t="n">
        <f aca="false">IF(D48="totale",(C48/(A48*24))/F48,IF(D48="marché libre",(C48/(A48*24))/G48,"spécifier histo"))</f>
        <v>0.161290322580645</v>
      </c>
      <c r="F48" s="56" t="n">
        <v>1000</v>
      </c>
      <c r="G48" s="56" t="n">
        <f aca="false">F48-H48</f>
        <v>1000</v>
      </c>
      <c r="H48" s="9" t="n">
        <v>0</v>
      </c>
      <c r="I48" s="9" t="str">
        <f aca="false">IF(C48=0,"arrêt administratif","")</f>
        <v/>
      </c>
      <c r="J48" s="344" t="s">
        <v>491</v>
      </c>
      <c r="L48" s="0"/>
    </row>
    <row r="49" customFormat="false" ht="19.85" hidden="false" customHeight="true" outlineLevel="0" collapsed="false">
      <c r="A49" s="1" t="n">
        <v>30</v>
      </c>
      <c r="B49" s="34" t="n">
        <v>38443</v>
      </c>
      <c r="C49" s="1" t="n">
        <v>179600</v>
      </c>
      <c r="D49" s="9" t="s">
        <v>41</v>
      </c>
      <c r="E49" s="33" t="n">
        <f aca="false">IF(D49="totale",(C49/(A49*24))/F49,IF(D49="marché libre",(C49/(A49*24))/G49,"spécifier histo"))</f>
        <v>0.249444444444444</v>
      </c>
      <c r="F49" s="56" t="n">
        <v>1000</v>
      </c>
      <c r="G49" s="56" t="n">
        <f aca="false">F49-H49</f>
        <v>1000</v>
      </c>
      <c r="H49" s="9" t="n">
        <v>0</v>
      </c>
      <c r="I49" s="9" t="str">
        <f aca="false">IF(C49=0,"arrêt administratif","")</f>
        <v/>
      </c>
      <c r="J49" s="344"/>
      <c r="L49" s="0"/>
      <c r="AG49" s="0"/>
      <c r="AH49" s="0"/>
      <c r="AI49" s="0"/>
      <c r="AJ49" s="0"/>
      <c r="AK49" s="0"/>
      <c r="AL49" s="0"/>
      <c r="AM49" s="0"/>
      <c r="AN49" s="0"/>
      <c r="AO49" s="0"/>
      <c r="AP49" s="0"/>
      <c r="AQ49" s="0"/>
      <c r="AR49" s="0"/>
      <c r="AS49" s="0"/>
    </row>
    <row r="50" customFormat="false" ht="19.85" hidden="false" customHeight="true" outlineLevel="0" collapsed="false">
      <c r="A50" s="1" t="n">
        <v>31</v>
      </c>
      <c r="B50" s="31" t="n">
        <v>38473</v>
      </c>
      <c r="C50" s="1" t="n">
        <v>141000</v>
      </c>
      <c r="D50" s="9" t="s">
        <v>41</v>
      </c>
      <c r="E50" s="33" t="n">
        <f aca="false">IF(D50="totale",(C50/(A50*24))/F50,IF(D50="marché libre",(C50/(A50*24))/G50,"spécifier histo"))</f>
        <v>0.189516129032258</v>
      </c>
      <c r="F50" s="56" t="n">
        <v>1000</v>
      </c>
      <c r="G50" s="56" t="n">
        <f aca="false">F50-H50</f>
        <v>1000</v>
      </c>
      <c r="H50" s="9" t="n">
        <v>0</v>
      </c>
      <c r="I50" s="9" t="str">
        <f aca="false">IF(C50=0,"arrêt administratif","")</f>
        <v/>
      </c>
      <c r="J50" s="344"/>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row>
    <row r="51" customFormat="false" ht="19.85" hidden="false" customHeight="true" outlineLevel="0" collapsed="false">
      <c r="A51" s="1" t="n">
        <v>30</v>
      </c>
      <c r="B51" s="34" t="n">
        <v>38504</v>
      </c>
      <c r="C51" s="1" t="n">
        <v>67800</v>
      </c>
      <c r="D51" s="9" t="s">
        <v>41</v>
      </c>
      <c r="E51" s="33" t="n">
        <f aca="false">IF(D51="totale",(C51/(A51*24))/F51,IF(D51="marché libre",(C51/(A51*24))/G51,"spécifier histo"))</f>
        <v>0.0941666666666667</v>
      </c>
      <c r="F51" s="56" t="n">
        <v>1000</v>
      </c>
      <c r="G51" s="56" t="n">
        <f aca="false">F51-H51</f>
        <v>1000</v>
      </c>
      <c r="H51" s="9" t="n">
        <v>0</v>
      </c>
      <c r="I51" s="9" t="str">
        <f aca="false">IF(C51=0,"arrêt administratif","")</f>
        <v/>
      </c>
      <c r="J51" s="344"/>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row>
    <row r="52" customFormat="false" ht="19.85" hidden="false" customHeight="true" outlineLevel="0" collapsed="false">
      <c r="A52" s="1" t="n">
        <v>31</v>
      </c>
      <c r="B52" s="31" t="n">
        <v>38534</v>
      </c>
      <c r="C52" s="1" t="n">
        <v>0</v>
      </c>
      <c r="D52" s="9" t="s">
        <v>41</v>
      </c>
      <c r="E52" s="33" t="e">
        <f aca="false">IF(D52="totale",(C52/(A52*24))/F52,IF(D52="marché libre",(C52/(A52*24))/G52,"spécifier histo"))</f>
        <v>#DIV/0!</v>
      </c>
      <c r="F52" s="9" t="n">
        <v>0</v>
      </c>
      <c r="G52" s="56" t="n">
        <f aca="false">F52-H52</f>
        <v>0</v>
      </c>
      <c r="H52" s="9" t="n">
        <v>0</v>
      </c>
      <c r="I52" s="9" t="str">
        <f aca="false">IF(C52=0,"arrêt administratif","")</f>
        <v>arrêt administratif</v>
      </c>
      <c r="J52" s="344"/>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row>
    <row r="53" customFormat="false" ht="19.85" hidden="false" customHeight="true" outlineLevel="0" collapsed="false">
      <c r="A53" s="1" t="n">
        <v>31</v>
      </c>
      <c r="B53" s="34" t="n">
        <v>38565</v>
      </c>
      <c r="C53" s="1" t="n">
        <v>0</v>
      </c>
      <c r="D53" s="9" t="s">
        <v>41</v>
      </c>
      <c r="E53" s="33" t="e">
        <f aca="false">IF(D53="totale",(C53/(A53*24))/F53,IF(D53="marché libre",(C53/(A53*24))/G53,"spécifier histo"))</f>
        <v>#DIV/0!</v>
      </c>
      <c r="F53" s="9" t="n">
        <v>0</v>
      </c>
      <c r="G53" s="56" t="n">
        <f aca="false">F53-H53</f>
        <v>0</v>
      </c>
      <c r="H53" s="9" t="n">
        <v>0</v>
      </c>
      <c r="I53" s="9" t="str">
        <f aca="false">IF(C53=0,"arrêt administratif","")</f>
        <v>arrêt administratif</v>
      </c>
      <c r="J53" s="344"/>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row>
    <row r="54" customFormat="false" ht="19.85" hidden="false" customHeight="true" outlineLevel="0" collapsed="false">
      <c r="A54" s="1" t="n">
        <v>30</v>
      </c>
      <c r="B54" s="31" t="n">
        <v>38596</v>
      </c>
      <c r="C54" s="1" t="n">
        <v>190000</v>
      </c>
      <c r="D54" s="9" t="s">
        <v>41</v>
      </c>
      <c r="E54" s="33" t="n">
        <f aca="false">IF(D54="totale",(C54/(A54*24))/F54,IF(D54="marché libre",(C54/(A54*24))/G54,"spécifier histo"))</f>
        <v>0.263888888888889</v>
      </c>
      <c r="F54" s="56" t="n">
        <v>1000</v>
      </c>
      <c r="G54" s="56" t="n">
        <f aca="false">F54-H54</f>
        <v>1000</v>
      </c>
      <c r="H54" s="9" t="n">
        <v>0</v>
      </c>
      <c r="I54" s="9" t="str">
        <f aca="false">IF(C54=0,"arrêt administratif","")</f>
        <v/>
      </c>
      <c r="J54" s="344"/>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row>
    <row r="55" customFormat="false" ht="19.85" hidden="false" customHeight="true" outlineLevel="0" collapsed="false">
      <c r="A55" s="1" t="n">
        <v>31</v>
      </c>
      <c r="B55" s="34" t="n">
        <v>38626</v>
      </c>
      <c r="C55" s="1" t="n">
        <v>270400</v>
      </c>
      <c r="D55" s="9" t="s">
        <v>41</v>
      </c>
      <c r="E55" s="33" t="n">
        <f aca="false">IF(D55="totale",(C55/(A55*24))/F55,IF(D55="marché libre",(C55/(A55*24))/G55,"spécifier histo"))</f>
        <v>0.363440860215054</v>
      </c>
      <c r="F55" s="56" t="n">
        <v>1000</v>
      </c>
      <c r="G55" s="56" t="n">
        <f aca="false">F55-H55</f>
        <v>1000</v>
      </c>
      <c r="H55" s="9" t="n">
        <v>0</v>
      </c>
      <c r="I55" s="9" t="str">
        <f aca="false">IF(C55=0,"arrêt administratif","")</f>
        <v/>
      </c>
      <c r="J55" s="344"/>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row>
    <row r="56" customFormat="false" ht="19.85" hidden="false" customHeight="true" outlineLevel="0" collapsed="false">
      <c r="A56" s="1" t="n">
        <v>30</v>
      </c>
      <c r="B56" s="31" t="n">
        <v>38657</v>
      </c>
      <c r="C56" s="1" t="n">
        <v>479600</v>
      </c>
      <c r="D56" s="9" t="s">
        <v>41</v>
      </c>
      <c r="E56" s="33" t="n">
        <f aca="false">IF(D56="totale",(C56/(A56*24))/F56,IF(D56="marché libre",(C56/(A56*24))/G56,"spécifier histo"))</f>
        <v>0.666111111111111</v>
      </c>
      <c r="F56" s="56" t="n">
        <v>1000</v>
      </c>
      <c r="G56" s="56" t="n">
        <f aca="false">F56-H56</f>
        <v>1000</v>
      </c>
      <c r="H56" s="9" t="n">
        <v>0</v>
      </c>
      <c r="I56" s="9" t="str">
        <f aca="false">IF(C56=0,"arrêt administratif","")</f>
        <v/>
      </c>
      <c r="J56" s="344"/>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row>
    <row r="57" customFormat="false" ht="19.85" hidden="false" customHeight="true" outlineLevel="0" collapsed="false">
      <c r="A57" s="1" t="n">
        <v>31</v>
      </c>
      <c r="B57" s="34" t="n">
        <v>38687</v>
      </c>
      <c r="C57" s="1" t="n">
        <v>294200</v>
      </c>
      <c r="D57" s="9" t="s">
        <v>41</v>
      </c>
      <c r="E57" s="33" t="n">
        <f aca="false">IF(D57="totale",(C57/(A57*24))/F57,IF(D57="marché libre",(C57/(A57*24))/G57,"spécifier histo"))</f>
        <v>0.395430107526882</v>
      </c>
      <c r="F57" s="56" t="n">
        <v>1000</v>
      </c>
      <c r="G57" s="56" t="n">
        <f aca="false">F57-H57</f>
        <v>1000</v>
      </c>
      <c r="H57" s="9" t="n">
        <v>0</v>
      </c>
      <c r="I57" s="9" t="str">
        <f aca="false">IF(C57=0,"arrêt administratif","")</f>
        <v/>
      </c>
      <c r="J57" s="344"/>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row>
    <row r="58" customFormat="false" ht="19.85" hidden="false" customHeight="true" outlineLevel="0" collapsed="false">
      <c r="A58" s="1" t="n">
        <v>31</v>
      </c>
      <c r="B58" s="31" t="n">
        <v>38718</v>
      </c>
      <c r="C58" s="1" t="n">
        <v>386600</v>
      </c>
      <c r="D58" s="9" t="s">
        <v>41</v>
      </c>
      <c r="E58" s="33" t="n">
        <f aca="false">IF(D58="totale",(C58/(A58*24))/F58,IF(D58="marché libre",(C58/(A58*24))/G58,"spécifier histo"))</f>
        <v>0.519623655913979</v>
      </c>
      <c r="F58" s="56" t="n">
        <v>1000</v>
      </c>
      <c r="G58" s="56" t="n">
        <f aca="false">F58-H58</f>
        <v>1000</v>
      </c>
      <c r="H58" s="9" t="n">
        <v>0</v>
      </c>
      <c r="I58" s="9" t="str">
        <f aca="false">IF(C58=0,"arrêt administratif","")</f>
        <v/>
      </c>
      <c r="J58" s="216"/>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row>
    <row r="59" customFormat="false" ht="19.85" hidden="false" customHeight="true" outlineLevel="0" collapsed="false">
      <c r="A59" s="1" t="n">
        <v>28</v>
      </c>
      <c r="B59" s="34" t="n">
        <v>38749</v>
      </c>
      <c r="C59" s="1" t="n">
        <v>477600</v>
      </c>
      <c r="D59" s="9" t="s">
        <v>41</v>
      </c>
      <c r="E59" s="33" t="n">
        <f aca="false">IF(D59="totale",(C59/(A59*24))/F59,IF(D59="marché libre",(C59/(A59*24))/G59,"spécifier histo"))</f>
        <v>0.710714285714286</v>
      </c>
      <c r="F59" s="56" t="n">
        <v>1000</v>
      </c>
      <c r="G59" s="56" t="n">
        <f aca="false">F59-H59</f>
        <v>1000</v>
      </c>
      <c r="H59" s="9" t="n">
        <v>0</v>
      </c>
      <c r="I59" s="9" t="str">
        <f aca="false">IF(C59=0,"arrêt administratif","")</f>
        <v/>
      </c>
      <c r="J59" s="216"/>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row>
    <row r="60" customFormat="false" ht="19.85" hidden="false" customHeight="true" outlineLevel="0" collapsed="false">
      <c r="A60" s="1" t="n">
        <v>31</v>
      </c>
      <c r="B60" s="31" t="n">
        <v>38777</v>
      </c>
      <c r="C60" s="1" t="n">
        <v>442400</v>
      </c>
      <c r="D60" s="9" t="s">
        <v>41</v>
      </c>
      <c r="E60" s="33" t="n">
        <f aca="false">IF(D60="totale",(C60/(A60*24))/F60,IF(D60="marché libre",(C60/(A60*24))/G60,"spécifier histo"))</f>
        <v>0.594623655913978</v>
      </c>
      <c r="F60" s="56" t="n">
        <v>1000</v>
      </c>
      <c r="G60" s="56" t="n">
        <f aca="false">F60-H60</f>
        <v>1000</v>
      </c>
      <c r="H60" s="9" t="n">
        <v>0</v>
      </c>
      <c r="I60" s="9" t="str">
        <f aca="false">IF(C60=0,"arrêt administratif","")</f>
        <v/>
      </c>
      <c r="J60" s="216"/>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row>
    <row r="61" customFormat="false" ht="19.85" hidden="false" customHeight="true" outlineLevel="0" collapsed="false">
      <c r="A61" s="1" t="n">
        <v>30</v>
      </c>
      <c r="B61" s="34" t="n">
        <v>38808</v>
      </c>
      <c r="C61" s="1" t="n">
        <v>285800</v>
      </c>
      <c r="D61" s="9" t="s">
        <v>41</v>
      </c>
      <c r="E61" s="33" t="n">
        <f aca="false">IF(D61="totale",(C61/(A61*24))/F61,IF(D61="marché libre",(C61/(A61*24))/G61,"spécifier histo"))</f>
        <v>0.396944444444444</v>
      </c>
      <c r="F61" s="56" t="n">
        <v>1000</v>
      </c>
      <c r="G61" s="56" t="n">
        <f aca="false">F61-H61</f>
        <v>1000</v>
      </c>
      <c r="H61" s="9" t="n">
        <v>0</v>
      </c>
      <c r="I61" s="9" t="str">
        <f aca="false">IF(C61=0,"arrêt administratif","")</f>
        <v/>
      </c>
      <c r="J61" s="216"/>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row>
    <row r="62" customFormat="false" ht="19.85" hidden="false" customHeight="true" outlineLevel="0" collapsed="false">
      <c r="A62" s="1" t="n">
        <v>31</v>
      </c>
      <c r="B62" s="31" t="n">
        <v>38838</v>
      </c>
      <c r="C62" s="1" t="n">
        <v>176400</v>
      </c>
      <c r="D62" s="9" t="s">
        <v>41</v>
      </c>
      <c r="E62" s="33" t="n">
        <f aca="false">IF(D62="totale",(C62/(A62*24))/F62,IF(D62="marché libre",(C62/(A62*24))/G62,"spécifier histo"))</f>
        <v>0.237096774193548</v>
      </c>
      <c r="F62" s="56" t="n">
        <v>1000</v>
      </c>
      <c r="G62" s="56" t="n">
        <f aca="false">F62-H62</f>
        <v>1000</v>
      </c>
      <c r="H62" s="9" t="n">
        <v>0</v>
      </c>
      <c r="I62" s="9" t="str">
        <f aca="false">IF(C62=0,"arrêt administratif","")</f>
        <v/>
      </c>
      <c r="J62" s="216"/>
      <c r="L62" s="0"/>
      <c r="M62" s="0"/>
      <c r="P62" s="0"/>
      <c r="S62" s="0"/>
      <c r="V62" s="0"/>
      <c r="X62" s="0"/>
      <c r="AB62" s="0"/>
      <c r="AD62" s="0"/>
    </row>
    <row r="63" customFormat="false" ht="19.85" hidden="false" customHeight="true" outlineLevel="0" collapsed="false">
      <c r="A63" s="1" t="n">
        <v>30</v>
      </c>
      <c r="B63" s="34" t="n">
        <v>38869</v>
      </c>
      <c r="C63" s="1" t="n">
        <v>54200</v>
      </c>
      <c r="D63" s="9" t="s">
        <v>41</v>
      </c>
      <c r="E63" s="33" t="n">
        <f aca="false">IF(D63="totale",(C63/(A63*24))/F63,IF(D63="marché libre",(C63/(A63*24))/G63,"spécifier histo"))</f>
        <v>0.0752777777777778</v>
      </c>
      <c r="F63" s="56" t="n">
        <v>1000</v>
      </c>
      <c r="G63" s="56" t="n">
        <f aca="false">F63-H63</f>
        <v>1000</v>
      </c>
      <c r="H63" s="9" t="n">
        <v>0</v>
      </c>
      <c r="I63" s="9" t="str">
        <f aca="false">IF(C63=0,"arrêt administratif","")</f>
        <v/>
      </c>
      <c r="J63" s="216"/>
      <c r="L63" s="0"/>
      <c r="M63" s="0"/>
      <c r="P63" s="0"/>
      <c r="S63" s="0"/>
      <c r="V63" s="0"/>
      <c r="X63" s="0"/>
      <c r="AB63" s="0"/>
      <c r="AD63" s="0"/>
    </row>
    <row r="64" customFormat="false" ht="19.85" hidden="false" customHeight="true" outlineLevel="0" collapsed="false">
      <c r="A64" s="1" t="n">
        <v>31</v>
      </c>
      <c r="B64" s="31" t="n">
        <v>38899</v>
      </c>
      <c r="C64" s="1" t="n">
        <v>0</v>
      </c>
      <c r="D64" s="9" t="s">
        <v>41</v>
      </c>
      <c r="E64" s="33" t="e">
        <f aca="false">IF(D64="totale",(C64/(A64*24))/F64,IF(D64="marché libre",(C64/(A64*24))/G64,"spécifier histo"))</f>
        <v>#DIV/0!</v>
      </c>
      <c r="F64" s="9" t="n">
        <v>0</v>
      </c>
      <c r="G64" s="56" t="n">
        <f aca="false">F64-H64</f>
        <v>0</v>
      </c>
      <c r="H64" s="9" t="n">
        <v>0</v>
      </c>
      <c r="I64" s="9" t="str">
        <f aca="false">IF(C64=0,"arrêt administratif","")</f>
        <v>arrêt administratif</v>
      </c>
      <c r="J64" s="216"/>
      <c r="L64" s="0"/>
      <c r="M64" s="0"/>
      <c r="P64" s="0"/>
      <c r="S64" s="0"/>
      <c r="V64" s="0"/>
      <c r="X64" s="0"/>
      <c r="AB64" s="0"/>
      <c r="AD64" s="0"/>
    </row>
    <row r="65" customFormat="false" ht="19.85" hidden="false" customHeight="true" outlineLevel="0" collapsed="false">
      <c r="A65" s="1" t="n">
        <v>31</v>
      </c>
      <c r="B65" s="34" t="n">
        <v>38930</v>
      </c>
      <c r="C65" s="1" t="n">
        <v>0</v>
      </c>
      <c r="D65" s="9" t="s">
        <v>41</v>
      </c>
      <c r="E65" s="33" t="e">
        <f aca="false">IF(D65="totale",(C65/(A65*24))/F65,IF(D65="marché libre",(C65/(A65*24))/G65,"spécifier histo"))</f>
        <v>#DIV/0!</v>
      </c>
      <c r="F65" s="9" t="n">
        <v>0</v>
      </c>
      <c r="G65" s="56" t="n">
        <f aca="false">F65-H65</f>
        <v>0</v>
      </c>
      <c r="H65" s="9" t="n">
        <v>0</v>
      </c>
      <c r="I65" s="9" t="str">
        <f aca="false">IF(C65=0,"arrêt administratif","")</f>
        <v>arrêt administratif</v>
      </c>
      <c r="J65" s="216"/>
      <c r="L65" s="0"/>
      <c r="M65" s="0"/>
      <c r="P65" s="0"/>
      <c r="S65" s="0"/>
      <c r="V65" s="0"/>
      <c r="X65" s="0"/>
      <c r="AB65" s="0"/>
      <c r="AD65" s="0"/>
    </row>
    <row r="66" customFormat="false" ht="19.85" hidden="false" customHeight="true" outlineLevel="0" collapsed="false">
      <c r="A66" s="1" t="n">
        <v>30</v>
      </c>
      <c r="B66" s="31" t="n">
        <v>38961</v>
      </c>
      <c r="C66" s="1" t="n">
        <v>226600</v>
      </c>
      <c r="D66" s="9" t="s">
        <v>41</v>
      </c>
      <c r="E66" s="33" t="n">
        <f aca="false">IF(D66="totale",(C66/(A66*24))/F66,IF(D66="marché libre",(C66/(A66*24))/G66,"spécifier histo"))</f>
        <v>0.314722222222222</v>
      </c>
      <c r="F66" s="56" t="n">
        <v>1000</v>
      </c>
      <c r="G66" s="56" t="n">
        <f aca="false">F66-H66</f>
        <v>1000</v>
      </c>
      <c r="H66" s="9" t="n">
        <v>0</v>
      </c>
      <c r="I66" s="9" t="str">
        <f aca="false">IF(C66=0,"arrêt administratif","")</f>
        <v/>
      </c>
      <c r="J66" s="216"/>
      <c r="L66" s="0"/>
      <c r="M66" s="0"/>
      <c r="P66" s="0"/>
      <c r="S66" s="0"/>
      <c r="V66" s="0"/>
      <c r="X66" s="0"/>
      <c r="AB66" s="0"/>
      <c r="AD66" s="0"/>
    </row>
    <row r="67" customFormat="false" ht="19.85" hidden="false" customHeight="true" outlineLevel="0" collapsed="false">
      <c r="A67" s="1" t="n">
        <v>31</v>
      </c>
      <c r="B67" s="34" t="n">
        <v>38991</v>
      </c>
      <c r="C67" s="1" t="n">
        <v>404600</v>
      </c>
      <c r="D67" s="9" t="s">
        <v>41</v>
      </c>
      <c r="E67" s="33" t="n">
        <f aca="false">IF(D67="totale",(C67/(A67*24))/F67,IF(D67="marché libre",(C67/(A67*24))/G67,"spécifier histo"))</f>
        <v>0.543817204301075</v>
      </c>
      <c r="F67" s="56" t="n">
        <v>1000</v>
      </c>
      <c r="G67" s="56" t="n">
        <f aca="false">F67-H67</f>
        <v>1000</v>
      </c>
      <c r="H67" s="9" t="n">
        <v>0</v>
      </c>
      <c r="I67" s="9" t="str">
        <f aca="false">IF(C67=0,"arrêt administratif","")</f>
        <v/>
      </c>
      <c r="J67" s="216"/>
      <c r="L67" s="0"/>
      <c r="M67" s="0"/>
      <c r="P67" s="0"/>
      <c r="S67" s="0"/>
      <c r="V67" s="0"/>
      <c r="X67" s="0"/>
      <c r="AB67" s="0"/>
      <c r="AD67" s="0"/>
    </row>
    <row r="68" customFormat="false" ht="19.85" hidden="false" customHeight="true" outlineLevel="0" collapsed="false">
      <c r="A68" s="1" t="n">
        <v>30</v>
      </c>
      <c r="B68" s="31" t="n">
        <v>39022</v>
      </c>
      <c r="C68" s="1" t="n">
        <v>448400</v>
      </c>
      <c r="D68" s="9" t="s">
        <v>41</v>
      </c>
      <c r="E68" s="33" t="n">
        <f aca="false">IF(D68="totale",(C68/(A68*24))/F68,IF(D68="marché libre",(C68/(A68*24))/G68,"spécifier histo"))</f>
        <v>0.622777777777778</v>
      </c>
      <c r="F68" s="56" t="n">
        <v>1000</v>
      </c>
      <c r="G68" s="56" t="n">
        <f aca="false">F68-H68</f>
        <v>1000</v>
      </c>
      <c r="H68" s="9" t="n">
        <v>0</v>
      </c>
      <c r="I68" s="9" t="str">
        <f aca="false">IF(C68=0,"arrêt administratif","")</f>
        <v/>
      </c>
      <c r="J68" s="216"/>
      <c r="L68" s="0"/>
      <c r="M68" s="0"/>
      <c r="P68" s="0"/>
      <c r="S68" s="0"/>
      <c r="V68" s="0"/>
      <c r="X68" s="0"/>
      <c r="AB68" s="0"/>
      <c r="AD68" s="0"/>
    </row>
    <row r="69" customFormat="false" ht="19.85" hidden="false" customHeight="true" outlineLevel="0" collapsed="false">
      <c r="A69" s="1" t="n">
        <v>31</v>
      </c>
      <c r="B69" s="34" t="n">
        <v>39052</v>
      </c>
      <c r="C69" s="1" t="n">
        <v>415400</v>
      </c>
      <c r="D69" s="9" t="s">
        <v>41</v>
      </c>
      <c r="E69" s="33" t="n">
        <f aca="false">IF(D69="totale",(C69/(A69*24))/F69,IF(D69="marché libre",(C69/(A69*24))/G69,"spécifier histo"))</f>
        <v>0.558333333333333</v>
      </c>
      <c r="F69" s="56" t="n">
        <v>1000</v>
      </c>
      <c r="G69" s="56" t="n">
        <f aca="false">F69-H69</f>
        <v>1000</v>
      </c>
      <c r="H69" s="9" t="n">
        <v>0</v>
      </c>
      <c r="I69" s="9" t="str">
        <f aca="false">IF(C69=0,"arrêt administratif","")</f>
        <v/>
      </c>
      <c r="J69" s="216"/>
      <c r="L69" s="0"/>
      <c r="M69" s="0"/>
      <c r="P69" s="0"/>
      <c r="S69" s="0"/>
      <c r="V69" s="0"/>
      <c r="X69" s="0"/>
      <c r="AB69" s="0"/>
      <c r="AD69" s="0"/>
    </row>
    <row r="70" customFormat="false" ht="19.85" hidden="false" customHeight="true" outlineLevel="0" collapsed="false">
      <c r="A70" s="1" t="n">
        <v>31</v>
      </c>
      <c r="B70" s="31" t="n">
        <v>39083</v>
      </c>
      <c r="C70" s="1" t="n">
        <v>274600</v>
      </c>
      <c r="D70" s="9" t="s">
        <v>41</v>
      </c>
      <c r="E70" s="33" t="n">
        <f aca="false">IF(D70="totale",(C70/(A70*24))/F70,IF(D70="marché libre",(C70/(A70*24))/G70,"spécifier histo"))</f>
        <v>0.369086021505376</v>
      </c>
      <c r="F70" s="56" t="n">
        <v>1000</v>
      </c>
      <c r="G70" s="56" t="n">
        <f aca="false">F70-H70</f>
        <v>1000</v>
      </c>
      <c r="H70" s="9" t="n">
        <v>0</v>
      </c>
      <c r="I70" s="9" t="str">
        <f aca="false">IF(C70=0,"arrêt administratif","")</f>
        <v/>
      </c>
      <c r="J70" s="216"/>
      <c r="L70" s="0"/>
      <c r="M70" s="0"/>
      <c r="P70" s="0"/>
      <c r="S70" s="0"/>
      <c r="V70" s="0"/>
      <c r="X70" s="0"/>
      <c r="AB70" s="0"/>
      <c r="AD70" s="0"/>
    </row>
    <row r="71" customFormat="false" ht="19.85" hidden="false" customHeight="true" outlineLevel="0" collapsed="false">
      <c r="A71" s="1" t="n">
        <v>28</v>
      </c>
      <c r="B71" s="34" t="n">
        <v>39114</v>
      </c>
      <c r="C71" s="1" t="n">
        <v>300600</v>
      </c>
      <c r="D71" s="9" t="s">
        <v>41</v>
      </c>
      <c r="E71" s="33" t="n">
        <f aca="false">IF(D71="totale",(C71/(A71*24))/F71,IF(D71="marché libre",(C71/(A71*24))/G71,"spécifier histo"))</f>
        <v>0.447321428571429</v>
      </c>
      <c r="F71" s="56" t="n">
        <v>1000</v>
      </c>
      <c r="G71" s="56" t="n">
        <f aca="false">F71-H71</f>
        <v>1000</v>
      </c>
      <c r="H71" s="9" t="n">
        <v>0</v>
      </c>
      <c r="I71" s="9" t="str">
        <f aca="false">IF(C71=0,"arrêt administratif","")</f>
        <v/>
      </c>
      <c r="J71" s="216"/>
      <c r="L71" s="0"/>
      <c r="M71" s="0"/>
      <c r="P71" s="0"/>
      <c r="S71" s="0"/>
      <c r="V71" s="0"/>
      <c r="X71" s="0"/>
      <c r="AB71" s="0"/>
      <c r="AD71" s="0"/>
    </row>
    <row r="72" customFormat="false" ht="19.85" hidden="false" customHeight="true" outlineLevel="0" collapsed="false">
      <c r="A72" s="1" t="n">
        <v>31</v>
      </c>
      <c r="B72" s="31" t="n">
        <v>39142</v>
      </c>
      <c r="C72" s="1" t="n">
        <v>244600</v>
      </c>
      <c r="D72" s="9" t="s">
        <v>41</v>
      </c>
      <c r="E72" s="33" t="n">
        <f aca="false">IF(D72="totale",(C72/(A72*24))/F72,IF(D72="marché libre",(C72/(A72*24))/G72,"spécifier histo"))</f>
        <v>0.328763440860215</v>
      </c>
      <c r="F72" s="56" t="n">
        <v>1000</v>
      </c>
      <c r="G72" s="56" t="n">
        <f aca="false">F72-H72</f>
        <v>1000</v>
      </c>
      <c r="H72" s="9" t="n">
        <v>0</v>
      </c>
      <c r="I72" s="9" t="str">
        <f aca="false">IF(C72=0,"arrêt administratif","")</f>
        <v/>
      </c>
      <c r="J72" s="216"/>
      <c r="L72" s="0"/>
      <c r="M72" s="0"/>
      <c r="P72" s="0"/>
      <c r="S72" s="0"/>
      <c r="V72" s="0"/>
      <c r="X72" s="0"/>
      <c r="AB72" s="0"/>
      <c r="AD72" s="0"/>
    </row>
    <row r="73" customFormat="false" ht="19.85" hidden="false" customHeight="true" outlineLevel="0" collapsed="false">
      <c r="A73" s="1" t="n">
        <v>30</v>
      </c>
      <c r="B73" s="34" t="n">
        <v>39173</v>
      </c>
      <c r="C73" s="1" t="n">
        <v>307400</v>
      </c>
      <c r="D73" s="9" t="s">
        <v>41</v>
      </c>
      <c r="E73" s="33" t="n">
        <f aca="false">IF(D73="totale",(C73/(A73*24))/F73,IF(D73="marché libre",(C73/(A73*24))/G73,"spécifier histo"))</f>
        <v>0.426944444444444</v>
      </c>
      <c r="F73" s="56" t="n">
        <v>1000</v>
      </c>
      <c r="G73" s="56" t="n">
        <f aca="false">F73-H73</f>
        <v>1000</v>
      </c>
      <c r="H73" s="9" t="n">
        <v>0</v>
      </c>
      <c r="I73" s="9" t="str">
        <f aca="false">IF(C73=0,"arrêt administratif","")</f>
        <v/>
      </c>
      <c r="J73" s="216"/>
      <c r="L73" s="0"/>
      <c r="M73" s="0"/>
      <c r="P73" s="0"/>
      <c r="S73" s="0"/>
      <c r="V73" s="0"/>
      <c r="X73" s="0"/>
      <c r="AB73" s="0"/>
      <c r="AD73" s="0"/>
    </row>
    <row r="74" customFormat="false" ht="19.85" hidden="false" customHeight="true" outlineLevel="0" collapsed="false">
      <c r="A74" s="1" t="n">
        <v>31</v>
      </c>
      <c r="B74" s="31" t="n">
        <v>39203</v>
      </c>
      <c r="C74" s="1" t="n">
        <v>316000</v>
      </c>
      <c r="D74" s="9" t="s">
        <v>41</v>
      </c>
      <c r="E74" s="33" t="n">
        <f aca="false">IF(D74="totale",(C74/(A74*24))/F74,IF(D74="marché libre",(C74/(A74*24))/G74,"spécifier histo"))</f>
        <v>0.424731182795699</v>
      </c>
      <c r="F74" s="56" t="n">
        <v>1000</v>
      </c>
      <c r="G74" s="56" t="n">
        <f aca="false">F74-H74</f>
        <v>1000</v>
      </c>
      <c r="H74" s="9" t="n">
        <v>0</v>
      </c>
      <c r="I74" s="9" t="str">
        <f aca="false">IF(C74=0,"arrêt administratif","")</f>
        <v/>
      </c>
      <c r="J74" s="216"/>
      <c r="L74" s="0"/>
      <c r="M74" s="0"/>
      <c r="P74" s="0"/>
      <c r="S74" s="0"/>
      <c r="V74" s="0"/>
      <c r="X74" s="0"/>
      <c r="AD74" s="0"/>
    </row>
    <row r="75" customFormat="false" ht="19.85" hidden="false" customHeight="true" outlineLevel="0" collapsed="false">
      <c r="A75" s="1" t="n">
        <v>30</v>
      </c>
      <c r="B75" s="34" t="n">
        <v>39234</v>
      </c>
      <c r="C75" s="1" t="n">
        <v>227200</v>
      </c>
      <c r="D75" s="9" t="s">
        <v>41</v>
      </c>
      <c r="E75" s="33" t="n">
        <f aca="false">IF(D75="totale",(C75/(A75*24))/F75,IF(D75="marché libre",(C75/(A75*24))/G75,"spécifier histo"))</f>
        <v>0.315555555555555</v>
      </c>
      <c r="F75" s="56" t="n">
        <v>1000</v>
      </c>
      <c r="G75" s="56" t="n">
        <f aca="false">F75-H75</f>
        <v>1000</v>
      </c>
      <c r="H75" s="9" t="n">
        <v>0</v>
      </c>
      <c r="I75" s="9" t="str">
        <f aca="false">IF(C75=0,"arrêt administratif","")</f>
        <v/>
      </c>
      <c r="J75" s="216"/>
      <c r="L75" s="0"/>
      <c r="M75" s="0"/>
      <c r="P75" s="0"/>
      <c r="S75" s="0"/>
      <c r="V75" s="0"/>
      <c r="X75" s="0"/>
      <c r="AD75" s="0"/>
    </row>
    <row r="76" customFormat="false" ht="19.85" hidden="false" customHeight="true" outlineLevel="0" collapsed="false">
      <c r="A76" s="1" t="n">
        <v>31</v>
      </c>
      <c r="B76" s="31" t="n">
        <v>39264</v>
      </c>
      <c r="C76" s="1" t="n">
        <v>0</v>
      </c>
      <c r="D76" s="9" t="s">
        <v>41</v>
      </c>
      <c r="E76" s="33" t="e">
        <f aca="false">IF(D76="totale",(C76/(A76*24))/F76,IF(D76="marché libre",(C76/(A76*24))/G76,"spécifier histo"))</f>
        <v>#DIV/0!</v>
      </c>
      <c r="F76" s="9" t="n">
        <v>0</v>
      </c>
      <c r="G76" s="56" t="n">
        <f aca="false">F76-H76</f>
        <v>0</v>
      </c>
      <c r="H76" s="9" t="n">
        <v>0</v>
      </c>
      <c r="I76" s="9" t="str">
        <f aca="false">IF(C76=0,"arrêt administratif","")</f>
        <v>arrêt administratif</v>
      </c>
      <c r="J76" s="216"/>
      <c r="L76" s="0"/>
      <c r="M76" s="0"/>
      <c r="P76" s="0"/>
      <c r="S76" s="0"/>
      <c r="V76" s="0"/>
      <c r="X76" s="0"/>
      <c r="AD76" s="0"/>
    </row>
    <row r="77" customFormat="false" ht="19.85" hidden="false" customHeight="true" outlineLevel="0" collapsed="false">
      <c r="A77" s="1" t="n">
        <v>31</v>
      </c>
      <c r="B77" s="34" t="n">
        <v>39295</v>
      </c>
      <c r="C77" s="1" t="n">
        <v>0</v>
      </c>
      <c r="D77" s="9" t="s">
        <v>41</v>
      </c>
      <c r="E77" s="33" t="e">
        <f aca="false">IF(D77="totale",(C77/(A77*24))/F77,IF(D77="marché libre",(C77/(A77*24))/G77,"spécifier histo"))</f>
        <v>#DIV/0!</v>
      </c>
      <c r="F77" s="9" t="n">
        <v>0</v>
      </c>
      <c r="G77" s="56" t="n">
        <f aca="false">F77-H77</f>
        <v>0</v>
      </c>
      <c r="H77" s="9" t="n">
        <v>0</v>
      </c>
      <c r="I77" s="9" t="str">
        <f aca="false">IF(C77=0,"arrêt administratif","")</f>
        <v>arrêt administratif</v>
      </c>
      <c r="J77" s="216"/>
      <c r="L77" s="0"/>
      <c r="M77" s="0"/>
      <c r="P77" s="0"/>
      <c r="S77" s="0"/>
      <c r="V77" s="0"/>
      <c r="X77" s="0"/>
      <c r="AD77" s="0"/>
    </row>
    <row r="78" customFormat="false" ht="19.85" hidden="false" customHeight="true" outlineLevel="0" collapsed="false">
      <c r="A78" s="1" t="n">
        <v>30</v>
      </c>
      <c r="B78" s="31" t="n">
        <v>39326</v>
      </c>
      <c r="C78" s="1" t="n">
        <v>38400</v>
      </c>
      <c r="D78" s="9" t="s">
        <v>41</v>
      </c>
      <c r="E78" s="33" t="n">
        <f aca="false">IF(D78="totale",(C78/(A78*24))/F78,IF(D78="marché libre",(C78/(A78*24))/G78,"spécifier histo"))</f>
        <v>0.0533333333333333</v>
      </c>
      <c r="F78" s="56" t="n">
        <v>1000</v>
      </c>
      <c r="G78" s="56" t="n">
        <f aca="false">F78-H78</f>
        <v>1000</v>
      </c>
      <c r="H78" s="9" t="n">
        <v>0</v>
      </c>
      <c r="I78" s="9" t="str">
        <f aca="false">IF(C78=0,"arrêt administratif","")</f>
        <v/>
      </c>
      <c r="J78" s="216"/>
      <c r="L78" s="0"/>
      <c r="M78" s="0"/>
      <c r="P78" s="0"/>
      <c r="S78" s="0"/>
      <c r="V78" s="0"/>
      <c r="X78" s="0"/>
      <c r="AD78" s="0"/>
    </row>
    <row r="79" customFormat="false" ht="19.85" hidden="false" customHeight="true" outlineLevel="0" collapsed="false">
      <c r="A79" s="1" t="n">
        <v>31</v>
      </c>
      <c r="B79" s="34" t="n">
        <v>39356</v>
      </c>
      <c r="C79" s="1" t="n">
        <v>124400</v>
      </c>
      <c r="D79" s="9" t="s">
        <v>41</v>
      </c>
      <c r="E79" s="33" t="n">
        <f aca="false">IF(D79="totale",(C79/(A79*24))/F79,IF(D79="marché libre",(C79/(A79*24))/G79,"spécifier histo"))</f>
        <v>0.167204301075269</v>
      </c>
      <c r="F79" s="56" t="n">
        <v>1000</v>
      </c>
      <c r="G79" s="56" t="n">
        <f aca="false">F79-H79</f>
        <v>1000</v>
      </c>
      <c r="H79" s="9" t="n">
        <v>0</v>
      </c>
      <c r="I79" s="9" t="str">
        <f aca="false">IF(C79=0,"arrêt administratif","")</f>
        <v/>
      </c>
      <c r="J79" s="216"/>
      <c r="L79" s="0"/>
      <c r="M79" s="0"/>
      <c r="P79" s="0"/>
      <c r="S79" s="0"/>
      <c r="V79" s="0"/>
      <c r="X79" s="0"/>
      <c r="AD79" s="0"/>
    </row>
    <row r="80" customFormat="false" ht="19.85" hidden="false" customHeight="true" outlineLevel="0" collapsed="false">
      <c r="A80" s="1" t="n">
        <v>30</v>
      </c>
      <c r="B80" s="31" t="n">
        <v>39387</v>
      </c>
      <c r="C80" s="1" t="n">
        <v>200800</v>
      </c>
      <c r="D80" s="9" t="s">
        <v>41</v>
      </c>
      <c r="E80" s="33" t="n">
        <f aca="false">IF(D80="totale",(C80/(A80*24))/F80,IF(D80="marché libre",(C80/(A80*24))/G80,"spécifier histo"))</f>
        <v>0.278888888888889</v>
      </c>
      <c r="F80" s="56" t="n">
        <v>1000</v>
      </c>
      <c r="G80" s="56" t="n">
        <f aca="false">F80-H80</f>
        <v>1000</v>
      </c>
      <c r="H80" s="9" t="n">
        <v>0</v>
      </c>
      <c r="I80" s="9" t="str">
        <f aca="false">IF(C80=0,"arrêt administratif","")</f>
        <v/>
      </c>
      <c r="J80" s="216"/>
      <c r="L80" s="0"/>
      <c r="M80" s="0"/>
      <c r="P80" s="0"/>
      <c r="S80" s="0"/>
      <c r="V80" s="0"/>
      <c r="X80" s="0"/>
      <c r="AD80" s="0"/>
    </row>
    <row r="81" customFormat="false" ht="19.85" hidden="false" customHeight="true" outlineLevel="0" collapsed="false">
      <c r="A81" s="1" t="n">
        <v>31</v>
      </c>
      <c r="B81" s="34" t="n">
        <v>39417</v>
      </c>
      <c r="C81" s="1" t="n">
        <v>280600</v>
      </c>
      <c r="D81" s="9" t="s">
        <v>41</v>
      </c>
      <c r="E81" s="33" t="n">
        <f aca="false">IF(D81="totale",(C81/(A81*24))/F81,IF(D81="marché libre",(C81/(A81*24))/G81,"spécifier histo"))</f>
        <v>0.377150537634409</v>
      </c>
      <c r="F81" s="56" t="n">
        <v>1000</v>
      </c>
      <c r="G81" s="56" t="n">
        <f aca="false">F81-H81</f>
        <v>1000</v>
      </c>
      <c r="H81" s="9" t="n">
        <v>0</v>
      </c>
      <c r="I81" s="9" t="str">
        <f aca="false">IF(C81=0,"arrêt administratif","")</f>
        <v/>
      </c>
      <c r="J81" s="216"/>
      <c r="L81" s="0"/>
      <c r="M81" s="0"/>
      <c r="P81" s="0"/>
      <c r="S81" s="0"/>
      <c r="V81" s="0"/>
      <c r="X81" s="0"/>
      <c r="AD81" s="0"/>
    </row>
    <row r="82" customFormat="false" ht="19.85" hidden="false" customHeight="true" outlineLevel="0" collapsed="false">
      <c r="A82" s="1" t="n">
        <v>31</v>
      </c>
      <c r="B82" s="31" t="n">
        <v>39448</v>
      </c>
      <c r="C82" s="1" t="n">
        <v>460600</v>
      </c>
      <c r="D82" s="9" t="s">
        <v>41</v>
      </c>
      <c r="E82" s="33" t="n">
        <f aca="false">IF(D82="totale",(C82/(A82*24))/F82,IF(D82="marché libre",(C82/(A82*24))/G82,"spécifier histo"))</f>
        <v>0.619086021505376</v>
      </c>
      <c r="F82" s="56" t="n">
        <v>1000</v>
      </c>
      <c r="G82" s="56" t="n">
        <f aca="false">F82-H82</f>
        <v>1000</v>
      </c>
      <c r="H82" s="9" t="n">
        <v>0</v>
      </c>
      <c r="I82" s="9" t="str">
        <f aca="false">IF(C82=0,"arrêt administratif","")</f>
        <v/>
      </c>
      <c r="J82" s="216"/>
      <c r="L82" s="0"/>
      <c r="M82" s="0"/>
      <c r="P82" s="0"/>
      <c r="S82" s="0"/>
      <c r="V82" s="0"/>
      <c r="X82" s="0"/>
      <c r="AD82" s="0"/>
    </row>
    <row r="83" customFormat="false" ht="19.85" hidden="false" customHeight="true" outlineLevel="0" collapsed="false">
      <c r="A83" s="1" t="n">
        <v>28</v>
      </c>
      <c r="B83" s="34" t="n">
        <v>39479</v>
      </c>
      <c r="C83" s="1" t="n">
        <v>444800</v>
      </c>
      <c r="D83" s="9" t="s">
        <v>41</v>
      </c>
      <c r="E83" s="33" t="n">
        <f aca="false">IF(D83="totale",(C83/(A83*24))/F83,IF(D83="marché libre",(C83/(A83*24))/G83,"spécifier histo"))</f>
        <v>0.661904761904762</v>
      </c>
      <c r="F83" s="56" t="n">
        <v>1000</v>
      </c>
      <c r="G83" s="56" t="n">
        <f aca="false">F83-H83</f>
        <v>1000</v>
      </c>
      <c r="H83" s="9" t="n">
        <v>0</v>
      </c>
      <c r="I83" s="9" t="str">
        <f aca="false">IF(C83=0,"arrêt administratif","")</f>
        <v/>
      </c>
      <c r="J83" s="216"/>
      <c r="L83" s="0"/>
      <c r="M83" s="0"/>
      <c r="P83" s="0"/>
      <c r="S83" s="0"/>
      <c r="V83" s="0"/>
      <c r="X83" s="0"/>
      <c r="AD83" s="0"/>
    </row>
    <row r="84" customFormat="false" ht="19.85" hidden="false" customHeight="true" outlineLevel="0" collapsed="false">
      <c r="A84" s="1" t="n">
        <v>31</v>
      </c>
      <c r="B84" s="31" t="n">
        <v>39508</v>
      </c>
      <c r="C84" s="1" t="n">
        <v>288200</v>
      </c>
      <c r="D84" s="9" t="s">
        <v>41</v>
      </c>
      <c r="E84" s="33" t="n">
        <f aca="false">IF(D84="totale",(C84/(A84*24))/F84,IF(D84="marché libre",(C84/(A84*24))/G84,"spécifier histo"))</f>
        <v>0.387365591397849</v>
      </c>
      <c r="F84" s="56" t="n">
        <v>1000</v>
      </c>
      <c r="G84" s="56" t="n">
        <f aca="false">F84-H84</f>
        <v>1000</v>
      </c>
      <c r="H84" s="9" t="n">
        <v>0</v>
      </c>
      <c r="I84" s="9" t="str">
        <f aca="false">IF(C84=0,"arrêt administratif","")</f>
        <v/>
      </c>
      <c r="J84" s="216"/>
      <c r="L84" s="0"/>
      <c r="M84" s="0"/>
      <c r="P84" s="0"/>
      <c r="S84" s="0"/>
      <c r="V84" s="0"/>
      <c r="X84" s="0"/>
      <c r="AD84" s="0"/>
    </row>
    <row r="85" customFormat="false" ht="19.85" hidden="false" customHeight="true" outlineLevel="0" collapsed="false">
      <c r="A85" s="1" t="n">
        <v>30</v>
      </c>
      <c r="B85" s="34" t="n">
        <v>39539</v>
      </c>
      <c r="C85" s="1" t="n">
        <v>337800</v>
      </c>
      <c r="D85" s="9" t="s">
        <v>41</v>
      </c>
      <c r="E85" s="33" t="n">
        <f aca="false">IF(D85="totale",(C85/(A85*24))/F85,IF(D85="marché libre",(C85/(A85*24))/G85,"spécifier histo"))</f>
        <v>0.469166666666667</v>
      </c>
      <c r="F85" s="56" t="n">
        <v>1000</v>
      </c>
      <c r="G85" s="56" t="n">
        <f aca="false">F85-H85</f>
        <v>1000</v>
      </c>
      <c r="H85" s="9" t="n">
        <v>0</v>
      </c>
      <c r="I85" s="9" t="str">
        <f aca="false">IF(C85=0,"arrêt administratif","")</f>
        <v/>
      </c>
      <c r="J85" s="216"/>
      <c r="L85" s="0"/>
      <c r="M85" s="0"/>
      <c r="P85" s="0"/>
      <c r="S85" s="0"/>
      <c r="V85" s="0"/>
      <c r="X85" s="0"/>
      <c r="AD85" s="0"/>
    </row>
    <row r="86" customFormat="false" ht="19.85" hidden="false" customHeight="true" outlineLevel="0" collapsed="false">
      <c r="A86" s="1" t="n">
        <v>31</v>
      </c>
      <c r="B86" s="31" t="n">
        <v>39569</v>
      </c>
      <c r="C86" s="1" t="n">
        <v>449600</v>
      </c>
      <c r="D86" s="9" t="s">
        <v>41</v>
      </c>
      <c r="E86" s="33" t="n">
        <f aca="false">IF(D86="totale",(C86/(A86*24))/F86,IF(D86="marché libre",(C86/(A86*24))/G86,"spécifier histo"))</f>
        <v>0.604301075268817</v>
      </c>
      <c r="F86" s="56" t="n">
        <v>1000</v>
      </c>
      <c r="G86" s="56" t="n">
        <f aca="false">F86-H86</f>
        <v>1000</v>
      </c>
      <c r="H86" s="9" t="n">
        <v>0</v>
      </c>
      <c r="I86" s="9" t="str">
        <f aca="false">IF(C86=0,"arrêt administratif","")</f>
        <v/>
      </c>
      <c r="J86" s="216"/>
      <c r="L86" s="0"/>
      <c r="M86" s="0"/>
      <c r="P86" s="0"/>
      <c r="S86" s="0"/>
      <c r="V86" s="0"/>
      <c r="X86" s="0"/>
    </row>
    <row r="87" customFormat="false" ht="19.85" hidden="false" customHeight="true" outlineLevel="0" collapsed="false">
      <c r="A87" s="1" t="n">
        <v>30</v>
      </c>
      <c r="B87" s="34" t="n">
        <v>39600</v>
      </c>
      <c r="C87" s="1" t="n">
        <v>463400</v>
      </c>
      <c r="D87" s="9" t="s">
        <v>41</v>
      </c>
      <c r="E87" s="33" t="n">
        <f aca="false">IF(D87="totale",(C87/(A87*24))/F87,IF(D87="marché libre",(C87/(A87*24))/G87,"spécifier histo"))</f>
        <v>0.643611111111111</v>
      </c>
      <c r="F87" s="56" t="n">
        <v>1000</v>
      </c>
      <c r="G87" s="56" t="n">
        <f aca="false">F87-H87</f>
        <v>1000</v>
      </c>
      <c r="H87" s="9" t="n">
        <v>0</v>
      </c>
      <c r="I87" s="9" t="str">
        <f aca="false">IF(C87=0,"arrêt administratif","")</f>
        <v/>
      </c>
      <c r="J87" s="216"/>
      <c r="L87" s="0"/>
      <c r="M87" s="0"/>
      <c r="P87" s="0"/>
      <c r="S87" s="0"/>
      <c r="V87" s="0"/>
      <c r="X87" s="0"/>
    </row>
    <row r="88" customFormat="false" ht="19.85" hidden="false" customHeight="true" outlineLevel="0" collapsed="false">
      <c r="A88" s="1" t="n">
        <v>31</v>
      </c>
      <c r="B88" s="31" t="n">
        <v>39630</v>
      </c>
      <c r="C88" s="1" t="n">
        <v>0</v>
      </c>
      <c r="D88" s="9" t="s">
        <v>41</v>
      </c>
      <c r="E88" s="33" t="e">
        <f aca="false">IF(D88="totale",(C88/(A88*24))/F88,IF(D88="marché libre",(C88/(A88*24))/G88,"spécifier histo"))</f>
        <v>#DIV/0!</v>
      </c>
      <c r="F88" s="9" t="n">
        <v>0</v>
      </c>
      <c r="G88" s="56" t="n">
        <f aca="false">F88-H88</f>
        <v>0</v>
      </c>
      <c r="H88" s="9" t="n">
        <v>0</v>
      </c>
      <c r="I88" s="9" t="str">
        <f aca="false">IF(C88=0,"arrêt administratif","")</f>
        <v>arrêt administratif</v>
      </c>
      <c r="J88" s="216"/>
      <c r="L88" s="0"/>
      <c r="M88" s="0"/>
      <c r="P88" s="0"/>
      <c r="S88" s="0"/>
      <c r="V88" s="0"/>
      <c r="X88" s="0"/>
    </row>
    <row r="89" customFormat="false" ht="19.85" hidden="false" customHeight="true" outlineLevel="0" collapsed="false">
      <c r="A89" s="1" t="n">
        <v>31</v>
      </c>
      <c r="B89" s="34" t="n">
        <v>39661</v>
      </c>
      <c r="C89" s="1" t="n">
        <v>0</v>
      </c>
      <c r="D89" s="9" t="s">
        <v>41</v>
      </c>
      <c r="E89" s="33" t="e">
        <f aca="false">IF(D89="totale",(C89/(A89*24))/F89,IF(D89="marché libre",(C89/(A89*24))/G89,"spécifier histo"))</f>
        <v>#DIV/0!</v>
      </c>
      <c r="F89" s="9" t="n">
        <v>0</v>
      </c>
      <c r="G89" s="56" t="n">
        <f aca="false">F89-H89</f>
        <v>0</v>
      </c>
      <c r="H89" s="9" t="n">
        <v>0</v>
      </c>
      <c r="I89" s="9" t="str">
        <f aca="false">IF(C89=0,"arrêt administratif","")</f>
        <v>arrêt administratif</v>
      </c>
      <c r="J89" s="216"/>
      <c r="L89" s="0"/>
      <c r="M89" s="0"/>
      <c r="P89" s="0"/>
      <c r="S89" s="0"/>
      <c r="V89" s="0"/>
      <c r="X89" s="0"/>
    </row>
    <row r="90" customFormat="false" ht="19.85" hidden="false" customHeight="true" outlineLevel="0" collapsed="false">
      <c r="A90" s="1" t="n">
        <v>30</v>
      </c>
      <c r="B90" s="31" t="n">
        <v>39692</v>
      </c>
      <c r="C90" s="1" t="n">
        <v>72200</v>
      </c>
      <c r="D90" s="9" t="s">
        <v>41</v>
      </c>
      <c r="E90" s="33" t="n">
        <f aca="false">IF(D90="totale",(C90/(A90*24))/F90,IF(D90="marché libre",(C90/(A90*24))/G90,"spécifier histo"))</f>
        <v>0.100277777777778</v>
      </c>
      <c r="F90" s="56" t="n">
        <v>1000</v>
      </c>
      <c r="G90" s="56" t="n">
        <f aca="false">F90-H90</f>
        <v>1000</v>
      </c>
      <c r="H90" s="9" t="n">
        <v>0</v>
      </c>
      <c r="I90" s="9" t="str">
        <f aca="false">IF(C90=0,"arrêt administratif","")</f>
        <v/>
      </c>
      <c r="J90" s="216"/>
      <c r="L90" s="0"/>
      <c r="M90" s="0"/>
      <c r="P90" s="0"/>
      <c r="S90" s="0"/>
      <c r="V90" s="0"/>
      <c r="X90" s="0"/>
    </row>
    <row r="91" customFormat="false" ht="19.85" hidden="false" customHeight="true" outlineLevel="0" collapsed="false">
      <c r="A91" s="1" t="n">
        <v>31</v>
      </c>
      <c r="B91" s="34" t="n">
        <v>39722</v>
      </c>
      <c r="C91" s="1" t="n">
        <v>103400</v>
      </c>
      <c r="D91" s="9" t="s">
        <v>41</v>
      </c>
      <c r="E91" s="33" t="n">
        <f aca="false">IF(D91="totale",(C91/(A91*24))/F91,IF(D91="marché libre",(C91/(A91*24))/G91,"spécifier histo"))</f>
        <v>0.138978494623656</v>
      </c>
      <c r="F91" s="56" t="n">
        <v>1000</v>
      </c>
      <c r="G91" s="56" t="n">
        <f aca="false">F91-H91</f>
        <v>1000</v>
      </c>
      <c r="H91" s="9" t="n">
        <v>0</v>
      </c>
      <c r="I91" s="9" t="str">
        <f aca="false">IF(C91=0,"arrêt administratif","")</f>
        <v/>
      </c>
      <c r="J91" s="216"/>
      <c r="L91" s="0"/>
      <c r="M91" s="0"/>
      <c r="P91" s="0"/>
      <c r="S91" s="0"/>
      <c r="V91" s="0"/>
      <c r="X91" s="0"/>
    </row>
    <row r="92" customFormat="false" ht="19.85" hidden="false" customHeight="true" outlineLevel="0" collapsed="false">
      <c r="A92" s="1" t="n">
        <v>30</v>
      </c>
      <c r="B92" s="31" t="n">
        <v>39753</v>
      </c>
      <c r="C92" s="1" t="n">
        <v>347600</v>
      </c>
      <c r="D92" s="9" t="s">
        <v>41</v>
      </c>
      <c r="E92" s="33" t="n">
        <f aca="false">IF(D92="totale",(C92/(A92*24))/F92,IF(D92="marché libre",(C92/(A92*24))/G92,"spécifier histo"))</f>
        <v>0.482777777777778</v>
      </c>
      <c r="F92" s="56" t="n">
        <v>1000</v>
      </c>
      <c r="G92" s="56" t="n">
        <f aca="false">F92-H92</f>
        <v>1000</v>
      </c>
      <c r="H92" s="9" t="n">
        <v>0</v>
      </c>
      <c r="I92" s="9" t="str">
        <f aca="false">IF(C92=0,"arrêt administratif","")</f>
        <v/>
      </c>
      <c r="J92" s="216"/>
      <c r="L92" s="0"/>
      <c r="M92" s="0"/>
      <c r="P92" s="0"/>
      <c r="S92" s="0"/>
      <c r="V92" s="0"/>
      <c r="X92" s="0"/>
    </row>
    <row r="93" customFormat="false" ht="19.85" hidden="false" customHeight="true" outlineLevel="0" collapsed="false">
      <c r="A93" s="1" t="n">
        <v>31</v>
      </c>
      <c r="B93" s="34" t="n">
        <v>39783</v>
      </c>
      <c r="C93" s="1" t="n">
        <v>428800</v>
      </c>
      <c r="D93" s="9" t="s">
        <v>41</v>
      </c>
      <c r="E93" s="33" t="n">
        <f aca="false">IF(D93="totale",(C93/(A93*24))/F93,IF(D93="marché libre",(C93/(A93*24))/G93,"spécifier histo"))</f>
        <v>0.576344086021505</v>
      </c>
      <c r="F93" s="56" t="n">
        <v>1000</v>
      </c>
      <c r="G93" s="56" t="n">
        <f aca="false">F93-H93</f>
        <v>1000</v>
      </c>
      <c r="H93" s="9" t="n">
        <v>0</v>
      </c>
      <c r="I93" s="9" t="str">
        <f aca="false">IF(C93=0,"arrêt administratif","")</f>
        <v/>
      </c>
      <c r="J93" s="216"/>
      <c r="L93" s="0"/>
      <c r="M93" s="0"/>
      <c r="P93" s="0"/>
      <c r="S93" s="0"/>
      <c r="V93" s="0"/>
      <c r="X93" s="0"/>
    </row>
    <row r="94" customFormat="false" ht="19.85" hidden="false" customHeight="true" outlineLevel="0" collapsed="false">
      <c r="A94" s="1" t="n">
        <v>31</v>
      </c>
      <c r="B94" s="31" t="n">
        <v>39814</v>
      </c>
      <c r="C94" s="1" t="n">
        <v>505000</v>
      </c>
      <c r="D94" s="9" t="s">
        <v>41</v>
      </c>
      <c r="E94" s="33" t="n">
        <f aca="false">IF(D94="totale",(C94/(A94*24))/F94,IF(D94="marché libre",(C94/(A94*24))/G94,"spécifier histo"))</f>
        <v>0.678763440860215</v>
      </c>
      <c r="F94" s="56" t="n">
        <v>1000</v>
      </c>
      <c r="G94" s="56" t="n">
        <f aca="false">F94-H94</f>
        <v>1000</v>
      </c>
      <c r="H94" s="9" t="n">
        <v>0</v>
      </c>
      <c r="I94" s="9" t="str">
        <f aca="false">IF(C94=0,"arrêt administratif","")</f>
        <v/>
      </c>
      <c r="J94" s="216"/>
      <c r="L94" s="0"/>
      <c r="M94" s="0"/>
      <c r="P94" s="0"/>
      <c r="S94" s="0"/>
      <c r="V94" s="0"/>
      <c r="X94" s="0"/>
    </row>
    <row r="95" customFormat="false" ht="19.85" hidden="false" customHeight="true" outlineLevel="0" collapsed="false">
      <c r="A95" s="1" t="n">
        <v>28</v>
      </c>
      <c r="B95" s="34" t="n">
        <v>39845</v>
      </c>
      <c r="C95" s="1" t="n">
        <v>425000</v>
      </c>
      <c r="D95" s="9" t="s">
        <v>41</v>
      </c>
      <c r="E95" s="33" t="n">
        <f aca="false">IF(D95="totale",(C95/(A95*24))/F95,IF(D95="marché libre",(C95/(A95*24))/G95,"spécifier histo"))</f>
        <v>0.632440476190476</v>
      </c>
      <c r="F95" s="56" t="n">
        <v>1000</v>
      </c>
      <c r="G95" s="56" t="n">
        <f aca="false">F95-H95</f>
        <v>1000</v>
      </c>
      <c r="H95" s="9" t="n">
        <v>0</v>
      </c>
      <c r="I95" s="9" t="str">
        <f aca="false">IF(C95=0,"arrêt administratif","")</f>
        <v/>
      </c>
      <c r="J95" s="216"/>
      <c r="L95" s="0"/>
      <c r="M95" s="0"/>
      <c r="P95" s="0"/>
      <c r="S95" s="0"/>
      <c r="V95" s="0"/>
      <c r="X95" s="0"/>
    </row>
    <row r="96" customFormat="false" ht="19.85" hidden="false" customHeight="true" outlineLevel="0" collapsed="false">
      <c r="A96" s="1" t="n">
        <v>31</v>
      </c>
      <c r="B96" s="31" t="n">
        <v>39873</v>
      </c>
      <c r="C96" s="1" t="n">
        <v>387000</v>
      </c>
      <c r="D96" s="9" t="s">
        <v>41</v>
      </c>
      <c r="E96" s="33" t="n">
        <f aca="false">IF(D96="totale",(C96/(A96*24))/F96,IF(D96="marché libre",(C96/(A96*24))/G96,"spécifier histo"))</f>
        <v>0.520161290322581</v>
      </c>
      <c r="F96" s="56" t="n">
        <v>1000</v>
      </c>
      <c r="G96" s="56" t="n">
        <f aca="false">F96-H96</f>
        <v>1000</v>
      </c>
      <c r="H96" s="9" t="n">
        <v>0</v>
      </c>
      <c r="I96" s="9" t="str">
        <f aca="false">IF(C96=0,"arrêt administratif","")</f>
        <v/>
      </c>
      <c r="J96" s="216"/>
      <c r="L96" s="0"/>
      <c r="M96" s="0"/>
      <c r="P96" s="0"/>
      <c r="S96" s="0"/>
      <c r="V96" s="0"/>
      <c r="X96" s="0"/>
    </row>
    <row r="97" customFormat="false" ht="19.85" hidden="false" customHeight="true" outlineLevel="0" collapsed="false">
      <c r="A97" s="1" t="n">
        <v>30</v>
      </c>
      <c r="B97" s="34" t="n">
        <v>39904</v>
      </c>
      <c r="C97" s="1" t="n">
        <v>435000</v>
      </c>
      <c r="D97" s="9" t="s">
        <v>41</v>
      </c>
      <c r="E97" s="33" t="n">
        <f aca="false">IF(D97="totale",(C97/(A97*24))/F97,IF(D97="marché libre",(C97/(A97*24))/G97,"spécifier histo"))</f>
        <v>0.604166666666667</v>
      </c>
      <c r="F97" s="56" t="n">
        <v>1000</v>
      </c>
      <c r="G97" s="56" t="n">
        <f aca="false">F97-H97</f>
        <v>1000</v>
      </c>
      <c r="H97" s="9" t="n">
        <v>0</v>
      </c>
      <c r="I97" s="9" t="str">
        <f aca="false">IF(C97=0,"arrêt administratif","")</f>
        <v/>
      </c>
      <c r="J97" s="216"/>
      <c r="L97" s="0"/>
      <c r="M97" s="0"/>
      <c r="P97" s="0"/>
      <c r="S97" s="0"/>
      <c r="V97" s="0"/>
      <c r="X97" s="0"/>
    </row>
    <row r="98" customFormat="false" ht="19.85" hidden="false" customHeight="true" outlineLevel="0" collapsed="false">
      <c r="A98" s="1" t="n">
        <v>31</v>
      </c>
      <c r="B98" s="31" t="n">
        <v>39934</v>
      </c>
      <c r="C98" s="1" t="n">
        <v>417600</v>
      </c>
      <c r="D98" s="9" t="s">
        <v>41</v>
      </c>
      <c r="E98" s="33" t="n">
        <f aca="false">IF(D98="totale",(C98/(A98*24))/F98,IF(D98="marché libre",(C98/(A98*24))/G98,"spécifier histo"))</f>
        <v>0.561290322580645</v>
      </c>
      <c r="F98" s="56" t="n">
        <v>1000</v>
      </c>
      <c r="G98" s="56" t="n">
        <f aca="false">F98-H98</f>
        <v>1000</v>
      </c>
      <c r="H98" s="9" t="n">
        <v>0</v>
      </c>
      <c r="I98" s="9" t="str">
        <f aca="false">IF(C98=0,"arrêt administratif","")</f>
        <v/>
      </c>
      <c r="J98" s="216"/>
      <c r="L98" s="0"/>
      <c r="M98" s="0"/>
      <c r="P98" s="0"/>
      <c r="S98" s="0"/>
      <c r="V98" s="0"/>
      <c r="X98" s="0"/>
    </row>
    <row r="99" customFormat="false" ht="19.85" hidden="false" customHeight="true" outlineLevel="0" collapsed="false">
      <c r="A99" s="1" t="n">
        <v>30</v>
      </c>
      <c r="B99" s="34" t="n">
        <v>39965</v>
      </c>
      <c r="C99" s="1" t="n">
        <v>182000</v>
      </c>
      <c r="D99" s="9" t="s">
        <v>41</v>
      </c>
      <c r="E99" s="33" t="n">
        <f aca="false">IF(D99="totale",(C99/(A99*24))/F99,IF(D99="marché libre",(C99/(A99*24))/G99,"spécifier histo"))</f>
        <v>0.252777777777778</v>
      </c>
      <c r="F99" s="56" t="n">
        <v>1000</v>
      </c>
      <c r="G99" s="56" t="n">
        <f aca="false">F99-H99</f>
        <v>1000</v>
      </c>
      <c r="H99" s="9" t="n">
        <v>0</v>
      </c>
      <c r="I99" s="9" t="str">
        <f aca="false">IF(C99=0,"arrêt administratif","")</f>
        <v/>
      </c>
      <c r="J99" s="216"/>
      <c r="L99" s="0"/>
      <c r="M99" s="0"/>
      <c r="P99" s="0"/>
      <c r="S99" s="0"/>
      <c r="V99" s="0"/>
      <c r="X99" s="0"/>
    </row>
    <row r="100" customFormat="false" ht="19.85" hidden="false" customHeight="true" outlineLevel="0" collapsed="false">
      <c r="A100" s="1" t="n">
        <v>31</v>
      </c>
      <c r="B100" s="31" t="n">
        <v>39995</v>
      </c>
      <c r="C100" s="1" t="n">
        <v>0</v>
      </c>
      <c r="D100" s="9" t="s">
        <v>41</v>
      </c>
      <c r="E100" s="33" t="e">
        <f aca="false">IF(D100="totale",(C100/(A100*24))/F100,IF(D100="marché libre",(C100/(A100*24))/G100,"spécifier histo"))</f>
        <v>#DIV/0!</v>
      </c>
      <c r="F100" s="9" t="n">
        <v>0</v>
      </c>
      <c r="G100" s="56" t="n">
        <f aca="false">F100-H100</f>
        <v>0</v>
      </c>
      <c r="H100" s="9" t="n">
        <v>0</v>
      </c>
      <c r="I100" s="9" t="str">
        <f aca="false">IF(C100=0,"arrêt administratif","")</f>
        <v>arrêt administratif</v>
      </c>
      <c r="J100" s="216"/>
      <c r="L100" s="0"/>
      <c r="M100" s="0"/>
      <c r="P100" s="0"/>
      <c r="S100" s="0"/>
      <c r="V100" s="0"/>
      <c r="X100" s="0"/>
    </row>
    <row r="101" customFormat="false" ht="19.85" hidden="false" customHeight="true" outlineLevel="0" collapsed="false">
      <c r="A101" s="1" t="n">
        <v>31</v>
      </c>
      <c r="B101" s="34" t="n">
        <v>40026</v>
      </c>
      <c r="C101" s="1" t="n">
        <v>0</v>
      </c>
      <c r="D101" s="9" t="s">
        <v>41</v>
      </c>
      <c r="E101" s="33" t="e">
        <f aca="false">IF(D101="totale",(C101/(A101*24))/F101,IF(D101="marché libre",(C101/(A101*24))/G101,"spécifier histo"))</f>
        <v>#DIV/0!</v>
      </c>
      <c r="F101" s="9" t="n">
        <v>0</v>
      </c>
      <c r="G101" s="56" t="n">
        <f aca="false">F101-H101</f>
        <v>0</v>
      </c>
      <c r="H101" s="9" t="n">
        <v>0</v>
      </c>
      <c r="I101" s="9" t="str">
        <f aca="false">IF(C101=0,"arrêt administratif","")</f>
        <v>arrêt administratif</v>
      </c>
      <c r="J101" s="216"/>
      <c r="L101" s="0"/>
      <c r="M101" s="0"/>
      <c r="P101" s="0"/>
      <c r="S101" s="0"/>
      <c r="V101" s="0"/>
      <c r="X101" s="0"/>
    </row>
    <row r="102" customFormat="false" ht="19.85" hidden="false" customHeight="true" outlineLevel="0" collapsed="false">
      <c r="A102" s="1" t="n">
        <v>30</v>
      </c>
      <c r="B102" s="31" t="n">
        <v>40057</v>
      </c>
      <c r="C102" s="1" t="n">
        <v>34000</v>
      </c>
      <c r="D102" s="9" t="s">
        <v>41</v>
      </c>
      <c r="E102" s="33" t="n">
        <f aca="false">IF(D102="totale",(C102/(A102*24))/F102,IF(D102="marché libre",(C102/(A102*24))/G102,"spécifier histo"))</f>
        <v>0.0472222222222222</v>
      </c>
      <c r="F102" s="56" t="n">
        <v>1000</v>
      </c>
      <c r="G102" s="56" t="n">
        <f aca="false">F102-H102</f>
        <v>1000</v>
      </c>
      <c r="H102" s="9" t="n">
        <v>0</v>
      </c>
      <c r="I102" s="9" t="str">
        <f aca="false">IF(C102=0,"arrêt administratif","")</f>
        <v/>
      </c>
      <c r="J102" s="216"/>
      <c r="L102" s="0"/>
      <c r="M102" s="0"/>
      <c r="P102" s="0"/>
      <c r="S102" s="0"/>
      <c r="V102" s="0"/>
      <c r="X102" s="0"/>
    </row>
    <row r="103" customFormat="false" ht="19.85" hidden="false" customHeight="true" outlineLevel="0" collapsed="false">
      <c r="A103" s="1" t="n">
        <v>31</v>
      </c>
      <c r="B103" s="34" t="n">
        <v>40087</v>
      </c>
      <c r="C103" s="1" t="n">
        <v>174200</v>
      </c>
      <c r="D103" s="9" t="s">
        <v>41</v>
      </c>
      <c r="E103" s="33" t="n">
        <f aca="false">IF(D103="totale",(C103/(A103*24))/F103,IF(D103="marché libre",(C103/(A103*24))/G103,"spécifier histo"))</f>
        <v>0.234139784946237</v>
      </c>
      <c r="F103" s="56" t="n">
        <v>1000</v>
      </c>
      <c r="G103" s="56" t="n">
        <f aca="false">F103-H103</f>
        <v>1000</v>
      </c>
      <c r="H103" s="9" t="n">
        <v>0</v>
      </c>
      <c r="I103" s="9" t="str">
        <f aca="false">IF(C103=0,"arrêt administratif","")</f>
        <v/>
      </c>
      <c r="J103" s="216"/>
      <c r="L103" s="0"/>
      <c r="M103" s="0"/>
      <c r="P103" s="0"/>
      <c r="S103" s="0"/>
      <c r="V103" s="0"/>
      <c r="X103" s="0"/>
    </row>
    <row r="104" customFormat="false" ht="19.85" hidden="false" customHeight="true" outlineLevel="0" collapsed="false">
      <c r="A104" s="1" t="n">
        <v>30</v>
      </c>
      <c r="B104" s="31" t="n">
        <v>40118</v>
      </c>
      <c r="C104" s="1" t="n">
        <v>161800</v>
      </c>
      <c r="D104" s="9" t="s">
        <v>41</v>
      </c>
      <c r="E104" s="33" t="n">
        <f aca="false">IF(D104="totale",(C104/(A104*24))/F104,IF(D104="marché libre",(C104/(A104*24))/G104,"spécifier histo"))</f>
        <v>0.224722222222222</v>
      </c>
      <c r="F104" s="56" t="n">
        <v>1000</v>
      </c>
      <c r="G104" s="56" t="n">
        <f aca="false">F104-H104</f>
        <v>1000</v>
      </c>
      <c r="H104" s="9" t="n">
        <v>0</v>
      </c>
      <c r="I104" s="9" t="str">
        <f aca="false">IF(C104=0,"arrêt administratif","")</f>
        <v/>
      </c>
      <c r="J104" s="216"/>
      <c r="L104" s="0"/>
      <c r="M104" s="0"/>
      <c r="P104" s="0"/>
      <c r="S104" s="0"/>
      <c r="V104" s="0"/>
      <c r="X104" s="0"/>
    </row>
    <row r="105" customFormat="false" ht="19.85" hidden="false" customHeight="true" outlineLevel="0" collapsed="false">
      <c r="A105" s="1" t="n">
        <v>31</v>
      </c>
      <c r="B105" s="34" t="n">
        <v>40148</v>
      </c>
      <c r="C105" s="1" t="n">
        <v>170400</v>
      </c>
      <c r="D105" s="9" t="s">
        <v>41</v>
      </c>
      <c r="E105" s="33" t="n">
        <f aca="false">IF(D105="totale",(C105/(A105*24))/F105,IF(D105="marché libre",(C105/(A105*24))/G105,"spécifier histo"))</f>
        <v>0.229032258064516</v>
      </c>
      <c r="F105" s="56" t="n">
        <v>1000</v>
      </c>
      <c r="G105" s="56" t="n">
        <f aca="false">F105-H105</f>
        <v>1000</v>
      </c>
      <c r="H105" s="9" t="n">
        <v>0</v>
      </c>
      <c r="I105" s="9" t="str">
        <f aca="false">IF(C105=0,"arrêt administratif","")</f>
        <v/>
      </c>
      <c r="J105" s="216"/>
      <c r="L105" s="0"/>
      <c r="M105" s="0"/>
      <c r="P105" s="0"/>
      <c r="S105" s="0"/>
      <c r="V105" s="0"/>
      <c r="X105" s="0"/>
    </row>
    <row r="106" customFormat="false" ht="19.85" hidden="false" customHeight="true" outlineLevel="0" collapsed="false">
      <c r="A106" s="1" t="n">
        <v>31</v>
      </c>
      <c r="B106" s="31" t="n">
        <v>40179</v>
      </c>
      <c r="C106" s="1" t="n">
        <v>367200</v>
      </c>
      <c r="D106" s="9" t="s">
        <v>41</v>
      </c>
      <c r="E106" s="33" t="n">
        <f aca="false">IF(D106="totale",(C106/(A106*24))/F106,IF(D106="marché libre",(C106/(A106*24))/G106,"spécifier histo"))</f>
        <v>0.493548387096774</v>
      </c>
      <c r="F106" s="56" t="n">
        <v>1000</v>
      </c>
      <c r="G106" s="56" t="n">
        <f aca="false">F106-H106</f>
        <v>1000</v>
      </c>
      <c r="H106" s="9" t="n">
        <v>0</v>
      </c>
      <c r="I106" s="9" t="str">
        <f aca="false">IF(C106=0,"arrêt administratif","")</f>
        <v/>
      </c>
      <c r="J106" s="216"/>
      <c r="L106" s="0"/>
      <c r="M106" s="0"/>
      <c r="P106" s="0"/>
      <c r="S106" s="0"/>
      <c r="V106" s="0"/>
      <c r="X106" s="0"/>
    </row>
    <row r="107" customFormat="false" ht="19.85" hidden="false" customHeight="true" outlineLevel="0" collapsed="false">
      <c r="A107" s="1" t="n">
        <v>28</v>
      </c>
      <c r="B107" s="34" t="n">
        <v>40210</v>
      </c>
      <c r="C107" s="1" t="n">
        <v>421800</v>
      </c>
      <c r="D107" s="9" t="s">
        <v>41</v>
      </c>
      <c r="E107" s="33" t="n">
        <f aca="false">IF(D107="totale",(C107/(A107*24))/F107,IF(D107="marché libre",(C107/(A107*24))/G107,"spécifier histo"))</f>
        <v>0.627678571428571</v>
      </c>
      <c r="F107" s="56" t="n">
        <v>1000</v>
      </c>
      <c r="G107" s="56" t="n">
        <f aca="false">F107-H107</f>
        <v>1000</v>
      </c>
      <c r="H107" s="9" t="n">
        <v>0</v>
      </c>
      <c r="I107" s="9" t="str">
        <f aca="false">IF(C107=0,"arrêt administratif","")</f>
        <v/>
      </c>
      <c r="J107" s="216"/>
      <c r="L107" s="0"/>
      <c r="M107" s="0"/>
      <c r="P107" s="0"/>
      <c r="S107" s="0"/>
      <c r="V107" s="0"/>
      <c r="X107" s="0"/>
    </row>
    <row r="108" customFormat="false" ht="19.85" hidden="false" customHeight="true" outlineLevel="0" collapsed="false">
      <c r="A108" s="1" t="n">
        <v>31</v>
      </c>
      <c r="B108" s="31" t="n">
        <v>40238</v>
      </c>
      <c r="C108" s="1" t="n">
        <v>561600</v>
      </c>
      <c r="D108" s="9" t="s">
        <v>41</v>
      </c>
      <c r="E108" s="33" t="n">
        <f aca="false">IF(D108="totale",(C108/(A108*24))/F108,IF(D108="marché libre",(C108/(A108*24))/G108,"spécifier histo"))</f>
        <v>0.754838709677419</v>
      </c>
      <c r="F108" s="56" t="n">
        <v>1000</v>
      </c>
      <c r="G108" s="56" t="n">
        <f aca="false">F108-H108</f>
        <v>1000</v>
      </c>
      <c r="H108" s="9" t="n">
        <v>0</v>
      </c>
      <c r="I108" s="9" t="str">
        <f aca="false">IF(C108=0,"arrêt administratif","")</f>
        <v/>
      </c>
      <c r="J108" s="216"/>
      <c r="L108" s="0"/>
      <c r="M108" s="0"/>
      <c r="P108" s="0"/>
      <c r="S108" s="0"/>
      <c r="V108" s="0"/>
      <c r="X108" s="0"/>
    </row>
    <row r="109" customFormat="false" ht="19.85" hidden="false" customHeight="true" outlineLevel="0" collapsed="false">
      <c r="A109" s="1" t="n">
        <v>30</v>
      </c>
      <c r="B109" s="34" t="n">
        <v>40269</v>
      </c>
      <c r="C109" s="1" t="n">
        <v>455800</v>
      </c>
      <c r="D109" s="9" t="s">
        <v>41</v>
      </c>
      <c r="E109" s="33" t="n">
        <f aca="false">IF(D109="totale",(C109/(A109*24))/F109,IF(D109="marché libre",(C109/(A109*24))/G109,"spécifier histo"))</f>
        <v>0.633055555555556</v>
      </c>
      <c r="F109" s="56" t="n">
        <v>1000</v>
      </c>
      <c r="G109" s="56" t="n">
        <f aca="false">F109-H109</f>
        <v>1000</v>
      </c>
      <c r="H109" s="9" t="n">
        <v>0</v>
      </c>
      <c r="I109" s="9" t="str">
        <f aca="false">IF(C109=0,"arrêt administratif","")</f>
        <v/>
      </c>
      <c r="J109" s="216"/>
      <c r="L109" s="0"/>
      <c r="M109" s="0"/>
      <c r="P109" s="0"/>
      <c r="S109" s="0"/>
      <c r="V109" s="0"/>
      <c r="X109" s="0"/>
    </row>
    <row r="110" customFormat="false" ht="19.85" hidden="false" customHeight="true" outlineLevel="0" collapsed="false">
      <c r="A110" s="1" t="n">
        <v>31</v>
      </c>
      <c r="B110" s="31" t="n">
        <v>40299</v>
      </c>
      <c r="C110" s="1" t="n">
        <v>393200</v>
      </c>
      <c r="D110" s="9" t="s">
        <v>41</v>
      </c>
      <c r="E110" s="33" t="n">
        <f aca="false">IF(D110="totale",(C110/(A110*24))/F110,IF(D110="marché libre",(C110/(A110*24))/G110,"spécifier histo"))</f>
        <v>0.528494623655914</v>
      </c>
      <c r="F110" s="56" t="n">
        <v>1000</v>
      </c>
      <c r="G110" s="56" t="n">
        <f aca="false">F110-H110</f>
        <v>1000</v>
      </c>
      <c r="H110" s="9" t="n">
        <v>0</v>
      </c>
      <c r="I110" s="9" t="str">
        <f aca="false">IF(C110=0,"arrêt administratif","")</f>
        <v/>
      </c>
      <c r="J110" s="216"/>
      <c r="L110" s="0"/>
      <c r="M110" s="0"/>
      <c r="P110" s="0"/>
      <c r="S110" s="0"/>
      <c r="V110" s="0"/>
    </row>
    <row r="111" customFormat="false" ht="19.85" hidden="false" customHeight="true" outlineLevel="0" collapsed="false">
      <c r="A111" s="1" t="n">
        <v>30</v>
      </c>
      <c r="B111" s="34" t="n">
        <v>40330</v>
      </c>
      <c r="C111" s="1" t="n">
        <v>212000</v>
      </c>
      <c r="D111" s="9" t="s">
        <v>41</v>
      </c>
      <c r="E111" s="33" t="n">
        <f aca="false">IF(D111="totale",(C111/(A111*24))/F111,IF(D111="marché libre",(C111/(A111*24))/G111,"spécifier histo"))</f>
        <v>0.294444444444444</v>
      </c>
      <c r="F111" s="56" t="n">
        <v>1000</v>
      </c>
      <c r="G111" s="56" t="n">
        <f aca="false">F111-H111</f>
        <v>1000</v>
      </c>
      <c r="H111" s="9" t="n">
        <v>0</v>
      </c>
      <c r="I111" s="9" t="str">
        <f aca="false">IF(C111=0,"arrêt administratif","")</f>
        <v/>
      </c>
      <c r="J111" s="216"/>
      <c r="L111" s="0"/>
      <c r="M111" s="0"/>
      <c r="P111" s="0"/>
      <c r="S111" s="0"/>
      <c r="V111" s="0"/>
    </row>
    <row r="112" customFormat="false" ht="19.85" hidden="false" customHeight="true" outlineLevel="0" collapsed="false">
      <c r="A112" s="1" t="n">
        <v>31</v>
      </c>
      <c r="B112" s="31" t="n">
        <v>40360</v>
      </c>
      <c r="C112" s="1" t="n">
        <v>0</v>
      </c>
      <c r="D112" s="9" t="s">
        <v>41</v>
      </c>
      <c r="E112" s="33" t="e">
        <f aca="false">IF(D112="totale",(C112/(A112*24))/F112,IF(D112="marché libre",(C112/(A112*24))/G112,"spécifier histo"))</f>
        <v>#DIV/0!</v>
      </c>
      <c r="F112" s="9" t="n">
        <v>0</v>
      </c>
      <c r="G112" s="56" t="n">
        <f aca="false">F112-H112</f>
        <v>0</v>
      </c>
      <c r="H112" s="9" t="n">
        <v>0</v>
      </c>
      <c r="I112" s="9" t="str">
        <f aca="false">IF(C112=0,"arrêt administratif","")</f>
        <v>arrêt administratif</v>
      </c>
      <c r="J112" s="216"/>
      <c r="L112" s="0"/>
      <c r="M112" s="0"/>
      <c r="P112" s="0"/>
      <c r="S112" s="0"/>
      <c r="V112" s="0"/>
    </row>
    <row r="113" customFormat="false" ht="19.85" hidden="false" customHeight="true" outlineLevel="0" collapsed="false">
      <c r="A113" s="1" t="n">
        <v>31</v>
      </c>
      <c r="B113" s="34" t="n">
        <v>40391</v>
      </c>
      <c r="C113" s="1" t="n">
        <v>0</v>
      </c>
      <c r="D113" s="9" t="s">
        <v>41</v>
      </c>
      <c r="E113" s="33" t="e">
        <f aca="false">IF(D113="totale",(C113/(A113*24))/F113,IF(D113="marché libre",(C113/(A113*24))/G113,"spécifier histo"))</f>
        <v>#DIV/0!</v>
      </c>
      <c r="F113" s="9" t="n">
        <v>0</v>
      </c>
      <c r="G113" s="56" t="n">
        <f aca="false">F113-H113</f>
        <v>0</v>
      </c>
      <c r="H113" s="9" t="n">
        <v>0</v>
      </c>
      <c r="I113" s="9" t="str">
        <f aca="false">IF(C113=0,"arrêt administratif","")</f>
        <v>arrêt administratif</v>
      </c>
      <c r="J113" s="216"/>
      <c r="L113" s="0"/>
      <c r="M113" s="0"/>
      <c r="P113" s="0"/>
      <c r="S113" s="0"/>
      <c r="V113" s="0"/>
    </row>
    <row r="114" customFormat="false" ht="19.85" hidden="false" customHeight="true" outlineLevel="0" collapsed="false">
      <c r="A114" s="1" t="n">
        <v>30</v>
      </c>
      <c r="B114" s="31" t="n">
        <v>40422</v>
      </c>
      <c r="C114" s="1" t="n">
        <v>62600</v>
      </c>
      <c r="D114" s="9" t="s">
        <v>41</v>
      </c>
      <c r="E114" s="33" t="n">
        <f aca="false">IF(D114="totale",(C114/(A114*24))/F114,IF(D114="marché libre",(C114/(A114*24))/G114,"spécifier histo"))</f>
        <v>0.0869444444444444</v>
      </c>
      <c r="F114" s="56" t="n">
        <v>1000</v>
      </c>
      <c r="G114" s="56" t="n">
        <f aca="false">F114-H114</f>
        <v>1000</v>
      </c>
      <c r="H114" s="9" t="n">
        <v>0</v>
      </c>
      <c r="I114" s="9" t="str">
        <f aca="false">IF(C114=0,"arrêt administratif","")</f>
        <v/>
      </c>
      <c r="J114" s="216"/>
      <c r="L114" s="0"/>
      <c r="M114" s="0"/>
      <c r="P114" s="0"/>
      <c r="S114" s="0"/>
      <c r="V114" s="0"/>
    </row>
    <row r="115" customFormat="false" ht="19.85" hidden="false" customHeight="true" outlineLevel="0" collapsed="false">
      <c r="A115" s="1" t="n">
        <v>31</v>
      </c>
      <c r="B115" s="34" t="n">
        <v>40452</v>
      </c>
      <c r="C115" s="1" t="n">
        <v>209800</v>
      </c>
      <c r="D115" s="9" t="s">
        <v>41</v>
      </c>
      <c r="E115" s="33" t="n">
        <f aca="false">IF(D115="totale",(C115/(A115*24))/F115,IF(D115="marché libre",(C115/(A115*24))/G115,"spécifier histo"))</f>
        <v>0.281989247311828</v>
      </c>
      <c r="F115" s="56" t="n">
        <v>1000</v>
      </c>
      <c r="G115" s="56" t="n">
        <f aca="false">F115-H115</f>
        <v>1000</v>
      </c>
      <c r="H115" s="9" t="n">
        <v>0</v>
      </c>
      <c r="I115" s="9" t="str">
        <f aca="false">IF(C115=0,"arrêt administratif","")</f>
        <v/>
      </c>
      <c r="J115" s="216"/>
      <c r="L115" s="0"/>
      <c r="M115" s="0"/>
      <c r="P115" s="0"/>
      <c r="S115" s="0"/>
      <c r="V115" s="0"/>
    </row>
    <row r="116" customFormat="false" ht="19.85" hidden="false" customHeight="true" outlineLevel="0" collapsed="false">
      <c r="A116" s="1" t="n">
        <v>30</v>
      </c>
      <c r="B116" s="31" t="n">
        <v>40483</v>
      </c>
      <c r="C116" s="1" t="n">
        <v>355000</v>
      </c>
      <c r="D116" s="9" t="s">
        <v>41</v>
      </c>
      <c r="E116" s="33" t="n">
        <f aca="false">IF(D116="totale",(C116/(A116*24))/F116,IF(D116="marché libre",(C116/(A116*24))/G116,"spécifier histo"))</f>
        <v>0.493055555555556</v>
      </c>
      <c r="F116" s="56" t="n">
        <v>1000</v>
      </c>
      <c r="G116" s="56" t="n">
        <f aca="false">F116-H116</f>
        <v>1000</v>
      </c>
      <c r="H116" s="9" t="n">
        <v>0</v>
      </c>
      <c r="I116" s="9" t="str">
        <f aca="false">IF(C116=0,"arrêt administratif","")</f>
        <v/>
      </c>
      <c r="J116" s="216"/>
      <c r="L116" s="0"/>
      <c r="M116" s="0"/>
      <c r="P116" s="0"/>
      <c r="S116" s="0"/>
      <c r="V116" s="0"/>
    </row>
    <row r="117" customFormat="false" ht="19.85" hidden="false" customHeight="true" outlineLevel="0" collapsed="false">
      <c r="A117" s="1" t="n">
        <v>31</v>
      </c>
      <c r="B117" s="34" t="n">
        <v>40513</v>
      </c>
      <c r="C117" s="1" t="n">
        <v>355400</v>
      </c>
      <c r="D117" s="9" t="s">
        <v>41</v>
      </c>
      <c r="E117" s="33" t="n">
        <f aca="false">IF(D117="totale",(C117/(A117*24))/F117,IF(D117="marché libre",(C117/(A117*24))/G117,"spécifier histo"))</f>
        <v>0.477688172043011</v>
      </c>
      <c r="F117" s="56" t="n">
        <v>1000</v>
      </c>
      <c r="G117" s="56" t="n">
        <f aca="false">F117-H117</f>
        <v>1000</v>
      </c>
      <c r="H117" s="9" t="n">
        <v>0</v>
      </c>
      <c r="I117" s="9" t="str">
        <f aca="false">IF(C117=0,"arrêt administratif","")</f>
        <v/>
      </c>
      <c r="J117" s="216"/>
      <c r="L117" s="0"/>
      <c r="M117" s="0"/>
      <c r="P117" s="0"/>
      <c r="S117" s="0"/>
      <c r="V117" s="0"/>
    </row>
    <row r="118" customFormat="false" ht="19.85" hidden="false" customHeight="true" outlineLevel="0" collapsed="false">
      <c r="A118" s="1" t="n">
        <v>31</v>
      </c>
      <c r="B118" s="31" t="n">
        <v>40544</v>
      </c>
      <c r="C118" s="1" t="n">
        <v>476200</v>
      </c>
      <c r="D118" s="9" t="s">
        <v>41</v>
      </c>
      <c r="E118" s="33" t="n">
        <f aca="false">IF(D118="totale",(C118/(A118*24))/F118,IF(D118="marché libre",(C118/(A118*24))/G118,"spécifier histo"))</f>
        <v>0.64005376344086</v>
      </c>
      <c r="F118" s="56" t="n">
        <v>1000</v>
      </c>
      <c r="G118" s="56" t="n">
        <f aca="false">F118-H118</f>
        <v>1000</v>
      </c>
      <c r="H118" s="9" t="n">
        <v>0</v>
      </c>
      <c r="I118" s="9" t="str">
        <f aca="false">IF(C118=0,"arrêt administratif","")</f>
        <v/>
      </c>
      <c r="J118" s="216"/>
      <c r="L118" s="0"/>
      <c r="M118" s="0"/>
      <c r="P118" s="0"/>
      <c r="S118" s="0"/>
      <c r="V118" s="0"/>
    </row>
    <row r="119" customFormat="false" ht="19.85" hidden="false" customHeight="true" outlineLevel="0" collapsed="false">
      <c r="A119" s="1" t="n">
        <v>28</v>
      </c>
      <c r="B119" s="34" t="n">
        <v>40575</v>
      </c>
      <c r="C119" s="1" t="n">
        <v>309600</v>
      </c>
      <c r="D119" s="9" t="s">
        <v>41</v>
      </c>
      <c r="E119" s="33" t="n">
        <f aca="false">IF(D119="totale",(C119/(A119*24))/F119,IF(D119="marché libre",(C119/(A119*24))/G119,"spécifier histo"))</f>
        <v>0.460714285714286</v>
      </c>
      <c r="F119" s="56" t="n">
        <v>1000</v>
      </c>
      <c r="G119" s="56" t="n">
        <f aca="false">F119-H119</f>
        <v>1000</v>
      </c>
      <c r="H119" s="9" t="n">
        <v>0</v>
      </c>
      <c r="I119" s="9" t="str">
        <f aca="false">IF(C119=0,"arrêt administratif","")</f>
        <v/>
      </c>
      <c r="J119" s="216"/>
      <c r="L119" s="0"/>
      <c r="M119" s="0"/>
      <c r="P119" s="0"/>
      <c r="S119" s="0"/>
      <c r="V119" s="0"/>
    </row>
    <row r="120" customFormat="false" ht="19.85" hidden="false" customHeight="true" outlineLevel="0" collapsed="false">
      <c r="A120" s="1" t="n">
        <v>31</v>
      </c>
      <c r="B120" s="31" t="n">
        <v>40603</v>
      </c>
      <c r="C120" s="1" t="n">
        <v>334600</v>
      </c>
      <c r="D120" s="9" t="s">
        <v>41</v>
      </c>
      <c r="E120" s="33" t="n">
        <f aca="false">IF(D120="totale",(C120/(A120*24))/F120,IF(D120="marché libre",(C120/(A120*24))/G120,"spécifier histo"))</f>
        <v>0.449731182795699</v>
      </c>
      <c r="F120" s="56" t="n">
        <v>1000</v>
      </c>
      <c r="G120" s="56" t="n">
        <f aca="false">F120-H120</f>
        <v>1000</v>
      </c>
      <c r="H120" s="9" t="n">
        <v>0</v>
      </c>
      <c r="I120" s="9" t="str">
        <f aca="false">IF(C120=0,"arrêt administratif","")</f>
        <v/>
      </c>
      <c r="J120" s="216"/>
      <c r="L120" s="0"/>
      <c r="M120" s="0"/>
      <c r="P120" s="0"/>
      <c r="S120" s="0"/>
      <c r="V120" s="0"/>
    </row>
    <row r="121" customFormat="false" ht="19.85" hidden="false" customHeight="true" outlineLevel="0" collapsed="false">
      <c r="A121" s="1" t="n">
        <v>30</v>
      </c>
      <c r="B121" s="34" t="n">
        <v>40634</v>
      </c>
      <c r="C121" s="1" t="n">
        <v>536600</v>
      </c>
      <c r="D121" s="9" t="s">
        <v>41</v>
      </c>
      <c r="E121" s="33" t="n">
        <f aca="false">IF(D121="totale",(C121/(A121*24))/F121,IF(D121="marché libre",(C121/(A121*24))/G121,"spécifier histo"))</f>
        <v>0.745277777777778</v>
      </c>
      <c r="F121" s="56" t="n">
        <v>1000</v>
      </c>
      <c r="G121" s="56" t="n">
        <f aca="false">F121-H121</f>
        <v>1000</v>
      </c>
      <c r="H121" s="9" t="n">
        <v>0</v>
      </c>
      <c r="I121" s="9" t="str">
        <f aca="false">IF(C121=0,"arrêt administratif","")</f>
        <v/>
      </c>
      <c r="J121" s="216"/>
      <c r="L121" s="0"/>
      <c r="M121" s="0"/>
      <c r="P121" s="0"/>
      <c r="S121" s="0"/>
      <c r="V121" s="0"/>
    </row>
    <row r="122" customFormat="false" ht="19.85" hidden="false" customHeight="true" outlineLevel="0" collapsed="false">
      <c r="A122" s="1" t="n">
        <v>31</v>
      </c>
      <c r="B122" s="31" t="n">
        <v>40664</v>
      </c>
      <c r="C122" s="1" t="n">
        <v>86800</v>
      </c>
      <c r="D122" s="9" t="s">
        <v>41</v>
      </c>
      <c r="E122" s="33" t="n">
        <f aca="false">IF(D122="totale",(C122/(A122*24))/F122,IF(D122="marché libre",(C122/(A122*24))/G122,"spécifier histo"))</f>
        <v>0.116666666666667</v>
      </c>
      <c r="F122" s="56" t="n">
        <v>1000</v>
      </c>
      <c r="G122" s="56" t="n">
        <f aca="false">F122-H122</f>
        <v>1000</v>
      </c>
      <c r="H122" s="9" t="n">
        <v>0</v>
      </c>
      <c r="I122" s="9" t="str">
        <f aca="false">IF(C122=0,"arrêt administratif","")</f>
        <v/>
      </c>
      <c r="J122" s="216"/>
      <c r="L122" s="0"/>
      <c r="M122" s="0"/>
      <c r="P122" s="0"/>
      <c r="S122" s="0"/>
      <c r="V122" s="0"/>
    </row>
    <row r="123" customFormat="false" ht="19.85" hidden="false" customHeight="true" outlineLevel="0" collapsed="false">
      <c r="A123" s="1" t="n">
        <v>30</v>
      </c>
      <c r="B123" s="34" t="n">
        <v>40695</v>
      </c>
      <c r="C123" s="1" t="n">
        <v>123600</v>
      </c>
      <c r="D123" s="9" t="s">
        <v>41</v>
      </c>
      <c r="E123" s="33" t="n">
        <f aca="false">IF(D123="totale",(C123/(A123*24))/F123,IF(D123="marché libre",(C123/(A123*24))/G123,"spécifier histo"))</f>
        <v>0.171666666666667</v>
      </c>
      <c r="F123" s="56" t="n">
        <v>1000</v>
      </c>
      <c r="G123" s="56" t="n">
        <f aca="false">F123-H123</f>
        <v>1000</v>
      </c>
      <c r="H123" s="9" t="n">
        <v>0</v>
      </c>
      <c r="I123" s="9" t="str">
        <f aca="false">IF(C123=0,"arrêt administratif","")</f>
        <v/>
      </c>
      <c r="J123" s="216"/>
      <c r="L123" s="0"/>
      <c r="M123" s="0"/>
      <c r="P123" s="0"/>
      <c r="S123" s="0"/>
      <c r="V123" s="0"/>
    </row>
    <row r="124" customFormat="false" ht="19.85" hidden="false" customHeight="true" outlineLevel="0" collapsed="false">
      <c r="A124" s="1" t="n">
        <v>31</v>
      </c>
      <c r="B124" s="31" t="n">
        <v>40725</v>
      </c>
      <c r="C124" s="1" t="n">
        <v>0</v>
      </c>
      <c r="D124" s="9" t="s">
        <v>41</v>
      </c>
      <c r="E124" s="33" t="e">
        <f aca="false">IF(D124="totale",(C124/(A124*24))/F124,IF(D124="marché libre",(C124/(A124*24))/G124,"spécifier histo"))</f>
        <v>#DIV/0!</v>
      </c>
      <c r="F124" s="9" t="n">
        <v>0</v>
      </c>
      <c r="G124" s="56" t="n">
        <f aca="false">F124-H124</f>
        <v>0</v>
      </c>
      <c r="H124" s="9" t="n">
        <v>0</v>
      </c>
      <c r="I124" s="9" t="str">
        <f aca="false">IF(C124=0,"arrêt administratif","")</f>
        <v>arrêt administratif</v>
      </c>
      <c r="J124" s="216"/>
      <c r="L124" s="0"/>
      <c r="M124" s="0"/>
      <c r="P124" s="0"/>
      <c r="S124" s="0"/>
      <c r="V124" s="0"/>
    </row>
    <row r="125" customFormat="false" ht="19.85" hidden="false" customHeight="true" outlineLevel="0" collapsed="false">
      <c r="A125" s="1" t="n">
        <v>31</v>
      </c>
      <c r="B125" s="34" t="n">
        <v>40756</v>
      </c>
      <c r="C125" s="1" t="n">
        <v>0</v>
      </c>
      <c r="D125" s="9" t="s">
        <v>41</v>
      </c>
      <c r="E125" s="33" t="e">
        <f aca="false">IF(D125="totale",(C125/(A125*24))/F125,IF(D125="marché libre",(C125/(A125*24))/G125,"spécifier histo"))</f>
        <v>#DIV/0!</v>
      </c>
      <c r="F125" s="9" t="n">
        <v>0</v>
      </c>
      <c r="G125" s="56" t="n">
        <f aca="false">F125-H125</f>
        <v>0</v>
      </c>
      <c r="H125" s="9" t="n">
        <v>0</v>
      </c>
      <c r="I125" s="9" t="str">
        <f aca="false">IF(C125=0,"arrêt administratif","")</f>
        <v>arrêt administratif</v>
      </c>
      <c r="J125" s="216"/>
      <c r="L125" s="0"/>
      <c r="M125" s="0"/>
      <c r="P125" s="0"/>
      <c r="S125" s="0"/>
      <c r="V125" s="0"/>
    </row>
    <row r="126" customFormat="false" ht="19.85" hidden="false" customHeight="true" outlineLevel="0" collapsed="false">
      <c r="A126" s="1" t="n">
        <v>30</v>
      </c>
      <c r="B126" s="31" t="n">
        <v>40787</v>
      </c>
      <c r="C126" s="1" t="n">
        <v>12600</v>
      </c>
      <c r="D126" s="9" t="s">
        <v>41</v>
      </c>
      <c r="E126" s="33" t="n">
        <f aca="false">IF(D126="totale",(C126/(A126*24))/F126,IF(D126="marché libre",(C126/(A126*24))/G126,"spécifier histo"))</f>
        <v>0.0175</v>
      </c>
      <c r="F126" s="56" t="n">
        <v>1000</v>
      </c>
      <c r="G126" s="56" t="n">
        <f aca="false">F126-H126</f>
        <v>1000</v>
      </c>
      <c r="H126" s="9" t="n">
        <v>0</v>
      </c>
      <c r="I126" s="9" t="str">
        <f aca="false">IF(C126=0,"arrêt administratif","")</f>
        <v/>
      </c>
      <c r="J126" s="216"/>
      <c r="L126" s="0"/>
      <c r="M126" s="0"/>
      <c r="P126" s="0"/>
      <c r="S126" s="0"/>
      <c r="V126" s="0"/>
    </row>
    <row r="127" customFormat="false" ht="19.85" hidden="false" customHeight="true" outlineLevel="0" collapsed="false">
      <c r="A127" s="1" t="n">
        <v>31</v>
      </c>
      <c r="B127" s="34" t="n">
        <v>40817</v>
      </c>
      <c r="C127" s="1" t="n">
        <v>87000</v>
      </c>
      <c r="D127" s="9" t="s">
        <v>41</v>
      </c>
      <c r="E127" s="33" t="n">
        <f aca="false">IF(D127="totale",(C127/(A127*24))/F127,IF(D127="marché libre",(C127/(A127*24))/G127,"spécifier histo"))</f>
        <v>0.116935483870968</v>
      </c>
      <c r="F127" s="56" t="n">
        <v>1000</v>
      </c>
      <c r="G127" s="56" t="n">
        <f aca="false">F127-H127</f>
        <v>1000</v>
      </c>
      <c r="H127" s="9" t="n">
        <v>0</v>
      </c>
      <c r="I127" s="9" t="str">
        <f aca="false">IF(C127=0,"arrêt administratif","")</f>
        <v/>
      </c>
      <c r="J127" s="216"/>
      <c r="L127" s="0"/>
      <c r="M127" s="0"/>
      <c r="P127" s="0"/>
      <c r="S127" s="0"/>
      <c r="V127" s="0"/>
    </row>
    <row r="128" customFormat="false" ht="19.85" hidden="false" customHeight="true" outlineLevel="0" collapsed="false">
      <c r="A128" s="1" t="n">
        <v>30</v>
      </c>
      <c r="B128" s="31" t="n">
        <v>40848</v>
      </c>
      <c r="C128" s="1" t="n">
        <v>327400</v>
      </c>
      <c r="D128" s="9" t="s">
        <v>41</v>
      </c>
      <c r="E128" s="33" t="n">
        <f aca="false">IF(D128="totale",(C128/(A128*24))/F128,IF(D128="marché libre",(C128/(A128*24))/G128,"spécifier histo"))</f>
        <v>0.454722222222222</v>
      </c>
      <c r="F128" s="56" t="n">
        <v>1000</v>
      </c>
      <c r="G128" s="56" t="n">
        <f aca="false">F128-H128</f>
        <v>1000</v>
      </c>
      <c r="H128" s="9" t="n">
        <v>0</v>
      </c>
      <c r="I128" s="9" t="str">
        <f aca="false">IF(C128=0,"arrêt administratif","")</f>
        <v/>
      </c>
      <c r="J128" s="216"/>
      <c r="L128" s="0"/>
      <c r="M128" s="0"/>
      <c r="P128" s="0"/>
      <c r="S128" s="0"/>
      <c r="V128" s="0"/>
    </row>
    <row r="129" customFormat="false" ht="19.85" hidden="false" customHeight="true" outlineLevel="0" collapsed="false">
      <c r="A129" s="1" t="n">
        <v>31</v>
      </c>
      <c r="B129" s="34" t="n">
        <v>40878</v>
      </c>
      <c r="C129" s="1" t="n">
        <v>427600</v>
      </c>
      <c r="D129" s="9" t="s">
        <v>41</v>
      </c>
      <c r="E129" s="33" t="n">
        <f aca="false">IF(D129="totale",(C129/(A129*24))/F129,IF(D129="marché libre",(C129/(A129*24))/G129,"spécifier histo"))</f>
        <v>0.574731182795699</v>
      </c>
      <c r="F129" s="56" t="n">
        <v>1000</v>
      </c>
      <c r="G129" s="56" t="n">
        <f aca="false">F129-H129</f>
        <v>1000</v>
      </c>
      <c r="H129" s="9" t="n">
        <v>0</v>
      </c>
      <c r="I129" s="9" t="str">
        <f aca="false">IF(C129=0,"arrêt administratif","")</f>
        <v/>
      </c>
      <c r="J129" s="216"/>
      <c r="L129" s="0"/>
      <c r="M129" s="0"/>
      <c r="P129" s="0"/>
      <c r="S129" s="0"/>
      <c r="V129" s="0"/>
    </row>
    <row r="130" customFormat="false" ht="19.85" hidden="false" customHeight="true" outlineLevel="0" collapsed="false">
      <c r="A130" s="1" t="n">
        <v>31</v>
      </c>
      <c r="B130" s="31" t="n">
        <v>40909</v>
      </c>
      <c r="C130" s="1" t="n">
        <v>264600</v>
      </c>
      <c r="D130" s="9" t="s">
        <v>41</v>
      </c>
      <c r="E130" s="33" t="n">
        <f aca="false">IF(D130="totale",(C130/(A130*24))/F130,IF(D130="marché libre",(C130/(A130*24))/G130,"spécifier histo"))</f>
        <v>0.355645161290323</v>
      </c>
      <c r="F130" s="56" t="n">
        <v>1000</v>
      </c>
      <c r="G130" s="56" t="n">
        <f aca="false">F130-H130</f>
        <v>1000</v>
      </c>
      <c r="H130" s="9" t="n">
        <v>0</v>
      </c>
      <c r="I130" s="9" t="str">
        <f aca="false">IF(C130=0,"arrêt administratif","")</f>
        <v/>
      </c>
      <c r="J130" s="216"/>
      <c r="L130" s="0"/>
      <c r="M130" s="0"/>
      <c r="P130" s="0"/>
      <c r="S130" s="0"/>
      <c r="V130" s="0"/>
    </row>
    <row r="131" customFormat="false" ht="19.85" hidden="false" customHeight="true" outlineLevel="0" collapsed="false">
      <c r="A131" s="1" t="n">
        <v>28</v>
      </c>
      <c r="B131" s="34" t="n">
        <v>40940</v>
      </c>
      <c r="C131" s="1" t="n">
        <v>157000</v>
      </c>
      <c r="D131" s="9" t="s">
        <v>41</v>
      </c>
      <c r="E131" s="33" t="n">
        <f aca="false">IF(D131="totale",(C131/(A131*24))/F131,IF(D131="marché libre",(C131/(A131*24))/G131,"spécifier histo"))</f>
        <v>0.233630952380952</v>
      </c>
      <c r="F131" s="56" t="n">
        <v>1000</v>
      </c>
      <c r="G131" s="56" t="n">
        <f aca="false">F131-H131</f>
        <v>1000</v>
      </c>
      <c r="H131" s="9" t="n">
        <v>0</v>
      </c>
      <c r="I131" s="9" t="str">
        <f aca="false">IF(C131=0,"arrêt administratif","")</f>
        <v/>
      </c>
      <c r="J131" s="216"/>
      <c r="L131" s="0"/>
      <c r="M131" s="0"/>
      <c r="P131" s="0"/>
      <c r="S131" s="0"/>
      <c r="V131" s="0"/>
    </row>
    <row r="132" customFormat="false" ht="19.85" hidden="false" customHeight="true" outlineLevel="0" collapsed="false">
      <c r="A132" s="1" t="n">
        <v>31</v>
      </c>
      <c r="B132" s="31" t="n">
        <v>40969</v>
      </c>
      <c r="C132" s="1" t="n">
        <v>121200</v>
      </c>
      <c r="D132" s="9" t="s">
        <v>41</v>
      </c>
      <c r="E132" s="33" t="n">
        <f aca="false">IF(D132="totale",(C132/(A132*24))/F132,IF(D132="marché libre",(C132/(A132*24))/G132,"spécifier histo"))</f>
        <v>0.162903225806452</v>
      </c>
      <c r="F132" s="56" t="n">
        <v>1000</v>
      </c>
      <c r="G132" s="56" t="n">
        <f aca="false">F132-H132</f>
        <v>1000</v>
      </c>
      <c r="H132" s="9" t="n">
        <v>0</v>
      </c>
      <c r="I132" s="9" t="str">
        <f aca="false">IF(C132=0,"arrêt administratif","")</f>
        <v/>
      </c>
      <c r="J132" s="216"/>
      <c r="L132" s="0"/>
      <c r="M132" s="0"/>
      <c r="P132" s="0"/>
      <c r="S132" s="0"/>
      <c r="V132" s="0"/>
    </row>
    <row r="133" customFormat="false" ht="19.85" hidden="false" customHeight="true" outlineLevel="0" collapsed="false">
      <c r="A133" s="1" t="n">
        <v>30</v>
      </c>
      <c r="B133" s="34" t="n">
        <v>41000</v>
      </c>
      <c r="C133" s="1" t="n">
        <v>211000</v>
      </c>
      <c r="D133" s="9" t="s">
        <v>41</v>
      </c>
      <c r="E133" s="33" t="n">
        <f aca="false">IF(D133="totale",(C133/(A133*24))/F133,IF(D133="marché libre",(C133/(A133*24))/G133,"spécifier histo"))</f>
        <v>0.293055555555556</v>
      </c>
      <c r="F133" s="56" t="n">
        <v>1000</v>
      </c>
      <c r="G133" s="56" t="n">
        <f aca="false">F133-H133</f>
        <v>1000</v>
      </c>
      <c r="H133" s="9" t="n">
        <v>0</v>
      </c>
      <c r="I133" s="9" t="str">
        <f aca="false">IF(C133=0,"arrêt administratif","")</f>
        <v/>
      </c>
      <c r="J133" s="216"/>
      <c r="L133" s="0"/>
      <c r="M133" s="0"/>
      <c r="P133" s="0"/>
      <c r="S133" s="0"/>
      <c r="V133" s="0"/>
    </row>
    <row r="134" customFormat="false" ht="19.85" hidden="false" customHeight="true" outlineLevel="0" collapsed="false">
      <c r="A134" s="1" t="n">
        <v>31</v>
      </c>
      <c r="B134" s="31" t="n">
        <v>41030</v>
      </c>
      <c r="C134" s="1" t="n">
        <v>323200</v>
      </c>
      <c r="D134" s="9" t="s">
        <v>41</v>
      </c>
      <c r="E134" s="33" t="n">
        <f aca="false">IF(D134="totale",(C134/(A134*24))/F134,IF(D134="marché libre",(C134/(A134*24))/G134,"spécifier histo"))</f>
        <v>0.434408602150538</v>
      </c>
      <c r="F134" s="56" t="n">
        <v>1000</v>
      </c>
      <c r="G134" s="56" t="n">
        <f aca="false">F134-H134</f>
        <v>1000</v>
      </c>
      <c r="H134" s="9" t="n">
        <v>0</v>
      </c>
      <c r="I134" s="9" t="str">
        <f aca="false">IF(C134=0,"arrêt administratif","")</f>
        <v/>
      </c>
      <c r="J134" s="216"/>
      <c r="L134" s="0"/>
      <c r="M134" s="0"/>
      <c r="P134" s="0"/>
      <c r="S134" s="0"/>
      <c r="V134" s="0"/>
    </row>
    <row r="135" customFormat="false" ht="19.85" hidden="false" customHeight="true" outlineLevel="0" collapsed="false">
      <c r="A135" s="1" t="n">
        <v>30</v>
      </c>
      <c r="B135" s="34" t="n">
        <v>41061</v>
      </c>
      <c r="C135" s="1" t="n">
        <v>297200</v>
      </c>
      <c r="D135" s="9" t="s">
        <v>41</v>
      </c>
      <c r="E135" s="33" t="n">
        <f aca="false">IF(D135="totale",(C135/(A135*24))/F135,IF(D135="marché libre",(C135/(A135*24))/G135,"spécifier histo"))</f>
        <v>0.412777777777778</v>
      </c>
      <c r="F135" s="56" t="n">
        <v>1000</v>
      </c>
      <c r="G135" s="56" t="n">
        <f aca="false">F135-H135</f>
        <v>1000</v>
      </c>
      <c r="H135" s="9" t="n">
        <v>0</v>
      </c>
      <c r="I135" s="9" t="str">
        <f aca="false">IF(C135=0,"arrêt administratif","")</f>
        <v/>
      </c>
      <c r="J135" s="216"/>
      <c r="L135" s="0"/>
      <c r="M135" s="0"/>
      <c r="P135" s="0"/>
      <c r="S135" s="0"/>
      <c r="V135" s="0"/>
    </row>
    <row r="136" customFormat="false" ht="19.85" hidden="false" customHeight="true" outlineLevel="0" collapsed="false">
      <c r="A136" s="1" t="n">
        <v>31</v>
      </c>
      <c r="B136" s="31" t="n">
        <v>41091</v>
      </c>
      <c r="C136" s="1" t="n">
        <v>0</v>
      </c>
      <c r="D136" s="9" t="s">
        <v>41</v>
      </c>
      <c r="E136" s="33" t="e">
        <f aca="false">IF(D136="totale",(C136/(A136*24))/F136,IF(D136="marché libre",(C136/(A136*24))/G136,"spécifier histo"))</f>
        <v>#DIV/0!</v>
      </c>
      <c r="F136" s="9" t="n">
        <v>0</v>
      </c>
      <c r="G136" s="56" t="n">
        <f aca="false">F136-H136</f>
        <v>0</v>
      </c>
      <c r="H136" s="9" t="n">
        <v>0</v>
      </c>
      <c r="I136" s="9" t="str">
        <f aca="false">IF(C136=0,"arrêt administratif","")</f>
        <v>arrêt administratif</v>
      </c>
      <c r="J136" s="216"/>
      <c r="L136" s="0"/>
      <c r="M136" s="0"/>
      <c r="P136" s="0"/>
      <c r="S136" s="0"/>
      <c r="V136" s="0"/>
    </row>
    <row r="137" customFormat="false" ht="19.85" hidden="false" customHeight="true" outlineLevel="0" collapsed="false">
      <c r="A137" s="1" t="n">
        <v>31</v>
      </c>
      <c r="B137" s="34" t="n">
        <v>41122</v>
      </c>
      <c r="C137" s="1" t="n">
        <v>0</v>
      </c>
      <c r="D137" s="9" t="s">
        <v>41</v>
      </c>
      <c r="E137" s="33" t="e">
        <f aca="false">IF(D137="totale",(C137/(A137*24))/F137,IF(D137="marché libre",(C137/(A137*24))/G137,"spécifier histo"))</f>
        <v>#DIV/0!</v>
      </c>
      <c r="F137" s="9" t="n">
        <v>0</v>
      </c>
      <c r="G137" s="56" t="n">
        <f aca="false">F137-H137</f>
        <v>0</v>
      </c>
      <c r="H137" s="9" t="n">
        <v>0</v>
      </c>
      <c r="I137" s="9" t="str">
        <f aca="false">IF(C137=0,"arrêt administratif","")</f>
        <v>arrêt administratif</v>
      </c>
      <c r="J137" s="216"/>
      <c r="L137" s="0"/>
      <c r="M137" s="0"/>
      <c r="P137" s="0"/>
      <c r="S137" s="0"/>
      <c r="V137" s="0"/>
    </row>
    <row r="138" customFormat="false" ht="19.85" hidden="false" customHeight="true" outlineLevel="0" collapsed="false">
      <c r="A138" s="1" t="n">
        <v>30</v>
      </c>
      <c r="B138" s="31" t="n">
        <v>41153</v>
      </c>
      <c r="C138" s="1" t="n">
        <v>29200</v>
      </c>
      <c r="D138" s="9" t="s">
        <v>41</v>
      </c>
      <c r="E138" s="33" t="n">
        <f aca="false">IF(D138="totale",(C138/(A138*24))/F138,IF(D138="marché libre",(C138/(A138*24))/G138,"spécifier histo"))</f>
        <v>0.0405555555555556</v>
      </c>
      <c r="F138" s="56" t="n">
        <v>1000</v>
      </c>
      <c r="G138" s="56" t="n">
        <f aca="false">F138-H138</f>
        <v>1000</v>
      </c>
      <c r="H138" s="9" t="n">
        <v>0</v>
      </c>
      <c r="I138" s="9" t="str">
        <f aca="false">IF(C138=0,"arrêt administratif","")</f>
        <v/>
      </c>
      <c r="J138" s="216"/>
      <c r="L138" s="0"/>
      <c r="M138" s="0"/>
      <c r="P138" s="0"/>
      <c r="S138" s="0"/>
      <c r="V138" s="0"/>
    </row>
    <row r="139" customFormat="false" ht="19.85" hidden="false" customHeight="true" outlineLevel="0" collapsed="false">
      <c r="A139" s="1" t="n">
        <v>31</v>
      </c>
      <c r="B139" s="34" t="n">
        <v>41183</v>
      </c>
      <c r="C139" s="1" t="n">
        <v>44400</v>
      </c>
      <c r="D139" s="9" t="s">
        <v>41</v>
      </c>
      <c r="E139" s="33" t="n">
        <f aca="false">IF(D139="totale",(C139/(A139*24))/F139,IF(D139="marché libre",(C139/(A139*24))/G139,"spécifier histo"))</f>
        <v>0.0596774193548387</v>
      </c>
      <c r="F139" s="56" t="n">
        <v>1000</v>
      </c>
      <c r="G139" s="56" t="n">
        <f aca="false">F139-H139</f>
        <v>1000</v>
      </c>
      <c r="H139" s="9" t="n">
        <v>0</v>
      </c>
      <c r="I139" s="9" t="str">
        <f aca="false">IF(C139=0,"arrêt administratif","")</f>
        <v/>
      </c>
      <c r="J139" s="216"/>
      <c r="L139" s="0"/>
      <c r="M139" s="0"/>
      <c r="P139" s="0"/>
      <c r="S139" s="0"/>
      <c r="V139" s="0"/>
    </row>
    <row r="140" customFormat="false" ht="19.85" hidden="false" customHeight="true" outlineLevel="0" collapsed="false">
      <c r="A140" s="1" t="n">
        <v>30</v>
      </c>
      <c r="B140" s="31" t="n">
        <v>41214</v>
      </c>
      <c r="C140" s="1" t="n">
        <v>415400</v>
      </c>
      <c r="D140" s="9" t="s">
        <v>41</v>
      </c>
      <c r="E140" s="33" t="n">
        <f aca="false">IF(D140="totale",(C140/(A140*24))/F140,IF(D140="marché libre",(C140/(A140*24))/G140,"spécifier histo"))</f>
        <v>0.576944444444445</v>
      </c>
      <c r="F140" s="56" t="n">
        <v>1000</v>
      </c>
      <c r="G140" s="56" t="n">
        <f aca="false">F140-H140</f>
        <v>1000</v>
      </c>
      <c r="H140" s="9" t="n">
        <v>0</v>
      </c>
      <c r="I140" s="9" t="str">
        <f aca="false">IF(C140=0,"arrêt administratif","")</f>
        <v/>
      </c>
      <c r="J140" s="216"/>
      <c r="L140" s="0"/>
      <c r="M140" s="0"/>
      <c r="P140" s="0"/>
      <c r="S140" s="0"/>
      <c r="V140" s="0"/>
    </row>
    <row r="141" customFormat="false" ht="19.85" hidden="false" customHeight="true" outlineLevel="0" collapsed="false">
      <c r="A141" s="1" t="n">
        <v>31</v>
      </c>
      <c r="B141" s="34" t="n">
        <v>41244</v>
      </c>
      <c r="C141" s="1" t="n">
        <v>177400</v>
      </c>
      <c r="D141" s="9" t="s">
        <v>41</v>
      </c>
      <c r="E141" s="33" t="n">
        <f aca="false">IF(D141="totale",(C141/(A141*24))/F141,IF(D141="marché libre",(C141/(A141*24))/G141,"spécifier histo"))</f>
        <v>0.238440860215054</v>
      </c>
      <c r="F141" s="56" t="n">
        <v>1000</v>
      </c>
      <c r="G141" s="56" t="n">
        <f aca="false">F141-H141</f>
        <v>1000</v>
      </c>
      <c r="H141" s="9" t="n">
        <v>0</v>
      </c>
      <c r="I141" s="9" t="str">
        <f aca="false">IF(C141=0,"arrêt administratif","")</f>
        <v/>
      </c>
      <c r="J141" s="216"/>
      <c r="L141" s="0"/>
      <c r="M141" s="0"/>
      <c r="P141" s="0"/>
      <c r="S141" s="0"/>
      <c r="V141" s="0"/>
    </row>
    <row r="142" customFormat="false" ht="19.85" hidden="false" customHeight="true" outlineLevel="0" collapsed="false">
      <c r="A142" s="1" t="n">
        <v>31</v>
      </c>
      <c r="B142" s="31" t="n">
        <v>41275</v>
      </c>
      <c r="C142" s="1" t="n">
        <v>367920</v>
      </c>
      <c r="D142" s="9" t="s">
        <v>41</v>
      </c>
      <c r="E142" s="33" t="n">
        <f aca="false">IF(D142="totale",(C142/(A142*24))/F142,IF(D142="marché libre",(C142/(A142*24))/G142,"spécifier histo"))</f>
        <v>0.494516129032258</v>
      </c>
      <c r="F142" s="56" t="n">
        <v>1000</v>
      </c>
      <c r="G142" s="56" t="n">
        <f aca="false">F142-H142</f>
        <v>1000</v>
      </c>
      <c r="H142" s="9" t="n">
        <v>0</v>
      </c>
      <c r="I142" s="9" t="str">
        <f aca="false">IF(C142=0,"arrêt administratif","")</f>
        <v/>
      </c>
      <c r="J142" s="216"/>
      <c r="L142" s="0"/>
      <c r="M142" s="0"/>
      <c r="P142" s="0"/>
      <c r="S142" s="0"/>
      <c r="V142" s="0"/>
    </row>
    <row r="143" customFormat="false" ht="19.85" hidden="false" customHeight="true" outlineLevel="0" collapsed="false">
      <c r="A143" s="1" t="n">
        <v>28</v>
      </c>
      <c r="B143" s="34" t="n">
        <v>41306</v>
      </c>
      <c r="C143" s="1" t="n">
        <v>317110</v>
      </c>
      <c r="D143" s="9" t="s">
        <v>41</v>
      </c>
      <c r="E143" s="33" t="n">
        <f aca="false">IF(D143="totale",(C143/(A143*24))/F143,IF(D143="marché libre",(C143/(A143*24))/G143,"spécifier histo"))</f>
        <v>0.471889880952381</v>
      </c>
      <c r="F143" s="56" t="n">
        <v>1000</v>
      </c>
      <c r="G143" s="56" t="n">
        <f aca="false">F143-H143</f>
        <v>1000</v>
      </c>
      <c r="H143" s="9" t="n">
        <v>0</v>
      </c>
      <c r="I143" s="9" t="str">
        <f aca="false">IF(C143=0,"arrêt administratif","")</f>
        <v/>
      </c>
      <c r="J143" s="216"/>
      <c r="L143" s="0"/>
      <c r="M143" s="0"/>
      <c r="P143" s="0"/>
      <c r="S143" s="0"/>
      <c r="V143" s="0"/>
    </row>
    <row r="144" customFormat="false" ht="19.85" hidden="false" customHeight="true" outlineLevel="0" collapsed="false">
      <c r="A144" s="1" t="n">
        <v>31</v>
      </c>
      <c r="B144" s="31" t="n">
        <v>41334</v>
      </c>
      <c r="C144" s="1" t="n">
        <v>370240</v>
      </c>
      <c r="D144" s="9" t="s">
        <v>41</v>
      </c>
      <c r="E144" s="33" t="n">
        <f aca="false">IF(D144="totale",(C144/(A144*24))/F144,IF(D144="marché libre",(C144/(A144*24))/G144,"spécifier histo"))</f>
        <v>0.497634408602151</v>
      </c>
      <c r="F144" s="56" t="n">
        <v>1000</v>
      </c>
      <c r="G144" s="56" t="n">
        <f aca="false">F144-H144</f>
        <v>1000</v>
      </c>
      <c r="H144" s="9" t="n">
        <v>0</v>
      </c>
      <c r="I144" s="9" t="str">
        <f aca="false">IF(C144=0,"arrêt administratif","")</f>
        <v/>
      </c>
      <c r="J144" s="216"/>
      <c r="L144" s="0"/>
      <c r="M144" s="0"/>
      <c r="P144" s="0"/>
      <c r="S144" s="0"/>
      <c r="V144" s="0"/>
    </row>
    <row r="145" customFormat="false" ht="19.85" hidden="false" customHeight="true" outlineLevel="0" collapsed="false">
      <c r="A145" s="1" t="n">
        <v>30</v>
      </c>
      <c r="B145" s="34" t="n">
        <v>41365</v>
      </c>
      <c r="C145" s="1" t="n">
        <v>494180</v>
      </c>
      <c r="D145" s="9" t="s">
        <v>41</v>
      </c>
      <c r="E145" s="33" t="n">
        <f aca="false">IF(D145="totale",(C145/(A145*24))/F145,IF(D145="marché libre",(C145/(A145*24))/G145,"spécifier histo"))</f>
        <v>0.686361111111111</v>
      </c>
      <c r="F145" s="56" t="n">
        <v>1000</v>
      </c>
      <c r="G145" s="56" t="n">
        <f aca="false">F145-H145</f>
        <v>1000</v>
      </c>
      <c r="H145" s="9" t="n">
        <v>0</v>
      </c>
      <c r="I145" s="9" t="str">
        <f aca="false">IF(C145=0,"arrêt administratif","")</f>
        <v/>
      </c>
      <c r="J145" s="216"/>
      <c r="L145" s="0"/>
      <c r="M145" s="0"/>
      <c r="P145" s="0"/>
      <c r="S145" s="0"/>
      <c r="V145" s="0"/>
    </row>
    <row r="146" customFormat="false" ht="19.85" hidden="false" customHeight="true" outlineLevel="0" collapsed="false">
      <c r="A146" s="1" t="n">
        <v>31</v>
      </c>
      <c r="B146" s="31" t="n">
        <v>41395</v>
      </c>
      <c r="C146" s="1" t="n">
        <v>521150</v>
      </c>
      <c r="D146" s="9" t="s">
        <v>41</v>
      </c>
      <c r="E146" s="33" t="n">
        <f aca="false">IF(D146="totale",(C146/(A146*24))/F146,IF(D146="marché libre",(C146/(A146*24))/G146,"spécifier histo"))</f>
        <v>0.700470430107527</v>
      </c>
      <c r="F146" s="56" t="n">
        <v>1000</v>
      </c>
      <c r="G146" s="56" t="n">
        <f aca="false">F146-H146</f>
        <v>1000</v>
      </c>
      <c r="H146" s="9" t="n">
        <v>0</v>
      </c>
      <c r="I146" s="9" t="str">
        <f aca="false">IF(C146=0,"arrêt administratif","")</f>
        <v/>
      </c>
      <c r="J146" s="216"/>
      <c r="L146" s="0"/>
      <c r="M146" s="0"/>
      <c r="P146" s="0"/>
      <c r="S146" s="0"/>
      <c r="V146" s="0"/>
    </row>
    <row r="147" customFormat="false" ht="19.85" hidden="false" customHeight="true" outlineLevel="0" collapsed="false">
      <c r="A147" s="1" t="n">
        <v>30</v>
      </c>
      <c r="B147" s="34" t="n">
        <v>41426</v>
      </c>
      <c r="C147" s="1" t="n">
        <v>334750</v>
      </c>
      <c r="D147" s="9" t="s">
        <v>41</v>
      </c>
      <c r="E147" s="33" t="n">
        <f aca="false">IF(D147="totale",(C147/(A147*24))/F147,IF(D147="marché libre",(C147/(A147*24))/G147,"spécifier histo"))</f>
        <v>0.464930555555556</v>
      </c>
      <c r="F147" s="56" t="n">
        <v>1000</v>
      </c>
      <c r="G147" s="56" t="n">
        <f aca="false">F147-H147</f>
        <v>1000</v>
      </c>
      <c r="H147" s="9" t="n">
        <v>0</v>
      </c>
      <c r="I147" s="9" t="str">
        <f aca="false">IF(C147=0,"arrêt administratif","")</f>
        <v/>
      </c>
      <c r="J147" s="216"/>
      <c r="L147" s="0"/>
      <c r="M147" s="0"/>
      <c r="P147" s="0"/>
      <c r="S147" s="0"/>
      <c r="V147" s="0"/>
    </row>
    <row r="148" customFormat="false" ht="19.85" hidden="false" customHeight="true" outlineLevel="0" collapsed="false">
      <c r="A148" s="1" t="n">
        <v>31</v>
      </c>
      <c r="B148" s="31" t="n">
        <v>41456</v>
      </c>
      <c r="C148" s="1" t="n">
        <v>0</v>
      </c>
      <c r="D148" s="9" t="s">
        <v>41</v>
      </c>
      <c r="E148" s="33" t="e">
        <f aca="false">IF(D148="totale",(C148/(A148*24))/F148,IF(D148="marché libre",(C148/(A148*24))/G148,"spécifier histo"))</f>
        <v>#DIV/0!</v>
      </c>
      <c r="F148" s="9" t="n">
        <v>0</v>
      </c>
      <c r="G148" s="56" t="n">
        <f aca="false">F148-H148</f>
        <v>0</v>
      </c>
      <c r="H148" s="9" t="n">
        <v>0</v>
      </c>
      <c r="I148" s="9" t="str">
        <f aca="false">IF(C148=0,"arrêt administratif","")</f>
        <v>arrêt administratif</v>
      </c>
      <c r="J148" s="216"/>
      <c r="L148" s="0"/>
      <c r="M148" s="0"/>
      <c r="P148" s="0"/>
      <c r="S148" s="0"/>
      <c r="V148" s="0"/>
    </row>
    <row r="149" customFormat="false" ht="19.85" hidden="false" customHeight="true" outlineLevel="0" collapsed="false">
      <c r="A149" s="1" t="n">
        <v>31</v>
      </c>
      <c r="B149" s="34" t="n">
        <v>41487</v>
      </c>
      <c r="C149" s="1" t="n">
        <v>0</v>
      </c>
      <c r="D149" s="9" t="s">
        <v>41</v>
      </c>
      <c r="E149" s="33" t="e">
        <f aca="false">IF(D149="totale",(C149/(A149*24))/F149,IF(D149="marché libre",(C149/(A149*24))/G149,"spécifier histo"))</f>
        <v>#DIV/0!</v>
      </c>
      <c r="F149" s="9" t="n">
        <v>0</v>
      </c>
      <c r="G149" s="56" t="n">
        <f aca="false">F149-H149</f>
        <v>0</v>
      </c>
      <c r="H149" s="9" t="n">
        <v>0</v>
      </c>
      <c r="I149" s="9" t="str">
        <f aca="false">IF(C149=0,"arrêt administratif","")</f>
        <v>arrêt administratif</v>
      </c>
      <c r="J149" s="216"/>
      <c r="L149" s="0"/>
      <c r="M149" s="0"/>
      <c r="P149" s="0"/>
      <c r="S149" s="0"/>
      <c r="V149" s="0"/>
    </row>
    <row r="150" customFormat="false" ht="19.85" hidden="false" customHeight="true" outlineLevel="0" collapsed="false">
      <c r="A150" s="1" t="n">
        <v>30</v>
      </c>
      <c r="B150" s="31" t="n">
        <v>41518</v>
      </c>
      <c r="C150" s="1" t="n">
        <v>0</v>
      </c>
      <c r="D150" s="9" t="s">
        <v>41</v>
      </c>
      <c r="E150" s="33" t="n">
        <f aca="false">IF(D150="totale",(C150/(A150*24))/F150,IF(D150="marché libre",(C150/(A150*24))/G150,"spécifier histo"))</f>
        <v>0</v>
      </c>
      <c r="F150" s="56" t="n">
        <v>1000</v>
      </c>
      <c r="G150" s="56" t="n">
        <f aca="false">F150-H150</f>
        <v>1000</v>
      </c>
      <c r="H150" s="9" t="n">
        <v>0</v>
      </c>
      <c r="I150" s="9"/>
      <c r="J150" s="216"/>
      <c r="L150" s="0"/>
      <c r="M150" s="0"/>
      <c r="P150" s="0"/>
      <c r="S150" s="0"/>
      <c r="V150" s="0"/>
    </row>
    <row r="151" customFormat="false" ht="19.85" hidden="false" customHeight="true" outlineLevel="0" collapsed="false">
      <c r="A151" s="1" t="n">
        <v>31</v>
      </c>
      <c r="B151" s="34" t="n">
        <v>41548</v>
      </c>
      <c r="C151" s="1" t="n">
        <v>292920</v>
      </c>
      <c r="D151" s="9" t="s">
        <v>41</v>
      </c>
      <c r="E151" s="33" t="n">
        <f aca="false">IF(D151="totale",(C151/(A151*24))/F151,IF(D151="marché libre",(C151/(A151*24))/G151,"spécifier histo"))</f>
        <v>0.393709677419355</v>
      </c>
      <c r="F151" s="56" t="n">
        <v>1000</v>
      </c>
      <c r="G151" s="56" t="n">
        <f aca="false">F151-H151</f>
        <v>1000</v>
      </c>
      <c r="H151" s="9" t="n">
        <v>0</v>
      </c>
      <c r="I151" s="9" t="str">
        <f aca="false">IF(C151=0,"arrêt administratif","")</f>
        <v/>
      </c>
      <c r="J151" s="216"/>
      <c r="L151" s="0"/>
      <c r="M151" s="0"/>
      <c r="P151" s="0"/>
      <c r="S151" s="0"/>
      <c r="V151" s="0"/>
    </row>
    <row r="152" customFormat="false" ht="19.85" hidden="false" customHeight="true" outlineLevel="0" collapsed="false">
      <c r="A152" s="1" t="n">
        <v>30</v>
      </c>
      <c r="B152" s="31" t="n">
        <v>41579</v>
      </c>
      <c r="C152" s="1" t="n">
        <v>238500</v>
      </c>
      <c r="D152" s="9" t="s">
        <v>41</v>
      </c>
      <c r="E152" s="33" t="n">
        <f aca="false">IF(D152="totale",(C152/(A152*24))/F152,IF(D152="marché libre",(C152/(A152*24))/G152,"spécifier histo"))</f>
        <v>0.33125</v>
      </c>
      <c r="F152" s="56" t="n">
        <v>1000</v>
      </c>
      <c r="G152" s="56" t="n">
        <f aca="false">F152-H152</f>
        <v>1000</v>
      </c>
      <c r="H152" s="9" t="n">
        <v>0</v>
      </c>
      <c r="I152" s="9" t="str">
        <f aca="false">IF(C152=0,"arrêt administratif","")</f>
        <v/>
      </c>
      <c r="J152" s="216"/>
      <c r="L152" s="0"/>
      <c r="M152" s="0"/>
      <c r="P152" s="0"/>
      <c r="S152" s="0"/>
      <c r="V152" s="0"/>
    </row>
    <row r="153" customFormat="false" ht="19.85" hidden="false" customHeight="true" outlineLevel="0" collapsed="false">
      <c r="A153" s="1" t="n">
        <v>31</v>
      </c>
      <c r="B153" s="34" t="n">
        <v>41609</v>
      </c>
      <c r="C153" s="1" t="n">
        <v>187540</v>
      </c>
      <c r="D153" s="9" t="s">
        <v>41</v>
      </c>
      <c r="E153" s="33" t="n">
        <f aca="false">IF(D153="totale",(C153/(A153*24))/F153,IF(D153="marché libre",(C153/(A153*24))/G153,"spécifier histo"))</f>
        <v>0.252069892473118</v>
      </c>
      <c r="F153" s="56" t="n">
        <v>1000</v>
      </c>
      <c r="G153" s="56" t="n">
        <f aca="false">F153-H153</f>
        <v>1000</v>
      </c>
      <c r="H153" s="9" t="n">
        <v>0</v>
      </c>
      <c r="I153" s="9" t="str">
        <f aca="false">IF(C153=0,"arrêt administratif","")</f>
        <v/>
      </c>
      <c r="J153" s="216"/>
      <c r="L153" s="0"/>
      <c r="M153" s="0"/>
      <c r="P153" s="0"/>
      <c r="S153" s="0"/>
      <c r="V153" s="0"/>
    </row>
    <row r="154" customFormat="false" ht="19.85" hidden="false" customHeight="true" outlineLevel="0" collapsed="false">
      <c r="A154" s="1" t="n">
        <v>31</v>
      </c>
      <c r="B154" s="31" t="n">
        <v>41640</v>
      </c>
      <c r="C154" s="1" t="n">
        <v>464250</v>
      </c>
      <c r="D154" s="9" t="s">
        <v>41</v>
      </c>
      <c r="E154" s="33" t="n">
        <f aca="false">IF(D154="totale",(C154/(A154*24))/F154,IF(D154="marché libre",(C154/(A154*24))/G154,"spécifier histo"))</f>
        <v>0.623991935483871</v>
      </c>
      <c r="F154" s="56" t="n">
        <v>1000</v>
      </c>
      <c r="G154" s="56" t="n">
        <f aca="false">F154-H154</f>
        <v>1000</v>
      </c>
      <c r="H154" s="9" t="n">
        <v>0</v>
      </c>
      <c r="I154" s="9" t="str">
        <f aca="false">IF(C154=0,"arrêt administratif","")</f>
        <v/>
      </c>
      <c r="J154" s="216"/>
      <c r="L154" s="0"/>
      <c r="M154" s="0"/>
      <c r="P154" s="0"/>
      <c r="S154" s="0"/>
      <c r="V154" s="0"/>
    </row>
    <row r="155" customFormat="false" ht="19.85" hidden="false" customHeight="true" outlineLevel="0" collapsed="false">
      <c r="A155" s="1" t="n">
        <v>28</v>
      </c>
      <c r="B155" s="34" t="n">
        <v>41671</v>
      </c>
      <c r="C155" s="1" t="n">
        <v>462510</v>
      </c>
      <c r="D155" s="9" t="s">
        <v>41</v>
      </c>
      <c r="E155" s="33" t="n">
        <f aca="false">IF(D155="totale",(C155/(A155*24))/F155,IF(D155="marché libre",(C155/(A155*24))/G155,"spécifier histo"))</f>
        <v>0.688258928571429</v>
      </c>
      <c r="F155" s="56" t="n">
        <v>1000</v>
      </c>
      <c r="G155" s="56" t="n">
        <f aca="false">F155-H155</f>
        <v>1000</v>
      </c>
      <c r="H155" s="9" t="n">
        <v>0</v>
      </c>
      <c r="I155" s="9" t="str">
        <f aca="false">IF(C155=0,"arrêt administratif","")</f>
        <v/>
      </c>
      <c r="J155" s="216"/>
      <c r="L155" s="0"/>
      <c r="M155" s="0"/>
      <c r="P155" s="0"/>
      <c r="S155" s="0"/>
      <c r="V155" s="0"/>
    </row>
    <row r="156" customFormat="false" ht="19.85" hidden="false" customHeight="true" outlineLevel="0" collapsed="false">
      <c r="A156" s="1" t="n">
        <v>31</v>
      </c>
      <c r="B156" s="31" t="n">
        <v>41699</v>
      </c>
      <c r="C156" s="1" t="n">
        <v>332940</v>
      </c>
      <c r="D156" s="9" t="s">
        <v>41</v>
      </c>
      <c r="E156" s="33" t="n">
        <f aca="false">IF(D156="totale",(C156/(A156*24))/F156,IF(D156="marché libre",(C156/(A156*24))/G156,"spécifier histo"))</f>
        <v>0.4475</v>
      </c>
      <c r="F156" s="56" t="n">
        <v>1000</v>
      </c>
      <c r="G156" s="56" t="n">
        <f aca="false">F156-H156</f>
        <v>1000</v>
      </c>
      <c r="H156" s="9" t="n">
        <v>0</v>
      </c>
      <c r="I156" s="9" t="str">
        <f aca="false">IF(C156=0,"arrêt administratif","")</f>
        <v/>
      </c>
      <c r="J156" s="216"/>
      <c r="L156" s="0"/>
      <c r="M156" s="0"/>
      <c r="P156" s="0"/>
      <c r="S156" s="0"/>
      <c r="V156" s="0"/>
    </row>
    <row r="157" customFormat="false" ht="19.85" hidden="false" customHeight="true" outlineLevel="0" collapsed="false">
      <c r="A157" s="1" t="n">
        <v>30</v>
      </c>
      <c r="B157" s="34" t="n">
        <v>41730</v>
      </c>
      <c r="C157" s="1" t="n">
        <v>153510</v>
      </c>
      <c r="D157" s="9" t="s">
        <v>41</v>
      </c>
      <c r="E157" s="33" t="n">
        <f aca="false">IF(D157="totale",(C157/(A157*24))/F157,IF(D157="marché libre",(C157/(A157*24))/G157,"spécifier histo"))</f>
        <v>0.213208333333333</v>
      </c>
      <c r="F157" s="56" t="n">
        <v>1000</v>
      </c>
      <c r="G157" s="56" t="n">
        <f aca="false">F157-H157</f>
        <v>1000</v>
      </c>
      <c r="H157" s="9" t="n">
        <v>0</v>
      </c>
      <c r="I157" s="9" t="str">
        <f aca="false">IF(C157=0,"arrêt administratif","")</f>
        <v/>
      </c>
      <c r="J157" s="216"/>
      <c r="L157" s="0"/>
      <c r="M157" s="0"/>
      <c r="P157" s="0"/>
      <c r="S157" s="0"/>
      <c r="V157" s="0"/>
    </row>
    <row r="158" customFormat="false" ht="19.85" hidden="false" customHeight="true" outlineLevel="0" collapsed="false">
      <c r="A158" s="1" t="n">
        <v>31</v>
      </c>
      <c r="B158" s="31" t="n">
        <v>41760</v>
      </c>
      <c r="C158" s="1" t="n">
        <v>100303</v>
      </c>
      <c r="D158" s="9" t="s">
        <v>41</v>
      </c>
      <c r="E158" s="33" t="n">
        <f aca="false">IF(D158="totale",(C158/(A158*24))/F158,IF(D158="marché libre",(C158/(A158*24))/G158,"spécifier histo"))</f>
        <v>0.134815860215054</v>
      </c>
      <c r="F158" s="56" t="n">
        <v>1000</v>
      </c>
      <c r="G158" s="56" t="n">
        <f aca="false">F158-H158</f>
        <v>1000</v>
      </c>
      <c r="H158" s="9" t="n">
        <v>0</v>
      </c>
      <c r="I158" s="9" t="str">
        <f aca="false">IF(C158=0,"arrêt administratif","")</f>
        <v/>
      </c>
      <c r="J158" s="216"/>
      <c r="L158" s="0"/>
      <c r="P158" s="0"/>
      <c r="S158" s="0"/>
      <c r="V158" s="0"/>
    </row>
    <row r="159" customFormat="false" ht="19.85" hidden="false" customHeight="true" outlineLevel="0" collapsed="false">
      <c r="A159" s="1" t="n">
        <v>30</v>
      </c>
      <c r="B159" s="34" t="n">
        <v>41791</v>
      </c>
      <c r="C159" s="1" t="n">
        <v>553</v>
      </c>
      <c r="D159" s="9" t="s">
        <v>41</v>
      </c>
      <c r="E159" s="33" t="n">
        <f aca="false">IF(D159="totale",(C159/(A159*24))/F159,IF(D159="marché libre",(C159/(A159*24))/G159,"spécifier histo"))</f>
        <v>0.000768055555555556</v>
      </c>
      <c r="F159" s="56" t="n">
        <v>1000</v>
      </c>
      <c r="G159" s="56" t="n">
        <f aca="false">F159-H159</f>
        <v>1000</v>
      </c>
      <c r="H159" s="9" t="n">
        <v>0</v>
      </c>
      <c r="I159" s="9" t="str">
        <f aca="false">IF(C159=0,"arrêt administratif","")</f>
        <v/>
      </c>
      <c r="J159" s="216"/>
      <c r="L159" s="0"/>
      <c r="P159" s="0"/>
      <c r="S159" s="0"/>
      <c r="V159" s="0"/>
    </row>
    <row r="160" s="1" customFormat="true" ht="19.85" hidden="false" customHeight="true" outlineLevel="0" collapsed="false">
      <c r="A160" s="1" t="n">
        <v>31</v>
      </c>
      <c r="B160" s="31" t="n">
        <v>41821</v>
      </c>
      <c r="C160" s="1" t="n">
        <v>0</v>
      </c>
      <c r="D160" s="9" t="s">
        <v>41</v>
      </c>
      <c r="E160" s="33" t="e">
        <f aca="false">IF(D160="totale",(C160/(A160*24))/F160,IF(D160="marché libre",(C160/(A160*24))/G160,"spécifier histo"))</f>
        <v>#DIV/0!</v>
      </c>
      <c r="F160" s="56" t="n">
        <v>0</v>
      </c>
      <c r="G160" s="56" t="n">
        <f aca="false">F160-H160</f>
        <v>0</v>
      </c>
      <c r="H160" s="9" t="n">
        <v>0</v>
      </c>
      <c r="I160" s="1" t="s">
        <v>492</v>
      </c>
      <c r="K160" s="0"/>
      <c r="L160" s="29" t="s">
        <v>485</v>
      </c>
      <c r="S160" s="0"/>
      <c r="V160" s="0"/>
    </row>
    <row r="161" customFormat="false" ht="19.85" hidden="false" customHeight="true" outlineLevel="0" collapsed="false">
      <c r="A161" s="1" t="n">
        <v>31</v>
      </c>
      <c r="B161" s="34" t="n">
        <v>41852</v>
      </c>
      <c r="C161" s="1" t="n">
        <v>0</v>
      </c>
      <c r="D161" s="9" t="s">
        <v>41</v>
      </c>
      <c r="E161" s="33" t="e">
        <f aca="false">IF(D161="totale",(C161/(A161*24))/F161,IF(D161="marché libre",(C161/(A161*24))/G161,"spécifier histo"))</f>
        <v>#DIV/0!</v>
      </c>
      <c r="F161" s="56" t="n">
        <v>0</v>
      </c>
      <c r="G161" s="56" t="n">
        <f aca="false">F161-H161</f>
        <v>0</v>
      </c>
      <c r="H161" s="9" t="n">
        <v>0</v>
      </c>
      <c r="I161" s="1" t="s">
        <v>492</v>
      </c>
      <c r="J161" s="216"/>
      <c r="L161" s="0"/>
      <c r="P161" s="0"/>
      <c r="S161" s="0"/>
      <c r="V161" s="0"/>
    </row>
    <row r="162" customFormat="false" ht="19.85" hidden="false" customHeight="true" outlineLevel="0" collapsed="false">
      <c r="A162" s="1" t="n">
        <v>30</v>
      </c>
      <c r="B162" s="31" t="n">
        <v>41883</v>
      </c>
      <c r="C162" s="1" t="n">
        <v>0</v>
      </c>
      <c r="D162" s="9" t="s">
        <v>41</v>
      </c>
      <c r="E162" s="33" t="e">
        <f aca="false">IF(D162="totale",(C162/(A162*24))/F162,IF(D162="marché libre",(C162/(A162*24))/G162,"spécifier histo"))</f>
        <v>#DIV/0!</v>
      </c>
      <c r="F162" s="56" t="n">
        <v>0</v>
      </c>
      <c r="G162" s="56" t="n">
        <f aca="false">F162-H162</f>
        <v>0</v>
      </c>
      <c r="H162" s="9" t="n">
        <v>0</v>
      </c>
      <c r="I162" s="1" t="s">
        <v>492</v>
      </c>
      <c r="J162" s="216"/>
      <c r="L162" s="0"/>
      <c r="P162" s="0"/>
      <c r="S162" s="0"/>
      <c r="V162" s="0"/>
    </row>
    <row r="163" customFormat="false" ht="19.85" hidden="false" customHeight="true" outlineLevel="0" collapsed="false">
      <c r="A163" s="1" t="n">
        <v>31</v>
      </c>
      <c r="B163" s="34" t="n">
        <v>41913</v>
      </c>
      <c r="C163" s="1" t="n">
        <v>0</v>
      </c>
      <c r="D163" s="9" t="s">
        <v>41</v>
      </c>
      <c r="E163" s="33" t="e">
        <f aca="false">IF(D163="totale",(C163/(A163*24))/F163,IF(D163="marché libre",(C163/(A163*24))/G163,"spécifier histo"))</f>
        <v>#DIV/0!</v>
      </c>
      <c r="F163" s="56" t="n">
        <v>0</v>
      </c>
      <c r="G163" s="56" t="n">
        <f aca="false">F163-H163</f>
        <v>0</v>
      </c>
      <c r="H163" s="9" t="n">
        <v>0</v>
      </c>
      <c r="I163" s="1" t="s">
        <v>492</v>
      </c>
      <c r="J163" s="216"/>
      <c r="L163" s="0"/>
      <c r="P163" s="0"/>
      <c r="S163" s="0"/>
      <c r="V163" s="0"/>
    </row>
    <row r="164" s="1" customFormat="true" ht="19.85" hidden="false" customHeight="true" outlineLevel="0" collapsed="false">
      <c r="A164" s="1" t="n">
        <v>30</v>
      </c>
      <c r="B164" s="31" t="n">
        <v>41944</v>
      </c>
      <c r="C164" s="345" t="n">
        <v>0</v>
      </c>
      <c r="D164" s="9" t="s">
        <v>41</v>
      </c>
      <c r="E164" s="33" t="e">
        <f aca="false">IF(D164="totale",(C164/(A164*24))/F164,IF(D164="marché libre",(C164/(A164*24))/G164,"spécifier histo"))</f>
        <v>#DIV/0!</v>
      </c>
      <c r="F164" s="56" t="n">
        <v>0</v>
      </c>
      <c r="G164" s="56" t="n">
        <f aca="false">F164-H164</f>
        <v>0</v>
      </c>
      <c r="H164" s="9" t="n">
        <v>0</v>
      </c>
      <c r="I164" s="1" t="s">
        <v>492</v>
      </c>
      <c r="K164" s="0"/>
      <c r="L164" s="0"/>
      <c r="P164" s="0"/>
      <c r="S164" s="0"/>
      <c r="V164" s="0"/>
    </row>
    <row r="165" s="1" customFormat="true" ht="19.85" hidden="false" customHeight="true" outlineLevel="0" collapsed="false">
      <c r="A165" s="1" t="n">
        <v>31</v>
      </c>
      <c r="B165" s="34" t="n">
        <v>41974</v>
      </c>
      <c r="C165" s="345" t="n">
        <v>0</v>
      </c>
      <c r="D165" s="9" t="s">
        <v>41</v>
      </c>
      <c r="E165" s="33" t="e">
        <f aca="false">IF(D165="totale",(C165/(A165*24))/F165,IF(D165="marché libre",(C165/(A165*24))/G165,"spécifier histo"))</f>
        <v>#DIV/0!</v>
      </c>
      <c r="F165" s="56" t="n">
        <v>0</v>
      </c>
      <c r="G165" s="56" t="n">
        <f aca="false">F165-H165</f>
        <v>0</v>
      </c>
      <c r="H165" s="9" t="n">
        <v>0</v>
      </c>
      <c r="I165" s="1" t="s">
        <v>492</v>
      </c>
      <c r="K165" s="0"/>
      <c r="L165" s="0"/>
      <c r="P165" s="0"/>
      <c r="S165" s="0"/>
      <c r="V165" s="0"/>
    </row>
    <row r="166" customFormat="false" ht="19.85" hidden="false" customHeight="true" outlineLevel="0" collapsed="false">
      <c r="A166" s="1" t="n">
        <v>31</v>
      </c>
      <c r="B166" s="229" t="n">
        <v>42005</v>
      </c>
      <c r="C166" s="339" t="n">
        <v>0</v>
      </c>
      <c r="D166" s="339" t="s">
        <v>42</v>
      </c>
      <c r="E166" s="118" t="e">
        <f aca="false">IF(D166="totale",(C166/(A166*24))/F166,IF(D166="marché libre",(C166/(A166*24))/G166,"spécifier histo"))</f>
        <v>#DIV/0!</v>
      </c>
      <c r="F166" s="309" t="n">
        <v>0</v>
      </c>
      <c r="G166" s="309" t="n">
        <f aca="false">F166-H166</f>
        <v>0</v>
      </c>
      <c r="H166" s="9" t="n">
        <v>0</v>
      </c>
      <c r="I166" s="230" t="s">
        <v>492</v>
      </c>
      <c r="J166" s="216"/>
      <c r="P166" s="0"/>
      <c r="S166" s="0"/>
      <c r="V166" s="0"/>
    </row>
    <row r="167" customFormat="false" ht="19.85" hidden="false" customHeight="true" outlineLevel="0" collapsed="false">
      <c r="A167" s="1" t="n">
        <v>28</v>
      </c>
      <c r="B167" s="34" t="n">
        <v>42036</v>
      </c>
      <c r="C167" s="9" t="n">
        <v>0</v>
      </c>
      <c r="D167" s="95" t="s">
        <v>42</v>
      </c>
      <c r="E167" s="33" t="e">
        <f aca="false">IF(D167="totale",(C167/(A167*24))/F167,IF(D167="marché libre",(C167/(A167*24))/G167,"spécifier histo"))</f>
        <v>#DIV/0!</v>
      </c>
      <c r="F167" s="56" t="n">
        <v>0</v>
      </c>
      <c r="G167" s="56" t="n">
        <f aca="false">F167-H167</f>
        <v>0</v>
      </c>
      <c r="H167" s="9" t="n">
        <v>0</v>
      </c>
      <c r="I167" s="1" t="s">
        <v>492</v>
      </c>
      <c r="J167" s="216"/>
      <c r="P167" s="0"/>
      <c r="S167" s="0"/>
      <c r="V167" s="0"/>
    </row>
    <row r="168" customFormat="false" ht="19.85" hidden="false" customHeight="true" outlineLevel="0" collapsed="false">
      <c r="A168" s="1" t="n">
        <v>31</v>
      </c>
      <c r="B168" s="31" t="n">
        <v>42064</v>
      </c>
      <c r="C168" s="9" t="n">
        <v>0</v>
      </c>
      <c r="D168" s="95" t="s">
        <v>42</v>
      </c>
      <c r="E168" s="33" t="e">
        <f aca="false">IF(D168="totale",(C168/(A168*24))/F168,IF(D168="marché libre",(C168/(A168*24))/G168,"spécifier histo"))</f>
        <v>#DIV/0!</v>
      </c>
      <c r="F168" s="56" t="n">
        <v>0</v>
      </c>
      <c r="G168" s="56" t="n">
        <f aca="false">F168-H168</f>
        <v>0</v>
      </c>
      <c r="H168" s="9" t="n">
        <v>0</v>
      </c>
      <c r="I168" s="1" t="s">
        <v>492</v>
      </c>
      <c r="J168" s="216"/>
      <c r="P168" s="0"/>
      <c r="S168" s="0"/>
      <c r="V168" s="0"/>
    </row>
    <row r="169" customFormat="false" ht="19.85" hidden="false" customHeight="true" outlineLevel="0" collapsed="false">
      <c r="A169" s="1" t="n">
        <v>30</v>
      </c>
      <c r="B169" s="34" t="n">
        <v>42095</v>
      </c>
      <c r="C169" s="9" t="n">
        <v>0</v>
      </c>
      <c r="D169" s="95" t="s">
        <v>42</v>
      </c>
      <c r="E169" s="33" t="e">
        <f aca="false">IF(D169="totale",(C169/(A169*24))/F169,IF(D169="marché libre",(C169/(A169*24))/G169,"spécifier histo"))</f>
        <v>#DIV/0!</v>
      </c>
      <c r="F169" s="56" t="n">
        <v>0</v>
      </c>
      <c r="G169" s="56" t="n">
        <f aca="false">F169-H169</f>
        <v>0</v>
      </c>
      <c r="H169" s="9" t="n">
        <v>0</v>
      </c>
      <c r="I169" s="1" t="s">
        <v>492</v>
      </c>
      <c r="J169" s="216"/>
      <c r="P169" s="0"/>
      <c r="S169" s="0"/>
      <c r="V169" s="0"/>
    </row>
    <row r="170" customFormat="false" ht="19.85" hidden="false" customHeight="true" outlineLevel="0" collapsed="false">
      <c r="A170" s="1" t="n">
        <v>31</v>
      </c>
      <c r="B170" s="31" t="n">
        <v>42125</v>
      </c>
      <c r="C170" s="9" t="n">
        <v>0</v>
      </c>
      <c r="D170" s="95" t="s">
        <v>42</v>
      </c>
      <c r="E170" s="33" t="e">
        <f aca="false">IF(D170="totale",(C170/(A170*24))/F170,IF(D170="marché libre",(C170/(A170*24))/G170,"spécifier histo"))</f>
        <v>#DIV/0!</v>
      </c>
      <c r="F170" s="56" t="n">
        <v>0</v>
      </c>
      <c r="G170" s="56" t="n">
        <f aca="false">F170-H170</f>
        <v>0</v>
      </c>
      <c r="H170" s="9" t="n">
        <v>0</v>
      </c>
      <c r="I170" s="1" t="s">
        <v>492</v>
      </c>
      <c r="J170" s="216"/>
      <c r="P170" s="0"/>
      <c r="V170" s="0"/>
    </row>
    <row r="171" customFormat="false" ht="19.85" hidden="false" customHeight="true" outlineLevel="0" collapsed="false">
      <c r="A171" s="1" t="n">
        <v>30</v>
      </c>
      <c r="B171" s="34" t="n">
        <v>42156</v>
      </c>
      <c r="C171" s="9" t="n">
        <v>0</v>
      </c>
      <c r="D171" s="95" t="s">
        <v>42</v>
      </c>
      <c r="E171" s="33" t="e">
        <f aca="false">IF(D171="totale",(C171/(A171*24))/F171,IF(D171="marché libre",(C171/(A171*24))/G171,"spécifier histo"))</f>
        <v>#DIV/0!</v>
      </c>
      <c r="F171" s="56" t="n">
        <v>0</v>
      </c>
      <c r="G171" s="56" t="n">
        <f aca="false">F171-H171</f>
        <v>0</v>
      </c>
      <c r="H171" s="9" t="n">
        <v>0</v>
      </c>
      <c r="I171" s="1" t="s">
        <v>492</v>
      </c>
      <c r="J171" s="216"/>
      <c r="P171" s="0"/>
      <c r="V171" s="0"/>
    </row>
    <row r="172" customFormat="false" ht="19.85" hidden="false" customHeight="true" outlineLevel="0" collapsed="false">
      <c r="A172" s="1" t="n">
        <v>31</v>
      </c>
      <c r="B172" s="31" t="n">
        <v>42186</v>
      </c>
      <c r="C172" s="9" t="n">
        <v>0</v>
      </c>
      <c r="D172" s="95" t="s">
        <v>42</v>
      </c>
      <c r="E172" s="33" t="e">
        <f aca="false">IF(D172="totale",(C172/(A172*24))/F172,IF(D172="marché libre",(C172/(A172*24))/G172,"spécifier histo"))</f>
        <v>#DIV/0!</v>
      </c>
      <c r="F172" s="56" t="n">
        <v>0</v>
      </c>
      <c r="G172" s="56" t="n">
        <f aca="false">F172-H172</f>
        <v>0</v>
      </c>
      <c r="H172" s="9" t="n">
        <v>0</v>
      </c>
      <c r="I172" s="1" t="s">
        <v>434</v>
      </c>
      <c r="J172" s="216"/>
      <c r="P172" s="0"/>
      <c r="V172" s="0"/>
    </row>
    <row r="173" customFormat="false" ht="19.85" hidden="false" customHeight="true" outlineLevel="0" collapsed="false">
      <c r="A173" s="1" t="n">
        <v>31</v>
      </c>
      <c r="B173" s="34" t="n">
        <v>42217</v>
      </c>
      <c r="C173" s="9" t="n">
        <v>0</v>
      </c>
      <c r="D173" s="95" t="s">
        <v>42</v>
      </c>
      <c r="E173" s="33" t="e">
        <f aca="false">IF(D173="totale",(C173/(A173*24))/F173,IF(D173="marché libre",(C173/(A173*24))/G173,"spécifier histo"))</f>
        <v>#DIV/0!</v>
      </c>
      <c r="F173" s="56" t="n">
        <v>0</v>
      </c>
      <c r="G173" s="56" t="n">
        <f aca="false">F173-H173</f>
        <v>0</v>
      </c>
      <c r="H173" s="9" t="n">
        <v>0</v>
      </c>
      <c r="I173" s="346" t="s">
        <v>434</v>
      </c>
      <c r="J173" s="0"/>
      <c r="P173" s="0"/>
      <c r="V173" s="0"/>
    </row>
    <row r="174" customFormat="false" ht="19.85" hidden="false" customHeight="true" outlineLevel="0" collapsed="false">
      <c r="A174" s="1" t="n">
        <v>30</v>
      </c>
      <c r="B174" s="31" t="n">
        <v>42248</v>
      </c>
      <c r="C174" s="9" t="n">
        <v>205847</v>
      </c>
      <c r="D174" s="95" t="s">
        <v>42</v>
      </c>
      <c r="E174" s="33" t="n">
        <f aca="false">IF(D174="totale",(C174/(A174*24))/F174,IF(D174="marché libre",(C174/(A174*24))/G174,"spécifier histo"))</f>
        <v>0.476497685185185</v>
      </c>
      <c r="F174" s="56" t="n">
        <v>1000</v>
      </c>
      <c r="G174" s="56" t="n">
        <f aca="false">F174-H174</f>
        <v>600</v>
      </c>
      <c r="H174" s="9" t="n">
        <v>400</v>
      </c>
      <c r="I174" s="346" t="str">
        <f aca="false">IF(C174=0,"arrêt administratif","")</f>
        <v/>
      </c>
      <c r="J174" s="347" t="s">
        <v>493</v>
      </c>
      <c r="K174" s="0"/>
      <c r="L174" s="0"/>
      <c r="M174" s="0"/>
      <c r="N174" s="0"/>
      <c r="O174" s="0"/>
      <c r="P174" s="0"/>
      <c r="Q174" s="0"/>
      <c r="R174" s="0"/>
      <c r="V174" s="0"/>
    </row>
    <row r="175" customFormat="false" ht="19.85" hidden="false" customHeight="true" outlineLevel="0" collapsed="false">
      <c r="A175" s="1" t="n">
        <v>31</v>
      </c>
      <c r="B175" s="34" t="n">
        <v>42278</v>
      </c>
      <c r="C175" s="9" t="n">
        <v>217313</v>
      </c>
      <c r="D175" s="95" t="s">
        <v>42</v>
      </c>
      <c r="E175" s="33" t="n">
        <f aca="false">IF(D175="totale",(C175/(A175*24))/F175,IF(D175="marché libre",(C175/(A175*24))/G175,"spécifier histo"))</f>
        <v>0.486812275985663</v>
      </c>
      <c r="F175" s="56" t="n">
        <v>1000</v>
      </c>
      <c r="G175" s="56" t="n">
        <f aca="false">F175-H175</f>
        <v>600</v>
      </c>
      <c r="H175" s="9" t="n">
        <v>400</v>
      </c>
      <c r="I175" s="346" t="str">
        <f aca="false">IF(C175=0,"arrêt administratif","")</f>
        <v/>
      </c>
      <c r="J175" s="0"/>
      <c r="K175" s="216" t="s">
        <v>494</v>
      </c>
      <c r="Q175" s="0"/>
      <c r="V175" s="0"/>
    </row>
    <row r="176" customFormat="false" ht="19.85" hidden="false" customHeight="true" outlineLevel="0" collapsed="false">
      <c r="A176" s="1" t="n">
        <v>30</v>
      </c>
      <c r="B176" s="31" t="n">
        <v>42309</v>
      </c>
      <c r="C176" s="9" t="n">
        <v>336002</v>
      </c>
      <c r="D176" s="95" t="s">
        <v>42</v>
      </c>
      <c r="E176" s="33" t="n">
        <f aca="false">IF(D176="totale",(C176/(A176*24))/F176,IF(D176="marché libre",(C176/(A176*24))/G176,"spécifier histo"))</f>
        <v>0.777782407407407</v>
      </c>
      <c r="F176" s="56" t="n">
        <v>1000</v>
      </c>
      <c r="G176" s="56" t="n">
        <f aca="false">F176-H176</f>
        <v>600</v>
      </c>
      <c r="H176" s="9" t="n">
        <v>400</v>
      </c>
      <c r="I176" s="346" t="str">
        <f aca="false">IF(C176=0,"arrêt administratif","")</f>
        <v/>
      </c>
      <c r="J176" s="0"/>
      <c r="K176" s="216" t="s">
        <v>495</v>
      </c>
      <c r="Q176" s="0"/>
      <c r="V176" s="0"/>
    </row>
    <row r="177" customFormat="false" ht="19.85" hidden="false" customHeight="true" outlineLevel="0" collapsed="false">
      <c r="A177" s="1" t="n">
        <v>31</v>
      </c>
      <c r="B177" s="34" t="n">
        <v>42339</v>
      </c>
      <c r="C177" s="9" t="n">
        <v>245646</v>
      </c>
      <c r="D177" s="95" t="s">
        <v>42</v>
      </c>
      <c r="E177" s="33" t="n">
        <f aca="false">IF(D177="totale",(C177/(A177*24))/F177,IF(D177="marché libre",(C177/(A177*24))/G177,"spécifier histo"))</f>
        <v>0.550282258064516</v>
      </c>
      <c r="F177" s="56" t="n">
        <v>1000</v>
      </c>
      <c r="G177" s="56" t="n">
        <f aca="false">F177-H177</f>
        <v>600</v>
      </c>
      <c r="H177" s="9" t="n">
        <v>400</v>
      </c>
      <c r="I177" s="346" t="str">
        <f aca="false">IF(C177=0,"arrêt administratif","")</f>
        <v/>
      </c>
      <c r="J177" s="0"/>
      <c r="K177" s="216" t="s">
        <v>496</v>
      </c>
      <c r="Q177" s="0"/>
      <c r="V177" s="0"/>
    </row>
    <row r="178" customFormat="false" ht="19.85" hidden="false" customHeight="true" outlineLevel="0" collapsed="false">
      <c r="A178" s="1" t="n">
        <v>31</v>
      </c>
      <c r="B178" s="31" t="n">
        <v>42370</v>
      </c>
      <c r="C178" s="9" t="n">
        <v>382113</v>
      </c>
      <c r="D178" s="95" t="s">
        <v>42</v>
      </c>
      <c r="E178" s="33" t="n">
        <f aca="false">IF(D178="totale",(C178/(A178*24))/F178,IF(D178="marché libre",(C178/(A178*24))/G178,"spécifier histo"))</f>
        <v>0.855987903225807</v>
      </c>
      <c r="F178" s="56" t="n">
        <v>1000</v>
      </c>
      <c r="G178" s="56" t="n">
        <f aca="false">F178-H178</f>
        <v>600</v>
      </c>
      <c r="H178" s="9" t="n">
        <v>400</v>
      </c>
      <c r="I178" s="346" t="str">
        <f aca="false">IF(C178=0,"arrêt administratif","")</f>
        <v/>
      </c>
      <c r="J178" s="0"/>
      <c r="K178" s="216" t="s">
        <v>497</v>
      </c>
      <c r="Q178" s="0"/>
      <c r="V178" s="0"/>
    </row>
    <row r="179" customFormat="false" ht="19.85" hidden="false" customHeight="true" outlineLevel="0" collapsed="false">
      <c r="A179" s="1" t="n">
        <v>28</v>
      </c>
      <c r="B179" s="34" t="n">
        <v>42401</v>
      </c>
      <c r="C179" s="9" t="n">
        <v>380900</v>
      </c>
      <c r="D179" s="95" t="s">
        <v>42</v>
      </c>
      <c r="E179" s="33" t="n">
        <f aca="false">IF(D179="totale",(C179/(A179*24))/F179,IF(D179="marché libre",(C179/(A179*24))/G179,"spécifier histo"))</f>
        <v>0.94469246031746</v>
      </c>
      <c r="F179" s="56" t="n">
        <v>1000</v>
      </c>
      <c r="G179" s="56" t="n">
        <f aca="false">F179-H179</f>
        <v>600</v>
      </c>
      <c r="H179" s="9" t="n">
        <v>400</v>
      </c>
      <c r="I179" s="346" t="str">
        <f aca="false">IF(C179=0,"arrêt administratif","")</f>
        <v/>
      </c>
      <c r="J179" s="0"/>
      <c r="K179" s="216"/>
      <c r="Q179" s="0"/>
      <c r="V179" s="0"/>
    </row>
    <row r="180" customFormat="false" ht="19.85" hidden="false" customHeight="true" outlineLevel="0" collapsed="false">
      <c r="A180" s="1" t="n">
        <v>31</v>
      </c>
      <c r="B180" s="31" t="n">
        <v>42430</v>
      </c>
      <c r="C180" s="9" t="n">
        <v>418635</v>
      </c>
      <c r="D180" s="95" t="s">
        <v>42</v>
      </c>
      <c r="E180" s="33" t="n">
        <f aca="false">IF(D180="totale",(C180/(A180*24))/F180,IF(D180="marché libre",(C180/(A180*24))/G180,"spécifier histo"))</f>
        <v>0.937802419354839</v>
      </c>
      <c r="F180" s="56" t="n">
        <v>1000</v>
      </c>
      <c r="G180" s="56" t="n">
        <f aca="false">F180-H180</f>
        <v>600</v>
      </c>
      <c r="H180" s="9" t="n">
        <v>400</v>
      </c>
      <c r="I180" s="346" t="str">
        <f aca="false">IF(C180=0,"arrêt administratif","")</f>
        <v/>
      </c>
      <c r="J180" s="216"/>
      <c r="K180" s="216" t="s">
        <v>498</v>
      </c>
      <c r="Q180" s="0"/>
      <c r="V180" s="0"/>
    </row>
    <row r="181" customFormat="false" ht="19.85" hidden="false" customHeight="true" outlineLevel="0" collapsed="false">
      <c r="A181" s="1" t="n">
        <v>30</v>
      </c>
      <c r="B181" s="34" t="n">
        <v>42461</v>
      </c>
      <c r="C181" s="9" t="n">
        <v>382533</v>
      </c>
      <c r="D181" s="95" t="s">
        <v>42</v>
      </c>
      <c r="E181" s="33" t="n">
        <f aca="false">IF(D181="totale",(C181/(A181*24))/F181,IF(D181="marché libre",(C181/(A181*24))/G181,"spécifier histo"))</f>
        <v>0.885493055555556</v>
      </c>
      <c r="F181" s="56" t="n">
        <v>1000</v>
      </c>
      <c r="G181" s="56" t="n">
        <f aca="false">F181-H181</f>
        <v>600</v>
      </c>
      <c r="H181" s="9" t="n">
        <v>400</v>
      </c>
      <c r="I181" s="346" t="str">
        <f aca="false">IF(C181=0,"arrêt administratif","")</f>
        <v/>
      </c>
      <c r="J181" s="216"/>
      <c r="P181" s="0"/>
      <c r="V181" s="0"/>
    </row>
    <row r="182" customFormat="false" ht="19.85" hidden="false" customHeight="true" outlineLevel="0" collapsed="false">
      <c r="A182" s="1" t="n">
        <v>31</v>
      </c>
      <c r="B182" s="31" t="n">
        <v>42491</v>
      </c>
      <c r="C182" s="9" t="n">
        <v>362873</v>
      </c>
      <c r="D182" s="95" t="s">
        <v>42</v>
      </c>
      <c r="E182" s="33" t="n">
        <f aca="false">IF(D182="totale",(C182/(A182*24))/F182,IF(D182="marché libre",(C182/(A182*24))/G182,"spécifier histo"))</f>
        <v>0.812887544802867</v>
      </c>
      <c r="F182" s="56" t="n">
        <v>1000</v>
      </c>
      <c r="G182" s="56" t="n">
        <f aca="false">F182-H182</f>
        <v>600</v>
      </c>
      <c r="H182" s="9" t="n">
        <v>400</v>
      </c>
      <c r="I182" s="346" t="str">
        <f aca="false">IF(C182=0,"arrêt administratif","")</f>
        <v/>
      </c>
      <c r="J182" s="216"/>
      <c r="P182" s="0"/>
    </row>
    <row r="183" customFormat="false" ht="19.85" hidden="false" customHeight="true" outlineLevel="0" collapsed="false">
      <c r="A183" s="1" t="n">
        <v>30</v>
      </c>
      <c r="B183" s="34" t="n">
        <v>42522</v>
      </c>
      <c r="C183" s="9" t="n">
        <v>227913</v>
      </c>
      <c r="D183" s="95" t="s">
        <v>42</v>
      </c>
      <c r="E183" s="33" t="n">
        <f aca="false">IF(D183="totale",(C183/(A183*24))/F183,IF(D183="marché libre",(C183/(A183*24))/G183,"spécifier histo"))</f>
        <v>0.527576388888889</v>
      </c>
      <c r="F183" s="56" t="n">
        <v>1000</v>
      </c>
      <c r="G183" s="56" t="n">
        <f aca="false">F183-H183</f>
        <v>600</v>
      </c>
      <c r="H183" s="9" t="n">
        <v>400</v>
      </c>
      <c r="I183" s="346" t="str">
        <f aca="false">IF(C183=0,"arrêt administratif","")</f>
        <v/>
      </c>
      <c r="J183" s="216"/>
      <c r="P183" s="0"/>
    </row>
    <row r="184" customFormat="false" ht="19.85" hidden="false" customHeight="true" outlineLevel="0" collapsed="false">
      <c r="A184" s="1" t="n">
        <v>31</v>
      </c>
      <c r="B184" s="31" t="n">
        <v>42552</v>
      </c>
      <c r="C184" s="9" t="n">
        <v>0</v>
      </c>
      <c r="D184" s="95" t="s">
        <v>42</v>
      </c>
      <c r="E184" s="33" t="e">
        <f aca="false">IF(D184="totale",(C184/(A184*24))/F184,IF(D184="marché libre",(C184/(A184*24))/G184,"spécifier histo"))</f>
        <v>#DIV/0!</v>
      </c>
      <c r="F184" s="56" t="n">
        <v>0</v>
      </c>
      <c r="G184" s="56" t="n">
        <f aca="false">F184-H184</f>
        <v>0</v>
      </c>
      <c r="H184" s="9" t="n">
        <v>0</v>
      </c>
      <c r="I184" s="346" t="str">
        <f aca="false">IF(C184=0,"arrêt administratif","")</f>
        <v>arrêt administratif</v>
      </c>
      <c r="J184" s="216"/>
      <c r="P184" s="0"/>
    </row>
    <row r="185" customFormat="false" ht="19.85" hidden="false" customHeight="true" outlineLevel="0" collapsed="false">
      <c r="A185" s="1" t="n">
        <v>31</v>
      </c>
      <c r="B185" s="34" t="n">
        <v>42583</v>
      </c>
      <c r="C185" s="9" t="n">
        <v>0</v>
      </c>
      <c r="D185" s="95" t="s">
        <v>42</v>
      </c>
      <c r="E185" s="33" t="e">
        <f aca="false">IF(D185="totale",(C185/(A185*24))/F185,IF(D185="marché libre",(C185/(A185*24))/G185,"spécifier histo"))</f>
        <v>#DIV/0!</v>
      </c>
      <c r="F185" s="56" t="n">
        <v>0</v>
      </c>
      <c r="G185" s="56" t="n">
        <f aca="false">F185-H185</f>
        <v>0</v>
      </c>
      <c r="H185" s="9" t="n">
        <v>0</v>
      </c>
      <c r="I185" s="346" t="str">
        <f aca="false">IF(C185=0,"arrêt administratif","")</f>
        <v>arrêt administratif</v>
      </c>
      <c r="J185" s="216"/>
      <c r="P185" s="0"/>
    </row>
    <row r="186" customFormat="false" ht="19.85" hidden="false" customHeight="true" outlineLevel="0" collapsed="false">
      <c r="A186" s="1" t="n">
        <v>30</v>
      </c>
      <c r="B186" s="31" t="n">
        <v>42614</v>
      </c>
      <c r="C186" s="9" t="n">
        <v>100753</v>
      </c>
      <c r="D186" s="95" t="s">
        <v>42</v>
      </c>
      <c r="E186" s="33" t="n">
        <f aca="false">IF(D186="totale",(C186/(A186*24))/F186,IF(D186="marché libre",(C186/(A186*24))/G186,"spécifier histo"))</f>
        <v>0.233224537037037</v>
      </c>
      <c r="F186" s="56" t="n">
        <v>1000</v>
      </c>
      <c r="G186" s="56" t="n">
        <f aca="false">F186-H186</f>
        <v>600</v>
      </c>
      <c r="H186" s="9" t="n">
        <v>400</v>
      </c>
      <c r="I186" s="346" t="str">
        <f aca="false">IF(C186=0,"arrêt administratif","")</f>
        <v/>
      </c>
      <c r="J186" s="216"/>
      <c r="P186" s="0"/>
    </row>
    <row r="187" customFormat="false" ht="19.85" hidden="false" customHeight="true" outlineLevel="0" collapsed="false">
      <c r="A187" s="1" t="n">
        <v>31</v>
      </c>
      <c r="B187" s="34" t="n">
        <v>42644</v>
      </c>
      <c r="C187" s="9" t="n">
        <v>236999</v>
      </c>
      <c r="D187" s="95" t="s">
        <v>42</v>
      </c>
      <c r="E187" s="33" t="n">
        <f aca="false">IF(D187="totale",(C187/(A187*24))/F187,IF(D187="marché libre",(C187/(A187*24))/G187,"spécifier histo"))</f>
        <v>0.530911738351255</v>
      </c>
      <c r="F187" s="56" t="n">
        <v>1000</v>
      </c>
      <c r="G187" s="56" t="n">
        <f aca="false">F187-H187</f>
        <v>600</v>
      </c>
      <c r="H187" s="9" t="n">
        <v>400</v>
      </c>
      <c r="I187" s="346" t="str">
        <f aca="false">IF(C187=0,"arrêt administratif","")</f>
        <v/>
      </c>
      <c r="J187" s="216"/>
      <c r="P187" s="0"/>
    </row>
    <row r="188" customFormat="false" ht="19.85" hidden="false" customHeight="true" outlineLevel="0" collapsed="false">
      <c r="A188" s="1" t="n">
        <v>30</v>
      </c>
      <c r="B188" s="31" t="n">
        <v>42675</v>
      </c>
      <c r="C188" s="9" t="n">
        <v>217318</v>
      </c>
      <c r="D188" s="95" t="s">
        <v>42</v>
      </c>
      <c r="E188" s="33" t="n">
        <f aca="false">IF(D188="totale",(C188/(A188*24))/F188,IF(D188="marché libre",(C188/(A188*24))/G188,"spécifier histo"))</f>
        <v>0.503050925925926</v>
      </c>
      <c r="F188" s="56" t="n">
        <v>1000</v>
      </c>
      <c r="G188" s="56" t="n">
        <f aca="false">F188-H188</f>
        <v>600</v>
      </c>
      <c r="H188" s="9" t="n">
        <v>400</v>
      </c>
      <c r="I188" s="346" t="str">
        <f aca="false">IF(C188=0,"arrêt administratif","")</f>
        <v/>
      </c>
      <c r="J188" s="216"/>
      <c r="P188" s="0"/>
    </row>
    <row r="189" customFormat="false" ht="19.85" hidden="false" customHeight="true" outlineLevel="0" collapsed="false">
      <c r="A189" s="1" t="n">
        <v>31</v>
      </c>
      <c r="B189" s="34" t="n">
        <v>42705</v>
      </c>
      <c r="C189" s="9" t="n">
        <v>500703</v>
      </c>
      <c r="D189" s="95" t="s">
        <v>42</v>
      </c>
      <c r="E189" s="33" t="n">
        <f aca="false">IF(D189="totale",(C189/(A189*24))/F189,IF(D189="marché libre",(C189/(A189*24))/G189,"spécifier histo"))</f>
        <v>1.12164650537634</v>
      </c>
      <c r="F189" s="56" t="n">
        <v>1000</v>
      </c>
      <c r="G189" s="56" t="n">
        <f aca="false">F189-H189</f>
        <v>600</v>
      </c>
      <c r="H189" s="9" t="n">
        <v>400</v>
      </c>
      <c r="I189" s="346" t="str">
        <f aca="false">IF(C189=0,"arrêt administratif","")</f>
        <v/>
      </c>
      <c r="J189" s="216"/>
      <c r="P189" s="0"/>
    </row>
    <row r="190" customFormat="false" ht="19.85" hidden="false" customHeight="true" outlineLevel="0" collapsed="false">
      <c r="A190" s="1" t="n">
        <v>31</v>
      </c>
      <c r="B190" s="31" t="n">
        <v>42736</v>
      </c>
      <c r="C190" s="9" t="n">
        <v>66798.4</v>
      </c>
      <c r="D190" s="95" t="s">
        <v>42</v>
      </c>
      <c r="E190" s="33" t="n">
        <f aca="false">IF(D190="totale",(C190/(A190*24))/F190,IF(D190="marché libre",(C190/(A190*24))/G190,"spécifier histo"))</f>
        <v>0.149637992831541</v>
      </c>
      <c r="F190" s="56" t="n">
        <v>1000</v>
      </c>
      <c r="G190" s="56" t="n">
        <f aca="false">F190-H190</f>
        <v>600</v>
      </c>
      <c r="H190" s="9" t="n">
        <v>400</v>
      </c>
      <c r="I190" s="346" t="str">
        <f aca="false">IF(C190=0,"arrêt administratif","")</f>
        <v/>
      </c>
      <c r="J190" s="216"/>
      <c r="P190" s="0"/>
    </row>
    <row r="191" customFormat="false" ht="19.85" hidden="false" customHeight="true" outlineLevel="0" collapsed="false">
      <c r="A191" s="1" t="n">
        <v>28</v>
      </c>
      <c r="B191" s="34" t="n">
        <v>42767</v>
      </c>
      <c r="C191" s="9" t="n">
        <v>193111.49</v>
      </c>
      <c r="D191" s="95" t="s">
        <v>42</v>
      </c>
      <c r="E191" s="33" t="n">
        <f aca="false">IF(D191="totale",(C191/(A191*24))/F191,IF(D191="marché libre",(C191/(A191*24))/G191,"spécifier histo"))</f>
        <v>0.47894714781746</v>
      </c>
      <c r="F191" s="56" t="n">
        <v>1000</v>
      </c>
      <c r="G191" s="56" t="n">
        <f aca="false">F191-H191</f>
        <v>600</v>
      </c>
      <c r="H191" s="9" t="n">
        <v>400</v>
      </c>
      <c r="I191" s="346" t="str">
        <f aca="false">IF(C191=0,"arrêt administratif","")</f>
        <v/>
      </c>
      <c r="J191" s="216"/>
      <c r="P191" s="0"/>
    </row>
    <row r="192" customFormat="false" ht="19.85" hidden="false" customHeight="true" outlineLevel="0" collapsed="false">
      <c r="A192" s="1" t="n">
        <v>31</v>
      </c>
      <c r="B192" s="31" t="n">
        <v>42795</v>
      </c>
      <c r="C192" s="9" t="n">
        <v>232594.74</v>
      </c>
      <c r="D192" s="95" t="s">
        <v>42</v>
      </c>
      <c r="E192" s="33" t="n">
        <f aca="false">IF(D192="totale",(C192/(A192*24))/F192,IF(D192="marché libre",(C192/(A192*24))/G192,"spécifier histo"))</f>
        <v>0.521045564516129</v>
      </c>
      <c r="F192" s="56" t="n">
        <v>1000</v>
      </c>
      <c r="G192" s="56" t="n">
        <f aca="false">F192-H192</f>
        <v>600</v>
      </c>
      <c r="H192" s="9" t="n">
        <v>400</v>
      </c>
      <c r="I192" s="346" t="str">
        <f aca="false">IF(C192=0,"arrêt administratif","")</f>
        <v/>
      </c>
      <c r="J192" s="216"/>
      <c r="P192" s="0"/>
    </row>
    <row r="193" customFormat="false" ht="19.85" hidden="false" customHeight="true" outlineLevel="0" collapsed="false">
      <c r="A193" s="1" t="n">
        <v>30</v>
      </c>
      <c r="B193" s="34" t="n">
        <v>42826</v>
      </c>
      <c r="C193" s="121" t="n">
        <v>90199.04</v>
      </c>
      <c r="D193" s="95" t="s">
        <v>42</v>
      </c>
      <c r="E193" s="33" t="n">
        <f aca="false">IF(D193="totale",(C193/(A193*24))/F193,IF(D193="marché libre",(C193/(A193*24))/G193,"spécifier histo"))</f>
        <v>0.208794074074074</v>
      </c>
      <c r="F193" s="56" t="n">
        <v>1000</v>
      </c>
      <c r="G193" s="56" t="n">
        <f aca="false">F193-H193</f>
        <v>600</v>
      </c>
      <c r="H193" s="9" t="n">
        <v>400</v>
      </c>
      <c r="I193" s="346" t="str">
        <f aca="false">IF(C193=0,"arrêt administratif","")</f>
        <v/>
      </c>
      <c r="J193" s="216"/>
      <c r="P193" s="0"/>
    </row>
    <row r="194" customFormat="false" ht="19.85" hidden="false" customHeight="true" outlineLevel="0" collapsed="false">
      <c r="A194" s="1" t="n">
        <v>31</v>
      </c>
      <c r="B194" s="31" t="n">
        <v>42856</v>
      </c>
      <c r="C194" s="121" t="n">
        <v>103183</v>
      </c>
      <c r="D194" s="95" t="s">
        <v>42</v>
      </c>
      <c r="E194" s="33" t="n">
        <f aca="false">IF(D194="totale",(C194/(A194*24))/F194,IF(D194="marché libre",(C194/(A194*24))/G194,"spécifier histo"))</f>
        <v>0.231144713261649</v>
      </c>
      <c r="F194" s="56" t="n">
        <v>1000</v>
      </c>
      <c r="G194" s="56" t="n">
        <f aca="false">F194-H194</f>
        <v>600</v>
      </c>
      <c r="H194" s="9" t="n">
        <v>400</v>
      </c>
      <c r="I194" s="346" t="str">
        <f aca="false">IF(C194=0,"arrêt administratif","")</f>
        <v/>
      </c>
      <c r="J194" s="216"/>
      <c r="P194" s="0"/>
    </row>
    <row r="195" customFormat="false" ht="19.85" hidden="false" customHeight="true" outlineLevel="0" collapsed="false">
      <c r="A195" s="1" t="n">
        <v>30</v>
      </c>
      <c r="B195" s="34" t="n">
        <v>42887</v>
      </c>
      <c r="C195" s="9" t="n">
        <v>0</v>
      </c>
      <c r="D195" s="95" t="s">
        <v>42</v>
      </c>
      <c r="E195" s="33" t="n">
        <f aca="false">IF(D195="totale",(C195/(A195*24))/F195,IF(D195="marché libre",(C195/(A195*24))/G195,"spécifier histo"))</f>
        <v>0</v>
      </c>
      <c r="F195" s="56" t="n">
        <v>1000</v>
      </c>
      <c r="G195" s="56" t="n">
        <f aca="false">F195-H195</f>
        <v>600</v>
      </c>
      <c r="H195" s="9" t="n">
        <v>400</v>
      </c>
      <c r="I195" s="346"/>
      <c r="J195" s="117"/>
      <c r="P195" s="0"/>
    </row>
    <row r="196" customFormat="false" ht="19.85" hidden="false" customHeight="true" outlineLevel="0" collapsed="false">
      <c r="A196" s="1" t="n">
        <v>31</v>
      </c>
      <c r="B196" s="31" t="n">
        <v>42917</v>
      </c>
      <c r="C196" s="9" t="n">
        <v>0</v>
      </c>
      <c r="D196" s="95" t="s">
        <v>42</v>
      </c>
      <c r="E196" s="33" t="e">
        <f aca="false">IF(D196="totale",(C196/(A196*24))/F196,IF(D196="marché libre",(C196/(A196*24))/G196,"spécifier histo"))</f>
        <v>#DIV/0!</v>
      </c>
      <c r="F196" s="56" t="n">
        <v>0</v>
      </c>
      <c r="G196" s="56" t="n">
        <f aca="false">F196-H196</f>
        <v>0</v>
      </c>
      <c r="H196" s="9" t="n">
        <v>0</v>
      </c>
      <c r="I196" s="346" t="str">
        <f aca="false">IF(C196=0,"arrêt administratif","")</f>
        <v>arrêt administratif</v>
      </c>
      <c r="J196" s="117"/>
      <c r="P196" s="0"/>
    </row>
    <row r="197" customFormat="false" ht="19.85" hidden="false" customHeight="true" outlineLevel="0" collapsed="false">
      <c r="A197" s="1" t="n">
        <v>31</v>
      </c>
      <c r="B197" s="34" t="n">
        <v>42948</v>
      </c>
      <c r="C197" s="9" t="n">
        <v>0</v>
      </c>
      <c r="D197" s="95" t="s">
        <v>42</v>
      </c>
      <c r="E197" s="33" t="e">
        <f aca="false">IF(D197="totale",(C197/(A197*24))/F197,IF(D197="marché libre",(C197/(A197*24))/G197,"spécifier histo"))</f>
        <v>#DIV/0!</v>
      </c>
      <c r="F197" s="56" t="n">
        <v>0</v>
      </c>
      <c r="G197" s="56" t="n">
        <f aca="false">F197-H197</f>
        <v>0</v>
      </c>
      <c r="H197" s="9" t="n">
        <v>0</v>
      </c>
      <c r="I197" s="346" t="str">
        <f aca="false">IF(C197=0,"arrêt administratif","")</f>
        <v>arrêt administratif</v>
      </c>
      <c r="J197" s="117"/>
      <c r="P197" s="0"/>
    </row>
    <row r="198" customFormat="false" ht="19.85" hidden="false" customHeight="true" outlineLevel="0" collapsed="false">
      <c r="A198" s="1" t="n">
        <v>30</v>
      </c>
      <c r="B198" s="31" t="n">
        <v>42979</v>
      </c>
      <c r="C198" s="9" t="n">
        <v>804</v>
      </c>
      <c r="D198" s="95" t="s">
        <v>42</v>
      </c>
      <c r="E198" s="33" t="n">
        <f aca="false">IF(D198="totale",(C198/(A198*24))/F198,IF(D198="marché libre",(C198/(A198*24))/G198,"spécifier histo"))</f>
        <v>0.00186111111111111</v>
      </c>
      <c r="F198" s="56" t="n">
        <v>1000</v>
      </c>
      <c r="G198" s="56" t="n">
        <f aca="false">F198-H198</f>
        <v>600</v>
      </c>
      <c r="H198" s="9" t="n">
        <v>400</v>
      </c>
      <c r="I198" s="346" t="str">
        <f aca="false">IF(C198=0,"arrêt administratif","")</f>
        <v/>
      </c>
      <c r="J198" s="117"/>
      <c r="P198" s="0"/>
    </row>
    <row r="199" customFormat="false" ht="19.85" hidden="false" customHeight="true" outlineLevel="0" collapsed="false">
      <c r="A199" s="1" t="n">
        <v>31</v>
      </c>
      <c r="B199" s="34" t="n">
        <v>43009</v>
      </c>
      <c r="C199" s="9" t="n">
        <v>354</v>
      </c>
      <c r="D199" s="95" t="s">
        <v>42</v>
      </c>
      <c r="E199" s="33" t="n">
        <f aca="false">IF(D199="totale",(C199/(A199*24))/F199,IF(D199="marché libre",(C199/(A199*24))/G199,"spécifier histo"))</f>
        <v>0.000793010752688172</v>
      </c>
      <c r="F199" s="56" t="n">
        <v>1000</v>
      </c>
      <c r="G199" s="56" t="n">
        <f aca="false">F199-H199</f>
        <v>600</v>
      </c>
      <c r="H199" s="9" t="n">
        <v>400</v>
      </c>
      <c r="I199" s="346" t="str">
        <f aca="false">IF(C199=0,"arrêt administratif","")</f>
        <v/>
      </c>
      <c r="J199" s="117"/>
      <c r="P199" s="0"/>
    </row>
    <row r="200" customFormat="false" ht="19.85" hidden="false" customHeight="true" outlineLevel="0" collapsed="false">
      <c r="A200" s="1" t="n">
        <v>30</v>
      </c>
      <c r="B200" s="31" t="n">
        <v>43040</v>
      </c>
      <c r="C200" s="9" t="n">
        <v>34343</v>
      </c>
      <c r="D200" s="95" t="s">
        <v>42</v>
      </c>
      <c r="E200" s="33" t="n">
        <f aca="false">IF(D200="totale",(C200/(A200*24))/F200,IF(D200="marché libre",(C200/(A200*24))/G200,"spécifier histo"))</f>
        <v>0.0794976851851852</v>
      </c>
      <c r="F200" s="56" t="n">
        <v>1000</v>
      </c>
      <c r="G200" s="56" t="n">
        <f aca="false">F200-H200</f>
        <v>600</v>
      </c>
      <c r="H200" s="9" t="n">
        <v>400</v>
      </c>
      <c r="I200" s="346" t="str">
        <f aca="false">IF(C200=0,"arrêt administratif","")</f>
        <v/>
      </c>
      <c r="J200" s="117"/>
      <c r="P200" s="0"/>
    </row>
    <row r="201" s="1" customFormat="true" ht="19.85" hidden="false" customHeight="true" outlineLevel="0" collapsed="false">
      <c r="A201" s="1" t="n">
        <v>31</v>
      </c>
      <c r="B201" s="34" t="n">
        <v>43070</v>
      </c>
      <c r="C201" s="9" t="n">
        <v>0</v>
      </c>
      <c r="D201" s="95" t="s">
        <v>42</v>
      </c>
      <c r="E201" s="33" t="n">
        <f aca="false">IF(D201="totale",(C201/(A201*24))/F201,IF(D201="marché libre",(C201/(A201*24))/G201,"spécifier histo"))</f>
        <v>0</v>
      </c>
      <c r="F201" s="56" t="n">
        <v>1000</v>
      </c>
      <c r="G201" s="56" t="n">
        <f aca="false">F201-H201</f>
        <v>600</v>
      </c>
      <c r="H201" s="9" t="n">
        <v>400</v>
      </c>
      <c r="I201" s="346"/>
      <c r="P201" s="0"/>
    </row>
    <row r="202" customFormat="false" ht="19.85" hidden="false" customHeight="true" outlineLevel="0" collapsed="false">
      <c r="A202" s="1" t="n">
        <v>31</v>
      </c>
      <c r="B202" s="31" t="n">
        <v>43101</v>
      </c>
      <c r="C202" s="9" t="n">
        <v>165311</v>
      </c>
      <c r="D202" s="95" t="s">
        <v>42</v>
      </c>
      <c r="E202" s="33" t="n">
        <f aca="false">IF(D202="totale",(C202/(A202*24))/F202,IF(D202="marché libre",(C202/(A202*24))/G202,"spécifier histo"))</f>
        <v>0.370320340501792</v>
      </c>
      <c r="F202" s="56" t="n">
        <v>1000</v>
      </c>
      <c r="G202" s="56" t="n">
        <f aca="false">F202-H202</f>
        <v>600</v>
      </c>
      <c r="H202" s="9" t="n">
        <v>400</v>
      </c>
      <c r="I202" s="346" t="str">
        <f aca="false">IF(C202=0,"arrêt administratif","")</f>
        <v/>
      </c>
      <c r="P202" s="0"/>
    </row>
    <row r="203" customFormat="false" ht="28.35" hidden="false" customHeight="true" outlineLevel="0" collapsed="false">
      <c r="A203" s="1" t="n">
        <v>28</v>
      </c>
      <c r="B203" s="34" t="n">
        <v>43132</v>
      </c>
      <c r="C203" s="9" t="n">
        <v>170891</v>
      </c>
      <c r="D203" s="95" t="s">
        <v>42</v>
      </c>
      <c r="E203" s="33" t="n">
        <f aca="false">IF(D203="totale",(C203/(A203*24))/F203,IF(D203="marché libre",(C203/(A203*24))/G203,"spécifier histo"))</f>
        <v>0.423836805555556</v>
      </c>
      <c r="F203" s="56" t="n">
        <v>1000</v>
      </c>
      <c r="G203" s="56" t="n">
        <f aca="false">F203-H203</f>
        <v>600</v>
      </c>
      <c r="H203" s="9" t="n">
        <v>400</v>
      </c>
      <c r="I203" s="346" t="str">
        <f aca="false">IF(C203=0,"arrêt administratif","")</f>
        <v/>
      </c>
      <c r="P203" s="0"/>
    </row>
    <row r="204" customFormat="false" ht="28.35" hidden="false" customHeight="true" outlineLevel="0" collapsed="false">
      <c r="A204" s="1" t="n">
        <v>31</v>
      </c>
      <c r="B204" s="31" t="n">
        <v>43160</v>
      </c>
      <c r="C204" s="9" t="n">
        <v>192526</v>
      </c>
      <c r="D204" s="95" t="s">
        <v>42</v>
      </c>
      <c r="E204" s="33" t="n">
        <f aca="false">IF(D204="totale",(C204/(A204*24))/F204,IF(D204="marché libre",(C204/(A204*24))/G204,"spécifier histo"))</f>
        <v>0.431285842293907</v>
      </c>
      <c r="F204" s="56" t="n">
        <v>1000</v>
      </c>
      <c r="G204" s="56" t="n">
        <f aca="false">F204-H204</f>
        <v>600</v>
      </c>
      <c r="H204" s="9" t="n">
        <v>400</v>
      </c>
      <c r="I204" s="346" t="str">
        <f aca="false">IF(C204=0,"arrêt administratif","")</f>
        <v/>
      </c>
      <c r="P204" s="0"/>
    </row>
    <row r="205" customFormat="false" ht="28.35" hidden="false" customHeight="true" outlineLevel="0" collapsed="false">
      <c r="A205" s="1" t="n">
        <v>30</v>
      </c>
      <c r="B205" s="34" t="n">
        <v>43191</v>
      </c>
      <c r="C205" s="9" t="n">
        <v>200293</v>
      </c>
      <c r="D205" s="95" t="s">
        <v>42</v>
      </c>
      <c r="E205" s="33" t="n">
        <f aca="false">IF(D205="totale",(C205/(A205*24))/F205,IF(D205="marché libre",(C205/(A205*24))/G205,"spécifier histo"))</f>
        <v>0.463641203703704</v>
      </c>
      <c r="F205" s="56" t="n">
        <v>1000</v>
      </c>
      <c r="G205" s="56" t="n">
        <f aca="false">F205-H205</f>
        <v>600</v>
      </c>
      <c r="H205" s="9" t="n">
        <v>400</v>
      </c>
      <c r="I205" s="346" t="str">
        <f aca="false">IF(C205=0,"arrêt administratif","")</f>
        <v/>
      </c>
      <c r="P205" s="0"/>
    </row>
    <row r="206" customFormat="false" ht="28.35" hidden="false" customHeight="true" outlineLevel="0" collapsed="false">
      <c r="A206" s="1" t="n">
        <v>31</v>
      </c>
      <c r="B206" s="31" t="n">
        <v>43221</v>
      </c>
      <c r="C206" s="9" t="n">
        <v>250946</v>
      </c>
      <c r="D206" s="95" t="s">
        <v>42</v>
      </c>
      <c r="E206" s="33" t="n">
        <f aca="false">IF(D206="totale",(C206/(A206*24))/F206,IF(D206="marché libre",(C206/(A206*24))/G206,"spécifier histo"))</f>
        <v>0.562155017921147</v>
      </c>
      <c r="F206" s="56" t="n">
        <v>1000</v>
      </c>
      <c r="G206" s="56" t="n">
        <f aca="false">F206-H206</f>
        <v>600</v>
      </c>
      <c r="H206" s="9" t="n">
        <v>400</v>
      </c>
      <c r="I206" s="346" t="str">
        <f aca="false">IF(C206=0,"arrêt administratif","")</f>
        <v/>
      </c>
    </row>
    <row r="207" customFormat="false" ht="28.35" hidden="false" customHeight="true" outlineLevel="0" collapsed="false">
      <c r="A207" s="1" t="n">
        <v>30</v>
      </c>
      <c r="B207" s="34" t="n">
        <v>43252</v>
      </c>
      <c r="C207" s="9" t="n">
        <v>151470</v>
      </c>
      <c r="D207" s="95" t="s">
        <v>42</v>
      </c>
      <c r="E207" s="33" t="n">
        <f aca="false">IF(D207="totale",(C207/(A207*24))/F207,IF(D207="marché libre",(C207/(A207*24))/G207,"spécifier histo"))</f>
        <v>0.350625</v>
      </c>
      <c r="F207" s="56" t="n">
        <v>1000</v>
      </c>
      <c r="G207" s="56" t="n">
        <f aca="false">F207-H207</f>
        <v>600</v>
      </c>
      <c r="H207" s="9" t="n">
        <v>400</v>
      </c>
      <c r="I207" s="346"/>
    </row>
    <row r="208" customFormat="false" ht="28.35" hidden="false" customHeight="true" outlineLevel="0" collapsed="false">
      <c r="C208" s="9"/>
    </row>
    <row r="209" customFormat="false" ht="28.35" hidden="false" customHeight="true" outlineLevel="0" collapsed="false">
      <c r="C209" s="9"/>
    </row>
    <row r="210" customFormat="false" ht="28.35" hidden="false" customHeight="true" outlineLevel="0" collapsed="false">
      <c r="C210" s="9"/>
    </row>
    <row r="211" customFormat="false" ht="28.35" hidden="false" customHeight="true" outlineLevel="0" collapsed="false">
      <c r="C211" s="9"/>
    </row>
    <row r="212" customFormat="false" ht="28.35" hidden="false" customHeight="true" outlineLevel="0" collapsed="false">
      <c r="C212" s="9"/>
    </row>
    <row r="213" customFormat="false" ht="28.35" hidden="false" customHeight="true" outlineLevel="0" collapsed="false">
      <c r="C213" s="9"/>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07">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33.xml><?xml version="1.0" encoding="utf-8"?>
<worksheet xmlns="http://schemas.openxmlformats.org/spreadsheetml/2006/main" xmlns:r="http://schemas.openxmlformats.org/officeDocument/2006/relationships">
  <sheetPr filterMode="false">
    <tabColor rgb="FF00CC33"/>
    <pageSetUpPr fitToPage="false"/>
  </sheetPr>
  <dimension ref="A1:AD13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8" topLeftCell="B208" activePane="bottomRight" state="frozen"/>
      <selection pane="topLeft" activeCell="A1" activeCellId="0" sqref="A1"/>
      <selection pane="topRight" activeCell="B1" activeCellId="0" sqref="B1"/>
      <selection pane="bottomLeft" activeCell="A208" activeCellId="0" sqref="A208"/>
      <selection pane="bottomRight" activeCell="B140" activeCellId="0" sqref="B14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52"/>
    <col collapsed="false" customWidth="true" hidden="false" outlineLevel="0" max="5" min="5" style="1" width="18.38"/>
    <col collapsed="false" customWidth="true" hidden="false" outlineLevel="0" max="6" min="6" style="1" width="16.07"/>
    <col collapsed="false" customWidth="true" hidden="false" outlineLevel="0" max="7" min="7" style="1" width="14.66"/>
    <col collapsed="false" customWidth="true" hidden="false" outlineLevel="0" max="8" min="8" style="1" width="16.67"/>
    <col collapsed="false" customWidth="true" hidden="false" outlineLevel="0" max="9" min="9" style="1" width="19.31"/>
    <col collapsed="false" customWidth="true" hidden="false" outlineLevel="0" max="10" min="10" style="29" width="23.46"/>
    <col collapsed="false" customWidth="true" hidden="false" outlineLevel="0" max="11" min="11" style="1" width="19.77"/>
    <col collapsed="false" customWidth="true" hidden="false" outlineLevel="0" max="12" min="12" style="1" width="24.54"/>
    <col collapsed="false" customWidth="false" hidden="false" outlineLevel="0" max="13" min="13" style="1" width="11.52"/>
    <col collapsed="false" customWidth="true" hidden="false" outlineLevel="0" max="14" min="14" style="1" width="9.4"/>
    <col collapsed="false" customWidth="true" hidden="false" outlineLevel="0" max="15" min="15" style="1" width="5.24"/>
    <col collapsed="false" customWidth="false" hidden="false" outlineLevel="0" max="16" min="16" style="1" width="11.52"/>
    <col collapsed="false" customWidth="true" hidden="false" outlineLevel="0" max="17" min="17" style="1" width="15.42"/>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197"/>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40" t="s">
        <v>3</v>
      </c>
      <c r="K2" s="340"/>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341" t="s">
        <v>17</v>
      </c>
      <c r="K3" s="10" t="s">
        <v>18</v>
      </c>
      <c r="L3" s="10" t="s">
        <v>19</v>
      </c>
      <c r="M3" s="10" t="s">
        <v>17</v>
      </c>
      <c r="N3" s="3"/>
      <c r="P3" s="12"/>
      <c r="Q3" s="5" t="s">
        <v>20</v>
      </c>
      <c r="S3" s="13"/>
      <c r="T3" s="7" t="s">
        <v>21</v>
      </c>
      <c r="U3" s="8"/>
      <c r="V3" s="9"/>
    </row>
    <row r="4" customFormat="false" ht="42.45" hidden="false" customHeight="true" outlineLevel="0" collapsed="false">
      <c r="A4" s="0"/>
      <c r="B4" s="5" t="s">
        <v>499</v>
      </c>
      <c r="C4" s="5" t="n">
        <v>51785</v>
      </c>
      <c r="D4" s="5" t="s">
        <v>500</v>
      </c>
      <c r="E4" s="14" t="s">
        <v>501</v>
      </c>
      <c r="F4" s="15" t="n">
        <v>2700</v>
      </c>
      <c r="G4" s="15" t="n">
        <v>2430</v>
      </c>
      <c r="H4" s="15" t="n">
        <v>2350</v>
      </c>
      <c r="I4" s="16"/>
      <c r="J4" s="342" t="n">
        <v>2400</v>
      </c>
      <c r="K4" s="16"/>
      <c r="L4" s="16"/>
      <c r="M4" s="16"/>
      <c r="N4" s="17"/>
      <c r="P4" s="17"/>
      <c r="Q4" s="16" t="s">
        <v>23</v>
      </c>
      <c r="S4" s="18"/>
      <c r="T4" s="19" t="s">
        <v>24</v>
      </c>
      <c r="U4" s="19"/>
      <c r="V4" s="19"/>
    </row>
    <row r="5" customFormat="false" ht="28.35" hidden="false" customHeight="true" outlineLevel="0" collapsed="false">
      <c r="A5" s="0"/>
      <c r="F5" s="9"/>
      <c r="G5" s="9"/>
      <c r="H5" s="9"/>
      <c r="J5" s="59"/>
      <c r="P5" s="9"/>
      <c r="Q5" s="9"/>
    </row>
    <row r="6" customFormat="false" ht="44.95" hidden="false" customHeight="true" outlineLevel="0" collapsed="false">
      <c r="A6" s="0"/>
      <c r="B6" s="0"/>
      <c r="C6" s="10" t="s">
        <v>25</v>
      </c>
      <c r="D6" s="10"/>
      <c r="F6" s="20" t="s">
        <v>26</v>
      </c>
      <c r="G6" s="19"/>
      <c r="H6" s="19"/>
      <c r="I6" s="19"/>
      <c r="J6" s="19"/>
      <c r="K6" s="19"/>
      <c r="L6" s="19"/>
      <c r="M6" s="19"/>
      <c r="N6" s="19"/>
      <c r="P6" s="21"/>
      <c r="Q6" s="19" t="s">
        <v>27</v>
      </c>
      <c r="R6" s="9"/>
      <c r="S6" s="22"/>
      <c r="T6" s="5" t="s">
        <v>28</v>
      </c>
    </row>
    <row r="7" customFormat="false" ht="66.9" hidden="false" customHeight="true" outlineLevel="0" collapsed="false">
      <c r="A7" s="0"/>
      <c r="B7" s="0"/>
      <c r="C7" s="126" t="s">
        <v>502</v>
      </c>
      <c r="D7" s="126"/>
      <c r="F7" s="20"/>
      <c r="G7" s="20"/>
      <c r="H7" s="19"/>
      <c r="I7" s="19"/>
      <c r="J7" s="19"/>
      <c r="K7" s="19"/>
      <c r="L7" s="19"/>
      <c r="M7" s="19"/>
      <c r="N7" s="19"/>
      <c r="P7" s="24"/>
      <c r="Q7" s="5" t="s">
        <v>29</v>
      </c>
      <c r="R7" s="9"/>
      <c r="S7" s="25"/>
      <c r="T7" s="5" t="s">
        <v>30</v>
      </c>
    </row>
    <row r="8" customFormat="false" ht="43.3" hidden="false" customHeight="true" outlineLevel="0" collapsed="false">
      <c r="C8" s="0"/>
      <c r="G8" s="9"/>
      <c r="H8" s="9"/>
      <c r="I8" s="9"/>
      <c r="K8" s="9"/>
      <c r="R8" s="9"/>
      <c r="S8" s="27"/>
      <c r="T8" s="16" t="s">
        <v>31</v>
      </c>
    </row>
    <row r="9" customFormat="false" ht="40.8" hidden="false" customHeight="true" outlineLevel="0" collapsed="false">
      <c r="B9" s="9" t="s">
        <v>32</v>
      </c>
      <c r="C9" s="1" t="s">
        <v>33</v>
      </c>
      <c r="D9" s="0"/>
      <c r="E9" s="1" t="s">
        <v>35</v>
      </c>
      <c r="F9" s="9" t="s">
        <v>97</v>
      </c>
      <c r="G9" s="9" t="s">
        <v>37</v>
      </c>
      <c r="H9" s="9" t="s">
        <v>38</v>
      </c>
      <c r="I9" s="9" t="s">
        <v>39</v>
      </c>
      <c r="J9" s="205" t="s">
        <v>40</v>
      </c>
    </row>
    <row r="10" customFormat="false" ht="19.85" hidden="false" customHeight="true" outlineLevel="0" collapsed="false">
      <c r="A10" s="1" t="n">
        <v>31</v>
      </c>
      <c r="B10" s="31" t="n">
        <v>39448</v>
      </c>
      <c r="C10" s="1" t="n">
        <v>207662</v>
      </c>
      <c r="D10" s="9" t="s">
        <v>41</v>
      </c>
      <c r="E10" s="33" t="n">
        <f aca="false">IF(D10="totale",(C10/(A10*24))/F10,IF(D10="marché libre",(C10/(A10*24))/G10,"spécifier histo"))</f>
        <v>0.116298163082437</v>
      </c>
      <c r="F10" s="56" t="n">
        <v>2400</v>
      </c>
      <c r="G10" s="56" t="n">
        <v>2400</v>
      </c>
      <c r="H10" s="9" t="n">
        <v>0</v>
      </c>
      <c r="I10" s="9"/>
      <c r="J10" s="216"/>
      <c r="L10" s="0"/>
      <c r="M10" s="0"/>
      <c r="P10" s="0"/>
      <c r="S10" s="0"/>
      <c r="V10" s="0"/>
      <c r="X10" s="0"/>
      <c r="AD10" s="0"/>
    </row>
    <row r="11" customFormat="false" ht="19.85" hidden="false" customHeight="true" outlineLevel="0" collapsed="false">
      <c r="A11" s="1" t="n">
        <v>28</v>
      </c>
      <c r="B11" s="34" t="n">
        <v>39479</v>
      </c>
      <c r="C11" s="1" t="n">
        <v>352000</v>
      </c>
      <c r="D11" s="9" t="s">
        <v>41</v>
      </c>
      <c r="E11" s="33" t="n">
        <f aca="false">IF(D11="totale",(C11/(A11*24))/F11,IF(D11="marché libre",(C11/(A11*24))/G11,"spécifier histo"))</f>
        <v>0.218253968253968</v>
      </c>
      <c r="F11" s="56" t="n">
        <v>2400</v>
      </c>
      <c r="G11" s="56" t="n">
        <v>2400</v>
      </c>
      <c r="H11" s="9" t="n">
        <v>0</v>
      </c>
      <c r="I11" s="9"/>
      <c r="J11" s="216"/>
      <c r="L11" s="0"/>
      <c r="M11" s="0"/>
      <c r="P11" s="0"/>
      <c r="S11" s="0"/>
      <c r="V11" s="0"/>
      <c r="X11" s="0"/>
      <c r="AD11" s="0"/>
    </row>
    <row r="12" customFormat="false" ht="19.85" hidden="false" customHeight="true" outlineLevel="0" collapsed="false">
      <c r="A12" s="1" t="n">
        <v>31</v>
      </c>
      <c r="B12" s="31" t="n">
        <v>39508</v>
      </c>
      <c r="C12" s="1" t="n">
        <v>628409</v>
      </c>
      <c r="D12" s="9" t="s">
        <v>41</v>
      </c>
      <c r="E12" s="33" t="n">
        <f aca="false">IF(D12="totale",(C12/(A12*24))/F12,IF(D12="marché libre",(C12/(A12*24))/G12,"spécifier histo"))</f>
        <v>0.351931563620072</v>
      </c>
      <c r="F12" s="56" t="n">
        <v>2400</v>
      </c>
      <c r="G12" s="56" t="n">
        <v>2400</v>
      </c>
      <c r="H12" s="9" t="n">
        <v>0</v>
      </c>
      <c r="I12" s="9"/>
      <c r="J12" s="216"/>
      <c r="L12" s="0"/>
      <c r="M12" s="0"/>
      <c r="P12" s="0"/>
      <c r="S12" s="0"/>
      <c r="V12" s="0"/>
      <c r="X12" s="0"/>
      <c r="AD12" s="0"/>
    </row>
    <row r="13" customFormat="false" ht="19.85" hidden="false" customHeight="true" outlineLevel="0" collapsed="false">
      <c r="A13" s="1" t="n">
        <v>30</v>
      </c>
      <c r="B13" s="34" t="n">
        <v>39539</v>
      </c>
      <c r="C13" s="1" t="n">
        <v>1236164</v>
      </c>
      <c r="D13" s="9" t="s">
        <v>41</v>
      </c>
      <c r="E13" s="33" t="n">
        <f aca="false">IF(D13="totale",(C13/(A13*24))/F13,IF(D13="marché libre",(C13/(A13*24))/G13,"spécifier histo"))</f>
        <v>0.715372685185185</v>
      </c>
      <c r="F13" s="56" t="n">
        <v>2400</v>
      </c>
      <c r="G13" s="56" t="n">
        <v>2400</v>
      </c>
      <c r="H13" s="9" t="n">
        <v>0</v>
      </c>
      <c r="I13" s="9"/>
      <c r="J13" s="216"/>
      <c r="L13" s="0"/>
      <c r="M13" s="0"/>
      <c r="P13" s="0"/>
      <c r="S13" s="0"/>
      <c r="V13" s="0"/>
      <c r="X13" s="0"/>
      <c r="AD13" s="0"/>
    </row>
    <row r="14" customFormat="false" ht="19.85" hidden="false" customHeight="true" outlineLevel="0" collapsed="false">
      <c r="A14" s="1" t="n">
        <v>31</v>
      </c>
      <c r="B14" s="31" t="n">
        <v>39569</v>
      </c>
      <c r="C14" s="1" t="n">
        <v>1571448</v>
      </c>
      <c r="D14" s="9" t="s">
        <v>41</v>
      </c>
      <c r="E14" s="33" t="n">
        <f aca="false">IF(D14="totale",(C14/(A14*24))/F14,IF(D14="marché libre",(C14/(A14*24))/G14,"spécifier histo"))</f>
        <v>0.880067204301075</v>
      </c>
      <c r="F14" s="56" t="n">
        <v>2400</v>
      </c>
      <c r="G14" s="56" t="n">
        <v>2400</v>
      </c>
      <c r="H14" s="9" t="n">
        <v>0</v>
      </c>
      <c r="I14" s="9"/>
      <c r="J14" s="216"/>
      <c r="L14" s="0"/>
      <c r="M14" s="0"/>
      <c r="P14" s="0"/>
      <c r="S14" s="0"/>
      <c r="V14" s="0"/>
      <c r="X14" s="0"/>
    </row>
    <row r="15" customFormat="false" ht="19.85" hidden="false" customHeight="true" outlineLevel="0" collapsed="false">
      <c r="A15" s="1" t="n">
        <v>30</v>
      </c>
      <c r="B15" s="34" t="n">
        <v>39600</v>
      </c>
      <c r="C15" s="1" t="n">
        <v>1534214</v>
      </c>
      <c r="D15" s="9" t="s">
        <v>41</v>
      </c>
      <c r="E15" s="33" t="n">
        <f aca="false">IF(D15="totale",(C15/(A15*24))/F15,IF(D15="marché libre",(C15/(A15*24))/G15,"spécifier histo"))</f>
        <v>0.887855324074074</v>
      </c>
      <c r="F15" s="56" t="n">
        <v>2400</v>
      </c>
      <c r="G15" s="56" t="n">
        <v>2400</v>
      </c>
      <c r="H15" s="9" t="n">
        <v>0</v>
      </c>
      <c r="I15" s="9"/>
      <c r="J15" s="216"/>
      <c r="L15" s="0"/>
      <c r="M15" s="0"/>
      <c r="P15" s="0"/>
      <c r="S15" s="0"/>
      <c r="V15" s="0"/>
      <c r="X15" s="0"/>
    </row>
    <row r="16" customFormat="false" ht="19.85" hidden="false" customHeight="true" outlineLevel="0" collapsed="false">
      <c r="A16" s="1" t="n">
        <v>31</v>
      </c>
      <c r="B16" s="31" t="n">
        <v>39630</v>
      </c>
      <c r="C16" s="1" t="n">
        <v>741367</v>
      </c>
      <c r="D16" s="9" t="s">
        <v>41</v>
      </c>
      <c r="E16" s="33" t="n">
        <f aca="false">IF(D16="totale",(C16/(A16*24))/F16,IF(D16="marché libre",(C16/(A16*24))/G16,"spécifier histo"))</f>
        <v>0.415192092293907</v>
      </c>
      <c r="F16" s="56" t="n">
        <v>2400</v>
      </c>
      <c r="G16" s="56" t="n">
        <v>2400</v>
      </c>
      <c r="H16" s="9" t="n">
        <v>0</v>
      </c>
      <c r="I16" s="9"/>
      <c r="J16" s="216"/>
      <c r="L16" s="0"/>
      <c r="M16" s="0"/>
      <c r="P16" s="0"/>
      <c r="S16" s="0"/>
      <c r="V16" s="0"/>
      <c r="X16" s="0"/>
    </row>
    <row r="17" customFormat="false" ht="19.85" hidden="false" customHeight="true" outlineLevel="0" collapsed="false">
      <c r="A17" s="1" t="n">
        <v>31</v>
      </c>
      <c r="B17" s="34" t="n">
        <v>39661</v>
      </c>
      <c r="C17" s="1" t="n">
        <v>371861</v>
      </c>
      <c r="D17" s="9" t="s">
        <v>41</v>
      </c>
      <c r="E17" s="33" t="n">
        <f aca="false">IF(D17="totale",(C17/(A17*24))/F17,IF(D17="marché libre",(C17/(A17*24))/G17,"spécifier histo"))</f>
        <v>0.208255488351254</v>
      </c>
      <c r="F17" s="56" t="n">
        <v>2400</v>
      </c>
      <c r="G17" s="56" t="n">
        <v>2400</v>
      </c>
      <c r="H17" s="9" t="n">
        <v>0</v>
      </c>
      <c r="I17" s="9"/>
      <c r="J17" s="216"/>
      <c r="L17" s="0"/>
      <c r="M17" s="0"/>
      <c r="P17" s="0"/>
      <c r="S17" s="0"/>
      <c r="V17" s="0"/>
      <c r="X17" s="0"/>
    </row>
    <row r="18" customFormat="false" ht="19.85" hidden="false" customHeight="true" outlineLevel="0" collapsed="false">
      <c r="A18" s="1" t="n">
        <v>30</v>
      </c>
      <c r="B18" s="31" t="n">
        <v>39692</v>
      </c>
      <c r="C18" s="1" t="n">
        <v>286949</v>
      </c>
      <c r="D18" s="9" t="s">
        <v>41</v>
      </c>
      <c r="E18" s="33" t="n">
        <f aca="false">IF(D18="totale",(C18/(A18*24))/F18,IF(D18="marché libre",(C18/(A18*24))/G18,"spécifier histo"))</f>
        <v>0.166058449074074</v>
      </c>
      <c r="F18" s="56" t="n">
        <v>2400</v>
      </c>
      <c r="G18" s="56" t="n">
        <v>2400</v>
      </c>
      <c r="H18" s="9" t="n">
        <v>0</v>
      </c>
      <c r="I18" s="9"/>
      <c r="J18" s="216"/>
      <c r="L18" s="0"/>
      <c r="M18" s="0"/>
      <c r="P18" s="0"/>
      <c r="S18" s="0"/>
      <c r="V18" s="0"/>
      <c r="X18" s="0"/>
    </row>
    <row r="19" customFormat="false" ht="19.85" hidden="false" customHeight="true" outlineLevel="0" collapsed="false">
      <c r="A19" s="1" t="n">
        <v>31</v>
      </c>
      <c r="B19" s="34" t="n">
        <v>39722</v>
      </c>
      <c r="C19" s="1" t="n">
        <v>291294</v>
      </c>
      <c r="D19" s="9" t="s">
        <v>41</v>
      </c>
      <c r="E19" s="33" t="n">
        <f aca="false">IF(D19="totale",(C19/(A19*24))/F19,IF(D19="marché libre",(C19/(A19*24))/G19,"spécifier histo"))</f>
        <v>0.163135080645161</v>
      </c>
      <c r="F19" s="56" t="n">
        <v>2400</v>
      </c>
      <c r="G19" s="56" t="n">
        <v>2400</v>
      </c>
      <c r="H19" s="9" t="n">
        <v>0</v>
      </c>
      <c r="I19" s="9"/>
      <c r="J19" s="216"/>
      <c r="L19" s="0"/>
      <c r="M19" s="0"/>
      <c r="P19" s="0"/>
      <c r="S19" s="0"/>
      <c r="V19" s="0"/>
      <c r="X19" s="0"/>
    </row>
    <row r="20" customFormat="false" ht="19.85" hidden="false" customHeight="true" outlineLevel="0" collapsed="false">
      <c r="A20" s="1" t="n">
        <v>30</v>
      </c>
      <c r="B20" s="31" t="n">
        <v>39753</v>
      </c>
      <c r="C20" s="1" t="n">
        <v>968384</v>
      </c>
      <c r="D20" s="9" t="s">
        <v>41</v>
      </c>
      <c r="E20" s="33" t="n">
        <f aca="false">IF(D20="totale",(C20/(A20*24))/F20,IF(D20="marché libre",(C20/(A20*24))/G20,"spécifier histo"))</f>
        <v>0.560407407407407</v>
      </c>
      <c r="F20" s="56" t="n">
        <v>2400</v>
      </c>
      <c r="G20" s="56" t="n">
        <v>2400</v>
      </c>
      <c r="H20" s="9" t="n">
        <v>0</v>
      </c>
      <c r="I20" s="9"/>
      <c r="J20" s="216"/>
      <c r="L20" s="0"/>
      <c r="M20" s="0"/>
      <c r="P20" s="0"/>
      <c r="S20" s="0"/>
      <c r="V20" s="0"/>
      <c r="X20" s="0"/>
    </row>
    <row r="21" customFormat="false" ht="19.85" hidden="false" customHeight="true" outlineLevel="0" collapsed="false">
      <c r="A21" s="1" t="n">
        <v>31</v>
      </c>
      <c r="B21" s="34" t="n">
        <v>39783</v>
      </c>
      <c r="C21" s="1" t="n">
        <v>423886</v>
      </c>
      <c r="D21" s="9" t="s">
        <v>41</v>
      </c>
      <c r="E21" s="33" t="n">
        <f aca="false">IF(D21="totale",(C21/(A21*24))/F21,IF(D21="marché libre",(C21/(A21*24))/G21,"spécifier histo"))</f>
        <v>0.237391353046595</v>
      </c>
      <c r="F21" s="56" t="n">
        <v>2400</v>
      </c>
      <c r="G21" s="56" t="n">
        <v>2400</v>
      </c>
      <c r="H21" s="9" t="n">
        <v>0</v>
      </c>
      <c r="I21" s="9"/>
      <c r="J21" s="216"/>
      <c r="L21" s="0"/>
      <c r="M21" s="0"/>
      <c r="P21" s="0"/>
      <c r="S21" s="0"/>
      <c r="V21" s="0"/>
      <c r="X21" s="0"/>
    </row>
    <row r="22" customFormat="false" ht="19.85" hidden="false" customHeight="true" outlineLevel="0" collapsed="false">
      <c r="A22" s="1" t="n">
        <v>31</v>
      </c>
      <c r="B22" s="31" t="n">
        <v>39814</v>
      </c>
      <c r="C22" s="1" t="n">
        <v>353561</v>
      </c>
      <c r="D22" s="9" t="s">
        <v>41</v>
      </c>
      <c r="E22" s="33" t="n">
        <f aca="false">IF(D22="totale",(C22/(A22*24))/F22,IF(D22="marché libre",(C22/(A22*24))/G22,"spécifier histo"))</f>
        <v>0.198006832437276</v>
      </c>
      <c r="F22" s="56" t="n">
        <v>2400</v>
      </c>
      <c r="G22" s="56" t="n">
        <v>2400</v>
      </c>
      <c r="H22" s="9" t="n">
        <v>0</v>
      </c>
      <c r="I22" s="9"/>
      <c r="J22" s="216"/>
      <c r="L22" s="0"/>
      <c r="M22" s="0"/>
      <c r="P22" s="0"/>
      <c r="S22" s="0"/>
      <c r="V22" s="0"/>
      <c r="X22" s="0"/>
    </row>
    <row r="23" customFormat="false" ht="19.85" hidden="false" customHeight="true" outlineLevel="0" collapsed="false">
      <c r="A23" s="1" t="n">
        <v>28</v>
      </c>
      <c r="B23" s="34" t="n">
        <v>39845</v>
      </c>
      <c r="C23" s="1" t="n">
        <v>312850</v>
      </c>
      <c r="D23" s="9" t="s">
        <v>41</v>
      </c>
      <c r="E23" s="33" t="n">
        <f aca="false">IF(D23="totale",(C23/(A23*24))/F23,IF(D23="marché libre",(C23/(A23*24))/G23,"spécifier histo"))</f>
        <v>0.19397941468254</v>
      </c>
      <c r="F23" s="56" t="n">
        <v>2400</v>
      </c>
      <c r="G23" s="56" t="n">
        <v>2400</v>
      </c>
      <c r="H23" s="9" t="n">
        <v>0</v>
      </c>
      <c r="I23" s="9"/>
      <c r="J23" s="216"/>
      <c r="L23" s="0"/>
      <c r="M23" s="0"/>
      <c r="P23" s="0"/>
      <c r="S23" s="0"/>
      <c r="V23" s="0"/>
      <c r="X23" s="0"/>
    </row>
    <row r="24" customFormat="false" ht="19.85" hidden="false" customHeight="true" outlineLevel="0" collapsed="false">
      <c r="A24" s="1" t="n">
        <v>31</v>
      </c>
      <c r="B24" s="31" t="n">
        <v>39873</v>
      </c>
      <c r="C24" s="1" t="n">
        <v>796839</v>
      </c>
      <c r="D24" s="9" t="s">
        <v>41</v>
      </c>
      <c r="E24" s="33" t="n">
        <f aca="false">IF(D24="totale",(C24/(A24*24))/F24,IF(D24="marché libre",(C24/(A24*24))/G24,"spécifier histo"))</f>
        <v>0.446258400537634</v>
      </c>
      <c r="F24" s="56" t="n">
        <v>2400</v>
      </c>
      <c r="G24" s="56" t="n">
        <v>2400</v>
      </c>
      <c r="H24" s="9" t="n">
        <v>0</v>
      </c>
      <c r="I24" s="9"/>
      <c r="J24" s="216"/>
      <c r="L24" s="0"/>
      <c r="M24" s="0"/>
      <c r="P24" s="0"/>
      <c r="S24" s="0"/>
      <c r="V24" s="0"/>
      <c r="X24" s="0"/>
    </row>
    <row r="25" customFormat="false" ht="19.85" hidden="false" customHeight="true" outlineLevel="0" collapsed="false">
      <c r="A25" s="1" t="n">
        <v>30</v>
      </c>
      <c r="B25" s="34" t="n">
        <v>39904</v>
      </c>
      <c r="C25" s="1" t="n">
        <v>1415897</v>
      </c>
      <c r="D25" s="9" t="s">
        <v>41</v>
      </c>
      <c r="E25" s="33" t="n">
        <f aca="false">IF(D25="totale",(C25/(A25*24))/F25,IF(D25="marché libre",(C25/(A25*24))/G25,"spécifier histo"))</f>
        <v>0.819384837962963</v>
      </c>
      <c r="F25" s="56" t="n">
        <v>2400</v>
      </c>
      <c r="G25" s="56" t="n">
        <v>2400</v>
      </c>
      <c r="H25" s="9" t="n">
        <v>0</v>
      </c>
      <c r="I25" s="9"/>
      <c r="J25" s="216"/>
      <c r="L25" s="0"/>
      <c r="M25" s="0"/>
      <c r="P25" s="0"/>
      <c r="S25" s="0"/>
      <c r="V25" s="0"/>
      <c r="X25" s="0"/>
    </row>
    <row r="26" customFormat="false" ht="19.85" hidden="false" customHeight="true" outlineLevel="0" collapsed="false">
      <c r="A26" s="1" t="n">
        <v>31</v>
      </c>
      <c r="B26" s="31" t="n">
        <v>39934</v>
      </c>
      <c r="C26" s="1" t="n">
        <v>450655</v>
      </c>
      <c r="D26" s="9" t="s">
        <v>41</v>
      </c>
      <c r="E26" s="33" t="n">
        <f aca="false">IF(D26="totale",(C26/(A26*24))/F26,IF(D26="marché libre",(C26/(A26*24))/G26,"spécifier histo"))</f>
        <v>0.252382952508961</v>
      </c>
      <c r="F26" s="56" t="n">
        <v>2400</v>
      </c>
      <c r="G26" s="56" t="n">
        <v>2400</v>
      </c>
      <c r="H26" s="9" t="n">
        <v>0</v>
      </c>
      <c r="I26" s="9"/>
      <c r="J26" s="216"/>
      <c r="L26" s="0"/>
      <c r="M26" s="0"/>
      <c r="P26" s="0"/>
      <c r="S26" s="0"/>
      <c r="V26" s="0"/>
      <c r="X26" s="0"/>
    </row>
    <row r="27" customFormat="false" ht="19.85" hidden="false" customHeight="true" outlineLevel="0" collapsed="false">
      <c r="A27" s="1" t="n">
        <v>30</v>
      </c>
      <c r="B27" s="34" t="n">
        <v>39965</v>
      </c>
      <c r="C27" s="1" t="n">
        <v>1579227</v>
      </c>
      <c r="D27" s="9" t="s">
        <v>41</v>
      </c>
      <c r="E27" s="33" t="n">
        <f aca="false">IF(D27="totale",(C27/(A27*24))/F27,IF(D27="marché libre",(C27/(A27*24))/G27,"spécifier histo"))</f>
        <v>0.913904513888889</v>
      </c>
      <c r="F27" s="56" t="n">
        <v>2400</v>
      </c>
      <c r="G27" s="56" t="n">
        <v>2400</v>
      </c>
      <c r="H27" s="9" t="n">
        <v>0</v>
      </c>
      <c r="I27" s="9"/>
      <c r="J27" s="216"/>
      <c r="L27" s="0"/>
      <c r="M27" s="0"/>
      <c r="P27" s="0"/>
      <c r="S27" s="0"/>
      <c r="V27" s="0"/>
      <c r="X27" s="0"/>
    </row>
    <row r="28" customFormat="false" ht="19.85" hidden="false" customHeight="true" outlineLevel="0" collapsed="false">
      <c r="A28" s="1" t="n">
        <v>31</v>
      </c>
      <c r="B28" s="31" t="n">
        <v>39995</v>
      </c>
      <c r="C28" s="1" t="n">
        <v>1035831</v>
      </c>
      <c r="D28" s="9" t="s">
        <v>41</v>
      </c>
      <c r="E28" s="33" t="n">
        <f aca="false">IF(D28="totale",(C28/(A28*24))/F28,IF(D28="marché libre",(C28/(A28*24))/G28,"spécifier histo"))</f>
        <v>0.58010248655914</v>
      </c>
      <c r="F28" s="56" t="n">
        <v>2400</v>
      </c>
      <c r="G28" s="56" t="n">
        <v>2400</v>
      </c>
      <c r="H28" s="9" t="n">
        <v>0</v>
      </c>
      <c r="I28" s="9"/>
      <c r="J28" s="216"/>
      <c r="L28" s="0"/>
      <c r="M28" s="0"/>
      <c r="P28" s="0"/>
      <c r="S28" s="0"/>
      <c r="V28" s="0"/>
      <c r="X28" s="0"/>
    </row>
    <row r="29" customFormat="false" ht="19.85" hidden="false" customHeight="true" outlineLevel="0" collapsed="false">
      <c r="A29" s="1" t="n">
        <v>31</v>
      </c>
      <c r="B29" s="34" t="n">
        <v>40026</v>
      </c>
      <c r="C29" s="1" t="n">
        <v>290079</v>
      </c>
      <c r="D29" s="9" t="s">
        <v>41</v>
      </c>
      <c r="E29" s="33" t="n">
        <f aca="false">IF(D29="totale",(C29/(A29*24))/F29,IF(D29="marché libre",(C29/(A29*24))/G29,"spécifier histo"))</f>
        <v>0.162454637096774</v>
      </c>
      <c r="F29" s="56" t="n">
        <v>2400</v>
      </c>
      <c r="G29" s="56" t="n">
        <v>2400</v>
      </c>
      <c r="H29" s="9" t="n">
        <v>0</v>
      </c>
      <c r="I29" s="9"/>
      <c r="J29" s="216"/>
      <c r="L29" s="0"/>
      <c r="M29" s="0"/>
      <c r="P29" s="0"/>
      <c r="S29" s="0"/>
      <c r="V29" s="0"/>
      <c r="X29" s="0"/>
    </row>
    <row r="30" customFormat="false" ht="19.85" hidden="false" customHeight="true" outlineLevel="0" collapsed="false">
      <c r="A30" s="1" t="n">
        <v>30</v>
      </c>
      <c r="B30" s="31" t="n">
        <v>40057</v>
      </c>
      <c r="C30" s="1" t="n">
        <v>176472</v>
      </c>
      <c r="D30" s="9" t="s">
        <v>41</v>
      </c>
      <c r="E30" s="33" t="n">
        <f aca="false">IF(D30="totale",(C30/(A30*24))/F30,IF(D30="marché libre",(C30/(A30*24))/G30,"spécifier histo"))</f>
        <v>0.102125</v>
      </c>
      <c r="F30" s="56" t="n">
        <v>2400</v>
      </c>
      <c r="G30" s="56" t="n">
        <v>2400</v>
      </c>
      <c r="H30" s="9" t="n">
        <v>0</v>
      </c>
      <c r="I30" s="9"/>
      <c r="J30" s="216"/>
      <c r="L30" s="0"/>
      <c r="M30" s="0"/>
      <c r="P30" s="0"/>
      <c r="S30" s="0"/>
      <c r="V30" s="0"/>
      <c r="X30" s="0"/>
    </row>
    <row r="31" customFormat="false" ht="19.85" hidden="false" customHeight="true" outlineLevel="0" collapsed="false">
      <c r="A31" s="1" t="n">
        <v>31</v>
      </c>
      <c r="B31" s="34" t="n">
        <v>40087</v>
      </c>
      <c r="C31" s="1" t="n">
        <v>555507</v>
      </c>
      <c r="D31" s="9" t="s">
        <v>41</v>
      </c>
      <c r="E31" s="33" t="n">
        <f aca="false">IF(D31="totale",(C31/(A31*24))/F31,IF(D31="marché libre",(C31/(A31*24))/G31,"spécifier histo"))</f>
        <v>0.311103830645161</v>
      </c>
      <c r="F31" s="56" t="n">
        <v>2400</v>
      </c>
      <c r="G31" s="56" t="n">
        <v>2400</v>
      </c>
      <c r="H31" s="9" t="n">
        <v>0</v>
      </c>
      <c r="I31" s="9"/>
      <c r="J31" s="216"/>
      <c r="L31" s="0"/>
      <c r="M31" s="0"/>
      <c r="P31" s="0"/>
      <c r="S31" s="0"/>
      <c r="V31" s="0"/>
      <c r="X31" s="0"/>
    </row>
    <row r="32" customFormat="false" ht="19.85" hidden="false" customHeight="true" outlineLevel="0" collapsed="false">
      <c r="A32" s="1" t="n">
        <v>30</v>
      </c>
      <c r="B32" s="31" t="n">
        <v>40118</v>
      </c>
      <c r="C32" s="1" t="n">
        <v>599125</v>
      </c>
      <c r="D32" s="9" t="s">
        <v>41</v>
      </c>
      <c r="E32" s="33" t="n">
        <f aca="false">IF(D32="totale",(C32/(A32*24))/F32,IF(D32="marché libre",(C32/(A32*24))/G32,"spécifier histo"))</f>
        <v>0.346715856481481</v>
      </c>
      <c r="F32" s="56" t="n">
        <v>2400</v>
      </c>
      <c r="G32" s="56" t="n">
        <v>2400</v>
      </c>
      <c r="H32" s="9" t="n">
        <v>0</v>
      </c>
      <c r="I32" s="9"/>
      <c r="J32" s="216"/>
      <c r="L32" s="0"/>
      <c r="M32" s="0"/>
      <c r="P32" s="0"/>
      <c r="S32" s="0"/>
      <c r="V32" s="0"/>
      <c r="X32" s="0"/>
    </row>
    <row r="33" customFormat="false" ht="19.85" hidden="false" customHeight="true" outlineLevel="0" collapsed="false">
      <c r="A33" s="1" t="n">
        <v>31</v>
      </c>
      <c r="B33" s="34" t="n">
        <v>40148</v>
      </c>
      <c r="C33" s="1" t="n">
        <v>733932</v>
      </c>
      <c r="D33" s="9" t="s">
        <v>41</v>
      </c>
      <c r="E33" s="33" t="n">
        <f aca="false">IF(D33="totale",(C33/(A33*24))/F33,IF(D33="marché libre",(C33/(A33*24))/G33,"spécifier histo"))</f>
        <v>0.411028225806452</v>
      </c>
      <c r="F33" s="56" t="n">
        <v>2400</v>
      </c>
      <c r="G33" s="56" t="n">
        <v>2400</v>
      </c>
      <c r="H33" s="9" t="n">
        <v>0</v>
      </c>
      <c r="I33" s="9"/>
      <c r="J33" s="216"/>
      <c r="L33" s="0"/>
      <c r="M33" s="0"/>
      <c r="P33" s="0"/>
      <c r="S33" s="0"/>
      <c r="V33" s="0"/>
      <c r="X33" s="0"/>
    </row>
    <row r="34" customFormat="false" ht="19.85" hidden="false" customHeight="true" outlineLevel="0" collapsed="false">
      <c r="A34" s="1" t="n">
        <v>31</v>
      </c>
      <c r="B34" s="31" t="n">
        <v>40179</v>
      </c>
      <c r="C34" s="1" t="n">
        <v>604345</v>
      </c>
      <c r="D34" s="9" t="s">
        <v>41</v>
      </c>
      <c r="E34" s="33" t="n">
        <f aca="false">IF(D34="totale",(C34/(A34*24))/F34,IF(D34="marché libre",(C34/(A34*24))/G34,"spécifier histo"))</f>
        <v>0.338454861111111</v>
      </c>
      <c r="F34" s="56" t="n">
        <v>2400</v>
      </c>
      <c r="G34" s="56" t="n">
        <v>2400</v>
      </c>
      <c r="H34" s="9" t="n">
        <v>0</v>
      </c>
      <c r="I34" s="9"/>
      <c r="J34" s="216"/>
      <c r="L34" s="0"/>
      <c r="M34" s="0"/>
      <c r="P34" s="0"/>
      <c r="S34" s="0"/>
      <c r="V34" s="0"/>
      <c r="X34" s="0"/>
    </row>
    <row r="35" customFormat="false" ht="19.85" hidden="false" customHeight="true" outlineLevel="0" collapsed="false">
      <c r="A35" s="1" t="n">
        <v>28</v>
      </c>
      <c r="B35" s="34" t="n">
        <v>40210</v>
      </c>
      <c r="C35" s="1" t="n">
        <v>342307</v>
      </c>
      <c r="D35" s="9" t="s">
        <v>41</v>
      </c>
      <c r="E35" s="33" t="n">
        <f aca="false">IF(D35="totale",(C35/(A35*24))/F35,IF(D35="marché libre",(C35/(A35*24))/G35,"spécifier histo"))</f>
        <v>0.212243923611111</v>
      </c>
      <c r="F35" s="56" t="n">
        <v>2400</v>
      </c>
      <c r="G35" s="56" t="n">
        <v>2400</v>
      </c>
      <c r="H35" s="9" t="n">
        <v>0</v>
      </c>
      <c r="I35" s="9"/>
      <c r="J35" s="216"/>
      <c r="L35" s="0"/>
      <c r="M35" s="0"/>
      <c r="P35" s="0"/>
      <c r="S35" s="0"/>
      <c r="V35" s="0"/>
      <c r="X35" s="0"/>
    </row>
    <row r="36" customFormat="false" ht="19.85" hidden="false" customHeight="true" outlineLevel="0" collapsed="false">
      <c r="A36" s="1" t="n">
        <v>31</v>
      </c>
      <c r="B36" s="31" t="n">
        <v>40238</v>
      </c>
      <c r="C36" s="1" t="n">
        <v>915166</v>
      </c>
      <c r="D36" s="9" t="s">
        <v>41</v>
      </c>
      <c r="E36" s="33" t="n">
        <f aca="false">IF(D36="totale",(C36/(A36*24))/F36,IF(D36="marché libre",(C36/(A36*24))/G36,"spécifier histo"))</f>
        <v>0.512525761648746</v>
      </c>
      <c r="F36" s="56" t="n">
        <v>2400</v>
      </c>
      <c r="G36" s="56" t="n">
        <v>2400</v>
      </c>
      <c r="H36" s="9" t="n">
        <v>0</v>
      </c>
      <c r="I36" s="9"/>
      <c r="J36" s="216"/>
      <c r="L36" s="0"/>
      <c r="M36" s="0"/>
      <c r="P36" s="0"/>
      <c r="S36" s="0"/>
      <c r="V36" s="0"/>
      <c r="X36" s="0"/>
    </row>
    <row r="37" customFormat="false" ht="19.85" hidden="false" customHeight="true" outlineLevel="0" collapsed="false">
      <c r="A37" s="1" t="n">
        <v>30</v>
      </c>
      <c r="B37" s="34" t="n">
        <v>40269</v>
      </c>
      <c r="C37" s="1" t="n">
        <v>1391011</v>
      </c>
      <c r="D37" s="9" t="s">
        <v>41</v>
      </c>
      <c r="E37" s="33" t="n">
        <f aca="false">IF(D37="totale",(C37/(A37*24))/F37,IF(D37="marché libre",(C37/(A37*24))/G37,"spécifier histo"))</f>
        <v>0.804983217592593</v>
      </c>
      <c r="F37" s="56" t="n">
        <v>2400</v>
      </c>
      <c r="G37" s="56" t="n">
        <v>2400</v>
      </c>
      <c r="H37" s="9" t="n">
        <v>0</v>
      </c>
      <c r="I37" s="9"/>
      <c r="J37" s="216"/>
      <c r="L37" s="0"/>
      <c r="M37" s="0"/>
      <c r="P37" s="0"/>
      <c r="S37" s="0"/>
      <c r="V37" s="0"/>
      <c r="X37" s="0"/>
    </row>
    <row r="38" customFormat="false" ht="19.85" hidden="false" customHeight="true" outlineLevel="0" collapsed="false">
      <c r="A38" s="1" t="n">
        <v>31</v>
      </c>
      <c r="B38" s="31" t="n">
        <v>40299</v>
      </c>
      <c r="C38" s="1" t="n">
        <v>1653603</v>
      </c>
      <c r="D38" s="9" t="s">
        <v>41</v>
      </c>
      <c r="E38" s="33" t="n">
        <f aca="false">IF(D38="totale",(C38/(A38*24))/F38,IF(D38="marché libre",(C38/(A38*24))/G38,"spécifier histo"))</f>
        <v>0.926076948924731</v>
      </c>
      <c r="F38" s="56" t="n">
        <v>2400</v>
      </c>
      <c r="G38" s="56" t="n">
        <v>2400</v>
      </c>
      <c r="H38" s="9" t="n">
        <v>0</v>
      </c>
      <c r="I38" s="9"/>
      <c r="J38" s="216"/>
      <c r="L38" s="0"/>
      <c r="M38" s="0"/>
      <c r="P38" s="0"/>
      <c r="S38" s="0"/>
      <c r="V38" s="0"/>
    </row>
    <row r="39" customFormat="false" ht="19.85" hidden="false" customHeight="true" outlineLevel="0" collapsed="false">
      <c r="A39" s="1" t="n">
        <v>30</v>
      </c>
      <c r="B39" s="34" t="n">
        <v>40330</v>
      </c>
      <c r="C39" s="1" t="n">
        <v>1441911</v>
      </c>
      <c r="D39" s="9" t="s">
        <v>41</v>
      </c>
      <c r="E39" s="33" t="n">
        <f aca="false">IF(D39="totale",(C39/(A39*24))/F39,IF(D39="marché libre",(C39/(A39*24))/G39,"spécifier histo"))</f>
        <v>0.834439236111111</v>
      </c>
      <c r="F39" s="56" t="n">
        <v>2400</v>
      </c>
      <c r="G39" s="56" t="n">
        <v>2400</v>
      </c>
      <c r="H39" s="9" t="n">
        <v>0</v>
      </c>
      <c r="I39" s="9"/>
      <c r="J39" s="216"/>
      <c r="L39" s="0"/>
      <c r="M39" s="0"/>
      <c r="P39" s="0"/>
      <c r="S39" s="0"/>
      <c r="V39" s="0"/>
    </row>
    <row r="40" customFormat="false" ht="19.85" hidden="false" customHeight="true" outlineLevel="0" collapsed="false">
      <c r="A40" s="1" t="n">
        <v>31</v>
      </c>
      <c r="B40" s="31" t="n">
        <v>40360</v>
      </c>
      <c r="C40" s="1" t="n">
        <v>953871</v>
      </c>
      <c r="D40" s="9" t="s">
        <v>41</v>
      </c>
      <c r="E40" s="33" t="n">
        <f aca="false">IF(D40="totale",(C40/(A40*24))/F40,IF(D40="marché libre",(C40/(A40*24))/G40,"spécifier histo"))</f>
        <v>0.534201948924731</v>
      </c>
      <c r="F40" s="56" t="n">
        <v>2400</v>
      </c>
      <c r="G40" s="56" t="n">
        <v>2400</v>
      </c>
      <c r="H40" s="9" t="n">
        <v>0</v>
      </c>
      <c r="I40" s="9"/>
      <c r="J40" s="216"/>
      <c r="L40" s="0"/>
      <c r="M40" s="0"/>
      <c r="P40" s="0"/>
      <c r="S40" s="0"/>
      <c r="V40" s="0"/>
    </row>
    <row r="41" customFormat="false" ht="19.85" hidden="false" customHeight="true" outlineLevel="0" collapsed="false">
      <c r="A41" s="1" t="n">
        <v>31</v>
      </c>
      <c r="B41" s="34" t="n">
        <v>40391</v>
      </c>
      <c r="C41" s="1" t="n">
        <v>527194</v>
      </c>
      <c r="D41" s="9" t="s">
        <v>41</v>
      </c>
      <c r="E41" s="33" t="n">
        <f aca="false">IF(D41="totale",(C41/(A41*24))/F41,IF(D41="marché libre",(C41/(A41*24))/G41,"spécifier histo"))</f>
        <v>0.295247535842294</v>
      </c>
      <c r="F41" s="56" t="n">
        <v>2400</v>
      </c>
      <c r="G41" s="56" t="n">
        <v>2400</v>
      </c>
      <c r="H41" s="9" t="n">
        <v>0</v>
      </c>
      <c r="I41" s="9"/>
      <c r="J41" s="216"/>
      <c r="L41" s="0"/>
      <c r="M41" s="0"/>
      <c r="P41" s="0"/>
      <c r="S41" s="0"/>
      <c r="V41" s="0"/>
    </row>
    <row r="42" customFormat="false" ht="19.85" hidden="false" customHeight="true" outlineLevel="0" collapsed="false">
      <c r="A42" s="1" t="n">
        <v>30</v>
      </c>
      <c r="B42" s="31" t="n">
        <v>40422</v>
      </c>
      <c r="C42" s="1" t="n">
        <v>474145</v>
      </c>
      <c r="D42" s="9" t="s">
        <v>41</v>
      </c>
      <c r="E42" s="33" t="n">
        <f aca="false">IF(D42="totale",(C42/(A42*24))/F42,IF(D42="marché libre",(C42/(A42*24))/G42,"spécifier histo"))</f>
        <v>0.274389467592593</v>
      </c>
      <c r="F42" s="56" t="n">
        <v>2400</v>
      </c>
      <c r="G42" s="56" t="n">
        <v>2400</v>
      </c>
      <c r="H42" s="9" t="n">
        <v>0</v>
      </c>
      <c r="I42" s="9"/>
      <c r="J42" s="216"/>
      <c r="L42" s="0"/>
      <c r="M42" s="0"/>
      <c r="P42" s="0"/>
      <c r="S42" s="0"/>
      <c r="V42" s="0"/>
    </row>
    <row r="43" customFormat="false" ht="19.85" hidden="false" customHeight="true" outlineLevel="0" collapsed="false">
      <c r="A43" s="1" t="n">
        <v>31</v>
      </c>
      <c r="B43" s="34" t="n">
        <v>40452</v>
      </c>
      <c r="C43" s="1" t="n">
        <v>716747</v>
      </c>
      <c r="D43" s="9" t="s">
        <v>41</v>
      </c>
      <c r="E43" s="33" t="n">
        <f aca="false">IF(D43="totale",(C43/(A43*24))/F43,IF(D43="marché libre",(C43/(A43*24))/G43,"spécifier histo"))</f>
        <v>0.401404009856631</v>
      </c>
      <c r="F43" s="56" t="n">
        <v>2400</v>
      </c>
      <c r="G43" s="56" t="n">
        <v>2400</v>
      </c>
      <c r="H43" s="9" t="n">
        <v>0</v>
      </c>
      <c r="I43" s="9"/>
      <c r="J43" s="216"/>
      <c r="L43" s="0"/>
      <c r="M43" s="0"/>
      <c r="P43" s="0"/>
      <c r="S43" s="0"/>
      <c r="V43" s="0"/>
    </row>
    <row r="44" customFormat="false" ht="19.85" hidden="false" customHeight="true" outlineLevel="0" collapsed="false">
      <c r="A44" s="1" t="n">
        <v>30</v>
      </c>
      <c r="B44" s="31" t="n">
        <v>40483</v>
      </c>
      <c r="C44" s="1" t="n">
        <v>1004833</v>
      </c>
      <c r="D44" s="9" t="s">
        <v>41</v>
      </c>
      <c r="E44" s="33" t="n">
        <f aca="false">IF(D44="totale",(C44/(A44*24))/F44,IF(D44="marché libre",(C44/(A44*24))/G44,"spécifier histo"))</f>
        <v>0.581500578703704</v>
      </c>
      <c r="F44" s="56" t="n">
        <v>2400</v>
      </c>
      <c r="G44" s="56" t="n">
        <v>2400</v>
      </c>
      <c r="H44" s="9" t="n">
        <v>0</v>
      </c>
      <c r="I44" s="9"/>
      <c r="J44" s="216"/>
      <c r="L44" s="0"/>
      <c r="M44" s="0"/>
      <c r="P44" s="0"/>
      <c r="S44" s="0"/>
      <c r="V44" s="0"/>
    </row>
    <row r="45" customFormat="false" ht="19.85" hidden="false" customHeight="true" outlineLevel="0" collapsed="false">
      <c r="A45" s="1" t="n">
        <v>31</v>
      </c>
      <c r="B45" s="34" t="n">
        <v>40513</v>
      </c>
      <c r="C45" s="1" t="n">
        <v>1035236</v>
      </c>
      <c r="D45" s="9" t="s">
        <v>41</v>
      </c>
      <c r="E45" s="33" t="n">
        <f aca="false">IF(D45="totale",(C45/(A45*24))/F45,IF(D45="marché libre",(C45/(A45*24))/G45,"spécifier histo"))</f>
        <v>0.579769265232975</v>
      </c>
      <c r="F45" s="56" t="n">
        <v>2400</v>
      </c>
      <c r="G45" s="56" t="n">
        <v>2400</v>
      </c>
      <c r="H45" s="9" t="n">
        <v>0</v>
      </c>
      <c r="I45" s="9"/>
      <c r="J45" s="216"/>
      <c r="L45" s="0"/>
      <c r="M45" s="0"/>
      <c r="P45" s="0"/>
      <c r="S45" s="0"/>
      <c r="V45" s="0"/>
    </row>
    <row r="46" customFormat="false" ht="19.85" hidden="false" customHeight="true" outlineLevel="0" collapsed="false">
      <c r="A46" s="1" t="n">
        <v>31</v>
      </c>
      <c r="B46" s="31" t="n">
        <v>40544</v>
      </c>
      <c r="C46" s="1" t="n">
        <v>812405</v>
      </c>
      <c r="D46" s="9" t="s">
        <v>41</v>
      </c>
      <c r="E46" s="33" t="n">
        <f aca="false">IF(D46="totale",(C46/(A46*24))/F46,IF(D46="marché libre",(C46/(A46*24))/G46,"spécifier histo"))</f>
        <v>0.454975918458781</v>
      </c>
      <c r="F46" s="56" t="n">
        <v>2400</v>
      </c>
      <c r="G46" s="56" t="n">
        <v>2400</v>
      </c>
      <c r="H46" s="9" t="n">
        <v>0</v>
      </c>
      <c r="I46" s="9"/>
      <c r="J46" s="216"/>
      <c r="L46" s="0"/>
      <c r="M46" s="0"/>
      <c r="P46" s="0"/>
      <c r="S46" s="0"/>
      <c r="V46" s="0"/>
    </row>
    <row r="47" customFormat="false" ht="19.85" hidden="false" customHeight="true" outlineLevel="0" collapsed="false">
      <c r="A47" s="1" t="n">
        <v>28</v>
      </c>
      <c r="B47" s="34" t="n">
        <v>40575</v>
      </c>
      <c r="C47" s="1" t="n">
        <v>467202</v>
      </c>
      <c r="D47" s="9" t="s">
        <v>41</v>
      </c>
      <c r="E47" s="33" t="n">
        <f aca="false">IF(D47="totale",(C47/(A47*24))/F47,IF(D47="marché libre",(C47/(A47*24))/G47,"spécifier histo"))</f>
        <v>0.289683779761905</v>
      </c>
      <c r="F47" s="56" t="n">
        <v>2400</v>
      </c>
      <c r="G47" s="56" t="n">
        <v>2400</v>
      </c>
      <c r="H47" s="9" t="n">
        <v>0</v>
      </c>
      <c r="I47" s="9"/>
      <c r="J47" s="216"/>
      <c r="L47" s="0"/>
      <c r="M47" s="0"/>
      <c r="P47" s="0"/>
      <c r="S47" s="0"/>
      <c r="V47" s="0"/>
    </row>
    <row r="48" customFormat="false" ht="19.85" hidden="false" customHeight="true" outlineLevel="0" collapsed="false">
      <c r="A48" s="1" t="n">
        <v>31</v>
      </c>
      <c r="B48" s="31" t="n">
        <v>40603</v>
      </c>
      <c r="C48" s="1" t="n">
        <v>758049</v>
      </c>
      <c r="D48" s="9" t="s">
        <v>41</v>
      </c>
      <c r="E48" s="33" t="n">
        <f aca="false">IF(D48="totale",(C48/(A48*24))/F48,IF(D48="marché libre",(C48/(A48*24))/G48,"spécifier histo"))</f>
        <v>0.424534610215054</v>
      </c>
      <c r="F48" s="56" t="n">
        <v>2400</v>
      </c>
      <c r="G48" s="56" t="n">
        <v>2400</v>
      </c>
      <c r="H48" s="9" t="n">
        <v>0</v>
      </c>
      <c r="I48" s="9"/>
      <c r="J48" s="216"/>
      <c r="L48" s="0"/>
      <c r="M48" s="0"/>
      <c r="P48" s="0"/>
      <c r="S48" s="0"/>
      <c r="V48" s="0"/>
    </row>
    <row r="49" customFormat="false" ht="19.85" hidden="false" customHeight="true" outlineLevel="0" collapsed="false">
      <c r="A49" s="1" t="n">
        <v>30</v>
      </c>
      <c r="B49" s="34" t="n">
        <v>40634</v>
      </c>
      <c r="C49" s="1" t="n">
        <v>1566907</v>
      </c>
      <c r="D49" s="9" t="s">
        <v>41</v>
      </c>
      <c r="E49" s="33" t="n">
        <f aca="false">IF(D49="totale",(C49/(A49*24))/F49,IF(D49="marché libre",(C49/(A49*24))/G49,"spécifier histo"))</f>
        <v>0.906774884259259</v>
      </c>
      <c r="F49" s="56" t="n">
        <v>2400</v>
      </c>
      <c r="G49" s="56" t="n">
        <v>2400</v>
      </c>
      <c r="H49" s="9" t="n">
        <v>0</v>
      </c>
      <c r="I49" s="9"/>
      <c r="J49" s="216"/>
      <c r="L49" s="0"/>
      <c r="M49" s="0"/>
      <c r="P49" s="0"/>
      <c r="S49" s="0"/>
      <c r="V49" s="0"/>
    </row>
    <row r="50" customFormat="false" ht="19.85" hidden="false" customHeight="true" outlineLevel="0" collapsed="false">
      <c r="A50" s="1" t="n">
        <v>31</v>
      </c>
      <c r="B50" s="31" t="n">
        <v>40664</v>
      </c>
      <c r="C50" s="1" t="n">
        <v>1653406</v>
      </c>
      <c r="D50" s="9" t="s">
        <v>41</v>
      </c>
      <c r="E50" s="33" t="n">
        <f aca="false">IF(D50="totale",(C50/(A50*24))/F50,IF(D50="marché libre",(C50/(A50*24))/G50,"spécifier histo"))</f>
        <v>0.925966621863799</v>
      </c>
      <c r="F50" s="56" t="n">
        <v>2400</v>
      </c>
      <c r="G50" s="56" t="n">
        <v>2400</v>
      </c>
      <c r="H50" s="9" t="n">
        <v>0</v>
      </c>
      <c r="I50" s="9"/>
      <c r="J50" s="216"/>
      <c r="L50" s="0"/>
      <c r="M50" s="0"/>
      <c r="P50" s="0"/>
      <c r="S50" s="0"/>
      <c r="V50" s="0"/>
    </row>
    <row r="51" customFormat="false" ht="19.85" hidden="false" customHeight="true" outlineLevel="0" collapsed="false">
      <c r="A51" s="1" t="n">
        <v>30</v>
      </c>
      <c r="B51" s="34" t="n">
        <v>40695</v>
      </c>
      <c r="C51" s="1" t="n">
        <v>1304828</v>
      </c>
      <c r="D51" s="9" t="s">
        <v>41</v>
      </c>
      <c r="E51" s="33" t="n">
        <f aca="false">IF(D51="totale",(C51/(A51*24))/F51,IF(D51="marché libre",(C51/(A51*24))/G51,"spécifier histo"))</f>
        <v>0.755108796296296</v>
      </c>
      <c r="F51" s="56" t="n">
        <v>2400</v>
      </c>
      <c r="G51" s="56" t="n">
        <v>2400</v>
      </c>
      <c r="H51" s="9" t="n">
        <v>0</v>
      </c>
      <c r="I51" s="9"/>
      <c r="J51" s="216"/>
      <c r="L51" s="0"/>
      <c r="M51" s="0"/>
      <c r="P51" s="0"/>
      <c r="S51" s="0"/>
      <c r="V51" s="0"/>
    </row>
    <row r="52" customFormat="false" ht="19.85" hidden="false" customHeight="true" outlineLevel="0" collapsed="false">
      <c r="A52" s="1" t="n">
        <v>31</v>
      </c>
      <c r="B52" s="31" t="n">
        <v>40725</v>
      </c>
      <c r="C52" s="1" t="n">
        <v>584634</v>
      </c>
      <c r="D52" s="9" t="s">
        <v>41</v>
      </c>
      <c r="E52" s="33" t="n">
        <f aca="false">IF(D52="totale",(C52/(A52*24))/F52,IF(D52="marché libre",(C52/(A52*24))/G52,"spécifier histo"))</f>
        <v>0.327415994623656</v>
      </c>
      <c r="F52" s="56" t="n">
        <v>2400</v>
      </c>
      <c r="G52" s="56" t="n">
        <v>2400</v>
      </c>
      <c r="H52" s="9" t="n">
        <v>0</v>
      </c>
      <c r="I52" s="9"/>
      <c r="J52" s="216"/>
      <c r="L52" s="0"/>
      <c r="M52" s="0"/>
      <c r="P52" s="0"/>
      <c r="S52" s="0"/>
      <c r="V52" s="0"/>
    </row>
    <row r="53" customFormat="false" ht="19.85" hidden="false" customHeight="true" outlineLevel="0" collapsed="false">
      <c r="A53" s="1" t="n">
        <v>31</v>
      </c>
      <c r="B53" s="34" t="n">
        <v>40756</v>
      </c>
      <c r="C53" s="1" t="n">
        <v>361477</v>
      </c>
      <c r="D53" s="9" t="s">
        <v>41</v>
      </c>
      <c r="E53" s="33" t="n">
        <f aca="false">IF(D53="totale",(C53/(A53*24))/F53,IF(D53="marché libre",(C53/(A53*24))/G53,"spécifier histo"))</f>
        <v>0.202440076164875</v>
      </c>
      <c r="F53" s="56" t="n">
        <v>2400</v>
      </c>
      <c r="G53" s="56" t="n">
        <v>2400</v>
      </c>
      <c r="H53" s="9" t="n">
        <v>0</v>
      </c>
      <c r="I53" s="9"/>
      <c r="J53" s="216"/>
      <c r="L53" s="0"/>
      <c r="M53" s="0"/>
      <c r="P53" s="0"/>
      <c r="S53" s="0"/>
      <c r="V53" s="0"/>
    </row>
    <row r="54" customFormat="false" ht="19.85" hidden="false" customHeight="true" outlineLevel="0" collapsed="false">
      <c r="A54" s="1" t="n">
        <v>30</v>
      </c>
      <c r="B54" s="31" t="n">
        <v>40787</v>
      </c>
      <c r="C54" s="1" t="n">
        <v>330953</v>
      </c>
      <c r="D54" s="9" t="s">
        <v>41</v>
      </c>
      <c r="E54" s="33" t="n">
        <f aca="false">IF(D54="totale",(C54/(A54*24))/F54,IF(D54="marché libre",(C54/(A54*24))/G54,"spécifier histo"))</f>
        <v>0.191523726851852</v>
      </c>
      <c r="F54" s="56" t="n">
        <v>2400</v>
      </c>
      <c r="G54" s="56" t="n">
        <v>2400</v>
      </c>
      <c r="H54" s="9" t="n">
        <v>0</v>
      </c>
      <c r="I54" s="9"/>
      <c r="J54" s="216"/>
      <c r="L54" s="0"/>
      <c r="M54" s="0"/>
      <c r="P54" s="0"/>
      <c r="S54" s="0"/>
      <c r="V54" s="0"/>
    </row>
    <row r="55" customFormat="false" ht="19.85" hidden="false" customHeight="true" outlineLevel="0" collapsed="false">
      <c r="A55" s="1" t="n">
        <v>31</v>
      </c>
      <c r="B55" s="34" t="n">
        <v>40817</v>
      </c>
      <c r="C55" s="1" t="n">
        <v>214201</v>
      </c>
      <c r="D55" s="9" t="s">
        <v>41</v>
      </c>
      <c r="E55" s="33" t="n">
        <f aca="false">IF(D55="totale",(C55/(A55*24))/F55,IF(D55="marché libre",(C55/(A55*24))/G55,"spécifier histo"))</f>
        <v>0.119960237455197</v>
      </c>
      <c r="F55" s="56" t="n">
        <v>2400</v>
      </c>
      <c r="G55" s="56" t="n">
        <v>2400</v>
      </c>
      <c r="H55" s="9" t="n">
        <v>0</v>
      </c>
      <c r="I55" s="9"/>
      <c r="J55" s="216"/>
      <c r="L55" s="0"/>
      <c r="M55" s="0"/>
      <c r="P55" s="0"/>
      <c r="S55" s="0"/>
      <c r="V55" s="0"/>
    </row>
    <row r="56" customFormat="false" ht="19.85" hidden="false" customHeight="true" outlineLevel="0" collapsed="false">
      <c r="A56" s="1" t="n">
        <v>30</v>
      </c>
      <c r="B56" s="31" t="n">
        <v>40848</v>
      </c>
      <c r="C56" s="1" t="n">
        <v>213000</v>
      </c>
      <c r="D56" s="9" t="s">
        <v>41</v>
      </c>
      <c r="E56" s="33" t="n">
        <f aca="false">IF(D56="totale",(C56/(A56*24))/F56,IF(D56="marché libre",(C56/(A56*24))/G56,"spécifier histo"))</f>
        <v>0.123263888888889</v>
      </c>
      <c r="F56" s="56" t="n">
        <v>2400</v>
      </c>
      <c r="G56" s="56" t="n">
        <v>2400</v>
      </c>
      <c r="H56" s="9" t="n">
        <v>0</v>
      </c>
      <c r="I56" s="9"/>
      <c r="J56" s="216"/>
      <c r="L56" s="0"/>
      <c r="M56" s="0"/>
      <c r="P56" s="0"/>
      <c r="S56" s="0"/>
      <c r="V56" s="0"/>
    </row>
    <row r="57" customFormat="false" ht="19.85" hidden="false" customHeight="true" outlineLevel="0" collapsed="false">
      <c r="A57" s="1" t="n">
        <v>31</v>
      </c>
      <c r="B57" s="34" t="n">
        <v>40878</v>
      </c>
      <c r="C57" s="1" t="n">
        <v>460000</v>
      </c>
      <c r="D57" s="9" t="s">
        <v>41</v>
      </c>
      <c r="E57" s="33" t="n">
        <f aca="false">IF(D57="totale",(C57/(A57*24))/F57,IF(D57="marché libre",(C57/(A57*24))/G57,"spécifier histo"))</f>
        <v>0.257616487455197</v>
      </c>
      <c r="F57" s="56" t="n">
        <v>2400</v>
      </c>
      <c r="G57" s="56" t="n">
        <v>2400</v>
      </c>
      <c r="H57" s="9" t="n">
        <v>0</v>
      </c>
      <c r="I57" s="9"/>
      <c r="J57" s="216"/>
      <c r="L57" s="0"/>
      <c r="M57" s="0"/>
      <c r="P57" s="0"/>
      <c r="S57" s="0"/>
      <c r="V57" s="0"/>
    </row>
    <row r="58" customFormat="false" ht="19.85" hidden="false" customHeight="true" outlineLevel="0" collapsed="false">
      <c r="A58" s="1" t="n">
        <v>31</v>
      </c>
      <c r="B58" s="31" t="n">
        <v>40909</v>
      </c>
      <c r="C58" s="1" t="n">
        <v>286717</v>
      </c>
      <c r="D58" s="9" t="s">
        <v>41</v>
      </c>
      <c r="E58" s="33" t="n">
        <f aca="false">IF(D58="totale",(C58/(A58*24))/F58,IF(D58="marché libre",(C58/(A58*24))/G58,"spécifier histo"))</f>
        <v>0.160571796594982</v>
      </c>
      <c r="F58" s="56" t="n">
        <v>2400</v>
      </c>
      <c r="G58" s="56" t="n">
        <v>2400</v>
      </c>
      <c r="H58" s="9" t="n">
        <v>0</v>
      </c>
      <c r="I58" s="9"/>
      <c r="J58" s="216"/>
      <c r="L58" s="0"/>
      <c r="M58" s="0"/>
      <c r="P58" s="0"/>
      <c r="S58" s="0"/>
      <c r="V58" s="0"/>
    </row>
    <row r="59" customFormat="false" ht="19.85" hidden="false" customHeight="true" outlineLevel="0" collapsed="false">
      <c r="A59" s="1" t="n">
        <v>28</v>
      </c>
      <c r="B59" s="34" t="n">
        <v>40940</v>
      </c>
      <c r="C59" s="1" t="n">
        <v>264757</v>
      </c>
      <c r="D59" s="9" t="s">
        <v>41</v>
      </c>
      <c r="E59" s="33" t="n">
        <f aca="false">IF(D59="totale",(C59/(A59*24))/F59,IF(D59="marché libre",(C59/(A59*24))/G59,"spécifier histo"))</f>
        <v>0.164159846230159</v>
      </c>
      <c r="F59" s="56" t="n">
        <v>2400</v>
      </c>
      <c r="G59" s="56" t="n">
        <v>2400</v>
      </c>
      <c r="H59" s="9" t="n">
        <v>0</v>
      </c>
      <c r="I59" s="9"/>
      <c r="J59" s="216"/>
      <c r="L59" s="0"/>
      <c r="M59" s="0"/>
      <c r="P59" s="0"/>
      <c r="S59" s="0"/>
      <c r="V59" s="0"/>
    </row>
    <row r="60" customFormat="false" ht="19.85" hidden="false" customHeight="true" outlineLevel="0" collapsed="false">
      <c r="A60" s="1" t="n">
        <v>31</v>
      </c>
      <c r="B60" s="31" t="n">
        <v>40969</v>
      </c>
      <c r="C60" s="1" t="n">
        <v>376564</v>
      </c>
      <c r="D60" s="9" t="s">
        <v>41</v>
      </c>
      <c r="E60" s="33" t="n">
        <f aca="false">IF(D60="totale",(C60/(A60*24))/F60,IF(D60="marché libre",(C60/(A60*24))/G60,"spécifier histo"))</f>
        <v>0.210889336917563</v>
      </c>
      <c r="F60" s="56" t="n">
        <v>2400</v>
      </c>
      <c r="G60" s="56" t="n">
        <v>2400</v>
      </c>
      <c r="H60" s="9" t="n">
        <v>0</v>
      </c>
      <c r="I60" s="9"/>
      <c r="J60" s="216"/>
      <c r="L60" s="0"/>
      <c r="M60" s="0"/>
      <c r="P60" s="0"/>
      <c r="S60" s="0"/>
      <c r="V60" s="0"/>
    </row>
    <row r="61" customFormat="false" ht="19.85" hidden="false" customHeight="true" outlineLevel="0" collapsed="false">
      <c r="A61" s="1" t="n">
        <v>30</v>
      </c>
      <c r="B61" s="34" t="n">
        <v>41000</v>
      </c>
      <c r="C61" s="1" t="n">
        <v>1043262</v>
      </c>
      <c r="D61" s="9" t="s">
        <v>41</v>
      </c>
      <c r="E61" s="33" t="n">
        <f aca="false">IF(D61="totale",(C61/(A61*24))/F61,IF(D61="marché libre",(C61/(A61*24))/G61,"spécifier histo"))</f>
        <v>0.603739583333333</v>
      </c>
      <c r="F61" s="56" t="n">
        <v>2400</v>
      </c>
      <c r="G61" s="56" t="n">
        <v>2400</v>
      </c>
      <c r="H61" s="9" t="n">
        <v>0</v>
      </c>
      <c r="I61" s="9"/>
      <c r="J61" s="216"/>
      <c r="L61" s="0"/>
      <c r="M61" s="0"/>
      <c r="P61" s="0"/>
      <c r="S61" s="0"/>
      <c r="V61" s="0"/>
    </row>
    <row r="62" customFormat="false" ht="19.85" hidden="false" customHeight="true" outlineLevel="0" collapsed="false">
      <c r="A62" s="1" t="n">
        <v>31</v>
      </c>
      <c r="B62" s="31" t="n">
        <v>41030</v>
      </c>
      <c r="C62" s="1" t="n">
        <v>1446638</v>
      </c>
      <c r="D62" s="9" t="s">
        <v>41</v>
      </c>
      <c r="E62" s="33" t="n">
        <f aca="false">IF(D62="totale",(C62/(A62*24))/F62,IF(D62="marché libre",(C62/(A62*24))/G62,"spécifier histo"))</f>
        <v>0.810169130824373</v>
      </c>
      <c r="F62" s="56" t="n">
        <v>2400</v>
      </c>
      <c r="G62" s="56" t="n">
        <v>2400</v>
      </c>
      <c r="H62" s="9" t="n">
        <v>0</v>
      </c>
      <c r="I62" s="9"/>
      <c r="J62" s="216"/>
      <c r="L62" s="0"/>
      <c r="M62" s="0"/>
      <c r="P62" s="0"/>
      <c r="S62" s="0"/>
      <c r="V62" s="0"/>
    </row>
    <row r="63" customFormat="false" ht="19.85" hidden="false" customHeight="true" outlineLevel="0" collapsed="false">
      <c r="A63" s="1" t="n">
        <v>30</v>
      </c>
      <c r="B63" s="34" t="n">
        <v>41061</v>
      </c>
      <c r="C63" s="1" t="n">
        <v>827053</v>
      </c>
      <c r="D63" s="9" t="s">
        <v>41</v>
      </c>
      <c r="E63" s="33" t="n">
        <f aca="false">IF(D63="totale",(C63/(A63*24))/F63,IF(D63="marché libre",(C63/(A63*24))/G63,"spécifier histo"))</f>
        <v>0.478618634259259</v>
      </c>
      <c r="F63" s="56" t="n">
        <v>2400</v>
      </c>
      <c r="G63" s="56" t="n">
        <v>2400</v>
      </c>
      <c r="H63" s="9" t="n">
        <v>0</v>
      </c>
      <c r="I63" s="9"/>
      <c r="J63" s="216"/>
      <c r="L63" s="0"/>
      <c r="M63" s="0"/>
      <c r="P63" s="0"/>
      <c r="S63" s="0"/>
      <c r="V63" s="0"/>
    </row>
    <row r="64" customFormat="false" ht="19.85" hidden="false" customHeight="true" outlineLevel="0" collapsed="false">
      <c r="A64" s="1" t="n">
        <v>31</v>
      </c>
      <c r="B64" s="31" t="n">
        <v>41091</v>
      </c>
      <c r="C64" s="1" t="n">
        <v>329089</v>
      </c>
      <c r="D64" s="9" t="s">
        <v>41</v>
      </c>
      <c r="E64" s="33" t="n">
        <f aca="false">IF(D64="totale",(C64/(A64*24))/F64,IF(D64="marché libre",(C64/(A64*24))/G64,"spécifier histo"))</f>
        <v>0.18430163530466</v>
      </c>
      <c r="F64" s="56" t="n">
        <v>2400</v>
      </c>
      <c r="G64" s="56" t="n">
        <v>2400</v>
      </c>
      <c r="H64" s="9" t="n">
        <v>0</v>
      </c>
      <c r="I64" s="9"/>
      <c r="J64" s="216"/>
      <c r="L64" s="0"/>
      <c r="M64" s="0"/>
      <c r="P64" s="0"/>
      <c r="S64" s="0"/>
      <c r="V64" s="0"/>
    </row>
    <row r="65" customFormat="false" ht="19.85" hidden="false" customHeight="true" outlineLevel="0" collapsed="false">
      <c r="A65" s="1" t="n">
        <v>31</v>
      </c>
      <c r="B65" s="34" t="n">
        <v>41122</v>
      </c>
      <c r="C65" s="1" t="n">
        <v>238270</v>
      </c>
      <c r="D65" s="9" t="s">
        <v>41</v>
      </c>
      <c r="E65" s="33" t="n">
        <f aca="false">IF(D65="totale",(C65/(A65*24))/F65,IF(D65="marché libre",(C65/(A65*24))/G65,"spécifier histo"))</f>
        <v>0.133439740143369</v>
      </c>
      <c r="F65" s="56" t="n">
        <v>2400</v>
      </c>
      <c r="G65" s="56" t="n">
        <v>2400</v>
      </c>
      <c r="H65" s="9" t="n">
        <v>0</v>
      </c>
      <c r="I65" s="9"/>
      <c r="J65" s="216"/>
      <c r="L65" s="0"/>
      <c r="M65" s="0"/>
      <c r="P65" s="0"/>
      <c r="S65" s="0"/>
      <c r="V65" s="0"/>
    </row>
    <row r="66" customFormat="false" ht="19.85" hidden="false" customHeight="true" outlineLevel="0" collapsed="false">
      <c r="A66" s="1" t="n">
        <v>30</v>
      </c>
      <c r="B66" s="31" t="n">
        <v>41153</v>
      </c>
      <c r="C66" s="1" t="n">
        <v>21962</v>
      </c>
      <c r="D66" s="9" t="s">
        <v>41</v>
      </c>
      <c r="E66" s="33" t="n">
        <f aca="false">IF(D66="totale",(C66/(A66*24))/F66,IF(D66="marché libre",(C66/(A66*24))/G66,"spécifier histo"))</f>
        <v>0.0127094907407407</v>
      </c>
      <c r="F66" s="56" t="n">
        <v>2400</v>
      </c>
      <c r="G66" s="56" t="n">
        <v>2400</v>
      </c>
      <c r="H66" s="9" t="n">
        <v>0</v>
      </c>
      <c r="I66" s="9"/>
      <c r="J66" s="216"/>
      <c r="L66" s="0"/>
      <c r="M66" s="0"/>
      <c r="P66" s="0"/>
      <c r="S66" s="0"/>
      <c r="V66" s="0"/>
    </row>
    <row r="67" customFormat="false" ht="19.85" hidden="false" customHeight="true" outlineLevel="0" collapsed="false">
      <c r="A67" s="1" t="n">
        <v>31</v>
      </c>
      <c r="B67" s="34" t="n">
        <v>41183</v>
      </c>
      <c r="C67" s="1" t="n">
        <v>237485</v>
      </c>
      <c r="D67" s="9" t="s">
        <v>41</v>
      </c>
      <c r="E67" s="33" t="n">
        <f aca="false">IF(D67="totale",(C67/(A67*24))/F67,IF(D67="marché libre",(C67/(A67*24))/G67,"spécifier histo"))</f>
        <v>0.133000112007168</v>
      </c>
      <c r="F67" s="56" t="n">
        <v>2400</v>
      </c>
      <c r="G67" s="56" t="n">
        <v>2400</v>
      </c>
      <c r="H67" s="9" t="n">
        <v>0</v>
      </c>
      <c r="I67" s="9"/>
      <c r="J67" s="216"/>
      <c r="L67" s="0"/>
      <c r="M67" s="0"/>
      <c r="P67" s="0"/>
      <c r="S67" s="0"/>
      <c r="V67" s="0"/>
    </row>
    <row r="68" customFormat="false" ht="19.85" hidden="false" customHeight="true" outlineLevel="0" collapsed="false">
      <c r="A68" s="1" t="n">
        <v>30</v>
      </c>
      <c r="B68" s="31" t="n">
        <v>41214</v>
      </c>
      <c r="C68" s="1" t="n">
        <v>1059813</v>
      </c>
      <c r="D68" s="9" t="s">
        <v>41</v>
      </c>
      <c r="E68" s="33" t="n">
        <f aca="false">IF(D68="totale",(C68/(A68*24))/F68,IF(D68="marché libre",(C68/(A68*24))/G68,"spécifier histo"))</f>
        <v>0.613317708333333</v>
      </c>
      <c r="F68" s="56" t="n">
        <v>2400</v>
      </c>
      <c r="G68" s="56" t="n">
        <v>2400</v>
      </c>
      <c r="H68" s="9" t="n">
        <v>0</v>
      </c>
      <c r="I68" s="9"/>
      <c r="J68" s="216"/>
      <c r="L68" s="0"/>
      <c r="M68" s="0"/>
      <c r="P68" s="0"/>
      <c r="S68" s="0"/>
      <c r="V68" s="0"/>
    </row>
    <row r="69" customFormat="false" ht="19.85" hidden="false" customHeight="true" outlineLevel="0" collapsed="false">
      <c r="A69" s="1" t="n">
        <v>31</v>
      </c>
      <c r="B69" s="34" t="n">
        <v>41244</v>
      </c>
      <c r="C69" s="1" t="n">
        <v>683285</v>
      </c>
      <c r="D69" s="9" t="s">
        <v>41</v>
      </c>
      <c r="E69" s="33" t="n">
        <f aca="false">IF(D69="totale",(C69/(A69*24))/F69,IF(D69="marché libre",(C69/(A69*24))/G69,"spécifier histo"))</f>
        <v>0.382664090501792</v>
      </c>
      <c r="F69" s="56" t="n">
        <v>2400</v>
      </c>
      <c r="G69" s="56" t="n">
        <v>2400</v>
      </c>
      <c r="H69" s="9" t="n">
        <v>0</v>
      </c>
      <c r="I69" s="9"/>
      <c r="J69" s="216"/>
      <c r="L69" s="0"/>
      <c r="M69" s="0"/>
      <c r="P69" s="0"/>
      <c r="S69" s="0"/>
      <c r="V69" s="0"/>
    </row>
    <row r="70" customFormat="false" ht="19.85" hidden="false" customHeight="true" outlineLevel="0" collapsed="false">
      <c r="A70" s="1" t="n">
        <v>31</v>
      </c>
      <c r="B70" s="31" t="n">
        <v>41275</v>
      </c>
      <c r="C70" s="1" t="n">
        <v>482584</v>
      </c>
      <c r="D70" s="9" t="s">
        <v>41</v>
      </c>
      <c r="E70" s="33" t="n">
        <f aca="false">IF(D70="totale",(C70/(A70*24))/F70,IF(D70="marché libre",(C70/(A70*24))/G70,"spécifier histo"))</f>
        <v>0.270264336917563</v>
      </c>
      <c r="F70" s="56" t="n">
        <v>2400</v>
      </c>
      <c r="G70" s="56" t="n">
        <v>2400</v>
      </c>
      <c r="H70" s="9" t="n">
        <v>0</v>
      </c>
      <c r="I70" s="9"/>
      <c r="J70" s="216"/>
      <c r="L70" s="0"/>
      <c r="M70" s="0"/>
      <c r="P70" s="0"/>
      <c r="S70" s="0"/>
      <c r="V70" s="0"/>
    </row>
    <row r="71" customFormat="false" ht="19.85" hidden="false" customHeight="true" outlineLevel="0" collapsed="false">
      <c r="A71" s="1" t="n">
        <v>28</v>
      </c>
      <c r="B71" s="34" t="n">
        <v>41306</v>
      </c>
      <c r="C71" s="1" t="n">
        <v>348630</v>
      </c>
      <c r="D71" s="9" t="s">
        <v>41</v>
      </c>
      <c r="E71" s="33" t="n">
        <f aca="false">IF(D71="totale",(C71/(A71*24))/F71,IF(D71="marché libre",(C71/(A71*24))/G71,"spécifier histo"))</f>
        <v>0.21616443452381</v>
      </c>
      <c r="F71" s="56" t="n">
        <v>2400</v>
      </c>
      <c r="G71" s="56" t="n">
        <v>2400</v>
      </c>
      <c r="H71" s="9" t="n">
        <v>0</v>
      </c>
      <c r="I71" s="9"/>
      <c r="J71" s="216"/>
      <c r="L71" s="0"/>
      <c r="M71" s="0"/>
      <c r="P71" s="0"/>
      <c r="S71" s="0"/>
      <c r="V71" s="0"/>
    </row>
    <row r="72" customFormat="false" ht="19.85" hidden="false" customHeight="true" outlineLevel="0" collapsed="false">
      <c r="A72" s="1" t="n">
        <v>31</v>
      </c>
      <c r="B72" s="31" t="n">
        <v>41334</v>
      </c>
      <c r="C72" s="1" t="n">
        <v>532322</v>
      </c>
      <c r="D72" s="9" t="s">
        <v>41</v>
      </c>
      <c r="E72" s="33" t="n">
        <f aca="false">IF(D72="totale",(C72/(A72*24))/F72,IF(D72="marché libre",(C72/(A72*24))/G72,"spécifier histo"))</f>
        <v>0.298119399641577</v>
      </c>
      <c r="F72" s="56" t="n">
        <v>2400</v>
      </c>
      <c r="G72" s="56" t="n">
        <v>2400</v>
      </c>
      <c r="H72" s="9" t="n">
        <v>0</v>
      </c>
      <c r="I72" s="9"/>
      <c r="J72" s="216"/>
      <c r="L72" s="0"/>
      <c r="M72" s="0"/>
      <c r="P72" s="0"/>
      <c r="S72" s="0"/>
      <c r="V72" s="0"/>
    </row>
    <row r="73" customFormat="false" ht="19.85" hidden="false" customHeight="true" outlineLevel="0" collapsed="false">
      <c r="A73" s="1" t="n">
        <v>30</v>
      </c>
      <c r="B73" s="34" t="n">
        <v>41365</v>
      </c>
      <c r="C73" s="1" t="n">
        <v>1115678</v>
      </c>
      <c r="D73" s="9" t="s">
        <v>41</v>
      </c>
      <c r="E73" s="33" t="n">
        <f aca="false">IF(D73="totale",(C73/(A73*24))/F73,IF(D73="marché libre",(C73/(A73*24))/G73,"spécifier histo"))</f>
        <v>0.645646990740741</v>
      </c>
      <c r="F73" s="56" t="n">
        <v>2400</v>
      </c>
      <c r="G73" s="56" t="n">
        <v>2400</v>
      </c>
      <c r="H73" s="9" t="n">
        <v>0</v>
      </c>
      <c r="I73" s="9"/>
      <c r="J73" s="216"/>
      <c r="L73" s="0"/>
      <c r="M73" s="0"/>
      <c r="P73" s="0"/>
      <c r="S73" s="0"/>
      <c r="V73" s="0"/>
    </row>
    <row r="74" customFormat="false" ht="19.85" hidden="false" customHeight="true" outlineLevel="0" collapsed="false">
      <c r="A74" s="1" t="n">
        <v>31</v>
      </c>
      <c r="B74" s="31" t="n">
        <v>41395</v>
      </c>
      <c r="C74" s="1" t="n">
        <v>1449900</v>
      </c>
      <c r="D74" s="9" t="s">
        <v>41</v>
      </c>
      <c r="E74" s="33" t="n">
        <f aca="false">IF(D74="totale",(C74/(A74*24))/F74,IF(D74="marché libre",(C74/(A74*24))/G74,"spécifier histo"))</f>
        <v>0.811995967741935</v>
      </c>
      <c r="F74" s="56" t="n">
        <v>2400</v>
      </c>
      <c r="G74" s="56" t="n">
        <v>2400</v>
      </c>
      <c r="H74" s="9" t="n">
        <v>0</v>
      </c>
      <c r="I74" s="9"/>
      <c r="J74" s="216"/>
      <c r="L74" s="0"/>
      <c r="M74" s="0"/>
      <c r="P74" s="0"/>
      <c r="S74" s="0"/>
      <c r="V74" s="0"/>
    </row>
    <row r="75" customFormat="false" ht="19.85" hidden="false" customHeight="true" outlineLevel="0" collapsed="false">
      <c r="A75" s="1" t="n">
        <v>30</v>
      </c>
      <c r="B75" s="34" t="n">
        <v>41426</v>
      </c>
      <c r="C75" s="1" t="n">
        <v>1438800</v>
      </c>
      <c r="D75" s="9" t="s">
        <v>41</v>
      </c>
      <c r="E75" s="33" t="n">
        <f aca="false">IF(D75="totale",(C75/(A75*24))/F75,IF(D75="marché libre",(C75/(A75*24))/G75,"spécifier histo"))</f>
        <v>0.832638888888889</v>
      </c>
      <c r="F75" s="56" t="n">
        <v>2400</v>
      </c>
      <c r="G75" s="56" t="n">
        <v>2400</v>
      </c>
      <c r="H75" s="9" t="n">
        <v>0</v>
      </c>
      <c r="I75" s="9"/>
      <c r="J75" s="216"/>
      <c r="L75" s="0"/>
      <c r="M75" s="0"/>
      <c r="P75" s="0"/>
      <c r="S75" s="0"/>
      <c r="V75" s="0"/>
    </row>
    <row r="76" customFormat="false" ht="19.85" hidden="false" customHeight="true" outlineLevel="0" collapsed="false">
      <c r="A76" s="1" t="n">
        <v>31</v>
      </c>
      <c r="B76" s="31" t="n">
        <v>41456</v>
      </c>
      <c r="C76" s="1" t="n">
        <v>1149821</v>
      </c>
      <c r="D76" s="9" t="s">
        <v>41</v>
      </c>
      <c r="E76" s="33" t="n">
        <f aca="false">IF(D76="totale",(C76/(A76*24))/F76,IF(D76="marché libre",(C76/(A76*24))/G76,"spécifier histo"))</f>
        <v>0.643940972222222</v>
      </c>
      <c r="F76" s="56" t="n">
        <v>2400</v>
      </c>
      <c r="G76" s="56" t="n">
        <v>2400</v>
      </c>
      <c r="H76" s="9" t="n">
        <v>0</v>
      </c>
      <c r="I76" s="9"/>
      <c r="J76" s="216"/>
      <c r="L76" s="0"/>
      <c r="M76" s="0"/>
      <c r="P76" s="0"/>
      <c r="S76" s="0"/>
      <c r="V76" s="0"/>
    </row>
    <row r="77" customFormat="false" ht="19.85" hidden="false" customHeight="true" outlineLevel="0" collapsed="false">
      <c r="A77" s="1" t="n">
        <v>31</v>
      </c>
      <c r="B77" s="34" t="n">
        <v>41487</v>
      </c>
      <c r="C77" s="1" t="n">
        <v>836410</v>
      </c>
      <c r="D77" s="9" t="s">
        <v>41</v>
      </c>
      <c r="E77" s="33" t="n">
        <f aca="false">IF(D77="totale",(C77/(A77*24))/F77,IF(D77="marché libre",(C77/(A77*24))/G77,"spécifier histo"))</f>
        <v>0.468419578853047</v>
      </c>
      <c r="F77" s="56" t="n">
        <v>2400</v>
      </c>
      <c r="G77" s="56" t="n">
        <v>2400</v>
      </c>
      <c r="H77" s="9" t="n">
        <v>0</v>
      </c>
      <c r="I77" s="9"/>
      <c r="J77" s="216"/>
      <c r="L77" s="0"/>
      <c r="M77" s="0"/>
      <c r="P77" s="0"/>
      <c r="S77" s="0"/>
      <c r="V77" s="0"/>
    </row>
    <row r="78" customFormat="false" ht="19.85" hidden="false" customHeight="true" outlineLevel="0" collapsed="false">
      <c r="A78" s="1" t="n">
        <v>30</v>
      </c>
      <c r="B78" s="31" t="n">
        <v>41518</v>
      </c>
      <c r="C78" s="1" t="n">
        <v>530931</v>
      </c>
      <c r="D78" s="9" t="s">
        <v>41</v>
      </c>
      <c r="E78" s="33" t="n">
        <f aca="false">IF(D78="totale",(C78/(A78*24))/F78,IF(D78="marché libre",(C78/(A78*24))/G78,"spécifier histo"))</f>
        <v>0.307251736111111</v>
      </c>
      <c r="F78" s="56" t="n">
        <v>2400</v>
      </c>
      <c r="G78" s="56" t="n">
        <v>2400</v>
      </c>
      <c r="H78" s="9" t="n">
        <v>0</v>
      </c>
      <c r="I78" s="9"/>
      <c r="J78" s="216"/>
      <c r="L78" s="0"/>
      <c r="M78" s="0"/>
      <c r="P78" s="0"/>
      <c r="S78" s="0"/>
      <c r="V78" s="0"/>
    </row>
    <row r="79" customFormat="false" ht="19.85" hidden="false" customHeight="true" outlineLevel="0" collapsed="false">
      <c r="A79" s="1" t="n">
        <v>31</v>
      </c>
      <c r="B79" s="34" t="n">
        <v>41548</v>
      </c>
      <c r="C79" s="1" t="n">
        <v>678167</v>
      </c>
      <c r="D79" s="9" t="s">
        <v>41</v>
      </c>
      <c r="E79" s="33" t="n">
        <f aca="false">IF(D79="totale",(C79/(A79*24))/F79,IF(D79="marché libre",(C79/(A79*24))/G79,"spécifier histo"))</f>
        <v>0.379797827060932</v>
      </c>
      <c r="F79" s="56" t="n">
        <v>2400</v>
      </c>
      <c r="G79" s="56" t="n">
        <v>2400</v>
      </c>
      <c r="H79" s="9" t="n">
        <v>0</v>
      </c>
      <c r="I79" s="9"/>
      <c r="J79" s="216"/>
      <c r="L79" s="0"/>
      <c r="M79" s="0"/>
      <c r="P79" s="0"/>
      <c r="S79" s="0"/>
      <c r="V79" s="0"/>
    </row>
    <row r="80" customFormat="false" ht="19.85" hidden="false" customHeight="true" outlineLevel="0" collapsed="false">
      <c r="A80" s="1" t="n">
        <v>30</v>
      </c>
      <c r="B80" s="31" t="n">
        <v>41579</v>
      </c>
      <c r="C80" s="1" t="n">
        <v>568676</v>
      </c>
      <c r="D80" s="9" t="s">
        <v>41</v>
      </c>
      <c r="E80" s="33" t="n">
        <f aca="false">IF(D80="totale",(C80/(A80*24))/F80,IF(D80="marché libre",(C80/(A80*24))/G80,"spécifier histo"))</f>
        <v>0.329094907407407</v>
      </c>
      <c r="F80" s="56" t="n">
        <v>2400</v>
      </c>
      <c r="G80" s="56" t="n">
        <v>2400</v>
      </c>
      <c r="H80" s="9" t="n">
        <v>0</v>
      </c>
      <c r="I80" s="9"/>
      <c r="J80" s="216"/>
      <c r="L80" s="0"/>
      <c r="M80" s="0"/>
      <c r="P80" s="0"/>
      <c r="S80" s="0"/>
      <c r="V80" s="0"/>
    </row>
    <row r="81" customFormat="false" ht="19.85" hidden="false" customHeight="true" outlineLevel="0" collapsed="false">
      <c r="A81" s="1" t="n">
        <v>31</v>
      </c>
      <c r="B81" s="34" t="n">
        <v>41609</v>
      </c>
      <c r="C81" s="1" t="n">
        <v>460415</v>
      </c>
      <c r="D81" s="9" t="s">
        <v>41</v>
      </c>
      <c r="E81" s="33" t="n">
        <f aca="false">IF(D81="totale",(C81/(A81*24))/F81,IF(D81="marché libre",(C81/(A81*24))/G81,"spécifier histo"))</f>
        <v>0.257848902329749</v>
      </c>
      <c r="F81" s="56" t="n">
        <v>2400</v>
      </c>
      <c r="G81" s="56" t="n">
        <v>2400</v>
      </c>
      <c r="H81" s="9" t="n">
        <v>0</v>
      </c>
      <c r="I81" s="9"/>
      <c r="J81" s="216"/>
      <c r="L81" s="0"/>
      <c r="M81" s="0"/>
      <c r="P81" s="0"/>
      <c r="S81" s="0"/>
      <c r="V81" s="0"/>
    </row>
    <row r="82" customFormat="false" ht="19.85" hidden="false" customHeight="true" outlineLevel="0" collapsed="false">
      <c r="A82" s="1" t="n">
        <v>31</v>
      </c>
      <c r="B82" s="31" t="n">
        <v>41640</v>
      </c>
      <c r="C82" s="1" t="n">
        <v>669400</v>
      </c>
      <c r="D82" s="9" t="s">
        <v>41</v>
      </c>
      <c r="E82" s="33" t="n">
        <f aca="false">IF(D82="totale",(C82/(A82*24))/F82,IF(D82="marché libre",(C82/(A82*24))/G82,"spécifier histo"))</f>
        <v>0.374887992831541</v>
      </c>
      <c r="F82" s="56" t="n">
        <v>2400</v>
      </c>
      <c r="G82" s="56" t="n">
        <v>2400</v>
      </c>
      <c r="H82" s="9" t="n">
        <v>0</v>
      </c>
      <c r="I82" s="9"/>
      <c r="J82" s="216"/>
      <c r="L82" s="0"/>
      <c r="M82" s="0"/>
      <c r="P82" s="0"/>
      <c r="S82" s="0"/>
      <c r="V82" s="0"/>
    </row>
    <row r="83" customFormat="false" ht="19.85" hidden="false" customHeight="true" outlineLevel="0" collapsed="false">
      <c r="A83" s="1" t="n">
        <v>28</v>
      </c>
      <c r="B83" s="34" t="n">
        <v>41671</v>
      </c>
      <c r="C83" s="1" t="n">
        <v>556451</v>
      </c>
      <c r="D83" s="9" t="s">
        <v>41</v>
      </c>
      <c r="E83" s="33" t="n">
        <f aca="false">IF(D83="totale",(C83/(A83*24))/F83,IF(D83="marché libre",(C83/(A83*24))/G83,"spécifier histo"))</f>
        <v>0.345021701388889</v>
      </c>
      <c r="F83" s="56" t="n">
        <v>2400</v>
      </c>
      <c r="G83" s="56" t="n">
        <v>2400</v>
      </c>
      <c r="H83" s="9" t="n">
        <v>0</v>
      </c>
      <c r="I83" s="9"/>
      <c r="J83" s="216"/>
      <c r="L83" s="0"/>
      <c r="M83" s="0"/>
      <c r="P83" s="0"/>
      <c r="S83" s="0"/>
      <c r="V83" s="0"/>
    </row>
    <row r="84" customFormat="false" ht="19.85" hidden="false" customHeight="true" outlineLevel="0" collapsed="false">
      <c r="A84" s="1" t="n">
        <v>31</v>
      </c>
      <c r="B84" s="31" t="n">
        <v>41699</v>
      </c>
      <c r="C84" s="1" t="n">
        <v>1037326</v>
      </c>
      <c r="D84" s="9" t="s">
        <v>41</v>
      </c>
      <c r="E84" s="33" t="n">
        <f aca="false">IF(D84="totale",(C84/(A84*24))/F84,IF(D84="marché libre",(C84/(A84*24))/G84,"spécifier histo"))</f>
        <v>0.580939740143369</v>
      </c>
      <c r="F84" s="56" t="n">
        <v>2400</v>
      </c>
      <c r="G84" s="56" t="n">
        <v>2400</v>
      </c>
      <c r="H84" s="9" t="n">
        <v>0</v>
      </c>
      <c r="I84" s="9"/>
      <c r="J84" s="216"/>
      <c r="L84" s="0"/>
      <c r="M84" s="0"/>
      <c r="P84" s="0"/>
      <c r="S84" s="0"/>
      <c r="V84" s="0"/>
    </row>
    <row r="85" customFormat="false" ht="19.85" hidden="false" customHeight="true" outlineLevel="0" collapsed="false">
      <c r="A85" s="1" t="n">
        <v>30</v>
      </c>
      <c r="B85" s="34" t="n">
        <v>41730</v>
      </c>
      <c r="C85" s="1" t="n">
        <v>1417115</v>
      </c>
      <c r="D85" s="9" t="s">
        <v>41</v>
      </c>
      <c r="E85" s="33" t="n">
        <f aca="false">IF(D85="totale",(C85/(A85*24))/F85,IF(D85="marché libre",(C85/(A85*24))/G85,"spécifier histo"))</f>
        <v>0.820089699074074</v>
      </c>
      <c r="F85" s="56" t="n">
        <v>2400</v>
      </c>
      <c r="G85" s="56" t="n">
        <v>2400</v>
      </c>
      <c r="H85" s="9" t="n">
        <v>0</v>
      </c>
      <c r="I85" s="9"/>
      <c r="J85" s="216"/>
      <c r="L85" s="0"/>
      <c r="M85" s="0"/>
      <c r="P85" s="0"/>
      <c r="S85" s="0"/>
      <c r="V85" s="0"/>
    </row>
    <row r="86" customFormat="false" ht="19.85" hidden="false" customHeight="true" outlineLevel="0" collapsed="false">
      <c r="A86" s="1" t="n">
        <v>31</v>
      </c>
      <c r="B86" s="31" t="n">
        <v>41760</v>
      </c>
      <c r="C86" s="1" t="n">
        <v>1461629</v>
      </c>
      <c r="D86" s="9" t="s">
        <v>41</v>
      </c>
      <c r="E86" s="33" t="n">
        <f aca="false">IF(D86="totale",(C86/(A86*24))/F86,IF(D86="marché libre",(C86/(A86*24))/G86,"spécifier histo"))</f>
        <v>0.818564628136201</v>
      </c>
      <c r="F86" s="56" t="n">
        <v>2400</v>
      </c>
      <c r="G86" s="56" t="n">
        <v>2400</v>
      </c>
      <c r="H86" s="9" t="n">
        <v>0</v>
      </c>
      <c r="I86" s="9"/>
      <c r="J86" s="216"/>
      <c r="L86" s="0"/>
      <c r="P86" s="0"/>
      <c r="S86" s="0"/>
      <c r="V86" s="0"/>
    </row>
    <row r="87" customFormat="false" ht="19.85" hidden="false" customHeight="true" outlineLevel="0" collapsed="false">
      <c r="A87" s="1" t="n">
        <v>30</v>
      </c>
      <c r="B87" s="34" t="n">
        <v>41791</v>
      </c>
      <c r="C87" s="1" t="n">
        <v>1359901</v>
      </c>
      <c r="D87" s="9" t="s">
        <v>41</v>
      </c>
      <c r="E87" s="33" t="n">
        <f aca="false">IF(D87="totale",(C87/(A87*24))/F87,IF(D87="marché libre",(C87/(A87*24))/G87,"spécifier histo"))</f>
        <v>0.78697974537037</v>
      </c>
      <c r="F87" s="56" t="n">
        <v>2400</v>
      </c>
      <c r="G87" s="56" t="n">
        <v>2400</v>
      </c>
      <c r="H87" s="9" t="n">
        <v>0</v>
      </c>
      <c r="I87" s="9"/>
      <c r="J87" s="216"/>
      <c r="L87" s="0"/>
      <c r="P87" s="0"/>
      <c r="S87" s="0"/>
      <c r="V87" s="0"/>
    </row>
    <row r="88" s="1" customFormat="true" ht="19.85" hidden="false" customHeight="true" outlineLevel="0" collapsed="false">
      <c r="A88" s="1" t="n">
        <v>31</v>
      </c>
      <c r="B88" s="31" t="n">
        <v>41821</v>
      </c>
      <c r="C88" s="1" t="n">
        <v>1151473</v>
      </c>
      <c r="D88" s="9" t="s">
        <v>41</v>
      </c>
      <c r="E88" s="33" t="n">
        <f aca="false">IF(D88="totale",(C88/(A88*24))/F88,IF(D88="marché libre",(C88/(A88*24))/G88,"spécifier histo"))</f>
        <v>0.644866151433692</v>
      </c>
      <c r="F88" s="56" t="n">
        <v>2400</v>
      </c>
      <c r="G88" s="56" t="n">
        <v>2400</v>
      </c>
      <c r="H88" s="9" t="n">
        <v>0</v>
      </c>
      <c r="K88" s="0"/>
      <c r="L88" s="29"/>
      <c r="S88" s="0"/>
      <c r="V88" s="0"/>
    </row>
    <row r="89" customFormat="false" ht="19.85" hidden="false" customHeight="true" outlineLevel="0" collapsed="false">
      <c r="A89" s="1" t="n">
        <v>31</v>
      </c>
      <c r="B89" s="34" t="n">
        <v>41852</v>
      </c>
      <c r="C89" s="1" t="n">
        <v>689928</v>
      </c>
      <c r="D89" s="9" t="s">
        <v>41</v>
      </c>
      <c r="E89" s="33" t="n">
        <f aca="false">IF(D89="totale",(C89/(A89*24))/F89,IF(D89="marché libre",(C89/(A89*24))/G89,"spécifier histo"))</f>
        <v>0.386384408602151</v>
      </c>
      <c r="F89" s="56" t="n">
        <v>2400</v>
      </c>
      <c r="G89" s="56" t="n">
        <v>2400</v>
      </c>
      <c r="H89" s="9" t="n">
        <v>0</v>
      </c>
      <c r="J89" s="216"/>
      <c r="L89" s="0"/>
      <c r="P89" s="0"/>
      <c r="S89" s="0"/>
      <c r="V89" s="0"/>
    </row>
    <row r="90" s="1" customFormat="true" ht="19.85" hidden="false" customHeight="true" outlineLevel="0" collapsed="false">
      <c r="A90" s="1" t="n">
        <v>30</v>
      </c>
      <c r="B90" s="31" t="n">
        <v>41883</v>
      </c>
      <c r="C90" s="1" t="n">
        <v>632060</v>
      </c>
      <c r="D90" s="9" t="s">
        <v>41</v>
      </c>
      <c r="E90" s="33" t="n">
        <f aca="false">IF(D90="totale",(C90/(A90*24))/F90,IF(D90="marché libre",(C90/(A90*24))/G90,"spécifier histo"))</f>
        <v>0.365775462962963</v>
      </c>
      <c r="F90" s="56" t="n">
        <v>2400</v>
      </c>
      <c r="G90" s="56" t="n">
        <v>2400</v>
      </c>
      <c r="H90" s="9" t="n">
        <v>0</v>
      </c>
      <c r="K90" s="0"/>
      <c r="L90" s="29"/>
      <c r="S90" s="0"/>
      <c r="V90" s="0"/>
    </row>
    <row r="91" customFormat="false" ht="19.85" hidden="false" customHeight="true" outlineLevel="0" collapsed="false">
      <c r="A91" s="1" t="n">
        <v>31</v>
      </c>
      <c r="B91" s="34" t="n">
        <v>41913</v>
      </c>
      <c r="C91" s="1" t="n">
        <v>737109</v>
      </c>
      <c r="D91" s="9" t="s">
        <v>41</v>
      </c>
      <c r="E91" s="33" t="n">
        <f aca="false">IF(D91="totale",(C91/(A91*24))/F91,IF(D91="marché libre",(C91/(A91*24))/G91,"spécifier histo"))</f>
        <v>0.412807459677419</v>
      </c>
      <c r="F91" s="56" t="n">
        <v>2400</v>
      </c>
      <c r="G91" s="56" t="n">
        <v>2400</v>
      </c>
      <c r="H91" s="9" t="n">
        <v>0</v>
      </c>
      <c r="J91" s="216"/>
      <c r="L91" s="0"/>
      <c r="P91" s="0"/>
      <c r="S91" s="0"/>
      <c r="V91" s="0"/>
    </row>
    <row r="92" s="1" customFormat="true" ht="19.85" hidden="false" customHeight="true" outlineLevel="0" collapsed="false">
      <c r="A92" s="1" t="n">
        <v>30</v>
      </c>
      <c r="B92" s="31" t="n">
        <v>41944</v>
      </c>
      <c r="C92" s="1" t="n">
        <v>995837</v>
      </c>
      <c r="D92" s="9" t="s">
        <v>41</v>
      </c>
      <c r="E92" s="33" t="n">
        <f aca="false">IF(D92="totale",(C92/(A92*24))/F92,IF(D92="marché libre",(C92/(A92*24))/G92,"spécifier histo"))</f>
        <v>0.576294560185185</v>
      </c>
      <c r="F92" s="56" t="n">
        <v>2400</v>
      </c>
      <c r="G92" s="56" t="n">
        <v>2400</v>
      </c>
      <c r="H92" s="9" t="n">
        <v>0</v>
      </c>
      <c r="K92" s="0"/>
      <c r="L92" s="29"/>
      <c r="S92" s="0"/>
      <c r="V92" s="0"/>
    </row>
    <row r="93" customFormat="false" ht="19.85" hidden="false" customHeight="true" outlineLevel="0" collapsed="false">
      <c r="A93" s="1" t="n">
        <v>31</v>
      </c>
      <c r="B93" s="34" t="n">
        <v>41974</v>
      </c>
      <c r="C93" s="1" t="n">
        <v>870234</v>
      </c>
      <c r="D93" s="9" t="s">
        <v>41</v>
      </c>
      <c r="E93" s="33" t="n">
        <f aca="false">IF(D93="totale",(C93/(A93*24))/F93,IF(D93="marché libre",(C93/(A93*24))/G93,"spécifier histo"))</f>
        <v>0.487362231182796</v>
      </c>
      <c r="F93" s="56" t="n">
        <v>2400</v>
      </c>
      <c r="G93" s="56" t="n">
        <v>2400</v>
      </c>
      <c r="H93" s="9" t="n">
        <v>0</v>
      </c>
      <c r="J93" s="216"/>
      <c r="L93" s="0"/>
      <c r="P93" s="0"/>
      <c r="S93" s="0"/>
      <c r="V93" s="0"/>
    </row>
    <row r="94" s="1" customFormat="true" ht="19.85" hidden="false" customHeight="true" outlineLevel="0" collapsed="false">
      <c r="A94" s="1" t="n">
        <v>31</v>
      </c>
      <c r="B94" s="31" t="n">
        <v>42005</v>
      </c>
      <c r="C94" s="1" t="n">
        <v>559343</v>
      </c>
      <c r="D94" s="9" t="s">
        <v>41</v>
      </c>
      <c r="E94" s="33" t="n">
        <f aca="false">IF(D94="totale",(C94/(A94*24))/F94,IF(D94="marché libre",(C94/(A94*24))/G94,"spécifier histo"))</f>
        <v>0.313252128136201</v>
      </c>
      <c r="F94" s="56" t="n">
        <v>2400</v>
      </c>
      <c r="G94" s="56" t="n">
        <v>2400</v>
      </c>
      <c r="H94" s="9" t="n">
        <v>0</v>
      </c>
      <c r="K94" s="0"/>
      <c r="L94" s="29"/>
      <c r="S94" s="0"/>
      <c r="V94" s="0"/>
    </row>
    <row r="95" customFormat="false" ht="19.85" hidden="false" customHeight="true" outlineLevel="0" collapsed="false">
      <c r="A95" s="1" t="n">
        <v>28</v>
      </c>
      <c r="B95" s="34" t="n">
        <v>42036</v>
      </c>
      <c r="C95" s="1" t="n">
        <v>416225</v>
      </c>
      <c r="D95" s="9" t="s">
        <v>41</v>
      </c>
      <c r="E95" s="33" t="n">
        <f aca="false">IF(D95="totale",(C95/(A95*24))/F95,IF(D95="marché libre",(C95/(A95*24))/G95,"spécifier histo"))</f>
        <v>0.258076016865079</v>
      </c>
      <c r="F95" s="56" t="n">
        <v>2400</v>
      </c>
      <c r="G95" s="56" t="n">
        <v>2400</v>
      </c>
      <c r="H95" s="9" t="n">
        <v>0</v>
      </c>
      <c r="J95" s="216"/>
      <c r="L95" s="0"/>
      <c r="P95" s="0"/>
      <c r="S95" s="0"/>
      <c r="V95" s="0"/>
    </row>
    <row r="96" s="1" customFormat="true" ht="19.85" hidden="false" customHeight="true" outlineLevel="0" collapsed="false">
      <c r="A96" s="1" t="n">
        <v>31</v>
      </c>
      <c r="B96" s="31" t="n">
        <v>42064</v>
      </c>
      <c r="C96" s="1" t="n">
        <v>779805</v>
      </c>
      <c r="D96" s="9" t="s">
        <v>41</v>
      </c>
      <c r="E96" s="33" t="n">
        <f aca="false">IF(D96="totale",(C96/(A96*24))/F96,IF(D96="marché libre",(C96/(A96*24))/G96,"spécifier histo"))</f>
        <v>0.43671875</v>
      </c>
      <c r="F96" s="56" t="n">
        <v>2400</v>
      </c>
      <c r="G96" s="56" t="n">
        <v>2400</v>
      </c>
      <c r="H96" s="9" t="n">
        <v>0</v>
      </c>
      <c r="K96" s="0"/>
      <c r="L96" s="29"/>
      <c r="S96" s="0"/>
      <c r="V96" s="0"/>
    </row>
    <row r="97" customFormat="false" ht="19.85" hidden="false" customHeight="true" outlineLevel="0" collapsed="false">
      <c r="A97" s="1" t="n">
        <v>30</v>
      </c>
      <c r="B97" s="34" t="n">
        <v>42095</v>
      </c>
      <c r="C97" s="1" t="n">
        <v>1380341</v>
      </c>
      <c r="D97" s="9" t="s">
        <v>41</v>
      </c>
      <c r="E97" s="33" t="n">
        <f aca="false">IF(D97="totale",(C97/(A97*24))/F97,IF(D97="marché libre",(C97/(A97*24))/G97,"spécifier histo"))</f>
        <v>0.798808449074074</v>
      </c>
      <c r="F97" s="56" t="n">
        <v>2400</v>
      </c>
      <c r="G97" s="56" t="n">
        <v>2400</v>
      </c>
      <c r="H97" s="9" t="n">
        <v>0</v>
      </c>
      <c r="J97" s="216"/>
      <c r="L97" s="0"/>
      <c r="P97" s="0"/>
      <c r="S97" s="0"/>
      <c r="V97" s="0"/>
    </row>
    <row r="98" s="1" customFormat="true" ht="19.85" hidden="false" customHeight="true" outlineLevel="0" collapsed="false">
      <c r="A98" s="1" t="n">
        <v>31</v>
      </c>
      <c r="B98" s="31" t="n">
        <v>42125</v>
      </c>
      <c r="C98" s="1" t="n">
        <v>1222887</v>
      </c>
      <c r="D98" s="9" t="s">
        <v>41</v>
      </c>
      <c r="E98" s="33" t="n">
        <f aca="false">IF(D98="totale",(C98/(A98*24))/F98,IF(D98="marché libre",(C98/(A98*24))/G98,"spécifier histo"))</f>
        <v>0.684860551075269</v>
      </c>
      <c r="F98" s="56" t="n">
        <v>2400</v>
      </c>
      <c r="G98" s="56" t="n">
        <v>2400</v>
      </c>
      <c r="H98" s="9" t="n">
        <v>0</v>
      </c>
      <c r="K98" s="0"/>
      <c r="L98" s="29"/>
      <c r="S98" s="0"/>
      <c r="V98" s="0"/>
    </row>
    <row r="99" customFormat="false" ht="19.85" hidden="false" customHeight="true" outlineLevel="0" collapsed="false">
      <c r="A99" s="1" t="n">
        <v>30</v>
      </c>
      <c r="B99" s="34" t="n">
        <v>42156</v>
      </c>
      <c r="C99" s="1" t="n">
        <v>795897</v>
      </c>
      <c r="D99" s="9" t="s">
        <v>41</v>
      </c>
      <c r="E99" s="33" t="n">
        <f aca="false">IF(D99="totale",(C99/(A99*24))/F99,IF(D99="marché libre",(C99/(A99*24))/G99,"spécifier histo"))</f>
        <v>0.460588541666667</v>
      </c>
      <c r="F99" s="56" t="n">
        <v>2400</v>
      </c>
      <c r="G99" s="56" t="n">
        <v>2400</v>
      </c>
      <c r="H99" s="9" t="n">
        <v>0</v>
      </c>
      <c r="J99" s="216"/>
      <c r="L99" s="0"/>
      <c r="P99" s="0"/>
      <c r="S99" s="0"/>
      <c r="V99" s="0"/>
    </row>
    <row r="100" s="1" customFormat="true" ht="19.85" hidden="false" customHeight="true" outlineLevel="0" collapsed="false">
      <c r="A100" s="1" t="n">
        <v>31</v>
      </c>
      <c r="B100" s="31" t="n">
        <v>42186</v>
      </c>
      <c r="C100" s="1" t="n">
        <v>633928</v>
      </c>
      <c r="D100" s="9" t="s">
        <v>41</v>
      </c>
      <c r="E100" s="33" t="n">
        <f aca="false">IF(D100="totale",(C100/(A100*24))/F100,IF(D100="marché libre",(C100/(A100*24))/G100,"spécifier histo"))</f>
        <v>0.355022401433692</v>
      </c>
      <c r="F100" s="56" t="n">
        <v>2400</v>
      </c>
      <c r="G100" s="56" t="n">
        <v>2400</v>
      </c>
      <c r="H100" s="9" t="n">
        <v>0</v>
      </c>
      <c r="K100" s="0"/>
      <c r="L100" s="29"/>
      <c r="S100" s="0"/>
      <c r="V100" s="0"/>
    </row>
    <row r="101" customFormat="false" ht="19.85" hidden="false" customHeight="true" outlineLevel="0" collapsed="false">
      <c r="A101" s="1" t="n">
        <v>31</v>
      </c>
      <c r="B101" s="34" t="n">
        <v>42217</v>
      </c>
      <c r="C101" s="1" t="n">
        <v>473491</v>
      </c>
      <c r="D101" s="9" t="s">
        <v>41</v>
      </c>
      <c r="E101" s="33" t="n">
        <f aca="false">IF(D101="totale",(C101/(A101*24))/F101,IF(D101="marché libre",(C101/(A101*24))/G101,"spécifier histo"))</f>
        <v>0.265171931003584</v>
      </c>
      <c r="F101" s="56" t="n">
        <v>2400</v>
      </c>
      <c r="G101" s="56" t="n">
        <v>2400</v>
      </c>
      <c r="H101" s="9" t="n">
        <v>0</v>
      </c>
      <c r="J101" s="216"/>
      <c r="L101" s="0"/>
      <c r="P101" s="0"/>
      <c r="S101" s="0"/>
      <c r="V101" s="0"/>
    </row>
    <row r="102" s="1" customFormat="true" ht="19.85" hidden="false" customHeight="true" outlineLevel="0" collapsed="false">
      <c r="A102" s="1" t="n">
        <v>30</v>
      </c>
      <c r="B102" s="31" t="n">
        <v>42248</v>
      </c>
      <c r="C102" s="1" t="n">
        <v>531751</v>
      </c>
      <c r="D102" s="9" t="s">
        <v>41</v>
      </c>
      <c r="E102" s="33" t="n">
        <f aca="false">IF(D102="totale",(C102/(A102*24))/F102,IF(D102="marché libre",(C102/(A102*24))/G102,"spécifier histo"))</f>
        <v>0.307726273148148</v>
      </c>
      <c r="F102" s="56" t="n">
        <v>2400</v>
      </c>
      <c r="G102" s="56" t="n">
        <v>2400</v>
      </c>
      <c r="H102" s="9" t="n">
        <v>0</v>
      </c>
      <c r="K102" s="0"/>
      <c r="L102" s="29"/>
      <c r="S102" s="0"/>
      <c r="V102" s="0"/>
    </row>
    <row r="103" customFormat="false" ht="19.85" hidden="false" customHeight="true" outlineLevel="0" collapsed="false">
      <c r="A103" s="1" t="n">
        <v>31</v>
      </c>
      <c r="B103" s="34" t="n">
        <v>42278</v>
      </c>
      <c r="C103" s="1" t="n">
        <v>873092</v>
      </c>
      <c r="D103" s="9" t="s">
        <v>41</v>
      </c>
      <c r="E103" s="33" t="n">
        <f aca="false">IF(D103="totale",(C103/(A103*24))/F103,IF(D103="marché libre",(C103/(A103*24))/G103,"spécifier histo"))</f>
        <v>0.488962813620072</v>
      </c>
      <c r="F103" s="56" t="n">
        <v>2400</v>
      </c>
      <c r="G103" s="56" t="n">
        <v>2400</v>
      </c>
      <c r="H103" s="9" t="n">
        <v>0</v>
      </c>
      <c r="J103" s="216"/>
      <c r="L103" s="0"/>
      <c r="P103" s="0"/>
      <c r="S103" s="0"/>
      <c r="V103" s="0"/>
    </row>
    <row r="104" s="1" customFormat="true" ht="19.85" hidden="false" customHeight="true" outlineLevel="0" collapsed="false">
      <c r="A104" s="1" t="n">
        <v>30</v>
      </c>
      <c r="B104" s="31" t="n">
        <v>42309</v>
      </c>
      <c r="C104" s="1" t="n">
        <v>729210</v>
      </c>
      <c r="D104" s="9" t="s">
        <v>41</v>
      </c>
      <c r="E104" s="33" t="n">
        <f aca="false">IF(D104="totale",(C104/(A104*24))/F104,IF(D104="marché libre",(C104/(A104*24))/G104,"spécifier histo"))</f>
        <v>0.421996527777778</v>
      </c>
      <c r="F104" s="56" t="n">
        <v>2400</v>
      </c>
      <c r="G104" s="56" t="n">
        <v>2400</v>
      </c>
      <c r="H104" s="9" t="n">
        <v>0</v>
      </c>
      <c r="K104" s="0"/>
      <c r="L104" s="29"/>
      <c r="S104" s="0"/>
      <c r="V104" s="0"/>
    </row>
    <row r="105" customFormat="false" ht="19.85" hidden="false" customHeight="true" outlineLevel="0" collapsed="false">
      <c r="A105" s="1" t="n">
        <v>31</v>
      </c>
      <c r="B105" s="34" t="n">
        <v>42339</v>
      </c>
      <c r="C105" s="1" t="n">
        <v>405793</v>
      </c>
      <c r="D105" s="9" t="s">
        <v>41</v>
      </c>
      <c r="E105" s="33" t="n">
        <f aca="false">IF(D105="totale",(C105/(A105*24))/F105,IF(D105="marché libre",(C105/(A105*24))/G105,"spécifier histo"))</f>
        <v>0.227258624551971</v>
      </c>
      <c r="F105" s="56" t="n">
        <v>2400</v>
      </c>
      <c r="G105" s="56" t="n">
        <v>2400</v>
      </c>
      <c r="H105" s="9" t="n">
        <v>0</v>
      </c>
      <c r="J105" s="216"/>
      <c r="L105" s="0"/>
      <c r="P105" s="0"/>
      <c r="S105" s="0"/>
      <c r="V105" s="0"/>
    </row>
    <row r="106" s="1" customFormat="true" ht="19.85" hidden="false" customHeight="true" outlineLevel="0" collapsed="false">
      <c r="A106" s="1" t="n">
        <v>31</v>
      </c>
      <c r="B106" s="31" t="n">
        <v>42370</v>
      </c>
      <c r="C106" s="1" t="n">
        <v>372565</v>
      </c>
      <c r="D106" s="9" t="s">
        <v>41</v>
      </c>
      <c r="E106" s="33" t="n">
        <f aca="false">IF(D106="totale",(C106/(A106*24))/F106,IF(D106="marché libre",(C106/(A106*24))/G106,"spécifier histo"))</f>
        <v>0.208649753584229</v>
      </c>
      <c r="F106" s="56" t="n">
        <v>2400</v>
      </c>
      <c r="G106" s="56" t="n">
        <v>2400</v>
      </c>
      <c r="H106" s="9" t="n">
        <v>0</v>
      </c>
      <c r="K106" s="0"/>
      <c r="L106" s="29"/>
      <c r="S106" s="0"/>
      <c r="V106" s="0"/>
    </row>
    <row r="107" customFormat="false" ht="19.85" hidden="false" customHeight="true" outlineLevel="0" collapsed="false">
      <c r="A107" s="1" t="n">
        <v>28</v>
      </c>
      <c r="B107" s="34" t="n">
        <v>42401</v>
      </c>
      <c r="C107" s="1" t="n">
        <v>473414</v>
      </c>
      <c r="D107" s="9" t="s">
        <v>41</v>
      </c>
      <c r="E107" s="33" t="n">
        <f aca="false">IF(D107="totale",(C107/(A107*24))/F107,IF(D107="marché libre",(C107/(A107*24))/G107,"spécifier histo"))</f>
        <v>0.293535466269841</v>
      </c>
      <c r="F107" s="56" t="n">
        <v>2400</v>
      </c>
      <c r="G107" s="56" t="n">
        <v>2400</v>
      </c>
      <c r="H107" s="9" t="n">
        <v>0</v>
      </c>
      <c r="J107" s="216"/>
      <c r="L107" s="0"/>
      <c r="P107" s="0"/>
      <c r="S107" s="0"/>
      <c r="V107" s="0"/>
    </row>
    <row r="108" s="1" customFormat="true" ht="19.85" hidden="false" customHeight="true" outlineLevel="0" collapsed="false">
      <c r="A108" s="1" t="n">
        <v>31</v>
      </c>
      <c r="B108" s="31" t="n">
        <v>42430</v>
      </c>
      <c r="C108" s="1" t="n">
        <v>644553</v>
      </c>
      <c r="D108" s="9" t="s">
        <v>41</v>
      </c>
      <c r="E108" s="33" t="n">
        <f aca="false">IF(D108="totale",(C108/(A108*24))/F108,IF(D108="marché libre",(C108/(A108*24))/G108,"spécifier histo"))</f>
        <v>0.360972782258064</v>
      </c>
      <c r="F108" s="56" t="n">
        <v>2400</v>
      </c>
      <c r="G108" s="56" t="n">
        <v>2400</v>
      </c>
      <c r="H108" s="9" t="n">
        <v>0</v>
      </c>
      <c r="K108" s="0"/>
      <c r="L108" s="29"/>
      <c r="S108" s="0"/>
      <c r="V108" s="0"/>
    </row>
    <row r="109" customFormat="false" ht="19.85" hidden="false" customHeight="true" outlineLevel="0" collapsed="false">
      <c r="A109" s="1" t="n">
        <v>30</v>
      </c>
      <c r="B109" s="34" t="n">
        <v>42461</v>
      </c>
      <c r="C109" s="1" t="n">
        <v>1315547</v>
      </c>
      <c r="D109" s="9" t="s">
        <v>41</v>
      </c>
      <c r="E109" s="33" t="n">
        <f aca="false">IF(D109="totale",(C109/(A109*24))/F109,IF(D109="marché libre",(C109/(A109*24))/G109,"spécifier histo"))</f>
        <v>0.761311921296296</v>
      </c>
      <c r="F109" s="56" t="n">
        <v>2400</v>
      </c>
      <c r="G109" s="56" t="n">
        <v>2400</v>
      </c>
      <c r="H109" s="9" t="n">
        <v>0</v>
      </c>
      <c r="J109" s="216"/>
      <c r="L109" s="0"/>
      <c r="P109" s="0"/>
      <c r="S109" s="0"/>
      <c r="V109" s="0"/>
    </row>
    <row r="110" s="1" customFormat="true" ht="19.85" hidden="false" customHeight="true" outlineLevel="0" collapsed="false">
      <c r="A110" s="1" t="n">
        <v>31</v>
      </c>
      <c r="B110" s="31" t="n">
        <v>42491</v>
      </c>
      <c r="C110" s="1" t="n">
        <v>1264874</v>
      </c>
      <c r="D110" s="9" t="s">
        <v>41</v>
      </c>
      <c r="E110" s="33" t="n">
        <f aca="false">IF(D110="totale",(C110/(A110*24))/F110,IF(D110="marché libre",(C110/(A110*24))/G110,"spécifier histo"))</f>
        <v>0.708374775985663</v>
      </c>
      <c r="F110" s="56" t="n">
        <v>2400</v>
      </c>
      <c r="G110" s="56" t="n">
        <v>2400</v>
      </c>
      <c r="H110" s="9" t="n">
        <v>0</v>
      </c>
      <c r="K110" s="0"/>
      <c r="L110" s="29"/>
      <c r="S110" s="0"/>
      <c r="V110" s="0"/>
    </row>
    <row r="111" customFormat="false" ht="19.85" hidden="false" customHeight="true" outlineLevel="0" collapsed="false">
      <c r="A111" s="1" t="n">
        <v>30</v>
      </c>
      <c r="B111" s="34" t="n">
        <v>42522</v>
      </c>
      <c r="C111" s="1" t="n">
        <v>986711</v>
      </c>
      <c r="D111" s="9" t="s">
        <v>41</v>
      </c>
      <c r="E111" s="33" t="n">
        <f aca="false">IF(D111="totale",(C111/(A111*24))/F111,IF(D111="marché libre",(C111/(A111*24))/G111,"spécifier histo"))</f>
        <v>0.571013310185185</v>
      </c>
      <c r="F111" s="56" t="n">
        <v>2400</v>
      </c>
      <c r="G111" s="56" t="n">
        <v>2400</v>
      </c>
      <c r="H111" s="9" t="n">
        <v>0</v>
      </c>
      <c r="J111" s="216"/>
      <c r="L111" s="0"/>
      <c r="P111" s="0"/>
      <c r="S111" s="0"/>
      <c r="V111" s="0"/>
    </row>
    <row r="112" s="1" customFormat="true" ht="19.85" hidden="false" customHeight="true" outlineLevel="0" collapsed="false">
      <c r="A112" s="1" t="n">
        <v>31</v>
      </c>
      <c r="B112" s="31" t="n">
        <v>42552</v>
      </c>
      <c r="C112" s="1" t="n">
        <v>370577</v>
      </c>
      <c r="D112" s="9" t="s">
        <v>41</v>
      </c>
      <c r="E112" s="33" t="n">
        <f aca="false">IF(D112="totale",(C112/(A112*24))/F112,IF(D112="marché libre",(C112/(A112*24))/G112,"spécifier histo"))</f>
        <v>0.207536402329749</v>
      </c>
      <c r="F112" s="56" t="n">
        <v>2400</v>
      </c>
      <c r="G112" s="56" t="n">
        <v>2400</v>
      </c>
      <c r="H112" s="9" t="n">
        <v>0</v>
      </c>
      <c r="K112" s="0"/>
      <c r="L112" s="29"/>
      <c r="S112" s="0"/>
      <c r="V112" s="0"/>
    </row>
    <row r="113" customFormat="false" ht="19.85" hidden="false" customHeight="true" outlineLevel="0" collapsed="false">
      <c r="A113" s="1" t="n">
        <v>31</v>
      </c>
      <c r="B113" s="34" t="n">
        <v>42583</v>
      </c>
      <c r="C113" s="1" t="n">
        <v>150297</v>
      </c>
      <c r="D113" s="9" t="s">
        <v>41</v>
      </c>
      <c r="E113" s="33" t="n">
        <f aca="false">IF(D113="totale",(C113/(A113*24))/F113,IF(D113="marché libre",(C113/(A113*24))/G113,"spécifier histo"))</f>
        <v>0.0841717069892473</v>
      </c>
      <c r="F113" s="56" t="n">
        <v>2400</v>
      </c>
      <c r="G113" s="56" t="n">
        <v>2400</v>
      </c>
      <c r="H113" s="9" t="n">
        <v>0</v>
      </c>
      <c r="J113" s="216"/>
      <c r="L113" s="0"/>
      <c r="P113" s="0"/>
      <c r="S113" s="0"/>
      <c r="V113" s="0"/>
    </row>
    <row r="114" s="1" customFormat="true" ht="19.85" hidden="false" customHeight="true" outlineLevel="0" collapsed="false">
      <c r="A114" s="1" t="n">
        <v>30</v>
      </c>
      <c r="B114" s="31" t="n">
        <v>42614</v>
      </c>
      <c r="C114" s="1" t="n">
        <v>326664</v>
      </c>
      <c r="D114" s="9" t="s">
        <v>41</v>
      </c>
      <c r="E114" s="33" t="n">
        <f aca="false">IF(D114="totale",(C114/(A114*24))/F114,IF(D114="marché libre",(C114/(A114*24))/G114,"spécifier histo"))</f>
        <v>0.189041666666667</v>
      </c>
      <c r="F114" s="56" t="n">
        <v>2400</v>
      </c>
      <c r="G114" s="56" t="n">
        <v>2400</v>
      </c>
      <c r="H114" s="9" t="n">
        <v>0</v>
      </c>
      <c r="K114" s="0"/>
      <c r="L114" s="29"/>
      <c r="S114" s="0"/>
      <c r="V114" s="0"/>
    </row>
    <row r="115" customFormat="false" ht="19.85" hidden="false" customHeight="true" outlineLevel="0" collapsed="false">
      <c r="A115" s="1" t="n">
        <v>31</v>
      </c>
      <c r="B115" s="34" t="n">
        <v>42644</v>
      </c>
      <c r="C115" s="1" t="n">
        <v>771958</v>
      </c>
      <c r="D115" s="9" t="s">
        <v>41</v>
      </c>
      <c r="E115" s="33" t="n">
        <f aca="false">IF(D115="totale",(C115/(A115*24))/F115,IF(D115="marché libre",(C115/(A115*24))/G115,"spécifier histo"))</f>
        <v>0.43232414874552</v>
      </c>
      <c r="F115" s="56" t="n">
        <v>2400</v>
      </c>
      <c r="G115" s="56" t="n">
        <v>2400</v>
      </c>
      <c r="H115" s="9" t="n">
        <v>0</v>
      </c>
      <c r="J115" s="216"/>
      <c r="L115" s="0"/>
      <c r="P115" s="0"/>
      <c r="S115" s="0"/>
      <c r="V115" s="0"/>
    </row>
    <row r="116" s="1" customFormat="true" ht="19.85" hidden="false" customHeight="true" outlineLevel="0" collapsed="false">
      <c r="A116" s="1" t="n">
        <v>30</v>
      </c>
      <c r="B116" s="31" t="n">
        <v>42675</v>
      </c>
      <c r="C116" s="1" t="n">
        <v>1021297</v>
      </c>
      <c r="D116" s="9" t="s">
        <v>41</v>
      </c>
      <c r="E116" s="33" t="n">
        <f aca="false">IF(D116="totale",(C116/(A116*24))/F116,IF(D116="marché libre",(C116/(A116*24))/G116,"spécifier histo"))</f>
        <v>0.591028356481481</v>
      </c>
      <c r="F116" s="56" t="n">
        <v>2400</v>
      </c>
      <c r="G116" s="56" t="n">
        <v>2400</v>
      </c>
      <c r="H116" s="9" t="n">
        <v>0</v>
      </c>
      <c r="K116" s="0"/>
      <c r="L116" s="29"/>
      <c r="S116" s="0"/>
      <c r="V116" s="0"/>
    </row>
    <row r="117" customFormat="false" ht="19.85" hidden="false" customHeight="true" outlineLevel="0" collapsed="false">
      <c r="A117" s="1" t="n">
        <v>31</v>
      </c>
      <c r="B117" s="34" t="n">
        <v>42705</v>
      </c>
      <c r="C117" s="1" t="n">
        <v>703717</v>
      </c>
      <c r="D117" s="9" t="s">
        <v>41</v>
      </c>
      <c r="E117" s="33" t="n">
        <f aca="false">IF(D117="totale",(C117/(A117*24))/F117,IF(D117="marché libre",(C117/(A117*24))/G117,"spécifier histo"))</f>
        <v>0.394106742831541</v>
      </c>
      <c r="F117" s="56" t="n">
        <v>2400</v>
      </c>
      <c r="G117" s="56" t="n">
        <v>2400</v>
      </c>
      <c r="H117" s="9" t="n">
        <v>0</v>
      </c>
      <c r="J117" s="216"/>
      <c r="L117" s="0"/>
      <c r="P117" s="0"/>
      <c r="S117" s="0"/>
      <c r="V117" s="0"/>
    </row>
    <row r="118" s="1" customFormat="true" ht="19.85" hidden="false" customHeight="true" outlineLevel="0" collapsed="false">
      <c r="A118" s="1" t="n">
        <v>31</v>
      </c>
      <c r="B118" s="31" t="n">
        <v>42736</v>
      </c>
      <c r="C118" s="1" t="n">
        <v>373964</v>
      </c>
      <c r="D118" s="9" t="s">
        <v>41</v>
      </c>
      <c r="E118" s="33" t="n">
        <f aca="false">IF(D118="totale",(C118/(A118*24))/F118,IF(D118="marché libre",(C118/(A118*24))/G118,"spécifier histo"))</f>
        <v>0.209433243727599</v>
      </c>
      <c r="F118" s="56" t="n">
        <v>2400</v>
      </c>
      <c r="G118" s="56" t="n">
        <v>2400</v>
      </c>
      <c r="H118" s="9" t="n">
        <v>0</v>
      </c>
      <c r="K118" s="0"/>
      <c r="L118" s="29"/>
      <c r="S118" s="0"/>
      <c r="V118" s="0"/>
    </row>
    <row r="119" customFormat="false" ht="19.85" hidden="false" customHeight="true" outlineLevel="0" collapsed="false">
      <c r="A119" s="1" t="n">
        <v>28</v>
      </c>
      <c r="B119" s="34" t="n">
        <v>42767</v>
      </c>
      <c r="C119" s="1" t="n">
        <v>120308</v>
      </c>
      <c r="D119" s="9" t="s">
        <v>41</v>
      </c>
      <c r="E119" s="33" t="n">
        <f aca="false">IF(D119="totale",(C119/(A119*24))/F119,IF(D119="marché libre",(C119/(A119*24))/G119,"spécifier histo"))</f>
        <v>0.0745957341269841</v>
      </c>
      <c r="F119" s="56" t="n">
        <v>2400</v>
      </c>
      <c r="G119" s="56" t="n">
        <v>2400</v>
      </c>
      <c r="H119" s="9" t="n">
        <v>0</v>
      </c>
      <c r="J119" s="216"/>
      <c r="L119" s="0"/>
      <c r="P119" s="0"/>
      <c r="S119" s="0"/>
      <c r="V119" s="0"/>
    </row>
    <row r="120" s="1" customFormat="true" ht="19.85" hidden="false" customHeight="true" outlineLevel="0" collapsed="false">
      <c r="A120" s="1" t="n">
        <v>31</v>
      </c>
      <c r="B120" s="31" t="n">
        <v>42795</v>
      </c>
      <c r="C120" s="1" t="n">
        <v>1145041</v>
      </c>
      <c r="D120" s="9" t="s">
        <v>41</v>
      </c>
      <c r="E120" s="33" t="n">
        <f aca="false">IF(D120="totale",(C120/(A120*24))/F120,IF(D120="marché libre",(C120/(A120*24))/G120,"spécifier histo"))</f>
        <v>0.641264000896057</v>
      </c>
      <c r="F120" s="56" t="n">
        <v>2400</v>
      </c>
      <c r="G120" s="56" t="n">
        <v>2400</v>
      </c>
      <c r="H120" s="9" t="n">
        <v>0</v>
      </c>
      <c r="K120" s="0"/>
      <c r="L120" s="29"/>
      <c r="S120" s="0"/>
      <c r="V120" s="0"/>
    </row>
    <row r="121" customFormat="false" ht="19.85" hidden="false" customHeight="true" outlineLevel="0" collapsed="false">
      <c r="A121" s="1" t="n">
        <v>30</v>
      </c>
      <c r="B121" s="34" t="n">
        <v>42826</v>
      </c>
      <c r="C121" s="1" t="n">
        <v>1426115</v>
      </c>
      <c r="D121" s="9" t="s">
        <v>41</v>
      </c>
      <c r="E121" s="33" t="n">
        <f aca="false">IF(D121="totale",(C121/(A121*24))/F121,IF(D121="marché libre",(C121/(A121*24))/G121,"spécifier histo"))</f>
        <v>0.825298032407407</v>
      </c>
      <c r="F121" s="56" t="n">
        <v>2400</v>
      </c>
      <c r="G121" s="56" t="n">
        <v>2400</v>
      </c>
      <c r="H121" s="9" t="n">
        <v>0</v>
      </c>
      <c r="J121" s="216"/>
      <c r="L121" s="0"/>
      <c r="P121" s="0"/>
      <c r="S121" s="0"/>
      <c r="V121" s="0"/>
    </row>
    <row r="122" s="1" customFormat="true" ht="19.85" hidden="false" customHeight="true" outlineLevel="0" collapsed="false">
      <c r="A122" s="1" t="n">
        <v>31</v>
      </c>
      <c r="B122" s="31" t="n">
        <v>42856</v>
      </c>
      <c r="C122" s="1" t="n">
        <v>1450646</v>
      </c>
      <c r="D122" s="9" t="s">
        <v>41</v>
      </c>
      <c r="E122" s="33" t="n">
        <f aca="false">IF(D122="totale",(C122/(A122*24))/F122,IF(D122="marché libre",(C122/(A122*24))/G122,"spécifier histo"))</f>
        <v>0.812413754480287</v>
      </c>
      <c r="F122" s="56" t="n">
        <v>2400</v>
      </c>
      <c r="G122" s="56" t="n">
        <v>2400</v>
      </c>
      <c r="H122" s="9" t="n">
        <v>0</v>
      </c>
      <c r="K122" s="0"/>
      <c r="L122" s="29"/>
      <c r="S122" s="0"/>
      <c r="V122" s="0"/>
    </row>
    <row r="123" customFormat="false" ht="19.85" hidden="false" customHeight="true" outlineLevel="0" collapsed="false">
      <c r="A123" s="1" t="n">
        <v>30</v>
      </c>
      <c r="B123" s="34" t="n">
        <v>42887</v>
      </c>
      <c r="C123" s="1" t="n">
        <v>972395</v>
      </c>
      <c r="D123" s="9" t="s">
        <v>41</v>
      </c>
      <c r="E123" s="33" t="n">
        <f aca="false">IF(D123="totale",(C123/(A123*24))/F123,IF(D123="marché libre",(C123/(A123*24))/G123,"spécifier histo"))</f>
        <v>0.562728587962963</v>
      </c>
      <c r="F123" s="56" t="n">
        <v>2400</v>
      </c>
      <c r="G123" s="56" t="n">
        <v>2400</v>
      </c>
      <c r="H123" s="9" t="n">
        <v>0</v>
      </c>
      <c r="J123" s="216"/>
      <c r="L123" s="0"/>
      <c r="P123" s="0"/>
      <c r="S123" s="0"/>
      <c r="V123" s="0"/>
    </row>
    <row r="124" s="1" customFormat="true" ht="19.85" hidden="false" customHeight="true" outlineLevel="0" collapsed="false">
      <c r="A124" s="1" t="n">
        <v>31</v>
      </c>
      <c r="B124" s="31" t="n">
        <v>42917</v>
      </c>
      <c r="C124" s="1" t="n">
        <v>312387</v>
      </c>
      <c r="D124" s="9" t="s">
        <v>41</v>
      </c>
      <c r="E124" s="33" t="n">
        <f aca="false">IF(D124="totale",(C124/(A124*24))/F124,IF(D124="marché libre",(C124/(A124*24))/G124,"spécifier histo"))</f>
        <v>0.174947916666667</v>
      </c>
      <c r="F124" s="56" t="n">
        <v>2400</v>
      </c>
      <c r="G124" s="56" t="n">
        <v>2400</v>
      </c>
      <c r="H124" s="9" t="n">
        <v>0</v>
      </c>
      <c r="K124" s="0"/>
      <c r="L124" s="29"/>
      <c r="S124" s="0"/>
      <c r="V124" s="0"/>
    </row>
    <row r="125" customFormat="false" ht="19.85" hidden="false" customHeight="true" outlineLevel="0" collapsed="false">
      <c r="A125" s="1" t="n">
        <v>31</v>
      </c>
      <c r="B125" s="34" t="n">
        <v>42948</v>
      </c>
      <c r="C125" s="1" t="n">
        <v>339440</v>
      </c>
      <c r="D125" s="9" t="s">
        <v>41</v>
      </c>
      <c r="E125" s="33" t="n">
        <f aca="false">IF(D125="totale",(C125/(A125*24))/F125,IF(D125="marché libre",(C125/(A125*24))/G125,"spécifier histo"))</f>
        <v>0.190098566308244</v>
      </c>
      <c r="F125" s="56" t="n">
        <v>2400</v>
      </c>
      <c r="G125" s="56" t="n">
        <v>2400</v>
      </c>
      <c r="H125" s="9" t="n">
        <v>0</v>
      </c>
      <c r="J125" s="216"/>
      <c r="L125" s="0"/>
      <c r="P125" s="0"/>
      <c r="S125" s="0"/>
      <c r="V125" s="0"/>
    </row>
    <row r="126" s="1" customFormat="true" ht="19.85" hidden="false" customHeight="true" outlineLevel="0" collapsed="false">
      <c r="A126" s="1" t="n">
        <v>30</v>
      </c>
      <c r="B126" s="31" t="n">
        <v>42979</v>
      </c>
      <c r="C126" s="1" t="n">
        <v>245770</v>
      </c>
      <c r="D126" s="9" t="s">
        <v>41</v>
      </c>
      <c r="E126" s="33" t="n">
        <f aca="false">IF(D126="totale",(C126/(A126*24))/F126,IF(D126="marché libre",(C126/(A126*24))/G126,"spécifier histo"))</f>
        <v>0.142228009259259</v>
      </c>
      <c r="F126" s="56" t="n">
        <v>2400</v>
      </c>
      <c r="G126" s="56" t="n">
        <v>2400</v>
      </c>
      <c r="H126" s="9" t="n">
        <v>0</v>
      </c>
      <c r="K126" s="0"/>
      <c r="L126" s="29"/>
      <c r="S126" s="0"/>
      <c r="V126" s="0"/>
    </row>
    <row r="127" customFormat="false" ht="19.85" hidden="false" customHeight="true" outlineLevel="0" collapsed="false">
      <c r="A127" s="1" t="n">
        <v>31</v>
      </c>
      <c r="B127" s="34" t="n">
        <v>43009</v>
      </c>
      <c r="C127" s="1" t="n">
        <v>169422</v>
      </c>
      <c r="D127" s="9" t="s">
        <v>41</v>
      </c>
      <c r="E127" s="33" t="n">
        <f aca="false">IF(D127="totale",(C127/(A127*24))/F127,IF(D127="marché libre",(C127/(A127*24))/G127,"spécifier histo"))</f>
        <v>0.0948823924731183</v>
      </c>
      <c r="F127" s="56" t="n">
        <v>2400</v>
      </c>
      <c r="G127" s="56" t="n">
        <v>2400</v>
      </c>
      <c r="H127" s="9" t="n">
        <v>0</v>
      </c>
      <c r="J127" s="216"/>
      <c r="L127" s="0"/>
      <c r="P127" s="0"/>
      <c r="S127" s="0"/>
      <c r="V127" s="0"/>
    </row>
    <row r="128" s="1" customFormat="true" ht="19.85" hidden="false" customHeight="true" outlineLevel="0" collapsed="false">
      <c r="A128" s="1" t="n">
        <v>30</v>
      </c>
      <c r="B128" s="31" t="n">
        <v>43040</v>
      </c>
      <c r="C128" s="1" t="n">
        <v>171314</v>
      </c>
      <c r="D128" s="9" t="s">
        <v>41</v>
      </c>
      <c r="E128" s="33" t="n">
        <f aca="false">IF(D128="totale",(C128/(A128*24))/F128,IF(D128="marché libre",(C128/(A128*24))/G128,"spécifier histo"))</f>
        <v>0.0991400462962963</v>
      </c>
      <c r="F128" s="56" t="n">
        <v>2400</v>
      </c>
      <c r="G128" s="56" t="n">
        <v>2400</v>
      </c>
      <c r="H128" s="9" t="n">
        <v>0</v>
      </c>
      <c r="K128" s="0"/>
      <c r="L128" s="29"/>
      <c r="S128" s="0"/>
      <c r="V128" s="0"/>
    </row>
    <row r="129" customFormat="false" ht="19.85" hidden="false" customHeight="true" outlineLevel="0" collapsed="false">
      <c r="A129" s="1" t="n">
        <v>31</v>
      </c>
      <c r="B129" s="34" t="n">
        <v>43070</v>
      </c>
      <c r="C129" s="1" t="n">
        <v>185991</v>
      </c>
      <c r="D129" s="9" t="s">
        <v>41</v>
      </c>
      <c r="E129" s="33" t="n">
        <f aca="false">IF(D129="totale",(C129/(A129*24))/F129,IF(D129="marché libre",(C129/(A129*24))/G129,"spécifier histo"))</f>
        <v>0.104161626344086</v>
      </c>
      <c r="F129" s="56" t="n">
        <v>2400</v>
      </c>
      <c r="G129" s="56" t="n">
        <v>2400</v>
      </c>
      <c r="H129" s="9" t="n">
        <v>0</v>
      </c>
      <c r="J129" s="216"/>
      <c r="L129" s="0"/>
      <c r="P129" s="0"/>
      <c r="S129" s="0"/>
      <c r="V129" s="0"/>
    </row>
    <row r="130" s="1" customFormat="true" ht="19.85" hidden="false" customHeight="true" outlineLevel="0" collapsed="false">
      <c r="A130" s="1" t="n">
        <v>31</v>
      </c>
      <c r="B130" s="31" t="n">
        <v>43101</v>
      </c>
      <c r="C130" s="1" t="n">
        <v>377113</v>
      </c>
      <c r="D130" s="9" t="s">
        <v>41</v>
      </c>
      <c r="E130" s="33" t="n">
        <f aca="false">IF(D130="totale",(C130/(A130*24))/F130,IF(D130="marché libre",(C130/(A130*24))/G130,"spécifier histo"))</f>
        <v>0.211196796594982</v>
      </c>
      <c r="F130" s="56" t="n">
        <v>2400</v>
      </c>
      <c r="G130" s="56" t="n">
        <v>2400</v>
      </c>
      <c r="H130" s="9" t="n">
        <v>0</v>
      </c>
      <c r="K130" s="0"/>
      <c r="L130" s="29"/>
      <c r="S130" s="0"/>
      <c r="V130" s="0"/>
    </row>
    <row r="131" customFormat="false" ht="19.85" hidden="false" customHeight="true" outlineLevel="0" collapsed="false">
      <c r="A131" s="1" t="n">
        <v>28</v>
      </c>
      <c r="B131" s="34" t="n">
        <v>43132</v>
      </c>
      <c r="C131" s="1" t="n">
        <v>192927</v>
      </c>
      <c r="D131" s="9" t="s">
        <v>41</v>
      </c>
      <c r="E131" s="33" t="n">
        <f aca="false">IF(D131="totale",(C131/(A131*24))/F131,IF(D131="marché libre",(C131/(A131*24))/G131,"spécifier histo"))</f>
        <v>0.119622395833333</v>
      </c>
      <c r="F131" s="56" t="n">
        <v>2400</v>
      </c>
      <c r="G131" s="56" t="n">
        <v>2400</v>
      </c>
      <c r="H131" s="9" t="n">
        <v>0</v>
      </c>
      <c r="J131" s="216"/>
      <c r="L131" s="0"/>
      <c r="P131" s="0"/>
      <c r="S131" s="0"/>
      <c r="V131" s="0"/>
    </row>
    <row r="132" s="1" customFormat="true" ht="19.85" hidden="false" customHeight="true" outlineLevel="0" collapsed="false">
      <c r="A132" s="1" t="n">
        <v>31</v>
      </c>
      <c r="B132" s="31" t="n">
        <v>43160</v>
      </c>
      <c r="C132" s="1" t="n">
        <v>534357</v>
      </c>
      <c r="D132" s="9" t="s">
        <v>41</v>
      </c>
      <c r="E132" s="33" t="n">
        <f aca="false">IF(D132="totale",(C132/(A132*24))/F132,IF(D132="marché libre",(C132/(A132*24))/G132,"spécifier histo"))</f>
        <v>0.299259072580645</v>
      </c>
      <c r="F132" s="56" t="n">
        <v>2400</v>
      </c>
      <c r="G132" s="56" t="n">
        <v>2400</v>
      </c>
      <c r="H132" s="9" t="n">
        <v>0</v>
      </c>
      <c r="K132" s="0"/>
      <c r="L132" s="29"/>
      <c r="S132" s="0"/>
      <c r="V132" s="0"/>
    </row>
    <row r="133" customFormat="false" ht="19.85" hidden="false" customHeight="true" outlineLevel="0" collapsed="false">
      <c r="A133" s="1" t="n">
        <v>30</v>
      </c>
      <c r="B133" s="34" t="n">
        <v>43191</v>
      </c>
      <c r="C133" s="1" t="n">
        <v>1021424</v>
      </c>
      <c r="D133" s="9" t="s">
        <v>41</v>
      </c>
      <c r="E133" s="33" t="n">
        <f aca="false">IF(D133="totale",(C133/(A133*24))/F133,IF(D133="marché libre",(C133/(A133*24))/G133,"spécifier histo"))</f>
        <v>0.591101851851852</v>
      </c>
      <c r="F133" s="56" t="n">
        <v>2400</v>
      </c>
      <c r="G133" s="56" t="n">
        <v>2400</v>
      </c>
      <c r="H133" s="9" t="n">
        <v>0</v>
      </c>
      <c r="J133" s="216"/>
      <c r="L133" s="0"/>
      <c r="P133" s="0"/>
      <c r="S133" s="0"/>
      <c r="V133" s="0"/>
    </row>
    <row r="134" s="1" customFormat="true" ht="19.85" hidden="false" customHeight="true" outlineLevel="0" collapsed="false">
      <c r="A134" s="1" t="n">
        <v>31</v>
      </c>
      <c r="B134" s="31" t="n">
        <v>43221</v>
      </c>
      <c r="C134" s="1" t="n">
        <v>1321384</v>
      </c>
      <c r="D134" s="9" t="s">
        <v>41</v>
      </c>
      <c r="E134" s="33" t="n">
        <f aca="false">IF(D134="totale",(C134/(A134*24))/F134,IF(D134="marché libre",(C134/(A134*24))/G134,"spécifier histo"))</f>
        <v>0.740022401433692</v>
      </c>
      <c r="F134" s="56" t="n">
        <v>2400</v>
      </c>
      <c r="G134" s="56" t="n">
        <v>2400</v>
      </c>
      <c r="H134" s="9" t="n">
        <v>0</v>
      </c>
      <c r="K134" s="0"/>
      <c r="L134" s="29"/>
      <c r="S134" s="0"/>
      <c r="V134" s="0"/>
    </row>
    <row r="135" customFormat="false" ht="19.85" hidden="false" customHeight="true" outlineLevel="0" collapsed="false">
      <c r="A135" s="1" t="n">
        <v>30</v>
      </c>
      <c r="B135" s="34" t="n">
        <v>43252</v>
      </c>
      <c r="C135" s="1" t="n">
        <v>1303703</v>
      </c>
      <c r="D135" s="9" t="s">
        <v>41</v>
      </c>
      <c r="E135" s="33" t="n">
        <f aca="false">IF(D135="totale",(C135/(A135*24))/F135,IF(D135="marché libre",(C135/(A135*24))/G135,"spécifier histo"))</f>
        <v>0.75445775462963</v>
      </c>
      <c r="F135" s="56" t="n">
        <v>2400</v>
      </c>
      <c r="G135" s="56" t="n">
        <v>2400</v>
      </c>
      <c r="H135" s="9" t="n">
        <v>0</v>
      </c>
      <c r="J135" s="216"/>
      <c r="L135" s="0"/>
      <c r="P135" s="0"/>
      <c r="S135" s="0"/>
      <c r="V135" s="0"/>
    </row>
    <row r="136" s="1" customFormat="true" ht="19.85" hidden="false" customHeight="true" outlineLevel="0" collapsed="false">
      <c r="A136" s="1" t="n">
        <v>31</v>
      </c>
      <c r="B136" s="31" t="n">
        <v>43282</v>
      </c>
      <c r="C136" s="1" t="n">
        <v>750036</v>
      </c>
      <c r="D136" s="9" t="s">
        <v>41</v>
      </c>
      <c r="E136" s="33" t="n">
        <f aca="false">IF(D136="totale",(C136/(A136*24))/F136,IF(D136="marché libre",(C136/(A136*24))/G136,"spécifier histo"))</f>
        <v>0.420047043010753</v>
      </c>
      <c r="F136" s="56" t="n">
        <v>2400</v>
      </c>
      <c r="G136" s="56" t="n">
        <v>2400</v>
      </c>
      <c r="H136" s="9" t="n">
        <v>0</v>
      </c>
      <c r="K136" s="0"/>
      <c r="L136" s="29"/>
      <c r="S136" s="0"/>
      <c r="V136" s="0"/>
    </row>
    <row r="137" customFormat="false" ht="19.85" hidden="false" customHeight="true" outlineLevel="0" collapsed="false">
      <c r="A137" s="1" t="n">
        <v>31</v>
      </c>
      <c r="B137" s="34" t="n">
        <v>43313</v>
      </c>
      <c r="C137" s="1" t="n">
        <v>662432</v>
      </c>
      <c r="D137" s="9" t="s">
        <v>41</v>
      </c>
      <c r="E137" s="33" t="n">
        <f aca="false">IF(D137="totale",(C137/(A137*24))/F137,IF(D137="marché libre",(C137/(A137*24))/G137,"spécifier histo"))</f>
        <v>0.370985663082437</v>
      </c>
      <c r="F137" s="56" t="n">
        <v>2400</v>
      </c>
      <c r="G137" s="56" t="n">
        <v>2400</v>
      </c>
      <c r="H137" s="9" t="n">
        <v>0</v>
      </c>
      <c r="J137" s="216"/>
      <c r="L137" s="0"/>
      <c r="P137" s="0"/>
      <c r="S137" s="0"/>
      <c r="V137" s="0"/>
    </row>
    <row r="138" s="1" customFormat="true" ht="19.85" hidden="false" customHeight="true" outlineLevel="0" collapsed="false">
      <c r="A138" s="1" t="n">
        <v>30</v>
      </c>
      <c r="B138" s="31" t="n">
        <v>43344</v>
      </c>
      <c r="C138" s="1" t="n">
        <v>468468</v>
      </c>
      <c r="D138" s="9" t="s">
        <v>41</v>
      </c>
      <c r="E138" s="33" t="n">
        <f aca="false">IF(D138="totale",(C138/(A138*24))/F138,IF(D138="marché libre",(C138/(A138*24))/G138,"spécifier histo"))</f>
        <v>0.271104166666667</v>
      </c>
      <c r="F138" s="56" t="n">
        <v>2400</v>
      </c>
      <c r="G138" s="56" t="n">
        <v>2400</v>
      </c>
      <c r="H138" s="9" t="n">
        <v>0</v>
      </c>
      <c r="K138" s="0"/>
      <c r="L138" s="29"/>
      <c r="S138" s="0"/>
      <c r="V138" s="0"/>
    </row>
    <row r="139" customFormat="false" ht="19.85" hidden="false" customHeight="true" outlineLevel="0" collapsed="false">
      <c r="A139" s="1" t="n">
        <v>31</v>
      </c>
      <c r="B139" s="34" t="n">
        <v>43374</v>
      </c>
      <c r="C139" s="1" t="n">
        <v>116058</v>
      </c>
      <c r="D139" s="9" t="s">
        <v>41</v>
      </c>
      <c r="E139" s="33" t="n">
        <f aca="false">IF(D139="totale",(C139/(A139*24))/F139,IF(D139="marché libre",(C139/(A139*24))/G139,"spécifier histo"))</f>
        <v>0.0649966397849462</v>
      </c>
      <c r="F139" s="56" t="n">
        <v>2400</v>
      </c>
      <c r="G139" s="56" t="n">
        <v>2400</v>
      </c>
      <c r="H139" s="9" t="n">
        <v>0</v>
      </c>
      <c r="J139" s="216"/>
      <c r="L139" s="0"/>
      <c r="P139" s="0"/>
      <c r="S139" s="0"/>
      <c r="V139"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39">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4.xml><?xml version="1.0" encoding="utf-8"?>
<worksheet xmlns="http://schemas.openxmlformats.org/spreadsheetml/2006/main" xmlns:r="http://schemas.openxmlformats.org/officeDocument/2006/relationships">
  <sheetPr filterMode="false">
    <tabColor rgb="FF00CC33"/>
    <pageSetUpPr fitToPage="false"/>
  </sheetPr>
  <dimension ref="A1:AC23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11" activePane="bottomRight" state="frozen"/>
      <selection pane="topLeft" activeCell="A1" activeCellId="0" sqref="A1"/>
      <selection pane="topRight" activeCell="B1" activeCellId="0" sqref="B1"/>
      <selection pane="bottomLeft" activeCell="A211" activeCellId="0" sqref="A211"/>
      <selection pane="bottomRight" activeCell="A8" activeCellId="0" sqref="A8"/>
    </sheetView>
  </sheetViews>
  <sheetFormatPr defaultRowHeight="12.8" zeroHeight="false" outlineLevelRow="0" outlineLevelCol="0"/>
  <cols>
    <col collapsed="false" customWidth="true" hidden="false" outlineLevel="0" max="1" min="1" style="9" width="10.12"/>
    <col collapsed="false" customWidth="true" hidden="false" outlineLevel="0" max="2" min="2" style="9" width="17.13"/>
    <col collapsed="false" customWidth="true" hidden="false" outlineLevel="0" max="3" min="3" style="9" width="14.81"/>
    <col collapsed="false" customWidth="true" hidden="false" outlineLevel="0" max="6" min="4" style="9" width="16.07"/>
    <col collapsed="false" customWidth="true" hidden="false" outlineLevel="0" max="7" min="7" style="9" width="14.66"/>
    <col collapsed="false" customWidth="true" hidden="false" outlineLevel="0" max="8" min="8" style="9" width="16.53"/>
    <col collapsed="false" customWidth="true" hidden="false" outlineLevel="0" max="9" min="9" style="9" width="21.44"/>
    <col collapsed="false" customWidth="true" hidden="false" outlineLevel="0" max="10" min="10" style="9" width="24.68"/>
    <col collapsed="false" customWidth="true" hidden="false" outlineLevel="0" max="11" min="11" style="9" width="16.98"/>
    <col collapsed="false" customWidth="true" hidden="false" outlineLevel="0" max="12" min="12" style="9" width="24.22"/>
    <col collapsed="false" customWidth="false" hidden="false" outlineLevel="0" max="13" min="13" style="9" width="11.52"/>
    <col collapsed="false" customWidth="true" hidden="false" outlineLevel="0" max="14" min="14" style="9" width="9.59"/>
    <col collapsed="false" customWidth="true" hidden="false" outlineLevel="0" max="15" min="15" style="9" width="4.93"/>
    <col collapsed="false" customWidth="false" hidden="false" outlineLevel="0" max="16" min="16" style="9" width="11.52"/>
    <col collapsed="false" customWidth="true" hidden="false" outlineLevel="0" max="17" min="17" style="9" width="14.66"/>
    <col collapsed="false" customWidth="true" hidden="false" outlineLevel="0" max="18" min="18" style="9" width="4.78"/>
    <col collapsed="false" customWidth="false" hidden="false" outlineLevel="0" max="1025" min="19" style="9" width="11.52"/>
  </cols>
  <sheetData>
    <row r="1" customFormat="false" ht="30.8" hidden="false" customHeight="true" outlineLevel="0" collapsed="false">
      <c r="A1" s="122" t="s">
        <v>108</v>
      </c>
      <c r="B1" s="96" t="s">
        <v>0</v>
      </c>
      <c r="C1" s="96"/>
      <c r="D1" s="96"/>
      <c r="E1" s="96"/>
      <c r="F1" s="97" t="s">
        <v>1</v>
      </c>
      <c r="G1" s="97"/>
      <c r="H1" s="97"/>
      <c r="I1" s="97"/>
      <c r="J1" s="97"/>
      <c r="K1" s="97"/>
      <c r="L1" s="97"/>
      <c r="M1" s="97"/>
      <c r="N1" s="97"/>
    </row>
    <row r="2" customFormat="false" ht="30.8" hidden="false" customHeight="true" outlineLevel="0" collapsed="false">
      <c r="A2" s="207" t="s">
        <v>503</v>
      </c>
      <c r="B2" s="96"/>
      <c r="C2" s="96"/>
      <c r="D2" s="96"/>
      <c r="E2" s="96"/>
      <c r="F2" s="97" t="s">
        <v>2</v>
      </c>
      <c r="G2" s="97"/>
      <c r="H2" s="97"/>
      <c r="I2" s="97"/>
      <c r="J2" s="97" t="s">
        <v>3</v>
      </c>
      <c r="K2" s="97"/>
      <c r="L2" s="97" t="s">
        <v>4</v>
      </c>
      <c r="M2" s="97"/>
      <c r="N2" s="97" t="s">
        <v>5</v>
      </c>
      <c r="P2" s="4"/>
      <c r="Q2" s="5" t="s">
        <v>6</v>
      </c>
      <c r="S2" s="6"/>
      <c r="T2" s="7" t="s">
        <v>7</v>
      </c>
      <c r="U2" s="8" t="s">
        <v>8</v>
      </c>
    </row>
    <row r="3" customFormat="false" ht="37.45" hidden="false" customHeight="true" outlineLevel="0" collapsed="false">
      <c r="A3" s="207"/>
      <c r="B3" s="20" t="s">
        <v>9</v>
      </c>
      <c r="C3" s="20" t="s">
        <v>10</v>
      </c>
      <c r="D3" s="20" t="s">
        <v>11</v>
      </c>
      <c r="E3" s="98" t="s">
        <v>12</v>
      </c>
      <c r="F3" s="20" t="s">
        <v>13</v>
      </c>
      <c r="G3" s="20" t="s">
        <v>14</v>
      </c>
      <c r="H3" s="20" t="s">
        <v>15</v>
      </c>
      <c r="I3" s="20" t="s">
        <v>16</v>
      </c>
      <c r="J3" s="20" t="s">
        <v>17</v>
      </c>
      <c r="K3" s="20" t="s">
        <v>18</v>
      </c>
      <c r="L3" s="20" t="s">
        <v>19</v>
      </c>
      <c r="M3" s="20" t="s">
        <v>17</v>
      </c>
      <c r="N3" s="97"/>
      <c r="P3" s="12"/>
      <c r="Q3" s="5" t="s">
        <v>20</v>
      </c>
      <c r="S3" s="13"/>
      <c r="T3" s="7" t="s">
        <v>21</v>
      </c>
      <c r="U3" s="8"/>
    </row>
    <row r="4" customFormat="false" ht="45.8" hidden="false" customHeight="true" outlineLevel="0" collapsed="false">
      <c r="A4" s="207"/>
      <c r="B4" s="15" t="s">
        <v>504</v>
      </c>
      <c r="C4" s="15" t="n">
        <v>51787</v>
      </c>
      <c r="D4" s="19" t="s">
        <v>505</v>
      </c>
      <c r="E4" s="136" t="s">
        <v>506</v>
      </c>
      <c r="F4" s="15" t="n">
        <v>3400</v>
      </c>
      <c r="G4" s="15" t="n">
        <v>3400</v>
      </c>
      <c r="H4" s="15" t="n">
        <v>2983</v>
      </c>
      <c r="I4" s="15" t="s">
        <v>507</v>
      </c>
      <c r="J4" s="15" t="n">
        <v>2983</v>
      </c>
      <c r="K4" s="15" t="s">
        <v>508</v>
      </c>
      <c r="L4" s="15" t="s">
        <v>48</v>
      </c>
      <c r="M4" s="15" t="n">
        <v>2983</v>
      </c>
      <c r="N4" s="4"/>
      <c r="P4" s="17"/>
      <c r="Q4" s="16" t="s">
        <v>23</v>
      </c>
      <c r="S4" s="18"/>
      <c r="T4" s="19" t="s">
        <v>24</v>
      </c>
      <c r="U4" s="19"/>
      <c r="V4" s="19"/>
    </row>
    <row r="5" customFormat="false" ht="28.35" hidden="false" customHeight="true" outlineLevel="0" collapsed="false">
      <c r="A5" s="207"/>
    </row>
    <row r="6" customFormat="false" ht="38.3" hidden="false" customHeight="true" outlineLevel="0" collapsed="false">
      <c r="A6" s="207"/>
      <c r="B6" s="0"/>
      <c r="C6" s="10" t="s">
        <v>25</v>
      </c>
      <c r="D6" s="10"/>
      <c r="F6" s="20" t="s">
        <v>26</v>
      </c>
      <c r="G6" s="19" t="s">
        <v>509</v>
      </c>
      <c r="H6" s="19"/>
      <c r="I6" s="19"/>
      <c r="J6" s="19"/>
      <c r="K6" s="19"/>
      <c r="L6" s="19"/>
      <c r="M6" s="19"/>
      <c r="N6" s="19"/>
      <c r="P6" s="21" t="n">
        <v>42370</v>
      </c>
      <c r="Q6" s="19" t="s">
        <v>27</v>
      </c>
      <c r="S6" s="22"/>
      <c r="T6" s="5" t="s">
        <v>28</v>
      </c>
    </row>
    <row r="7" customFormat="false" ht="66.9" hidden="false" customHeight="true" outlineLevel="0" collapsed="false">
      <c r="A7" s="207"/>
      <c r="B7" s="0"/>
      <c r="C7" s="126" t="s">
        <v>510</v>
      </c>
      <c r="D7" s="126"/>
      <c r="F7" s="20"/>
      <c r="G7" s="20"/>
      <c r="H7" s="19"/>
      <c r="I7" s="19"/>
      <c r="J7" s="19"/>
      <c r="K7" s="19"/>
      <c r="L7" s="19"/>
      <c r="M7" s="19"/>
      <c r="N7" s="19"/>
      <c r="P7" s="24"/>
      <c r="Q7" s="5" t="s">
        <v>29</v>
      </c>
      <c r="S7" s="25"/>
      <c r="T7" s="5" t="s">
        <v>30</v>
      </c>
    </row>
    <row r="8" customFormat="false" ht="47.45" hidden="false" customHeight="true" outlineLevel="0" collapsed="false">
      <c r="C8" s="0"/>
      <c r="P8" s="1"/>
      <c r="Q8" s="1"/>
      <c r="S8" s="27"/>
      <c r="T8" s="16" t="s">
        <v>31</v>
      </c>
    </row>
    <row r="9" customFormat="false" ht="41.65" hidden="false" customHeight="true" outlineLevel="0" collapsed="false">
      <c r="A9" s="1"/>
      <c r="B9" s="9" t="s">
        <v>32</v>
      </c>
      <c r="C9" s="1" t="s">
        <v>33</v>
      </c>
      <c r="D9" s="0"/>
      <c r="E9" s="1" t="s">
        <v>35</v>
      </c>
      <c r="F9" s="9" t="s">
        <v>97</v>
      </c>
      <c r="G9" s="9" t="s">
        <v>37</v>
      </c>
      <c r="H9" s="9" t="s">
        <v>38</v>
      </c>
      <c r="I9" s="9" t="s">
        <v>39</v>
      </c>
      <c r="J9" s="30" t="s">
        <v>40</v>
      </c>
    </row>
    <row r="10" customFormat="false" ht="22.05" hidden="false" customHeight="true" outlineLevel="0" collapsed="false">
      <c r="A10" s="1" t="n">
        <v>31</v>
      </c>
      <c r="B10" s="31" t="n">
        <v>36892</v>
      </c>
      <c r="C10" s="9" t="n">
        <v>1775600</v>
      </c>
      <c r="D10" s="29" t="s">
        <v>41</v>
      </c>
      <c r="E10" s="33" t="n">
        <f aca="false">IF(D10="totale",(C10/(A10*24))/F10,IF(D10="marché libre",(C10/(A10*24))/G10,"spécifier histo"))</f>
        <v>0.705456440965104</v>
      </c>
      <c r="F10" s="56" t="n">
        <v>3383</v>
      </c>
      <c r="G10" s="56" t="n">
        <f aca="false">F10-H10</f>
        <v>3383</v>
      </c>
      <c r="H10" s="56" t="n">
        <v>0</v>
      </c>
      <c r="J10" s="30"/>
    </row>
    <row r="11" customFormat="false" ht="22.05" hidden="false" customHeight="true" outlineLevel="0" collapsed="false">
      <c r="A11" s="1" t="n">
        <v>28</v>
      </c>
      <c r="B11" s="34" t="n">
        <v>36923</v>
      </c>
      <c r="C11" s="9" t="n">
        <v>1043999</v>
      </c>
      <c r="D11" s="29" t="s">
        <v>41</v>
      </c>
      <c r="E11" s="33" t="n">
        <f aca="false">IF(D11="totale",(C11/(A11*24))/F11,IF(D11="marché libre",(C11/(A11*24))/G11,"spécifier histo"))</f>
        <v>0.45922847782329</v>
      </c>
      <c r="F11" s="56" t="n">
        <v>3383</v>
      </c>
      <c r="G11" s="56" t="n">
        <f aca="false">F11-H11</f>
        <v>3383</v>
      </c>
      <c r="H11" s="56" t="n">
        <v>0</v>
      </c>
      <c r="J11" s="30"/>
    </row>
    <row r="12" customFormat="false" ht="22.05" hidden="false" customHeight="true" outlineLevel="0" collapsed="false">
      <c r="A12" s="1" t="n">
        <v>31</v>
      </c>
      <c r="B12" s="31" t="n">
        <v>36951</v>
      </c>
      <c r="C12" s="9" t="n">
        <v>1933596</v>
      </c>
      <c r="D12" s="29" t="s">
        <v>41</v>
      </c>
      <c r="E12" s="33" t="n">
        <f aca="false">IF(D12="totale",(C12/(A12*24))/F12,IF(D12="marché libre",(C12/(A12*24))/G12,"spécifier histo"))</f>
        <v>0.768229191498288</v>
      </c>
      <c r="F12" s="56" t="n">
        <v>3383</v>
      </c>
      <c r="G12" s="56" t="n">
        <f aca="false">F12-H12</f>
        <v>3383</v>
      </c>
      <c r="H12" s="56" t="n">
        <v>0</v>
      </c>
      <c r="J12" s="30"/>
    </row>
    <row r="13" customFormat="false" ht="22.05" hidden="false" customHeight="true" outlineLevel="0" collapsed="false">
      <c r="A13" s="1" t="n">
        <v>30</v>
      </c>
      <c r="B13" s="34" t="n">
        <v>36982</v>
      </c>
      <c r="C13" s="9" t="n">
        <v>1859198</v>
      </c>
      <c r="D13" s="29" t="s">
        <v>41</v>
      </c>
      <c r="E13" s="33" t="n">
        <f aca="false">IF(D13="totale",(C13/(A13*24))/F13,IF(D13="marché libre",(C13/(A13*24))/G13,"spécifier histo"))</f>
        <v>0.763292771044766</v>
      </c>
      <c r="F13" s="56" t="n">
        <v>3383</v>
      </c>
      <c r="G13" s="56" t="n">
        <f aca="false">F13-H13</f>
        <v>3383</v>
      </c>
      <c r="H13" s="56" t="n">
        <v>0</v>
      </c>
      <c r="J13" s="30"/>
    </row>
    <row r="14" customFormat="false" ht="22.05" hidden="false" customHeight="true" outlineLevel="0" collapsed="false">
      <c r="A14" s="1" t="n">
        <v>31</v>
      </c>
      <c r="B14" s="31" t="n">
        <v>37012</v>
      </c>
      <c r="C14" s="9" t="n">
        <v>2014398</v>
      </c>
      <c r="D14" s="29" t="s">
        <v>41</v>
      </c>
      <c r="E14" s="33" t="n">
        <f aca="false">IF(D14="totale",(C14/(A14*24))/F14,IF(D14="marché libre",(C14/(A14*24))/G14,"spécifier histo"))</f>
        <v>0.800332306694764</v>
      </c>
      <c r="F14" s="56" t="n">
        <v>3383</v>
      </c>
      <c r="G14" s="56" t="n">
        <f aca="false">F14-H14</f>
        <v>3383</v>
      </c>
      <c r="H14" s="56" t="n">
        <v>0</v>
      </c>
      <c r="J14" s="30"/>
    </row>
    <row r="15" customFormat="false" ht="22.05" hidden="false" customHeight="true" outlineLevel="0" collapsed="false">
      <c r="A15" s="1" t="n">
        <v>30</v>
      </c>
      <c r="B15" s="34" t="n">
        <v>37043</v>
      </c>
      <c r="C15" s="9" t="n">
        <v>1915600</v>
      </c>
      <c r="D15" s="29" t="s">
        <v>41</v>
      </c>
      <c r="E15" s="33" t="n">
        <f aca="false">IF(D15="totale",(C15/(A15*24))/F15,IF(D15="marché libre",(C15/(A15*24))/G15,"spécifier histo"))</f>
        <v>0.786448582783197</v>
      </c>
      <c r="F15" s="56" t="n">
        <v>3383</v>
      </c>
      <c r="G15" s="56" t="n">
        <f aca="false">F15-H15</f>
        <v>3383</v>
      </c>
      <c r="H15" s="56" t="n">
        <v>0</v>
      </c>
      <c r="J15" s="30"/>
    </row>
    <row r="16" customFormat="false" ht="22.05" hidden="false" customHeight="true" outlineLevel="0" collapsed="false">
      <c r="A16" s="1" t="n">
        <v>31</v>
      </c>
      <c r="B16" s="31" t="n">
        <v>37073</v>
      </c>
      <c r="C16" s="9" t="n">
        <v>1834776</v>
      </c>
      <c r="D16" s="29" t="s">
        <v>41</v>
      </c>
      <c r="E16" s="33" t="n">
        <f aca="false">IF(D16="totale",(C16/(A16*24))/F16,IF(D16="marché libre",(C16/(A16*24))/G16,"spécifier histo"))</f>
        <v>0.72896741773383</v>
      </c>
      <c r="F16" s="56" t="n">
        <v>3383</v>
      </c>
      <c r="G16" s="56" t="n">
        <f aca="false">F16-H16</f>
        <v>3383</v>
      </c>
      <c r="H16" s="56" t="n">
        <v>0</v>
      </c>
      <c r="J16" s="30"/>
    </row>
    <row r="17" customFormat="false" ht="22.05" hidden="false" customHeight="true" outlineLevel="0" collapsed="false">
      <c r="A17" s="1" t="n">
        <v>31</v>
      </c>
      <c r="B17" s="34" t="n">
        <v>37104</v>
      </c>
      <c r="C17" s="9" t="n">
        <v>698707</v>
      </c>
      <c r="D17" s="29" t="s">
        <v>41</v>
      </c>
      <c r="E17" s="33" t="n">
        <f aca="false">IF(D17="totale",(C17/(A17*24))/F17,IF(D17="marché libre",(C17/(A17*24))/G17,"spécifier histo"))</f>
        <v>0.27760044688973</v>
      </c>
      <c r="F17" s="56" t="n">
        <v>3383</v>
      </c>
      <c r="G17" s="56" t="n">
        <f aca="false">F17-H17</f>
        <v>3383</v>
      </c>
      <c r="H17" s="56" t="n">
        <v>0</v>
      </c>
      <c r="J17" s="30"/>
    </row>
    <row r="18" customFormat="false" ht="22.05" hidden="false" customHeight="true" outlineLevel="0" collapsed="false">
      <c r="A18" s="1" t="n">
        <v>30</v>
      </c>
      <c r="B18" s="31" t="n">
        <v>37135</v>
      </c>
      <c r="C18" s="9" t="n">
        <v>328678</v>
      </c>
      <c r="D18" s="29" t="s">
        <v>41</v>
      </c>
      <c r="E18" s="33" t="n">
        <f aca="false">IF(D18="totale",(C18/(A18*24))/F18,IF(D18="marché libre",(C18/(A18*24))/G18,"spécifier histo"))</f>
        <v>0.134938581797878</v>
      </c>
      <c r="F18" s="56" t="n">
        <v>3383</v>
      </c>
      <c r="G18" s="56" t="n">
        <f aca="false">F18-H18</f>
        <v>3383</v>
      </c>
      <c r="H18" s="56" t="n">
        <v>0</v>
      </c>
      <c r="J18" s="30"/>
    </row>
    <row r="19" customFormat="false" ht="22.05" hidden="false" customHeight="true" outlineLevel="0" collapsed="false">
      <c r="A19" s="1" t="n">
        <v>31</v>
      </c>
      <c r="B19" s="34" t="n">
        <v>37165</v>
      </c>
      <c r="C19" s="9" t="n">
        <v>1025200</v>
      </c>
      <c r="D19" s="29" t="s">
        <v>41</v>
      </c>
      <c r="E19" s="33" t="n">
        <f aca="false">IF(D19="totale",(C19/(A19*24))/F19,IF(D19="marché libre",(C19/(A19*24))/G19,"spécifier histo"))</f>
        <v>0.407318057714251</v>
      </c>
      <c r="F19" s="56" t="n">
        <v>3383</v>
      </c>
      <c r="G19" s="56" t="n">
        <f aca="false">F19-H19</f>
        <v>3383</v>
      </c>
      <c r="H19" s="56" t="n">
        <v>0</v>
      </c>
      <c r="J19" s="30"/>
    </row>
    <row r="20" customFormat="false" ht="22.05" hidden="false" customHeight="true" outlineLevel="0" collapsed="false">
      <c r="A20" s="1" t="n">
        <v>30</v>
      </c>
      <c r="B20" s="31" t="n">
        <v>37196</v>
      </c>
      <c r="C20" s="9" t="n">
        <v>769200</v>
      </c>
      <c r="D20" s="29" t="s">
        <v>41</v>
      </c>
      <c r="E20" s="33" t="n">
        <f aca="false">IF(D20="totale",(C20/(A20*24))/F20,IF(D20="marché libre",(C20/(A20*24))/G20,"spécifier histo"))</f>
        <v>0.315794659572372</v>
      </c>
      <c r="F20" s="56" t="n">
        <v>3383</v>
      </c>
      <c r="G20" s="56" t="n">
        <f aca="false">F20-H20</f>
        <v>3383</v>
      </c>
      <c r="H20" s="56" t="n">
        <v>0</v>
      </c>
      <c r="J20" s="30"/>
    </row>
    <row r="21" customFormat="false" ht="22.05" hidden="false" customHeight="true" outlineLevel="0" collapsed="false">
      <c r="A21" s="1" t="n">
        <v>31</v>
      </c>
      <c r="B21" s="34" t="n">
        <v>37226</v>
      </c>
      <c r="C21" s="9" t="n">
        <v>506000</v>
      </c>
      <c r="D21" s="29" t="s">
        <v>41</v>
      </c>
      <c r="E21" s="33" t="n">
        <f aca="false">IF(D21="totale",(C21/(A21*24))/F21,IF(D21="marché libre",(C21/(A21*24))/G21,"spécifier histo"))</f>
        <v>0.201036809601454</v>
      </c>
      <c r="F21" s="56" t="n">
        <v>3383</v>
      </c>
      <c r="G21" s="56" t="n">
        <f aca="false">F21-H21</f>
        <v>3383</v>
      </c>
      <c r="H21" s="56" t="n">
        <v>0</v>
      </c>
      <c r="J21" s="30"/>
    </row>
    <row r="22" customFormat="false" ht="22.05" hidden="false" customHeight="true" outlineLevel="0" collapsed="false">
      <c r="A22" s="1" t="n">
        <v>31</v>
      </c>
      <c r="B22" s="31" t="n">
        <v>37257</v>
      </c>
      <c r="C22" s="9" t="n">
        <v>326800</v>
      </c>
      <c r="D22" s="29" t="s">
        <v>41</v>
      </c>
      <c r="E22" s="33" t="n">
        <f aca="false">IF(D22="totale",(C22/(A22*24))/F22,IF(D22="marché libre",(C22/(A22*24))/G22,"spécifier histo"))</f>
        <v>0.129839583750505</v>
      </c>
      <c r="F22" s="56" t="n">
        <v>3383</v>
      </c>
      <c r="G22" s="56" t="n">
        <f aca="false">F22-H22</f>
        <v>3383</v>
      </c>
      <c r="H22" s="56" t="n">
        <v>0</v>
      </c>
      <c r="J22" s="30"/>
    </row>
    <row r="23" customFormat="false" ht="22.05" hidden="false" customHeight="true" outlineLevel="0" collapsed="false">
      <c r="A23" s="1" t="n">
        <v>28</v>
      </c>
      <c r="B23" s="34" t="n">
        <v>37288</v>
      </c>
      <c r="C23" s="9" t="n">
        <v>305984</v>
      </c>
      <c r="D23" s="29" t="s">
        <v>41</v>
      </c>
      <c r="E23" s="33" t="n">
        <f aca="false">IF(D23="totale",(C23/(A23*24))/F23,IF(D23="marché libre",(C23/(A23*24))/G23,"spécifier histo"))</f>
        <v>0.134594541334122</v>
      </c>
      <c r="F23" s="56" t="n">
        <v>3383</v>
      </c>
      <c r="G23" s="56" t="n">
        <f aca="false">F23-H23</f>
        <v>3383</v>
      </c>
      <c r="H23" s="56" t="n">
        <v>0</v>
      </c>
      <c r="J23" s="30"/>
    </row>
    <row r="24" customFormat="false" ht="22.05" hidden="false" customHeight="true" outlineLevel="0" collapsed="false">
      <c r="A24" s="1" t="n">
        <v>31</v>
      </c>
      <c r="B24" s="31" t="n">
        <v>37316</v>
      </c>
      <c r="C24" s="9" t="n">
        <v>704000</v>
      </c>
      <c r="D24" s="29" t="s">
        <v>41</v>
      </c>
      <c r="E24" s="33" t="n">
        <f aca="false">IF(D24="totale",(C24/(A24*24))/F24,IF(D24="marché libre",(C24/(A24*24))/G24,"spécifier histo"))</f>
        <v>0.279703387271589</v>
      </c>
      <c r="F24" s="56" t="n">
        <v>3383</v>
      </c>
      <c r="G24" s="56" t="n">
        <f aca="false">F24-H24</f>
        <v>3383</v>
      </c>
      <c r="H24" s="56" t="n">
        <v>0</v>
      </c>
      <c r="J24" s="30"/>
    </row>
    <row r="25" customFormat="false" ht="22.05" hidden="false" customHeight="true" outlineLevel="0" collapsed="false">
      <c r="A25" s="1" t="n">
        <v>30</v>
      </c>
      <c r="B25" s="34" t="n">
        <v>37347</v>
      </c>
      <c r="C25" s="9" t="n">
        <v>782799</v>
      </c>
      <c r="D25" s="29" t="s">
        <v>41</v>
      </c>
      <c r="E25" s="33" t="n">
        <f aca="false">IF(D25="totale",(C25/(A25*24))/F25,IF(D25="marché libre",(C25/(A25*24))/G25,"spécifier histo"))</f>
        <v>0.321377721943049</v>
      </c>
      <c r="F25" s="56" t="n">
        <v>3383</v>
      </c>
      <c r="G25" s="56" t="n">
        <f aca="false">F25-H25</f>
        <v>3383</v>
      </c>
      <c r="H25" s="56" t="n">
        <v>0</v>
      </c>
      <c r="J25" s="30"/>
    </row>
    <row r="26" customFormat="false" ht="22.05" hidden="false" customHeight="true" outlineLevel="0" collapsed="false">
      <c r="A26" s="1" t="n">
        <v>31</v>
      </c>
      <c r="B26" s="31" t="n">
        <v>37377</v>
      </c>
      <c r="C26" s="9" t="n">
        <v>2063999</v>
      </c>
      <c r="D26" s="29" t="s">
        <v>41</v>
      </c>
      <c r="E26" s="33" t="n">
        <f aca="false">IF(D26="totale",(C26/(A26*24))/F26,IF(D26="marché libre",(C26/(A26*24))/G26,"spécifier histo"))</f>
        <v>0.820039079013029</v>
      </c>
      <c r="F26" s="56" t="n">
        <v>3383</v>
      </c>
      <c r="G26" s="56" t="n">
        <f aca="false">F26-H26</f>
        <v>3383</v>
      </c>
      <c r="H26" s="56" t="n">
        <v>0</v>
      </c>
      <c r="J26" s="30"/>
    </row>
    <row r="27" customFormat="false" ht="22.05" hidden="false" customHeight="true" outlineLevel="0" collapsed="false">
      <c r="A27" s="1" t="n">
        <v>30</v>
      </c>
      <c r="B27" s="34" t="n">
        <v>37408</v>
      </c>
      <c r="C27" s="9" t="n">
        <v>2057192</v>
      </c>
      <c r="D27" s="29" t="s">
        <v>41</v>
      </c>
      <c r="E27" s="33" t="n">
        <f aca="false">IF(D27="totale",(C27/(A27*24))/F27,IF(D27="marché libre",(C27/(A27*24))/G27,"spécifier histo"))</f>
        <v>0.844579104673695</v>
      </c>
      <c r="F27" s="56" t="n">
        <v>3383</v>
      </c>
      <c r="G27" s="56" t="n">
        <f aca="false">F27-H27</f>
        <v>3383</v>
      </c>
      <c r="H27" s="56" t="n">
        <v>0</v>
      </c>
      <c r="J27" s="30"/>
    </row>
    <row r="28" customFormat="false" ht="22.05" hidden="false" customHeight="true" outlineLevel="0" collapsed="false">
      <c r="A28" s="1" t="n">
        <v>31</v>
      </c>
      <c r="B28" s="31" t="n">
        <v>37438</v>
      </c>
      <c r="C28" s="9" t="n">
        <v>1764394</v>
      </c>
      <c r="D28" s="29" t="s">
        <v>41</v>
      </c>
      <c r="E28" s="33" t="n">
        <f aca="false">IF(D28="totale",(C28/(A28*24))/F28,IF(D28="marché libre",(C28/(A28*24))/G28,"spécifier histo"))</f>
        <v>0.701004230513732</v>
      </c>
      <c r="F28" s="56" t="n">
        <v>3383</v>
      </c>
      <c r="G28" s="56" t="n">
        <f aca="false">F28-H28</f>
        <v>3383</v>
      </c>
      <c r="H28" s="56" t="n">
        <v>0</v>
      </c>
      <c r="J28" s="30"/>
    </row>
    <row r="29" customFormat="false" ht="22.05" hidden="false" customHeight="true" outlineLevel="0" collapsed="false">
      <c r="A29" s="1" t="n">
        <v>31</v>
      </c>
      <c r="B29" s="34" t="n">
        <v>37469</v>
      </c>
      <c r="C29" s="9" t="n">
        <v>1719198</v>
      </c>
      <c r="D29" s="29" t="s">
        <v>41</v>
      </c>
      <c r="E29" s="33" t="n">
        <f aca="false">IF(D29="totale",(C29/(A29*24))/F29,IF(D29="marché libre",(C29/(A29*24))/G29,"spécifier histo"))</f>
        <v>0.683047590895655</v>
      </c>
      <c r="F29" s="56" t="n">
        <v>3383</v>
      </c>
      <c r="G29" s="56" t="n">
        <f aca="false">F29-H29</f>
        <v>3383</v>
      </c>
      <c r="H29" s="56" t="n">
        <v>0</v>
      </c>
      <c r="J29" s="30"/>
    </row>
    <row r="30" customFormat="false" ht="22.05" hidden="false" customHeight="true" outlineLevel="0" collapsed="false">
      <c r="A30" s="1" t="n">
        <v>30</v>
      </c>
      <c r="B30" s="31" t="n">
        <v>37500</v>
      </c>
      <c r="C30" s="9" t="n">
        <v>1282671</v>
      </c>
      <c r="D30" s="29" t="s">
        <v>41</v>
      </c>
      <c r="E30" s="33" t="n">
        <f aca="false">IF(D30="totale",(C30/(A30*24))/F30,IF(D30="marché libre",(C30/(A30*24))/G30,"spécifier histo"))</f>
        <v>0.526599911321312</v>
      </c>
      <c r="F30" s="56" t="n">
        <v>3383</v>
      </c>
      <c r="G30" s="56" t="n">
        <f aca="false">F30-H30</f>
        <v>3383</v>
      </c>
      <c r="H30" s="56" t="n">
        <v>0</v>
      </c>
      <c r="J30" s="30"/>
    </row>
    <row r="31" customFormat="false" ht="22.05" hidden="false" customHeight="true" outlineLevel="0" collapsed="false">
      <c r="A31" s="1" t="n">
        <v>31</v>
      </c>
      <c r="B31" s="34" t="n">
        <v>37530</v>
      </c>
      <c r="C31" s="9" t="n">
        <v>1415996</v>
      </c>
      <c r="D31" s="29" t="s">
        <v>41</v>
      </c>
      <c r="E31" s="33" t="n">
        <f aca="false">IF(D31="totale",(C31/(A31*24))/F31,IF(D31="marché libre",(C31/(A31*24))/G31,"spécifier histo"))</f>
        <v>0.562583632902018</v>
      </c>
      <c r="F31" s="56" t="n">
        <v>3383</v>
      </c>
      <c r="G31" s="56" t="n">
        <f aca="false">F31-H31</f>
        <v>3383</v>
      </c>
      <c r="H31" s="56" t="n">
        <v>0</v>
      </c>
      <c r="J31" s="30"/>
    </row>
    <row r="32" customFormat="false" ht="22.05" hidden="false" customHeight="true" outlineLevel="0" collapsed="false">
      <c r="A32" s="1" t="n">
        <v>30</v>
      </c>
      <c r="B32" s="31" t="n">
        <v>37561</v>
      </c>
      <c r="C32" s="9" t="n">
        <v>1571989</v>
      </c>
      <c r="D32" s="29" t="s">
        <v>41</v>
      </c>
      <c r="E32" s="33" t="n">
        <f aca="false">IF(D32="totale",(C32/(A32*24))/F32,IF(D32="marché libre",(C32/(A32*24))/G32,"spécifier histo"))</f>
        <v>0.645379265609091</v>
      </c>
      <c r="F32" s="56" t="n">
        <v>3383</v>
      </c>
      <c r="G32" s="56" t="n">
        <f aca="false">F32-H32</f>
        <v>3383</v>
      </c>
      <c r="H32" s="56" t="n">
        <v>0</v>
      </c>
      <c r="J32" s="30"/>
    </row>
    <row r="33" customFormat="false" ht="22.05" hidden="false" customHeight="true" outlineLevel="0" collapsed="false">
      <c r="A33" s="1" t="n">
        <v>31</v>
      </c>
      <c r="B33" s="34" t="n">
        <v>37591</v>
      </c>
      <c r="C33" s="9" t="n">
        <v>1960399</v>
      </c>
      <c r="D33" s="29" t="s">
        <v>41</v>
      </c>
      <c r="E33" s="33" t="n">
        <f aca="false">IF(D33="totale",(C33/(A33*24))/F33,IF(D33="marché libre",(C33/(A33*24))/G33,"spécifier histo"))</f>
        <v>0.778878182817948</v>
      </c>
      <c r="F33" s="56" t="n">
        <v>3383</v>
      </c>
      <c r="G33" s="56" t="n">
        <f aca="false">F33-H33</f>
        <v>3383</v>
      </c>
      <c r="H33" s="56" t="n">
        <v>0</v>
      </c>
      <c r="J33" s="30"/>
    </row>
    <row r="34" customFormat="false" ht="22.05" hidden="false" customHeight="true" outlineLevel="0" collapsed="false">
      <c r="A34" s="1" t="n">
        <v>31</v>
      </c>
      <c r="B34" s="31" t="n">
        <v>37622</v>
      </c>
      <c r="C34" s="9" t="n">
        <v>1214000</v>
      </c>
      <c r="D34" s="29" t="s">
        <v>41</v>
      </c>
      <c r="E34" s="33" t="n">
        <f aca="false">IF(D34="totale",(C34/(A34*24))/F34,IF(D34="marché libre",(C34/(A34*24))/G34,"spécifier histo"))</f>
        <v>0.482329420664359</v>
      </c>
      <c r="F34" s="56" t="n">
        <v>3383</v>
      </c>
      <c r="G34" s="56" t="n">
        <f aca="false">F34-H34</f>
        <v>3383</v>
      </c>
      <c r="H34" s="56" t="n">
        <v>0</v>
      </c>
      <c r="J34" s="30"/>
    </row>
    <row r="35" customFormat="false" ht="22.05" hidden="false" customHeight="true" outlineLevel="0" collapsed="false">
      <c r="A35" s="1" t="n">
        <v>28</v>
      </c>
      <c r="B35" s="34" t="n">
        <v>37653</v>
      </c>
      <c r="C35" s="9" t="n">
        <v>684400</v>
      </c>
      <c r="D35" s="29" t="s">
        <v>41</v>
      </c>
      <c r="E35" s="33" t="n">
        <f aca="false">IF(D35="totale",(C35/(A35*24))/F35,IF(D35="marché libre",(C35/(A35*24))/G35,"spécifier histo"))</f>
        <v>0.301050068268513</v>
      </c>
      <c r="F35" s="56" t="n">
        <v>3383</v>
      </c>
      <c r="G35" s="56" t="n">
        <f aca="false">F35-H35</f>
        <v>3383</v>
      </c>
      <c r="H35" s="56" t="n">
        <v>0</v>
      </c>
      <c r="J35" s="30"/>
    </row>
    <row r="36" customFormat="false" ht="22.05" hidden="false" customHeight="true" outlineLevel="0" collapsed="false">
      <c r="A36" s="1" t="n">
        <v>31</v>
      </c>
      <c r="B36" s="31" t="n">
        <v>37681</v>
      </c>
      <c r="C36" s="9" t="n">
        <v>1069600</v>
      </c>
      <c r="D36" s="29" t="s">
        <v>41</v>
      </c>
      <c r="E36" s="33" t="n">
        <f aca="false">IF(D36="totale",(C36/(A36*24))/F36,IF(D36="marché libre",(C36/(A36*24))/G36,"spécifier histo"))</f>
        <v>0.424958441797857</v>
      </c>
      <c r="F36" s="56" t="n">
        <v>3383</v>
      </c>
      <c r="G36" s="56" t="n">
        <f aca="false">F36-H36</f>
        <v>3383</v>
      </c>
      <c r="H36" s="56" t="n">
        <v>0</v>
      </c>
      <c r="J36" s="30"/>
    </row>
    <row r="37" customFormat="false" ht="22.05" hidden="false" customHeight="true" outlineLevel="0" collapsed="false">
      <c r="A37" s="1" t="n">
        <v>30</v>
      </c>
      <c r="B37" s="34" t="n">
        <v>37712</v>
      </c>
      <c r="C37" s="9" t="n">
        <v>1397200</v>
      </c>
      <c r="D37" s="29" t="s">
        <v>41</v>
      </c>
      <c r="E37" s="33" t="n">
        <f aca="false">IF(D37="totale",(C37/(A37*24))/F37,IF(D37="marché libre",(C37/(A37*24))/G37,"spécifier histo"))</f>
        <v>0.573619732650179</v>
      </c>
      <c r="F37" s="56" t="n">
        <v>3383</v>
      </c>
      <c r="G37" s="56" t="n">
        <f aca="false">F37-H37</f>
        <v>3383</v>
      </c>
      <c r="H37" s="56" t="n">
        <v>0</v>
      </c>
      <c r="J37" s="30"/>
    </row>
    <row r="38" customFormat="false" ht="22.05" hidden="false" customHeight="true" outlineLevel="0" collapsed="false">
      <c r="A38" s="1" t="n">
        <v>31</v>
      </c>
      <c r="B38" s="31" t="n">
        <v>37742</v>
      </c>
      <c r="C38" s="9" t="n">
        <v>1973587</v>
      </c>
      <c r="D38" s="29" t="s">
        <v>41</v>
      </c>
      <c r="E38" s="33" t="n">
        <f aca="false">IF(D38="totale",(C38/(A38*24))/F38,IF(D38="marché libre",(C38/(A38*24))/G38,"spécifier histo"))</f>
        <v>0.784117853657916</v>
      </c>
      <c r="F38" s="56" t="n">
        <v>3383</v>
      </c>
      <c r="G38" s="56" t="n">
        <f aca="false">F38-H38</f>
        <v>3383</v>
      </c>
      <c r="H38" s="56" t="n">
        <v>0</v>
      </c>
      <c r="J38" s="30"/>
    </row>
    <row r="39" customFormat="false" ht="22.05" hidden="false" customHeight="true" outlineLevel="0" collapsed="false">
      <c r="A39" s="1" t="n">
        <v>30</v>
      </c>
      <c r="B39" s="34" t="n">
        <v>37773</v>
      </c>
      <c r="C39" s="9" t="n">
        <v>1982396</v>
      </c>
      <c r="D39" s="29" t="s">
        <v>41</v>
      </c>
      <c r="E39" s="33" t="n">
        <f aca="false">IF(D39="totale",(C39/(A39*24))/F39,IF(D39="marché libre",(C39/(A39*24))/G39,"spécifier histo"))</f>
        <v>0.813871645810753</v>
      </c>
      <c r="F39" s="56" t="n">
        <v>3383</v>
      </c>
      <c r="G39" s="56" t="n">
        <f aca="false">F39-H39</f>
        <v>3383</v>
      </c>
      <c r="H39" s="56" t="n">
        <v>0</v>
      </c>
      <c r="J39" s="30"/>
    </row>
    <row r="40" customFormat="false" ht="22.05" hidden="false" customHeight="true" outlineLevel="0" collapsed="false">
      <c r="A40" s="1" t="n">
        <v>31</v>
      </c>
      <c r="B40" s="31" t="n">
        <v>37803</v>
      </c>
      <c r="C40" s="9" t="n">
        <v>1034399</v>
      </c>
      <c r="D40" s="29" t="s">
        <v>41</v>
      </c>
      <c r="E40" s="33" t="n">
        <f aca="false">IF(D40="totale",(C40/(A40*24))/F40,IF(D40="marché libre",(C40/(A40*24))/G40,"spécifier histo"))</f>
        <v>0.41097287512833</v>
      </c>
      <c r="F40" s="56" t="n">
        <v>3383</v>
      </c>
      <c r="G40" s="56" t="n">
        <f aca="false">F40-H40</f>
        <v>3383</v>
      </c>
      <c r="H40" s="56" t="n">
        <v>0</v>
      </c>
      <c r="J40" s="30"/>
    </row>
    <row r="41" customFormat="false" ht="22.05" hidden="false" customHeight="true" outlineLevel="0" collapsed="false">
      <c r="A41" s="1" t="n">
        <v>31</v>
      </c>
      <c r="B41" s="34" t="n">
        <v>37834</v>
      </c>
      <c r="C41" s="9" t="n">
        <v>432794</v>
      </c>
      <c r="D41" s="29" t="s">
        <v>41</v>
      </c>
      <c r="E41" s="33" t="n">
        <f aca="false">IF(D41="totale",(C41/(A41*24))/F41,IF(D41="marché libre",(C41/(A41*24))/G41,"spécifier histo"))</f>
        <v>0.171951630384688</v>
      </c>
      <c r="F41" s="56" t="n">
        <v>3383</v>
      </c>
      <c r="G41" s="56" t="n">
        <f aca="false">F41-H41</f>
        <v>3383</v>
      </c>
      <c r="H41" s="56" t="n">
        <v>0</v>
      </c>
      <c r="J41" s="30"/>
    </row>
    <row r="42" customFormat="false" ht="22.05" hidden="false" customHeight="true" outlineLevel="0" collapsed="false">
      <c r="A42" s="1" t="n">
        <v>30</v>
      </c>
      <c r="B42" s="31" t="n">
        <v>37865</v>
      </c>
      <c r="C42" s="9" t="n">
        <v>99810</v>
      </c>
      <c r="D42" s="29" t="s">
        <v>41</v>
      </c>
      <c r="E42" s="33" t="n">
        <f aca="false">IF(D42="totale",(C42/(A42*24))/F42,IF(D42="marché libre",(C42/(A42*24))/G42,"spécifier histo"))</f>
        <v>0.0409769435412356</v>
      </c>
      <c r="F42" s="56" t="n">
        <v>3383</v>
      </c>
      <c r="G42" s="56" t="n">
        <f aca="false">F42-H42</f>
        <v>3383</v>
      </c>
      <c r="H42" s="56" t="n">
        <v>0</v>
      </c>
      <c r="J42" s="30"/>
    </row>
    <row r="43" customFormat="false" ht="22.05" hidden="false" customHeight="true" outlineLevel="0" collapsed="false">
      <c r="A43" s="1" t="n">
        <v>31</v>
      </c>
      <c r="B43" s="34" t="n">
        <v>37895</v>
      </c>
      <c r="C43" s="9" t="n">
        <v>169034</v>
      </c>
      <c r="D43" s="29" t="s">
        <v>41</v>
      </c>
      <c r="E43" s="33" t="n">
        <f aca="false">IF(D43="totale",(C43/(A43*24))/F43,IF(D43="marché libre",(C43/(A43*24))/G43,"spécifier histo"))</f>
        <v>0.0671582135853207</v>
      </c>
      <c r="F43" s="56" t="n">
        <v>3383</v>
      </c>
      <c r="G43" s="56" t="n">
        <f aca="false">F43-H43</f>
        <v>3383</v>
      </c>
      <c r="H43" s="56" t="n">
        <v>0</v>
      </c>
      <c r="J43" s="30"/>
    </row>
    <row r="44" customFormat="false" ht="22.05" hidden="false" customHeight="true" outlineLevel="0" collapsed="false">
      <c r="A44" s="1" t="n">
        <v>30</v>
      </c>
      <c r="B44" s="31" t="n">
        <v>37926</v>
      </c>
      <c r="C44" s="9" t="n">
        <v>1322397</v>
      </c>
      <c r="D44" s="29" t="s">
        <v>41</v>
      </c>
      <c r="E44" s="33" t="n">
        <f aca="false">IF(D44="totale",(C44/(A44*24))/F44,IF(D44="marché libre",(C44/(A44*24))/G44,"spécifier histo"))</f>
        <v>0.542909399940881</v>
      </c>
      <c r="F44" s="56" t="n">
        <v>3383</v>
      </c>
      <c r="G44" s="56" t="n">
        <f aca="false">F44-H44</f>
        <v>3383</v>
      </c>
      <c r="H44" s="56" t="n">
        <v>0</v>
      </c>
      <c r="J44" s="30"/>
    </row>
    <row r="45" customFormat="false" ht="22.05" hidden="false" customHeight="true" outlineLevel="0" collapsed="false">
      <c r="A45" s="1" t="n">
        <v>31</v>
      </c>
      <c r="B45" s="34" t="n">
        <v>37956</v>
      </c>
      <c r="C45" s="9" t="n">
        <v>1205200</v>
      </c>
      <c r="D45" s="29" t="s">
        <v>41</v>
      </c>
      <c r="E45" s="33" t="n">
        <f aca="false">IF(D45="totale",(C45/(A45*24))/F45,IF(D45="marché libre",(C45/(A45*24))/G45,"spécifier histo"))</f>
        <v>0.478833128323464</v>
      </c>
      <c r="F45" s="56" t="n">
        <v>3383</v>
      </c>
      <c r="G45" s="56" t="n">
        <f aca="false">F45-H45</f>
        <v>3383</v>
      </c>
      <c r="H45" s="56" t="n">
        <v>0</v>
      </c>
      <c r="J45" s="30"/>
    </row>
    <row r="46" customFormat="false" ht="22.05" hidden="false" customHeight="true" outlineLevel="0" collapsed="false">
      <c r="A46" s="1" t="n">
        <v>31</v>
      </c>
      <c r="B46" s="31" t="n">
        <v>37987</v>
      </c>
      <c r="C46" s="9" t="n">
        <v>637600</v>
      </c>
      <c r="D46" s="29" t="s">
        <v>41</v>
      </c>
      <c r="E46" s="33" t="n">
        <f aca="false">IF(D46="totale",(C46/(A46*24))/F46,IF(D46="marché libre",(C46/(A46*24))/G46,"spécifier histo"))</f>
        <v>0.253322272335746</v>
      </c>
      <c r="F46" s="56" t="n">
        <v>3383</v>
      </c>
      <c r="G46" s="56" t="n">
        <f aca="false">F46-H46</f>
        <v>3383</v>
      </c>
      <c r="H46" s="56" t="n">
        <v>0</v>
      </c>
      <c r="J46" s="30"/>
    </row>
    <row r="47" customFormat="false" ht="22.05" hidden="false" customHeight="true" outlineLevel="0" collapsed="false">
      <c r="A47" s="1" t="n">
        <v>28</v>
      </c>
      <c r="B47" s="34" t="n">
        <v>38018</v>
      </c>
      <c r="C47" s="9" t="n">
        <v>618000</v>
      </c>
      <c r="D47" s="29" t="s">
        <v>41</v>
      </c>
      <c r="E47" s="33" t="n">
        <f aca="false">IF(D47="totale",(C47/(A47*24))/F47,IF(D47="marché libre",(C47/(A47*24))/G47,"spécifier histo"))</f>
        <v>0.27184240530383</v>
      </c>
      <c r="F47" s="56" t="n">
        <v>3383</v>
      </c>
      <c r="G47" s="56" t="n">
        <f aca="false">F47-H47</f>
        <v>3383</v>
      </c>
      <c r="H47" s="56" t="n">
        <v>0</v>
      </c>
      <c r="J47" s="30"/>
    </row>
    <row r="48" customFormat="false" ht="22.05" hidden="false" customHeight="true" outlineLevel="0" collapsed="false">
      <c r="A48" s="1" t="n">
        <v>31</v>
      </c>
      <c r="B48" s="31" t="n">
        <v>38047</v>
      </c>
      <c r="C48" s="9" t="n">
        <v>1097600</v>
      </c>
      <c r="D48" s="29" t="s">
        <v>41</v>
      </c>
      <c r="E48" s="33" t="n">
        <f aca="false">IF(D48="totale",(C48/(A48*24))/F48,IF(D48="marché libre",(C48/(A48*24))/G48,"spécifier histo"))</f>
        <v>0.436083008337068</v>
      </c>
      <c r="F48" s="56" t="n">
        <v>3383</v>
      </c>
      <c r="G48" s="56" t="n">
        <f aca="false">F48-H48</f>
        <v>3383</v>
      </c>
      <c r="H48" s="56" t="n">
        <v>0</v>
      </c>
      <c r="J48" s="30"/>
    </row>
    <row r="49" customFormat="false" ht="22.05" hidden="false" customHeight="true" outlineLevel="0" collapsed="false">
      <c r="A49" s="1" t="n">
        <v>30</v>
      </c>
      <c r="B49" s="34" t="n">
        <v>38078</v>
      </c>
      <c r="C49" s="9" t="n">
        <v>1083200</v>
      </c>
      <c r="D49" s="29" t="s">
        <v>41</v>
      </c>
      <c r="E49" s="33" t="n">
        <f aca="false">IF(D49="totale",(C49/(A49*24))/F49,IF(D49="marché libre",(C49/(A49*24))/G49,"spécifier histo"))</f>
        <v>0.444707196111275</v>
      </c>
      <c r="F49" s="56" t="n">
        <v>3383</v>
      </c>
      <c r="G49" s="56" t="n">
        <f aca="false">F49-H49</f>
        <v>3383</v>
      </c>
      <c r="H49" s="56" t="n">
        <v>0</v>
      </c>
      <c r="J49" s="30"/>
    </row>
    <row r="50" customFormat="false" ht="22.05" hidden="false" customHeight="true" outlineLevel="0" collapsed="false">
      <c r="A50" s="1" t="n">
        <v>31</v>
      </c>
      <c r="B50" s="31" t="n">
        <v>38108</v>
      </c>
      <c r="C50" s="9" t="n">
        <v>1926389</v>
      </c>
      <c r="D50" s="29" t="s">
        <v>41</v>
      </c>
      <c r="E50" s="33" t="n">
        <f aca="false">IF(D50="totale",(C50/(A50*24))/F50,IF(D50="marché libre",(C50/(A50*24))/G50,"spécifier histo"))</f>
        <v>0.765365807532285</v>
      </c>
      <c r="F50" s="56" t="n">
        <v>3383</v>
      </c>
      <c r="G50" s="56" t="n">
        <f aca="false">F50-H50</f>
        <v>3383</v>
      </c>
      <c r="H50" s="56" t="n">
        <v>0</v>
      </c>
      <c r="J50" s="30"/>
    </row>
    <row r="51" customFormat="false" ht="22.05" hidden="false" customHeight="true" outlineLevel="0" collapsed="false">
      <c r="A51" s="1" t="n">
        <v>30</v>
      </c>
      <c r="B51" s="34" t="n">
        <v>38139</v>
      </c>
      <c r="C51" s="9" t="n">
        <v>1929588</v>
      </c>
      <c r="D51" s="29" t="s">
        <v>41</v>
      </c>
      <c r="E51" s="33" t="n">
        <f aca="false">IF(D51="totale",(C51/(A51*24))/F51,IF(D51="marché libre",(C51/(A51*24))/G51,"spécifier histo"))</f>
        <v>0.79219134890137</v>
      </c>
      <c r="F51" s="56" t="n">
        <v>3383</v>
      </c>
      <c r="G51" s="56" t="n">
        <f aca="false">F51-H51</f>
        <v>3383</v>
      </c>
      <c r="H51" s="56" t="n">
        <v>0</v>
      </c>
      <c r="J51" s="30"/>
    </row>
    <row r="52" customFormat="false" ht="22.05" hidden="false" customHeight="true" outlineLevel="0" collapsed="false">
      <c r="A52" s="1" t="n">
        <v>31</v>
      </c>
      <c r="B52" s="31" t="n">
        <v>38169</v>
      </c>
      <c r="C52" s="9" t="n">
        <v>1727595</v>
      </c>
      <c r="D52" s="29" t="s">
        <v>41</v>
      </c>
      <c r="E52" s="33" t="n">
        <f aca="false">IF(D52="totale",(C52/(A52*24))/F52,IF(D52="marché libre",(C52/(A52*24))/G52,"spécifier histo"))</f>
        <v>0.686383768939575</v>
      </c>
      <c r="F52" s="56" t="n">
        <v>3383</v>
      </c>
      <c r="G52" s="56" t="n">
        <f aca="false">F52-H52</f>
        <v>3383</v>
      </c>
      <c r="H52" s="56" t="n">
        <v>0</v>
      </c>
      <c r="J52" s="30"/>
    </row>
    <row r="53" customFormat="false" ht="22.05" hidden="false" customHeight="true" outlineLevel="0" collapsed="false">
      <c r="A53" s="1" t="n">
        <v>31</v>
      </c>
      <c r="B53" s="34" t="n">
        <v>38200</v>
      </c>
      <c r="C53" s="9" t="n">
        <v>775148</v>
      </c>
      <c r="D53" s="29" t="s">
        <v>41</v>
      </c>
      <c r="E53" s="33" t="n">
        <f aca="false">IF(D53="totale",(C53/(A53*24))/F53,IF(D53="marché libre",(C53/(A53*24))/G53,"spécifier histo"))</f>
        <v>0.307970910847724</v>
      </c>
      <c r="F53" s="56" t="n">
        <v>3383</v>
      </c>
      <c r="G53" s="56" t="n">
        <f aca="false">F53-H53</f>
        <v>3383</v>
      </c>
      <c r="H53" s="56" t="n">
        <v>0</v>
      </c>
      <c r="J53" s="30"/>
    </row>
    <row r="54" customFormat="false" ht="22.05" hidden="false" customHeight="true" outlineLevel="0" collapsed="false">
      <c r="A54" s="1" t="n">
        <v>30</v>
      </c>
      <c r="B54" s="31" t="n">
        <v>38231</v>
      </c>
      <c r="C54" s="9" t="n">
        <v>388194</v>
      </c>
      <c r="D54" s="29" t="s">
        <v>41</v>
      </c>
      <c r="E54" s="33" t="n">
        <f aca="false">IF(D54="totale",(C54/(A54*24))/F54,IF(D54="marché libre",(C54/(A54*24))/G54,"spécifier histo"))</f>
        <v>0.159372844615233</v>
      </c>
      <c r="F54" s="56" t="n">
        <v>3383</v>
      </c>
      <c r="G54" s="56" t="n">
        <f aca="false">F54-H54</f>
        <v>3383</v>
      </c>
      <c r="H54" s="56" t="n">
        <v>0</v>
      </c>
      <c r="J54" s="30"/>
    </row>
    <row r="55" customFormat="false" ht="22.05" hidden="false" customHeight="true" outlineLevel="0" collapsed="false">
      <c r="A55" s="1" t="n">
        <v>31</v>
      </c>
      <c r="B55" s="34" t="n">
        <v>38261</v>
      </c>
      <c r="C55" s="9" t="n">
        <v>765516</v>
      </c>
      <c r="D55" s="29" t="s">
        <v>41</v>
      </c>
      <c r="E55" s="33" t="n">
        <f aca="false">IF(D55="totale",(C55/(A55*24))/F55,IF(D55="marché libre",(C55/(A55*24))/G55,"spécifier histo"))</f>
        <v>0.304144059958235</v>
      </c>
      <c r="F55" s="56" t="n">
        <v>3383</v>
      </c>
      <c r="G55" s="56" t="n">
        <f aca="false">F55-H55</f>
        <v>3383</v>
      </c>
      <c r="H55" s="56" t="n">
        <v>0</v>
      </c>
      <c r="J55" s="30"/>
    </row>
    <row r="56" customFormat="false" ht="22.05" hidden="false" customHeight="true" outlineLevel="0" collapsed="false">
      <c r="A56" s="1" t="n">
        <v>30</v>
      </c>
      <c r="B56" s="31" t="n">
        <v>38292</v>
      </c>
      <c r="C56" s="9" t="n">
        <v>1470684</v>
      </c>
      <c r="D56" s="29" t="s">
        <v>41</v>
      </c>
      <c r="E56" s="33" t="n">
        <f aca="false">IF(D56="totale",(C56/(A56*24))/F56,IF(D56="marché libre",(C56/(A56*24))/G56,"spécifier histo"))</f>
        <v>0.603788550596118</v>
      </c>
      <c r="F56" s="56" t="n">
        <v>3383</v>
      </c>
      <c r="G56" s="56" t="n">
        <f aca="false">F56-H56</f>
        <v>3383</v>
      </c>
      <c r="H56" s="56" t="n">
        <v>0</v>
      </c>
      <c r="J56" s="30"/>
    </row>
    <row r="57" customFormat="false" ht="22.05" hidden="false" customHeight="true" outlineLevel="0" collapsed="false">
      <c r="A57" s="1" t="n">
        <v>31</v>
      </c>
      <c r="B57" s="34" t="n">
        <v>38322</v>
      </c>
      <c r="C57" s="9" t="n">
        <v>932117</v>
      </c>
      <c r="D57" s="29" t="s">
        <v>41</v>
      </c>
      <c r="E57" s="33" t="n">
        <f aca="false">IF(D57="totale",(C57/(A57*24))/F57,IF(D57="marché libre",(C57/(A57*24))/G57,"spécifier histo"))</f>
        <v>0.370335628172488</v>
      </c>
      <c r="F57" s="56" t="n">
        <v>3383</v>
      </c>
      <c r="G57" s="56" t="n">
        <f aca="false">F57-H57</f>
        <v>3383</v>
      </c>
      <c r="H57" s="56" t="n">
        <v>0</v>
      </c>
      <c r="J57" s="30"/>
    </row>
    <row r="58" customFormat="false" ht="19.85" hidden="false" customHeight="true" outlineLevel="0" collapsed="false">
      <c r="A58" s="1" t="n">
        <v>31</v>
      </c>
      <c r="B58" s="31" t="n">
        <v>38353</v>
      </c>
      <c r="C58" s="56" t="n">
        <v>660469</v>
      </c>
      <c r="D58" s="29" t="s">
        <v>41</v>
      </c>
      <c r="E58" s="33" t="n">
        <f aca="false">IF(D58="totale",(C58/(A58*24))/F58,IF(D58="marché libre",(C58/(A58*24))/G58,"spécifier histo"))</f>
        <v>0.262408262056646</v>
      </c>
      <c r="F58" s="56" t="n">
        <v>3383</v>
      </c>
      <c r="G58" s="56" t="n">
        <f aca="false">F58-H58</f>
        <v>3383</v>
      </c>
      <c r="H58" s="56" t="n">
        <v>0</v>
      </c>
      <c r="J58" s="344" t="s">
        <v>511</v>
      </c>
    </row>
    <row r="59" customFormat="false" ht="19.85" hidden="false" customHeight="true" outlineLevel="0" collapsed="false">
      <c r="A59" s="1" t="n">
        <v>28</v>
      </c>
      <c r="B59" s="34" t="n">
        <v>38384</v>
      </c>
      <c r="C59" s="56" t="n">
        <v>442766</v>
      </c>
      <c r="D59" s="29" t="s">
        <v>41</v>
      </c>
      <c r="E59" s="33" t="n">
        <f aca="false">IF(D59="totale",(C59/(A59*24))/F59,IF(D59="marché libre",(C59/(A59*24))/G59,"spécifier histo"))</f>
        <v>0.194761447292485</v>
      </c>
      <c r="F59" s="56" t="n">
        <v>3383</v>
      </c>
      <c r="G59" s="56" t="n">
        <f aca="false">F59-H59</f>
        <v>3383</v>
      </c>
      <c r="H59" s="56" t="n">
        <v>0</v>
      </c>
      <c r="J59" s="344"/>
      <c r="M59" s="0"/>
    </row>
    <row r="60" customFormat="false" ht="19.85" hidden="false" customHeight="true" outlineLevel="0" collapsed="false">
      <c r="A60" s="1" t="n">
        <v>31</v>
      </c>
      <c r="B60" s="31" t="n">
        <v>38412</v>
      </c>
      <c r="C60" s="56" t="n">
        <v>658261</v>
      </c>
      <c r="D60" s="29" t="s">
        <v>41</v>
      </c>
      <c r="E60" s="33" t="n">
        <f aca="false">IF(D60="totale",(C60/(A60*24))/F60,IF(D60="marché libre",(C60/(A60*24))/G60,"spécifier histo"))</f>
        <v>0.26153101052384</v>
      </c>
      <c r="F60" s="56" t="n">
        <v>3383</v>
      </c>
      <c r="G60" s="56" t="n">
        <f aca="false">F60-H60</f>
        <v>3383</v>
      </c>
      <c r="H60" s="56" t="n">
        <v>0</v>
      </c>
      <c r="J60" s="344"/>
      <c r="M60" s="0"/>
    </row>
    <row r="61" customFormat="false" ht="19.85" hidden="false" customHeight="true" outlineLevel="0" collapsed="false">
      <c r="A61" s="1" t="n">
        <v>30</v>
      </c>
      <c r="B61" s="34" t="n">
        <v>38443</v>
      </c>
      <c r="C61" s="56" t="n">
        <v>965614</v>
      </c>
      <c r="D61" s="29" t="s">
        <v>41</v>
      </c>
      <c r="E61" s="33" t="n">
        <f aca="false">IF(D61="totale",(C61/(A61*24))/F61,IF(D61="marché libre",(C61/(A61*24))/G61,"spécifier histo"))</f>
        <v>0.396432325023812</v>
      </c>
      <c r="F61" s="56" t="n">
        <v>3383</v>
      </c>
      <c r="G61" s="56" t="n">
        <f aca="false">F61-H61</f>
        <v>3383</v>
      </c>
      <c r="H61" s="56" t="n">
        <v>0</v>
      </c>
      <c r="J61" s="344"/>
      <c r="M61" s="0"/>
    </row>
    <row r="62" customFormat="false" ht="19.85" hidden="false" customHeight="true" outlineLevel="0" collapsed="false">
      <c r="A62" s="1" t="n">
        <v>31</v>
      </c>
      <c r="B62" s="31" t="n">
        <v>38473</v>
      </c>
      <c r="C62" s="56" t="n">
        <v>2014340</v>
      </c>
      <c r="D62" s="29" t="s">
        <v>41</v>
      </c>
      <c r="E62" s="33" t="n">
        <f aca="false">IF(D62="totale",(C62/(A62*24))/F62,IF(D62="marché libre",(C62/(A62*24))/G62,"spécifier histo"))</f>
        <v>0.80030926294979</v>
      </c>
      <c r="F62" s="56" t="n">
        <v>3383</v>
      </c>
      <c r="G62" s="56" t="n">
        <f aca="false">F62-H62</f>
        <v>3383</v>
      </c>
      <c r="H62" s="56" t="n">
        <v>0</v>
      </c>
      <c r="J62" s="344"/>
      <c r="M62" s="0"/>
    </row>
    <row r="63" customFormat="false" ht="19.85" hidden="false" customHeight="true" outlineLevel="0" collapsed="false">
      <c r="A63" s="1" t="n">
        <v>30</v>
      </c>
      <c r="B63" s="34" t="n">
        <v>38504</v>
      </c>
      <c r="C63" s="56" t="n">
        <v>1451238</v>
      </c>
      <c r="D63" s="29" t="s">
        <v>41</v>
      </c>
      <c r="E63" s="33" t="n">
        <f aca="false">IF(D63="totale",(C63/(A63*24))/F63,IF(D63="marché libre",(C63/(A63*24))/G63,"spécifier histo"))</f>
        <v>0.595805005419253</v>
      </c>
      <c r="F63" s="56" t="n">
        <v>3383</v>
      </c>
      <c r="G63" s="56" t="n">
        <f aca="false">F63-H63</f>
        <v>3383</v>
      </c>
      <c r="H63" s="56" t="n">
        <v>0</v>
      </c>
      <c r="J63" s="344"/>
      <c r="M63" s="0"/>
    </row>
    <row r="64" customFormat="false" ht="19.85" hidden="false" customHeight="true" outlineLevel="0" collapsed="false">
      <c r="A64" s="1" t="n">
        <v>31</v>
      </c>
      <c r="B64" s="31" t="n">
        <v>38534</v>
      </c>
      <c r="C64" s="56" t="n">
        <v>239887</v>
      </c>
      <c r="D64" s="29" t="s">
        <v>41</v>
      </c>
      <c r="E64" s="33" t="n">
        <f aca="false">IF(D64="totale",(C64/(A64*24))/F64,IF(D64="marché libre",(C64/(A64*24))/G64,"spécifier histo"))</f>
        <v>0.0953085319068461</v>
      </c>
      <c r="F64" s="56" t="n">
        <v>3383</v>
      </c>
      <c r="G64" s="56" t="n">
        <f aca="false">F64-H64</f>
        <v>3383</v>
      </c>
      <c r="H64" s="56" t="n">
        <v>0</v>
      </c>
      <c r="J64" s="344"/>
      <c r="M64" s="0"/>
    </row>
    <row r="65" customFormat="false" ht="19.85" hidden="false" customHeight="true" outlineLevel="0" collapsed="false">
      <c r="A65" s="1" t="n">
        <v>31</v>
      </c>
      <c r="B65" s="34" t="n">
        <v>38565</v>
      </c>
      <c r="C65" s="56" t="n">
        <v>421686</v>
      </c>
      <c r="D65" s="29" t="s">
        <v>41</v>
      </c>
      <c r="E65" s="33" t="n">
        <f aca="false">IF(D65="totale",(C65/(A65*24))/F65,IF(D65="marché libre",(C65/(A65*24))/G65,"spécifier histo"))</f>
        <v>0.167538355916203</v>
      </c>
      <c r="F65" s="56" t="n">
        <v>3383</v>
      </c>
      <c r="G65" s="56" t="n">
        <f aca="false">F65-H65</f>
        <v>3383</v>
      </c>
      <c r="H65" s="56" t="n">
        <v>0</v>
      </c>
      <c r="J65" s="344"/>
      <c r="M65" s="0"/>
    </row>
    <row r="66" customFormat="false" ht="19.85" hidden="false" customHeight="true" outlineLevel="0" collapsed="false">
      <c r="A66" s="1" t="n">
        <v>30</v>
      </c>
      <c r="B66" s="31" t="n">
        <v>38596</v>
      </c>
      <c r="C66" s="56" t="n">
        <v>875263</v>
      </c>
      <c r="D66" s="29" t="s">
        <v>41</v>
      </c>
      <c r="E66" s="33" t="n">
        <f aca="false">IF(D66="totale",(C66/(A66*24))/F66,IF(D66="marché libre",(C66/(A66*24))/G66,"spécifier histo"))</f>
        <v>0.359338769008441</v>
      </c>
      <c r="F66" s="56" t="n">
        <v>3383</v>
      </c>
      <c r="G66" s="56" t="n">
        <f aca="false">F66-H66</f>
        <v>3383</v>
      </c>
      <c r="H66" s="56" t="n">
        <v>0</v>
      </c>
      <c r="J66" s="344"/>
      <c r="M66" s="0"/>
    </row>
    <row r="67" customFormat="false" ht="19.85" hidden="false" customHeight="true" outlineLevel="0" collapsed="false">
      <c r="A67" s="1" t="n">
        <v>31</v>
      </c>
      <c r="B67" s="34" t="n">
        <v>38626</v>
      </c>
      <c r="C67" s="56" t="n">
        <v>1487082</v>
      </c>
      <c r="D67" s="29" t="s">
        <v>41</v>
      </c>
      <c r="E67" s="33" t="n">
        <f aca="false">IF(D67="totale",(C67/(A67*24))/F67,IF(D67="marché libre",(C67/(A67*24))/G67,"spécifier histo"))</f>
        <v>0.590826523509388</v>
      </c>
      <c r="F67" s="56" t="n">
        <v>3383</v>
      </c>
      <c r="G67" s="56" t="n">
        <f aca="false">F67-H67</f>
        <v>3383</v>
      </c>
      <c r="H67" s="56" t="n">
        <v>0</v>
      </c>
      <c r="J67" s="344"/>
      <c r="M67" s="0"/>
    </row>
    <row r="68" customFormat="false" ht="19.85" hidden="false" customHeight="true" outlineLevel="0" collapsed="false">
      <c r="A68" s="1" t="n">
        <v>30</v>
      </c>
      <c r="B68" s="31" t="n">
        <v>38657</v>
      </c>
      <c r="C68" s="56" t="n">
        <v>1321600</v>
      </c>
      <c r="D68" s="29" t="s">
        <v>41</v>
      </c>
      <c r="E68" s="33" t="n">
        <f aca="false">IF(D68="totale",(C68/(A68*24))/F68,IF(D68="marché libre",(C68/(A68*24))/G68,"spécifier histo"))</f>
        <v>0.542582192005781</v>
      </c>
      <c r="F68" s="56" t="n">
        <v>3383</v>
      </c>
      <c r="G68" s="56" t="n">
        <f aca="false">F68-H68</f>
        <v>3383</v>
      </c>
      <c r="H68" s="56" t="n">
        <v>0</v>
      </c>
      <c r="J68" s="344"/>
      <c r="M68" s="0"/>
    </row>
    <row r="69" customFormat="false" ht="19.85" hidden="false" customHeight="true" outlineLevel="0" collapsed="false">
      <c r="A69" s="1" t="n">
        <v>31</v>
      </c>
      <c r="B69" s="34" t="n">
        <v>38687</v>
      </c>
      <c r="C69" s="56" t="n">
        <v>0</v>
      </c>
      <c r="D69" s="29" t="s">
        <v>41</v>
      </c>
      <c r="E69" s="33" t="n">
        <f aca="false">IF(D69="totale",(C69/(A69*24))/F69,IF(D69="marché libre",(C69/(A69*24))/G69,"spécifier histo"))</f>
        <v>0</v>
      </c>
      <c r="F69" s="56" t="n">
        <v>3383</v>
      </c>
      <c r="G69" s="56" t="n">
        <f aca="false">F69-H69</f>
        <v>3383</v>
      </c>
      <c r="H69" s="56" t="n">
        <v>0</v>
      </c>
      <c r="J69" s="173" t="s">
        <v>512</v>
      </c>
      <c r="M69" s="0"/>
    </row>
    <row r="70" customFormat="false" ht="19.85" hidden="false" customHeight="true" outlineLevel="0" collapsed="false">
      <c r="A70" s="1" t="n">
        <v>31</v>
      </c>
      <c r="B70" s="31" t="n">
        <v>38718</v>
      </c>
      <c r="C70" s="56" t="n">
        <v>0</v>
      </c>
      <c r="D70" s="29" t="s">
        <v>41</v>
      </c>
      <c r="E70" s="33" t="n">
        <f aca="false">IF(D70="totale",(C70/(A70*24))/F70,IF(D70="marché libre",(C70/(A70*24))/G70,"spécifier histo"))</f>
        <v>0</v>
      </c>
      <c r="F70" s="56" t="n">
        <v>3383</v>
      </c>
      <c r="G70" s="56" t="n">
        <f aca="false">F70-H70</f>
        <v>3383</v>
      </c>
      <c r="H70" s="56" t="n">
        <v>0</v>
      </c>
      <c r="J70" s="173" t="s">
        <v>512</v>
      </c>
      <c r="M70" s="0"/>
    </row>
    <row r="71" customFormat="false" ht="19.85" hidden="false" customHeight="true" outlineLevel="0" collapsed="false">
      <c r="A71" s="1" t="n">
        <v>28</v>
      </c>
      <c r="B71" s="34" t="n">
        <v>38749</v>
      </c>
      <c r="C71" s="56" t="n">
        <v>45568</v>
      </c>
      <c r="D71" s="29" t="s">
        <v>41</v>
      </c>
      <c r="E71" s="33" t="n">
        <f aca="false">IF(D71="totale",(C71/(A71*24))/F71,IF(D71="marché libre",(C71/(A71*24))/G71,"spécifier histo"))</f>
        <v>0.0200441985839562</v>
      </c>
      <c r="F71" s="56" t="n">
        <v>3383</v>
      </c>
      <c r="G71" s="56" t="n">
        <f aca="false">F71-H71</f>
        <v>3383</v>
      </c>
      <c r="H71" s="56" t="n">
        <v>0</v>
      </c>
      <c r="J71" s="344"/>
      <c r="M71" s="0"/>
    </row>
    <row r="72" customFormat="false" ht="19.85" hidden="false" customHeight="true" outlineLevel="0" collapsed="false">
      <c r="A72" s="1" t="n">
        <v>31</v>
      </c>
      <c r="B72" s="31" t="n">
        <v>38777</v>
      </c>
      <c r="C72" s="56" t="n">
        <v>571979</v>
      </c>
      <c r="D72" s="29" t="s">
        <v>41</v>
      </c>
      <c r="E72" s="33" t="n">
        <f aca="false">IF(D72="totale",(C72/(A72*24))/F72,IF(D72="marché libre",(C72/(A72*24))/G72,"spécifier histo"))</f>
        <v>0.227250658733261</v>
      </c>
      <c r="F72" s="56" t="n">
        <v>3383</v>
      </c>
      <c r="G72" s="56" t="n">
        <f aca="false">F72-H72</f>
        <v>3383</v>
      </c>
      <c r="H72" s="56" t="n">
        <v>0</v>
      </c>
      <c r="J72" s="344"/>
      <c r="M72" s="0"/>
    </row>
    <row r="73" customFormat="false" ht="19.85" hidden="false" customHeight="true" outlineLevel="0" collapsed="false">
      <c r="A73" s="1" t="n">
        <v>30</v>
      </c>
      <c r="B73" s="34" t="n">
        <v>38808</v>
      </c>
      <c r="C73" s="56" t="n">
        <v>1005786</v>
      </c>
      <c r="D73" s="29" t="s">
        <v>41</v>
      </c>
      <c r="E73" s="33" t="n">
        <f aca="false">IF(D73="totale",(C73/(A73*24))/F73,IF(D73="marché libre",(C73/(A73*24))/G73,"spécifier histo"))</f>
        <v>0.412924918711203</v>
      </c>
      <c r="F73" s="56" t="n">
        <v>3383</v>
      </c>
      <c r="G73" s="56" t="n">
        <f aca="false">F73-H73</f>
        <v>3383</v>
      </c>
      <c r="H73" s="56" t="n">
        <v>0</v>
      </c>
      <c r="J73" s="344"/>
      <c r="M73" s="0"/>
    </row>
    <row r="74" customFormat="false" ht="19.85" hidden="false" customHeight="true" outlineLevel="0" collapsed="false">
      <c r="A74" s="1" t="n">
        <v>31</v>
      </c>
      <c r="B74" s="31" t="n">
        <v>38838</v>
      </c>
      <c r="C74" s="56" t="n">
        <v>1929836</v>
      </c>
      <c r="D74" s="29" t="s">
        <v>41</v>
      </c>
      <c r="E74" s="33" t="n">
        <f aca="false">IF(D74="totale",(C74/(A74*24))/F74,IF(D74="marché libre",(C74/(A74*24))/G74,"spécifier histo"))</f>
        <v>0.766735321134451</v>
      </c>
      <c r="F74" s="56" t="n">
        <v>3383</v>
      </c>
      <c r="G74" s="56" t="n">
        <f aca="false">F74-H74</f>
        <v>3383</v>
      </c>
      <c r="H74" s="56" t="n">
        <v>0</v>
      </c>
      <c r="J74" s="344"/>
      <c r="M74" s="0"/>
    </row>
    <row r="75" customFormat="false" ht="19.85" hidden="false" customHeight="true" outlineLevel="0" collapsed="false">
      <c r="A75" s="1" t="n">
        <v>30</v>
      </c>
      <c r="B75" s="34" t="n">
        <v>38869</v>
      </c>
      <c r="C75" s="56" t="n">
        <v>1188590</v>
      </c>
      <c r="D75" s="29" t="s">
        <v>41</v>
      </c>
      <c r="E75" s="33" t="n">
        <f aca="false">IF(D75="totale",(C75/(A75*24))/F75,IF(D75="marché libre",(C75/(A75*24))/G75,"spécifier histo"))</f>
        <v>0.487975005747693</v>
      </c>
      <c r="F75" s="56" t="n">
        <v>3383</v>
      </c>
      <c r="G75" s="56" t="n">
        <f aca="false">F75-H75</f>
        <v>3383</v>
      </c>
      <c r="H75" s="56" t="n">
        <v>0</v>
      </c>
      <c r="J75" s="344"/>
      <c r="M75" s="0"/>
    </row>
    <row r="76" customFormat="false" ht="19.85" hidden="false" customHeight="true" outlineLevel="0" collapsed="false">
      <c r="A76" s="1" t="n">
        <v>31</v>
      </c>
      <c r="B76" s="31" t="n">
        <v>38899</v>
      </c>
      <c r="C76" s="56" t="n">
        <v>631060</v>
      </c>
      <c r="D76" s="29" t="s">
        <v>41</v>
      </c>
      <c r="E76" s="33" t="n">
        <f aca="false">IF(D76="totale",(C76/(A76*24))/F76,IF(D76="marché libre",(C76/(A76*24))/G76,"spécifier histo"))</f>
        <v>0.250723891436944</v>
      </c>
      <c r="F76" s="56" t="n">
        <v>3383</v>
      </c>
      <c r="G76" s="56" t="n">
        <f aca="false">F76-H76</f>
        <v>3383</v>
      </c>
      <c r="H76" s="56" t="n">
        <v>0</v>
      </c>
      <c r="J76" s="344"/>
      <c r="M76" s="0"/>
    </row>
    <row r="77" customFormat="false" ht="19.85" hidden="false" customHeight="true" outlineLevel="0" collapsed="false">
      <c r="A77" s="1" t="n">
        <v>31</v>
      </c>
      <c r="B77" s="34" t="n">
        <v>38930</v>
      </c>
      <c r="C77" s="56" t="n">
        <v>612838</v>
      </c>
      <c r="D77" s="29" t="s">
        <v>41</v>
      </c>
      <c r="E77" s="33" t="n">
        <f aca="false">IF(D77="totale",(C77/(A77*24))/F77,IF(D77="marché libre",(C77/(A77*24))/G77,"spécifier histo"))</f>
        <v>0.243484182455605</v>
      </c>
      <c r="F77" s="56" t="n">
        <v>3383</v>
      </c>
      <c r="G77" s="56" t="n">
        <f aca="false">F77-H77</f>
        <v>3383</v>
      </c>
      <c r="H77" s="56" t="n">
        <v>0</v>
      </c>
      <c r="J77" s="344"/>
      <c r="M77" s="0"/>
    </row>
    <row r="78" customFormat="false" ht="19.85" hidden="false" customHeight="true" outlineLevel="0" collapsed="false">
      <c r="A78" s="1" t="n">
        <v>30</v>
      </c>
      <c r="B78" s="31" t="n">
        <v>38961</v>
      </c>
      <c r="C78" s="56" t="n">
        <v>681503</v>
      </c>
      <c r="D78" s="29" t="s">
        <v>41</v>
      </c>
      <c r="E78" s="33" t="n">
        <f aca="false">IF(D78="totale",(C78/(A78*24))/F78,IF(D78="marché libre",(C78/(A78*24))/G78,"spécifier histo"))</f>
        <v>0.27979070187539</v>
      </c>
      <c r="F78" s="56" t="n">
        <v>3383</v>
      </c>
      <c r="G78" s="56" t="n">
        <f aca="false">F78-H78</f>
        <v>3383</v>
      </c>
      <c r="H78" s="56" t="n">
        <v>0</v>
      </c>
      <c r="J78" s="344"/>
      <c r="M78" s="0"/>
    </row>
    <row r="79" customFormat="false" ht="19.85" hidden="false" customHeight="true" outlineLevel="0" collapsed="false">
      <c r="A79" s="1" t="n">
        <v>31</v>
      </c>
      <c r="B79" s="34" t="n">
        <v>38991</v>
      </c>
      <c r="C79" s="56" t="n">
        <v>1208376</v>
      </c>
      <c r="D79" s="29" t="s">
        <v>41</v>
      </c>
      <c r="E79" s="33" t="n">
        <f aca="false">IF(D79="totale",(C79/(A79*24))/F79,IF(D79="marché libre",(C79/(A79*24))/G79,"spécifier histo"))</f>
        <v>0.480094972013769</v>
      </c>
      <c r="F79" s="56" t="n">
        <v>3383</v>
      </c>
      <c r="G79" s="56" t="n">
        <f aca="false">F79-H79</f>
        <v>3383</v>
      </c>
      <c r="H79" s="56" t="n">
        <v>0</v>
      </c>
      <c r="J79" s="344"/>
      <c r="M79" s="0"/>
    </row>
    <row r="80" customFormat="false" ht="19.85" hidden="false" customHeight="true" outlineLevel="0" collapsed="false">
      <c r="A80" s="1" t="n">
        <v>30</v>
      </c>
      <c r="B80" s="31" t="n">
        <v>39022</v>
      </c>
      <c r="C80" s="56" t="n">
        <v>1269885</v>
      </c>
      <c r="D80" s="29" t="s">
        <v>41</v>
      </c>
      <c r="E80" s="33" t="n">
        <f aca="false">IF(D80="totale",(C80/(A80*24))/F80,IF(D80="marché libre",(C80/(A80*24))/G80,"spécifier histo"))</f>
        <v>0.521350625677407</v>
      </c>
      <c r="F80" s="56" t="n">
        <v>3383</v>
      </c>
      <c r="G80" s="56" t="n">
        <f aca="false">F80-H80</f>
        <v>3383</v>
      </c>
      <c r="H80" s="56" t="n">
        <v>0</v>
      </c>
      <c r="J80" s="344"/>
      <c r="M80" s="0"/>
    </row>
    <row r="81" customFormat="false" ht="19.85" hidden="false" customHeight="true" outlineLevel="0" collapsed="false">
      <c r="A81" s="1" t="n">
        <v>31</v>
      </c>
      <c r="B81" s="34" t="n">
        <v>39052</v>
      </c>
      <c r="C81" s="56" t="n">
        <v>1477587</v>
      </c>
      <c r="D81" s="29" t="s">
        <v>41</v>
      </c>
      <c r="E81" s="33" t="n">
        <f aca="false">IF(D81="totale",(C81/(A81*24))/F81,IF(D81="marché libre",(C81/(A81*24))/G81,"spécifier histo"))</f>
        <v>0.587054103534752</v>
      </c>
      <c r="F81" s="56" t="n">
        <v>3383</v>
      </c>
      <c r="G81" s="56" t="n">
        <f aca="false">F81-H81</f>
        <v>3383</v>
      </c>
      <c r="H81" s="56" t="n">
        <v>0</v>
      </c>
      <c r="J81" s="344"/>
      <c r="M81" s="0"/>
    </row>
    <row r="82" customFormat="false" ht="19.85" hidden="false" customHeight="true" outlineLevel="0" collapsed="false">
      <c r="A82" s="1" t="n">
        <v>31</v>
      </c>
      <c r="B82" s="31" t="n">
        <v>39083</v>
      </c>
      <c r="C82" s="56" t="n">
        <v>922186</v>
      </c>
      <c r="D82" s="29" t="s">
        <v>41</v>
      </c>
      <c r="E82" s="33" t="n">
        <f aca="false">IF(D82="totale",(C82/(A82*24))/F82,IF(D82="marché libre",(C82/(A82*24))/G82,"spécifier histo"))</f>
        <v>0.366389982804599</v>
      </c>
      <c r="F82" s="56" t="n">
        <v>3383</v>
      </c>
      <c r="G82" s="56" t="n">
        <f aca="false">F82-H82</f>
        <v>3383</v>
      </c>
      <c r="H82" s="56" t="n">
        <v>0</v>
      </c>
      <c r="J82" s="344"/>
      <c r="M82" s="0"/>
    </row>
    <row r="83" customFormat="false" ht="19.85" hidden="false" customHeight="true" outlineLevel="0" collapsed="false">
      <c r="A83" s="1" t="n">
        <v>28</v>
      </c>
      <c r="B83" s="34" t="n">
        <v>39114</v>
      </c>
      <c r="C83" s="56" t="n">
        <v>639072</v>
      </c>
      <c r="D83" s="29" t="s">
        <v>41</v>
      </c>
      <c r="E83" s="33" t="n">
        <f aca="false">IF(D83="totale",(C83/(A83*24))/F83,IF(D83="marché libre",(C83/(A83*24))/G83,"spécifier histo"))</f>
        <v>0.281111439550695</v>
      </c>
      <c r="F83" s="56" t="n">
        <v>3383</v>
      </c>
      <c r="G83" s="56" t="n">
        <f aca="false">F83-H83</f>
        <v>3383</v>
      </c>
      <c r="H83" s="56" t="n">
        <v>0</v>
      </c>
      <c r="J83" s="344"/>
      <c r="M83" s="0"/>
    </row>
    <row r="84" customFormat="false" ht="19.85" hidden="false" customHeight="true" outlineLevel="0" collapsed="false">
      <c r="A84" s="1" t="n">
        <v>31</v>
      </c>
      <c r="B84" s="31" t="n">
        <v>39142</v>
      </c>
      <c r="C84" s="56" t="n">
        <v>621587</v>
      </c>
      <c r="D84" s="29" t="s">
        <v>41</v>
      </c>
      <c r="E84" s="33" t="n">
        <f aca="false">IF(D84="totale",(C84/(A84*24))/F84,IF(D84="marché libre",(C84/(A84*24))/G84,"spécifier histo"))</f>
        <v>0.246960212193161</v>
      </c>
      <c r="F84" s="56" t="n">
        <v>3383</v>
      </c>
      <c r="G84" s="56" t="n">
        <f aca="false">F84-H84</f>
        <v>3383</v>
      </c>
      <c r="H84" s="56" t="n">
        <v>0</v>
      </c>
      <c r="J84" s="344"/>
      <c r="M84" s="0"/>
    </row>
    <row r="85" customFormat="false" ht="19.85" hidden="false" customHeight="true" outlineLevel="0" collapsed="false">
      <c r="A85" s="1" t="n">
        <v>30</v>
      </c>
      <c r="B85" s="34" t="n">
        <v>39173</v>
      </c>
      <c r="C85" s="56" t="n">
        <v>1162804</v>
      </c>
      <c r="D85" s="29" t="s">
        <v>41</v>
      </c>
      <c r="E85" s="33" t="n">
        <f aca="false">IF(D85="totale",(C85/(A85*24))/F85,IF(D85="marché libre",(C85/(A85*24))/G85,"spécifier histo"))</f>
        <v>0.477388576871284</v>
      </c>
      <c r="F85" s="56" t="n">
        <v>3383</v>
      </c>
      <c r="G85" s="56" t="n">
        <f aca="false">F85-H85</f>
        <v>3383</v>
      </c>
      <c r="H85" s="56" t="n">
        <v>0</v>
      </c>
      <c r="J85" s="344"/>
      <c r="M85" s="0"/>
    </row>
    <row r="86" customFormat="false" ht="19.85" hidden="false" customHeight="true" outlineLevel="0" collapsed="false">
      <c r="A86" s="1" t="n">
        <v>31</v>
      </c>
      <c r="B86" s="31" t="n">
        <v>39203</v>
      </c>
      <c r="C86" s="56" t="n">
        <v>1738716</v>
      </c>
      <c r="D86" s="29" t="s">
        <v>41</v>
      </c>
      <c r="E86" s="33" t="n">
        <f aca="false">IF(D86="totale",(C86/(A86*24))/F86,IF(D86="marché libre",(C86/(A86*24))/G86,"spécifier histo"))</f>
        <v>0.69080220838538</v>
      </c>
      <c r="F86" s="56" t="n">
        <v>3383</v>
      </c>
      <c r="G86" s="56" t="n">
        <f aca="false">F86-H86</f>
        <v>3383</v>
      </c>
      <c r="H86" s="56" t="n">
        <v>0</v>
      </c>
      <c r="J86" s="344"/>
      <c r="M86" s="0"/>
    </row>
    <row r="87" customFormat="false" ht="19.85" hidden="false" customHeight="true" outlineLevel="0" collapsed="false">
      <c r="A87" s="1" t="n">
        <v>30</v>
      </c>
      <c r="B87" s="34" t="n">
        <v>39234</v>
      </c>
      <c r="C87" s="56" t="n">
        <v>1783215</v>
      </c>
      <c r="D87" s="29" t="s">
        <v>41</v>
      </c>
      <c r="E87" s="33" t="n">
        <f aca="false">IF(D87="totale",(C87/(A87*24))/F87,IF(D87="marché libre",(C87/(A87*24))/G87,"spécifier histo"))</f>
        <v>0.732097989949749</v>
      </c>
      <c r="F87" s="56" t="n">
        <v>3383</v>
      </c>
      <c r="G87" s="56" t="n">
        <f aca="false">F87-H87</f>
        <v>3383</v>
      </c>
      <c r="H87" s="56" t="n">
        <v>0</v>
      </c>
      <c r="J87" s="344"/>
      <c r="M87" s="0"/>
    </row>
    <row r="88" customFormat="false" ht="19.85" hidden="false" customHeight="true" outlineLevel="0" collapsed="false">
      <c r="A88" s="1" t="n">
        <v>31</v>
      </c>
      <c r="B88" s="31" t="n">
        <v>39264</v>
      </c>
      <c r="C88" s="56" t="n">
        <v>775686</v>
      </c>
      <c r="D88" s="29" t="s">
        <v>41</v>
      </c>
      <c r="E88" s="33" t="n">
        <f aca="false">IF(D88="totale",(C88/(A88*24))/F88,IF(D88="marché libre",(C88/(A88*24))/G88,"spécifier histo"))</f>
        <v>0.308184661447656</v>
      </c>
      <c r="F88" s="56" t="n">
        <v>3383</v>
      </c>
      <c r="G88" s="56" t="n">
        <f aca="false">F88-H88</f>
        <v>3383</v>
      </c>
      <c r="H88" s="56" t="n">
        <v>0</v>
      </c>
      <c r="J88" s="344"/>
      <c r="M88" s="0"/>
    </row>
    <row r="89" customFormat="false" ht="19.85" hidden="false" customHeight="true" outlineLevel="0" collapsed="false">
      <c r="A89" s="1" t="n">
        <v>31</v>
      </c>
      <c r="B89" s="34" t="n">
        <v>39295</v>
      </c>
      <c r="C89" s="56" t="n">
        <v>351209</v>
      </c>
      <c r="D89" s="29" t="s">
        <v>41</v>
      </c>
      <c r="E89" s="33" t="n">
        <f aca="false">IF(D89="totale",(C89/(A89*24))/F89,IF(D89="marché libre",(C89/(A89*24))/G89,"spécifier histo"))</f>
        <v>0.139537424631062</v>
      </c>
      <c r="F89" s="56" t="n">
        <v>3383</v>
      </c>
      <c r="G89" s="56" t="n">
        <f aca="false">F89-H89</f>
        <v>3383</v>
      </c>
      <c r="H89" s="56" t="n">
        <v>0</v>
      </c>
      <c r="J89" s="344"/>
      <c r="M89" s="0"/>
    </row>
    <row r="90" customFormat="false" ht="19.85" hidden="false" customHeight="true" outlineLevel="0" collapsed="false">
      <c r="A90" s="1" t="n">
        <v>30</v>
      </c>
      <c r="B90" s="31" t="n">
        <v>39326</v>
      </c>
      <c r="C90" s="56" t="n">
        <v>123180</v>
      </c>
      <c r="D90" s="29" t="s">
        <v>41</v>
      </c>
      <c r="E90" s="33" t="n">
        <f aca="false">IF(D90="totale",(C90/(A90*24))/F90,IF(D90="marché libre",(C90/(A90*24))/G90,"spécifier histo"))</f>
        <v>0.0505714848753572</v>
      </c>
      <c r="F90" s="56" t="n">
        <v>3383</v>
      </c>
      <c r="G90" s="56" t="n">
        <f aca="false">F90-H90</f>
        <v>3383</v>
      </c>
      <c r="H90" s="56" t="n">
        <v>0</v>
      </c>
      <c r="J90" s="344"/>
      <c r="M90" s="0"/>
    </row>
    <row r="91" customFormat="false" ht="19.85" hidden="false" customHeight="true" outlineLevel="0" collapsed="false">
      <c r="A91" s="1" t="n">
        <v>31</v>
      </c>
      <c r="B91" s="34" t="n">
        <v>39356</v>
      </c>
      <c r="C91" s="56" t="n">
        <v>219219</v>
      </c>
      <c r="D91" s="29" t="s">
        <v>41</v>
      </c>
      <c r="E91" s="33" t="n">
        <f aca="false">IF(D91="totale",(C91/(A91*24))/F91,IF(D91="marché libre",(C91/(A91*24))/G91,"spécifier histo"))</f>
        <v>0.0870970125771171</v>
      </c>
      <c r="F91" s="56" t="n">
        <v>3383</v>
      </c>
      <c r="G91" s="56" t="n">
        <f aca="false">F91-H91</f>
        <v>3383</v>
      </c>
      <c r="H91" s="56" t="n">
        <v>0</v>
      </c>
      <c r="J91" s="344"/>
      <c r="M91" s="0"/>
    </row>
    <row r="92" customFormat="false" ht="19.85" hidden="false" customHeight="true" outlineLevel="0" collapsed="false">
      <c r="A92" s="1" t="n">
        <v>30</v>
      </c>
      <c r="B92" s="31" t="n">
        <v>39387</v>
      </c>
      <c r="C92" s="56" t="n">
        <v>468487</v>
      </c>
      <c r="D92" s="29" t="s">
        <v>41</v>
      </c>
      <c r="E92" s="33" t="n">
        <f aca="false">IF(D92="totale",(C92/(A92*24))/F92,IF(D92="marché libre",(C92/(A92*24))/G92,"spécifier histo"))</f>
        <v>0.192337093966565</v>
      </c>
      <c r="F92" s="56" t="n">
        <v>3383</v>
      </c>
      <c r="G92" s="56" t="n">
        <f aca="false">F92-H92</f>
        <v>3383</v>
      </c>
      <c r="H92" s="56" t="n">
        <v>0</v>
      </c>
      <c r="J92" s="344"/>
      <c r="M92" s="0"/>
    </row>
    <row r="93" customFormat="false" ht="19.85" hidden="false" customHeight="true" outlineLevel="0" collapsed="false">
      <c r="A93" s="1" t="n">
        <v>31</v>
      </c>
      <c r="B93" s="34" t="n">
        <v>39417</v>
      </c>
      <c r="C93" s="56" t="n">
        <v>289440</v>
      </c>
      <c r="D93" s="29" t="s">
        <v>41</v>
      </c>
      <c r="E93" s="33" t="n">
        <f aca="false">IF(D93="totale",(C93/(A93*24))/F93,IF(D93="marché libre",(C93/(A93*24))/G93,"spécifier histo"))</f>
        <v>0.114996233539615</v>
      </c>
      <c r="F93" s="56" t="n">
        <v>3383</v>
      </c>
      <c r="G93" s="56" t="n">
        <f aca="false">F93-H93</f>
        <v>3383</v>
      </c>
      <c r="H93" s="56" t="n">
        <v>0</v>
      </c>
      <c r="J93" s="344"/>
      <c r="M93" s="0"/>
    </row>
    <row r="94" customFormat="false" ht="19.85" hidden="false" customHeight="true" outlineLevel="0" collapsed="false">
      <c r="A94" s="1" t="n">
        <v>31</v>
      </c>
      <c r="B94" s="31" t="n">
        <v>39448</v>
      </c>
      <c r="C94" s="56" t="n">
        <v>270275</v>
      </c>
      <c r="D94" s="29" t="s">
        <v>41</v>
      </c>
      <c r="E94" s="33" t="n">
        <f aca="false">IF(D94="totale",(C94/(A94*24))/F94,IF(D94="marché libre",(C94/(A94*24))/G94,"spécifier histo"))</f>
        <v>0.107381865049473</v>
      </c>
      <c r="F94" s="56" t="n">
        <v>3383</v>
      </c>
      <c r="G94" s="56" t="n">
        <f aca="false">F94-H94</f>
        <v>3383</v>
      </c>
      <c r="H94" s="56" t="n">
        <v>0</v>
      </c>
      <c r="J94" s="344"/>
      <c r="M94" s="0"/>
    </row>
    <row r="95" customFormat="false" ht="19.85" hidden="false" customHeight="true" outlineLevel="0" collapsed="false">
      <c r="A95" s="1" t="n">
        <v>28</v>
      </c>
      <c r="B95" s="34" t="n">
        <v>39479</v>
      </c>
      <c r="C95" s="56" t="n">
        <v>367598</v>
      </c>
      <c r="D95" s="29" t="s">
        <v>41</v>
      </c>
      <c r="E95" s="33" t="n">
        <f aca="false">IF(D95="totale",(C95/(A95*24))/F95,IF(D95="marché libre",(C95/(A95*24))/G95,"spécifier histo"))</f>
        <v>0.161696965218248</v>
      </c>
      <c r="F95" s="56" t="n">
        <v>3383</v>
      </c>
      <c r="G95" s="56" t="n">
        <f aca="false">F95-H95</f>
        <v>3383</v>
      </c>
      <c r="H95" s="56" t="n">
        <v>0</v>
      </c>
      <c r="J95" s="344"/>
      <c r="M95" s="0"/>
    </row>
    <row r="96" customFormat="false" ht="19.85" hidden="false" customHeight="true" outlineLevel="0" collapsed="false">
      <c r="A96" s="1" t="n">
        <v>31</v>
      </c>
      <c r="B96" s="31" t="n">
        <v>39508</v>
      </c>
      <c r="C96" s="56" t="n">
        <v>848217</v>
      </c>
      <c r="D96" s="29" t="s">
        <v>41</v>
      </c>
      <c r="E96" s="33" t="n">
        <f aca="false">IF(D96="totale",(C96/(A96*24))/F96,IF(D96="marché libre",(C96/(A96*24))/G96,"spécifier histo"))</f>
        <v>0.337001659149638</v>
      </c>
      <c r="F96" s="56" t="n">
        <v>3383</v>
      </c>
      <c r="G96" s="56" t="n">
        <f aca="false">F96-H96</f>
        <v>3383</v>
      </c>
      <c r="H96" s="56" t="n">
        <v>0</v>
      </c>
      <c r="J96" s="344"/>
      <c r="M96" s="0"/>
    </row>
    <row r="97" customFormat="false" ht="19.85" hidden="false" customHeight="true" outlineLevel="0" collapsed="false">
      <c r="A97" s="1" t="n">
        <v>30</v>
      </c>
      <c r="B97" s="34" t="n">
        <v>39539</v>
      </c>
      <c r="C97" s="56" t="n">
        <v>1300649</v>
      </c>
      <c r="D97" s="29" t="s">
        <v>41</v>
      </c>
      <c r="E97" s="33" t="n">
        <f aca="false">IF(D97="totale",(C97/(A97*24))/F97,IF(D97="marché libre",(C97/(A97*24))/G97,"spécifier histo"))</f>
        <v>0.533980769862384</v>
      </c>
      <c r="F97" s="56" t="n">
        <v>3383</v>
      </c>
      <c r="G97" s="56" t="n">
        <f aca="false">F97-H97</f>
        <v>3383</v>
      </c>
      <c r="H97" s="56" t="n">
        <v>0</v>
      </c>
      <c r="J97" s="344"/>
      <c r="M97" s="0"/>
    </row>
    <row r="98" customFormat="false" ht="19.85" hidden="false" customHeight="true" outlineLevel="0" collapsed="false">
      <c r="A98" s="1" t="n">
        <v>31</v>
      </c>
      <c r="B98" s="31" t="n">
        <v>39569</v>
      </c>
      <c r="C98" s="56" t="n">
        <v>1961838</v>
      </c>
      <c r="D98" s="29" t="s">
        <v>41</v>
      </c>
      <c r="E98" s="33" t="n">
        <f aca="false">IF(D98="totale",(C98/(A98*24))/F98,IF(D98="marché libre",(C98/(A98*24))/G98,"spécifier histo"))</f>
        <v>0.779449906076874</v>
      </c>
      <c r="F98" s="56" t="n">
        <v>3383</v>
      </c>
      <c r="G98" s="56" t="n">
        <f aca="false">F98-H98</f>
        <v>3383</v>
      </c>
      <c r="H98" s="56" t="n">
        <v>0</v>
      </c>
      <c r="J98" s="344"/>
      <c r="M98" s="0"/>
      <c r="Q98" s="41"/>
      <c r="R98" s="41"/>
      <c r="S98" s="41"/>
      <c r="T98" s="41"/>
      <c r="U98" s="41"/>
      <c r="V98" s="41"/>
      <c r="W98" s="41"/>
      <c r="X98" s="41"/>
      <c r="Y98" s="41"/>
      <c r="Z98" s="41"/>
      <c r="AA98" s="41"/>
      <c r="AB98" s="41"/>
      <c r="AC98" s="41"/>
    </row>
    <row r="99" customFormat="false" ht="19.85" hidden="false" customHeight="true" outlineLevel="0" collapsed="false">
      <c r="A99" s="1" t="n">
        <v>30</v>
      </c>
      <c r="B99" s="34" t="n">
        <v>39600</v>
      </c>
      <c r="C99" s="56" t="n">
        <v>1958314</v>
      </c>
      <c r="D99" s="29" t="s">
        <v>41</v>
      </c>
      <c r="E99" s="33" t="n">
        <f aca="false">IF(D99="totale",(C99/(A99*24))/F99,IF(D99="marché libre",(C99/(A99*24))/G99,"spécifier histo"))</f>
        <v>0.803984793247282</v>
      </c>
      <c r="F99" s="56" t="n">
        <v>3383</v>
      </c>
      <c r="G99" s="56" t="n">
        <f aca="false">F99-H99</f>
        <v>3383</v>
      </c>
      <c r="H99" s="56" t="n">
        <v>0</v>
      </c>
      <c r="J99" s="344"/>
      <c r="M99" s="0"/>
      <c r="P99" s="41"/>
      <c r="Q99" s="0"/>
      <c r="R99" s="0"/>
      <c r="S99" s="0"/>
      <c r="T99" s="0"/>
      <c r="U99" s="0"/>
    </row>
    <row r="100" customFormat="false" ht="19.85" hidden="false" customHeight="true" outlineLevel="0" collapsed="false">
      <c r="A100" s="1" t="n">
        <v>31</v>
      </c>
      <c r="B100" s="31" t="n">
        <v>39630</v>
      </c>
      <c r="C100" s="56" t="n">
        <v>1764730</v>
      </c>
      <c r="D100" s="29" t="s">
        <v>41</v>
      </c>
      <c r="E100" s="33" t="n">
        <f aca="false">IF(D100="totale",(C100/(A100*24))/F100,IF(D100="marché libre",(C100/(A100*24))/G100,"spécifier histo"))</f>
        <v>0.701137725312203</v>
      </c>
      <c r="F100" s="56" t="n">
        <v>3383</v>
      </c>
      <c r="G100" s="56" t="n">
        <f aca="false">F100-H100</f>
        <v>3383</v>
      </c>
      <c r="H100" s="56" t="n">
        <v>0</v>
      </c>
      <c r="J100" s="344"/>
      <c r="M100" s="0"/>
      <c r="P100" s="41"/>
      <c r="Q100" s="0"/>
      <c r="R100" s="0"/>
      <c r="S100" s="0"/>
      <c r="T100" s="0"/>
      <c r="U100" s="0"/>
    </row>
    <row r="101" customFormat="false" ht="19.85" hidden="false" customHeight="true" outlineLevel="0" collapsed="false">
      <c r="A101" s="1" t="n">
        <v>31</v>
      </c>
      <c r="B101" s="34" t="n">
        <v>39661</v>
      </c>
      <c r="C101" s="56" t="n">
        <v>902232</v>
      </c>
      <c r="D101" s="29" t="s">
        <v>41</v>
      </c>
      <c r="E101" s="33" t="n">
        <f aca="false">IF(D101="totale",(C101/(A101*24))/F101,IF(D101="marché libre",(C101/(A101*24))/G101,"spécifier histo"))</f>
        <v>0.358462139921619</v>
      </c>
      <c r="F101" s="56" t="n">
        <v>3383</v>
      </c>
      <c r="G101" s="56" t="n">
        <f aca="false">F101-H101</f>
        <v>3383</v>
      </c>
      <c r="H101" s="56" t="n">
        <v>0</v>
      </c>
      <c r="J101" s="344"/>
      <c r="M101" s="0"/>
      <c r="P101" s="41"/>
      <c r="Q101" s="0"/>
      <c r="R101" s="0"/>
      <c r="S101" s="0"/>
      <c r="T101" s="0"/>
      <c r="U101" s="0"/>
    </row>
    <row r="102" customFormat="false" ht="19.85" hidden="false" customHeight="true" outlineLevel="0" collapsed="false">
      <c r="A102" s="1" t="n">
        <v>30</v>
      </c>
      <c r="B102" s="31" t="n">
        <v>39692</v>
      </c>
      <c r="C102" s="56" t="n">
        <v>533061</v>
      </c>
      <c r="D102" s="29" t="s">
        <v>41</v>
      </c>
      <c r="E102" s="33" t="n">
        <f aca="false">IF(D102="totale",(C102/(A102*24))/F102,IF(D102="marché libre",(C102/(A102*24))/G102,"spécifier histo"))</f>
        <v>0.218847916050842</v>
      </c>
      <c r="F102" s="56" t="n">
        <v>3383</v>
      </c>
      <c r="G102" s="56" t="n">
        <f aca="false">F102-H102</f>
        <v>3383</v>
      </c>
      <c r="H102" s="56" t="n">
        <v>0</v>
      </c>
      <c r="J102" s="344"/>
      <c r="M102" s="0"/>
      <c r="P102" s="41"/>
      <c r="Q102" s="0"/>
      <c r="R102" s="0"/>
      <c r="S102" s="0"/>
      <c r="T102" s="0"/>
      <c r="U102" s="0"/>
    </row>
    <row r="103" customFormat="false" ht="19.85" hidden="false" customHeight="true" outlineLevel="0" collapsed="false">
      <c r="A103" s="1" t="n">
        <v>31</v>
      </c>
      <c r="B103" s="34" t="n">
        <v>39722</v>
      </c>
      <c r="C103" s="56" t="n">
        <v>517409</v>
      </c>
      <c r="D103" s="29" t="s">
        <v>41</v>
      </c>
      <c r="E103" s="33" t="n">
        <f aca="false">IF(D103="totale",(C103/(A103*24))/F103,IF(D103="marché libre",(C103/(A103*24))/G103,"spécifier histo"))</f>
        <v>0.205569673160235</v>
      </c>
      <c r="F103" s="56" t="n">
        <v>3383</v>
      </c>
      <c r="G103" s="56" t="n">
        <f aca="false">F103-H103</f>
        <v>3383</v>
      </c>
      <c r="H103" s="56" t="n">
        <v>0</v>
      </c>
      <c r="J103" s="344"/>
      <c r="M103" s="0"/>
      <c r="P103" s="41"/>
      <c r="Q103" s="0"/>
      <c r="R103" s="0"/>
      <c r="S103" s="0"/>
      <c r="T103" s="0"/>
      <c r="U103" s="0"/>
    </row>
    <row r="104" customFormat="false" ht="19.85" hidden="false" customHeight="true" outlineLevel="0" collapsed="false">
      <c r="A104" s="1" t="n">
        <v>30</v>
      </c>
      <c r="B104" s="31" t="n">
        <v>39753</v>
      </c>
      <c r="C104" s="56" t="n">
        <v>1008472</v>
      </c>
      <c r="D104" s="29" t="s">
        <v>41</v>
      </c>
      <c r="E104" s="33" t="n">
        <f aca="false">IF(D104="totale",(C104/(A104*24))/F104,IF(D104="marché libre",(C104/(A104*24))/G104,"spécifier histo"))</f>
        <v>0.414027654612934</v>
      </c>
      <c r="F104" s="56" t="n">
        <v>3383</v>
      </c>
      <c r="G104" s="56" t="n">
        <f aca="false">F104-H104</f>
        <v>3383</v>
      </c>
      <c r="H104" s="56" t="n">
        <v>0</v>
      </c>
      <c r="J104" s="344"/>
      <c r="M104" s="0"/>
      <c r="P104" s="41"/>
      <c r="Q104" s="0"/>
      <c r="R104" s="0"/>
      <c r="S104" s="0"/>
      <c r="T104" s="0"/>
      <c r="U104" s="0"/>
    </row>
    <row r="105" customFormat="false" ht="19.85" hidden="false" customHeight="true" outlineLevel="0" collapsed="false">
      <c r="A105" s="1" t="n">
        <v>31</v>
      </c>
      <c r="B105" s="34" t="n">
        <v>39783</v>
      </c>
      <c r="C105" s="56" t="n">
        <v>720602</v>
      </c>
      <c r="D105" s="29" t="s">
        <v>41</v>
      </c>
      <c r="E105" s="33" t="n">
        <f aca="false">IF(D105="totale",(C105/(A105*24))/F105,IF(D105="marché libre",(C105/(A105*24))/G105,"spécifier histo"))</f>
        <v>0.286299460617445</v>
      </c>
      <c r="F105" s="56" t="n">
        <v>3383</v>
      </c>
      <c r="G105" s="56" t="n">
        <f aca="false">F105-H105</f>
        <v>3383</v>
      </c>
      <c r="H105" s="56" t="n">
        <v>0</v>
      </c>
      <c r="J105" s="344"/>
      <c r="M105" s="0"/>
      <c r="P105" s="41"/>
      <c r="Q105" s="0"/>
      <c r="R105" s="0"/>
      <c r="S105" s="0"/>
      <c r="T105" s="0"/>
      <c r="U105" s="0"/>
    </row>
    <row r="106" customFormat="false" ht="19.85" hidden="false" customHeight="true" outlineLevel="0" collapsed="false">
      <c r="A106" s="1" t="n">
        <v>31</v>
      </c>
      <c r="B106" s="31" t="n">
        <v>39814</v>
      </c>
      <c r="C106" s="56" t="n">
        <v>591205</v>
      </c>
      <c r="D106" s="29" t="s">
        <v>41</v>
      </c>
      <c r="E106" s="33" t="n">
        <f aca="false">IF(D106="totale",(C106/(A106*24))/F106,IF(D106="marché libre",(C106/(A106*24))/G106,"spécifier histo"))</f>
        <v>0.234889262886221</v>
      </c>
      <c r="F106" s="56" t="n">
        <v>3383</v>
      </c>
      <c r="G106" s="56" t="n">
        <f aca="false">F106-H106</f>
        <v>3383</v>
      </c>
      <c r="H106" s="56" t="n">
        <v>0</v>
      </c>
      <c r="J106" s="344"/>
      <c r="M106" s="0"/>
      <c r="P106" s="41"/>
      <c r="Q106" s="0"/>
      <c r="R106" s="0"/>
      <c r="S106" s="0"/>
      <c r="T106" s="0"/>
      <c r="U106" s="0"/>
    </row>
    <row r="107" customFormat="false" ht="19.85" hidden="false" customHeight="true" outlineLevel="0" collapsed="false">
      <c r="A107" s="1" t="n">
        <v>28</v>
      </c>
      <c r="B107" s="34" t="n">
        <v>39845</v>
      </c>
      <c r="C107" s="56" t="n">
        <v>478616</v>
      </c>
      <c r="D107" s="29" t="s">
        <v>41</v>
      </c>
      <c r="E107" s="33" t="n">
        <f aca="false">IF(D107="totale",(C107/(A107*24))/F107,IF(D107="marché libre",(C107/(A107*24))/G107,"spécifier histo"))</f>
        <v>0.21053094604676</v>
      </c>
      <c r="F107" s="56" t="n">
        <v>3383</v>
      </c>
      <c r="G107" s="56" t="n">
        <f aca="false">F107-H107</f>
        <v>3383</v>
      </c>
      <c r="H107" s="56" t="n">
        <v>0</v>
      </c>
      <c r="J107" s="344"/>
      <c r="M107" s="0"/>
      <c r="P107" s="41"/>
      <c r="Q107" s="0"/>
      <c r="R107" s="0"/>
      <c r="S107" s="0"/>
      <c r="T107" s="0"/>
      <c r="U107" s="0"/>
    </row>
    <row r="108" customFormat="false" ht="19.85" hidden="false" customHeight="true" outlineLevel="0" collapsed="false">
      <c r="A108" s="1" t="n">
        <v>31</v>
      </c>
      <c r="B108" s="31" t="n">
        <v>39873</v>
      </c>
      <c r="C108" s="56" t="n">
        <v>1149240</v>
      </c>
      <c r="D108" s="29" t="s">
        <v>41</v>
      </c>
      <c r="E108" s="33" t="n">
        <f aca="false">IF(D108="totale",(C108/(A108*24))/F108,IF(D108="marché libre",(C108/(A108*24))/G108,"spécifier histo"))</f>
        <v>0.456599887482956</v>
      </c>
      <c r="F108" s="56" t="n">
        <v>3383</v>
      </c>
      <c r="G108" s="56" t="n">
        <f aca="false">F108-H108</f>
        <v>3383</v>
      </c>
      <c r="H108" s="56" t="n">
        <v>0</v>
      </c>
      <c r="J108" s="344"/>
      <c r="M108" s="0"/>
      <c r="P108" s="41"/>
      <c r="Q108" s="0"/>
      <c r="R108" s="0"/>
      <c r="S108" s="0"/>
      <c r="T108" s="0"/>
      <c r="U108" s="0"/>
    </row>
    <row r="109" customFormat="false" ht="19.85" hidden="false" customHeight="true" outlineLevel="0" collapsed="false">
      <c r="A109" s="1" t="n">
        <v>30</v>
      </c>
      <c r="B109" s="34" t="n">
        <v>39904</v>
      </c>
      <c r="C109" s="56" t="n">
        <v>1861034</v>
      </c>
      <c r="D109" s="29" t="s">
        <v>41</v>
      </c>
      <c r="E109" s="33" t="n">
        <f aca="false">IF(D109="totale",(C109/(A109*24))/F109,IF(D109="marché libre",(C109/(A109*24))/G109,"spécifier histo"))</f>
        <v>0.764046539888988</v>
      </c>
      <c r="F109" s="56" t="n">
        <v>3383</v>
      </c>
      <c r="G109" s="56" t="n">
        <f aca="false">F109-H109</f>
        <v>3383</v>
      </c>
      <c r="H109" s="56" t="n">
        <v>0</v>
      </c>
      <c r="J109" s="344"/>
      <c r="M109" s="0"/>
      <c r="P109" s="41"/>
      <c r="Q109" s="0"/>
      <c r="R109" s="0"/>
      <c r="S109" s="0"/>
      <c r="T109" s="0"/>
      <c r="U109" s="0"/>
    </row>
    <row r="110" customFormat="false" ht="19.85" hidden="false" customHeight="true" outlineLevel="0" collapsed="false">
      <c r="A110" s="1" t="n">
        <v>31</v>
      </c>
      <c r="B110" s="31" t="n">
        <v>39934</v>
      </c>
      <c r="C110" s="56" t="n">
        <v>1986337</v>
      </c>
      <c r="D110" s="29" t="s">
        <v>41</v>
      </c>
      <c r="E110" s="33" t="n">
        <f aca="false">IF(D110="totale",(C110/(A110*24))/F110,IF(D110="marché libre",(C110/(A110*24))/G110,"spécifier histo"))</f>
        <v>0.789183504492736</v>
      </c>
      <c r="F110" s="56" t="n">
        <v>3383</v>
      </c>
      <c r="G110" s="56" t="n">
        <f aca="false">F110-H110</f>
        <v>3383</v>
      </c>
      <c r="H110" s="56" t="n">
        <v>0</v>
      </c>
      <c r="J110" s="344"/>
      <c r="M110" s="0"/>
      <c r="P110" s="41"/>
      <c r="Q110" s="0"/>
      <c r="R110" s="0"/>
      <c r="S110" s="0"/>
      <c r="T110" s="0"/>
      <c r="U110" s="0"/>
    </row>
    <row r="111" customFormat="false" ht="19.85" hidden="false" customHeight="true" outlineLevel="0" collapsed="false">
      <c r="A111" s="1" t="n">
        <v>30</v>
      </c>
      <c r="B111" s="34" t="n">
        <v>39965</v>
      </c>
      <c r="C111" s="56" t="n">
        <v>1751268</v>
      </c>
      <c r="D111" s="29" t="s">
        <v>41</v>
      </c>
      <c r="E111" s="33" t="n">
        <f aca="false">IF(D111="totale",(C111/(A111*24))/F111,IF(D111="marché libre",(C111/(A111*24))/G111,"spécifier histo"))</f>
        <v>0.718982165730614</v>
      </c>
      <c r="F111" s="56" t="n">
        <v>3383</v>
      </c>
      <c r="G111" s="56" t="n">
        <f aca="false">F111-H111</f>
        <v>3383</v>
      </c>
      <c r="H111" s="56" t="n">
        <v>0</v>
      </c>
      <c r="J111" s="344"/>
      <c r="M111" s="0"/>
      <c r="Q111" s="0"/>
    </row>
    <row r="112" customFormat="false" ht="19.85" hidden="false" customHeight="true" outlineLevel="0" collapsed="false">
      <c r="A112" s="1" t="n">
        <v>31</v>
      </c>
      <c r="B112" s="31" t="n">
        <v>39995</v>
      </c>
      <c r="C112" s="56" t="n">
        <v>1949877</v>
      </c>
      <c r="D112" s="29" t="s">
        <v>41</v>
      </c>
      <c r="E112" s="33" t="n">
        <f aca="false">IF(D112="totale",(C112/(A112*24))/F112,IF(D112="marché libre",(C112/(A112*24))/G112,"spécifier histo"))</f>
        <v>0.774697729634892</v>
      </c>
      <c r="F112" s="56" t="n">
        <v>3383</v>
      </c>
      <c r="G112" s="56" t="n">
        <f aca="false">F112-H112</f>
        <v>3383</v>
      </c>
      <c r="H112" s="56" t="n">
        <v>0</v>
      </c>
      <c r="J112" s="344"/>
      <c r="M112" s="0"/>
      <c r="Q112" s="0"/>
    </row>
    <row r="113" customFormat="false" ht="19.85" hidden="false" customHeight="true" outlineLevel="0" collapsed="false">
      <c r="A113" s="1" t="n">
        <v>31</v>
      </c>
      <c r="B113" s="34" t="n">
        <v>40026</v>
      </c>
      <c r="C113" s="56" t="n">
        <v>1234852</v>
      </c>
      <c r="D113" s="29" t="s">
        <v>41</v>
      </c>
      <c r="E113" s="33" t="n">
        <f aca="false">IF(D113="totale",(C113/(A113*24))/F113,IF(D113="marché libre",(C113/(A113*24))/G113,"spécifier histo"))</f>
        <v>0.490614044288489</v>
      </c>
      <c r="F113" s="56" t="n">
        <v>3383</v>
      </c>
      <c r="G113" s="56" t="n">
        <f aca="false">F113-H113</f>
        <v>3383</v>
      </c>
      <c r="H113" s="56" t="n">
        <v>0</v>
      </c>
      <c r="J113" s="344"/>
      <c r="M113" s="0"/>
      <c r="Q113" s="0"/>
    </row>
    <row r="114" customFormat="false" ht="19.85" hidden="false" customHeight="true" outlineLevel="0" collapsed="false">
      <c r="A114" s="1" t="n">
        <v>30</v>
      </c>
      <c r="B114" s="31" t="n">
        <v>40057</v>
      </c>
      <c r="C114" s="56" t="n">
        <v>892618</v>
      </c>
      <c r="D114" s="29" t="s">
        <v>41</v>
      </c>
      <c r="E114" s="33" t="n">
        <f aca="false">IF(D114="totale",(C114/(A114*24))/F114,IF(D114="marché libre",(C114/(A114*24))/G114,"spécifier histo"))</f>
        <v>0.366463855223832</v>
      </c>
      <c r="F114" s="56" t="n">
        <v>3383</v>
      </c>
      <c r="G114" s="56" t="n">
        <f aca="false">F114-H114</f>
        <v>3383</v>
      </c>
      <c r="H114" s="56" t="n">
        <v>0</v>
      </c>
      <c r="J114" s="344"/>
      <c r="M114" s="0"/>
      <c r="Q114" s="0"/>
    </row>
    <row r="115" customFormat="false" ht="19.85" hidden="false" customHeight="true" outlineLevel="0" collapsed="false">
      <c r="A115" s="1" t="n">
        <v>31</v>
      </c>
      <c r="B115" s="34" t="n">
        <v>40087</v>
      </c>
      <c r="C115" s="56" t="n">
        <v>886760</v>
      </c>
      <c r="D115" s="29" t="s">
        <v>41</v>
      </c>
      <c r="E115" s="33" t="n">
        <f aca="false">IF(D115="totale",(C115/(A115*24))/F115,IF(D115="marché libre",(C115/(A115*24))/G115,"spécifier histo"))</f>
        <v>0.35231502229681</v>
      </c>
      <c r="F115" s="56" t="n">
        <v>3383</v>
      </c>
      <c r="G115" s="56" t="n">
        <f aca="false">F115-H115</f>
        <v>3383</v>
      </c>
      <c r="H115" s="56" t="n">
        <v>0</v>
      </c>
      <c r="J115" s="344"/>
      <c r="M115" s="0"/>
      <c r="Q115" s="0"/>
    </row>
    <row r="116" customFormat="false" ht="19.85" hidden="false" customHeight="true" outlineLevel="0" collapsed="false">
      <c r="A116" s="1" t="n">
        <v>30</v>
      </c>
      <c r="B116" s="31" t="n">
        <v>40118</v>
      </c>
      <c r="C116" s="56" t="n">
        <v>925640</v>
      </c>
      <c r="D116" s="29" t="s">
        <v>41</v>
      </c>
      <c r="E116" s="33" t="n">
        <f aca="false">IF(D116="totale",(C116/(A116*24))/F116,IF(D116="marché libre",(C116/(A116*24))/G116,"spécifier histo"))</f>
        <v>0.380021020133346</v>
      </c>
      <c r="F116" s="56" t="n">
        <v>3383</v>
      </c>
      <c r="G116" s="56" t="n">
        <f aca="false">F116-H116</f>
        <v>3383</v>
      </c>
      <c r="H116" s="56" t="n">
        <v>0</v>
      </c>
      <c r="J116" s="344"/>
      <c r="M116" s="0"/>
      <c r="Q116" s="0"/>
    </row>
    <row r="117" customFormat="false" ht="19.85" hidden="false" customHeight="true" outlineLevel="0" collapsed="false">
      <c r="A117" s="1" t="n">
        <v>31</v>
      </c>
      <c r="B117" s="34" t="n">
        <v>40148</v>
      </c>
      <c r="C117" s="56" t="n">
        <v>730218</v>
      </c>
      <c r="D117" s="29" t="s">
        <v>41</v>
      </c>
      <c r="E117" s="33" t="n">
        <f aca="false">IF(D117="totale",(C117/(A117*24))/F117,IF(D117="marché libre",(C117/(A117*24))/G117,"spécifier histo"))</f>
        <v>0.290119954611769</v>
      </c>
      <c r="F117" s="56" t="n">
        <v>3383</v>
      </c>
      <c r="G117" s="56" t="n">
        <f aca="false">F117-H117</f>
        <v>3383</v>
      </c>
      <c r="H117" s="56" t="n">
        <v>0</v>
      </c>
      <c r="J117" s="344"/>
      <c r="M117" s="0"/>
      <c r="Q117" s="0"/>
    </row>
    <row r="118" customFormat="false" ht="19.85" hidden="false" customHeight="true" outlineLevel="0" collapsed="false">
      <c r="A118" s="1" t="n">
        <v>31</v>
      </c>
      <c r="B118" s="31" t="n">
        <v>40179</v>
      </c>
      <c r="C118" s="56" t="n">
        <v>751419</v>
      </c>
      <c r="D118" s="29" t="s">
        <v>41</v>
      </c>
      <c r="E118" s="33" t="n">
        <f aca="false">IF(D118="totale",(C118/(A118*24))/F118,IF(D118="marché libre",(C118/(A118*24))/G118,"spécifier histo"))</f>
        <v>0.29854323801169</v>
      </c>
      <c r="F118" s="56" t="n">
        <v>3383</v>
      </c>
      <c r="G118" s="56" t="n">
        <f aca="false">F118-H118</f>
        <v>3383</v>
      </c>
      <c r="H118" s="56" t="n">
        <v>0</v>
      </c>
      <c r="J118" s="344"/>
      <c r="M118" s="0"/>
      <c r="Q118" s="0"/>
    </row>
    <row r="119" customFormat="false" ht="19.85" hidden="false" customHeight="true" outlineLevel="0" collapsed="false">
      <c r="A119" s="1" t="n">
        <v>28</v>
      </c>
      <c r="B119" s="34" t="n">
        <v>40210</v>
      </c>
      <c r="C119" s="56" t="n">
        <v>554813</v>
      </c>
      <c r="D119" s="29" t="s">
        <v>41</v>
      </c>
      <c r="E119" s="33" t="n">
        <f aca="false">IF(D119="totale",(C119/(A119*24))/F119,IF(D119="marché libre",(C119/(A119*24))/G119,"spécifier histo"))</f>
        <v>0.244048058922061</v>
      </c>
      <c r="F119" s="56" t="n">
        <v>3383</v>
      </c>
      <c r="G119" s="56" t="n">
        <f aca="false">F119-H119</f>
        <v>3383</v>
      </c>
      <c r="H119" s="56" t="n">
        <v>0</v>
      </c>
      <c r="J119" s="344"/>
      <c r="M119" s="0"/>
      <c r="Q119" s="0"/>
    </row>
    <row r="120" customFormat="false" ht="19.85" hidden="false" customHeight="true" outlineLevel="0" collapsed="false">
      <c r="A120" s="1" t="n">
        <v>31</v>
      </c>
      <c r="B120" s="31" t="n">
        <v>40238</v>
      </c>
      <c r="C120" s="56" t="n">
        <v>948550</v>
      </c>
      <c r="D120" s="29" t="s">
        <v>41</v>
      </c>
      <c r="E120" s="33" t="n">
        <f aca="false">IF(D120="totale",(C120/(A120*24))/F120,IF(D120="marché libre",(C120/(A120*24))/G120,"spécifier histo"))</f>
        <v>0.376864556813161</v>
      </c>
      <c r="F120" s="56" t="n">
        <v>3383</v>
      </c>
      <c r="G120" s="56" t="n">
        <f aca="false">F120-H120</f>
        <v>3383</v>
      </c>
      <c r="H120" s="56" t="n">
        <v>0</v>
      </c>
      <c r="J120" s="344"/>
      <c r="M120" s="0"/>
      <c r="Q120" s="0"/>
    </row>
    <row r="121" customFormat="false" ht="19.85" hidden="false" customHeight="true" outlineLevel="0" collapsed="false">
      <c r="A121" s="1" t="n">
        <v>30</v>
      </c>
      <c r="B121" s="34" t="n">
        <v>40269</v>
      </c>
      <c r="C121" s="56" t="n">
        <v>1440177</v>
      </c>
      <c r="D121" s="29" t="s">
        <v>41</v>
      </c>
      <c r="E121" s="33" t="n">
        <f aca="false">IF(D121="totale",(C121/(A121*24))/F121,IF(D121="marché libre",(C121/(A121*24))/G121,"spécifier histo"))</f>
        <v>0.591263917627352</v>
      </c>
      <c r="F121" s="56" t="n">
        <v>3383</v>
      </c>
      <c r="G121" s="56" t="n">
        <f aca="false">F121-H121</f>
        <v>3383</v>
      </c>
      <c r="H121" s="56" t="n">
        <v>0</v>
      </c>
      <c r="J121" s="344"/>
      <c r="Q121" s="0"/>
    </row>
    <row r="122" customFormat="false" ht="19.85" hidden="false" customHeight="true" outlineLevel="0" collapsed="false">
      <c r="A122" s="1" t="n">
        <v>31</v>
      </c>
      <c r="B122" s="31" t="n">
        <v>40299</v>
      </c>
      <c r="C122" s="56" t="n">
        <v>2062354</v>
      </c>
      <c r="D122" s="29" t="s">
        <v>41</v>
      </c>
      <c r="E122" s="33" t="n">
        <f aca="false">IF(D122="totale",(C122/(A122*24))/F122,IF(D122="marché libre",(C122/(A122*24))/G122,"spécifier histo"))</f>
        <v>0.81938551072885</v>
      </c>
      <c r="F122" s="56" t="n">
        <v>3383</v>
      </c>
      <c r="G122" s="56" t="n">
        <f aca="false">F122-H122</f>
        <v>3383</v>
      </c>
      <c r="H122" s="56" t="n">
        <v>0</v>
      </c>
      <c r="J122" s="344"/>
      <c r="Q122" s="0"/>
    </row>
    <row r="123" customFormat="false" ht="19.85" hidden="false" customHeight="true" outlineLevel="0" collapsed="false">
      <c r="A123" s="1" t="n">
        <v>30</v>
      </c>
      <c r="B123" s="34" t="n">
        <v>40330</v>
      </c>
      <c r="C123" s="56" t="n">
        <v>1913688</v>
      </c>
      <c r="D123" s="29" t="s">
        <v>41</v>
      </c>
      <c r="E123" s="33" t="n">
        <f aca="false">IF(D123="totale",(C123/(A123*24))/F123,IF(D123="marché libre",(C123/(A123*24))/G123,"spécifier histo"))</f>
        <v>0.78566361217854</v>
      </c>
      <c r="F123" s="56" t="n">
        <v>3383</v>
      </c>
      <c r="G123" s="56" t="n">
        <f aca="false">F123-H123</f>
        <v>3383</v>
      </c>
      <c r="H123" s="56" t="n">
        <v>0</v>
      </c>
      <c r="J123" s="344"/>
      <c r="Q123" s="0"/>
    </row>
    <row r="124" customFormat="false" ht="19.85" hidden="false" customHeight="true" outlineLevel="0" collapsed="false">
      <c r="A124" s="1" t="n">
        <v>31</v>
      </c>
      <c r="B124" s="31" t="n">
        <v>40360</v>
      </c>
      <c r="C124" s="56" t="n">
        <v>1826218</v>
      </c>
      <c r="D124" s="29" t="s">
        <v>41</v>
      </c>
      <c r="E124" s="33" t="n">
        <f aca="false">IF(D124="totale",(C124/(A124*24))/F124,IF(D124="marché libre",(C124/(A124*24))/G124,"spécifier histo"))</f>
        <v>0.72556727343231</v>
      </c>
      <c r="F124" s="56" t="n">
        <v>3383</v>
      </c>
      <c r="G124" s="56" t="n">
        <f aca="false">F124-H124</f>
        <v>3383</v>
      </c>
      <c r="H124" s="56" t="n">
        <v>0</v>
      </c>
      <c r="J124" s="344"/>
      <c r="Q124" s="0"/>
    </row>
    <row r="125" customFormat="false" ht="19.85" hidden="false" customHeight="true" outlineLevel="0" collapsed="false">
      <c r="A125" s="1" t="n">
        <v>31</v>
      </c>
      <c r="B125" s="34" t="n">
        <v>40391</v>
      </c>
      <c r="C125" s="56" t="n">
        <v>828313</v>
      </c>
      <c r="D125" s="29" t="s">
        <v>41</v>
      </c>
      <c r="E125" s="33" t="n">
        <f aca="false">IF(D125="totale",(C125/(A125*24))/F125,IF(D125="marché libre",(C125/(A125*24))/G125,"spécifier histo"))</f>
        <v>0.32909368156405</v>
      </c>
      <c r="F125" s="56" t="n">
        <v>3383</v>
      </c>
      <c r="G125" s="56" t="n">
        <f aca="false">F125-H125</f>
        <v>3383</v>
      </c>
      <c r="H125" s="56" t="n">
        <v>0</v>
      </c>
      <c r="J125" s="344"/>
      <c r="Q125" s="0"/>
    </row>
    <row r="126" customFormat="false" ht="19.85" hidden="false" customHeight="true" outlineLevel="0" collapsed="false">
      <c r="A126" s="1" t="n">
        <v>30</v>
      </c>
      <c r="B126" s="31" t="n">
        <v>40422</v>
      </c>
      <c r="C126" s="56" t="n">
        <v>0</v>
      </c>
      <c r="D126" s="29" t="s">
        <v>41</v>
      </c>
      <c r="E126" s="33" t="n">
        <f aca="false">IF(D126="totale",(C126/(A126*24))/F126,IF(D126="marché libre",(C126/(A126*24))/G126,"spécifier histo"))</f>
        <v>0</v>
      </c>
      <c r="F126" s="56" t="n">
        <v>3383</v>
      </c>
      <c r="G126" s="56" t="n">
        <f aca="false">F126-H126</f>
        <v>3383</v>
      </c>
      <c r="H126" s="56" t="n">
        <v>0</v>
      </c>
      <c r="J126" s="344" t="s">
        <v>513</v>
      </c>
      <c r="Q126" s="0"/>
    </row>
    <row r="127" customFormat="false" ht="19.85" hidden="false" customHeight="true" outlineLevel="0" collapsed="false">
      <c r="A127" s="1" t="n">
        <v>31</v>
      </c>
      <c r="B127" s="34" t="n">
        <v>40452</v>
      </c>
      <c r="C127" s="56" t="n">
        <v>426408</v>
      </c>
      <c r="D127" s="29" t="s">
        <v>41</v>
      </c>
      <c r="E127" s="33" t="n">
        <f aca="false">IF(D127="totale",(C127/(A127*24))/F127,IF(D127="marché libre",(C127/(A127*24))/G127,"spécifier histo"))</f>
        <v>0.169414434601852</v>
      </c>
      <c r="F127" s="56" t="n">
        <v>3383</v>
      </c>
      <c r="G127" s="56" t="n">
        <f aca="false">F127-H127</f>
        <v>3383</v>
      </c>
      <c r="H127" s="56" t="n">
        <v>0</v>
      </c>
      <c r="J127" s="344"/>
      <c r="Q127" s="0"/>
    </row>
    <row r="128" customFormat="false" ht="19.85" hidden="false" customHeight="true" outlineLevel="0" collapsed="false">
      <c r="A128" s="1" t="n">
        <v>30</v>
      </c>
      <c r="B128" s="31" t="n">
        <v>40483</v>
      </c>
      <c r="C128" s="56" t="n">
        <v>1650189</v>
      </c>
      <c r="D128" s="29" t="s">
        <v>41</v>
      </c>
      <c r="E128" s="33" t="n">
        <f aca="false">IF(D128="totale",(C128/(A128*24))/F128,IF(D128="marché libre",(C128/(A128*24))/G128,"spécifier histo"))</f>
        <v>0.67748423489999</v>
      </c>
      <c r="F128" s="56" t="n">
        <v>3383</v>
      </c>
      <c r="G128" s="56" t="n">
        <f aca="false">F128-H128</f>
        <v>3383</v>
      </c>
      <c r="H128" s="56" t="n">
        <v>0</v>
      </c>
      <c r="J128" s="344"/>
      <c r="Q128" s="0"/>
    </row>
    <row r="129" customFormat="false" ht="19.85" hidden="false" customHeight="true" outlineLevel="0" collapsed="false">
      <c r="A129" s="1" t="n">
        <v>31</v>
      </c>
      <c r="B129" s="34" t="n">
        <v>40513</v>
      </c>
      <c r="C129" s="56" t="n">
        <v>1544656</v>
      </c>
      <c r="D129" s="29" t="s">
        <v>41</v>
      </c>
      <c r="E129" s="33" t="n">
        <f aca="false">IF(D129="totale",(C129/(A129*24))/F129,IF(D129="marché libre",(C129/(A129*24))/G129,"spécifier histo"))</f>
        <v>0.613701016149692</v>
      </c>
      <c r="F129" s="56" t="n">
        <v>3383</v>
      </c>
      <c r="G129" s="56" t="n">
        <f aca="false">F129-H129</f>
        <v>3383</v>
      </c>
      <c r="H129" s="56" t="n">
        <v>0</v>
      </c>
      <c r="J129" s="344"/>
      <c r="Q129" s="0"/>
    </row>
    <row r="130" customFormat="false" ht="19.85" hidden="false" customHeight="true" outlineLevel="0" collapsed="false">
      <c r="A130" s="1" t="n">
        <v>31</v>
      </c>
      <c r="B130" s="31" t="n">
        <v>40544</v>
      </c>
      <c r="C130" s="56" t="n">
        <v>1400911</v>
      </c>
      <c r="D130" s="29" t="s">
        <v>41</v>
      </c>
      <c r="E130" s="33" t="n">
        <f aca="false">IF(D130="totale",(C130/(A130*24))/F130,IF(D130="marché libre",(C130/(A130*24))/G130,"spécifier histo"))</f>
        <v>0.556590272679018</v>
      </c>
      <c r="F130" s="56" t="n">
        <v>3383</v>
      </c>
      <c r="G130" s="56" t="n">
        <f aca="false">F130-H130</f>
        <v>3383</v>
      </c>
      <c r="H130" s="56" t="n">
        <v>0</v>
      </c>
      <c r="J130" s="344"/>
      <c r="Q130" s="0"/>
    </row>
    <row r="131" customFormat="false" ht="19.85" hidden="false" customHeight="true" outlineLevel="0" collapsed="false">
      <c r="A131" s="1" t="n">
        <v>28</v>
      </c>
      <c r="B131" s="34" t="n">
        <v>40575</v>
      </c>
      <c r="C131" s="56" t="n">
        <v>970210</v>
      </c>
      <c r="D131" s="29" t="s">
        <v>41</v>
      </c>
      <c r="E131" s="33" t="n">
        <f aca="false">IF(D131="totale",(C131/(A131*24))/F131,IF(D131="marché libre",(C131/(A131*24))/G131,"spécifier histo"))</f>
        <v>0.426770582604901</v>
      </c>
      <c r="F131" s="56" t="n">
        <v>3383</v>
      </c>
      <c r="G131" s="56" t="n">
        <f aca="false">F131-H131</f>
        <v>3383</v>
      </c>
      <c r="H131" s="56" t="n">
        <v>0</v>
      </c>
      <c r="J131" s="344"/>
      <c r="Q131" s="0"/>
    </row>
    <row r="132" customFormat="false" ht="19.85" hidden="false" customHeight="true" outlineLevel="0" collapsed="false">
      <c r="A132" s="1" t="n">
        <v>31</v>
      </c>
      <c r="B132" s="31" t="n">
        <v>40603</v>
      </c>
      <c r="C132" s="56" t="n">
        <v>1118143</v>
      </c>
      <c r="D132" s="29" t="s">
        <v>41</v>
      </c>
      <c r="E132" s="33" t="n">
        <f aca="false">IF(D132="totale",(C132/(A132*24))/F132,IF(D132="marché libre",(C132/(A132*24))/G132,"spécifier histo"))</f>
        <v>0.444244864423318</v>
      </c>
      <c r="F132" s="56" t="n">
        <v>3383</v>
      </c>
      <c r="G132" s="56" t="n">
        <f aca="false">F132-H132</f>
        <v>3383</v>
      </c>
      <c r="H132" s="56" t="n">
        <v>0</v>
      </c>
      <c r="J132" s="344"/>
      <c r="Q132" s="0"/>
    </row>
    <row r="133" customFormat="false" ht="19.85" hidden="false" customHeight="true" outlineLevel="0" collapsed="false">
      <c r="A133" s="1" t="n">
        <v>30</v>
      </c>
      <c r="B133" s="34" t="n">
        <v>40634</v>
      </c>
      <c r="C133" s="56" t="n">
        <v>1921975</v>
      </c>
      <c r="D133" s="29" t="s">
        <v>41</v>
      </c>
      <c r="E133" s="33" t="n">
        <f aca="false">IF(D133="totale",(C133/(A133*24))/F133,IF(D133="marché libre",(C133/(A133*24))/G133,"spécifier histo"))</f>
        <v>0.78906583571452</v>
      </c>
      <c r="F133" s="56" t="n">
        <v>3383</v>
      </c>
      <c r="G133" s="56" t="n">
        <f aca="false">F133-H133</f>
        <v>3383</v>
      </c>
      <c r="H133" s="56" t="n">
        <v>0</v>
      </c>
      <c r="J133" s="344"/>
      <c r="Q133" s="0"/>
    </row>
    <row r="134" customFormat="false" ht="19.85" hidden="false" customHeight="true" outlineLevel="0" collapsed="false">
      <c r="A134" s="1" t="n">
        <v>31</v>
      </c>
      <c r="B134" s="31" t="n">
        <v>40664</v>
      </c>
      <c r="C134" s="56" t="n">
        <v>2018476</v>
      </c>
      <c r="D134" s="29" t="s">
        <v>41</v>
      </c>
      <c r="E134" s="33" t="n">
        <f aca="false">IF(D134="totale",(C134/(A134*24))/F134,IF(D134="marché libre",(C134/(A134*24))/G134,"spécifier histo"))</f>
        <v>0.801952520350011</v>
      </c>
      <c r="F134" s="56" t="n">
        <v>3383</v>
      </c>
      <c r="G134" s="56" t="n">
        <f aca="false">F134-H134</f>
        <v>3383</v>
      </c>
      <c r="H134" s="56" t="n">
        <v>0</v>
      </c>
      <c r="J134" s="344"/>
      <c r="Q134" s="0"/>
    </row>
    <row r="135" customFormat="false" ht="19.85" hidden="false" customHeight="true" outlineLevel="0" collapsed="false">
      <c r="A135" s="1" t="n">
        <v>30</v>
      </c>
      <c r="B135" s="34" t="n">
        <v>40695</v>
      </c>
      <c r="C135" s="56" t="n">
        <v>1843983</v>
      </c>
      <c r="D135" s="29" t="s">
        <v>41</v>
      </c>
      <c r="E135" s="33" t="n">
        <f aca="false">IF(D135="totale",(C135/(A135*24))/F135,IF(D135="marché libre",(C135/(A135*24))/G135,"spécifier histo"))</f>
        <v>0.757046260715341</v>
      </c>
      <c r="F135" s="56" t="n">
        <v>3383</v>
      </c>
      <c r="G135" s="56" t="n">
        <f aca="false">F135-H135</f>
        <v>3383</v>
      </c>
      <c r="H135" s="56" t="n">
        <v>0</v>
      </c>
      <c r="J135" s="344"/>
      <c r="Q135" s="0"/>
    </row>
    <row r="136" customFormat="false" ht="19.85" hidden="false" customHeight="true" outlineLevel="0" collapsed="false">
      <c r="A136" s="1" t="n">
        <v>31</v>
      </c>
      <c r="B136" s="31" t="n">
        <v>40725</v>
      </c>
      <c r="C136" s="56" t="n">
        <v>875416</v>
      </c>
      <c r="D136" s="29" t="s">
        <v>41</v>
      </c>
      <c r="E136" s="33" t="n">
        <f aca="false">IF(D136="totale",(C136/(A136*24))/F136,IF(D136="marché libre",(C136/(A136*24))/G136,"spécifier histo"))</f>
        <v>0.347807983624638</v>
      </c>
      <c r="F136" s="56" t="n">
        <v>3383</v>
      </c>
      <c r="G136" s="56" t="n">
        <f aca="false">F136-H136</f>
        <v>3383</v>
      </c>
      <c r="H136" s="56" t="n">
        <v>0</v>
      </c>
      <c r="J136" s="344"/>
      <c r="Q136" s="0"/>
    </row>
    <row r="137" customFormat="false" ht="19.85" hidden="false" customHeight="true" outlineLevel="0" collapsed="false">
      <c r="A137" s="1" t="n">
        <v>31</v>
      </c>
      <c r="B137" s="34" t="n">
        <v>40756</v>
      </c>
      <c r="C137" s="56" t="n">
        <v>285446</v>
      </c>
      <c r="D137" s="29" t="s">
        <v>41</v>
      </c>
      <c r="E137" s="33" t="n">
        <f aca="false">IF(D137="totale",(C137/(A137*24))/F137,IF(D137="marché libre",(C137/(A137*24))/G137,"spécifier histo"))</f>
        <v>0.113409393583986</v>
      </c>
      <c r="F137" s="56" t="n">
        <v>3383</v>
      </c>
      <c r="G137" s="56" t="n">
        <f aca="false">F137-H137</f>
        <v>3383</v>
      </c>
      <c r="H137" s="56" t="n">
        <v>0</v>
      </c>
      <c r="J137" s="344"/>
      <c r="Q137" s="0"/>
    </row>
    <row r="138" customFormat="false" ht="19.85" hidden="false" customHeight="true" outlineLevel="0" collapsed="false">
      <c r="A138" s="1" t="n">
        <v>30</v>
      </c>
      <c r="B138" s="31" t="n">
        <v>40787</v>
      </c>
      <c r="C138" s="56" t="n">
        <v>513435</v>
      </c>
      <c r="D138" s="29" t="s">
        <v>41</v>
      </c>
      <c r="E138" s="33" t="n">
        <f aca="false">IF(D138="totale",(C138/(A138*24))/F138,IF(D138="marché libre",(C138/(A138*24))/G138,"spécifier histo"))</f>
        <v>0.210790471967681</v>
      </c>
      <c r="F138" s="56" t="n">
        <v>3383</v>
      </c>
      <c r="G138" s="56" t="n">
        <f aca="false">F138-H138</f>
        <v>3383</v>
      </c>
      <c r="H138" s="56" t="n">
        <v>0</v>
      </c>
      <c r="J138" s="344"/>
      <c r="Q138" s="0"/>
    </row>
    <row r="139" customFormat="false" ht="19.85" hidden="false" customHeight="true" outlineLevel="0" collapsed="false">
      <c r="A139" s="1" t="n">
        <v>31</v>
      </c>
      <c r="B139" s="34" t="n">
        <v>40817</v>
      </c>
      <c r="C139" s="56" t="n">
        <v>790228</v>
      </c>
      <c r="D139" s="29" t="s">
        <v>41</v>
      </c>
      <c r="E139" s="33" t="n">
        <f aca="false">IF(D139="totale",(C139/(A139*24))/F139,IF(D139="marché libre",(C139/(A139*24))/G139,"spécifier histo"))</f>
        <v>0.313962284540984</v>
      </c>
      <c r="F139" s="56" t="n">
        <v>3383</v>
      </c>
      <c r="G139" s="56" t="n">
        <f aca="false">F139-H139</f>
        <v>3383</v>
      </c>
      <c r="H139" s="56" t="n">
        <v>0</v>
      </c>
      <c r="J139" s="344"/>
      <c r="Q139" s="0"/>
    </row>
    <row r="140" customFormat="false" ht="19.85" hidden="false" customHeight="true" outlineLevel="0" collapsed="false">
      <c r="A140" s="1" t="n">
        <v>30</v>
      </c>
      <c r="B140" s="31" t="n">
        <v>40848</v>
      </c>
      <c r="C140" s="56" t="n">
        <v>1713354</v>
      </c>
      <c r="D140" s="29" t="s">
        <v>41</v>
      </c>
      <c r="E140" s="33" t="n">
        <f aca="false">IF(D140="totale",(C140/(A140*24))/F140,IF(D140="marché libre",(C140/(A140*24))/G140,"spécifier histo"))</f>
        <v>0.70341659276776</v>
      </c>
      <c r="F140" s="56" t="n">
        <v>3383</v>
      </c>
      <c r="G140" s="56" t="n">
        <f aca="false">F140-H140</f>
        <v>3383</v>
      </c>
      <c r="H140" s="56" t="n">
        <v>0</v>
      </c>
      <c r="J140" s="344"/>
      <c r="Q140" s="0"/>
    </row>
    <row r="141" customFormat="false" ht="19.85" hidden="false" customHeight="true" outlineLevel="0" collapsed="false">
      <c r="A141" s="1" t="n">
        <v>31</v>
      </c>
      <c r="B141" s="34" t="n">
        <v>40878</v>
      </c>
      <c r="C141" s="56" t="n">
        <v>1296535</v>
      </c>
      <c r="D141" s="29" t="s">
        <v>41</v>
      </c>
      <c r="E141" s="33" t="n">
        <f aca="false">IF(D141="totale",(C141/(A141*24))/F141,IF(D141="marché libre",(C141/(A141*24))/G141,"spécifier histo"))</f>
        <v>0.515121067068422</v>
      </c>
      <c r="F141" s="56" t="n">
        <v>3383</v>
      </c>
      <c r="G141" s="56" t="n">
        <f aca="false">F141-H141</f>
        <v>3383</v>
      </c>
      <c r="H141" s="56" t="n">
        <v>0</v>
      </c>
      <c r="J141" s="344"/>
      <c r="Q141" s="0"/>
    </row>
    <row r="142" customFormat="false" ht="19.85" hidden="false" customHeight="true" outlineLevel="0" collapsed="false">
      <c r="A142" s="1" t="n">
        <v>31</v>
      </c>
      <c r="B142" s="31" t="n">
        <v>40909</v>
      </c>
      <c r="C142" s="56" t="n">
        <v>757825</v>
      </c>
      <c r="D142" s="29" t="s">
        <v>41</v>
      </c>
      <c r="E142" s="33" t="n">
        <f aca="false">IF(D142="totale",(C142/(A142*24))/F142,IF(D142="marché libre",(C142/(A142*24))/G142,"spécifier histo"))</f>
        <v>0.301088379913483</v>
      </c>
      <c r="F142" s="56" t="n">
        <v>3383</v>
      </c>
      <c r="G142" s="56" t="n">
        <f aca="false">F142-H142</f>
        <v>3383</v>
      </c>
      <c r="H142" s="56" t="n">
        <v>0</v>
      </c>
      <c r="J142" s="344"/>
      <c r="Q142" s="0"/>
    </row>
    <row r="143" customFormat="false" ht="19.85" hidden="false" customHeight="true" outlineLevel="0" collapsed="false">
      <c r="A143" s="1" t="n">
        <v>28</v>
      </c>
      <c r="B143" s="34" t="n">
        <v>40940</v>
      </c>
      <c r="C143" s="56" t="n">
        <v>585094</v>
      </c>
      <c r="D143" s="29" t="s">
        <v>41</v>
      </c>
      <c r="E143" s="33" t="n">
        <f aca="false">IF(D143="totale",(C143/(A143*24))/F143,IF(D143="marché libre",(C143/(A143*24))/G143,"spécifier histo"))</f>
        <v>0.257367896907507</v>
      </c>
      <c r="F143" s="56" t="n">
        <v>3383</v>
      </c>
      <c r="G143" s="56" t="n">
        <f aca="false">F143-H143</f>
        <v>3383</v>
      </c>
      <c r="H143" s="56" t="n">
        <v>0</v>
      </c>
      <c r="J143" s="344"/>
      <c r="Q143" s="0"/>
    </row>
    <row r="144" customFormat="false" ht="19.85" hidden="false" customHeight="true" outlineLevel="0" collapsed="false">
      <c r="A144" s="1" t="n">
        <v>31</v>
      </c>
      <c r="B144" s="31" t="n">
        <v>40969</v>
      </c>
      <c r="C144" s="56" t="n">
        <v>743965</v>
      </c>
      <c r="D144" s="29" t="s">
        <v>41</v>
      </c>
      <c r="E144" s="33" t="n">
        <f aca="false">IF(D144="totale",(C144/(A144*24))/F144,IF(D144="marché libre",(C144/(A144*24))/G144,"spécifier histo"))</f>
        <v>0.295581719476573</v>
      </c>
      <c r="F144" s="56" t="n">
        <v>3383</v>
      </c>
      <c r="G144" s="56" t="n">
        <f aca="false">F144-H144</f>
        <v>3383</v>
      </c>
      <c r="H144" s="56" t="n">
        <v>0</v>
      </c>
      <c r="J144" s="344"/>
      <c r="Q144" s="0"/>
    </row>
    <row r="145" customFormat="false" ht="19.85" hidden="false" customHeight="true" outlineLevel="0" collapsed="false">
      <c r="A145" s="1" t="n">
        <v>30</v>
      </c>
      <c r="B145" s="34" t="n">
        <v>41000</v>
      </c>
      <c r="C145" s="56" t="n">
        <v>1136207</v>
      </c>
      <c r="D145" s="29" t="s">
        <v>41</v>
      </c>
      <c r="E145" s="33" t="n">
        <f aca="false">IF(D145="totale",(C145/(A145*24))/F145,IF(D145="marché libre",(C145/(A145*24))/G145,"spécifier histo"))</f>
        <v>0.466469192367064</v>
      </c>
      <c r="F145" s="56" t="n">
        <v>3383</v>
      </c>
      <c r="G145" s="56" t="n">
        <f aca="false">F145-H145</f>
        <v>3383</v>
      </c>
      <c r="H145" s="56" t="n">
        <v>0</v>
      </c>
      <c r="J145" s="344"/>
      <c r="Q145" s="0"/>
    </row>
    <row r="146" customFormat="false" ht="19.85" hidden="false" customHeight="true" outlineLevel="0" collapsed="false">
      <c r="A146" s="1" t="n">
        <v>31</v>
      </c>
      <c r="B146" s="31" t="n">
        <v>41030</v>
      </c>
      <c r="C146" s="56" t="n">
        <v>1966555</v>
      </c>
      <c r="D146" s="29" t="s">
        <v>41</v>
      </c>
      <c r="E146" s="33" t="n">
        <f aca="false">IF(D146="totale",(C146/(A146*24))/F146,IF(D146="marché libre",(C146/(A146*24))/G146,"spécifier histo"))</f>
        <v>0.781323998232783</v>
      </c>
      <c r="F146" s="56" t="n">
        <v>3383</v>
      </c>
      <c r="G146" s="56" t="n">
        <f aca="false">F146-H146</f>
        <v>3383</v>
      </c>
      <c r="H146" s="56" t="n">
        <v>0</v>
      </c>
      <c r="J146" s="344"/>
      <c r="Q146" s="0"/>
    </row>
    <row r="147" customFormat="false" ht="19.85" hidden="false" customHeight="true" outlineLevel="0" collapsed="false">
      <c r="A147" s="1" t="n">
        <v>30</v>
      </c>
      <c r="B147" s="34" t="n">
        <v>41061</v>
      </c>
      <c r="C147" s="56" t="n">
        <v>1756236</v>
      </c>
      <c r="D147" s="29" t="s">
        <v>41</v>
      </c>
      <c r="E147" s="33" t="n">
        <f aca="false">IF(D147="totale",(C147/(A147*24))/F147,IF(D147="marché libre",(C147/(A147*24))/G147,"spécifier histo"))</f>
        <v>0.721021775544389</v>
      </c>
      <c r="F147" s="56" t="n">
        <v>3383</v>
      </c>
      <c r="G147" s="56" t="n">
        <f aca="false">F147-H147</f>
        <v>3383</v>
      </c>
      <c r="H147" s="56" t="n">
        <v>0</v>
      </c>
      <c r="J147" s="344"/>
      <c r="Q147" s="0"/>
    </row>
    <row r="148" customFormat="false" ht="19.85" hidden="false" customHeight="true" outlineLevel="0" collapsed="false">
      <c r="A148" s="1" t="n">
        <v>31</v>
      </c>
      <c r="B148" s="31" t="n">
        <v>41091</v>
      </c>
      <c r="C148" s="56" t="n">
        <v>994939</v>
      </c>
      <c r="D148" s="29" t="s">
        <v>41</v>
      </c>
      <c r="E148" s="33" t="n">
        <f aca="false">IF(D148="totale",(C148/(A148*24))/F148,IF(D148="marché libre",(C148/(A148*24))/G148,"spécifier histo"))</f>
        <v>0.395295182426999</v>
      </c>
      <c r="F148" s="56" t="n">
        <v>3383</v>
      </c>
      <c r="G148" s="56" t="n">
        <f aca="false">F148-H148</f>
        <v>3383</v>
      </c>
      <c r="H148" s="56" t="n">
        <v>0</v>
      </c>
      <c r="J148" s="344"/>
      <c r="Q148" s="0"/>
    </row>
    <row r="149" customFormat="false" ht="19.85" hidden="false" customHeight="true" outlineLevel="0" collapsed="false">
      <c r="A149" s="1" t="n">
        <v>31</v>
      </c>
      <c r="B149" s="34" t="n">
        <v>41122</v>
      </c>
      <c r="C149" s="56" t="n">
        <v>478515</v>
      </c>
      <c r="D149" s="29" t="s">
        <v>41</v>
      </c>
      <c r="E149" s="33" t="n">
        <f aca="false">IF(D149="totale",(C149/(A149*24))/F149,IF(D149="marché libre",(C149/(A149*24))/G149,"spécifier histo"))</f>
        <v>0.190116855625375</v>
      </c>
      <c r="F149" s="56" t="n">
        <v>3383</v>
      </c>
      <c r="G149" s="56" t="n">
        <f aca="false">F149-H149</f>
        <v>3383</v>
      </c>
      <c r="H149" s="56" t="n">
        <v>0</v>
      </c>
      <c r="J149" s="344"/>
      <c r="Q149" s="0"/>
    </row>
    <row r="150" customFormat="false" ht="19.85" hidden="false" customHeight="true" outlineLevel="0" collapsed="false">
      <c r="A150" s="1" t="n">
        <v>30</v>
      </c>
      <c r="B150" s="31" t="n">
        <v>41153</v>
      </c>
      <c r="C150" s="56" t="n">
        <v>1531495</v>
      </c>
      <c r="D150" s="29" t="s">
        <v>41</v>
      </c>
      <c r="E150" s="33" t="n">
        <f aca="false">IF(D150="totale",(C150/(A150*24))/F150,IF(D150="marché libre",(C150/(A150*24))/G150,"spécifier histo"))</f>
        <v>0.628754474989326</v>
      </c>
      <c r="F150" s="56" t="n">
        <v>3383</v>
      </c>
      <c r="G150" s="56" t="n">
        <f aca="false">F150-H150</f>
        <v>3383</v>
      </c>
      <c r="H150" s="56" t="n">
        <v>0</v>
      </c>
      <c r="J150" s="344"/>
      <c r="Q150" s="0"/>
    </row>
    <row r="151" customFormat="false" ht="19.85" hidden="false" customHeight="true" outlineLevel="0" collapsed="false">
      <c r="A151" s="1" t="n">
        <v>31</v>
      </c>
      <c r="B151" s="34" t="n">
        <v>41183</v>
      </c>
      <c r="C151" s="56" t="n">
        <v>1094317</v>
      </c>
      <c r="D151" s="29" t="s">
        <v>41</v>
      </c>
      <c r="E151" s="33" t="n">
        <f aca="false">IF(D151="totale",(C151/(A151*24))/F151,IF(D151="marché libre",(C151/(A151*24))/G151,"spécifier histo"))</f>
        <v>0.434778652910345</v>
      </c>
      <c r="F151" s="56" t="n">
        <v>3383</v>
      </c>
      <c r="G151" s="56" t="n">
        <f aca="false">F151-H151</f>
        <v>3383</v>
      </c>
      <c r="H151" s="56" t="n">
        <v>0</v>
      </c>
      <c r="J151" s="344"/>
      <c r="Q151" s="0"/>
    </row>
    <row r="152" customFormat="false" ht="19.85" hidden="false" customHeight="true" outlineLevel="0" collapsed="false">
      <c r="A152" s="1" t="n">
        <v>30</v>
      </c>
      <c r="B152" s="31" t="n">
        <v>41214</v>
      </c>
      <c r="C152" s="56" t="n">
        <v>1717009</v>
      </c>
      <c r="D152" s="29" t="s">
        <v>41</v>
      </c>
      <c r="E152" s="33" t="n">
        <f aca="false">IF(D152="totale",(C152/(A152*24))/F152,IF(D152="marché libre",(C152/(A152*24))/G152,"spécifier histo"))</f>
        <v>0.704917151115053</v>
      </c>
      <c r="F152" s="56" t="n">
        <v>3383</v>
      </c>
      <c r="G152" s="56" t="n">
        <f aca="false">F152-H152</f>
        <v>3383</v>
      </c>
      <c r="H152" s="56" t="n">
        <v>0</v>
      </c>
      <c r="J152" s="344"/>
      <c r="Q152" s="0"/>
    </row>
    <row r="153" customFormat="false" ht="19.85" hidden="false" customHeight="true" outlineLevel="0" collapsed="false">
      <c r="A153" s="1" t="n">
        <v>31</v>
      </c>
      <c r="B153" s="34" t="n">
        <v>41244</v>
      </c>
      <c r="C153" s="56" t="n">
        <v>1726761</v>
      </c>
      <c r="D153" s="29" t="s">
        <v>41</v>
      </c>
      <c r="E153" s="33" t="n">
        <f aca="false">IF(D153="totale",(C153/(A153*24))/F153,IF(D153="marché libre",(C153/(A153*24))/G153,"spécifier histo"))</f>
        <v>0.686052415779085</v>
      </c>
      <c r="F153" s="56" t="n">
        <v>3383</v>
      </c>
      <c r="G153" s="56" t="n">
        <f aca="false">F153-H153</f>
        <v>3383</v>
      </c>
      <c r="H153" s="56" t="n">
        <v>0</v>
      </c>
      <c r="J153" s="344"/>
      <c r="Q153" s="0"/>
    </row>
    <row r="154" customFormat="false" ht="19.85" hidden="false" customHeight="true" outlineLevel="0" collapsed="false">
      <c r="A154" s="1" t="n">
        <v>31</v>
      </c>
      <c r="B154" s="31" t="n">
        <v>41275</v>
      </c>
      <c r="C154" s="56" t="n">
        <v>1210349</v>
      </c>
      <c r="D154" s="29" t="s">
        <v>41</v>
      </c>
      <c r="E154" s="33" t="n">
        <f aca="false">IF(D154="totale",(C154/(A154*24))/F154,IF(D154="marché libre",(C154/(A154*24))/G154,"spécifier histo"))</f>
        <v>0.480878856648836</v>
      </c>
      <c r="F154" s="56" t="n">
        <v>3383</v>
      </c>
      <c r="G154" s="56" t="n">
        <f aca="false">F154-H154</f>
        <v>3383</v>
      </c>
      <c r="H154" s="56" t="n">
        <v>0</v>
      </c>
      <c r="J154" s="344"/>
      <c r="Q154" s="0"/>
    </row>
    <row r="155" customFormat="false" ht="19.85" hidden="false" customHeight="true" outlineLevel="0" collapsed="false">
      <c r="A155" s="1" t="n">
        <v>28</v>
      </c>
      <c r="B155" s="34" t="n">
        <v>41306</v>
      </c>
      <c r="C155" s="56" t="n">
        <v>765010</v>
      </c>
      <c r="D155" s="29" t="s">
        <v>41</v>
      </c>
      <c r="E155" s="33" t="n">
        <f aca="false">IF(D155="totale",(C155/(A155*24))/F155,IF(D155="marché libre",(C155/(A155*24))/G155,"spécifier histo"))</f>
        <v>0.336508347057416</v>
      </c>
      <c r="F155" s="56" t="n">
        <v>3383</v>
      </c>
      <c r="G155" s="56" t="n">
        <f aca="false">F155-H155</f>
        <v>3383</v>
      </c>
      <c r="H155" s="56" t="n">
        <v>0</v>
      </c>
      <c r="J155" s="344"/>
      <c r="Q155" s="0"/>
    </row>
    <row r="156" customFormat="false" ht="19.85" hidden="false" customHeight="true" outlineLevel="0" collapsed="false">
      <c r="A156" s="1" t="n">
        <v>31</v>
      </c>
      <c r="B156" s="31" t="n">
        <v>41334</v>
      </c>
      <c r="C156" s="56" t="n">
        <v>805849</v>
      </c>
      <c r="D156" s="29" t="s">
        <v>41</v>
      </c>
      <c r="E156" s="33" t="n">
        <f aca="false">IF(D156="totale",(C156/(A156*24))/F156,IF(D156="marché libre",(C156/(A156*24))/G156,"spécifier histo"))</f>
        <v>0.320168600752021</v>
      </c>
      <c r="F156" s="56" t="n">
        <v>3383</v>
      </c>
      <c r="G156" s="56" t="n">
        <f aca="false">F156-H156</f>
        <v>3383</v>
      </c>
      <c r="H156" s="56" t="n">
        <v>0</v>
      </c>
      <c r="J156" s="344"/>
      <c r="Q156" s="0"/>
    </row>
    <row r="157" customFormat="false" ht="19.85" hidden="false" customHeight="true" outlineLevel="0" collapsed="false">
      <c r="A157" s="1" t="n">
        <v>30</v>
      </c>
      <c r="B157" s="34" t="n">
        <v>41365</v>
      </c>
      <c r="C157" s="56" t="n">
        <v>1560332</v>
      </c>
      <c r="D157" s="29" t="s">
        <v>41</v>
      </c>
      <c r="E157" s="33" t="n">
        <f aca="false">IF(D157="totale",(C157/(A157*24))/F157,IF(D157="marché libre",(C157/(A157*24))/G157,"spécifier histo"))</f>
        <v>0.640593490327454</v>
      </c>
      <c r="F157" s="56" t="n">
        <v>3383</v>
      </c>
      <c r="G157" s="56" t="n">
        <f aca="false">F157-H157</f>
        <v>3383</v>
      </c>
      <c r="H157" s="56" t="n">
        <v>0</v>
      </c>
      <c r="J157" s="344"/>
      <c r="Q157" s="0"/>
    </row>
    <row r="158" customFormat="false" ht="19.85" hidden="false" customHeight="true" outlineLevel="0" collapsed="false">
      <c r="A158" s="1" t="n">
        <v>31</v>
      </c>
      <c r="B158" s="31" t="n">
        <v>41395</v>
      </c>
      <c r="C158" s="56" t="n">
        <v>1965622</v>
      </c>
      <c r="D158" s="29" t="s">
        <v>41</v>
      </c>
      <c r="E158" s="33" t="n">
        <f aca="false">IF(D158="totale",(C158/(A158*24))/F158,IF(D158="marché libre",(C158/(A158*24))/G158,"spécifier histo"))</f>
        <v>0.780953311783459</v>
      </c>
      <c r="F158" s="56" t="n">
        <v>3383</v>
      </c>
      <c r="G158" s="56" t="n">
        <f aca="false">F158-H158</f>
        <v>3383</v>
      </c>
      <c r="H158" s="56" t="n">
        <v>0</v>
      </c>
      <c r="J158" s="344"/>
      <c r="Q158" s="0"/>
    </row>
    <row r="159" customFormat="false" ht="19.85" hidden="false" customHeight="true" outlineLevel="0" collapsed="false">
      <c r="A159" s="1" t="n">
        <v>30</v>
      </c>
      <c r="B159" s="34" t="n">
        <v>41426</v>
      </c>
      <c r="C159" s="56" t="n">
        <v>1871499</v>
      </c>
      <c r="D159" s="29" t="s">
        <v>41</v>
      </c>
      <c r="E159" s="33" t="n">
        <f aca="false">IF(D159="totale",(C159/(A159*24))/F159,IF(D159="marché libre",(C159/(A159*24))/G159,"spécifier histo"))</f>
        <v>0.768342940191152</v>
      </c>
      <c r="F159" s="56" t="n">
        <v>3383</v>
      </c>
      <c r="G159" s="56" t="n">
        <f aca="false">F159-H159</f>
        <v>3383</v>
      </c>
      <c r="H159" s="56" t="n">
        <v>0</v>
      </c>
      <c r="J159" s="344"/>
    </row>
    <row r="160" customFormat="false" ht="19.85" hidden="false" customHeight="true" outlineLevel="0" collapsed="false">
      <c r="A160" s="1" t="n">
        <v>31</v>
      </c>
      <c r="B160" s="31" t="n">
        <v>41456</v>
      </c>
      <c r="C160" s="56" t="n">
        <v>1932260</v>
      </c>
      <c r="D160" s="29" t="s">
        <v>41</v>
      </c>
      <c r="E160" s="33" t="n">
        <f aca="false">IF(D160="totale",(C160/(A160*24))/F160,IF(D160="marché libre",(C160/(A160*24))/G160,"spécifier histo"))</f>
        <v>0.767698390751989</v>
      </c>
      <c r="F160" s="56" t="n">
        <v>3383</v>
      </c>
      <c r="G160" s="56" t="n">
        <f aca="false">F160-H160</f>
        <v>3383</v>
      </c>
      <c r="H160" s="56" t="n">
        <v>0</v>
      </c>
      <c r="J160" s="344"/>
    </row>
    <row r="161" customFormat="false" ht="19.85" hidden="false" customHeight="true" outlineLevel="0" collapsed="false">
      <c r="A161" s="1" t="n">
        <v>31</v>
      </c>
      <c r="B161" s="34" t="n">
        <v>41487</v>
      </c>
      <c r="C161" s="56" t="n">
        <v>1574194</v>
      </c>
      <c r="D161" s="29" t="s">
        <v>41</v>
      </c>
      <c r="E161" s="33" t="n">
        <f aca="false">IF(D161="totale",(C161/(A161*24))/F161,IF(D161="marché libre",(C161/(A161*24))/G161,"spécifier histo"))</f>
        <v>0.625436639236664</v>
      </c>
      <c r="F161" s="56" t="n">
        <v>3383</v>
      </c>
      <c r="G161" s="56" t="n">
        <f aca="false">F161-H161</f>
        <v>3383</v>
      </c>
      <c r="H161" s="56" t="n">
        <v>0</v>
      </c>
      <c r="J161" s="344"/>
    </row>
    <row r="162" customFormat="false" ht="19.85" hidden="false" customHeight="true" outlineLevel="0" collapsed="false">
      <c r="A162" s="1" t="n">
        <v>30</v>
      </c>
      <c r="B162" s="31" t="n">
        <v>41518</v>
      </c>
      <c r="C162" s="56" t="n">
        <v>640259</v>
      </c>
      <c r="D162" s="29" t="s">
        <v>41</v>
      </c>
      <c r="E162" s="33" t="n">
        <f aca="false">IF(D162="totale",(C162/(A162*24))/F162,IF(D162="marché libre",(C162/(A162*24))/G162,"spécifier histo"))</f>
        <v>0.262857999146057</v>
      </c>
      <c r="F162" s="56" t="n">
        <v>3383</v>
      </c>
      <c r="G162" s="56" t="n">
        <f aca="false">F162-H162</f>
        <v>3383</v>
      </c>
      <c r="H162" s="56" t="n">
        <v>0</v>
      </c>
      <c r="J162" s="344"/>
    </row>
    <row r="163" customFormat="false" ht="19.85" hidden="false" customHeight="true" outlineLevel="0" collapsed="false">
      <c r="A163" s="1" t="n">
        <v>31</v>
      </c>
      <c r="B163" s="34" t="n">
        <v>41548</v>
      </c>
      <c r="C163" s="56" t="n">
        <v>819636</v>
      </c>
      <c r="D163" s="29" t="s">
        <v>41</v>
      </c>
      <c r="E163" s="33" t="n">
        <f aca="false">IF(D163="totale",(C163/(A163*24))/F163,IF(D163="marché libre",(C163/(A163*24))/G163,"spécifier histo"))</f>
        <v>0.325646257854739</v>
      </c>
      <c r="F163" s="56" t="n">
        <v>3383</v>
      </c>
      <c r="G163" s="56" t="n">
        <f aca="false">F163-H163</f>
        <v>3383</v>
      </c>
      <c r="H163" s="56" t="n">
        <v>0</v>
      </c>
      <c r="J163" s="344"/>
    </row>
    <row r="164" customFormat="false" ht="19.85" hidden="false" customHeight="true" outlineLevel="0" collapsed="false">
      <c r="A164" s="1" t="n">
        <v>30</v>
      </c>
      <c r="B164" s="31" t="n">
        <v>41579</v>
      </c>
      <c r="C164" s="56" t="n">
        <v>799195</v>
      </c>
      <c r="D164" s="29" t="s">
        <v>41</v>
      </c>
      <c r="E164" s="33" t="n">
        <f aca="false">IF(D164="totale",(C164/(A164*24))/F164,IF(D164="marché libre",(C164/(A164*24))/G164,"spécifier histo"))</f>
        <v>0.328109091207672</v>
      </c>
      <c r="F164" s="56" t="n">
        <v>3383</v>
      </c>
      <c r="G164" s="56" t="n">
        <f aca="false">F164-H164</f>
        <v>3383</v>
      </c>
      <c r="H164" s="56" t="n">
        <v>0</v>
      </c>
      <c r="J164" s="0"/>
    </row>
    <row r="165" customFormat="false" ht="19.85" hidden="false" customHeight="true" outlineLevel="0" collapsed="false">
      <c r="A165" s="1" t="n">
        <v>31</v>
      </c>
      <c r="B165" s="34" t="n">
        <v>41609</v>
      </c>
      <c r="C165" s="56" t="n">
        <v>886153</v>
      </c>
      <c r="D165" s="29" t="s">
        <v>41</v>
      </c>
      <c r="E165" s="33" t="n">
        <f aca="false">IF(D165="totale",(C165/(A165*24))/F165,IF(D165="marché libre",(C165/(A165*24))/G165,"spécifier histo"))</f>
        <v>0.352073857586478</v>
      </c>
      <c r="F165" s="56" t="n">
        <v>3383</v>
      </c>
      <c r="G165" s="56" t="n">
        <f aca="false">F165-H165</f>
        <v>3383</v>
      </c>
      <c r="H165" s="56" t="n">
        <v>0</v>
      </c>
      <c r="J165" s="0"/>
    </row>
    <row r="166" customFormat="false" ht="19.85" hidden="false" customHeight="true" outlineLevel="0" collapsed="false">
      <c r="A166" s="1" t="n">
        <v>31</v>
      </c>
      <c r="B166" s="31" t="n">
        <v>41640</v>
      </c>
      <c r="C166" s="75" t="n">
        <v>1155571</v>
      </c>
      <c r="D166" s="29" t="s">
        <v>41</v>
      </c>
      <c r="E166" s="33" t="n">
        <f aca="false">IF(D166="totale",(C166/(A166*24))/F166,IF(D166="marché libre",(C166/(A166*24))/G166,"spécifier histo"))</f>
        <v>0.459115231438661</v>
      </c>
      <c r="F166" s="56" t="n">
        <v>3383</v>
      </c>
      <c r="G166" s="56" t="n">
        <f aca="false">F166-H166</f>
        <v>3383</v>
      </c>
      <c r="H166" s="56" t="n">
        <v>0</v>
      </c>
      <c r="J166" s="0"/>
      <c r="L166" s="289"/>
      <c r="M166" s="348"/>
      <c r="N166" s="348"/>
    </row>
    <row r="167" customFormat="false" ht="19.85" hidden="false" customHeight="true" outlineLevel="0" collapsed="false">
      <c r="A167" s="1" t="n">
        <v>28</v>
      </c>
      <c r="B167" s="34" t="n">
        <v>41671</v>
      </c>
      <c r="C167" s="75" t="n">
        <v>856461</v>
      </c>
      <c r="D167" s="29" t="s">
        <v>41</v>
      </c>
      <c r="E167" s="33" t="n">
        <f aca="false">IF(D167="totale",(C167/(A167*24))/F167,IF(D167="marché libre",(C167/(A167*24))/G167,"spécifier histo"))</f>
        <v>0.376735304674634</v>
      </c>
      <c r="F167" s="56" t="n">
        <v>3383</v>
      </c>
      <c r="G167" s="56" t="n">
        <f aca="false">F167-H167</f>
        <v>3383</v>
      </c>
      <c r="H167" s="56" t="n">
        <v>0</v>
      </c>
      <c r="J167" s="0"/>
      <c r="L167" s="289"/>
      <c r="M167" s="0"/>
      <c r="N167" s="0"/>
    </row>
    <row r="168" customFormat="false" ht="19.85" hidden="false" customHeight="true" outlineLevel="0" collapsed="false">
      <c r="A168" s="1" t="n">
        <v>31</v>
      </c>
      <c r="B168" s="31" t="n">
        <v>41699</v>
      </c>
      <c r="C168" s="75" t="n">
        <v>1490500</v>
      </c>
      <c r="D168" s="29" t="s">
        <v>41</v>
      </c>
      <c r="E168" s="33" t="n">
        <f aca="false">IF(D168="totale",(C168/(A168*24))/F168,IF(D168="marché libre",(C168/(A168*24))/G168,"spécifier histo"))</f>
        <v>0.592184515239067</v>
      </c>
      <c r="F168" s="56" t="n">
        <v>3383</v>
      </c>
      <c r="G168" s="56" t="n">
        <f aca="false">F168-H168</f>
        <v>3383</v>
      </c>
      <c r="H168" s="56" t="n">
        <v>0</v>
      </c>
      <c r="J168" s="0"/>
      <c r="L168" s="348"/>
      <c r="M168" s="0"/>
      <c r="N168" s="0"/>
    </row>
    <row r="169" customFormat="false" ht="19.85" hidden="false" customHeight="true" outlineLevel="0" collapsed="false">
      <c r="A169" s="1" t="n">
        <v>30</v>
      </c>
      <c r="B169" s="34" t="n">
        <v>41730</v>
      </c>
      <c r="C169" s="75" t="n">
        <v>1941105</v>
      </c>
      <c r="D169" s="29" t="s">
        <v>41</v>
      </c>
      <c r="E169" s="33" t="n">
        <f aca="false">IF(D169="totale",(C169/(A169*24))/F169,IF(D169="marché libre",(C169/(A169*24))/G169,"spécifier histo"))</f>
        <v>0.796919647255887</v>
      </c>
      <c r="F169" s="56" t="n">
        <v>3383</v>
      </c>
      <c r="G169" s="56" t="n">
        <f aca="false">F169-H169</f>
        <v>3383</v>
      </c>
      <c r="H169" s="56" t="n">
        <v>0</v>
      </c>
      <c r="J169" s="0"/>
      <c r="L169" s="348"/>
      <c r="M169" s="0"/>
      <c r="N169" s="0"/>
    </row>
    <row r="170" customFormat="false" ht="19.85" hidden="false" customHeight="true" outlineLevel="0" collapsed="false">
      <c r="A170" s="1" t="n">
        <v>31</v>
      </c>
      <c r="B170" s="31" t="n">
        <v>41760</v>
      </c>
      <c r="C170" s="75" t="n">
        <v>1981743</v>
      </c>
      <c r="D170" s="29" t="s">
        <v>41</v>
      </c>
      <c r="E170" s="33" t="n">
        <f aca="false">IF(D170="totale",(C170/(A170*24))/F170,IF(D170="marché libre",(C170/(A170*24))/G170,"spécifier histo"))</f>
        <v>0.787358280968409</v>
      </c>
      <c r="F170" s="56" t="n">
        <v>3383</v>
      </c>
      <c r="G170" s="56" t="n">
        <f aca="false">F170-H170</f>
        <v>3383</v>
      </c>
      <c r="H170" s="56" t="n">
        <v>0</v>
      </c>
      <c r="J170" s="0"/>
      <c r="L170" s="348"/>
      <c r="M170" s="0"/>
      <c r="N170" s="0"/>
    </row>
    <row r="171" customFormat="false" ht="19.85" hidden="false" customHeight="true" outlineLevel="0" collapsed="false">
      <c r="A171" s="1" t="n">
        <v>30</v>
      </c>
      <c r="B171" s="34" t="n">
        <v>41791</v>
      </c>
      <c r="C171" s="75" t="n">
        <v>1737908</v>
      </c>
      <c r="D171" s="29" t="s">
        <v>41</v>
      </c>
      <c r="E171" s="33" t="n">
        <f aca="false">IF(D171="totale",(C171/(A171*24))/F171,IF(D171="marché libre",(C171/(A171*24))/G171,"spécifier histo"))</f>
        <v>0.713497224685519</v>
      </c>
      <c r="F171" s="56" t="n">
        <v>3383</v>
      </c>
      <c r="G171" s="56" t="n">
        <f aca="false">F171-H171</f>
        <v>3383</v>
      </c>
      <c r="H171" s="56" t="n">
        <v>0</v>
      </c>
      <c r="J171" s="0"/>
      <c r="L171" s="348"/>
      <c r="M171" s="0"/>
      <c r="N171" s="0"/>
    </row>
    <row r="172" customFormat="false" ht="19.85" hidden="false" customHeight="true" outlineLevel="0" collapsed="false">
      <c r="A172" s="1" t="n">
        <v>31</v>
      </c>
      <c r="B172" s="31" t="n">
        <v>41821</v>
      </c>
      <c r="C172" s="75" t="n">
        <v>1824490</v>
      </c>
      <c r="D172" s="29" t="s">
        <v>41</v>
      </c>
      <c r="E172" s="33" t="n">
        <f aca="false">IF(D172="totale",(C172/(A172*24))/F172,IF(D172="marché libre",(C172/(A172*24))/G172,"spécifier histo"))</f>
        <v>0.724880728754462</v>
      </c>
      <c r="F172" s="56" t="n">
        <v>3383</v>
      </c>
      <c r="G172" s="56" t="n">
        <f aca="false">F172-H172</f>
        <v>3383</v>
      </c>
      <c r="H172" s="56" t="n">
        <v>0</v>
      </c>
      <c r="J172" s="0"/>
      <c r="L172" s="348"/>
      <c r="M172" s="0"/>
      <c r="N172" s="0"/>
    </row>
    <row r="173" customFormat="false" ht="19.85" hidden="false" customHeight="true" outlineLevel="0" collapsed="false">
      <c r="A173" s="1" t="n">
        <v>31</v>
      </c>
      <c r="B173" s="34" t="n">
        <v>41852</v>
      </c>
      <c r="C173" s="75" t="n">
        <v>1358878</v>
      </c>
      <c r="D173" s="29" t="s">
        <v>41</v>
      </c>
      <c r="E173" s="33" t="n">
        <f aca="false">IF(D173="totale",(C173/(A173*24))/F173,IF(D173="marché libre",(C173/(A173*24))/G173,"spécifier histo"))</f>
        <v>0.539890311773923</v>
      </c>
      <c r="F173" s="56" t="n">
        <v>3383</v>
      </c>
      <c r="G173" s="56" t="n">
        <f aca="false">F173-H173</f>
        <v>3383</v>
      </c>
      <c r="H173" s="56" t="n">
        <v>0</v>
      </c>
      <c r="J173" s="0"/>
      <c r="L173" s="348"/>
      <c r="M173" s="0"/>
      <c r="N173" s="0"/>
    </row>
    <row r="174" customFormat="false" ht="19.85" hidden="false" customHeight="true" outlineLevel="0" collapsed="false">
      <c r="A174" s="1" t="n">
        <v>30</v>
      </c>
      <c r="B174" s="31" t="n">
        <v>41883</v>
      </c>
      <c r="C174" s="75" t="n">
        <v>786854</v>
      </c>
      <c r="D174" s="29" t="s">
        <v>41</v>
      </c>
      <c r="E174" s="33" t="n">
        <f aca="false">IF(D174="totale",(C174/(A174*24))/F174,IF(D174="marché libre",(C174/(A174*24))/G174,"spécifier histo"))</f>
        <v>0.32304250008211</v>
      </c>
      <c r="F174" s="56" t="n">
        <v>3383</v>
      </c>
      <c r="G174" s="56" t="n">
        <f aca="false">F174-H174</f>
        <v>3383</v>
      </c>
      <c r="H174" s="56" t="n">
        <v>0</v>
      </c>
      <c r="J174" s="0"/>
      <c r="L174" s="348"/>
      <c r="M174" s="0"/>
      <c r="N174" s="0"/>
    </row>
    <row r="175" customFormat="false" ht="19.85" hidden="false" customHeight="true" outlineLevel="0" collapsed="false">
      <c r="A175" s="1" t="n">
        <v>31</v>
      </c>
      <c r="B175" s="34" t="n">
        <v>41913</v>
      </c>
      <c r="C175" s="75" t="n">
        <v>1035133</v>
      </c>
      <c r="D175" s="29" t="s">
        <v>41</v>
      </c>
      <c r="E175" s="33" t="n">
        <f aca="false">IF(D175="totale",(C175/(A175*24))/F175,IF(D175="marché libre",(C175/(A175*24))/G175,"spécifier histo"))</f>
        <v>0.411264497694036</v>
      </c>
      <c r="F175" s="56" t="n">
        <v>3383</v>
      </c>
      <c r="G175" s="56" t="n">
        <f aca="false">F175-H175</f>
        <v>3383</v>
      </c>
      <c r="H175" s="56" t="n">
        <v>0</v>
      </c>
      <c r="J175" s="0"/>
      <c r="L175" s="348"/>
      <c r="M175" s="0"/>
      <c r="N175" s="0"/>
    </row>
    <row r="176" customFormat="false" ht="19.85" hidden="false" customHeight="true" outlineLevel="0" collapsed="false">
      <c r="A176" s="1" t="n">
        <v>30</v>
      </c>
      <c r="B176" s="31" t="n">
        <v>41944</v>
      </c>
      <c r="C176" s="75" t="n">
        <v>1552975</v>
      </c>
      <c r="D176" s="29" t="s">
        <v>41</v>
      </c>
      <c r="E176" s="33" t="n">
        <f aca="false">IF(D176="totale",(C176/(A176*24))/F176,IF(D176="marché libre",(C176/(A176*24))/G176,"spécifier histo"))</f>
        <v>0.637573077807337</v>
      </c>
      <c r="F176" s="56" t="n">
        <v>3383</v>
      </c>
      <c r="G176" s="56" t="n">
        <f aca="false">F176-H176</f>
        <v>3383</v>
      </c>
      <c r="H176" s="56" t="n">
        <v>0</v>
      </c>
      <c r="J176" s="0"/>
      <c r="K176" s="0"/>
      <c r="L176" s="0"/>
      <c r="M176" s="0"/>
      <c r="N176" s="0"/>
    </row>
    <row r="177" customFormat="false" ht="19.85" hidden="false" customHeight="true" outlineLevel="0" collapsed="false">
      <c r="A177" s="1" t="n">
        <v>31</v>
      </c>
      <c r="B177" s="34" t="n">
        <v>41974</v>
      </c>
      <c r="C177" s="75" t="n">
        <v>1835524</v>
      </c>
      <c r="D177" s="29" t="s">
        <v>41</v>
      </c>
      <c r="E177" s="33" t="n">
        <f aca="false">IF(D177="totale",(C177/(A177*24))/F177,IF(D177="marché libre",(C177/(A177*24))/G177,"spécifier histo"))</f>
        <v>0.729264602582806</v>
      </c>
      <c r="F177" s="56" t="n">
        <v>3383</v>
      </c>
      <c r="G177" s="56" t="n">
        <f aca="false">F177-H177</f>
        <v>3383</v>
      </c>
      <c r="H177" s="56" t="n">
        <v>0</v>
      </c>
      <c r="J177" s="0"/>
      <c r="K177" s="0"/>
      <c r="L177" s="0"/>
      <c r="M177" s="0"/>
      <c r="N177" s="0"/>
    </row>
    <row r="178" customFormat="false" ht="19.85" hidden="false" customHeight="true" outlineLevel="0" collapsed="false">
      <c r="A178" s="1" t="n">
        <v>31</v>
      </c>
      <c r="B178" s="31" t="n">
        <v>42005</v>
      </c>
      <c r="C178" s="56" t="n">
        <v>1245864</v>
      </c>
      <c r="D178" s="29" t="s">
        <v>41</v>
      </c>
      <c r="E178" s="33" t="n">
        <f aca="false">IF(D178="totale",(C178/(A178*24))/F178,IF(D178="marché libre",(C178/(A178*24))/G178,"spécifier histo"))</f>
        <v>0.494989177385981</v>
      </c>
      <c r="F178" s="56" t="n">
        <v>3383</v>
      </c>
      <c r="G178" s="56" t="n">
        <f aca="false">F178-H178</f>
        <v>3383</v>
      </c>
      <c r="H178" s="56" t="n">
        <v>0</v>
      </c>
      <c r="J178" s="9" t="s">
        <v>514</v>
      </c>
      <c r="L178" s="348"/>
      <c r="M178" s="0"/>
      <c r="N178" s="0"/>
    </row>
    <row r="179" customFormat="false" ht="19.85" hidden="false" customHeight="true" outlineLevel="0" collapsed="false">
      <c r="A179" s="1" t="n">
        <v>28</v>
      </c>
      <c r="B179" s="34" t="n">
        <v>42036</v>
      </c>
      <c r="C179" s="56" t="n">
        <v>757279</v>
      </c>
      <c r="D179" s="29" t="s">
        <v>41</v>
      </c>
      <c r="E179" s="33" t="n">
        <f aca="false">IF(D179="totale",(C179/(A179*24))/F179,IF(D179="marché libre",(C179/(A179*24))/G179,"spécifier histo"))</f>
        <v>0.333107677744465</v>
      </c>
      <c r="F179" s="56" t="n">
        <v>3383</v>
      </c>
      <c r="G179" s="56" t="n">
        <f aca="false">F179-H179</f>
        <v>3383</v>
      </c>
      <c r="H179" s="56" t="n">
        <v>0</v>
      </c>
      <c r="J179" s="9" t="s">
        <v>514</v>
      </c>
      <c r="L179" s="348"/>
      <c r="M179" s="0"/>
      <c r="N179" s="0"/>
    </row>
    <row r="180" customFormat="false" ht="19.85" hidden="false" customHeight="true" outlineLevel="0" collapsed="false">
      <c r="A180" s="1" t="n">
        <v>31</v>
      </c>
      <c r="B180" s="31" t="n">
        <v>42064</v>
      </c>
      <c r="C180" s="56" t="n">
        <v>952409</v>
      </c>
      <c r="D180" s="29" t="s">
        <v>41</v>
      </c>
      <c r="E180" s="33" t="n">
        <f aca="false">IF(D180="totale",(C180/(A180*24))/F180,IF(D180="marché libre",(C180/(A180*24))/G180,"spécifier histo"))</f>
        <v>0.378397760465833</v>
      </c>
      <c r="F180" s="56" t="n">
        <v>3383</v>
      </c>
      <c r="G180" s="56" t="n">
        <f aca="false">F180-H180</f>
        <v>3383</v>
      </c>
      <c r="H180" s="56" t="n">
        <v>0</v>
      </c>
      <c r="J180" s="9" t="s">
        <v>514</v>
      </c>
    </row>
    <row r="181" customFormat="false" ht="19.85" hidden="false" customHeight="true" outlineLevel="0" collapsed="false">
      <c r="A181" s="1" t="n">
        <v>30</v>
      </c>
      <c r="B181" s="34" t="n">
        <v>42095</v>
      </c>
      <c r="C181" s="56" t="n">
        <v>405639</v>
      </c>
      <c r="D181" s="29" t="s">
        <v>41</v>
      </c>
      <c r="E181" s="33" t="n">
        <f aca="false">IF(D181="totale",(C181/(A181*24))/F181,IF(D181="marché libre",(C181/(A181*24))/G181,"spécifier histo"))</f>
        <v>0.166534880283772</v>
      </c>
      <c r="F181" s="56" t="n">
        <v>3383</v>
      </c>
      <c r="G181" s="56" t="n">
        <f aca="false">F181-H181</f>
        <v>3383</v>
      </c>
      <c r="H181" s="56" t="n">
        <v>0</v>
      </c>
      <c r="J181" s="9" t="s">
        <v>514</v>
      </c>
    </row>
    <row r="182" customFormat="false" ht="19.85" hidden="false" customHeight="true" outlineLevel="0" collapsed="false">
      <c r="A182" s="1" t="n">
        <v>31</v>
      </c>
      <c r="B182" s="31" t="n">
        <v>42125</v>
      </c>
      <c r="C182" s="56" t="n">
        <v>1985911</v>
      </c>
      <c r="D182" s="29" t="s">
        <v>41</v>
      </c>
      <c r="E182" s="33" t="n">
        <f aca="false">IF(D182="totale",(C182/(A182*24))/F182,IF(D182="marché libre",(C182/(A182*24))/G182,"spécifier histo"))</f>
        <v>0.789014252158961</v>
      </c>
      <c r="F182" s="56" t="n">
        <v>3383</v>
      </c>
      <c r="G182" s="56" t="n">
        <f aca="false">F182-H182</f>
        <v>3383</v>
      </c>
      <c r="H182" s="56" t="n">
        <v>0</v>
      </c>
      <c r="J182" s="9" t="s">
        <v>514</v>
      </c>
    </row>
    <row r="183" customFormat="false" ht="19.85" hidden="false" customHeight="true" outlineLevel="0" collapsed="false">
      <c r="A183" s="1" t="n">
        <v>30</v>
      </c>
      <c r="B183" s="34" t="n">
        <v>42156</v>
      </c>
      <c r="C183" s="56" t="n">
        <v>1615595</v>
      </c>
      <c r="D183" s="29" t="s">
        <v>41</v>
      </c>
      <c r="E183" s="33" t="n">
        <f aca="false">IF(D183="totale",(C183/(A183*24))/F183,IF(D183="marché libre",(C183/(A183*24))/G183,"spécifier histo"))</f>
        <v>0.663281686208822</v>
      </c>
      <c r="F183" s="56" t="n">
        <v>3383</v>
      </c>
      <c r="G183" s="56" t="n">
        <f aca="false">F183-H183</f>
        <v>3383</v>
      </c>
      <c r="H183" s="56" t="n">
        <v>0</v>
      </c>
      <c r="J183" s="9" t="s">
        <v>514</v>
      </c>
    </row>
    <row r="184" customFormat="false" ht="19.85" hidden="false" customHeight="true" outlineLevel="0" collapsed="false">
      <c r="A184" s="1" t="n">
        <v>31</v>
      </c>
      <c r="B184" s="31" t="n">
        <v>42186</v>
      </c>
      <c r="C184" s="56" t="n">
        <v>951442</v>
      </c>
      <c r="D184" s="29" t="s">
        <v>41</v>
      </c>
      <c r="E184" s="33" t="n">
        <f aca="false">IF(D184="totale",(C184/(A184*24))/F184,IF(D184="marché libre",(C184/(A184*24))/G184,"spécifier histo"))</f>
        <v>0.378013565614283</v>
      </c>
      <c r="F184" s="56" t="n">
        <v>3383</v>
      </c>
      <c r="G184" s="56" t="n">
        <f aca="false">F184-H184</f>
        <v>3383</v>
      </c>
      <c r="H184" s="56" t="n">
        <v>0</v>
      </c>
      <c r="J184" s="9" t="s">
        <v>514</v>
      </c>
      <c r="K184" s="0"/>
      <c r="L184" s="0"/>
      <c r="M184" s="0"/>
    </row>
    <row r="185" customFormat="false" ht="19.85" hidden="false" customHeight="true" outlineLevel="0" collapsed="false">
      <c r="A185" s="1" t="n">
        <v>31</v>
      </c>
      <c r="B185" s="34" t="n">
        <v>42217</v>
      </c>
      <c r="C185" s="56" t="n">
        <v>686143</v>
      </c>
      <c r="D185" s="29" t="s">
        <v>41</v>
      </c>
      <c r="E185" s="33" t="n">
        <f aca="false">IF(D185="totale",(C185/(A185*24))/F185,IF(D185="marché libre",(C185/(A185*24))/G185,"spécifier histo"))</f>
        <v>0.272608694961207</v>
      </c>
      <c r="F185" s="56" t="n">
        <v>3383</v>
      </c>
      <c r="G185" s="56" t="n">
        <f aca="false">F185-H185</f>
        <v>3383</v>
      </c>
      <c r="H185" s="56" t="n">
        <v>0</v>
      </c>
      <c r="I185" s="26"/>
      <c r="J185" s="9" t="s">
        <v>514</v>
      </c>
      <c r="K185" s="0"/>
      <c r="L185" s="0"/>
      <c r="M185" s="0"/>
    </row>
    <row r="186" customFormat="false" ht="19.85" hidden="false" customHeight="true" outlineLevel="0" collapsed="false">
      <c r="A186" s="1" t="n">
        <v>30</v>
      </c>
      <c r="B186" s="31" t="n">
        <v>42248</v>
      </c>
      <c r="C186" s="56" t="n">
        <v>593278</v>
      </c>
      <c r="D186" s="29" t="s">
        <v>41</v>
      </c>
      <c r="E186" s="33" t="n">
        <f aca="false">IF(D186="totale",(C186/(A186*24))/F186,IF(D186="marché libre",(C186/(A186*24))/G186,"spécifier histo"))</f>
        <v>0.243569974053273</v>
      </c>
      <c r="F186" s="56" t="n">
        <v>3383</v>
      </c>
      <c r="G186" s="56" t="n">
        <f aca="false">F186-H186</f>
        <v>3383</v>
      </c>
      <c r="H186" s="56" t="n">
        <v>0</v>
      </c>
      <c r="I186" s="26"/>
      <c r="J186" s="9" t="s">
        <v>514</v>
      </c>
      <c r="K186" s="349" t="s">
        <v>515</v>
      </c>
      <c r="L186" s="349"/>
      <c r="M186" s="349"/>
    </row>
    <row r="187" customFormat="false" ht="19.85" hidden="false" customHeight="true" outlineLevel="0" collapsed="false">
      <c r="A187" s="1" t="n">
        <v>31</v>
      </c>
      <c r="B187" s="34" t="n">
        <v>42278</v>
      </c>
      <c r="C187" s="56" t="n">
        <v>1009169</v>
      </c>
      <c r="D187" s="29" t="s">
        <v>41</v>
      </c>
      <c r="E187" s="33" t="n">
        <f aca="false">IF(D187="totale",(C187/(A187*24))/F187,IF(D187="marché libre",(C187/(A187*24))/G187,"spécifier histo"))</f>
        <v>0.400948846064605</v>
      </c>
      <c r="F187" s="350" t="n">
        <v>3383</v>
      </c>
      <c r="G187" s="350" t="n">
        <f aca="false">F187-H187</f>
        <v>2983</v>
      </c>
      <c r="H187" s="350" t="n">
        <v>400</v>
      </c>
      <c r="I187" s="351" t="s">
        <v>516</v>
      </c>
      <c r="J187" s="0"/>
      <c r="K187" s="352" t="n">
        <v>42299</v>
      </c>
      <c r="L187" s="353"/>
      <c r="M187" s="354"/>
    </row>
    <row r="188" customFormat="false" ht="19.85" hidden="false" customHeight="true" outlineLevel="0" collapsed="false">
      <c r="A188" s="1" t="n">
        <v>30</v>
      </c>
      <c r="B188" s="31" t="n">
        <v>42309</v>
      </c>
      <c r="C188" s="56" t="n">
        <v>1103488</v>
      </c>
      <c r="D188" s="29" t="s">
        <v>41</v>
      </c>
      <c r="E188" s="33" t="n">
        <f aca="false">IF(D188="totale",(C188/(A188*24))/F188,IF(D188="marché libre",(C188/(A188*24))/G188,"spécifier histo"))</f>
        <v>0.453036423949814</v>
      </c>
      <c r="F188" s="56" t="n">
        <v>3383</v>
      </c>
      <c r="G188" s="56" t="n">
        <f aca="false">F188-H188</f>
        <v>2983</v>
      </c>
      <c r="H188" s="56" t="n">
        <v>400</v>
      </c>
      <c r="J188" s="0"/>
      <c r="K188" s="355" t="s">
        <v>517</v>
      </c>
      <c r="L188" s="355"/>
      <c r="M188" s="355"/>
    </row>
    <row r="189" customFormat="false" ht="19.85" hidden="false" customHeight="true" outlineLevel="0" collapsed="false">
      <c r="A189" s="1" t="n">
        <v>31</v>
      </c>
      <c r="B189" s="34" t="n">
        <v>42339</v>
      </c>
      <c r="C189" s="56" t="n">
        <v>666817</v>
      </c>
      <c r="D189" s="29" t="s">
        <v>41</v>
      </c>
      <c r="E189" s="33" t="n">
        <f aca="false">IF(D189="totale",(C189/(A189*24))/F189,IF(D189="marché libre",(C189/(A189*24))/G189,"spécifier histo"))</f>
        <v>0.264930360213465</v>
      </c>
      <c r="F189" s="56" t="n">
        <v>3383</v>
      </c>
      <c r="G189" s="56" t="n">
        <f aca="false">F189-H189</f>
        <v>2983</v>
      </c>
      <c r="H189" s="56" t="n">
        <v>400</v>
      </c>
      <c r="J189" s="0"/>
      <c r="K189" s="355" t="s">
        <v>518</v>
      </c>
      <c r="L189" s="355"/>
      <c r="M189" s="355"/>
    </row>
    <row r="190" customFormat="false" ht="19.85" hidden="false" customHeight="true" outlineLevel="0" collapsed="false">
      <c r="A190" s="1" t="n">
        <v>31</v>
      </c>
      <c r="B190" s="31" t="n">
        <v>42370</v>
      </c>
      <c r="C190" s="356" t="n">
        <v>91278</v>
      </c>
      <c r="D190" s="357" t="s">
        <v>42</v>
      </c>
      <c r="E190" s="358" t="n">
        <f aca="false">IF(D190="totale",(C190/(A190*24))/F190,IF(D190="marché libre",(C190/(A190*24))/G190,"spécifier histo"))</f>
        <v>0.0411282212105155</v>
      </c>
      <c r="F190" s="356" t="n">
        <v>3383</v>
      </c>
      <c r="G190" s="356" t="n">
        <f aca="false">F190-H190</f>
        <v>2983</v>
      </c>
      <c r="H190" s="356" t="n">
        <v>400</v>
      </c>
      <c r="I190" s="95"/>
      <c r="J190" s="0"/>
    </row>
    <row r="191" customFormat="false" ht="19.85" hidden="false" customHeight="true" outlineLevel="0" collapsed="false">
      <c r="A191" s="1" t="n">
        <v>28</v>
      </c>
      <c r="B191" s="34" t="n">
        <v>42401</v>
      </c>
      <c r="C191" s="56" t="n">
        <v>126765</v>
      </c>
      <c r="D191" s="250" t="s">
        <v>42</v>
      </c>
      <c r="E191" s="33" t="n">
        <f aca="false">IF(D191="totale",(C191/(A191*24))/F191,IF(D191="marché libre",(C191/(A191*24))/G191,"spécifier histo"))</f>
        <v>0.0632378118864039</v>
      </c>
      <c r="F191" s="56" t="n">
        <v>3383</v>
      </c>
      <c r="G191" s="56" t="n">
        <f aca="false">F191-H191</f>
        <v>2983</v>
      </c>
      <c r="H191" s="56" t="n">
        <v>400</v>
      </c>
      <c r="J191" s="0"/>
    </row>
    <row r="192" customFormat="false" ht="19.85" hidden="false" customHeight="true" outlineLevel="0" collapsed="false">
      <c r="A192" s="1" t="n">
        <v>31</v>
      </c>
      <c r="B192" s="31" t="n">
        <v>42430</v>
      </c>
      <c r="C192" s="56" t="n">
        <v>409488</v>
      </c>
      <c r="D192" s="250" t="s">
        <v>42</v>
      </c>
      <c r="E192" s="33" t="n">
        <f aca="false">IF(D192="totale",(C192/(A192*24))/F192,IF(D192="marché libre",(C192/(A192*24))/G192,"spécifier histo"))</f>
        <v>0.184507910417095</v>
      </c>
      <c r="F192" s="56" t="n">
        <v>3383</v>
      </c>
      <c r="G192" s="56" t="n">
        <f aca="false">F192-H192</f>
        <v>2983</v>
      </c>
      <c r="H192" s="56" t="n">
        <v>400</v>
      </c>
      <c r="J192" s="0"/>
    </row>
    <row r="193" customFormat="false" ht="19.85" hidden="false" customHeight="true" outlineLevel="0" collapsed="false">
      <c r="A193" s="1" t="n">
        <v>30</v>
      </c>
      <c r="B193" s="34" t="n">
        <v>42461</v>
      </c>
      <c r="C193" s="56" t="n">
        <v>1530691</v>
      </c>
      <c r="D193" s="250" t="s">
        <v>42</v>
      </c>
      <c r="E193" s="33" t="n">
        <f aca="false">IF(D193="totale",(C193/(A193*24))/F193,IF(D193="marché libre",(C193/(A193*24))/G193,"spécifier histo"))</f>
        <v>0.712691827764741</v>
      </c>
      <c r="F193" s="56" t="n">
        <v>3383</v>
      </c>
      <c r="G193" s="56" t="n">
        <f aca="false">F193-H193</f>
        <v>2983</v>
      </c>
      <c r="H193" s="56" t="n">
        <v>400</v>
      </c>
      <c r="J193" s="0"/>
    </row>
    <row r="194" customFormat="false" ht="19.85" hidden="false" customHeight="true" outlineLevel="0" collapsed="false">
      <c r="A194" s="1" t="n">
        <v>31</v>
      </c>
      <c r="B194" s="31" t="n">
        <v>42491</v>
      </c>
      <c r="C194" s="56" t="n">
        <v>1635071</v>
      </c>
      <c r="D194" s="250" t="s">
        <v>42</v>
      </c>
      <c r="E194" s="33" t="n">
        <f aca="false">IF(D194="totale",(C194/(A194*24))/F194,IF(D194="marché libre",(C194/(A194*24))/G194,"spécifier histo"))</f>
        <v>0.736733515007984</v>
      </c>
      <c r="F194" s="56" t="n">
        <v>3383</v>
      </c>
      <c r="G194" s="56" t="n">
        <f aca="false">F194-H194</f>
        <v>2983</v>
      </c>
      <c r="H194" s="56" t="n">
        <v>400</v>
      </c>
      <c r="J194" s="0"/>
    </row>
    <row r="195" customFormat="false" ht="19.85" hidden="false" customHeight="true" outlineLevel="0" collapsed="false">
      <c r="A195" s="1" t="n">
        <v>30</v>
      </c>
      <c r="B195" s="34" t="n">
        <v>42522</v>
      </c>
      <c r="C195" s="56" t="n">
        <v>1552290</v>
      </c>
      <c r="D195" s="250" t="s">
        <v>42</v>
      </c>
      <c r="E195" s="33" t="n">
        <f aca="false">IF(D195="totale",(C195/(A195*24))/F195,IF(D195="marché libre",(C195/(A195*24))/G195,"spécifier histo"))</f>
        <v>0.722748351771148</v>
      </c>
      <c r="F195" s="56" t="n">
        <v>3383</v>
      </c>
      <c r="G195" s="56" t="n">
        <f aca="false">F195-H195</f>
        <v>2983</v>
      </c>
      <c r="H195" s="56" t="n">
        <v>400</v>
      </c>
      <c r="J195" s="0"/>
    </row>
    <row r="196" customFormat="false" ht="19.85" hidden="false" customHeight="true" outlineLevel="0" collapsed="false">
      <c r="A196" s="1" t="n">
        <v>31</v>
      </c>
      <c r="B196" s="31" t="n">
        <v>42552</v>
      </c>
      <c r="C196" s="56" t="n">
        <v>822739</v>
      </c>
      <c r="D196" s="250" t="s">
        <v>42</v>
      </c>
      <c r="E196" s="33" t="n">
        <f aca="false">IF(D196="totale",(C196/(A196*24))/F196,IF(D196="marché libre",(C196/(A196*24))/G196,"spécifier histo"))</f>
        <v>0.370711360793601</v>
      </c>
      <c r="F196" s="56" t="n">
        <v>3383</v>
      </c>
      <c r="G196" s="56" t="n">
        <f aca="false">F196-H196</f>
        <v>2983</v>
      </c>
      <c r="H196" s="56" t="n">
        <v>400</v>
      </c>
      <c r="J196" s="0"/>
    </row>
    <row r="197" customFormat="false" ht="19.85" hidden="false" customHeight="true" outlineLevel="0" collapsed="false">
      <c r="A197" s="1" t="n">
        <v>31</v>
      </c>
      <c r="B197" s="34" t="n">
        <v>42583</v>
      </c>
      <c r="C197" s="56" t="n">
        <v>103652</v>
      </c>
      <c r="D197" s="250" t="s">
        <v>42</v>
      </c>
      <c r="E197" s="33" t="n">
        <f aca="false">IF(D197="totale",(C197/(A197*24))/F197,IF(D197="marché libre",(C197/(A197*24))/G197,"spécifier histo"))</f>
        <v>0.0467037225280172</v>
      </c>
      <c r="F197" s="56" t="n">
        <v>3383</v>
      </c>
      <c r="G197" s="56" t="n">
        <f aca="false">F197-H197</f>
        <v>2983</v>
      </c>
      <c r="H197" s="56" t="n">
        <v>400</v>
      </c>
      <c r="J197" s="0"/>
    </row>
    <row r="198" customFormat="false" ht="19.85" hidden="false" customHeight="true" outlineLevel="0" collapsed="false">
      <c r="A198" s="1" t="n">
        <v>30</v>
      </c>
      <c r="B198" s="31" t="n">
        <v>42614</v>
      </c>
      <c r="C198" s="56" t="n">
        <v>62620</v>
      </c>
      <c r="D198" s="250" t="s">
        <v>42</v>
      </c>
      <c r="E198" s="33" t="n">
        <f aca="false">IF(D198="totale",(C198/(A198*24))/F198,IF(D198="marché libre",(C198/(A198*24))/G198,"spécifier histo"))</f>
        <v>0.0291559578351399</v>
      </c>
      <c r="F198" s="56" t="n">
        <v>3383</v>
      </c>
      <c r="G198" s="56" t="n">
        <f aca="false">F198-H198</f>
        <v>2983</v>
      </c>
      <c r="H198" s="56" t="n">
        <v>400</v>
      </c>
      <c r="J198" s="0"/>
    </row>
    <row r="199" customFormat="false" ht="19.85" hidden="false" customHeight="true" outlineLevel="0" collapsed="false">
      <c r="A199" s="1" t="n">
        <v>31</v>
      </c>
      <c r="B199" s="34" t="n">
        <v>42644</v>
      </c>
      <c r="C199" s="56" t="n">
        <v>972562</v>
      </c>
      <c r="D199" s="250" t="s">
        <v>42</v>
      </c>
      <c r="E199" s="33" t="n">
        <f aca="false">IF(D199="totale",(C199/(A199*24))/F199,IF(D199="marché libre",(C199/(A199*24))/G199,"spécifier histo"))</f>
        <v>0.438218903535807</v>
      </c>
      <c r="F199" s="56" t="n">
        <v>3383</v>
      </c>
      <c r="G199" s="56" t="n">
        <f aca="false">F199-H199</f>
        <v>2983</v>
      </c>
      <c r="H199" s="56" t="n">
        <v>400</v>
      </c>
      <c r="J199" s="0"/>
    </row>
    <row r="200" customFormat="false" ht="19.85" hidden="false" customHeight="true" outlineLevel="0" collapsed="false">
      <c r="A200" s="1" t="n">
        <v>30</v>
      </c>
      <c r="B200" s="31" t="n">
        <v>42675</v>
      </c>
      <c r="C200" s="56" t="n">
        <v>1525947</v>
      </c>
      <c r="D200" s="250" t="s">
        <v>42</v>
      </c>
      <c r="E200" s="33" t="n">
        <f aca="false">IF(D200="totale",(C200/(A200*24))/F200,IF(D200="marché libre",(C200/(A200*24))/G200,"spécifier histo"))</f>
        <v>0.710483014861996</v>
      </c>
      <c r="F200" s="56" t="n">
        <v>3383</v>
      </c>
      <c r="G200" s="56" t="n">
        <f aca="false">F200-H200</f>
        <v>2983</v>
      </c>
      <c r="H200" s="56" t="n">
        <v>400</v>
      </c>
      <c r="J200" s="0"/>
    </row>
    <row r="201" customFormat="false" ht="19.85" hidden="false" customHeight="true" outlineLevel="0" collapsed="false">
      <c r="A201" s="1" t="n">
        <v>31</v>
      </c>
      <c r="B201" s="34" t="n">
        <v>42705</v>
      </c>
      <c r="C201" s="56" t="n">
        <v>1298759</v>
      </c>
      <c r="D201" s="250" t="s">
        <v>42</v>
      </c>
      <c r="E201" s="33" t="n">
        <f aca="false">IF(D201="totale",(C201/(A201*24))/F201,IF(D201="marché libre",(C201/(A201*24))/G201,"spécifier histo"))</f>
        <v>0.585197390950151</v>
      </c>
      <c r="F201" s="56" t="n">
        <v>3383</v>
      </c>
      <c r="G201" s="56" t="n">
        <f aca="false">F201-H201</f>
        <v>2983</v>
      </c>
      <c r="H201" s="56" t="n">
        <v>400</v>
      </c>
      <c r="J201" s="0"/>
    </row>
    <row r="202" customFormat="false" ht="19.85" hidden="false" customHeight="true" outlineLevel="0" collapsed="false">
      <c r="A202" s="1" t="n">
        <v>31</v>
      </c>
      <c r="B202" s="31" t="n">
        <v>42736</v>
      </c>
      <c r="C202" s="56" t="n">
        <v>521270</v>
      </c>
      <c r="D202" s="250" t="s">
        <v>42</v>
      </c>
      <c r="E202" s="33" t="n">
        <f aca="false">IF(D202="totale",(C202/(A202*24))/F202,IF(D202="marché libre",(C202/(A202*24))/G202,"spécifier histo"))</f>
        <v>0.234874864374826</v>
      </c>
      <c r="F202" s="56" t="n">
        <v>3383</v>
      </c>
      <c r="G202" s="56" t="n">
        <f aca="false">F202-H202</f>
        <v>2983</v>
      </c>
      <c r="H202" s="56" t="n">
        <v>400</v>
      </c>
      <c r="J202" s="344"/>
    </row>
    <row r="203" customFormat="false" ht="19.85" hidden="false" customHeight="true" outlineLevel="0" collapsed="false">
      <c r="A203" s="1" t="n">
        <v>28</v>
      </c>
      <c r="B203" s="34" t="n">
        <v>42767</v>
      </c>
      <c r="C203" s="56" t="n">
        <v>322850</v>
      </c>
      <c r="D203" s="250" t="s">
        <v>42</v>
      </c>
      <c r="E203" s="33" t="n">
        <f aca="false">IF(D203="totale",(C203/(A203*24))/F203,IF(D203="marché libre",(C203/(A203*24))/G203,"spécifier histo"))</f>
        <v>0.161056502721773</v>
      </c>
      <c r="F203" s="56" t="n">
        <v>3383</v>
      </c>
      <c r="G203" s="56" t="n">
        <f aca="false">F203-H203</f>
        <v>2983</v>
      </c>
      <c r="H203" s="56" t="n">
        <v>400</v>
      </c>
      <c r="J203" s="344"/>
    </row>
    <row r="204" customFormat="false" ht="19.85" hidden="false" customHeight="true" outlineLevel="0" collapsed="false">
      <c r="A204" s="1" t="n">
        <v>31</v>
      </c>
      <c r="B204" s="31" t="n">
        <v>42795</v>
      </c>
      <c r="C204" s="56" t="n">
        <v>824008</v>
      </c>
      <c r="D204" s="250" t="s">
        <v>42</v>
      </c>
      <c r="E204" s="33" t="n">
        <f aca="false">IF(D204="totale",(C204/(A204*24))/F204,IF(D204="marché libre",(C204/(A204*24))/G204,"spécifier histo"))</f>
        <v>0.371283149315656</v>
      </c>
      <c r="F204" s="56" t="n">
        <v>3383</v>
      </c>
      <c r="G204" s="56" t="n">
        <f aca="false">F204-H204</f>
        <v>2983</v>
      </c>
      <c r="H204" s="56" t="n">
        <v>400</v>
      </c>
      <c r="J204" s="344"/>
    </row>
    <row r="205" customFormat="false" ht="19.85" hidden="false" customHeight="true" outlineLevel="0" collapsed="false">
      <c r="A205" s="1" t="n">
        <v>30</v>
      </c>
      <c r="B205" s="34" t="n">
        <v>42826</v>
      </c>
      <c r="C205" s="56" t="n">
        <v>1584800</v>
      </c>
      <c r="D205" s="250" t="s">
        <v>42</v>
      </c>
      <c r="E205" s="33" t="n">
        <f aca="false">IF(D205="totale",(C205/(A205*24))/F205,IF(D205="marché libre",(C205/(A205*24))/G205,"spécifier histo"))</f>
        <v>0.737885052333594</v>
      </c>
      <c r="F205" s="56" t="n">
        <v>3383</v>
      </c>
      <c r="G205" s="56" t="n">
        <f aca="false">F205-H205</f>
        <v>2983</v>
      </c>
      <c r="H205" s="56" t="n">
        <v>400</v>
      </c>
      <c r="J205" s="344"/>
    </row>
    <row r="206" customFormat="false" ht="19.85" hidden="false" customHeight="true" outlineLevel="0" collapsed="false">
      <c r="A206" s="1" t="n">
        <v>31</v>
      </c>
      <c r="B206" s="31" t="n">
        <v>42856</v>
      </c>
      <c r="C206" s="56" t="n">
        <v>1717084</v>
      </c>
      <c r="D206" s="250" t="s">
        <v>42</v>
      </c>
      <c r="E206" s="33" t="n">
        <f aca="false">IF(D206="totale",(C206/(A206*24))/F206,IF(D206="marché libre",(C206/(A206*24))/G206,"spécifier histo"))</f>
        <v>0.773687094250935</v>
      </c>
      <c r="F206" s="56" t="n">
        <v>3383</v>
      </c>
      <c r="G206" s="56" t="n">
        <f aca="false">F206-H206</f>
        <v>2983</v>
      </c>
      <c r="H206" s="56" t="n">
        <v>400</v>
      </c>
      <c r="J206" s="344"/>
    </row>
    <row r="207" customFormat="false" ht="19.85" hidden="false" customHeight="true" outlineLevel="0" collapsed="false">
      <c r="A207" s="1" t="n">
        <v>30</v>
      </c>
      <c r="B207" s="34" t="n">
        <v>42887</v>
      </c>
      <c r="C207" s="310" t="n">
        <v>1498459</v>
      </c>
      <c r="D207" s="250" t="s">
        <v>42</v>
      </c>
      <c r="E207" s="33" t="n">
        <f aca="false">IF(D207="totale",(C207/(A207*24))/F207,IF(D207="marché libre",(C207/(A207*24))/G207,"spécifier histo"))</f>
        <v>0.697684564383357</v>
      </c>
      <c r="F207" s="56" t="n">
        <v>3383</v>
      </c>
      <c r="G207" s="56" t="n">
        <f aca="false">F207-H207</f>
        <v>2983</v>
      </c>
      <c r="H207" s="56" t="n">
        <v>400</v>
      </c>
      <c r="I207" s="204"/>
      <c r="J207" s="256"/>
    </row>
    <row r="208" customFormat="false" ht="19.85" hidden="false" customHeight="true" outlineLevel="0" collapsed="false">
      <c r="A208" s="1" t="n">
        <v>31</v>
      </c>
      <c r="B208" s="31" t="n">
        <v>42917</v>
      </c>
      <c r="C208" s="310" t="n">
        <v>498581</v>
      </c>
      <c r="D208" s="250" t="s">
        <v>42</v>
      </c>
      <c r="E208" s="33" t="n">
        <f aca="false">IF(D208="totale",(C208/(A208*24))/F208,IF(D208="marché libre",(C208/(A208*24))/G208,"spécifier histo"))</f>
        <v>0.224651610019501</v>
      </c>
      <c r="F208" s="56" t="n">
        <v>3383</v>
      </c>
      <c r="G208" s="56" t="n">
        <f aca="false">F208-H208</f>
        <v>2983</v>
      </c>
      <c r="H208" s="56" t="n">
        <v>400</v>
      </c>
      <c r="I208" s="204"/>
      <c r="J208" s="256"/>
    </row>
    <row r="209" customFormat="false" ht="19.85" hidden="false" customHeight="true" outlineLevel="0" collapsed="false">
      <c r="A209" s="1" t="n">
        <v>31</v>
      </c>
      <c r="B209" s="34" t="n">
        <v>42948</v>
      </c>
      <c r="C209" s="310" t="n">
        <v>39663</v>
      </c>
      <c r="D209" s="250" t="s">
        <v>42</v>
      </c>
      <c r="E209" s="33" t="n">
        <f aca="false">IF(D209="totale",(C209/(A209*24))/F209,IF(D209="marché libre",(C209/(A209*24))/G209,"spécifier histo"))</f>
        <v>0.0178714327425303</v>
      </c>
      <c r="F209" s="56" t="n">
        <v>3383</v>
      </c>
      <c r="G209" s="56" t="n">
        <f aca="false">F209-H209</f>
        <v>2983</v>
      </c>
      <c r="H209" s="56" t="n">
        <v>400</v>
      </c>
      <c r="I209" s="204"/>
      <c r="J209" s="256"/>
    </row>
    <row r="210" customFormat="false" ht="19.85" hidden="false" customHeight="true" outlineLevel="0" collapsed="false">
      <c r="A210" s="1" t="n">
        <v>30</v>
      </c>
      <c r="B210" s="31" t="n">
        <v>42979</v>
      </c>
      <c r="C210" s="310" t="n">
        <v>0</v>
      </c>
      <c r="D210" s="250" t="s">
        <v>42</v>
      </c>
      <c r="E210" s="33" t="n">
        <f aca="false">IF(D210="totale",(C210/(A210*24))/F210,IF(D210="marché libre",(C210/(A210*24))/G210,"spécifier histo"))</f>
        <v>0</v>
      </c>
      <c r="F210" s="56" t="n">
        <v>3383</v>
      </c>
      <c r="G210" s="56" t="n">
        <f aca="false">F210-H210</f>
        <v>2983</v>
      </c>
      <c r="H210" s="56" t="n">
        <v>400</v>
      </c>
      <c r="I210" s="204"/>
      <c r="J210" s="256"/>
    </row>
    <row r="211" customFormat="false" ht="19.85" hidden="false" customHeight="true" outlineLevel="0" collapsed="false">
      <c r="A211" s="1" t="n">
        <v>31</v>
      </c>
      <c r="B211" s="34" t="n">
        <v>43009</v>
      </c>
      <c r="C211" s="310" t="n">
        <v>0</v>
      </c>
      <c r="D211" s="250" t="s">
        <v>42</v>
      </c>
      <c r="E211" s="33" t="n">
        <f aca="false">IF(D211="totale",(C211/(A211*24))/F211,IF(D211="marché libre",(C211/(A211*24))/G211,"spécifier histo"))</f>
        <v>0</v>
      </c>
      <c r="F211" s="56" t="n">
        <v>3383</v>
      </c>
      <c r="G211" s="56" t="n">
        <f aca="false">F211-H211</f>
        <v>2983</v>
      </c>
      <c r="H211" s="56" t="n">
        <v>400</v>
      </c>
      <c r="I211" s="204"/>
      <c r="J211" s="256"/>
    </row>
    <row r="212" customFormat="false" ht="19.85" hidden="false" customHeight="true" outlineLevel="0" collapsed="false">
      <c r="A212" s="1" t="n">
        <v>30</v>
      </c>
      <c r="B212" s="31" t="n">
        <v>43040</v>
      </c>
      <c r="C212" s="310" t="n">
        <v>6768</v>
      </c>
      <c r="D212" s="250" t="s">
        <v>42</v>
      </c>
      <c r="E212" s="33" t="n">
        <f aca="false">IF(D212="totale",(C212/(A212*24))/F212,IF(D212="marché libre",(C212/(A212*24))/G212,"spécifier histo"))</f>
        <v>0.00315119007710359</v>
      </c>
      <c r="F212" s="56" t="n">
        <v>3383</v>
      </c>
      <c r="G212" s="56" t="n">
        <f aca="false">F212-H212</f>
        <v>2983</v>
      </c>
      <c r="H212" s="56" t="n">
        <v>400</v>
      </c>
      <c r="I212" s="204"/>
      <c r="J212" s="256"/>
    </row>
    <row r="213" customFormat="false" ht="19.85" hidden="false" customHeight="true" outlineLevel="0" collapsed="false">
      <c r="A213" s="1" t="n">
        <v>31</v>
      </c>
      <c r="B213" s="34" t="n">
        <v>43070</v>
      </c>
      <c r="C213" s="310" t="n">
        <v>184014</v>
      </c>
      <c r="D213" s="250" t="s">
        <v>42</v>
      </c>
      <c r="E213" s="33" t="n">
        <f aca="false">IF(D213="totale",(C213/(A213*24))/F213,IF(D213="marché libre",(C213/(A213*24))/G213,"spécifier histo"))</f>
        <v>0.0829133909357326</v>
      </c>
      <c r="F213" s="56" t="n">
        <v>3383</v>
      </c>
      <c r="G213" s="56" t="n">
        <f aca="false">F213-H213</f>
        <v>2983</v>
      </c>
      <c r="H213" s="56" t="n">
        <v>400</v>
      </c>
      <c r="I213" s="204"/>
      <c r="J213" s="204"/>
    </row>
    <row r="214" customFormat="false" ht="19.85" hidden="false" customHeight="true" outlineLevel="0" collapsed="false">
      <c r="A214" s="9" t="n">
        <v>31</v>
      </c>
      <c r="B214" s="31" t="n">
        <v>43101</v>
      </c>
      <c r="C214" s="9" t="n">
        <v>101431</v>
      </c>
      <c r="D214" s="250" t="s">
        <v>42</v>
      </c>
      <c r="E214" s="33" t="n">
        <f aca="false">IF(D214="totale",(C214/(A214*24))/F214,IF(D214="marché libre",(C214/(A214*24))/G214,"spécifier histo"))</f>
        <v>0.0457029799689279</v>
      </c>
      <c r="F214" s="56" t="n">
        <v>3383</v>
      </c>
      <c r="G214" s="56" t="n">
        <f aca="false">F214-H214</f>
        <v>2983</v>
      </c>
      <c r="H214" s="56" t="n">
        <v>400</v>
      </c>
      <c r="I214" s="359"/>
      <c r="J214" s="140"/>
    </row>
    <row r="215" customFormat="false" ht="19.85" hidden="false" customHeight="true" outlineLevel="0" collapsed="false">
      <c r="F215" s="359"/>
      <c r="G215" s="359"/>
      <c r="H215" s="359"/>
      <c r="I215" s="359"/>
      <c r="J215" s="140"/>
    </row>
    <row r="216" customFormat="false" ht="19.85" hidden="false" customHeight="true" outlineLevel="0" collapsed="false">
      <c r="F216" s="359"/>
      <c r="G216" s="359"/>
      <c r="H216" s="359"/>
      <c r="I216" s="359"/>
    </row>
    <row r="217" customFormat="false" ht="19.85" hidden="false" customHeight="true" outlineLevel="0" collapsed="false">
      <c r="F217" s="359"/>
      <c r="G217" s="359"/>
      <c r="H217" s="359"/>
      <c r="I217" s="359"/>
    </row>
    <row r="218" customFormat="false" ht="19.85" hidden="false" customHeight="true" outlineLevel="0" collapsed="false">
      <c r="F218" s="359"/>
      <c r="G218" s="359"/>
      <c r="H218" s="359"/>
      <c r="I218" s="359"/>
    </row>
    <row r="219" customFormat="false" ht="19.85" hidden="false" customHeight="true" outlineLevel="0" collapsed="false">
      <c r="F219" s="359"/>
      <c r="G219" s="359"/>
      <c r="H219" s="359"/>
      <c r="I219" s="359"/>
    </row>
    <row r="220" customFormat="false" ht="28.35" hidden="false" customHeight="true" outlineLevel="0" collapsed="false"/>
    <row r="221" customFormat="false" ht="28.35" hidden="false" customHeight="true" outlineLevel="0" collapsed="false"/>
    <row r="222" customFormat="false" ht="28.35" hidden="false" customHeight="true" outlineLevel="0" collapsed="false"/>
    <row r="223" customFormat="false" ht="28.35" hidden="false" customHeight="true" outlineLevel="0" collapsed="false"/>
    <row r="224" customFormat="false" ht="28.35" hidden="false" customHeight="true" outlineLevel="0" collapsed="false"/>
    <row r="225" customFormat="false" ht="28.35" hidden="false" customHeight="true" outlineLevel="0" collapsed="false"/>
    <row r="226" customFormat="false" ht="28.35" hidden="false" customHeight="true" outlineLevel="0" collapsed="false"/>
    <row r="227" customFormat="false" ht="28.35" hidden="false" customHeight="true" outlineLevel="0" collapsed="false"/>
    <row r="228" customFormat="false" ht="28.35" hidden="false" customHeight="true" outlineLevel="0" collapsed="false"/>
    <row r="229" customFormat="false" ht="28.35" hidden="false" customHeight="true" outlineLevel="0" collapsed="false"/>
    <row r="230" customFormat="false" ht="28.35" hidden="false" customHeight="true" outlineLevel="0" collapsed="false"/>
    <row r="231" customFormat="false" ht="28.35" hidden="false" customHeight="true" outlineLevel="0" collapsed="false"/>
  </sheetData>
  <mergeCells count="14">
    <mergeCell ref="B1:E2"/>
    <mergeCell ref="F1:N1"/>
    <mergeCell ref="F2:I2"/>
    <mergeCell ref="J2:K2"/>
    <mergeCell ref="L2:M2"/>
    <mergeCell ref="N2:N3"/>
    <mergeCell ref="U2:U3"/>
    <mergeCell ref="T4:V4"/>
    <mergeCell ref="C6:D6"/>
    <mergeCell ref="F6:F7"/>
    <mergeCell ref="G6:N7"/>
    <mergeCell ref="C7:D7"/>
    <mergeCell ref="K188:M188"/>
    <mergeCell ref="K189:M189"/>
  </mergeCells>
  <conditionalFormatting sqref="E10:E21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5.xml><?xml version="1.0" encoding="utf-8"?>
<worksheet xmlns="http://schemas.openxmlformats.org/spreadsheetml/2006/main" xmlns:r="http://schemas.openxmlformats.org/officeDocument/2006/relationships">
  <sheetPr filterMode="false">
    <tabColor rgb="FF00CC33"/>
    <pageSetUpPr fitToPage="false"/>
  </sheetPr>
  <dimension ref="A1:AV25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52" activePane="bottomRight" state="frozen"/>
      <selection pane="topLeft" activeCell="A1" activeCellId="0" sqref="A1"/>
      <selection pane="topRight" activeCell="B1" activeCellId="0" sqref="B1"/>
      <selection pane="bottomLeft" activeCell="A52" activeCellId="0" sqref="A52"/>
      <selection pane="bottomRight" activeCell="B58" activeCellId="0" sqref="B5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18.2"/>
    <col collapsed="false" customWidth="true" hidden="false" outlineLevel="0" max="10" min="10" style="1" width="24.68"/>
    <col collapsed="false" customWidth="true" hidden="false" outlineLevel="0" max="11" min="11" style="1" width="16.98"/>
    <col collapsed="false" customWidth="true" hidden="false" outlineLevel="0" max="12" min="12" style="1" width="24.54"/>
    <col collapsed="false" customWidth="false" hidden="false" outlineLevel="0" max="13" min="13" style="1" width="11.52"/>
    <col collapsed="false" customWidth="true" hidden="false" outlineLevel="0" max="14" min="14" style="1" width="9.59"/>
    <col collapsed="false" customWidth="true" hidden="false" outlineLevel="0" max="15" min="15" style="1" width="8.52"/>
    <col collapsed="false" customWidth="false" hidden="false" outlineLevel="0" max="16" min="16" style="1" width="11.52"/>
    <col collapsed="false" customWidth="true" hidden="false" outlineLevel="0" max="17" min="17" style="1" width="14.51"/>
    <col collapsed="false" customWidth="true" hidden="false" outlineLevel="0" max="18" min="18" style="1" width="7.41"/>
    <col collapsed="false" customWidth="false" hidden="false" outlineLevel="0" max="1025" min="19" style="1" width="11.52"/>
  </cols>
  <sheetData>
    <row r="1" customFormat="false" ht="30.8" hidden="false" customHeight="true" outlineLevel="0" collapsed="false">
      <c r="A1" s="122" t="s">
        <v>108</v>
      </c>
      <c r="B1" s="2" t="s">
        <v>0</v>
      </c>
      <c r="C1" s="2"/>
      <c r="D1" s="2"/>
      <c r="E1" s="2"/>
      <c r="F1" s="3" t="s">
        <v>1</v>
      </c>
      <c r="G1" s="3"/>
      <c r="H1" s="3"/>
      <c r="I1" s="3"/>
      <c r="J1" s="3"/>
      <c r="K1" s="3"/>
      <c r="L1" s="3"/>
      <c r="M1" s="3"/>
      <c r="N1" s="3"/>
    </row>
    <row r="2" customFormat="false" ht="30.8" hidden="false" customHeight="true" outlineLevel="0" collapsed="false">
      <c r="A2" s="360" t="s">
        <v>519</v>
      </c>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5.8" hidden="false" customHeight="true" outlineLevel="0" collapsed="false">
      <c r="A4" s="0"/>
      <c r="B4" s="16" t="s">
        <v>520</v>
      </c>
      <c r="C4" s="16" t="n">
        <v>51788</v>
      </c>
      <c r="D4" s="5" t="s">
        <v>521</v>
      </c>
      <c r="E4" s="14" t="s">
        <v>506</v>
      </c>
      <c r="F4" s="15" t="n">
        <v>2822</v>
      </c>
      <c r="G4" s="15" t="n">
        <v>2494</v>
      </c>
      <c r="H4" s="15" t="n">
        <v>2094</v>
      </c>
      <c r="I4" s="16" t="s">
        <v>522</v>
      </c>
      <c r="J4" s="15" t="n">
        <v>2422</v>
      </c>
      <c r="K4" s="16" t="s">
        <v>523</v>
      </c>
      <c r="L4" s="16" t="s">
        <v>48</v>
      </c>
      <c r="M4" s="16" t="n">
        <v>2422</v>
      </c>
      <c r="N4" s="12"/>
      <c r="P4" s="17"/>
      <c r="Q4" s="16" t="s">
        <v>23</v>
      </c>
      <c r="S4" s="18"/>
      <c r="T4" s="19" t="s">
        <v>24</v>
      </c>
      <c r="U4" s="19"/>
      <c r="V4" s="19"/>
    </row>
    <row r="5" customFormat="false" ht="28.35" hidden="false" customHeight="true" outlineLevel="0" collapsed="false">
      <c r="A5" s="0"/>
      <c r="F5" s="9"/>
      <c r="G5" s="9"/>
      <c r="H5" s="9"/>
      <c r="J5" s="9"/>
      <c r="P5" s="9"/>
      <c r="Q5" s="9"/>
    </row>
    <row r="6" customFormat="false" ht="47.45" hidden="false" customHeight="true" outlineLevel="0" collapsed="false">
      <c r="A6" s="0"/>
      <c r="B6" s="0"/>
      <c r="C6" s="10" t="s">
        <v>25</v>
      </c>
      <c r="D6" s="10"/>
      <c r="F6" s="20" t="s">
        <v>26</v>
      </c>
      <c r="G6" s="19" t="s">
        <v>524</v>
      </c>
      <c r="H6" s="19"/>
      <c r="I6" s="19"/>
      <c r="J6" s="19"/>
      <c r="K6" s="19"/>
      <c r="L6" s="19"/>
      <c r="M6" s="19"/>
      <c r="N6" s="19"/>
      <c r="P6" s="21" t="n">
        <v>42370</v>
      </c>
      <c r="Q6" s="19" t="s">
        <v>27</v>
      </c>
      <c r="R6" s="9"/>
      <c r="S6" s="22"/>
      <c r="T6" s="5" t="s">
        <v>28</v>
      </c>
    </row>
    <row r="7" customFormat="false" ht="66.9" hidden="false" customHeight="true" outlineLevel="0" collapsed="false">
      <c r="A7" s="0"/>
      <c r="B7" s="0"/>
      <c r="C7" s="23" t="s">
        <v>525</v>
      </c>
      <c r="D7" s="23"/>
      <c r="F7" s="20"/>
      <c r="G7" s="20"/>
      <c r="H7" s="19"/>
      <c r="I7" s="19"/>
      <c r="J7" s="19"/>
      <c r="K7" s="19"/>
      <c r="L7" s="19"/>
      <c r="M7" s="19"/>
      <c r="N7" s="19"/>
      <c r="P7" s="24"/>
      <c r="Q7" s="5" t="s">
        <v>29</v>
      </c>
      <c r="R7" s="9"/>
      <c r="S7" s="25"/>
      <c r="T7" s="5" t="s">
        <v>30</v>
      </c>
    </row>
    <row r="8" customFormat="false" ht="43.3" hidden="false" customHeight="true" outlineLevel="0" collapsed="false">
      <c r="A8" s="26"/>
      <c r="C8" s="0"/>
      <c r="F8" s="9"/>
      <c r="G8" s="9"/>
      <c r="H8" s="9"/>
      <c r="J8" s="9"/>
      <c r="R8" s="9"/>
      <c r="S8" s="27"/>
      <c r="T8" s="16" t="s">
        <v>31</v>
      </c>
    </row>
    <row r="9" customFormat="false" ht="40.8" hidden="false" customHeight="true" outlineLevel="0" collapsed="false">
      <c r="B9" s="9" t="s">
        <v>32</v>
      </c>
      <c r="C9" s="1" t="s">
        <v>33</v>
      </c>
      <c r="D9" s="0"/>
      <c r="E9" s="1" t="s">
        <v>35</v>
      </c>
      <c r="F9" s="9" t="s">
        <v>36</v>
      </c>
      <c r="G9" s="9" t="s">
        <v>37</v>
      </c>
      <c r="H9" s="9" t="s">
        <v>38</v>
      </c>
      <c r="I9" s="9" t="s">
        <v>39</v>
      </c>
      <c r="J9" s="30" t="s">
        <v>40</v>
      </c>
    </row>
    <row r="10" customFormat="false" ht="20.25" hidden="false" customHeight="true" outlineLevel="0" collapsed="false">
      <c r="A10" s="1" t="n">
        <v>31</v>
      </c>
      <c r="B10" s="31" t="n">
        <v>36892</v>
      </c>
      <c r="C10" s="56" t="n">
        <v>1137193</v>
      </c>
      <c r="D10" s="29" t="s">
        <v>41</v>
      </c>
      <c r="E10" s="33" t="n">
        <f aca="false">IF(D10="totale",(C10/(A10*24))/F10,IF(D10="marché libre",(C10/(A10*24))/G10,"spécifier histo"))</f>
        <v>0.612864961930138</v>
      </c>
      <c r="F10" s="59" t="n">
        <v>2494</v>
      </c>
      <c r="G10" s="59" t="n">
        <f aca="false">F10-H10</f>
        <v>2494</v>
      </c>
      <c r="H10" s="59" t="n">
        <v>0</v>
      </c>
      <c r="I10" s="9"/>
      <c r="J10" s="30"/>
    </row>
    <row r="11" customFormat="false" ht="20.25" hidden="false" customHeight="true" outlineLevel="0" collapsed="false">
      <c r="A11" s="1" t="n">
        <v>28</v>
      </c>
      <c r="B11" s="34" t="n">
        <v>36923</v>
      </c>
      <c r="C11" s="56" t="n">
        <v>661593</v>
      </c>
      <c r="D11" s="29" t="s">
        <v>41</v>
      </c>
      <c r="E11" s="33" t="n">
        <f aca="false">IF(D11="totale",(C11/(A11*24))/F11,IF(D11="marché libre",(C11/(A11*24))/G11,"spécifier histo"))</f>
        <v>0.394752763775919</v>
      </c>
      <c r="F11" s="59" t="n">
        <v>2494</v>
      </c>
      <c r="G11" s="59" t="n">
        <f aca="false">F11-H11</f>
        <v>2494</v>
      </c>
      <c r="H11" s="59" t="n">
        <v>0</v>
      </c>
      <c r="I11" s="9"/>
      <c r="J11" s="30"/>
    </row>
    <row r="12" customFormat="false" ht="20.25" hidden="false" customHeight="true" outlineLevel="0" collapsed="false">
      <c r="A12" s="1" t="n">
        <v>31</v>
      </c>
      <c r="B12" s="31" t="n">
        <v>36951</v>
      </c>
      <c r="C12" s="56" t="n">
        <v>1415997</v>
      </c>
      <c r="D12" s="29" t="s">
        <v>41</v>
      </c>
      <c r="E12" s="33" t="n">
        <f aca="false">IF(D12="totale",(C12/(A12*24))/F12,IF(D12="marché libre",(C12/(A12*24))/G12,"spécifier histo"))</f>
        <v>0.763120198152986</v>
      </c>
      <c r="F12" s="59" t="n">
        <v>2494</v>
      </c>
      <c r="G12" s="59" t="n">
        <f aca="false">F12-H12</f>
        <v>2494</v>
      </c>
      <c r="H12" s="59" t="n">
        <v>0</v>
      </c>
      <c r="I12" s="9"/>
      <c r="J12" s="3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row>
    <row r="13" customFormat="false" ht="20.25" hidden="false" customHeight="true" outlineLevel="0" collapsed="false">
      <c r="A13" s="1" t="n">
        <v>30</v>
      </c>
      <c r="B13" s="34" t="n">
        <v>36982</v>
      </c>
      <c r="C13" s="56" t="n">
        <v>1365996</v>
      </c>
      <c r="D13" s="29" t="s">
        <v>41</v>
      </c>
      <c r="E13" s="33" t="n">
        <f aca="false">IF(D13="totale",(C13/(A13*24))/F13,IF(D13="marché libre",(C13/(A13*24))/G13,"spécifier histo"))</f>
        <v>0.760712376369955</v>
      </c>
      <c r="F13" s="59" t="n">
        <v>2494</v>
      </c>
      <c r="G13" s="59" t="n">
        <f aca="false">F13-H13</f>
        <v>2494</v>
      </c>
      <c r="H13" s="59" t="n">
        <v>0</v>
      </c>
      <c r="I13" s="9"/>
      <c r="J13" s="3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row>
    <row r="14" customFormat="false" ht="20.25" hidden="false" customHeight="true" outlineLevel="0" collapsed="false">
      <c r="A14" s="1" t="n">
        <v>31</v>
      </c>
      <c r="B14" s="31" t="n">
        <v>37012</v>
      </c>
      <c r="C14" s="56" t="n">
        <v>1796798</v>
      </c>
      <c r="D14" s="29" t="s">
        <v>41</v>
      </c>
      <c r="E14" s="33" t="n">
        <f aca="false">IF(D14="totale",(C14/(A14*24))/F14,IF(D14="marché libre",(C14/(A14*24))/G14,"spécifier histo"))</f>
        <v>0.968344456803856</v>
      </c>
      <c r="F14" s="59" t="n">
        <v>2494</v>
      </c>
      <c r="G14" s="59" t="n">
        <f aca="false">F14-H14</f>
        <v>2494</v>
      </c>
      <c r="H14" s="59" t="n">
        <v>0</v>
      </c>
      <c r="I14" s="9"/>
      <c r="J14" s="3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row>
    <row r="15" customFormat="false" ht="20.25" hidden="false" customHeight="true" outlineLevel="0" collapsed="false">
      <c r="A15" s="1" t="n">
        <v>30</v>
      </c>
      <c r="B15" s="34" t="n">
        <v>37043</v>
      </c>
      <c r="C15" s="56" t="n">
        <v>1719597</v>
      </c>
      <c r="D15" s="29" t="s">
        <v>41</v>
      </c>
      <c r="E15" s="33" t="n">
        <f aca="false">IF(D15="totale",(C15/(A15*24))/F15,IF(D15="marché libre",(C15/(A15*24))/G15,"spécifier histo"))</f>
        <v>0.957629978615344</v>
      </c>
      <c r="F15" s="59" t="n">
        <v>2494</v>
      </c>
      <c r="G15" s="59" t="n">
        <f aca="false">F15-H15</f>
        <v>2494</v>
      </c>
      <c r="H15" s="59" t="n">
        <v>0</v>
      </c>
      <c r="I15" s="9"/>
      <c r="J15" s="3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row>
    <row r="16" customFormat="false" ht="20.25" hidden="false" customHeight="true" outlineLevel="0" collapsed="false">
      <c r="A16" s="1" t="n">
        <v>31</v>
      </c>
      <c r="B16" s="31" t="n">
        <v>37073</v>
      </c>
      <c r="C16" s="56" t="n">
        <v>1490744</v>
      </c>
      <c r="D16" s="29" t="s">
        <v>41</v>
      </c>
      <c r="E16" s="33" t="n">
        <f aca="false">IF(D16="totale",(C16/(A16*24))/F16,IF(D16="marché libre",(C16/(A16*24))/G16,"spécifier histo"))</f>
        <v>0.803403437066163</v>
      </c>
      <c r="F16" s="59" t="n">
        <v>2494</v>
      </c>
      <c r="G16" s="59" t="n">
        <f aca="false">F16-H16</f>
        <v>2494</v>
      </c>
      <c r="H16" s="59" t="n">
        <v>0</v>
      </c>
      <c r="I16" s="9"/>
      <c r="J16" s="3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row>
    <row r="17" customFormat="false" ht="20.25" hidden="false" customHeight="true" outlineLevel="0" collapsed="false">
      <c r="A17" s="1" t="n">
        <v>31</v>
      </c>
      <c r="B17" s="34" t="n">
        <v>37104</v>
      </c>
      <c r="C17" s="56" t="n">
        <v>524359</v>
      </c>
      <c r="D17" s="29" t="s">
        <v>41</v>
      </c>
      <c r="E17" s="33" t="n">
        <f aca="false">IF(D17="totale",(C17/(A17*24))/F17,IF(D17="marché libre",(C17/(A17*24))/G17,"spécifier histo"))</f>
        <v>0.282591660846246</v>
      </c>
      <c r="F17" s="59" t="n">
        <v>2494</v>
      </c>
      <c r="G17" s="59" t="n">
        <f aca="false">F17-H17</f>
        <v>2494</v>
      </c>
      <c r="H17" s="59" t="n">
        <v>0</v>
      </c>
      <c r="I17" s="9"/>
      <c r="J17" s="3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row>
    <row r="18" customFormat="false" ht="20.25" hidden="false" customHeight="true" outlineLevel="0" collapsed="false">
      <c r="A18" s="1" t="n">
        <v>30</v>
      </c>
      <c r="B18" s="31" t="n">
        <v>37135</v>
      </c>
      <c r="C18" s="56" t="n">
        <v>203611</v>
      </c>
      <c r="D18" s="29" t="s">
        <v>41</v>
      </c>
      <c r="E18" s="33" t="n">
        <f aca="false">IF(D18="totale",(C18/(A18*24))/F18,IF(D18="marché libre",(C18/(A18*24))/G18,"spécifier histo"))</f>
        <v>0.11338935667825</v>
      </c>
      <c r="F18" s="59" t="n">
        <v>2494</v>
      </c>
      <c r="G18" s="59" t="n">
        <f aca="false">F18-H18</f>
        <v>2494</v>
      </c>
      <c r="H18" s="59" t="n">
        <v>0</v>
      </c>
      <c r="I18" s="9"/>
      <c r="J18" s="3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row>
    <row r="19" customFormat="false" ht="20.25" hidden="false" customHeight="true" outlineLevel="0" collapsed="false">
      <c r="A19" s="1" t="n">
        <v>31</v>
      </c>
      <c r="B19" s="34" t="n">
        <v>37165</v>
      </c>
      <c r="C19" s="56" t="n">
        <v>745972</v>
      </c>
      <c r="D19" s="29" t="s">
        <v>41</v>
      </c>
      <c r="E19" s="33" t="n">
        <f aca="false">IF(D19="totale",(C19/(A19*24))/F19,IF(D19="marché libre",(C19/(A19*24))/G19,"spécifier histo"))</f>
        <v>0.402025075234326</v>
      </c>
      <c r="F19" s="59" t="n">
        <v>2494</v>
      </c>
      <c r="G19" s="59" t="n">
        <f aca="false">F19-H19</f>
        <v>2494</v>
      </c>
      <c r="H19" s="59" t="n">
        <v>0</v>
      </c>
      <c r="I19" s="9"/>
      <c r="J19" s="3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row>
    <row r="20" customFormat="false" ht="20.25" hidden="false" customHeight="true" outlineLevel="0" collapsed="false">
      <c r="A20" s="1" t="n">
        <v>30</v>
      </c>
      <c r="B20" s="31" t="n">
        <v>37196</v>
      </c>
      <c r="C20" s="56" t="n">
        <v>457600</v>
      </c>
      <c r="D20" s="29" t="s">
        <v>41</v>
      </c>
      <c r="E20" s="33" t="n">
        <f aca="false">IF(D20="totale",(C20/(A20*24))/F20,IF(D20="marché libre",(C20/(A20*24))/G20,"spécifier histo"))</f>
        <v>0.254833823398378</v>
      </c>
      <c r="F20" s="59" t="n">
        <v>2494</v>
      </c>
      <c r="G20" s="59" t="n">
        <f aca="false">F20-H20</f>
        <v>2494</v>
      </c>
      <c r="H20" s="59" t="n">
        <v>0</v>
      </c>
      <c r="I20" s="9"/>
      <c r="J20" s="3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row>
    <row r="21" customFormat="false" ht="20.25" hidden="false" customHeight="true" outlineLevel="0" collapsed="false">
      <c r="A21" s="1" t="n">
        <v>31</v>
      </c>
      <c r="B21" s="34" t="n">
        <v>37226</v>
      </c>
      <c r="C21" s="56" t="n">
        <v>233200</v>
      </c>
      <c r="D21" s="29" t="s">
        <v>41</v>
      </c>
      <c r="E21" s="33" t="n">
        <f aca="false">IF(D21="totale",(C21/(A21*24))/F21,IF(D21="marché libre",(C21/(A21*24))/G21,"spécifier histo"))</f>
        <v>0.125677971216942</v>
      </c>
      <c r="F21" s="59" t="n">
        <v>2494</v>
      </c>
      <c r="G21" s="59" t="n">
        <f aca="false">F21-H21</f>
        <v>2494</v>
      </c>
      <c r="H21" s="59" t="n">
        <v>0</v>
      </c>
      <c r="I21" s="9"/>
      <c r="J21" s="3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row>
    <row r="22" customFormat="false" ht="20.25" hidden="false" customHeight="true" outlineLevel="0" collapsed="false">
      <c r="A22" s="1" t="n">
        <v>31</v>
      </c>
      <c r="B22" s="31" t="n">
        <v>37257</v>
      </c>
      <c r="C22" s="56" t="n">
        <v>103492</v>
      </c>
      <c r="D22" s="29" t="s">
        <v>41</v>
      </c>
      <c r="E22" s="33" t="n">
        <f aca="false">IF(D22="totale",(C22/(A22*24))/F22,IF(D22="marché libre",(C22/(A22*24))/G22,"spécifier histo"))</f>
        <v>0.0557747195419545</v>
      </c>
      <c r="F22" s="59" t="n">
        <v>2494</v>
      </c>
      <c r="G22" s="59" t="n">
        <f aca="false">F22-H22</f>
        <v>2494</v>
      </c>
      <c r="H22" s="59" t="n">
        <v>0</v>
      </c>
      <c r="I22" s="9"/>
      <c r="J22" s="3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row>
    <row r="23" customFormat="false" ht="20.25" hidden="false" customHeight="true" outlineLevel="0" collapsed="false">
      <c r="A23" s="1" t="n">
        <v>28</v>
      </c>
      <c r="B23" s="34" t="n">
        <v>37288</v>
      </c>
      <c r="C23" s="56" t="n">
        <v>100945</v>
      </c>
      <c r="D23" s="29" t="s">
        <v>41</v>
      </c>
      <c r="E23" s="33" t="n">
        <f aca="false">IF(D23="totale",(C23/(A23*24))/F23,IF(D23="marché libre",(C23/(A23*24))/G23,"spécifier histo"))</f>
        <v>0.060230863596441</v>
      </c>
      <c r="F23" s="59" t="n">
        <v>2494</v>
      </c>
      <c r="G23" s="59" t="n">
        <f aca="false">F23-H23</f>
        <v>2494</v>
      </c>
      <c r="H23" s="59" t="n">
        <v>0</v>
      </c>
      <c r="I23" s="9"/>
      <c r="J23" s="3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row>
    <row r="24" customFormat="false" ht="20.25" hidden="false" customHeight="true" outlineLevel="0" collapsed="false">
      <c r="A24" s="1" t="n">
        <v>31</v>
      </c>
      <c r="B24" s="31" t="n">
        <v>37316</v>
      </c>
      <c r="C24" s="56" t="n">
        <v>346705</v>
      </c>
      <c r="D24" s="29" t="s">
        <v>41</v>
      </c>
      <c r="E24" s="33" t="n">
        <f aca="false">IF(D24="totale",(C24/(A24*24))/F24,IF(D24="marché libre",(C24/(A24*24))/G24,"spécifier histo"))</f>
        <v>0.186848975174828</v>
      </c>
      <c r="F24" s="59" t="n">
        <v>2494</v>
      </c>
      <c r="G24" s="59" t="n">
        <f aca="false">F24-H24</f>
        <v>2494</v>
      </c>
      <c r="H24" s="59" t="n">
        <v>0</v>
      </c>
      <c r="I24" s="9"/>
      <c r="J24" s="3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row>
    <row r="25" customFormat="false" ht="20.25" hidden="false" customHeight="true" outlineLevel="0" collapsed="false">
      <c r="A25" s="1" t="n">
        <v>30</v>
      </c>
      <c r="B25" s="34" t="n">
        <v>37347</v>
      </c>
      <c r="C25" s="56" t="n">
        <v>467996</v>
      </c>
      <c r="D25" s="29" t="s">
        <v>41</v>
      </c>
      <c r="E25" s="33" t="n">
        <f aca="false">IF(D25="totale",(C25/(A25*24))/F25,IF(D25="marché libre",(C25/(A25*24))/G25,"spécifier histo"))</f>
        <v>0.260623273634501</v>
      </c>
      <c r="F25" s="59" t="n">
        <v>2494</v>
      </c>
      <c r="G25" s="59" t="n">
        <f aca="false">F25-H25</f>
        <v>2494</v>
      </c>
      <c r="H25" s="59" t="n">
        <v>0</v>
      </c>
      <c r="I25" s="9"/>
      <c r="J25" s="30"/>
    </row>
    <row r="26" customFormat="false" ht="20.25" hidden="false" customHeight="true" outlineLevel="0" collapsed="false">
      <c r="A26" s="1" t="n">
        <v>31</v>
      </c>
      <c r="B26" s="31" t="n">
        <v>37377</v>
      </c>
      <c r="C26" s="56" t="n">
        <v>1688397</v>
      </c>
      <c r="D26" s="29" t="s">
        <v>41</v>
      </c>
      <c r="E26" s="33" t="n">
        <f aca="false">IF(D26="totale",(C26/(A26*24))/F26,IF(D26="marché libre",(C26/(A26*24))/G26,"spécifier histo"))</f>
        <v>0.909924140517888</v>
      </c>
      <c r="F26" s="59" t="n">
        <v>2494</v>
      </c>
      <c r="G26" s="59" t="n">
        <f aca="false">F26-H26</f>
        <v>2494</v>
      </c>
      <c r="H26" s="59" t="n">
        <v>0</v>
      </c>
      <c r="I26" s="9"/>
      <c r="J26" s="30"/>
    </row>
    <row r="27" customFormat="false" ht="20.25" hidden="false" customHeight="true" outlineLevel="0" collapsed="false">
      <c r="A27" s="1" t="n">
        <v>30</v>
      </c>
      <c r="B27" s="34" t="n">
        <v>37408</v>
      </c>
      <c r="C27" s="56" t="n">
        <v>1751597</v>
      </c>
      <c r="D27" s="29" t="s">
        <v>41</v>
      </c>
      <c r="E27" s="33" t="n">
        <f aca="false">IF(D27="totale",(C27/(A27*24))/F27,IF(D27="marché libre",(C27/(A27*24))/G27,"spécifier histo"))</f>
        <v>0.975450525706139</v>
      </c>
      <c r="F27" s="59" t="n">
        <v>2494</v>
      </c>
      <c r="G27" s="59" t="n">
        <f aca="false">F27-H27</f>
        <v>2494</v>
      </c>
      <c r="H27" s="59" t="n">
        <v>0</v>
      </c>
      <c r="I27" s="9"/>
      <c r="J27" s="30"/>
    </row>
    <row r="28" customFormat="false" ht="20.25" hidden="false" customHeight="true" outlineLevel="0" collapsed="false">
      <c r="A28" s="1" t="n">
        <v>31</v>
      </c>
      <c r="B28" s="31" t="n">
        <v>37438</v>
      </c>
      <c r="C28" s="56" t="n">
        <v>1406776</v>
      </c>
      <c r="D28" s="29" t="s">
        <v>41</v>
      </c>
      <c r="E28" s="33" t="n">
        <f aca="false">IF(D28="totale",(C28/(A28*24))/F28,IF(D28="marché libre",(C28/(A28*24))/G28,"spécifier histo"))</f>
        <v>0.758150744582697</v>
      </c>
      <c r="F28" s="59" t="n">
        <v>2494</v>
      </c>
      <c r="G28" s="59" t="n">
        <f aca="false">F28-H28</f>
        <v>2494</v>
      </c>
      <c r="H28" s="59" t="n">
        <v>0</v>
      </c>
      <c r="I28" s="9"/>
      <c r="J28" s="30"/>
    </row>
    <row r="29" customFormat="false" ht="20.25" hidden="false" customHeight="true" outlineLevel="0" collapsed="false">
      <c r="A29" s="1" t="n">
        <v>31</v>
      </c>
      <c r="B29" s="34" t="n">
        <v>37469</v>
      </c>
      <c r="C29" s="56" t="n">
        <v>1196387</v>
      </c>
      <c r="D29" s="29" t="s">
        <v>41</v>
      </c>
      <c r="E29" s="33" t="n">
        <f aca="false">IF(D29="totale",(C29/(A29*24))/F29,IF(D29="marché libre",(C29/(A29*24))/G29,"spécifier histo"))</f>
        <v>0.644766256219227</v>
      </c>
      <c r="F29" s="59" t="n">
        <v>2494</v>
      </c>
      <c r="G29" s="59" t="n">
        <f aca="false">F29-H29</f>
        <v>2494</v>
      </c>
      <c r="H29" s="59" t="n">
        <v>0</v>
      </c>
      <c r="I29" s="9"/>
      <c r="J29" s="30"/>
    </row>
    <row r="30" customFormat="false" ht="20.25" hidden="false" customHeight="true" outlineLevel="0" collapsed="false">
      <c r="A30" s="1" t="n">
        <v>30</v>
      </c>
      <c r="B30" s="31" t="n">
        <v>37500</v>
      </c>
      <c r="C30" s="56" t="n">
        <v>910949</v>
      </c>
      <c r="D30" s="29" t="s">
        <v>41</v>
      </c>
      <c r="E30" s="33" t="n">
        <f aca="false">IF(D30="totale",(C30/(A30*24))/F30,IF(D30="marché libre",(C30/(A30*24))/G30,"spécifier histo"))</f>
        <v>0.507300298494164</v>
      </c>
      <c r="F30" s="59" t="n">
        <v>2494</v>
      </c>
      <c r="G30" s="59" t="n">
        <f aca="false">F30-H30</f>
        <v>2494</v>
      </c>
      <c r="H30" s="59" t="n">
        <v>0</v>
      </c>
      <c r="I30" s="9"/>
      <c r="J30" s="30"/>
    </row>
    <row r="31" customFormat="false" ht="20.25" hidden="false" customHeight="true" outlineLevel="0" collapsed="false">
      <c r="A31" s="1" t="n">
        <v>31</v>
      </c>
      <c r="B31" s="34" t="n">
        <v>37530</v>
      </c>
      <c r="C31" s="56" t="n">
        <v>1489184</v>
      </c>
      <c r="D31" s="29" t="s">
        <v>41</v>
      </c>
      <c r="E31" s="33" t="n">
        <f aca="false">IF(D31="totale",(C31/(A31*24))/F31,IF(D31="marché libre",(C31/(A31*24))/G31,"spécifier histo"))</f>
        <v>0.802562709642928</v>
      </c>
      <c r="F31" s="59" t="n">
        <v>2494</v>
      </c>
      <c r="G31" s="59" t="n">
        <f aca="false">F31-H31</f>
        <v>2494</v>
      </c>
      <c r="H31" s="59" t="n">
        <v>0</v>
      </c>
      <c r="I31" s="9"/>
      <c r="J31" s="30"/>
    </row>
    <row r="32" customFormat="false" ht="20.25" hidden="false" customHeight="true" outlineLevel="0" collapsed="false">
      <c r="A32" s="1" t="n">
        <v>30</v>
      </c>
      <c r="B32" s="31" t="n">
        <v>37561</v>
      </c>
      <c r="C32" s="56" t="n">
        <v>887948</v>
      </c>
      <c r="D32" s="29" t="s">
        <v>41</v>
      </c>
      <c r="E32" s="33" t="n">
        <f aca="false">IF(D32="totale",(C32/(A32*24))/F32,IF(D32="marché libre",(C32/(A32*24))/G32,"spécifier histo"))</f>
        <v>0.494491223380558</v>
      </c>
      <c r="F32" s="59" t="n">
        <v>2494</v>
      </c>
      <c r="G32" s="59" t="n">
        <f aca="false">F32-H32</f>
        <v>2494</v>
      </c>
      <c r="H32" s="59" t="n">
        <v>0</v>
      </c>
      <c r="I32" s="9"/>
      <c r="J32" s="30"/>
    </row>
    <row r="33" customFormat="false" ht="20.25" hidden="false" customHeight="true" outlineLevel="0" collapsed="false">
      <c r="A33" s="1" t="n">
        <v>31</v>
      </c>
      <c r="B33" s="34" t="n">
        <v>37591</v>
      </c>
      <c r="C33" s="56" t="n">
        <v>1244799</v>
      </c>
      <c r="D33" s="29" t="s">
        <v>41</v>
      </c>
      <c r="E33" s="33" t="n">
        <f aca="false">IF(D33="totale",(C33/(A33*24))/F33,IF(D33="marché libre",(C33/(A33*24))/G33,"spécifier histo"))</f>
        <v>0.670856830586957</v>
      </c>
      <c r="F33" s="59" t="n">
        <v>2494</v>
      </c>
      <c r="G33" s="59" t="n">
        <f aca="false">F33-H33</f>
        <v>2494</v>
      </c>
      <c r="H33" s="59" t="n">
        <v>0</v>
      </c>
      <c r="I33" s="9"/>
      <c r="J33" s="30"/>
    </row>
    <row r="34" customFormat="false" ht="20.25" hidden="false" customHeight="true" outlineLevel="0" collapsed="false">
      <c r="A34" s="1" t="n">
        <v>31</v>
      </c>
      <c r="B34" s="31" t="n">
        <v>37622</v>
      </c>
      <c r="C34" s="56" t="n">
        <v>602000</v>
      </c>
      <c r="D34" s="29" t="s">
        <v>41</v>
      </c>
      <c r="E34" s="33" t="n">
        <f aca="false">IF(D34="totale",(C34/(A34*24))/F34,IF(D34="marché libre",(C34/(A34*24))/G34,"spécifier histo"))</f>
        <v>0.324434556915091</v>
      </c>
      <c r="F34" s="59" t="n">
        <v>2494</v>
      </c>
      <c r="G34" s="59" t="n">
        <f aca="false">F34-H34</f>
        <v>2494</v>
      </c>
      <c r="H34" s="59" t="n">
        <v>0</v>
      </c>
      <c r="I34" s="9"/>
      <c r="J34" s="30"/>
    </row>
    <row r="35" customFormat="false" ht="20.25" hidden="false" customHeight="true" outlineLevel="0" collapsed="false">
      <c r="A35" s="1" t="n">
        <v>28</v>
      </c>
      <c r="B35" s="34" t="n">
        <v>37653</v>
      </c>
      <c r="C35" s="56" t="n">
        <v>344800</v>
      </c>
      <c r="D35" s="29" t="s">
        <v>41</v>
      </c>
      <c r="E35" s="33" t="n">
        <f aca="false">IF(D35="totale",(C35/(A35*24))/F35,IF(D35="marché libre",(C35/(A35*24))/G35,"spécifier histo"))</f>
        <v>0.205731851682132</v>
      </c>
      <c r="F35" s="59" t="n">
        <v>2494</v>
      </c>
      <c r="G35" s="59" t="n">
        <f aca="false">F35-H35</f>
        <v>2494</v>
      </c>
      <c r="H35" s="59" t="n">
        <v>0</v>
      </c>
      <c r="I35" s="9"/>
      <c r="J35" s="30"/>
    </row>
    <row r="36" customFormat="false" ht="20.25" hidden="false" customHeight="true" outlineLevel="0" collapsed="false">
      <c r="A36" s="1" t="n">
        <v>31</v>
      </c>
      <c r="B36" s="31" t="n">
        <v>37681</v>
      </c>
      <c r="C36" s="56" t="n">
        <v>628000</v>
      </c>
      <c r="D36" s="29" t="s">
        <v>41</v>
      </c>
      <c r="E36" s="33" t="n">
        <f aca="false">IF(D36="totale",(C36/(A36*24))/F36,IF(D36="marché libre",(C36/(A36*24))/G36,"spécifier histo"))</f>
        <v>0.338446680635676</v>
      </c>
      <c r="F36" s="59" t="n">
        <v>2494</v>
      </c>
      <c r="G36" s="59" t="n">
        <f aca="false">F36-H36</f>
        <v>2494</v>
      </c>
      <c r="H36" s="59" t="n">
        <v>0</v>
      </c>
      <c r="I36" s="9"/>
      <c r="J36" s="30"/>
    </row>
    <row r="37" customFormat="false" ht="20.25" hidden="false" customHeight="true" outlineLevel="0" collapsed="false">
      <c r="A37" s="1" t="n">
        <v>30</v>
      </c>
      <c r="B37" s="34" t="n">
        <v>37712</v>
      </c>
      <c r="C37" s="56" t="n">
        <v>844800</v>
      </c>
      <c r="D37" s="29" t="s">
        <v>41</v>
      </c>
      <c r="E37" s="33" t="n">
        <f aca="false">IF(D37="totale",(C37/(A37*24))/F37,IF(D37="marché libre",(C37/(A37*24))/G37,"spécifier histo"))</f>
        <v>0.470462443197006</v>
      </c>
      <c r="F37" s="59" t="n">
        <v>2494</v>
      </c>
      <c r="G37" s="59" t="n">
        <f aca="false">F37-H37</f>
        <v>2494</v>
      </c>
      <c r="H37" s="59" t="n">
        <v>0</v>
      </c>
      <c r="I37" s="9"/>
      <c r="J37" s="30"/>
    </row>
    <row r="38" customFormat="false" ht="20.25" hidden="false" customHeight="true" outlineLevel="0" collapsed="false">
      <c r="A38" s="1" t="n">
        <v>31</v>
      </c>
      <c r="B38" s="31" t="n">
        <v>37742</v>
      </c>
      <c r="C38" s="56" t="n">
        <v>1750392</v>
      </c>
      <c r="D38" s="29" t="s">
        <v>41</v>
      </c>
      <c r="E38" s="33" t="n">
        <f aca="false">IF(D38="totale",(C38/(A38*24))/F38,IF(D38="marché libre",(C38/(A38*24))/G38,"spécifier histo"))</f>
        <v>0.943334971673953</v>
      </c>
      <c r="F38" s="59" t="n">
        <v>2494</v>
      </c>
      <c r="G38" s="59" t="n">
        <f aca="false">F38-H38</f>
        <v>2494</v>
      </c>
      <c r="H38" s="59" t="n">
        <v>0</v>
      </c>
      <c r="I38" s="9"/>
      <c r="J38" s="30"/>
    </row>
    <row r="39" customFormat="false" ht="20.25" hidden="false" customHeight="true" outlineLevel="0" collapsed="false">
      <c r="A39" s="1" t="n">
        <v>30</v>
      </c>
      <c r="B39" s="34" t="n">
        <v>37773</v>
      </c>
      <c r="C39" s="56" t="n">
        <v>1698790</v>
      </c>
      <c r="D39" s="29" t="s">
        <v>41</v>
      </c>
      <c r="E39" s="33" t="n">
        <f aca="false">IF(D39="totale",(C39/(A39*24))/F39,IF(D39="marché libre",(C39/(A39*24))/G39,"spécifier histo"))</f>
        <v>0.94604272476165</v>
      </c>
      <c r="F39" s="59" t="n">
        <v>2494</v>
      </c>
      <c r="G39" s="59" t="n">
        <f aca="false">F39-H39</f>
        <v>2494</v>
      </c>
      <c r="H39" s="59" t="n">
        <v>0</v>
      </c>
      <c r="I39" s="9"/>
      <c r="J39" s="30"/>
    </row>
    <row r="40" customFormat="false" ht="20.25" hidden="false" customHeight="true" outlineLevel="0" collapsed="false">
      <c r="A40" s="1" t="n">
        <v>31</v>
      </c>
      <c r="B40" s="31" t="n">
        <v>37803</v>
      </c>
      <c r="C40" s="56" t="n">
        <v>797999</v>
      </c>
      <c r="D40" s="29" t="s">
        <v>41</v>
      </c>
      <c r="E40" s="33" t="n">
        <f aca="false">IF(D40="totale",(C40/(A40*24))/F40,IF(D40="marché libre",(C40/(A40*24))/G40,"spécifier histo"))</f>
        <v>0.430063873727052</v>
      </c>
      <c r="F40" s="59" t="n">
        <v>2494</v>
      </c>
      <c r="G40" s="59" t="n">
        <f aca="false">F40-H40</f>
        <v>2494</v>
      </c>
      <c r="H40" s="59" t="n">
        <v>0</v>
      </c>
      <c r="I40" s="9"/>
      <c r="J40" s="30"/>
    </row>
    <row r="41" customFormat="false" ht="20.25" hidden="false" customHeight="true" outlineLevel="0" collapsed="false">
      <c r="A41" s="1" t="n">
        <v>31</v>
      </c>
      <c r="B41" s="34" t="n">
        <v>37834</v>
      </c>
      <c r="C41" s="56" t="n">
        <v>234725</v>
      </c>
      <c r="D41" s="29" t="s">
        <v>41</v>
      </c>
      <c r="E41" s="33" t="n">
        <f aca="false">IF(D41="totale",(C41/(A41*24))/F41,IF(D41="marché libre",(C41/(A41*24))/G41,"spécifier histo"))</f>
        <v>0.126499836165938</v>
      </c>
      <c r="F41" s="59" t="n">
        <v>2494</v>
      </c>
      <c r="G41" s="59" t="n">
        <f aca="false">F41-H41</f>
        <v>2494</v>
      </c>
      <c r="H41" s="59" t="n">
        <v>0</v>
      </c>
      <c r="I41" s="9"/>
      <c r="J41" s="30"/>
    </row>
    <row r="42" customFormat="false" ht="20.25" hidden="false" customHeight="true" outlineLevel="0" collapsed="false">
      <c r="A42" s="1" t="n">
        <v>30</v>
      </c>
      <c r="B42" s="31" t="n">
        <v>37865</v>
      </c>
      <c r="C42" s="56" t="n">
        <v>16268</v>
      </c>
      <c r="D42" s="29" t="s">
        <v>41</v>
      </c>
      <c r="E42" s="33" t="n">
        <f aca="false">IF(D42="totale",(C42/(A42*24))/F42,IF(D42="marché libre",(C42/(A42*24))/G42,"spécifier histo"))</f>
        <v>0.00905952062728326</v>
      </c>
      <c r="F42" s="59" t="n">
        <v>2494</v>
      </c>
      <c r="G42" s="59" t="n">
        <f aca="false">F42-H42</f>
        <v>2494</v>
      </c>
      <c r="H42" s="59" t="n">
        <v>0</v>
      </c>
      <c r="I42" s="9"/>
      <c r="J42" s="30"/>
    </row>
    <row r="43" customFormat="false" ht="20.25" hidden="false" customHeight="true" outlineLevel="0" collapsed="false">
      <c r="A43" s="1" t="n">
        <v>31</v>
      </c>
      <c r="B43" s="34" t="n">
        <v>37895</v>
      </c>
      <c r="C43" s="56" t="n">
        <v>73106</v>
      </c>
      <c r="D43" s="29" t="s">
        <v>41</v>
      </c>
      <c r="E43" s="33" t="n">
        <f aca="false">IF(D43="totale",(C43/(A43*24))/F43,IF(D43="marché libre",(C43/(A43*24))/G43,"spécifier histo"))</f>
        <v>0.0393988583352735</v>
      </c>
      <c r="F43" s="59" t="n">
        <v>2494</v>
      </c>
      <c r="G43" s="59" t="n">
        <f aca="false">F43-H43</f>
        <v>2494</v>
      </c>
      <c r="H43" s="59" t="n">
        <v>0</v>
      </c>
      <c r="I43" s="9"/>
      <c r="J43" s="30"/>
    </row>
    <row r="44" customFormat="false" ht="20.25" hidden="false" customHeight="true" outlineLevel="0" collapsed="false">
      <c r="A44" s="1" t="n">
        <v>30</v>
      </c>
      <c r="B44" s="31" t="n">
        <v>37926</v>
      </c>
      <c r="C44" s="56" t="n">
        <v>893589</v>
      </c>
      <c r="D44" s="29" t="s">
        <v>41</v>
      </c>
      <c r="E44" s="33" t="n">
        <f aca="false">IF(D44="totale",(C44/(A44*24))/F44,IF(D44="marché libre",(C44/(A44*24))/G44,"spécifier histo"))</f>
        <v>0.497632651697407</v>
      </c>
      <c r="F44" s="59" t="n">
        <v>2494</v>
      </c>
      <c r="G44" s="59" t="n">
        <f aca="false">F44-H44</f>
        <v>2494</v>
      </c>
      <c r="H44" s="59" t="n">
        <v>0</v>
      </c>
      <c r="I44" s="9"/>
      <c r="J44" s="30"/>
    </row>
    <row r="45" customFormat="false" ht="20.25" hidden="false" customHeight="true" outlineLevel="0" collapsed="false">
      <c r="A45" s="1" t="n">
        <v>31</v>
      </c>
      <c r="B45" s="34" t="n">
        <v>37956</v>
      </c>
      <c r="C45" s="56" t="n">
        <v>581980</v>
      </c>
      <c r="D45" s="29" t="s">
        <v>41</v>
      </c>
      <c r="E45" s="33" t="n">
        <f aca="false">IF(D45="totale",(C45/(A45*24))/F45,IF(D45="marché libre",(C45/(A45*24))/G45,"spécifier histo"))</f>
        <v>0.31364522165024</v>
      </c>
      <c r="F45" s="59" t="n">
        <v>2494</v>
      </c>
      <c r="G45" s="59" t="n">
        <f aca="false">F45-H45</f>
        <v>2494</v>
      </c>
      <c r="H45" s="59" t="n">
        <v>0</v>
      </c>
      <c r="I45" s="9"/>
      <c r="J45" s="30"/>
    </row>
    <row r="46" customFormat="false" ht="20.25" hidden="false" customHeight="true" outlineLevel="0" collapsed="false">
      <c r="A46" s="1" t="n">
        <v>31</v>
      </c>
      <c r="B46" s="31" t="n">
        <v>37987</v>
      </c>
      <c r="C46" s="56" t="n">
        <v>281200</v>
      </c>
      <c r="D46" s="29" t="s">
        <v>41</v>
      </c>
      <c r="E46" s="33" t="n">
        <f aca="false">IF(D46="totale",(C46/(A46*24))/F46,IF(D46="marché libre",(C46/(A46*24))/G46,"spécifier histo"))</f>
        <v>0.151546507316484</v>
      </c>
      <c r="F46" s="59" t="n">
        <v>2494</v>
      </c>
      <c r="G46" s="59" t="n">
        <f aca="false">F46-H46</f>
        <v>2494</v>
      </c>
      <c r="H46" s="59" t="n">
        <v>0</v>
      </c>
      <c r="I46" s="9"/>
      <c r="J46" s="30"/>
    </row>
    <row r="47" customFormat="false" ht="20.25" hidden="false" customHeight="true" outlineLevel="0" collapsed="false">
      <c r="A47" s="1" t="n">
        <v>28</v>
      </c>
      <c r="B47" s="34" t="n">
        <v>38018</v>
      </c>
      <c r="C47" s="56" t="n">
        <v>314195</v>
      </c>
      <c r="D47" s="29" t="s">
        <v>41</v>
      </c>
      <c r="E47" s="33" t="n">
        <f aca="false">IF(D47="totale",(C47/(A47*24))/F47,IF(D47="marché libre",(C47/(A47*24))/G47,"spécifier histo"))</f>
        <v>0.187470763164929</v>
      </c>
      <c r="F47" s="59" t="n">
        <v>2494</v>
      </c>
      <c r="G47" s="59" t="n">
        <f aca="false">F47-H47</f>
        <v>2494</v>
      </c>
      <c r="H47" s="59" t="n">
        <v>0</v>
      </c>
      <c r="I47" s="9"/>
      <c r="J47" s="30"/>
    </row>
    <row r="48" customFormat="false" ht="20.25" hidden="false" customHeight="true" outlineLevel="0" collapsed="false">
      <c r="A48" s="1" t="n">
        <v>31</v>
      </c>
      <c r="B48" s="31" t="n">
        <v>38047</v>
      </c>
      <c r="C48" s="56" t="n">
        <v>629200</v>
      </c>
      <c r="D48" s="29" t="s">
        <v>41</v>
      </c>
      <c r="E48" s="33" t="n">
        <f aca="false">IF(D48="totale",(C48/(A48*24))/F48,IF(D48="marché libre",(C48/(A48*24))/G48,"spécifier histo"))</f>
        <v>0.339093394038165</v>
      </c>
      <c r="F48" s="59" t="n">
        <v>2494</v>
      </c>
      <c r="G48" s="59" t="n">
        <f aca="false">F48-H48</f>
        <v>2494</v>
      </c>
      <c r="H48" s="59" t="n">
        <v>0</v>
      </c>
      <c r="I48" s="9"/>
      <c r="J48" s="30"/>
    </row>
    <row r="49" customFormat="false" ht="20.25" hidden="false" customHeight="true" outlineLevel="0" collapsed="false">
      <c r="A49" s="1" t="n">
        <v>30</v>
      </c>
      <c r="B49" s="34" t="n">
        <v>38078</v>
      </c>
      <c r="C49" s="56" t="n">
        <v>624000</v>
      </c>
      <c r="D49" s="29" t="s">
        <v>41</v>
      </c>
      <c r="E49" s="33" t="n">
        <f aca="false">IF(D49="totale",(C49/(A49*24))/F49,IF(D49="marché libre",(C49/(A49*24))/G49,"spécifier histo"))</f>
        <v>0.347500668270516</v>
      </c>
      <c r="F49" s="59" t="n">
        <v>2494</v>
      </c>
      <c r="G49" s="59" t="n">
        <f aca="false">F49-H49</f>
        <v>2494</v>
      </c>
      <c r="H49" s="59" t="n">
        <v>0</v>
      </c>
      <c r="I49" s="9"/>
      <c r="J49" s="30"/>
    </row>
    <row r="50" customFormat="false" ht="20.25" hidden="false" customHeight="true" outlineLevel="0" collapsed="false">
      <c r="A50" s="1" t="n">
        <v>31</v>
      </c>
      <c r="B50" s="31" t="n">
        <v>38108</v>
      </c>
      <c r="C50" s="56" t="n">
        <v>1489991</v>
      </c>
      <c r="D50" s="29" t="s">
        <v>41</v>
      </c>
      <c r="E50" s="33" t="n">
        <f aca="false">IF(D50="totale",(C50/(A50*24))/F50,IF(D50="marché libre",(C50/(A50*24))/G50,"spécifier histo"))</f>
        <v>0.802997624406101</v>
      </c>
      <c r="F50" s="59" t="n">
        <v>2494</v>
      </c>
      <c r="G50" s="59" t="n">
        <f aca="false">F50-H50</f>
        <v>2494</v>
      </c>
      <c r="H50" s="59" t="n">
        <v>0</v>
      </c>
      <c r="I50" s="9"/>
      <c r="J50" s="30"/>
    </row>
    <row r="51" customFormat="false" ht="20.25" hidden="false" customHeight="true" outlineLevel="0" collapsed="false">
      <c r="A51" s="1" t="n">
        <v>30</v>
      </c>
      <c r="B51" s="34" t="n">
        <v>38139</v>
      </c>
      <c r="C51" s="56" t="n">
        <v>1764789</v>
      </c>
      <c r="D51" s="29" t="s">
        <v>41</v>
      </c>
      <c r="E51" s="33" t="n">
        <f aca="false">IF(D51="totale",(C51/(A51*24))/F51,IF(D51="marché libre",(C51/(A51*24))/G51,"spécifier histo"))</f>
        <v>0.98279704624432</v>
      </c>
      <c r="F51" s="59" t="n">
        <v>2494</v>
      </c>
      <c r="G51" s="59" t="n">
        <f aca="false">F51-H51</f>
        <v>2494</v>
      </c>
      <c r="H51" s="59" t="n">
        <v>0</v>
      </c>
      <c r="I51" s="9"/>
      <c r="J51" s="30"/>
    </row>
    <row r="52" customFormat="false" ht="20.25" hidden="false" customHeight="true" outlineLevel="0" collapsed="false">
      <c r="A52" s="1" t="n">
        <v>31</v>
      </c>
      <c r="B52" s="31" t="n">
        <v>38169</v>
      </c>
      <c r="C52" s="56" t="n">
        <v>1405949</v>
      </c>
      <c r="D52" s="29" t="s">
        <v>41</v>
      </c>
      <c r="E52" s="33" t="n">
        <f aca="false">IF(D52="totale",(C52/(A52*24))/F52,IF(D52="marché libre",(C52/(A52*24))/G52,"spécifier histo"))</f>
        <v>0.757705051262816</v>
      </c>
      <c r="F52" s="59" t="n">
        <v>2494</v>
      </c>
      <c r="G52" s="59" t="n">
        <f aca="false">F52-H52</f>
        <v>2494</v>
      </c>
      <c r="H52" s="59" t="n">
        <v>0</v>
      </c>
      <c r="I52" s="9"/>
      <c r="J52" s="30"/>
    </row>
    <row r="53" customFormat="false" ht="20.25" hidden="false" customHeight="true" outlineLevel="0" collapsed="false">
      <c r="A53" s="1" t="n">
        <v>31</v>
      </c>
      <c r="B53" s="34" t="n">
        <v>38200</v>
      </c>
      <c r="C53" s="56" t="n">
        <v>370487</v>
      </c>
      <c r="D53" s="29" t="s">
        <v>41</v>
      </c>
      <c r="E53" s="33" t="n">
        <f aca="false">IF(D53="totale",(C53/(A53*24))/F53,IF(D53="marché libre",(C53/(A53*24))/G53,"spécifier histo"))</f>
        <v>0.19966575695648</v>
      </c>
      <c r="F53" s="59" t="n">
        <v>2494</v>
      </c>
      <c r="G53" s="59" t="n">
        <f aca="false">F53-H53</f>
        <v>2494</v>
      </c>
      <c r="H53" s="59" t="n">
        <v>0</v>
      </c>
      <c r="I53" s="9"/>
      <c r="J53" s="30"/>
    </row>
    <row r="54" customFormat="false" ht="20.25" hidden="false" customHeight="true" outlineLevel="0" collapsed="false">
      <c r="A54" s="1" t="n">
        <v>30</v>
      </c>
      <c r="B54" s="31" t="n">
        <v>38231</v>
      </c>
      <c r="C54" s="56" t="n">
        <v>207660</v>
      </c>
      <c r="D54" s="29" t="s">
        <v>41</v>
      </c>
      <c r="E54" s="33" t="n">
        <f aca="false">IF(D54="totale",(C54/(A54*24))/F54,IF(D54="marché libre",(C54/(A54*24))/G54,"spécifier histo"))</f>
        <v>0.115644212777332</v>
      </c>
      <c r="F54" s="59" t="n">
        <v>2494</v>
      </c>
      <c r="G54" s="59" t="n">
        <f aca="false">F54-H54</f>
        <v>2494</v>
      </c>
      <c r="H54" s="59" t="n">
        <v>0</v>
      </c>
      <c r="I54" s="9"/>
      <c r="J54" s="30"/>
    </row>
    <row r="55" customFormat="false" ht="20.25" hidden="false" customHeight="true" outlineLevel="0" collapsed="false">
      <c r="A55" s="1" t="n">
        <v>31</v>
      </c>
      <c r="B55" s="34" t="n">
        <v>38261</v>
      </c>
      <c r="C55" s="56" t="n">
        <v>333114</v>
      </c>
      <c r="D55" s="29" t="s">
        <v>41</v>
      </c>
      <c r="E55" s="33" t="n">
        <f aca="false">IF(D55="totale",(C55/(A55*24))/F55,IF(D55="marché libre",(C55/(A55*24))/G55,"spécifier histo"))</f>
        <v>0.17952440696381</v>
      </c>
      <c r="F55" s="59" t="n">
        <v>2494</v>
      </c>
      <c r="G55" s="59" t="n">
        <f aca="false">F55-H55</f>
        <v>2494</v>
      </c>
      <c r="H55" s="59" t="n">
        <v>0</v>
      </c>
      <c r="I55" s="9"/>
      <c r="J55" s="30"/>
    </row>
    <row r="56" customFormat="false" ht="20.25" hidden="false" customHeight="true" outlineLevel="0" collapsed="false">
      <c r="A56" s="1" t="n">
        <v>30</v>
      </c>
      <c r="B56" s="31" t="n">
        <v>38292</v>
      </c>
      <c r="C56" s="56" t="n">
        <v>1126935</v>
      </c>
      <c r="D56" s="29" t="s">
        <v>41</v>
      </c>
      <c r="E56" s="33" t="n">
        <f aca="false">IF(D56="totale",(C56/(A56*24))/F56,IF(D56="marché libre",(C56/(A56*24))/G56,"spécifier histo"))</f>
        <v>0.627581194867682</v>
      </c>
      <c r="F56" s="59" t="n">
        <v>2494</v>
      </c>
      <c r="G56" s="59" t="n">
        <f aca="false">F56-H56</f>
        <v>2494</v>
      </c>
      <c r="H56" s="59" t="n">
        <v>0</v>
      </c>
      <c r="I56" s="9"/>
      <c r="J56" s="30"/>
    </row>
    <row r="57" customFormat="false" ht="20.25" hidden="false" customHeight="true" outlineLevel="0" collapsed="false">
      <c r="A57" s="1" t="n">
        <v>31</v>
      </c>
      <c r="B57" s="34" t="n">
        <v>38322</v>
      </c>
      <c r="C57" s="56" t="n">
        <v>543785</v>
      </c>
      <c r="D57" s="29" t="s">
        <v>41</v>
      </c>
      <c r="E57" s="33" t="n">
        <f aca="false">IF(D57="totale",(C57/(A57*24))/F57,IF(D57="marché libre",(C57/(A57*24))/G57,"spécifier histo"))</f>
        <v>0.293060872976865</v>
      </c>
      <c r="F57" s="59" t="n">
        <v>2494</v>
      </c>
      <c r="G57" s="59" t="n">
        <f aca="false">F57-H57</f>
        <v>2494</v>
      </c>
      <c r="H57" s="59" t="n">
        <v>0</v>
      </c>
      <c r="I57" s="9"/>
      <c r="J57" s="30"/>
    </row>
    <row r="58" customFormat="false" ht="19.85" hidden="false" customHeight="true" outlineLevel="0" collapsed="false">
      <c r="A58" s="1" t="n">
        <v>31</v>
      </c>
      <c r="B58" s="31" t="n">
        <v>38353</v>
      </c>
      <c r="C58" s="56" t="n">
        <v>360943</v>
      </c>
      <c r="D58" s="29" t="s">
        <v>41</v>
      </c>
      <c r="E58" s="33" t="n">
        <f aca="false">IF(D58="totale",(C58/(A58*24))/F58,IF(D58="marché libre",(C58/(A58*24))/G58,"spécifier histo"))</f>
        <v>0.194522229695355</v>
      </c>
      <c r="F58" s="59" t="n">
        <v>2494</v>
      </c>
      <c r="G58" s="59" t="n">
        <f aca="false">F58-H58</f>
        <v>2494</v>
      </c>
      <c r="H58" s="59" t="n">
        <v>0</v>
      </c>
      <c r="J58" s="178" t="s">
        <v>526</v>
      </c>
    </row>
    <row r="59" customFormat="false" ht="19.85" hidden="false" customHeight="true" outlineLevel="0" collapsed="false">
      <c r="A59" s="1" t="n">
        <v>28</v>
      </c>
      <c r="B59" s="34" t="n">
        <v>38384</v>
      </c>
      <c r="C59" s="56" t="n">
        <v>222204</v>
      </c>
      <c r="D59" s="29" t="s">
        <v>41</v>
      </c>
      <c r="E59" s="33" t="n">
        <f aca="false">IF(D59="totale",(C59/(A59*24))/F59,IF(D59="marché libre",(C59/(A59*24))/G59,"spécifier histo"))</f>
        <v>0.132582483675106</v>
      </c>
      <c r="F59" s="59" t="n">
        <v>2494</v>
      </c>
      <c r="G59" s="59" t="n">
        <f aca="false">F59-H59</f>
        <v>2494</v>
      </c>
      <c r="H59" s="59" t="n">
        <v>0</v>
      </c>
      <c r="J59" s="178" t="s">
        <v>527</v>
      </c>
    </row>
    <row r="60" customFormat="false" ht="19.85" hidden="false" customHeight="true" outlineLevel="0" collapsed="false">
      <c r="A60" s="1" t="n">
        <v>31</v>
      </c>
      <c r="B60" s="31" t="n">
        <v>38412</v>
      </c>
      <c r="C60" s="56" t="n">
        <v>383933</v>
      </c>
      <c r="D60" s="29" t="s">
        <v>41</v>
      </c>
      <c r="E60" s="33" t="n">
        <f aca="false">IF(D60="totale",(C60/(A60*24))/F60,IF(D60="marché libre",(C60/(A60*24))/G60,"spécifier histo"))</f>
        <v>0.206912180631365</v>
      </c>
      <c r="F60" s="59" t="n">
        <v>2494</v>
      </c>
      <c r="G60" s="59" t="n">
        <f aca="false">F60-H60</f>
        <v>2494</v>
      </c>
      <c r="H60" s="59" t="n">
        <v>0</v>
      </c>
      <c r="J60" s="178" t="s">
        <v>528</v>
      </c>
    </row>
    <row r="61" customFormat="false" ht="19.85" hidden="false" customHeight="true" outlineLevel="0" collapsed="false">
      <c r="A61" s="1" t="n">
        <v>30</v>
      </c>
      <c r="B61" s="34" t="n">
        <v>38443</v>
      </c>
      <c r="C61" s="56" t="n">
        <v>548092</v>
      </c>
      <c r="D61" s="29" t="s">
        <v>41</v>
      </c>
      <c r="E61" s="33" t="n">
        <f aca="false">IF(D61="totale",(C61/(A61*24))/F61,IF(D61="marché libre",(C61/(A61*24))/G61,"spécifier histo"))</f>
        <v>0.305228103002762</v>
      </c>
      <c r="F61" s="59" t="n">
        <v>2494</v>
      </c>
      <c r="G61" s="59" t="n">
        <f aca="false">F61-H61</f>
        <v>2494</v>
      </c>
      <c r="H61" s="59" t="n">
        <v>0</v>
      </c>
      <c r="J61" s="178" t="s">
        <v>529</v>
      </c>
    </row>
    <row r="62" customFormat="false" ht="19.85" hidden="false" customHeight="true" outlineLevel="0" collapsed="false">
      <c r="A62" s="1" t="n">
        <v>31</v>
      </c>
      <c r="B62" s="31" t="n">
        <v>38473</v>
      </c>
      <c r="C62" s="56" t="n">
        <v>1760797</v>
      </c>
      <c r="D62" s="29" t="s">
        <v>41</v>
      </c>
      <c r="E62" s="33" t="n">
        <f aca="false">IF(D62="totale",(C62/(A62*24))/F62,IF(D62="marché libre",(C62/(A62*24))/G62,"spécifier histo"))</f>
        <v>0.948942515801364</v>
      </c>
      <c r="F62" s="59" t="n">
        <v>2494</v>
      </c>
      <c r="G62" s="59" t="n">
        <f aca="false">F62-H62</f>
        <v>2494</v>
      </c>
      <c r="H62" s="59" t="n">
        <v>0</v>
      </c>
      <c r="J62" s="178" t="s">
        <v>530</v>
      </c>
    </row>
    <row r="63" customFormat="false" ht="19.85" hidden="false" customHeight="true" outlineLevel="0" collapsed="false">
      <c r="A63" s="1" t="n">
        <v>30</v>
      </c>
      <c r="B63" s="34" t="n">
        <v>38504</v>
      </c>
      <c r="C63" s="56" t="n">
        <v>1083446</v>
      </c>
      <c r="D63" s="29" t="s">
        <v>41</v>
      </c>
      <c r="E63" s="33" t="n">
        <f aca="false">IF(D63="totale",(C63/(A63*24))/F63,IF(D63="marché libre",(C63/(A63*24))/G63,"spécifier histo"))</f>
        <v>0.603362514479195</v>
      </c>
      <c r="F63" s="59" t="n">
        <v>2494</v>
      </c>
      <c r="G63" s="59" t="n">
        <f aca="false">F63-H63</f>
        <v>2494</v>
      </c>
      <c r="H63" s="59" t="n">
        <v>0</v>
      </c>
      <c r="J63" s="178"/>
    </row>
    <row r="64" customFormat="false" ht="19.85" hidden="false" customHeight="true" outlineLevel="0" collapsed="false">
      <c r="A64" s="1" t="n">
        <v>31</v>
      </c>
      <c r="B64" s="31" t="n">
        <v>38534</v>
      </c>
      <c r="C64" s="56" t="n">
        <v>558196</v>
      </c>
      <c r="D64" s="29" t="s">
        <v>41</v>
      </c>
      <c r="E64" s="33" t="n">
        <f aca="false">IF(D64="totale",(C64/(A64*24))/F64,IF(D64="marché libre",(C64/(A64*24))/G64,"spécifier histo"))</f>
        <v>0.300827362012917</v>
      </c>
      <c r="F64" s="59" t="n">
        <v>2494</v>
      </c>
      <c r="G64" s="59" t="n">
        <f aca="false">F64-H64</f>
        <v>2494</v>
      </c>
      <c r="H64" s="59" t="n">
        <v>0</v>
      </c>
      <c r="I64" s="0"/>
      <c r="J64" s="0"/>
      <c r="K64" s="0"/>
    </row>
    <row r="65" customFormat="false" ht="19.85" hidden="false" customHeight="true" outlineLevel="0" collapsed="false">
      <c r="A65" s="1" t="n">
        <v>31</v>
      </c>
      <c r="B65" s="34" t="n">
        <v>38565</v>
      </c>
      <c r="C65" s="56" t="n">
        <v>200598</v>
      </c>
      <c r="D65" s="29" t="s">
        <v>41</v>
      </c>
      <c r="E65" s="33" t="n">
        <f aca="false">IF(D65="totale",(C65/(A65*24))/F65,IF(D65="marché libre",(C65/(A65*24))/G65,"spécifier histo"))</f>
        <v>0.108107845926999</v>
      </c>
      <c r="F65" s="59" t="n">
        <v>2494</v>
      </c>
      <c r="G65" s="59" t="n">
        <f aca="false">F65-H65</f>
        <v>2494</v>
      </c>
      <c r="H65" s="59" t="n">
        <v>0</v>
      </c>
      <c r="I65" s="0"/>
      <c r="J65" s="0"/>
      <c r="K65" s="0"/>
      <c r="L65" s="38"/>
      <c r="M65" s="38"/>
      <c r="N65" s="38"/>
      <c r="O65" s="38"/>
      <c r="P65" s="38"/>
      <c r="Q65" s="38"/>
      <c r="R65" s="38"/>
      <c r="S65" s="38"/>
      <c r="T65" s="38"/>
      <c r="U65" s="38"/>
      <c r="V65" s="38"/>
      <c r="W65" s="38"/>
    </row>
    <row r="66" customFormat="false" ht="19.85" hidden="false" customHeight="true" outlineLevel="0" collapsed="false">
      <c r="A66" s="1" t="n">
        <v>30</v>
      </c>
      <c r="B66" s="31" t="n">
        <v>38596</v>
      </c>
      <c r="C66" s="56" t="n">
        <v>596023</v>
      </c>
      <c r="D66" s="29" t="s">
        <v>41</v>
      </c>
      <c r="E66" s="33" t="n">
        <f aca="false">IF(D66="totale",(C66/(A66*24))/F66,IF(D66="marché libre",(C66/(A66*24))/G66,"spécifier histo"))</f>
        <v>0.331920498084291</v>
      </c>
      <c r="F66" s="59" t="n">
        <v>2494</v>
      </c>
      <c r="G66" s="59" t="n">
        <f aca="false">F66-H66</f>
        <v>2494</v>
      </c>
      <c r="H66" s="59" t="n">
        <v>0</v>
      </c>
      <c r="I66" s="0"/>
      <c r="J66" s="0"/>
      <c r="K66" s="0"/>
      <c r="L66" s="0"/>
      <c r="M66" s="0"/>
      <c r="N66" s="0"/>
      <c r="O66" s="0"/>
      <c r="P66" s="0"/>
      <c r="Q66" s="0"/>
      <c r="R66" s="0"/>
      <c r="S66" s="0"/>
      <c r="T66" s="0"/>
      <c r="U66" s="0"/>
      <c r="V66" s="0"/>
      <c r="W66" s="0"/>
      <c r="X66" s="0"/>
    </row>
    <row r="67" customFormat="false" ht="19.85" hidden="false" customHeight="true" outlineLevel="0" collapsed="false">
      <c r="A67" s="1" t="n">
        <v>31</v>
      </c>
      <c r="B67" s="34" t="n">
        <v>38626</v>
      </c>
      <c r="C67" s="56" t="n">
        <v>1163867</v>
      </c>
      <c r="D67" s="29" t="s">
        <v>41</v>
      </c>
      <c r="E67" s="33" t="n">
        <f aca="false">IF(D67="totale",(C67/(A67*24))/F67,IF(D67="marché libre",(C67/(A67*24))/G67,"spécifier histo"))</f>
        <v>0.627240323011787</v>
      </c>
      <c r="F67" s="59" t="n">
        <v>2494</v>
      </c>
      <c r="G67" s="59" t="n">
        <f aca="false">F67-H67</f>
        <v>2494</v>
      </c>
      <c r="H67" s="59" t="n">
        <v>0</v>
      </c>
      <c r="I67" s="0"/>
      <c r="J67" s="0"/>
      <c r="K67" s="0"/>
      <c r="L67" s="0"/>
      <c r="M67" s="0"/>
      <c r="N67" s="0"/>
      <c r="O67" s="0"/>
      <c r="P67" s="0"/>
      <c r="Q67" s="0"/>
      <c r="R67" s="0"/>
      <c r="S67" s="0"/>
      <c r="T67" s="0"/>
      <c r="U67" s="0"/>
      <c r="V67" s="0"/>
      <c r="W67" s="0"/>
      <c r="X67" s="0"/>
    </row>
    <row r="68" customFormat="false" ht="19.85" hidden="false" customHeight="true" outlineLevel="0" collapsed="false">
      <c r="A68" s="1" t="n">
        <v>30</v>
      </c>
      <c r="B68" s="31" t="n">
        <v>38657</v>
      </c>
      <c r="C68" s="56" t="n">
        <v>1070829</v>
      </c>
      <c r="D68" s="29" t="s">
        <v>41</v>
      </c>
      <c r="E68" s="33" t="n">
        <f aca="false">IF(D68="totale",(C68/(A68*24))/F68,IF(D68="marché libre",(C68/(A68*24))/G68,"spécifier histo"))</f>
        <v>0.596336206896552</v>
      </c>
      <c r="F68" s="59" t="n">
        <v>2494</v>
      </c>
      <c r="G68" s="59" t="n">
        <f aca="false">F68-H68</f>
        <v>2494</v>
      </c>
      <c r="H68" s="59" t="n">
        <v>0</v>
      </c>
      <c r="I68" s="0"/>
      <c r="J68" s="0"/>
      <c r="K68" s="0"/>
      <c r="L68" s="0"/>
      <c r="M68" s="0"/>
      <c r="N68" s="0"/>
      <c r="O68" s="0"/>
      <c r="P68" s="0"/>
      <c r="Q68" s="0"/>
      <c r="R68" s="0"/>
      <c r="S68" s="0"/>
      <c r="T68" s="0"/>
      <c r="U68" s="0"/>
      <c r="V68" s="0"/>
      <c r="W68" s="0"/>
      <c r="X68" s="0"/>
    </row>
    <row r="69" customFormat="false" ht="19.85" hidden="false" customHeight="true" outlineLevel="0" collapsed="false">
      <c r="A69" s="1" t="n">
        <v>31</v>
      </c>
      <c r="B69" s="34" t="n">
        <v>38687</v>
      </c>
      <c r="C69" s="56" t="n">
        <v>503643</v>
      </c>
      <c r="D69" s="29" t="s">
        <v>41</v>
      </c>
      <c r="E69" s="33" t="n">
        <f aca="false">IF(D69="totale",(C69/(A69*24))/F69,IF(D69="marché libre",(C69/(A69*24))/G69,"spécifier histo"))</f>
        <v>0.271427231807952</v>
      </c>
      <c r="F69" s="59" t="n">
        <v>2494</v>
      </c>
      <c r="G69" s="59" t="n">
        <f aca="false">F69-H69</f>
        <v>2494</v>
      </c>
      <c r="H69" s="59" t="n">
        <v>0</v>
      </c>
      <c r="I69" s="0"/>
      <c r="J69" s="0"/>
      <c r="K69" s="0"/>
      <c r="L69" s="0"/>
      <c r="M69" s="0"/>
      <c r="N69" s="0"/>
      <c r="O69" s="0"/>
      <c r="P69" s="0"/>
      <c r="Q69" s="0"/>
      <c r="R69" s="0"/>
      <c r="S69" s="0"/>
      <c r="T69" s="0"/>
      <c r="U69" s="0"/>
      <c r="V69" s="0"/>
      <c r="W69" s="0"/>
      <c r="X69" s="0"/>
    </row>
    <row r="70" customFormat="false" ht="19.85" hidden="false" customHeight="true" outlineLevel="0" collapsed="false">
      <c r="A70" s="1" t="n">
        <v>31</v>
      </c>
      <c r="B70" s="31" t="n">
        <v>38718</v>
      </c>
      <c r="C70" s="56" t="n">
        <v>273197</v>
      </c>
      <c r="D70" s="29" t="s">
        <v>41</v>
      </c>
      <c r="E70" s="33" t="n">
        <f aca="false">IF(D70="totale",(C70/(A70*24))/F70,IF(D70="marché libre",(C70/(A70*24))/G70,"spécifier histo"))</f>
        <v>0.147233467849721</v>
      </c>
      <c r="F70" s="59" t="n">
        <v>2494</v>
      </c>
      <c r="G70" s="59" t="n">
        <f aca="false">F70-H70</f>
        <v>2494</v>
      </c>
      <c r="H70" s="59" t="n">
        <v>0</v>
      </c>
      <c r="I70" s="0"/>
      <c r="J70" s="0"/>
      <c r="K70" s="0"/>
      <c r="L70" s="0"/>
      <c r="M70" s="0"/>
      <c r="N70" s="0"/>
      <c r="O70" s="0"/>
      <c r="P70" s="0"/>
      <c r="Q70" s="0"/>
      <c r="R70" s="0"/>
      <c r="S70" s="0"/>
      <c r="T70" s="0"/>
      <c r="U70" s="0"/>
      <c r="V70" s="0"/>
      <c r="W70" s="0"/>
      <c r="X70" s="0"/>
    </row>
    <row r="71" customFormat="false" ht="19.85" hidden="false" customHeight="true" outlineLevel="0" collapsed="false">
      <c r="A71" s="1" t="n">
        <v>28</v>
      </c>
      <c r="B71" s="34" t="n">
        <v>38749</v>
      </c>
      <c r="C71" s="56" t="n">
        <v>183288</v>
      </c>
      <c r="D71" s="29" t="s">
        <v>41</v>
      </c>
      <c r="E71" s="33" t="n">
        <f aca="false">IF(D71="totale",(C71/(A71*24))/F71,IF(D71="marché libre",(C71/(A71*24))/G71,"spécifier histo"))</f>
        <v>0.109362469927827</v>
      </c>
      <c r="F71" s="59" t="n">
        <v>2494</v>
      </c>
      <c r="G71" s="59" t="n">
        <f aca="false">F71-H71</f>
        <v>2494</v>
      </c>
      <c r="H71" s="59" t="n">
        <v>0</v>
      </c>
      <c r="I71" s="0"/>
      <c r="J71" s="0"/>
      <c r="K71" s="0"/>
      <c r="L71" s="0"/>
      <c r="M71" s="0"/>
      <c r="N71" s="0"/>
      <c r="O71" s="0"/>
      <c r="P71" s="0"/>
      <c r="Q71" s="0"/>
      <c r="R71" s="0"/>
      <c r="S71" s="0"/>
      <c r="T71" s="0"/>
      <c r="U71" s="0"/>
      <c r="V71" s="0"/>
      <c r="W71" s="0"/>
      <c r="X71" s="0"/>
    </row>
    <row r="72" customFormat="false" ht="19.85" hidden="false" customHeight="true" outlineLevel="0" collapsed="false">
      <c r="A72" s="1" t="n">
        <v>31</v>
      </c>
      <c r="B72" s="31" t="n">
        <v>38777</v>
      </c>
      <c r="C72" s="56" t="n">
        <v>278965</v>
      </c>
      <c r="D72" s="29" t="s">
        <v>41</v>
      </c>
      <c r="E72" s="33" t="n">
        <f aca="false">IF(D72="totale",(C72/(A72*24))/F72,IF(D72="marché libre",(C72/(A72*24))/G72,"spécifier histo"))</f>
        <v>0.150342003604349</v>
      </c>
      <c r="F72" s="59" t="n">
        <v>2494</v>
      </c>
      <c r="G72" s="59" t="n">
        <f aca="false">F72-H72</f>
        <v>2494</v>
      </c>
      <c r="H72" s="59" t="n">
        <v>0</v>
      </c>
      <c r="I72" s="0"/>
      <c r="J72" s="0"/>
      <c r="K72" s="0"/>
      <c r="L72" s="0"/>
      <c r="M72" s="0"/>
      <c r="N72" s="0"/>
      <c r="O72" s="0"/>
      <c r="P72" s="0"/>
      <c r="Q72" s="0"/>
      <c r="R72" s="0"/>
      <c r="S72" s="0"/>
      <c r="T72" s="0"/>
      <c r="U72" s="0"/>
      <c r="V72" s="0"/>
      <c r="W72" s="0"/>
      <c r="X72" s="0"/>
    </row>
    <row r="73" customFormat="false" ht="19.85" hidden="false" customHeight="true" outlineLevel="0" collapsed="false">
      <c r="A73" s="1" t="n">
        <v>30</v>
      </c>
      <c r="B73" s="34" t="n">
        <v>38808</v>
      </c>
      <c r="C73" s="56" t="n">
        <v>746348</v>
      </c>
      <c r="D73" s="29" t="s">
        <v>41</v>
      </c>
      <c r="E73" s="33" t="n">
        <f aca="false">IF(D73="totale",(C73/(A73*24))/F73,IF(D73="marché libre",(C73/(A73*24))/G73,"spécifier histo"))</f>
        <v>0.415635302503787</v>
      </c>
      <c r="F73" s="59" t="n">
        <v>2494</v>
      </c>
      <c r="G73" s="59" t="n">
        <f aca="false">F73-H73</f>
        <v>2494</v>
      </c>
      <c r="H73" s="59" t="n">
        <v>0</v>
      </c>
      <c r="I73" s="0"/>
      <c r="J73" s="0"/>
      <c r="K73" s="0"/>
      <c r="L73" s="0"/>
      <c r="M73" s="0"/>
      <c r="N73" s="0"/>
      <c r="O73" s="0"/>
      <c r="P73" s="0"/>
      <c r="Q73" s="0"/>
      <c r="R73" s="0"/>
      <c r="S73" s="0"/>
      <c r="T73" s="0"/>
      <c r="U73" s="0"/>
      <c r="V73" s="0"/>
      <c r="W73" s="0"/>
      <c r="X73" s="0"/>
    </row>
    <row r="74" customFormat="false" ht="19.85" hidden="false" customHeight="true" outlineLevel="0" collapsed="false">
      <c r="A74" s="1" t="n">
        <v>31</v>
      </c>
      <c r="B74" s="31" t="n">
        <v>38838</v>
      </c>
      <c r="C74" s="56" t="n">
        <v>1619763</v>
      </c>
      <c r="D74" s="29" t="s">
        <v>41</v>
      </c>
      <c r="E74" s="33" t="n">
        <f aca="false">IF(D74="totale",(C74/(A74*24))/F74,IF(D74="marché libre",(C74/(A74*24))/G74,"spécifier histo"))</f>
        <v>0.872935367462555</v>
      </c>
      <c r="F74" s="59" t="n">
        <v>2494</v>
      </c>
      <c r="G74" s="59" t="n">
        <f aca="false">F74-H74</f>
        <v>2494</v>
      </c>
      <c r="H74" s="59" t="n">
        <v>0</v>
      </c>
      <c r="I74" s="0"/>
      <c r="J74" s="0"/>
      <c r="K74" s="0"/>
      <c r="L74" s="0"/>
      <c r="M74" s="0"/>
      <c r="N74" s="0"/>
      <c r="O74" s="0"/>
      <c r="P74" s="0"/>
      <c r="Q74" s="0"/>
      <c r="R74" s="0"/>
      <c r="S74" s="0"/>
      <c r="T74" s="0"/>
      <c r="U74" s="0"/>
      <c r="V74" s="0"/>
      <c r="W74" s="0"/>
      <c r="X74" s="0"/>
    </row>
    <row r="75" customFormat="false" ht="19.85" hidden="false" customHeight="true" outlineLevel="0" collapsed="false">
      <c r="A75" s="1" t="n">
        <v>30</v>
      </c>
      <c r="B75" s="34" t="n">
        <v>38869</v>
      </c>
      <c r="C75" s="56" t="n">
        <v>839131</v>
      </c>
      <c r="D75" s="29" t="s">
        <v>41</v>
      </c>
      <c r="E75" s="33" t="n">
        <f aca="false">IF(D75="totale",(C75/(A75*24))/F75,IF(D75="marché libre",(C75/(A75*24))/G75,"spécifier histo"))</f>
        <v>0.467305421901452</v>
      </c>
      <c r="F75" s="59" t="n">
        <v>2494</v>
      </c>
      <c r="G75" s="59" t="n">
        <f aca="false">F75-H75</f>
        <v>2494</v>
      </c>
      <c r="H75" s="59" t="n">
        <v>0</v>
      </c>
      <c r="I75" s="0"/>
      <c r="J75" s="0"/>
      <c r="K75" s="0"/>
      <c r="L75" s="0"/>
      <c r="M75" s="0"/>
      <c r="N75" s="0"/>
      <c r="O75" s="0"/>
      <c r="P75" s="0"/>
      <c r="Q75" s="0"/>
      <c r="R75" s="0"/>
      <c r="S75" s="0"/>
      <c r="T75" s="0"/>
      <c r="U75" s="0"/>
      <c r="V75" s="0"/>
      <c r="W75" s="0"/>
      <c r="X75" s="0"/>
    </row>
    <row r="76" customFormat="false" ht="19.85" hidden="false" customHeight="true" outlineLevel="0" collapsed="false">
      <c r="A76" s="1" t="n">
        <v>31</v>
      </c>
      <c r="B76" s="31" t="n">
        <v>38899</v>
      </c>
      <c r="C76" s="56" t="n">
        <v>513714</v>
      </c>
      <c r="D76" s="29" t="s">
        <v>41</v>
      </c>
      <c r="E76" s="33" t="n">
        <f aca="false">IF(D76="totale",(C76/(A76*24))/F76,IF(D76="marché libre",(C76/(A76*24))/G76,"spécifier histo"))</f>
        <v>0.276854774038337</v>
      </c>
      <c r="F76" s="59" t="n">
        <v>2494</v>
      </c>
      <c r="G76" s="59" t="n">
        <f aca="false">F76-H76</f>
        <v>2494</v>
      </c>
      <c r="H76" s="59" t="n">
        <v>0</v>
      </c>
      <c r="I76" s="0"/>
      <c r="J76" s="0"/>
      <c r="K76" s="0"/>
      <c r="L76" s="0"/>
      <c r="M76" s="0"/>
      <c r="N76" s="0"/>
      <c r="O76" s="0"/>
      <c r="P76" s="0"/>
      <c r="Q76" s="0"/>
      <c r="R76" s="0"/>
      <c r="S76" s="0"/>
      <c r="T76" s="0"/>
      <c r="U76" s="0"/>
      <c r="V76" s="0"/>
      <c r="W76" s="0"/>
      <c r="X76" s="0"/>
    </row>
    <row r="77" customFormat="false" ht="19.85" hidden="false" customHeight="true" outlineLevel="0" collapsed="false">
      <c r="A77" s="1" t="n">
        <v>31</v>
      </c>
      <c r="B77" s="34" t="n">
        <v>38930</v>
      </c>
      <c r="C77" s="56" t="n">
        <v>411377</v>
      </c>
      <c r="D77" s="29" t="s">
        <v>41</v>
      </c>
      <c r="E77" s="33" t="n">
        <f aca="false">IF(D77="totale",(C77/(A77*24))/F77,IF(D77="marché libre",(C77/(A77*24))/G77,"spécifier histo"))</f>
        <v>0.221702516146278</v>
      </c>
      <c r="F77" s="59" t="n">
        <v>2494</v>
      </c>
      <c r="G77" s="59" t="n">
        <f aca="false">F77-H77</f>
        <v>2494</v>
      </c>
      <c r="H77" s="59" t="n">
        <v>0</v>
      </c>
      <c r="I77" s="0"/>
      <c r="J77" s="0"/>
      <c r="K77" s="0"/>
      <c r="L77" s="0"/>
      <c r="M77" s="0"/>
      <c r="N77" s="0"/>
      <c r="O77" s="0"/>
      <c r="P77" s="0"/>
      <c r="Q77" s="0"/>
      <c r="R77" s="0"/>
      <c r="S77" s="0"/>
      <c r="T77" s="0"/>
      <c r="U77" s="0"/>
      <c r="V77" s="0"/>
      <c r="W77" s="0"/>
      <c r="X77" s="0"/>
    </row>
    <row r="78" customFormat="false" ht="19.85" hidden="false" customHeight="true" outlineLevel="0" collapsed="false">
      <c r="A78" s="1" t="n">
        <v>30</v>
      </c>
      <c r="B78" s="31" t="n">
        <v>38961</v>
      </c>
      <c r="C78" s="56" t="n">
        <v>390895</v>
      </c>
      <c r="D78" s="29" t="s">
        <v>41</v>
      </c>
      <c r="E78" s="33" t="n">
        <f aca="false">IF(D78="totale",(C78/(A78*24))/F78,IF(D78="marché libre",(C78/(A78*24))/G78,"spécifier histo"))</f>
        <v>0.217686336095518</v>
      </c>
      <c r="F78" s="59" t="n">
        <v>2494</v>
      </c>
      <c r="G78" s="59" t="n">
        <f aca="false">F78-H78</f>
        <v>2494</v>
      </c>
      <c r="H78" s="59" t="n">
        <v>0</v>
      </c>
      <c r="I78" s="0"/>
      <c r="J78" s="0"/>
      <c r="K78" s="0"/>
      <c r="S78" s="0"/>
      <c r="U78" s="0"/>
      <c r="V78" s="0"/>
      <c r="W78" s="0"/>
    </row>
    <row r="79" customFormat="false" ht="19.85" hidden="false" customHeight="true" outlineLevel="0" collapsed="false">
      <c r="A79" s="1" t="n">
        <v>31</v>
      </c>
      <c r="B79" s="34" t="n">
        <v>38991</v>
      </c>
      <c r="C79" s="56" t="n">
        <v>833166</v>
      </c>
      <c r="D79" s="29" t="s">
        <v>41</v>
      </c>
      <c r="E79" s="33" t="n">
        <f aca="false">IF(D79="totale",(C79/(A79*24))/F79,IF(D79="marché libre",(C79/(A79*24))/G79,"spécifier histo"))</f>
        <v>0.449016348914815</v>
      </c>
      <c r="F79" s="59" t="n">
        <v>2494</v>
      </c>
      <c r="G79" s="59" t="n">
        <f aca="false">F79-H79</f>
        <v>2494</v>
      </c>
      <c r="H79" s="59" t="n">
        <v>0</v>
      </c>
      <c r="I79" s="0"/>
      <c r="J79" s="0"/>
      <c r="K79" s="0"/>
      <c r="L79" s="0"/>
      <c r="M79" s="0"/>
      <c r="N79" s="0"/>
      <c r="O79" s="0"/>
      <c r="P79" s="0"/>
      <c r="Q79" s="0"/>
      <c r="R79" s="0"/>
      <c r="S79" s="0"/>
      <c r="T79" s="0"/>
      <c r="U79" s="0"/>
      <c r="V79" s="0"/>
    </row>
    <row r="80" customFormat="false" ht="19.85" hidden="false" customHeight="true" outlineLevel="0" collapsed="false">
      <c r="A80" s="1" t="n">
        <v>30</v>
      </c>
      <c r="B80" s="31" t="n">
        <v>39022</v>
      </c>
      <c r="C80" s="56" t="n">
        <v>821883</v>
      </c>
      <c r="D80" s="29" t="s">
        <v>41</v>
      </c>
      <c r="E80" s="33" t="n">
        <f aca="false">IF(D80="totale",(C80/(A80*24))/F80,IF(D80="marché libre",(C80/(A80*24))/G80,"spécifier histo"))</f>
        <v>0.457700147019513</v>
      </c>
      <c r="F80" s="59" t="n">
        <v>2494</v>
      </c>
      <c r="G80" s="59" t="n">
        <f aca="false">F80-H80</f>
        <v>2494</v>
      </c>
      <c r="H80" s="59" t="n">
        <v>0</v>
      </c>
      <c r="J80" s="183"/>
      <c r="K80" s="0"/>
      <c r="L80" s="0"/>
      <c r="M80" s="0"/>
      <c r="N80" s="0"/>
      <c r="O80" s="0"/>
      <c r="P80" s="0"/>
      <c r="Q80" s="0"/>
      <c r="R80" s="0"/>
      <c r="S80" s="0"/>
      <c r="T80" s="0"/>
      <c r="U80" s="0"/>
      <c r="V80" s="0"/>
    </row>
    <row r="81" customFormat="false" ht="19.85" hidden="false" customHeight="true" outlineLevel="0" collapsed="false">
      <c r="A81" s="1" t="n">
        <v>31</v>
      </c>
      <c r="B81" s="34" t="n">
        <v>39052</v>
      </c>
      <c r="C81" s="56" t="n">
        <v>1062616</v>
      </c>
      <c r="D81" s="29" t="s">
        <v>41</v>
      </c>
      <c r="E81" s="33" t="n">
        <f aca="false">IF(D81="totale",(C81/(A81*24))/F81,IF(D81="marché libre",(C81/(A81*24))/G81,"spécifier histo"))</f>
        <v>0.57267334074898</v>
      </c>
      <c r="F81" s="59" t="n">
        <v>2494</v>
      </c>
      <c r="G81" s="59" t="n">
        <f aca="false">F81-H81</f>
        <v>2494</v>
      </c>
      <c r="H81" s="59" t="n">
        <v>0</v>
      </c>
      <c r="J81" s="183"/>
      <c r="K81" s="0"/>
      <c r="L81" s="0"/>
      <c r="M81" s="0"/>
      <c r="N81" s="0"/>
      <c r="O81" s="0"/>
      <c r="P81" s="0"/>
      <c r="Q81" s="0"/>
      <c r="R81" s="0"/>
      <c r="S81" s="0"/>
      <c r="T81" s="0"/>
      <c r="U81" s="0"/>
      <c r="V81" s="0"/>
    </row>
    <row r="82" customFormat="false" ht="19.85" hidden="false" customHeight="true" outlineLevel="0" collapsed="false">
      <c r="A82" s="1" t="n">
        <v>31</v>
      </c>
      <c r="B82" s="31" t="n">
        <v>39083</v>
      </c>
      <c r="C82" s="56" t="n">
        <v>513305</v>
      </c>
      <c r="D82" s="29" t="s">
        <v>41</v>
      </c>
      <c r="E82" s="33" t="n">
        <f aca="false">IF(D82="totale",(C82/(A82*24))/F82,IF(D82="marché libre",(C82/(A82*24))/G82,"spécifier histo"))</f>
        <v>0.276634352553656</v>
      </c>
      <c r="F82" s="59" t="n">
        <v>2494</v>
      </c>
      <c r="G82" s="59" t="n">
        <f aca="false">F82-H82</f>
        <v>2494</v>
      </c>
      <c r="H82" s="59" t="n">
        <v>0</v>
      </c>
      <c r="J82" s="183"/>
      <c r="K82" s="0"/>
      <c r="L82" s="0"/>
      <c r="M82" s="0"/>
      <c r="N82" s="0"/>
      <c r="O82" s="0"/>
      <c r="P82" s="0"/>
      <c r="Q82" s="0"/>
      <c r="R82" s="0"/>
      <c r="S82" s="0"/>
      <c r="T82" s="0"/>
      <c r="U82" s="0"/>
      <c r="V82" s="0"/>
    </row>
    <row r="83" customFormat="false" ht="19.85" hidden="false" customHeight="true" outlineLevel="0" collapsed="false">
      <c r="A83" s="1" t="n">
        <v>28</v>
      </c>
      <c r="B83" s="34" t="n">
        <v>39114</v>
      </c>
      <c r="C83" s="56" t="n">
        <v>341041</v>
      </c>
      <c r="D83" s="29" t="s">
        <v>41</v>
      </c>
      <c r="E83" s="33" t="n">
        <f aca="false">IF(D83="totale",(C83/(A83*24))/F83,IF(D83="marché libre",(C83/(A83*24))/G83,"spécifier histo"))</f>
        <v>0.203488968763127</v>
      </c>
      <c r="F83" s="59" t="n">
        <v>2494</v>
      </c>
      <c r="G83" s="59" t="n">
        <f aca="false">F83-H83</f>
        <v>2494</v>
      </c>
      <c r="H83" s="59" t="n">
        <v>0</v>
      </c>
      <c r="J83" s="183"/>
      <c r="K83" s="0"/>
      <c r="L83" s="0"/>
      <c r="M83" s="0"/>
      <c r="N83" s="0"/>
      <c r="O83" s="0"/>
      <c r="P83" s="0"/>
      <c r="Q83" s="0"/>
      <c r="R83" s="0"/>
      <c r="S83" s="0"/>
      <c r="T83" s="0"/>
      <c r="U83" s="0"/>
      <c r="V83" s="0"/>
    </row>
    <row r="84" customFormat="false" ht="19.85" hidden="false" customHeight="true" outlineLevel="0" collapsed="false">
      <c r="A84" s="1" t="n">
        <v>31</v>
      </c>
      <c r="B84" s="31" t="n">
        <v>39142</v>
      </c>
      <c r="C84" s="56" t="n">
        <v>353517</v>
      </c>
      <c r="D84" s="29" t="s">
        <v>41</v>
      </c>
      <c r="E84" s="33" t="n">
        <f aca="false">IF(D84="totale",(C84/(A84*24))/F84,IF(D84="marché libre",(C84/(A84*24))/G84,"spécifier histo"))</f>
        <v>0.190520151589622</v>
      </c>
      <c r="F84" s="59" t="n">
        <v>2494</v>
      </c>
      <c r="G84" s="59" t="n">
        <f aca="false">F84-H84</f>
        <v>2494</v>
      </c>
      <c r="H84" s="59" t="n">
        <v>0</v>
      </c>
      <c r="J84" s="183"/>
      <c r="K84" s="0"/>
      <c r="L84" s="0"/>
      <c r="M84" s="0"/>
      <c r="N84" s="0"/>
      <c r="O84" s="0"/>
      <c r="P84" s="0"/>
      <c r="Q84" s="0"/>
      <c r="R84" s="0"/>
      <c r="S84" s="0"/>
      <c r="T84" s="0"/>
      <c r="U84" s="0"/>
      <c r="V84" s="0"/>
    </row>
    <row r="85" customFormat="false" ht="19.85" hidden="false" customHeight="true" outlineLevel="0" collapsed="false">
      <c r="A85" s="1" t="n">
        <v>30</v>
      </c>
      <c r="B85" s="34" t="n">
        <v>39173</v>
      </c>
      <c r="C85" s="56" t="n">
        <v>890149</v>
      </c>
      <c r="D85" s="29" t="s">
        <v>41</v>
      </c>
      <c r="E85" s="33" t="n">
        <f aca="false">IF(D85="totale",(C85/(A85*24))/F85,IF(D85="marché libre",(C85/(A85*24))/G85,"spécifier histo"))</f>
        <v>0.495716942885147</v>
      </c>
      <c r="F85" s="59" t="n">
        <v>2494</v>
      </c>
      <c r="G85" s="59" t="n">
        <f aca="false">F85-H85</f>
        <v>2494</v>
      </c>
      <c r="H85" s="59" t="n">
        <v>0</v>
      </c>
      <c r="J85" s="183"/>
      <c r="K85" s="0"/>
      <c r="L85" s="0"/>
      <c r="M85" s="0"/>
      <c r="N85" s="0"/>
      <c r="O85" s="0"/>
      <c r="P85" s="0"/>
      <c r="Q85" s="0"/>
      <c r="R85" s="0"/>
      <c r="S85" s="0"/>
      <c r="T85" s="0"/>
      <c r="U85" s="0"/>
      <c r="V85" s="0"/>
    </row>
    <row r="86" customFormat="false" ht="19.85" hidden="false" customHeight="true" outlineLevel="0" collapsed="false">
      <c r="A86" s="1" t="n">
        <v>31</v>
      </c>
      <c r="B86" s="31" t="n">
        <v>39203</v>
      </c>
      <c r="C86" s="56" t="n">
        <v>1392381</v>
      </c>
      <c r="D86" s="29" t="s">
        <v>41</v>
      </c>
      <c r="E86" s="33" t="n">
        <f aca="false">IF(D86="totale",(C86/(A86*24))/F86,IF(D86="marché libre",(C86/(A86*24))/G86,"spécifier histo"))</f>
        <v>0.750392878392012</v>
      </c>
      <c r="F86" s="59" t="n">
        <v>2494</v>
      </c>
      <c r="G86" s="59" t="n">
        <f aca="false">F86-H86</f>
        <v>2494</v>
      </c>
      <c r="H86" s="59" t="n">
        <v>0</v>
      </c>
      <c r="J86" s="183"/>
      <c r="K86" s="0"/>
      <c r="L86" s="0"/>
      <c r="M86" s="0"/>
      <c r="N86" s="0"/>
      <c r="O86" s="0"/>
      <c r="P86" s="0"/>
      <c r="Q86" s="0"/>
      <c r="R86" s="0"/>
      <c r="S86" s="0"/>
      <c r="T86" s="0"/>
      <c r="U86" s="0"/>
      <c r="V86" s="0"/>
    </row>
    <row r="87" customFormat="false" ht="19.85" hidden="false" customHeight="true" outlineLevel="0" collapsed="false">
      <c r="A87" s="1" t="n">
        <v>30</v>
      </c>
      <c r="B87" s="34" t="n">
        <v>39234</v>
      </c>
      <c r="C87" s="56" t="n">
        <v>1428571</v>
      </c>
      <c r="D87" s="29" t="s">
        <v>41</v>
      </c>
      <c r="E87" s="33" t="n">
        <f aca="false">IF(D87="totale",(C87/(A87*24))/F87,IF(D87="marché libre",(C87/(A87*24))/G87,"spécifier histo"))</f>
        <v>0.795559899313909</v>
      </c>
      <c r="F87" s="59" t="n">
        <v>2494</v>
      </c>
      <c r="G87" s="59" t="n">
        <f aca="false">F87-H87</f>
        <v>2494</v>
      </c>
      <c r="H87" s="59" t="n">
        <v>0</v>
      </c>
      <c r="J87" s="183"/>
      <c r="K87" s="0"/>
      <c r="L87" s="0"/>
      <c r="M87" s="0"/>
      <c r="N87" s="0"/>
      <c r="O87" s="0"/>
      <c r="P87" s="0"/>
      <c r="Q87" s="0"/>
      <c r="R87" s="0"/>
      <c r="S87" s="0"/>
      <c r="T87" s="0"/>
      <c r="U87" s="0"/>
      <c r="V87" s="0"/>
    </row>
    <row r="88" customFormat="false" ht="19.85" hidden="false" customHeight="true" outlineLevel="0" collapsed="false">
      <c r="A88" s="1" t="n">
        <v>31</v>
      </c>
      <c r="B88" s="31" t="n">
        <v>39264</v>
      </c>
      <c r="C88" s="56" t="n">
        <v>518732</v>
      </c>
      <c r="D88" s="29" t="s">
        <v>41</v>
      </c>
      <c r="E88" s="33" t="n">
        <f aca="false">IF(D88="totale",(C88/(A88*24))/F88,IF(D88="marché libre",(C88/(A88*24))/G88,"spécifier histo"))</f>
        <v>0.27955911391641</v>
      </c>
      <c r="F88" s="59" t="n">
        <v>2494</v>
      </c>
      <c r="G88" s="59" t="n">
        <f aca="false">F88-H88</f>
        <v>2494</v>
      </c>
      <c r="H88" s="59" t="n">
        <v>0</v>
      </c>
      <c r="J88" s="183"/>
      <c r="K88" s="0"/>
      <c r="L88" s="0"/>
      <c r="M88" s="0"/>
      <c r="N88" s="0"/>
      <c r="O88" s="0"/>
      <c r="P88" s="0"/>
      <c r="Q88" s="0"/>
      <c r="R88" s="0"/>
      <c r="S88" s="0"/>
      <c r="T88" s="0"/>
      <c r="U88" s="0"/>
      <c r="V88" s="0"/>
    </row>
    <row r="89" customFormat="false" ht="19.85" hidden="false" customHeight="true" outlineLevel="0" collapsed="false">
      <c r="A89" s="1" t="n">
        <v>31</v>
      </c>
      <c r="B89" s="34" t="n">
        <v>39295</v>
      </c>
      <c r="C89" s="56" t="n">
        <v>141332</v>
      </c>
      <c r="D89" s="29" t="s">
        <v>41</v>
      </c>
      <c r="E89" s="33" t="n">
        <f aca="false">IF(D89="totale",(C89/(A89*24))/F89,IF(D89="marché libre",(C89/(A89*24))/G89,"spécifier histo"))</f>
        <v>0.0761677488337602</v>
      </c>
      <c r="F89" s="59" t="n">
        <v>2494</v>
      </c>
      <c r="G89" s="59" t="n">
        <f aca="false">F89-H89</f>
        <v>2494</v>
      </c>
      <c r="H89" s="59" t="n">
        <v>0</v>
      </c>
      <c r="J89" s="183"/>
      <c r="K89" s="0"/>
      <c r="L89" s="0"/>
      <c r="M89" s="0"/>
      <c r="N89" s="0"/>
      <c r="O89" s="0"/>
      <c r="P89" s="0"/>
      <c r="Q89" s="0"/>
      <c r="R89" s="0"/>
      <c r="S89" s="0"/>
      <c r="T89" s="0"/>
      <c r="U89" s="0"/>
      <c r="V89" s="0"/>
    </row>
    <row r="90" customFormat="false" ht="19.85" hidden="false" customHeight="true" outlineLevel="0" collapsed="false">
      <c r="A90" s="1" t="n">
        <v>30</v>
      </c>
      <c r="B90" s="31" t="n">
        <v>39326</v>
      </c>
      <c r="C90" s="56" t="n">
        <v>0</v>
      </c>
      <c r="D90" s="29" t="s">
        <v>41</v>
      </c>
      <c r="E90" s="33" t="n">
        <f aca="false">IF(D90="totale",(C90/(A90*24))/F90,IF(D90="marché libre",(C90/(A90*24))/G90,"spécifier histo"))</f>
        <v>0</v>
      </c>
      <c r="F90" s="59" t="n">
        <v>2494</v>
      </c>
      <c r="G90" s="59" t="n">
        <f aca="false">F90-H90</f>
        <v>2494</v>
      </c>
      <c r="H90" s="59" t="n">
        <v>0</v>
      </c>
      <c r="J90" s="183"/>
      <c r="K90" s="0"/>
      <c r="L90" s="0"/>
      <c r="M90" s="0"/>
      <c r="N90" s="0"/>
      <c r="O90" s="0"/>
      <c r="P90" s="0"/>
      <c r="Q90" s="0"/>
      <c r="R90" s="0"/>
      <c r="S90" s="0"/>
      <c r="T90" s="0"/>
      <c r="U90" s="0"/>
    </row>
    <row r="91" customFormat="false" ht="19.85" hidden="false" customHeight="true" outlineLevel="0" collapsed="false">
      <c r="A91" s="1" t="n">
        <v>31</v>
      </c>
      <c r="B91" s="34" t="n">
        <v>39356</v>
      </c>
      <c r="C91" s="56" t="n">
        <v>70057</v>
      </c>
      <c r="D91" s="29" t="s">
        <v>41</v>
      </c>
      <c r="E91" s="33" t="n">
        <f aca="false">IF(D91="totale",(C91/(A91*24))/F91,IF(D91="marché libre",(C91/(A91*24))/G91,"spécifier histo"))</f>
        <v>0.0377556673651171</v>
      </c>
      <c r="F91" s="59" t="n">
        <v>2494</v>
      </c>
      <c r="G91" s="59" t="n">
        <f aca="false">F91-H91</f>
        <v>2494</v>
      </c>
      <c r="H91" s="59" t="n">
        <v>0</v>
      </c>
      <c r="J91" s="183"/>
      <c r="K91" s="0"/>
      <c r="L91" s="0"/>
      <c r="M91" s="0"/>
      <c r="N91" s="0"/>
      <c r="O91" s="0"/>
      <c r="P91" s="0"/>
      <c r="Q91" s="0"/>
      <c r="R91" s="0"/>
      <c r="S91" s="0"/>
      <c r="T91" s="0"/>
      <c r="U91" s="0"/>
      <c r="V91" s="0"/>
    </row>
    <row r="92" customFormat="false" ht="19.85" hidden="false" customHeight="true" outlineLevel="0" collapsed="false">
      <c r="A92" s="1" t="n">
        <v>30</v>
      </c>
      <c r="B92" s="31" t="n">
        <v>39387</v>
      </c>
      <c r="C92" s="56" t="n">
        <v>235390</v>
      </c>
      <c r="D92" s="29" t="s">
        <v>41</v>
      </c>
      <c r="E92" s="33" t="n">
        <f aca="false">IF(D92="totale",(C92/(A92*24))/F92,IF(D92="marché libre",(C92/(A92*24))/G92,"spécifier histo"))</f>
        <v>0.1310868306157</v>
      </c>
      <c r="F92" s="59" t="n">
        <v>2494</v>
      </c>
      <c r="G92" s="59" t="n">
        <f aca="false">F92-H92</f>
        <v>2494</v>
      </c>
      <c r="H92" s="59" t="n">
        <v>0</v>
      </c>
      <c r="J92" s="183"/>
      <c r="K92" s="0"/>
      <c r="S92" s="0"/>
    </row>
    <row r="93" customFormat="false" ht="19.85" hidden="false" customHeight="true" outlineLevel="0" collapsed="false">
      <c r="A93" s="1" t="n">
        <v>31</v>
      </c>
      <c r="B93" s="34" t="n">
        <v>39417</v>
      </c>
      <c r="C93" s="56" t="n">
        <v>76359</v>
      </c>
      <c r="D93" s="29" t="s">
        <v>41</v>
      </c>
      <c r="E93" s="33" t="n">
        <f aca="false">IF(D93="totale",(C93/(A93*24))/F93,IF(D93="marché libre",(C93/(A93*24))/G93,"spécifier histo"))</f>
        <v>0.0411519905838529</v>
      </c>
      <c r="F93" s="59" t="n">
        <v>2494</v>
      </c>
      <c r="G93" s="59" t="n">
        <f aca="false">F93-H93</f>
        <v>2494</v>
      </c>
      <c r="H93" s="59" t="n">
        <v>0</v>
      </c>
      <c r="J93" s="183"/>
      <c r="K93" s="0"/>
      <c r="S93" s="0"/>
    </row>
    <row r="94" customFormat="false" ht="19.85" hidden="false" customHeight="true" outlineLevel="0" collapsed="false">
      <c r="A94" s="1" t="n">
        <v>31</v>
      </c>
      <c r="B94" s="31" t="n">
        <v>39448</v>
      </c>
      <c r="C94" s="56" t="n">
        <v>0</v>
      </c>
      <c r="D94" s="29" t="s">
        <v>41</v>
      </c>
      <c r="E94" s="33" t="n">
        <f aca="false">IF(D94="totale",(C94/(A94*24))/F94,IF(D94="marché libre",(C94/(A94*24))/G94,"spécifier histo"))</f>
        <v>0</v>
      </c>
      <c r="F94" s="59" t="n">
        <v>2494</v>
      </c>
      <c r="G94" s="59" t="n">
        <f aca="false">F94-H94</f>
        <v>2494</v>
      </c>
      <c r="H94" s="59" t="n">
        <v>0</v>
      </c>
      <c r="J94" s="183"/>
      <c r="K94" s="0"/>
      <c r="S94" s="0"/>
    </row>
    <row r="95" customFormat="false" ht="19.85" hidden="false" customHeight="true" outlineLevel="0" collapsed="false">
      <c r="A95" s="1" t="n">
        <v>28</v>
      </c>
      <c r="B95" s="34" t="n">
        <v>39479</v>
      </c>
      <c r="C95" s="56" t="n">
        <v>12788</v>
      </c>
      <c r="D95" s="29" t="s">
        <v>41</v>
      </c>
      <c r="E95" s="33" t="n">
        <f aca="false">IF(D95="totale",(C95/(A95*24))/F95,IF(D95="marché libre",(C95/(A95*24))/G95,"spécifier histo"))</f>
        <v>0.00763021728338489</v>
      </c>
      <c r="F95" s="59" t="n">
        <v>2494</v>
      </c>
      <c r="G95" s="59" t="n">
        <f aca="false">F95-H95</f>
        <v>2494</v>
      </c>
      <c r="H95" s="59" t="n">
        <v>0</v>
      </c>
      <c r="J95" s="183"/>
      <c r="K95" s="0"/>
      <c r="S95" s="0"/>
    </row>
    <row r="96" customFormat="false" ht="19.85" hidden="false" customHeight="true" outlineLevel="0" collapsed="false">
      <c r="A96" s="1" t="n">
        <v>31</v>
      </c>
      <c r="B96" s="31" t="n">
        <v>39508</v>
      </c>
      <c r="C96" s="56" t="n">
        <v>453283</v>
      </c>
      <c r="D96" s="29" t="s">
        <v>41</v>
      </c>
      <c r="E96" s="33" t="n">
        <f aca="false">IF(D96="totale",(C96/(A96*24))/F96,IF(D96="marché libre",(C96/(A96*24))/G96,"spécifier histo"))</f>
        <v>0.244286826016849</v>
      </c>
      <c r="F96" s="59" t="n">
        <v>2494</v>
      </c>
      <c r="G96" s="59" t="n">
        <f aca="false">F96-H96</f>
        <v>2494</v>
      </c>
      <c r="H96" s="59" t="n">
        <v>0</v>
      </c>
      <c r="J96" s="183"/>
      <c r="K96" s="0"/>
      <c r="S96" s="0"/>
    </row>
    <row r="97" customFormat="false" ht="19.85" hidden="false" customHeight="true" outlineLevel="0" collapsed="false">
      <c r="A97" s="1" t="n">
        <v>30</v>
      </c>
      <c r="B97" s="34" t="n">
        <v>39539</v>
      </c>
      <c r="C97" s="56" t="n">
        <v>631209</v>
      </c>
      <c r="D97" s="29" t="s">
        <v>41</v>
      </c>
      <c r="E97" s="33" t="n">
        <f aca="false">IF(D97="totale",(C97/(A97*24))/F97,IF(D97="marché libre",(C97/(A97*24))/G97,"spécifier histo"))</f>
        <v>0.351515303394814</v>
      </c>
      <c r="F97" s="59" t="n">
        <v>2494</v>
      </c>
      <c r="G97" s="59" t="n">
        <f aca="false">F97-H97</f>
        <v>2494</v>
      </c>
      <c r="H97" s="59" t="n">
        <v>0</v>
      </c>
      <c r="J97" s="183"/>
      <c r="K97" s="0"/>
      <c r="S97" s="0"/>
    </row>
    <row r="98" customFormat="false" ht="19.85" hidden="false" customHeight="true" outlineLevel="0" collapsed="false">
      <c r="A98" s="1" t="n">
        <v>31</v>
      </c>
      <c r="B98" s="31" t="n">
        <v>39569</v>
      </c>
      <c r="C98" s="56" t="n">
        <v>1724653</v>
      </c>
      <c r="D98" s="29" t="s">
        <v>41</v>
      </c>
      <c r="E98" s="33" t="n">
        <f aca="false">IF(D98="totale",(C98/(A98*24))/F98,IF(D98="marché libre",(C98/(A98*24))/G98,"spécifier histo"))</f>
        <v>0.929463508118409</v>
      </c>
      <c r="F98" s="59" t="n">
        <v>2494</v>
      </c>
      <c r="G98" s="59" t="n">
        <f aca="false">F98-H98</f>
        <v>2494</v>
      </c>
      <c r="H98" s="59" t="n">
        <v>0</v>
      </c>
      <c r="J98" s="183"/>
      <c r="K98" s="0"/>
      <c r="S98" s="0"/>
    </row>
    <row r="99" customFormat="false" ht="19.85" hidden="false" customHeight="true" outlineLevel="0" collapsed="false">
      <c r="A99" s="1" t="n">
        <v>30</v>
      </c>
      <c r="B99" s="34" t="n">
        <v>39600</v>
      </c>
      <c r="C99" s="56" t="n">
        <v>1718686</v>
      </c>
      <c r="D99" s="29" t="s">
        <v>41</v>
      </c>
      <c r="E99" s="33" t="n">
        <f aca="false">IF(D99="totale",(C99/(A99*24))/F99,IF(D99="marché libre",(C99/(A99*24))/G99,"spécifier histo"))</f>
        <v>0.957122649915352</v>
      </c>
      <c r="F99" s="59" t="n">
        <v>2494</v>
      </c>
      <c r="G99" s="59" t="n">
        <f aca="false">F99-H99</f>
        <v>2494</v>
      </c>
      <c r="H99" s="59" t="n">
        <v>0</v>
      </c>
      <c r="J99" s="183"/>
      <c r="K99" s="0"/>
      <c r="S99" s="0"/>
    </row>
    <row r="100" customFormat="false" ht="19.85" hidden="false" customHeight="true" outlineLevel="0" collapsed="false">
      <c r="A100" s="1" t="n">
        <v>31</v>
      </c>
      <c r="B100" s="31" t="n">
        <v>39630</v>
      </c>
      <c r="C100" s="56" t="n">
        <v>1500616</v>
      </c>
      <c r="D100" s="29" t="s">
        <v>41</v>
      </c>
      <c r="E100" s="33" t="n">
        <f aca="false">IF(D100="totale",(C100/(A100*24))/F100,IF(D100="marché libre",(C100/(A100*24))/G100,"spécifier histo"))</f>
        <v>0.808723732657302</v>
      </c>
      <c r="F100" s="59" t="n">
        <v>2494</v>
      </c>
      <c r="G100" s="59" t="n">
        <f aca="false">F100-H100</f>
        <v>2494</v>
      </c>
      <c r="H100" s="59" t="n">
        <v>0</v>
      </c>
      <c r="J100" s="183"/>
      <c r="K100" s="0"/>
      <c r="S100" s="0"/>
    </row>
    <row r="101" customFormat="false" ht="19.85" hidden="false" customHeight="true" outlineLevel="0" collapsed="false">
      <c r="A101" s="1" t="n">
        <v>31</v>
      </c>
      <c r="B101" s="34" t="n">
        <v>39661</v>
      </c>
      <c r="C101" s="56" t="n">
        <v>660550</v>
      </c>
      <c r="D101" s="29" t="s">
        <v>41</v>
      </c>
      <c r="E101" s="33" t="n">
        <f aca="false">IF(D101="totale",(C101/(A101*24))/F101,IF(D101="marché libre",(C101/(A101*24))/G101,"spécifier histo"))</f>
        <v>0.355988781678178</v>
      </c>
      <c r="F101" s="59" t="n">
        <v>2494</v>
      </c>
      <c r="G101" s="59" t="n">
        <f aca="false">F101-H101</f>
        <v>2494</v>
      </c>
      <c r="H101" s="59" t="n">
        <v>0</v>
      </c>
      <c r="J101" s="183"/>
      <c r="K101" s="0"/>
      <c r="S101" s="0"/>
    </row>
    <row r="102" customFormat="false" ht="19.85" hidden="false" customHeight="true" outlineLevel="0" collapsed="false">
      <c r="A102" s="1" t="n">
        <v>30</v>
      </c>
      <c r="B102" s="31" t="n">
        <v>39692</v>
      </c>
      <c r="C102" s="56" t="n">
        <v>344139</v>
      </c>
      <c r="D102" s="29" t="s">
        <v>41</v>
      </c>
      <c r="E102" s="33" t="n">
        <f aca="false">IF(D102="totale",(C102/(A102*24))/F102,IF(D102="marché libre",(C102/(A102*24))/G102,"spécifier histo"))</f>
        <v>0.191648289227479</v>
      </c>
      <c r="F102" s="59" t="n">
        <v>2494</v>
      </c>
      <c r="G102" s="59" t="n">
        <f aca="false">F102-H102</f>
        <v>2494</v>
      </c>
      <c r="H102" s="59" t="n">
        <v>0</v>
      </c>
      <c r="J102" s="183"/>
      <c r="K102" s="0"/>
      <c r="S102" s="0"/>
    </row>
    <row r="103" customFormat="false" ht="19.85" hidden="false" customHeight="true" outlineLevel="0" collapsed="false">
      <c r="A103" s="1" t="n">
        <v>31</v>
      </c>
      <c r="B103" s="34" t="n">
        <v>39722</v>
      </c>
      <c r="C103" s="56" t="n">
        <v>325918</v>
      </c>
      <c r="D103" s="29" t="s">
        <v>41</v>
      </c>
      <c r="E103" s="33" t="n">
        <f aca="false">IF(D103="totale",(C103/(A103*24))/F103,IF(D103="marché libre",(C103/(A103*24))/G103,"spécifier histo"))</f>
        <v>0.17564628226022</v>
      </c>
      <c r="F103" s="59" t="n">
        <v>2494</v>
      </c>
      <c r="G103" s="59" t="n">
        <f aca="false">F103-H103</f>
        <v>2494</v>
      </c>
      <c r="H103" s="59" t="n">
        <v>0</v>
      </c>
      <c r="J103" s="183"/>
      <c r="K103" s="0"/>
      <c r="S103" s="0"/>
    </row>
    <row r="104" customFormat="false" ht="19.85" hidden="false" customHeight="true" outlineLevel="0" collapsed="false">
      <c r="A104" s="1" t="n">
        <v>30</v>
      </c>
      <c r="B104" s="31" t="n">
        <v>39753</v>
      </c>
      <c r="C104" s="56" t="n">
        <v>678831</v>
      </c>
      <c r="D104" s="29" t="s">
        <v>41</v>
      </c>
      <c r="E104" s="33" t="n">
        <f aca="false">IF(D104="totale",(C104/(A104*24))/F104,IF(D104="marché libre",(C104/(A104*24))/G104,"spécifier histo"))</f>
        <v>0.378035618818498</v>
      </c>
      <c r="F104" s="59" t="n">
        <v>2494</v>
      </c>
      <c r="G104" s="59" t="n">
        <f aca="false">F104-H104</f>
        <v>2494</v>
      </c>
      <c r="H104" s="59" t="n">
        <v>0</v>
      </c>
      <c r="J104" s="183"/>
      <c r="K104" s="0"/>
      <c r="S104" s="0"/>
    </row>
    <row r="105" customFormat="false" ht="19.85" hidden="false" customHeight="true" outlineLevel="0" collapsed="false">
      <c r="A105" s="1" t="n">
        <v>31</v>
      </c>
      <c r="B105" s="34" t="n">
        <v>39783</v>
      </c>
      <c r="C105" s="56" t="n">
        <v>329584</v>
      </c>
      <c r="D105" s="29" t="s">
        <v>41</v>
      </c>
      <c r="E105" s="33" t="n">
        <f aca="false">IF(D105="totale",(C105/(A105*24))/F105,IF(D105="marché libre",(C105/(A105*24))/G105,"spécifier histo"))</f>
        <v>0.177621991704823</v>
      </c>
      <c r="F105" s="59" t="n">
        <v>2494</v>
      </c>
      <c r="G105" s="59" t="n">
        <f aca="false">F105-H105</f>
        <v>2494</v>
      </c>
      <c r="H105" s="59" t="n">
        <v>0</v>
      </c>
      <c r="J105" s="183"/>
      <c r="K105" s="0"/>
      <c r="S105" s="0"/>
    </row>
    <row r="106" customFormat="false" ht="19.85" hidden="false" customHeight="true" outlineLevel="0" collapsed="false">
      <c r="A106" s="1" t="n">
        <v>31</v>
      </c>
      <c r="B106" s="31" t="n">
        <v>39814</v>
      </c>
      <c r="C106" s="56" t="n">
        <v>259722</v>
      </c>
      <c r="D106" s="29" t="s">
        <v>41</v>
      </c>
      <c r="E106" s="33" t="n">
        <f aca="false">IF(D106="totale",(C106/(A106*24))/F106,IF(D106="marché libre",(C106/(A106*24))/G106,"spécifier histo"))</f>
        <v>0.13997141526761</v>
      </c>
      <c r="F106" s="59" t="n">
        <v>2494</v>
      </c>
      <c r="G106" s="59" t="n">
        <f aca="false">F106-H106</f>
        <v>2494</v>
      </c>
      <c r="H106" s="59" t="n">
        <v>0</v>
      </c>
      <c r="J106" s="183"/>
      <c r="K106" s="0"/>
      <c r="S106" s="0"/>
    </row>
    <row r="107" customFormat="false" ht="19.85" hidden="false" customHeight="true" outlineLevel="0" collapsed="false">
      <c r="A107" s="1" t="n">
        <v>28</v>
      </c>
      <c r="B107" s="34" t="n">
        <v>39845</v>
      </c>
      <c r="C107" s="56" t="n">
        <v>168028</v>
      </c>
      <c r="D107" s="29" t="s">
        <v>41</v>
      </c>
      <c r="E107" s="33" t="n">
        <f aca="false">IF(D107="totale",(C107/(A107*24))/F107,IF(D107="marché libre",(C107/(A107*24))/G107,"spécifier histo"))</f>
        <v>0.100257284148623</v>
      </c>
      <c r="F107" s="59" t="n">
        <v>2494</v>
      </c>
      <c r="G107" s="59" t="n">
        <f aca="false">F107-H107</f>
        <v>2494</v>
      </c>
      <c r="H107" s="59" t="n">
        <v>0</v>
      </c>
      <c r="J107" s="183"/>
      <c r="K107" s="0"/>
      <c r="S107" s="0"/>
    </row>
    <row r="108" customFormat="false" ht="19.85" hidden="false" customHeight="true" outlineLevel="0" collapsed="false">
      <c r="A108" s="1" t="n">
        <v>31</v>
      </c>
      <c r="B108" s="31" t="n">
        <v>39873</v>
      </c>
      <c r="C108" s="56" t="n">
        <v>494918</v>
      </c>
      <c r="D108" s="29" t="s">
        <v>41</v>
      </c>
      <c r="E108" s="33" t="n">
        <f aca="false">IF(D108="totale",(C108/(A108*24))/F108,IF(D108="marché libre",(C108/(A108*24))/G108,"spécifier histo"))</f>
        <v>0.266725086444025</v>
      </c>
      <c r="F108" s="59" t="n">
        <v>2494</v>
      </c>
      <c r="G108" s="59" t="n">
        <f aca="false">F108-H108</f>
        <v>2494</v>
      </c>
      <c r="H108" s="59" t="n">
        <v>0</v>
      </c>
      <c r="J108" s="183"/>
      <c r="K108" s="0"/>
      <c r="S108" s="0"/>
    </row>
    <row r="109" customFormat="false" ht="19.85" hidden="false" customHeight="true" outlineLevel="0" collapsed="false">
      <c r="A109" s="1" t="n">
        <v>30</v>
      </c>
      <c r="B109" s="34" t="n">
        <v>39904</v>
      </c>
      <c r="C109" s="56" t="n">
        <v>912984</v>
      </c>
      <c r="D109" s="29" t="s">
        <v>41</v>
      </c>
      <c r="E109" s="33" t="n">
        <f aca="false">IF(D109="totale",(C109/(A109*24))/F109,IF(D109="marché libre",(C109/(A109*24))/G109,"spécifier histo"))</f>
        <v>0.508433573910719</v>
      </c>
      <c r="F109" s="59" t="n">
        <v>2494</v>
      </c>
      <c r="G109" s="59" t="n">
        <f aca="false">F109-H109</f>
        <v>2494</v>
      </c>
      <c r="H109" s="59" t="n">
        <v>0</v>
      </c>
      <c r="J109" s="183"/>
      <c r="K109" s="0"/>
      <c r="S109" s="0"/>
    </row>
    <row r="110" customFormat="false" ht="19.85" hidden="false" customHeight="true" outlineLevel="0" collapsed="false">
      <c r="A110" s="1" t="n">
        <v>31</v>
      </c>
      <c r="B110" s="31" t="n">
        <v>39934</v>
      </c>
      <c r="C110" s="56" t="n">
        <v>1786648</v>
      </c>
      <c r="D110" s="29" t="s">
        <v>41</v>
      </c>
      <c r="E110" s="33" t="n">
        <f aca="false">IF(D110="totale",(C110/(A110*24))/F110,IF(D110="marché libre",(C110/(A110*24))/G110,"spécifier histo"))</f>
        <v>0.962874339274474</v>
      </c>
      <c r="F110" s="59" t="n">
        <v>2494</v>
      </c>
      <c r="G110" s="59" t="n">
        <f aca="false">F110-H110</f>
        <v>2494</v>
      </c>
      <c r="H110" s="59" t="n">
        <v>0</v>
      </c>
      <c r="J110" s="183"/>
      <c r="K110" s="0"/>
      <c r="S110" s="0"/>
    </row>
    <row r="111" customFormat="false" ht="19.85" hidden="false" customHeight="true" outlineLevel="0" collapsed="false">
      <c r="A111" s="1" t="n">
        <v>30</v>
      </c>
      <c r="B111" s="34" t="n">
        <v>39965</v>
      </c>
      <c r="C111" s="56" t="n">
        <v>1692705</v>
      </c>
      <c r="D111" s="29" t="s">
        <v>41</v>
      </c>
      <c r="E111" s="33" t="n">
        <f aca="false">IF(D111="totale",(C111/(A111*24))/F111,IF(D111="marché libre",(C111/(A111*24))/G111,"spécifier histo"))</f>
        <v>0.942654036353916</v>
      </c>
      <c r="F111" s="59" t="n">
        <v>2494</v>
      </c>
      <c r="G111" s="59" t="n">
        <f aca="false">F111-H111</f>
        <v>2494</v>
      </c>
      <c r="H111" s="59" t="n">
        <v>0</v>
      </c>
      <c r="J111" s="183"/>
      <c r="K111" s="0"/>
      <c r="S111" s="0"/>
    </row>
    <row r="112" customFormat="false" ht="19.85" hidden="false" customHeight="true" outlineLevel="0" collapsed="false">
      <c r="A112" s="1" t="n">
        <v>31</v>
      </c>
      <c r="B112" s="31" t="n">
        <v>39995</v>
      </c>
      <c r="C112" s="56" t="n">
        <v>1780605</v>
      </c>
      <c r="D112" s="29" t="s">
        <v>41</v>
      </c>
      <c r="E112" s="33" t="n">
        <f aca="false">IF(D112="totale",(C112/(A112*24))/F112,IF(D112="marché libre",(C112/(A112*24))/G112,"spécifier histo"))</f>
        <v>0.959617598365109</v>
      </c>
      <c r="F112" s="59" t="n">
        <v>2494</v>
      </c>
      <c r="G112" s="59" t="n">
        <f aca="false">F112-H112</f>
        <v>2494</v>
      </c>
      <c r="H112" s="59" t="n">
        <v>0</v>
      </c>
      <c r="J112" s="183"/>
      <c r="K112" s="0"/>
      <c r="S112" s="0"/>
    </row>
    <row r="113" customFormat="false" ht="19.85" hidden="false" customHeight="true" outlineLevel="0" collapsed="false">
      <c r="A113" s="1" t="n">
        <v>31</v>
      </c>
      <c r="B113" s="34" t="n">
        <v>40026</v>
      </c>
      <c r="C113" s="56" t="n">
        <v>973351</v>
      </c>
      <c r="D113" s="29" t="s">
        <v>41</v>
      </c>
      <c r="E113" s="33" t="n">
        <f aca="false">IF(D113="totale",(C113/(A113*24))/F113,IF(D113="marché libre",(C113/(A113*24))/G113,"spécifier histo"))</f>
        <v>0.524565947521363</v>
      </c>
      <c r="F113" s="59" t="n">
        <v>2494</v>
      </c>
      <c r="G113" s="59" t="n">
        <f aca="false">F113-H113</f>
        <v>2494</v>
      </c>
      <c r="H113" s="59" t="n">
        <v>0</v>
      </c>
      <c r="J113" s="183"/>
      <c r="K113" s="0"/>
      <c r="S113" s="0"/>
    </row>
    <row r="114" customFormat="false" ht="19.85" hidden="false" customHeight="true" outlineLevel="0" collapsed="false">
      <c r="A114" s="1" t="n">
        <v>30</v>
      </c>
      <c r="B114" s="31" t="n">
        <v>40057</v>
      </c>
      <c r="C114" s="56" t="n">
        <v>913561</v>
      </c>
      <c r="D114" s="29" t="s">
        <v>41</v>
      </c>
      <c r="E114" s="33" t="n">
        <f aca="false">IF(D114="totale",(C114/(A114*24))/F114,IF(D114="marché libre",(C114/(A114*24))/G114,"spécifier histo"))</f>
        <v>0.50875490065045</v>
      </c>
      <c r="F114" s="59" t="n">
        <v>2494</v>
      </c>
      <c r="G114" s="59" t="n">
        <f aca="false">F114-H114</f>
        <v>2494</v>
      </c>
      <c r="H114" s="59" t="n">
        <v>0</v>
      </c>
      <c r="J114" s="183"/>
      <c r="K114" s="0"/>
      <c r="S114" s="0"/>
    </row>
    <row r="115" customFormat="false" ht="19.85" hidden="false" customHeight="true" outlineLevel="0" collapsed="false">
      <c r="A115" s="1" t="n">
        <v>31</v>
      </c>
      <c r="B115" s="34" t="n">
        <v>40087</v>
      </c>
      <c r="C115" s="56" t="n">
        <v>844297</v>
      </c>
      <c r="D115" s="29" t="s">
        <v>41</v>
      </c>
      <c r="E115" s="33" t="n">
        <f aca="false">IF(D115="totale",(C115/(A115*24))/F115,IF(D115="marché libre",(C115/(A115*24))/G115,"spécifier histo"))</f>
        <v>0.455015154650732</v>
      </c>
      <c r="F115" s="59" t="n">
        <v>2494</v>
      </c>
      <c r="G115" s="59" t="n">
        <f aca="false">F115-H115</f>
        <v>2494</v>
      </c>
      <c r="H115" s="59" t="n">
        <v>0</v>
      </c>
      <c r="J115" s="183"/>
      <c r="K115" s="0"/>
      <c r="S115" s="0"/>
    </row>
    <row r="116" customFormat="false" ht="19.85" hidden="false" customHeight="true" outlineLevel="0" collapsed="false">
      <c r="A116" s="1" t="n">
        <v>30</v>
      </c>
      <c r="B116" s="31" t="n">
        <v>40118</v>
      </c>
      <c r="C116" s="56" t="n">
        <v>869046</v>
      </c>
      <c r="D116" s="29" t="s">
        <v>41</v>
      </c>
      <c r="E116" s="33" t="n">
        <f aca="false">IF(D116="totale",(C116/(A116*24))/F116,IF(D116="marché libre",(C116/(A116*24))/G116,"spécifier histo"))</f>
        <v>0.483964848970863</v>
      </c>
      <c r="F116" s="59" t="n">
        <v>2494</v>
      </c>
      <c r="G116" s="59" t="n">
        <f aca="false">F116-H116</f>
        <v>2494</v>
      </c>
      <c r="H116" s="59" t="n">
        <v>0</v>
      </c>
      <c r="J116" s="183"/>
      <c r="K116" s="0"/>
      <c r="S116" s="0"/>
    </row>
    <row r="117" customFormat="false" ht="19.85" hidden="false" customHeight="true" outlineLevel="0" collapsed="false">
      <c r="A117" s="1" t="n">
        <v>31</v>
      </c>
      <c r="B117" s="34" t="n">
        <v>40148</v>
      </c>
      <c r="C117" s="56" t="n">
        <v>778050</v>
      </c>
      <c r="D117" s="29" t="s">
        <v>41</v>
      </c>
      <c r="E117" s="33" t="n">
        <f aca="false">IF(D117="totale",(C117/(A117*24))/F117,IF(D117="marché libre",(C117/(A117*24))/G117,"spécifier histo"))</f>
        <v>0.419312802338516</v>
      </c>
      <c r="F117" s="59" t="n">
        <v>2494</v>
      </c>
      <c r="G117" s="59" t="n">
        <f aca="false">F117-H117</f>
        <v>2494</v>
      </c>
      <c r="H117" s="59" t="n">
        <v>0</v>
      </c>
      <c r="J117" s="183"/>
      <c r="K117" s="0"/>
      <c r="S117" s="0"/>
    </row>
    <row r="118" customFormat="false" ht="19.85" hidden="false" customHeight="true" outlineLevel="0" collapsed="false">
      <c r="A118" s="1" t="n">
        <v>31</v>
      </c>
      <c r="B118" s="31" t="n">
        <v>40179</v>
      </c>
      <c r="C118" s="56" t="n">
        <v>617221</v>
      </c>
      <c r="D118" s="29" t="s">
        <v>41</v>
      </c>
      <c r="E118" s="33" t="n">
        <f aca="false">IF(D118="totale",(C118/(A118*24))/F118,IF(D118="marché libre",(C118/(A118*24))/G118,"spécifier histo"))</f>
        <v>0.332637577497823</v>
      </c>
      <c r="F118" s="59" t="n">
        <v>2494</v>
      </c>
      <c r="G118" s="59" t="n">
        <f aca="false">F118-H118</f>
        <v>2494</v>
      </c>
      <c r="H118" s="59" t="n">
        <v>0</v>
      </c>
      <c r="J118" s="183"/>
      <c r="K118" s="0"/>
      <c r="S118" s="0"/>
    </row>
    <row r="119" customFormat="false" ht="19.85" hidden="false" customHeight="true" outlineLevel="0" collapsed="false">
      <c r="A119" s="1" t="n">
        <v>28</v>
      </c>
      <c r="B119" s="34" t="n">
        <v>40210</v>
      </c>
      <c r="C119" s="56" t="n">
        <v>330812</v>
      </c>
      <c r="D119" s="29" t="s">
        <v>41</v>
      </c>
      <c r="E119" s="33" t="n">
        <f aca="false">IF(D119="totale",(C119/(A119*24))/F119,IF(D119="marché libre",(C119/(A119*24))/G119,"spécifier histo"))</f>
        <v>0.197385630274564</v>
      </c>
      <c r="F119" s="59" t="n">
        <v>2494</v>
      </c>
      <c r="G119" s="59" t="n">
        <f aca="false">F119-H119</f>
        <v>2494</v>
      </c>
      <c r="H119" s="59" t="n">
        <v>0</v>
      </c>
      <c r="J119" s="183"/>
      <c r="K119" s="0"/>
      <c r="S119" s="0"/>
    </row>
    <row r="120" customFormat="false" ht="19.85" hidden="false" customHeight="true" outlineLevel="0" collapsed="false">
      <c r="A120" s="1" t="n">
        <v>31</v>
      </c>
      <c r="B120" s="31" t="n">
        <v>40238</v>
      </c>
      <c r="C120" s="56" t="n">
        <v>550017</v>
      </c>
      <c r="D120" s="29" t="s">
        <v>41</v>
      </c>
      <c r="E120" s="33" t="n">
        <f aca="false">IF(D120="totale",(C120/(A120*24))/F120,IF(D120="marché libre",(C120/(A120*24))/G120,"spécifier histo"))</f>
        <v>0.296419471247122</v>
      </c>
      <c r="F120" s="59" t="n">
        <v>2494</v>
      </c>
      <c r="G120" s="59" t="n">
        <f aca="false">F120-H120</f>
        <v>2494</v>
      </c>
      <c r="H120" s="59" t="n">
        <v>0</v>
      </c>
      <c r="J120" s="183"/>
      <c r="K120" s="0"/>
      <c r="S120" s="0"/>
    </row>
    <row r="121" customFormat="false" ht="19.85" hidden="false" customHeight="true" outlineLevel="0" collapsed="false">
      <c r="A121" s="1" t="n">
        <v>30</v>
      </c>
      <c r="B121" s="34" t="n">
        <v>40269</v>
      </c>
      <c r="C121" s="56" t="n">
        <v>879026</v>
      </c>
      <c r="D121" s="29" t="s">
        <v>41</v>
      </c>
      <c r="E121" s="33" t="n">
        <f aca="false">IF(D121="totale",(C121/(A121*24))/F121,IF(D121="marché libre",(C121/(A121*24))/G121,"spécifier histo"))</f>
        <v>0.489522632094805</v>
      </c>
      <c r="F121" s="59" t="n">
        <v>2494</v>
      </c>
      <c r="G121" s="59" t="n">
        <f aca="false">F121-H121</f>
        <v>2494</v>
      </c>
      <c r="H121" s="59" t="n">
        <v>0</v>
      </c>
      <c r="J121" s="183"/>
      <c r="K121" s="0"/>
      <c r="S121" s="0"/>
    </row>
    <row r="122" customFormat="false" ht="19.85" hidden="false" customHeight="true" outlineLevel="0" collapsed="false">
      <c r="A122" s="1" t="n">
        <v>31</v>
      </c>
      <c r="B122" s="31" t="n">
        <v>40299</v>
      </c>
      <c r="C122" s="56" t="n">
        <v>1845080</v>
      </c>
      <c r="D122" s="29" t="s">
        <v>41</v>
      </c>
      <c r="E122" s="33" t="n">
        <f aca="false">IF(D122="totale",(C122/(A122*24))/F122,IF(D122="marché libre",(C122/(A122*24))/G122,"spécifier histo"))</f>
        <v>0.994364970552983</v>
      </c>
      <c r="F122" s="59" t="n">
        <v>2494</v>
      </c>
      <c r="G122" s="59" t="n">
        <f aca="false">F122-H122</f>
        <v>2494</v>
      </c>
      <c r="H122" s="59" t="n">
        <v>0</v>
      </c>
      <c r="J122" s="183"/>
      <c r="K122" s="0"/>
      <c r="S122" s="0"/>
    </row>
    <row r="123" customFormat="false" ht="19.85" hidden="false" customHeight="true" outlineLevel="0" collapsed="false">
      <c r="A123" s="1" t="n">
        <v>30</v>
      </c>
      <c r="B123" s="34" t="n">
        <v>40330</v>
      </c>
      <c r="C123" s="56" t="n">
        <v>1771055</v>
      </c>
      <c r="D123" s="29" t="s">
        <v>41</v>
      </c>
      <c r="E123" s="33" t="n">
        <f aca="false">IF(D123="totale",(C123/(A123*24))/F123,IF(D123="marché libre",(C123/(A123*24))/G123,"spécifier histo"))</f>
        <v>0.986286532121536</v>
      </c>
      <c r="F123" s="59" t="n">
        <v>2494</v>
      </c>
      <c r="G123" s="59" t="n">
        <f aca="false">F123-H123</f>
        <v>2494</v>
      </c>
      <c r="H123" s="59" t="n">
        <v>0</v>
      </c>
      <c r="J123" s="183"/>
      <c r="K123" s="0"/>
      <c r="S123" s="0"/>
    </row>
    <row r="124" customFormat="false" ht="19.85" hidden="false" customHeight="true" outlineLevel="0" collapsed="false">
      <c r="A124" s="1" t="n">
        <v>31</v>
      </c>
      <c r="B124" s="31" t="n">
        <v>40360</v>
      </c>
      <c r="C124" s="56" t="n">
        <v>1664045</v>
      </c>
      <c r="D124" s="29" t="s">
        <v>41</v>
      </c>
      <c r="E124" s="33" t="n">
        <f aca="false">IF(D124="totale",(C124/(A124*24))/F124,IF(D124="marché libre",(C124/(A124*24))/G124,"spécifier histo"))</f>
        <v>0.896800169870054</v>
      </c>
      <c r="F124" s="59" t="n">
        <v>2494</v>
      </c>
      <c r="G124" s="59" t="n">
        <f aca="false">F124-H124</f>
        <v>2494</v>
      </c>
      <c r="H124" s="59" t="n">
        <v>0</v>
      </c>
      <c r="J124" s="183"/>
      <c r="K124" s="0"/>
      <c r="S124" s="0"/>
    </row>
    <row r="125" customFormat="false" ht="19.85" hidden="false" customHeight="true" outlineLevel="0" collapsed="false">
      <c r="A125" s="1" t="n">
        <v>31</v>
      </c>
      <c r="B125" s="34" t="n">
        <v>40391</v>
      </c>
      <c r="C125" s="56" t="n">
        <v>924148</v>
      </c>
      <c r="D125" s="29" t="s">
        <v>41</v>
      </c>
      <c r="E125" s="33" t="n">
        <f aca="false">IF(D125="totale",(C125/(A125*24))/F125,IF(D125="marché libre",(C125/(A125*24))/G125,"spécifier histo"))</f>
        <v>0.498049081235826</v>
      </c>
      <c r="F125" s="59" t="n">
        <v>2494</v>
      </c>
      <c r="G125" s="59" t="n">
        <f aca="false">F125-H125</f>
        <v>2494</v>
      </c>
      <c r="H125" s="59" t="n">
        <v>0</v>
      </c>
      <c r="J125" s="183"/>
      <c r="K125" s="0"/>
      <c r="S125" s="0"/>
    </row>
    <row r="126" customFormat="false" ht="19.85" hidden="false" customHeight="true" outlineLevel="0" collapsed="false">
      <c r="A126" s="1" t="n">
        <v>30</v>
      </c>
      <c r="B126" s="31" t="n">
        <v>40422</v>
      </c>
      <c r="C126" s="56" t="n">
        <v>0</v>
      </c>
      <c r="D126" s="29" t="s">
        <v>41</v>
      </c>
      <c r="E126" s="33" t="n">
        <f aca="false">IF(D126="totale",(C126/(A126*24))/F126,IF(D126="marché libre",(C126/(A126*24))/G126,"spécifier histo"))</f>
        <v>0</v>
      </c>
      <c r="F126" s="59" t="n">
        <v>2494</v>
      </c>
      <c r="G126" s="59" t="n">
        <f aca="false">F126-H126</f>
        <v>2494</v>
      </c>
      <c r="H126" s="59" t="n">
        <v>0</v>
      </c>
      <c r="J126" s="183"/>
      <c r="K126" s="0"/>
    </row>
    <row r="127" customFormat="false" ht="19.85" hidden="false" customHeight="true" outlineLevel="0" collapsed="false">
      <c r="A127" s="1" t="n">
        <v>31</v>
      </c>
      <c r="B127" s="34" t="n">
        <v>40452</v>
      </c>
      <c r="C127" s="56" t="n">
        <v>768057</v>
      </c>
      <c r="D127" s="29" t="s">
        <v>41</v>
      </c>
      <c r="E127" s="33" t="n">
        <f aca="false">IF(D127="totale",(C127/(A127*24))/F127,IF(D127="marché libre",(C127/(A127*24))/G127,"spécifier histo"))</f>
        <v>0.413927296479292</v>
      </c>
      <c r="F127" s="59" t="n">
        <v>2494</v>
      </c>
      <c r="G127" s="59" t="n">
        <f aca="false">F127-H127</f>
        <v>2494</v>
      </c>
      <c r="H127" s="59" t="n">
        <v>0</v>
      </c>
      <c r="J127" s="183"/>
      <c r="K127" s="0"/>
    </row>
    <row r="128" customFormat="false" ht="19.85" hidden="false" customHeight="true" outlineLevel="0" collapsed="false">
      <c r="A128" s="1" t="n">
        <v>30</v>
      </c>
      <c r="B128" s="31" t="n">
        <v>40483</v>
      </c>
      <c r="C128" s="56" t="n">
        <v>1299430</v>
      </c>
      <c r="D128" s="29" t="s">
        <v>41</v>
      </c>
      <c r="E128" s="33" t="n">
        <f aca="false">IF(D128="totale",(C128/(A128*24))/F128,IF(D128="marché libre",(C128/(A128*24))/G128,"spécifier histo"))</f>
        <v>0.72364229706852</v>
      </c>
      <c r="F128" s="59" t="n">
        <v>2494</v>
      </c>
      <c r="G128" s="59" t="n">
        <f aca="false">F128-H128</f>
        <v>2494</v>
      </c>
      <c r="H128" s="59" t="n">
        <v>0</v>
      </c>
      <c r="J128" s="183"/>
      <c r="K128" s="0"/>
    </row>
    <row r="129" customFormat="false" ht="19.85" hidden="false" customHeight="true" outlineLevel="0" collapsed="false">
      <c r="A129" s="1" t="n">
        <v>31</v>
      </c>
      <c r="B129" s="34" t="n">
        <v>40513</v>
      </c>
      <c r="C129" s="56" t="n">
        <v>964464</v>
      </c>
      <c r="D129" s="29" t="s">
        <v>41</v>
      </c>
      <c r="E129" s="33" t="n">
        <f aca="false">IF(D129="totale",(C129/(A129*24))/F129,IF(D129="marché libre",(C129/(A129*24))/G129,"spécifier histo"))</f>
        <v>0.5197764958481</v>
      </c>
      <c r="F129" s="59" t="n">
        <v>2494</v>
      </c>
      <c r="G129" s="59" t="n">
        <f aca="false">F129-H129</f>
        <v>2494</v>
      </c>
      <c r="H129" s="59" t="n">
        <v>0</v>
      </c>
      <c r="J129" s="183"/>
      <c r="K129" s="0"/>
    </row>
    <row r="130" customFormat="false" ht="19.85" hidden="false" customHeight="true" outlineLevel="0" collapsed="false">
      <c r="A130" s="1" t="n">
        <v>31</v>
      </c>
      <c r="B130" s="31" t="n">
        <v>40544</v>
      </c>
      <c r="C130" s="56" t="n">
        <v>706524</v>
      </c>
      <c r="D130" s="29" t="s">
        <v>41</v>
      </c>
      <c r="E130" s="33" t="n">
        <f aca="false">IF(D130="totale",(C130/(A130*24))/F130,IF(D130="marché libre",(C130/(A130*24))/G130,"spécifier histo"))</f>
        <v>0.380765449983185</v>
      </c>
      <c r="F130" s="59" t="n">
        <v>2494</v>
      </c>
      <c r="G130" s="59" t="n">
        <f aca="false">F130-H130</f>
        <v>2494</v>
      </c>
      <c r="H130" s="59" t="n">
        <v>0</v>
      </c>
      <c r="J130" s="183"/>
      <c r="K130" s="0"/>
    </row>
    <row r="131" customFormat="false" ht="19.85" hidden="false" customHeight="true" outlineLevel="0" collapsed="false">
      <c r="A131" s="1" t="n">
        <v>28</v>
      </c>
      <c r="B131" s="34" t="n">
        <v>40575</v>
      </c>
      <c r="C131" s="56" t="n">
        <v>443356</v>
      </c>
      <c r="D131" s="29" t="s">
        <v>41</v>
      </c>
      <c r="E131" s="33" t="n">
        <f aca="false">IF(D131="totale",(C131/(A131*24))/F131,IF(D131="marché libre",(C131/(A131*24))/G131,"spécifier histo"))</f>
        <v>0.264537270401344</v>
      </c>
      <c r="F131" s="59" t="n">
        <v>2494</v>
      </c>
      <c r="G131" s="59" t="n">
        <f aca="false">F131-H131</f>
        <v>2494</v>
      </c>
      <c r="H131" s="59" t="n">
        <v>0</v>
      </c>
      <c r="J131" s="183"/>
      <c r="K131" s="0"/>
    </row>
    <row r="132" customFormat="false" ht="19.85" hidden="false" customHeight="true" outlineLevel="0" collapsed="false">
      <c r="A132" s="1" t="n">
        <v>31</v>
      </c>
      <c r="B132" s="31" t="n">
        <v>40603</v>
      </c>
      <c r="C132" s="56" t="n">
        <v>511681</v>
      </c>
      <c r="D132" s="29" t="s">
        <v>41</v>
      </c>
      <c r="E132" s="33" t="n">
        <f aca="false">IF(D132="totale",(C132/(A132*24))/F132,IF(D132="marché libre",(C132/(A132*24))/G132,"spécifier histo"))</f>
        <v>0.275759133748954</v>
      </c>
      <c r="F132" s="59" t="n">
        <v>2494</v>
      </c>
      <c r="G132" s="59" t="n">
        <f aca="false">F132-H132</f>
        <v>2494</v>
      </c>
      <c r="H132" s="59" t="n">
        <v>0</v>
      </c>
      <c r="J132" s="183"/>
      <c r="K132" s="0"/>
    </row>
    <row r="133" customFormat="false" ht="19.85" hidden="false" customHeight="true" outlineLevel="0" collapsed="false">
      <c r="A133" s="1" t="n">
        <v>30</v>
      </c>
      <c r="B133" s="34" t="n">
        <v>40634</v>
      </c>
      <c r="C133" s="56" t="n">
        <v>1921975</v>
      </c>
      <c r="D133" s="29" t="s">
        <v>41</v>
      </c>
      <c r="E133" s="33" t="n">
        <f aca="false">IF(D133="totale",(C133/(A133*24))/F133,IF(D133="marché libre",(C133/(A133*24))/G133,"spécifier histo"))</f>
        <v>1.0703326873385</v>
      </c>
      <c r="F133" s="59" t="n">
        <v>2494</v>
      </c>
      <c r="G133" s="59" t="n">
        <f aca="false">F133-H133</f>
        <v>2494</v>
      </c>
      <c r="H133" s="59" t="n">
        <v>0</v>
      </c>
      <c r="J133" s="183"/>
      <c r="K133" s="0"/>
    </row>
    <row r="134" customFormat="false" ht="19.85" hidden="false" customHeight="true" outlineLevel="0" collapsed="false">
      <c r="A134" s="1" t="n">
        <v>31</v>
      </c>
      <c r="B134" s="31" t="n">
        <v>40664</v>
      </c>
      <c r="C134" s="56" t="n">
        <v>1838986</v>
      </c>
      <c r="D134" s="29" t="s">
        <v>41</v>
      </c>
      <c r="E134" s="33" t="n">
        <f aca="false">IF(D134="totale",(C134/(A134*24))/F134,IF(D134="marché libre",(C134/(A134*24))/G134,"spécifier histo"))</f>
        <v>0.991080744324012</v>
      </c>
      <c r="F134" s="59" t="n">
        <v>2494</v>
      </c>
      <c r="G134" s="59" t="n">
        <f aca="false">F134-H134</f>
        <v>2494</v>
      </c>
      <c r="H134" s="59" t="n">
        <v>0</v>
      </c>
      <c r="J134" s="183"/>
      <c r="K134" s="0"/>
    </row>
    <row r="135" customFormat="false" ht="19.85" hidden="false" customHeight="true" outlineLevel="0" collapsed="false">
      <c r="A135" s="1" t="n">
        <v>30</v>
      </c>
      <c r="B135" s="34" t="n">
        <v>40695</v>
      </c>
      <c r="C135" s="56" t="n">
        <v>1771360</v>
      </c>
      <c r="D135" s="29" t="s">
        <v>41</v>
      </c>
      <c r="E135" s="33" t="n">
        <f aca="false">IF(D135="totale",(C135/(A135*24))/F135,IF(D135="marché libre",(C135/(A135*24))/G135,"spécifier histo"))</f>
        <v>0.986456384210995</v>
      </c>
      <c r="F135" s="59" t="n">
        <v>2494</v>
      </c>
      <c r="G135" s="59" t="n">
        <f aca="false">F135-H135</f>
        <v>2494</v>
      </c>
      <c r="H135" s="59" t="n">
        <v>0</v>
      </c>
      <c r="J135" s="183"/>
      <c r="K135" s="0"/>
    </row>
    <row r="136" customFormat="false" ht="19.85" hidden="false" customHeight="true" outlineLevel="0" collapsed="false">
      <c r="A136" s="1" t="n">
        <v>31</v>
      </c>
      <c r="B136" s="31" t="n">
        <v>40725</v>
      </c>
      <c r="C136" s="56" t="n">
        <v>822593</v>
      </c>
      <c r="D136" s="29" t="s">
        <v>41</v>
      </c>
      <c r="E136" s="33" t="n">
        <f aca="false">IF(D136="totale",(C136/(A136*24))/F136,IF(D136="marché libre",(C136/(A136*24))/G136,"spécifier histo"))</f>
        <v>0.443318264911055</v>
      </c>
      <c r="F136" s="59" t="n">
        <v>2494</v>
      </c>
      <c r="G136" s="59" t="n">
        <f aca="false">F136-H136</f>
        <v>2494</v>
      </c>
      <c r="H136" s="59" t="n">
        <v>0</v>
      </c>
      <c r="J136" s="183"/>
      <c r="K136" s="0"/>
    </row>
    <row r="137" customFormat="false" ht="19.85" hidden="false" customHeight="true" outlineLevel="0" collapsed="false">
      <c r="A137" s="1" t="n">
        <v>31</v>
      </c>
      <c r="B137" s="34" t="n">
        <v>40756</v>
      </c>
      <c r="C137" s="56" t="n">
        <v>175580</v>
      </c>
      <c r="D137" s="29" t="s">
        <v>41</v>
      </c>
      <c r="E137" s="33" t="n">
        <f aca="false">IF(D137="totale",(C137/(A137*24))/F137,IF(D137="marché libre",(C137/(A137*24))/G137,"spécifier histo"))</f>
        <v>0.0946249493407835</v>
      </c>
      <c r="F137" s="59" t="n">
        <v>2494</v>
      </c>
      <c r="G137" s="59" t="n">
        <f aca="false">F137-H137</f>
        <v>2494</v>
      </c>
      <c r="H137" s="59" t="n">
        <v>0</v>
      </c>
      <c r="J137" s="183"/>
      <c r="K137" s="0"/>
    </row>
    <row r="138" customFormat="false" ht="19.85" hidden="false" customHeight="true" outlineLevel="0" collapsed="false">
      <c r="A138" s="1" t="n">
        <v>30</v>
      </c>
      <c r="B138" s="31" t="n">
        <v>40787</v>
      </c>
      <c r="C138" s="56" t="n">
        <v>237140</v>
      </c>
      <c r="D138" s="29" t="s">
        <v>41</v>
      </c>
      <c r="E138" s="33" t="n">
        <f aca="false">IF(D138="totale",(C138/(A138*24))/F138,IF(D138="marché libre",(C138/(A138*24))/G138,"spécifier histo"))</f>
        <v>0.132061391784728</v>
      </c>
      <c r="F138" s="59" t="n">
        <v>2494</v>
      </c>
      <c r="G138" s="59" t="n">
        <f aca="false">F138-H138</f>
        <v>2494</v>
      </c>
      <c r="H138" s="59" t="n">
        <v>0</v>
      </c>
      <c r="J138" s="183"/>
      <c r="K138" s="0"/>
    </row>
    <row r="139" customFormat="false" ht="19.85" hidden="false" customHeight="true" outlineLevel="0" collapsed="false">
      <c r="A139" s="1" t="n">
        <v>31</v>
      </c>
      <c r="B139" s="34" t="n">
        <v>40817</v>
      </c>
      <c r="C139" s="56" t="n">
        <v>542228</v>
      </c>
      <c r="D139" s="29" t="s">
        <v>41</v>
      </c>
      <c r="E139" s="33" t="n">
        <f aca="false">IF(D139="totale",(C139/(A139*24))/F139,IF(D139="marché libre",(C139/(A139*24))/G139,"spécifier histo"))</f>
        <v>0.292221762337136</v>
      </c>
      <c r="F139" s="59" t="n">
        <v>2494</v>
      </c>
      <c r="G139" s="59" t="n">
        <f aca="false">F139-H139</f>
        <v>2494</v>
      </c>
      <c r="H139" s="59" t="n">
        <v>0</v>
      </c>
      <c r="J139" s="183"/>
      <c r="K139" s="0"/>
    </row>
    <row r="140" customFormat="false" ht="19.85" hidden="false" customHeight="true" outlineLevel="0" collapsed="false">
      <c r="A140" s="1" t="n">
        <v>30</v>
      </c>
      <c r="B140" s="31" t="n">
        <v>40848</v>
      </c>
      <c r="C140" s="56" t="n">
        <v>1315254</v>
      </c>
      <c r="D140" s="29" t="s">
        <v>41</v>
      </c>
      <c r="E140" s="33" t="n">
        <f aca="false">IF(D140="totale",(C140/(A140*24))/F140,IF(D140="marché libre",(C140/(A140*24))/G140,"spécifier histo"))</f>
        <v>0.732454557604918</v>
      </c>
      <c r="F140" s="59" t="n">
        <v>2494</v>
      </c>
      <c r="G140" s="59" t="n">
        <f aca="false">F140-H140</f>
        <v>2494</v>
      </c>
      <c r="H140" s="59" t="n">
        <v>0</v>
      </c>
      <c r="J140" s="183"/>
      <c r="K140" s="0"/>
    </row>
    <row r="141" customFormat="false" ht="19.85" hidden="false" customHeight="true" outlineLevel="0" collapsed="false">
      <c r="A141" s="1" t="n">
        <v>31</v>
      </c>
      <c r="B141" s="34" t="n">
        <v>40878</v>
      </c>
      <c r="C141" s="56" t="n">
        <v>645058</v>
      </c>
      <c r="D141" s="29" t="s">
        <v>41</v>
      </c>
      <c r="E141" s="33" t="n">
        <f aca="false">IF(D141="totale",(C141/(A141*24))/F141,IF(D141="marché libre",(C141/(A141*24))/G141,"spécifier histo"))</f>
        <v>0.347639711652051</v>
      </c>
      <c r="F141" s="59" t="n">
        <v>2494</v>
      </c>
      <c r="G141" s="59" t="n">
        <f aca="false">F141-H141</f>
        <v>2494</v>
      </c>
      <c r="H141" s="59" t="n">
        <v>0</v>
      </c>
      <c r="J141" s="183"/>
      <c r="K141" s="0"/>
    </row>
    <row r="142" customFormat="false" ht="19.85" hidden="false" customHeight="true" outlineLevel="0" collapsed="false">
      <c r="A142" s="1" t="n">
        <v>31</v>
      </c>
      <c r="B142" s="31" t="n">
        <v>40909</v>
      </c>
      <c r="C142" s="56" t="n">
        <v>314167</v>
      </c>
      <c r="D142" s="29" t="s">
        <v>41</v>
      </c>
      <c r="E142" s="33" t="n">
        <f aca="false">IF(D142="totale",(C142/(A142*24))/F142,IF(D142="marché libre",(C142/(A142*24))/G142,"spécifier histo"))</f>
        <v>0.169313341266351</v>
      </c>
      <c r="F142" s="59" t="n">
        <v>2494</v>
      </c>
      <c r="G142" s="59" t="n">
        <f aca="false">F142-H142</f>
        <v>2494</v>
      </c>
      <c r="H142" s="59" t="n">
        <v>0</v>
      </c>
      <c r="J142" s="183"/>
      <c r="K142" s="0"/>
    </row>
    <row r="143" customFormat="false" ht="19.85" hidden="false" customHeight="true" outlineLevel="0" collapsed="false">
      <c r="A143" s="1" t="n">
        <v>28</v>
      </c>
      <c r="B143" s="34" t="n">
        <v>40940</v>
      </c>
      <c r="C143" s="56" t="n">
        <v>236552</v>
      </c>
      <c r="D143" s="29" t="s">
        <v>41</v>
      </c>
      <c r="E143" s="33" t="n">
        <f aca="false">IF(D143="totale",(C143/(A143*24))/F143,IF(D143="marché libre",(C143/(A143*24))/G143,"spécifier histo"))</f>
        <v>0.14114350631993</v>
      </c>
      <c r="F143" s="59" t="n">
        <v>2494</v>
      </c>
      <c r="G143" s="59" t="n">
        <f aca="false">F143-H143</f>
        <v>2494</v>
      </c>
      <c r="H143" s="59" t="n">
        <v>0</v>
      </c>
      <c r="J143" s="183"/>
      <c r="K143" s="0"/>
    </row>
    <row r="144" customFormat="false" ht="19.85" hidden="false" customHeight="true" outlineLevel="0" collapsed="false">
      <c r="A144" s="1" t="n">
        <v>31</v>
      </c>
      <c r="B144" s="31" t="n">
        <v>40969</v>
      </c>
      <c r="C144" s="56" t="n">
        <v>345266</v>
      </c>
      <c r="D144" s="29" t="s">
        <v>41</v>
      </c>
      <c r="E144" s="33" t="n">
        <f aca="false">IF(D144="totale",(C144/(A144*24))/F144,IF(D144="marché libre",(C144/(A144*24))/G144,"spécifier histo"))</f>
        <v>0.186073458019677</v>
      </c>
      <c r="F144" s="59" t="n">
        <v>2494</v>
      </c>
      <c r="G144" s="59" t="n">
        <f aca="false">F144-H144</f>
        <v>2494</v>
      </c>
      <c r="H144" s="59" t="n">
        <v>0</v>
      </c>
      <c r="J144" s="183"/>
      <c r="K144" s="0"/>
    </row>
    <row r="145" customFormat="false" ht="19.85" hidden="false" customHeight="true" outlineLevel="0" collapsed="false">
      <c r="A145" s="1" t="n">
        <v>30</v>
      </c>
      <c r="B145" s="34" t="n">
        <v>41000</v>
      </c>
      <c r="C145" s="56" t="n">
        <v>651887</v>
      </c>
      <c r="D145" s="29" t="s">
        <v>41</v>
      </c>
      <c r="E145" s="33" t="n">
        <f aca="false">IF(D145="totale",(C145/(A145*24))/F145,IF(D145="marché libre",(C145/(A145*24))/G145,"spécifier histo"))</f>
        <v>0.363030718168048</v>
      </c>
      <c r="F145" s="59" t="n">
        <v>2494</v>
      </c>
      <c r="G145" s="59" t="n">
        <f aca="false">F145-H145</f>
        <v>2494</v>
      </c>
      <c r="H145" s="59" t="n">
        <v>0</v>
      </c>
      <c r="J145" s="183"/>
      <c r="K145" s="0"/>
    </row>
    <row r="146" customFormat="false" ht="19.85" hidden="false" customHeight="true" outlineLevel="0" collapsed="false">
      <c r="A146" s="1" t="n">
        <v>31</v>
      </c>
      <c r="B146" s="31" t="n">
        <v>41030</v>
      </c>
      <c r="C146" s="56" t="n">
        <v>1723412</v>
      </c>
      <c r="D146" s="29" t="s">
        <v>41</v>
      </c>
      <c r="E146" s="33" t="n">
        <f aca="false">IF(D146="totale",(C146/(A146*24))/F146,IF(D146="marché libre",(C146/(A146*24))/G146,"spécifier histo"))</f>
        <v>0.928794698674669</v>
      </c>
      <c r="F146" s="59" t="n">
        <v>2494</v>
      </c>
      <c r="G146" s="59" t="n">
        <f aca="false">F146-H146</f>
        <v>2494</v>
      </c>
      <c r="H146" s="59" t="n">
        <v>0</v>
      </c>
      <c r="J146" s="183"/>
      <c r="K146" s="0"/>
    </row>
    <row r="147" customFormat="false" ht="19.85" hidden="false" customHeight="true" outlineLevel="0" collapsed="false">
      <c r="A147" s="1" t="n">
        <v>30</v>
      </c>
      <c r="B147" s="34" t="n">
        <v>41061</v>
      </c>
      <c r="C147" s="56" t="n">
        <v>1339660</v>
      </c>
      <c r="D147" s="29" t="s">
        <v>41</v>
      </c>
      <c r="E147" s="33" t="n">
        <f aca="false">IF(D147="totale",(C147/(A147*24))/F147,IF(D147="marché libre",(C147/(A147*24))/G147,"spécifier histo"))</f>
        <v>0.74604606611423</v>
      </c>
      <c r="F147" s="59" t="n">
        <v>2494</v>
      </c>
      <c r="G147" s="59" t="n">
        <f aca="false">F147-H147</f>
        <v>2494</v>
      </c>
      <c r="H147" s="59" t="n">
        <v>0</v>
      </c>
      <c r="J147" s="183"/>
      <c r="K147" s="0"/>
    </row>
    <row r="148" customFormat="false" ht="19.85" hidden="false" customHeight="true" outlineLevel="0" collapsed="false">
      <c r="A148" s="1" t="n">
        <v>31</v>
      </c>
      <c r="B148" s="31" t="n">
        <v>41091</v>
      </c>
      <c r="C148" s="56" t="n">
        <v>538369</v>
      </c>
      <c r="D148" s="29" t="s">
        <v>41</v>
      </c>
      <c r="E148" s="33" t="n">
        <f aca="false">IF(D148="totale",(C148/(A148*24))/F148,IF(D148="marché libre",(C148/(A148*24))/G148,"spécifier histo"))</f>
        <v>0.2901420398203</v>
      </c>
      <c r="F148" s="59" t="n">
        <v>2494</v>
      </c>
      <c r="G148" s="59" t="n">
        <f aca="false">F148-H148</f>
        <v>2494</v>
      </c>
      <c r="H148" s="59" t="n">
        <v>0</v>
      </c>
      <c r="J148" s="183"/>
      <c r="K148" s="0"/>
    </row>
    <row r="149" customFormat="false" ht="19.85" hidden="false" customHeight="true" outlineLevel="0" collapsed="false">
      <c r="A149" s="1" t="n">
        <v>31</v>
      </c>
      <c r="B149" s="34" t="n">
        <v>41122</v>
      </c>
      <c r="C149" s="56" t="n">
        <v>156338</v>
      </c>
      <c r="D149" s="29" t="s">
        <v>41</v>
      </c>
      <c r="E149" s="33" t="n">
        <f aca="false">IF(D149="totale",(C149/(A149*24))/F149,IF(D149="marché libre",(C149/(A149*24))/G149,"spécifier histo"))</f>
        <v>0.0842548999318795</v>
      </c>
      <c r="F149" s="59" t="n">
        <v>2494</v>
      </c>
      <c r="G149" s="59" t="n">
        <f aca="false">F149-H149</f>
        <v>2494</v>
      </c>
      <c r="H149" s="59" t="n">
        <v>0</v>
      </c>
      <c r="J149" s="183"/>
      <c r="K149" s="0"/>
    </row>
    <row r="150" customFormat="false" ht="19.85" hidden="false" customHeight="true" outlineLevel="0" collapsed="false">
      <c r="A150" s="1" t="n">
        <v>30</v>
      </c>
      <c r="B150" s="31" t="n">
        <v>41153</v>
      </c>
      <c r="C150" s="56" t="n">
        <v>1066727</v>
      </c>
      <c r="D150" s="29" t="s">
        <v>41</v>
      </c>
      <c r="E150" s="33" t="n">
        <f aca="false">IF(D150="totale",(C150/(A150*24))/F150,IF(D150="marché libre",(C150/(A150*24))/G150,"spécifier histo"))</f>
        <v>0.59405183551635</v>
      </c>
      <c r="F150" s="59" t="n">
        <v>2494</v>
      </c>
      <c r="G150" s="59" t="n">
        <f aca="false">F150-H150</f>
        <v>2494</v>
      </c>
      <c r="H150" s="59" t="n">
        <v>0</v>
      </c>
      <c r="J150" s="183"/>
      <c r="K150" s="0"/>
    </row>
    <row r="151" customFormat="false" ht="19.85" hidden="false" customHeight="true" outlineLevel="0" collapsed="false">
      <c r="A151" s="1" t="n">
        <v>31</v>
      </c>
      <c r="B151" s="34" t="n">
        <v>41183</v>
      </c>
      <c r="C151" s="56" t="n">
        <v>780884</v>
      </c>
      <c r="D151" s="29" t="s">
        <v>41</v>
      </c>
      <c r="E151" s="33" t="n">
        <f aca="false">IF(D151="totale",(C151/(A151*24))/F151,IF(D151="marché libre",(C151/(A151*24))/G151,"spécifier histo"))</f>
        <v>0.420840123824059</v>
      </c>
      <c r="F151" s="59" t="n">
        <v>2494</v>
      </c>
      <c r="G151" s="59" t="n">
        <f aca="false">F151-H151</f>
        <v>2494</v>
      </c>
      <c r="H151" s="59" t="n">
        <v>0</v>
      </c>
      <c r="J151" s="183"/>
      <c r="K151" s="0"/>
    </row>
    <row r="152" customFormat="false" ht="19.85" hidden="false" customHeight="true" outlineLevel="0" collapsed="false">
      <c r="A152" s="1" t="n">
        <v>30</v>
      </c>
      <c r="B152" s="31" t="n">
        <v>41214</v>
      </c>
      <c r="C152" s="56" t="n">
        <v>1510726</v>
      </c>
      <c r="D152" s="29" t="s">
        <v>41</v>
      </c>
      <c r="E152" s="33" t="n">
        <f aca="false">IF(D152="totale",(C152/(A152*24))/F152,IF(D152="marché libre",(C152/(A152*24))/G152,"spécifier histo"))</f>
        <v>0.841311369509044</v>
      </c>
      <c r="F152" s="59" t="n">
        <v>2494</v>
      </c>
      <c r="G152" s="59" t="n">
        <f aca="false">F152-H152</f>
        <v>2494</v>
      </c>
      <c r="H152" s="59" t="n">
        <v>0</v>
      </c>
      <c r="J152" s="183"/>
      <c r="K152" s="0"/>
    </row>
    <row r="153" customFormat="false" ht="19.85" hidden="false" customHeight="true" outlineLevel="0" collapsed="false">
      <c r="A153" s="1" t="n">
        <v>31</v>
      </c>
      <c r="B153" s="34" t="n">
        <v>41244</v>
      </c>
      <c r="C153" s="56" t="n">
        <v>1207678</v>
      </c>
      <c r="D153" s="29" t="s">
        <v>41</v>
      </c>
      <c r="E153" s="33" t="n">
        <f aca="false">IF(D153="totale",(C153/(A153*24))/F153,IF(D153="marché libre",(C153/(A153*24))/G153,"spécifier histo"))</f>
        <v>0.650851290408809</v>
      </c>
      <c r="F153" s="59" t="n">
        <v>2494</v>
      </c>
      <c r="G153" s="59" t="n">
        <f aca="false">F153-H153</f>
        <v>2494</v>
      </c>
      <c r="H153" s="59" t="n">
        <v>0</v>
      </c>
      <c r="J153" s="183"/>
      <c r="K153" s="0"/>
    </row>
    <row r="154" customFormat="false" ht="19.85" hidden="false" customHeight="true" outlineLevel="0" collapsed="false">
      <c r="A154" s="1" t="n">
        <v>31</v>
      </c>
      <c r="B154" s="31" t="n">
        <v>41275</v>
      </c>
      <c r="C154" s="56" t="n">
        <v>714510</v>
      </c>
      <c r="D154" s="29" t="s">
        <v>41</v>
      </c>
      <c r="E154" s="33" t="n">
        <f aca="false">IF(D154="totale",(C154/(A154*24))/F154,IF(D154="marché libre",(C154/(A154*24))/G154,"spécifier histo"))</f>
        <v>0.385069327676747</v>
      </c>
      <c r="F154" s="59" t="n">
        <v>2494</v>
      </c>
      <c r="G154" s="59" t="n">
        <f aca="false">F154-H154</f>
        <v>2494</v>
      </c>
      <c r="H154" s="59" t="n">
        <v>0</v>
      </c>
      <c r="J154" s="183"/>
      <c r="K154" s="0"/>
    </row>
    <row r="155" customFormat="false" ht="19.85" hidden="false" customHeight="true" outlineLevel="0" collapsed="false">
      <c r="A155" s="1" t="n">
        <v>28</v>
      </c>
      <c r="B155" s="34" t="n">
        <v>41306</v>
      </c>
      <c r="C155" s="56" t="n">
        <v>440760</v>
      </c>
      <c r="D155" s="29" t="s">
        <v>41</v>
      </c>
      <c r="E155" s="33" t="n">
        <f aca="false">IF(D155="totale",(C155/(A155*24))/F155,IF(D155="marché libre",(C155/(A155*24))/G155,"spécifier histo"))</f>
        <v>0.262988314812693</v>
      </c>
      <c r="F155" s="59" t="n">
        <v>2494</v>
      </c>
      <c r="G155" s="59" t="n">
        <f aca="false">F155-H155</f>
        <v>2494</v>
      </c>
      <c r="H155" s="59" t="n">
        <v>0</v>
      </c>
      <c r="J155" s="183"/>
      <c r="K155" s="0"/>
    </row>
    <row r="156" customFormat="false" ht="19.85" hidden="false" customHeight="true" outlineLevel="0" collapsed="false">
      <c r="A156" s="1" t="n">
        <v>31</v>
      </c>
      <c r="B156" s="31" t="n">
        <v>41334</v>
      </c>
      <c r="C156" s="56" t="n">
        <v>382514</v>
      </c>
      <c r="D156" s="29" t="s">
        <v>41</v>
      </c>
      <c r="E156" s="33" t="n">
        <f aca="false">IF(D156="totale",(C156/(A156*24))/F156,IF(D156="marché libre",(C156/(A156*24))/G156,"spécifier histo"))</f>
        <v>0.206147442032922</v>
      </c>
      <c r="F156" s="59" t="n">
        <v>2494</v>
      </c>
      <c r="G156" s="59" t="n">
        <f aca="false">F156-H156</f>
        <v>2494</v>
      </c>
      <c r="H156" s="59" t="n">
        <v>0</v>
      </c>
      <c r="J156" s="183"/>
      <c r="K156" s="0"/>
    </row>
    <row r="157" customFormat="false" ht="19.85" hidden="false" customHeight="true" outlineLevel="0" collapsed="false">
      <c r="A157" s="1" t="n">
        <v>30</v>
      </c>
      <c r="B157" s="34" t="n">
        <v>41365</v>
      </c>
      <c r="C157" s="56" t="n">
        <v>1170948</v>
      </c>
      <c r="D157" s="29" t="s">
        <v>41</v>
      </c>
      <c r="E157" s="33" t="n">
        <f aca="false">IF(D157="totale",(C157/(A157*24))/F157,IF(D157="marché libre",(C157/(A157*24))/G157,"spécifier histo"))</f>
        <v>0.652091686714782</v>
      </c>
      <c r="F157" s="59" t="n">
        <v>2494</v>
      </c>
      <c r="G157" s="59" t="n">
        <f aca="false">F157-H157</f>
        <v>2494</v>
      </c>
      <c r="H157" s="59" t="n">
        <v>0</v>
      </c>
      <c r="J157" s="183"/>
      <c r="K157" s="0"/>
    </row>
    <row r="158" customFormat="false" ht="19.85" hidden="false" customHeight="true" outlineLevel="0" collapsed="false">
      <c r="A158" s="1" t="n">
        <v>31</v>
      </c>
      <c r="B158" s="31" t="n">
        <v>41395</v>
      </c>
      <c r="C158" s="56" t="n">
        <v>1812126</v>
      </c>
      <c r="D158" s="29" t="s">
        <v>41</v>
      </c>
      <c r="E158" s="33" t="n">
        <f aca="false">IF(D158="totale",(C158/(A158*24))/F158,IF(D158="marché libre",(C158/(A158*24))/G158,"spécifier histo"))</f>
        <v>0.976605142664977</v>
      </c>
      <c r="F158" s="59" t="n">
        <v>2494</v>
      </c>
      <c r="G158" s="59" t="n">
        <f aca="false">F158-H158</f>
        <v>2494</v>
      </c>
      <c r="H158" s="59" t="n">
        <v>0</v>
      </c>
      <c r="J158" s="183"/>
      <c r="K158" s="0"/>
    </row>
    <row r="159" customFormat="false" ht="19.85" hidden="false" customHeight="true" outlineLevel="0" collapsed="false">
      <c r="A159" s="1" t="n">
        <v>30</v>
      </c>
      <c r="B159" s="34" t="n">
        <v>41426</v>
      </c>
      <c r="C159" s="56" t="n">
        <v>1712735</v>
      </c>
      <c r="D159" s="29" t="s">
        <v>41</v>
      </c>
      <c r="E159" s="33" t="n">
        <f aca="false">IF(D159="totale",(C159/(A159*24))/F159,IF(D159="marché libre",(C159/(A159*24))/G159,"spécifier histo"))</f>
        <v>0.953808585048561</v>
      </c>
      <c r="F159" s="59" t="n">
        <v>2494</v>
      </c>
      <c r="G159" s="59" t="n">
        <f aca="false">F159-H159</f>
        <v>2494</v>
      </c>
      <c r="H159" s="59" t="n">
        <v>0</v>
      </c>
      <c r="J159" s="183"/>
      <c r="K159" s="0"/>
    </row>
    <row r="160" customFormat="false" ht="19.85" hidden="false" customHeight="true" outlineLevel="0" collapsed="false">
      <c r="A160" s="1" t="n">
        <v>31</v>
      </c>
      <c r="B160" s="31" t="n">
        <v>41456</v>
      </c>
      <c r="C160" s="56" t="n">
        <v>1545766</v>
      </c>
      <c r="D160" s="29" t="s">
        <v>41</v>
      </c>
      <c r="E160" s="33" t="n">
        <f aca="false">IF(D160="totale",(C160/(A160*24))/F160,IF(D160="marché libre",(C160/(A160*24))/G160,"spécifier histo"))</f>
        <v>0.833056324425934</v>
      </c>
      <c r="F160" s="59" t="n">
        <v>2494</v>
      </c>
      <c r="G160" s="59" t="n">
        <f aca="false">F160-H160</f>
        <v>2494</v>
      </c>
      <c r="H160" s="59" t="n">
        <v>0</v>
      </c>
      <c r="J160" s="183"/>
      <c r="K160" s="0"/>
    </row>
    <row r="161" customFormat="false" ht="19.85" hidden="false" customHeight="true" outlineLevel="0" collapsed="false">
      <c r="A161" s="1" t="n">
        <v>31</v>
      </c>
      <c r="B161" s="34" t="n">
        <v>41487</v>
      </c>
      <c r="C161" s="56" t="n">
        <v>1206172</v>
      </c>
      <c r="D161" s="29" t="s">
        <v>41</v>
      </c>
      <c r="E161" s="33" t="n">
        <f aca="false">IF(D161="totale",(C161/(A161*24))/F161,IF(D161="marché libre",(C161/(A161*24))/G161,"spécifier histo"))</f>
        <v>0.650039665088686</v>
      </c>
      <c r="F161" s="59" t="n">
        <v>2494</v>
      </c>
      <c r="G161" s="59" t="n">
        <f aca="false">F161-H161</f>
        <v>2494</v>
      </c>
      <c r="H161" s="59" t="n">
        <v>0</v>
      </c>
      <c r="J161" s="183"/>
      <c r="K161" s="0"/>
    </row>
    <row r="162" customFormat="false" ht="19.85" hidden="false" customHeight="true" outlineLevel="0" collapsed="false">
      <c r="A162" s="1" t="n">
        <v>30</v>
      </c>
      <c r="B162" s="31" t="n">
        <v>41518</v>
      </c>
      <c r="C162" s="56" t="n">
        <v>313340</v>
      </c>
      <c r="D162" s="29" t="s">
        <v>41</v>
      </c>
      <c r="E162" s="33" t="n">
        <f aca="false">IF(D162="totale",(C162/(A162*24))/F162,IF(D162="marché libre",(C162/(A162*24))/G162,"spécifier histo"))</f>
        <v>0.174496569544685</v>
      </c>
      <c r="F162" s="59" t="n">
        <v>2494</v>
      </c>
      <c r="G162" s="59" t="n">
        <f aca="false">F162-H162</f>
        <v>2494</v>
      </c>
      <c r="H162" s="59" t="n">
        <v>0</v>
      </c>
      <c r="J162" s="183"/>
    </row>
    <row r="163" customFormat="false" ht="19.85" hidden="false" customHeight="true" outlineLevel="0" collapsed="false">
      <c r="A163" s="1" t="n">
        <v>31</v>
      </c>
      <c r="B163" s="34" t="n">
        <v>41548</v>
      </c>
      <c r="C163" s="56" t="n">
        <v>189243</v>
      </c>
      <c r="D163" s="29" t="s">
        <v>41</v>
      </c>
      <c r="E163" s="33" t="n">
        <f aca="false">IF(D163="totale",(C163/(A163*24))/F163,IF(D163="marché libre",(C163/(A163*24))/G163,"spécifier histo"))</f>
        <v>0.101988320355951</v>
      </c>
      <c r="F163" s="59" t="n">
        <v>2494</v>
      </c>
      <c r="G163" s="59" t="n">
        <f aca="false">F163-H163</f>
        <v>2494</v>
      </c>
      <c r="H163" s="59" t="n">
        <v>0</v>
      </c>
      <c r="J163" s="183"/>
    </row>
    <row r="164" customFormat="false" ht="19.85" hidden="false" customHeight="true" outlineLevel="0" collapsed="false">
      <c r="A164" s="1" t="n">
        <v>30</v>
      </c>
      <c r="B164" s="31" t="n">
        <v>41579</v>
      </c>
      <c r="C164" s="56" t="n">
        <v>389036</v>
      </c>
      <c r="D164" s="29" t="s">
        <v>41</v>
      </c>
      <c r="E164" s="33" t="n">
        <f aca="false">IF(D164="totale",(C164/(A164*24))/F164,IF(D164="marché libre",(C164/(A164*24))/G164,"spécifier histo"))</f>
        <v>0.216651073687962</v>
      </c>
      <c r="F164" s="59" t="n">
        <v>2494</v>
      </c>
      <c r="G164" s="59" t="n">
        <f aca="false">F164-H164</f>
        <v>2494</v>
      </c>
      <c r="H164" s="59" t="n">
        <v>0</v>
      </c>
      <c r="J164" s="183"/>
    </row>
    <row r="165" customFormat="false" ht="19.85" hidden="false" customHeight="true" outlineLevel="0" collapsed="false">
      <c r="A165" s="1" t="n">
        <v>31</v>
      </c>
      <c r="B165" s="34" t="n">
        <v>41609</v>
      </c>
      <c r="C165" s="56" t="n">
        <v>394533</v>
      </c>
      <c r="D165" s="29" t="s">
        <v>41</v>
      </c>
      <c r="E165" s="33" t="n">
        <f aca="false">IF(D165="totale",(C165/(A165*24))/F165,IF(D165="marché libre",(C165/(A165*24))/G165,"spécifier histo"))</f>
        <v>0.21262481568668</v>
      </c>
      <c r="F165" s="59" t="n">
        <v>2494</v>
      </c>
      <c r="G165" s="59" t="n">
        <f aca="false">F165-H165</f>
        <v>2494</v>
      </c>
      <c r="H165" s="59" t="n">
        <v>0</v>
      </c>
      <c r="J165" s="183"/>
    </row>
    <row r="166" customFormat="false" ht="19.85" hidden="false" customHeight="true" outlineLevel="0" collapsed="false">
      <c r="A166" s="1" t="n">
        <v>31</v>
      </c>
      <c r="B166" s="31" t="n">
        <v>41640</v>
      </c>
      <c r="C166" s="56" t="n">
        <v>641770</v>
      </c>
      <c r="D166" s="29" t="s">
        <v>41</v>
      </c>
      <c r="E166" s="33" t="n">
        <f aca="false">IF(D166="totale",(C166/(A166*24))/F166,IF(D166="marché libre",(C166/(A166*24))/G166,"spécifier histo"))</f>
        <v>0.345867716929232</v>
      </c>
      <c r="F166" s="59" t="n">
        <v>2494</v>
      </c>
      <c r="G166" s="59" t="n">
        <f aca="false">F166-H166</f>
        <v>2494</v>
      </c>
      <c r="H166" s="59" t="n">
        <v>0</v>
      </c>
      <c r="J166" s="183"/>
      <c r="K166" s="361"/>
      <c r="L166" s="0"/>
      <c r="M166" s="0"/>
    </row>
    <row r="167" customFormat="false" ht="19.85" hidden="false" customHeight="true" outlineLevel="0" collapsed="false">
      <c r="A167" s="1" t="n">
        <v>28</v>
      </c>
      <c r="B167" s="34" t="n">
        <v>41671</v>
      </c>
      <c r="C167" s="56" t="n">
        <v>404494</v>
      </c>
      <c r="D167" s="29" t="s">
        <v>41</v>
      </c>
      <c r="E167" s="33" t="n">
        <f aca="false">IF(D167="totale",(C167/(A167*24))/F167,IF(D167="marché libre",(C167/(A167*24))/G167,"spécifier histo"))</f>
        <v>0.241349476839653</v>
      </c>
      <c r="F167" s="59" t="n">
        <v>2494</v>
      </c>
      <c r="G167" s="59" t="n">
        <f aca="false">F167-H167</f>
        <v>2494</v>
      </c>
      <c r="H167" s="59" t="n">
        <v>0</v>
      </c>
      <c r="J167" s="0"/>
      <c r="K167" s="0"/>
      <c r="L167" s="0"/>
      <c r="M167" s="0"/>
      <c r="N167" s="0"/>
      <c r="O167" s="362" t="s">
        <v>531</v>
      </c>
      <c r="P167" s="362"/>
      <c r="Q167" s="362"/>
      <c r="R167" s="362"/>
      <c r="S167" s="362"/>
    </row>
    <row r="168" customFormat="false" ht="19.85" hidden="false" customHeight="true" outlineLevel="0" collapsed="false">
      <c r="A168" s="1" t="n">
        <v>31</v>
      </c>
      <c r="B168" s="31" t="n">
        <v>41699</v>
      </c>
      <c r="C168" s="56" t="n">
        <v>858050</v>
      </c>
      <c r="D168" s="29" t="s">
        <v>41</v>
      </c>
      <c r="E168" s="33" t="n">
        <f aca="false">IF(D168="totale",(C168/(A168*24))/F168,IF(D168="marché libre",(C168/(A168*24))/G168,"spécifier histo"))</f>
        <v>0.462427029171086</v>
      </c>
      <c r="F168" s="59" t="n">
        <v>2494</v>
      </c>
      <c r="G168" s="59" t="n">
        <f aca="false">F168-H168</f>
        <v>2494</v>
      </c>
      <c r="H168" s="59" t="n">
        <v>0</v>
      </c>
      <c r="J168" s="0"/>
      <c r="K168" s="0"/>
      <c r="L168" s="0"/>
      <c r="M168" s="0"/>
      <c r="N168" s="0"/>
      <c r="O168" s="363"/>
      <c r="P168" s="363"/>
      <c r="Q168" s="363"/>
      <c r="R168" s="363"/>
      <c r="S168" s="0"/>
    </row>
    <row r="169" customFormat="false" ht="19.85" hidden="false" customHeight="true" outlineLevel="0" collapsed="false">
      <c r="A169" s="1" t="n">
        <v>30</v>
      </c>
      <c r="B169" s="34" t="n">
        <v>41730</v>
      </c>
      <c r="C169" s="56" t="n">
        <v>1593120</v>
      </c>
      <c r="D169" s="29" t="s">
        <v>41</v>
      </c>
      <c r="E169" s="33" t="n">
        <f aca="false">IF(D169="totale",(C169/(A169*24))/F169,IF(D169="marché libre",(C169/(A169*24))/G169,"spécifier histo"))</f>
        <v>0.887195936915263</v>
      </c>
      <c r="F169" s="59" t="n">
        <v>2494</v>
      </c>
      <c r="G169" s="59" t="n">
        <f aca="false">F169-H169</f>
        <v>2494</v>
      </c>
      <c r="H169" s="59" t="n">
        <v>0</v>
      </c>
      <c r="J169" s="0"/>
      <c r="K169" s="0"/>
      <c r="L169" s="0"/>
      <c r="M169" s="0"/>
      <c r="N169" s="0"/>
      <c r="O169" s="0"/>
      <c r="P169" s="0"/>
      <c r="Q169" s="0"/>
      <c r="R169" s="0"/>
      <c r="S169" s="0"/>
    </row>
    <row r="170" customFormat="false" ht="19.85" hidden="false" customHeight="true" outlineLevel="0" collapsed="false">
      <c r="A170" s="1" t="n">
        <v>31</v>
      </c>
      <c r="B170" s="31" t="n">
        <v>41760</v>
      </c>
      <c r="C170" s="56" t="n">
        <v>1756724</v>
      </c>
      <c r="D170" s="29" t="s">
        <v>41</v>
      </c>
      <c r="E170" s="33" t="n">
        <f aca="false">IF(D170="totale",(C170/(A170*24))/F170,IF(D170="marché libre",(C170/(A170*24))/G170,"spécifier histo"))</f>
        <v>0.946747462727751</v>
      </c>
      <c r="F170" s="59" t="n">
        <v>2494</v>
      </c>
      <c r="G170" s="59" t="n">
        <f aca="false">F170-H170</f>
        <v>2494</v>
      </c>
      <c r="H170" s="59" t="n">
        <v>0</v>
      </c>
      <c r="J170" s="0"/>
      <c r="K170" s="0"/>
      <c r="L170" s="0"/>
      <c r="M170" s="0"/>
      <c r="N170" s="0"/>
      <c r="O170" s="0"/>
      <c r="P170" s="348"/>
      <c r="Q170" s="348"/>
      <c r="R170" s="0"/>
      <c r="S170" s="0"/>
    </row>
    <row r="171" customFormat="false" ht="19.85" hidden="false" customHeight="true" outlineLevel="0" collapsed="false">
      <c r="A171" s="1" t="n">
        <v>30</v>
      </c>
      <c r="B171" s="34" t="n">
        <v>41791</v>
      </c>
      <c r="C171" s="56" t="n">
        <v>1564731</v>
      </c>
      <c r="D171" s="29" t="s">
        <v>41</v>
      </c>
      <c r="E171" s="33" t="n">
        <f aca="false">IF(D171="totale",(C171/(A171*24))/F171,IF(D171="marché libre",(C171/(A171*24))/G171,"spécifier histo"))</f>
        <v>0.871386327185245</v>
      </c>
      <c r="F171" s="59" t="n">
        <v>2494</v>
      </c>
      <c r="G171" s="59" t="n">
        <f aca="false">F171-H171</f>
        <v>2494</v>
      </c>
      <c r="H171" s="59" t="n">
        <v>0</v>
      </c>
      <c r="J171" s="0"/>
      <c r="K171" s="0"/>
      <c r="L171" s="0"/>
      <c r="M171" s="0"/>
      <c r="N171" s="0"/>
      <c r="O171" s="0"/>
      <c r="P171" s="0"/>
      <c r="Q171" s="0"/>
      <c r="R171" s="0"/>
      <c r="S171" s="0"/>
    </row>
    <row r="172" customFormat="false" ht="19.85" hidden="false" customHeight="true" outlineLevel="0" collapsed="false">
      <c r="A172" s="1" t="n">
        <v>31</v>
      </c>
      <c r="B172" s="31" t="n">
        <v>41821</v>
      </c>
      <c r="C172" s="56" t="n">
        <v>1631375</v>
      </c>
      <c r="D172" s="29" t="s">
        <v>41</v>
      </c>
      <c r="E172" s="33" t="n">
        <f aca="false">IF(D172="totale",(C172/(A172*24))/F172,IF(D172="marché libre",(C172/(A172*24))/G172,"spécifier histo"))</f>
        <v>0.879193397487303</v>
      </c>
      <c r="F172" s="59" t="n">
        <v>2494</v>
      </c>
      <c r="G172" s="59" t="n">
        <f aca="false">F172-H172</f>
        <v>2494</v>
      </c>
      <c r="H172" s="59" t="n">
        <v>0</v>
      </c>
      <c r="J172" s="0"/>
      <c r="K172" s="0"/>
      <c r="L172" s="0"/>
      <c r="M172" s="0"/>
      <c r="N172" s="0"/>
      <c r="O172" s="348"/>
      <c r="P172" s="0"/>
      <c r="Q172" s="0"/>
      <c r="R172" s="0"/>
      <c r="S172" s="0"/>
    </row>
    <row r="173" customFormat="false" ht="19.85" hidden="false" customHeight="true" outlineLevel="0" collapsed="false">
      <c r="A173" s="1" t="n">
        <v>31</v>
      </c>
      <c r="B173" s="34" t="n">
        <v>41852</v>
      </c>
      <c r="C173" s="56" t="n">
        <v>989479</v>
      </c>
      <c r="D173" s="29" t="s">
        <v>41</v>
      </c>
      <c r="E173" s="33" t="n">
        <f aca="false">IF(D173="totale",(C173/(A173*24))/F173,IF(D173="marché libre",(C173/(A173*24))/G173,"spécifier histo"))</f>
        <v>0.533257775650809</v>
      </c>
      <c r="F173" s="59" t="n">
        <v>2494</v>
      </c>
      <c r="G173" s="59" t="n">
        <f aca="false">F173-H173</f>
        <v>2494</v>
      </c>
      <c r="H173" s="59" t="n">
        <v>0</v>
      </c>
      <c r="J173" s="0"/>
      <c r="K173" s="0"/>
      <c r="L173" s="0"/>
      <c r="M173" s="0"/>
      <c r="N173" s="0"/>
      <c r="O173" s="348"/>
      <c r="P173" s="0"/>
      <c r="Q173" s="0"/>
      <c r="R173" s="0"/>
      <c r="S173" s="0"/>
    </row>
    <row r="174" customFormat="false" ht="19.85" hidden="false" customHeight="true" outlineLevel="0" collapsed="false">
      <c r="A174" s="1" t="n">
        <v>30</v>
      </c>
      <c r="B174" s="31" t="n">
        <v>41883</v>
      </c>
      <c r="C174" s="56" t="n">
        <v>581801</v>
      </c>
      <c r="D174" s="29" t="s">
        <v>41</v>
      </c>
      <c r="E174" s="33" t="n">
        <f aca="false">IF(D174="totale",(C174/(A174*24))/F174,IF(D174="marché libre",(C174/(A174*24))/G174,"spécifier histo"))</f>
        <v>0.324000378686626</v>
      </c>
      <c r="F174" s="59" t="n">
        <v>2494</v>
      </c>
      <c r="G174" s="59" t="n">
        <f aca="false">F174-H174</f>
        <v>2494</v>
      </c>
      <c r="H174" s="59" t="n">
        <v>0</v>
      </c>
      <c r="J174" s="0"/>
      <c r="K174" s="0"/>
      <c r="L174" s="0"/>
      <c r="M174" s="0"/>
      <c r="N174" s="0"/>
      <c r="O174" s="348"/>
      <c r="P174" s="0"/>
      <c r="Q174" s="0"/>
      <c r="R174" s="0"/>
      <c r="S174" s="0"/>
    </row>
    <row r="175" customFormat="false" ht="19.85" hidden="false" customHeight="true" outlineLevel="0" collapsed="false">
      <c r="A175" s="1" t="n">
        <v>31</v>
      </c>
      <c r="B175" s="34" t="n">
        <v>41913</v>
      </c>
      <c r="C175" s="56" t="n">
        <v>793879</v>
      </c>
      <c r="D175" s="29" t="s">
        <v>41</v>
      </c>
      <c r="E175" s="33" t="n">
        <f aca="false">IF(D175="totale",(C175/(A175*24))/F175,IF(D175="marché libre",(C175/(A175*24))/G175,"spécifier histo"))</f>
        <v>0.427843491045175</v>
      </c>
      <c r="F175" s="59" t="n">
        <v>2494</v>
      </c>
      <c r="G175" s="59" t="n">
        <f aca="false">F175-H175</f>
        <v>2494</v>
      </c>
      <c r="H175" s="59" t="n">
        <v>0</v>
      </c>
      <c r="J175" s="0"/>
      <c r="K175" s="0"/>
      <c r="L175" s="0"/>
      <c r="M175" s="0"/>
      <c r="N175" s="0"/>
      <c r="O175" s="348"/>
      <c r="P175" s="0"/>
      <c r="Q175" s="0"/>
      <c r="R175" s="0"/>
      <c r="S175" s="0"/>
    </row>
    <row r="176" customFormat="false" ht="19.85" hidden="false" customHeight="true" outlineLevel="0" collapsed="false">
      <c r="A176" s="1" t="n">
        <v>30</v>
      </c>
      <c r="B176" s="31" t="n">
        <v>41944</v>
      </c>
      <c r="C176" s="56" t="n">
        <v>1265030</v>
      </c>
      <c r="D176" s="29" t="s">
        <v>41</v>
      </c>
      <c r="E176" s="33" t="n">
        <f aca="false">IF(D176="totale",(C176/(A176*24))/F176,IF(D176="marché libre",(C176/(A176*24))/G176,"spécifier histo"))</f>
        <v>0.704485208945915</v>
      </c>
      <c r="F176" s="59" t="n">
        <v>2494</v>
      </c>
      <c r="G176" s="59" t="n">
        <f aca="false">F176-H176</f>
        <v>2494</v>
      </c>
      <c r="H176" s="59" t="n">
        <v>0</v>
      </c>
      <c r="J176" s="0"/>
      <c r="K176" s="0"/>
      <c r="L176" s="0"/>
      <c r="M176" s="0"/>
      <c r="N176" s="0"/>
      <c r="O176" s="348"/>
      <c r="P176" s="0"/>
      <c r="Q176" s="0"/>
      <c r="R176" s="0"/>
      <c r="S176" s="0"/>
    </row>
    <row r="177" customFormat="false" ht="19.85" hidden="false" customHeight="true" outlineLevel="0" collapsed="false">
      <c r="A177" s="1" t="n">
        <v>31</v>
      </c>
      <c r="B177" s="34" t="n">
        <v>41974</v>
      </c>
      <c r="C177" s="56" t="n">
        <v>1194362</v>
      </c>
      <c r="D177" s="29" t="s">
        <v>41</v>
      </c>
      <c r="E177" s="33" t="n">
        <f aca="false">IF(D177="totale",(C177/(A177*24))/F177,IF(D177="marché libre",(C177/(A177*24))/G177,"spécifier histo"))</f>
        <v>0.643674927352528</v>
      </c>
      <c r="F177" s="59" t="n">
        <v>2494</v>
      </c>
      <c r="G177" s="59" t="n">
        <f aca="false">F177-H177</f>
        <v>2494</v>
      </c>
      <c r="H177" s="59" t="n">
        <v>0</v>
      </c>
      <c r="J177" s="0"/>
      <c r="K177" s="0"/>
      <c r="L177" s="0"/>
      <c r="M177" s="0"/>
      <c r="N177" s="0"/>
      <c r="O177" s="348"/>
      <c r="P177" s="0"/>
      <c r="Q177" s="0"/>
      <c r="R177" s="0"/>
      <c r="S177" s="0"/>
    </row>
    <row r="178" customFormat="false" ht="19.85" hidden="false" customHeight="true" outlineLevel="0" collapsed="false">
      <c r="A178" s="1" t="n">
        <v>31</v>
      </c>
      <c r="B178" s="31" t="n">
        <v>42005</v>
      </c>
      <c r="C178" s="56" t="n">
        <v>586695</v>
      </c>
      <c r="D178" s="29" t="s">
        <v>41</v>
      </c>
      <c r="E178" s="33" t="n">
        <f aca="false">IF(D178="totale",(C178/(A178*24))/F178,IF(D178="marché libre",(C178/(A178*24))/G178,"spécifier histo"))</f>
        <v>0.316186266394185</v>
      </c>
      <c r="F178" s="59" t="n">
        <v>2494</v>
      </c>
      <c r="G178" s="59" t="n">
        <f aca="false">F178-H178</f>
        <v>2494</v>
      </c>
      <c r="H178" s="59" t="n">
        <v>0</v>
      </c>
      <c r="J178" s="9" t="s">
        <v>514</v>
      </c>
      <c r="K178" s="0"/>
      <c r="L178" s="0"/>
      <c r="M178" s="0"/>
      <c r="N178" s="0"/>
      <c r="O178" s="348"/>
      <c r="P178" s="0"/>
      <c r="Q178" s="0"/>
      <c r="R178" s="0"/>
      <c r="S178" s="0"/>
    </row>
    <row r="179" customFormat="false" ht="19.85" hidden="false" customHeight="true" outlineLevel="0" collapsed="false">
      <c r="A179" s="1" t="n">
        <v>28</v>
      </c>
      <c r="B179" s="34" t="n">
        <v>42036</v>
      </c>
      <c r="C179" s="56" t="n">
        <v>285878</v>
      </c>
      <c r="D179" s="29" t="s">
        <v>41</v>
      </c>
      <c r="E179" s="33" t="n">
        <f aca="false">IF(D179="totale",(C179/(A179*24))/F179,IF(D179="marché libre",(C179/(A179*24))/G179,"spécifier histo"))</f>
        <v>0.170574855844503</v>
      </c>
      <c r="F179" s="59" t="n">
        <v>2494</v>
      </c>
      <c r="G179" s="59" t="n">
        <f aca="false">F179-H179</f>
        <v>2494</v>
      </c>
      <c r="H179" s="59" t="n">
        <v>0</v>
      </c>
      <c r="J179" s="9" t="s">
        <v>514</v>
      </c>
      <c r="K179" s="0"/>
      <c r="L179" s="0"/>
      <c r="M179" s="0"/>
      <c r="N179" s="0"/>
      <c r="O179" s="348"/>
      <c r="P179" s="0"/>
      <c r="Q179" s="0"/>
      <c r="R179" s="0"/>
      <c r="S179" s="0"/>
    </row>
    <row r="180" customFormat="false" ht="19.85" hidden="false" customHeight="true" outlineLevel="0" collapsed="false">
      <c r="A180" s="1" t="n">
        <v>31</v>
      </c>
      <c r="B180" s="31" t="n">
        <v>42064</v>
      </c>
      <c r="C180" s="56" t="n">
        <v>469645</v>
      </c>
      <c r="D180" s="29" t="s">
        <v>41</v>
      </c>
      <c r="E180" s="33" t="n">
        <f aca="false">IF(D180="totale",(C180/(A180*24))/F180,IF(D180="marché libre",(C180/(A180*24))/G180,"spécifier histo"))</f>
        <v>0.25310476325978</v>
      </c>
      <c r="F180" s="59" t="n">
        <v>2494</v>
      </c>
      <c r="G180" s="59" t="n">
        <f aca="false">F180-H180</f>
        <v>2494</v>
      </c>
      <c r="H180" s="59" t="n">
        <v>0</v>
      </c>
      <c r="J180" s="9" t="s">
        <v>514</v>
      </c>
      <c r="K180" s="200" t="s">
        <v>515</v>
      </c>
      <c r="L180" s="200"/>
      <c r="M180" s="200"/>
      <c r="N180" s="200"/>
      <c r="O180" s="348"/>
      <c r="P180" s="0"/>
      <c r="Q180" s="0"/>
      <c r="R180" s="0"/>
      <c r="S180" s="0"/>
    </row>
    <row r="181" customFormat="false" ht="19.85" hidden="false" customHeight="true" outlineLevel="0" collapsed="false">
      <c r="A181" s="1" t="n">
        <v>30</v>
      </c>
      <c r="B181" s="34" t="n">
        <v>42095</v>
      </c>
      <c r="C181" s="56" t="n">
        <v>816940</v>
      </c>
      <c r="D181" s="29" t="s">
        <v>41</v>
      </c>
      <c r="E181" s="33" t="n">
        <f aca="false">IF(D181="totale",(C181/(A181*24))/F181,IF(D181="marché libre",(C181/(A181*24))/G181,"spécifier histo"))</f>
        <v>0.454947429386082</v>
      </c>
      <c r="F181" s="59" t="n">
        <v>2494</v>
      </c>
      <c r="G181" s="59" t="n">
        <f aca="false">F181-H181</f>
        <v>2494</v>
      </c>
      <c r="H181" s="59" t="n">
        <v>0</v>
      </c>
      <c r="J181" s="9" t="s">
        <v>514</v>
      </c>
      <c r="K181" s="364" t="s">
        <v>532</v>
      </c>
      <c r="L181" s="364"/>
      <c r="M181" s="364"/>
      <c r="N181" s="364"/>
      <c r="O181" s="348"/>
      <c r="P181" s="0"/>
      <c r="Q181" s="0"/>
      <c r="R181" s="0"/>
      <c r="S181" s="0"/>
    </row>
    <row r="182" customFormat="false" ht="19.85" hidden="false" customHeight="true" outlineLevel="0" collapsed="false">
      <c r="A182" s="1" t="n">
        <v>31</v>
      </c>
      <c r="B182" s="31" t="n">
        <v>42125</v>
      </c>
      <c r="C182" s="56" t="n">
        <v>1695813</v>
      </c>
      <c r="D182" s="29" t="s">
        <v>41</v>
      </c>
      <c r="E182" s="33" t="n">
        <f aca="false">IF(D182="totale",(C182/(A182*24))/F182,IF(D182="marché libre",(C182/(A182*24))/G182,"spécifier histo"))</f>
        <v>0.913920829345267</v>
      </c>
      <c r="F182" s="59" t="n">
        <v>2494</v>
      </c>
      <c r="G182" s="59" t="n">
        <f aca="false">F182-H182</f>
        <v>2494</v>
      </c>
      <c r="H182" s="59" t="n">
        <v>0</v>
      </c>
      <c r="J182" s="9" t="s">
        <v>514</v>
      </c>
      <c r="K182" s="364" t="s">
        <v>533</v>
      </c>
      <c r="L182" s="364"/>
      <c r="M182" s="364"/>
      <c r="N182" s="364"/>
      <c r="O182" s="348"/>
      <c r="P182" s="0"/>
      <c r="Q182" s="0"/>
      <c r="R182" s="0"/>
      <c r="S182" s="0"/>
    </row>
    <row r="183" customFormat="false" ht="19.85" hidden="false" customHeight="true" outlineLevel="0" collapsed="false">
      <c r="A183" s="1" t="n">
        <v>30</v>
      </c>
      <c r="B183" s="34" t="n">
        <v>42156</v>
      </c>
      <c r="C183" s="56" t="n">
        <v>1548991</v>
      </c>
      <c r="D183" s="29" t="s">
        <v>41</v>
      </c>
      <c r="E183" s="33" t="n">
        <f aca="false">IF(D183="totale",(C183/(A183*24))/F183,IF(D183="marché libre",(C183/(A183*24))/G183,"spécifier histo"))</f>
        <v>0.862620845584959</v>
      </c>
      <c r="F183" s="239" t="n">
        <v>2494</v>
      </c>
      <c r="G183" s="239" t="n">
        <f aca="false">F183-H183</f>
        <v>2494</v>
      </c>
      <c r="H183" s="239" t="n">
        <v>0</v>
      </c>
      <c r="J183" s="9" t="s">
        <v>514</v>
      </c>
      <c r="K183" s="364"/>
      <c r="L183" s="364"/>
      <c r="M183" s="364"/>
      <c r="N183" s="364"/>
      <c r="O183" s="348"/>
      <c r="P183" s="0"/>
      <c r="Q183" s="0"/>
      <c r="R183" s="0"/>
      <c r="S183" s="0"/>
    </row>
    <row r="184" customFormat="false" ht="19.85" hidden="false" customHeight="true" outlineLevel="0" collapsed="false">
      <c r="A184" s="1" t="n">
        <v>31</v>
      </c>
      <c r="B184" s="31" t="n">
        <v>42186</v>
      </c>
      <c r="C184" s="56" t="n">
        <v>445522</v>
      </c>
      <c r="D184" s="29" t="s">
        <v>41</v>
      </c>
      <c r="E184" s="33" t="n">
        <f aca="false">IF(D184="totale",(C184/(A184*24))/F184,IF(D184="marché libre",(C184/(A184*24))/G184,"spécifier histo"))</f>
        <v>0.240104207086254</v>
      </c>
      <c r="F184" s="239" t="n">
        <v>2494</v>
      </c>
      <c r="G184" s="239" t="n">
        <f aca="false">F184-H184</f>
        <v>2494</v>
      </c>
      <c r="H184" s="239" t="n">
        <v>0</v>
      </c>
      <c r="J184" s="9" t="s">
        <v>514</v>
      </c>
      <c r="K184" s="202"/>
      <c r="L184" s="0"/>
      <c r="M184" s="0"/>
      <c r="N184" s="0"/>
    </row>
    <row r="185" customFormat="false" ht="19.85" hidden="false" customHeight="true" outlineLevel="0" collapsed="false">
      <c r="A185" s="1" t="n">
        <v>31</v>
      </c>
      <c r="B185" s="34" t="n">
        <v>42217</v>
      </c>
      <c r="C185" s="56" t="n">
        <v>356066</v>
      </c>
      <c r="D185" s="29" t="s">
        <v>41</v>
      </c>
      <c r="E185" s="33" t="n">
        <f aca="false">IF(D185="totale",(C185/(A185*24))/F185,IF(D185="marché libre",(C185/(A185*24))/G185,"spécifier histo"))</f>
        <v>0.191893878642074</v>
      </c>
      <c r="F185" s="239" t="n">
        <v>2494</v>
      </c>
      <c r="G185" s="239" t="n">
        <f aca="false">F185-H185</f>
        <v>2494</v>
      </c>
      <c r="H185" s="239" t="n">
        <v>0</v>
      </c>
      <c r="J185" s="9" t="s">
        <v>514</v>
      </c>
      <c r="K185" s="0"/>
      <c r="L185" s="0"/>
      <c r="M185" s="0"/>
    </row>
    <row r="186" customFormat="false" ht="19.85" hidden="false" customHeight="true" outlineLevel="0" collapsed="false">
      <c r="A186" s="1" t="n">
        <v>30</v>
      </c>
      <c r="B186" s="31" t="n">
        <v>42248</v>
      </c>
      <c r="C186" s="56" t="n">
        <v>259871</v>
      </c>
      <c r="D186" s="29" t="s">
        <v>41</v>
      </c>
      <c r="E186" s="33" t="n">
        <f aca="false">IF(D186="totale",(C186/(A186*24))/F186,IF(D186="marché libre",(C186/(A186*24))/G186,"spécifier histo"))</f>
        <v>0.144720106032255</v>
      </c>
      <c r="F186" s="365" t="n">
        <v>2494</v>
      </c>
      <c r="G186" s="365" t="n">
        <f aca="false">F186-H186</f>
        <v>2494</v>
      </c>
      <c r="H186" s="365" t="n">
        <v>0</v>
      </c>
      <c r="J186" s="9" t="s">
        <v>514</v>
      </c>
      <c r="K186" s="202"/>
      <c r="L186" s="0"/>
      <c r="M186" s="0"/>
    </row>
    <row r="187" customFormat="false" ht="19.85" hidden="false" customHeight="true" outlineLevel="0" collapsed="false">
      <c r="A187" s="1" t="n">
        <v>31</v>
      </c>
      <c r="B187" s="34" t="n">
        <v>42278</v>
      </c>
      <c r="C187" s="56" t="n">
        <v>1042784</v>
      </c>
      <c r="D187" s="29" t="s">
        <v>41</v>
      </c>
      <c r="E187" s="33" t="n">
        <f aca="false">IF(D187="totale",(C187/(A187*24))/F187,IF(D187="marché libre",(C187/(A187*24))/G187,"spécifier histo"))</f>
        <v>0.561985323917186</v>
      </c>
      <c r="F187" s="59" t="n">
        <v>2494</v>
      </c>
      <c r="G187" s="59" t="n">
        <f aca="false">F187-H187</f>
        <v>2094</v>
      </c>
      <c r="H187" s="59" t="n">
        <v>400</v>
      </c>
      <c r="I187" s="199" t="s">
        <v>187</v>
      </c>
      <c r="J187" s="366" t="n">
        <v>42278</v>
      </c>
      <c r="K187" s="202"/>
      <c r="L187" s="0"/>
      <c r="M187" s="0"/>
    </row>
    <row r="188" customFormat="false" ht="19.85" hidden="false" customHeight="true" outlineLevel="0" collapsed="false">
      <c r="A188" s="1" t="n">
        <v>30</v>
      </c>
      <c r="B188" s="31" t="n">
        <v>42309</v>
      </c>
      <c r="C188" s="56" t="n">
        <v>807834</v>
      </c>
      <c r="D188" s="29" t="s">
        <v>41</v>
      </c>
      <c r="E188" s="33" t="n">
        <f aca="false">IF(D188="totale",(C188/(A188*24))/F188,IF(D188="marché libre",(C188/(A188*24))/G188,"spécifier histo"))</f>
        <v>0.449876369954558</v>
      </c>
      <c r="F188" s="59" t="n">
        <v>2494</v>
      </c>
      <c r="G188" s="59" t="n">
        <f aca="false">F188-H188</f>
        <v>2094</v>
      </c>
      <c r="H188" s="59" t="n">
        <v>400</v>
      </c>
      <c r="J188" s="183"/>
      <c r="K188" s="202"/>
      <c r="L188" s="0"/>
      <c r="M188" s="0"/>
    </row>
    <row r="189" customFormat="false" ht="19.85" hidden="false" customHeight="true" outlineLevel="0" collapsed="false">
      <c r="A189" s="1" t="n">
        <v>31</v>
      </c>
      <c r="B189" s="34" t="n">
        <v>42339</v>
      </c>
      <c r="C189" s="56" t="n">
        <v>304329</v>
      </c>
      <c r="D189" s="29" t="s">
        <v>41</v>
      </c>
      <c r="E189" s="33" t="n">
        <f aca="false">IF(D189="totale",(C189/(A189*24))/F189,IF(D189="marché libre",(C189/(A189*24))/G189,"spécifier histo"))</f>
        <v>0.164011369221616</v>
      </c>
      <c r="F189" s="59" t="n">
        <v>2494</v>
      </c>
      <c r="G189" s="59" t="n">
        <f aca="false">F189-H189</f>
        <v>2094</v>
      </c>
      <c r="H189" s="59" t="n">
        <v>400</v>
      </c>
      <c r="J189" s="183"/>
      <c r="K189" s="202"/>
      <c r="L189" s="0"/>
      <c r="M189" s="0"/>
    </row>
    <row r="190" customFormat="false" ht="19.85" hidden="false" customHeight="true" outlineLevel="0" collapsed="false">
      <c r="A190" s="1" t="n">
        <v>31</v>
      </c>
      <c r="B190" s="267" t="n">
        <v>42370</v>
      </c>
      <c r="C190" s="64" t="n">
        <v>5051</v>
      </c>
      <c r="D190" s="76" t="s">
        <v>42</v>
      </c>
      <c r="E190" s="66" t="n">
        <f aca="false">IF(D190="totale",(C190/(A190*24))/F190,IF(D190="marché libre",(C190/(A190*24))/G190,"spécifier histo"))</f>
        <v>0.00324211007384129</v>
      </c>
      <c r="F190" s="67" t="n">
        <v>2494</v>
      </c>
      <c r="G190" s="228" t="n">
        <f aca="false">F190-H190</f>
        <v>2094</v>
      </c>
      <c r="H190" s="228" t="n">
        <v>400</v>
      </c>
      <c r="J190" s="183"/>
      <c r="K190" s="202"/>
      <c r="L190" s="0"/>
      <c r="M190" s="0"/>
    </row>
    <row r="191" customFormat="false" ht="19.85" hidden="false" customHeight="true" outlineLevel="0" collapsed="false">
      <c r="A191" s="1" t="n">
        <v>28</v>
      </c>
      <c r="B191" s="34" t="n">
        <v>42401</v>
      </c>
      <c r="C191" s="56" t="n">
        <v>5093</v>
      </c>
      <c r="D191" s="250" t="s">
        <v>42</v>
      </c>
      <c r="E191" s="33" t="n">
        <f aca="false">IF(D191="totale",(C191/(A191*24))/F191,IF(D191="marché libre",(C191/(A191*24))/G191,"spécifier histo"))</f>
        <v>0.00361932619275026</v>
      </c>
      <c r="F191" s="59" t="n">
        <v>2494</v>
      </c>
      <c r="G191" s="59" t="n">
        <f aca="false">F191-H191</f>
        <v>2094</v>
      </c>
      <c r="H191" s="59" t="n">
        <v>400</v>
      </c>
      <c r="J191" s="183"/>
      <c r="K191" s="202"/>
      <c r="L191" s="0"/>
      <c r="M191" s="0"/>
    </row>
    <row r="192" customFormat="false" ht="19.85" hidden="false" customHeight="true" outlineLevel="0" collapsed="false">
      <c r="A192" s="1" t="n">
        <v>31</v>
      </c>
      <c r="B192" s="31" t="n">
        <v>42430</v>
      </c>
      <c r="C192" s="56" t="n">
        <v>60372</v>
      </c>
      <c r="D192" s="250" t="s">
        <v>42</v>
      </c>
      <c r="E192" s="33" t="n">
        <f aca="false">IF(D192="totale",(C192/(A192*24))/F192,IF(D192="marché libre",(C192/(A192*24))/G192,"spécifier histo"))</f>
        <v>0.0387512709122839</v>
      </c>
      <c r="F192" s="59" t="n">
        <v>2494</v>
      </c>
      <c r="G192" s="59" t="n">
        <f aca="false">F192-H192</f>
        <v>2094</v>
      </c>
      <c r="H192" s="59" t="n">
        <v>400</v>
      </c>
      <c r="J192" s="183"/>
      <c r="L192" s="0"/>
    </row>
    <row r="193" customFormat="false" ht="19.85" hidden="false" customHeight="true" outlineLevel="0" collapsed="false">
      <c r="A193" s="1" t="n">
        <v>30</v>
      </c>
      <c r="B193" s="34" t="n">
        <v>42461</v>
      </c>
      <c r="C193" s="56" t="n">
        <v>1077877</v>
      </c>
      <c r="D193" s="250" t="s">
        <v>42</v>
      </c>
      <c r="E193" s="33" t="n">
        <f aca="false">IF(D193="totale",(C193/(A193*24))/F193,IF(D193="marché libre",(C193/(A193*24))/G193,"spécifier histo"))</f>
        <v>0.71492425448371</v>
      </c>
      <c r="F193" s="59" t="n">
        <v>2494</v>
      </c>
      <c r="G193" s="59" t="n">
        <f aca="false">F193-H193</f>
        <v>2094</v>
      </c>
      <c r="H193" s="59" t="n">
        <v>400</v>
      </c>
      <c r="J193" s="183"/>
      <c r="L193" s="0"/>
    </row>
    <row r="194" customFormat="false" ht="19.85" hidden="false" customHeight="true" outlineLevel="0" collapsed="false">
      <c r="A194" s="1" t="n">
        <v>31</v>
      </c>
      <c r="B194" s="31" t="n">
        <v>42491</v>
      </c>
      <c r="C194" s="56" t="n">
        <v>1356398</v>
      </c>
      <c r="D194" s="250" t="s">
        <v>42</v>
      </c>
      <c r="E194" s="33" t="n">
        <f aca="false">IF(D194="totale",(C194/(A194*24))/F194,IF(D194="marché libre",(C194/(A194*24))/G194,"spécifier histo"))</f>
        <v>0.870637818241571</v>
      </c>
      <c r="F194" s="59" t="n">
        <v>2494</v>
      </c>
      <c r="G194" s="59" t="n">
        <f aca="false">F194-H194</f>
        <v>2094</v>
      </c>
      <c r="H194" s="59" t="n">
        <v>400</v>
      </c>
      <c r="J194" s="183"/>
      <c r="K194" s="63"/>
      <c r="L194" s="0"/>
    </row>
    <row r="195" customFormat="false" ht="19.85" hidden="false" customHeight="true" outlineLevel="0" collapsed="false">
      <c r="A195" s="1" t="n">
        <v>30</v>
      </c>
      <c r="B195" s="34" t="n">
        <v>42522</v>
      </c>
      <c r="C195" s="56" t="n">
        <v>1294218</v>
      </c>
      <c r="D195" s="250" t="s">
        <v>42</v>
      </c>
      <c r="E195" s="33" t="n">
        <f aca="false">IF(D195="totale",(C195/(A195*24))/F195,IF(D195="marché libre",(C195/(A195*24))/G195,"spécifier histo"))</f>
        <v>0.858416905444126</v>
      </c>
      <c r="F195" s="59" t="n">
        <v>2494</v>
      </c>
      <c r="G195" s="59" t="n">
        <f aca="false">F195-H195</f>
        <v>2094</v>
      </c>
      <c r="H195" s="59" t="n">
        <v>400</v>
      </c>
      <c r="J195" s="183"/>
      <c r="K195" s="63"/>
      <c r="L195" s="0"/>
    </row>
    <row r="196" customFormat="false" ht="19.85" hidden="false" customHeight="true" outlineLevel="0" collapsed="false">
      <c r="A196" s="1" t="n">
        <v>31</v>
      </c>
      <c r="B196" s="31" t="n">
        <v>42552</v>
      </c>
      <c r="C196" s="56" t="n">
        <v>620909</v>
      </c>
      <c r="D196" s="250" t="s">
        <v>42</v>
      </c>
      <c r="E196" s="33" t="n">
        <f aca="false">IF(D196="totale",(C196/(A196*24))/F196,IF(D196="marché libre",(C196/(A196*24))/G196,"spécifier histo"))</f>
        <v>0.398545896622198</v>
      </c>
      <c r="F196" s="59" t="n">
        <v>2494</v>
      </c>
      <c r="G196" s="59" t="n">
        <f aca="false">F196-H196</f>
        <v>2094</v>
      </c>
      <c r="H196" s="59" t="n">
        <v>400</v>
      </c>
      <c r="J196" s="183"/>
      <c r="K196" s="63"/>
      <c r="L196" s="0"/>
    </row>
    <row r="197" customFormat="false" ht="19.85" hidden="false" customHeight="true" outlineLevel="0" collapsed="false">
      <c r="A197" s="1" t="n">
        <v>31</v>
      </c>
      <c r="B197" s="34" t="n">
        <v>42583</v>
      </c>
      <c r="C197" s="56" t="n">
        <v>47383</v>
      </c>
      <c r="D197" s="250" t="s">
        <v>42</v>
      </c>
      <c r="E197" s="33" t="n">
        <f aca="false">IF(D197="totale",(C197/(A197*24))/F197,IF(D197="marché libre",(C197/(A197*24))/G197,"spécifier histo"))</f>
        <v>0.0304139579546271</v>
      </c>
      <c r="F197" s="59" t="n">
        <v>2494</v>
      </c>
      <c r="G197" s="59" t="n">
        <f aca="false">F197-H197</f>
        <v>2094</v>
      </c>
      <c r="H197" s="59" t="n">
        <v>400</v>
      </c>
      <c r="J197" s="183"/>
      <c r="L197" s="0"/>
    </row>
    <row r="198" customFormat="false" ht="19.85" hidden="false" customHeight="true" outlineLevel="0" collapsed="false">
      <c r="A198" s="1" t="n">
        <v>30</v>
      </c>
      <c r="B198" s="31" t="n">
        <v>42614</v>
      </c>
      <c r="C198" s="56" t="n">
        <v>18408</v>
      </c>
      <c r="D198" s="250" t="s">
        <v>42</v>
      </c>
      <c r="E198" s="33" t="n">
        <f aca="false">IF(D198="totale",(C198/(A198*24))/F198,IF(D198="marché libre",(C198/(A198*24))/G198,"spécifier histo"))</f>
        <v>0.0122094874243871</v>
      </c>
      <c r="F198" s="59" t="n">
        <v>2494</v>
      </c>
      <c r="G198" s="59" t="n">
        <f aca="false">F198-H198</f>
        <v>2094</v>
      </c>
      <c r="H198" s="59" t="n">
        <v>400</v>
      </c>
      <c r="J198" s="183"/>
      <c r="L198" s="0"/>
    </row>
    <row r="199" customFormat="false" ht="19.85" hidden="false" customHeight="true" outlineLevel="0" collapsed="false">
      <c r="A199" s="1" t="n">
        <v>31</v>
      </c>
      <c r="B199" s="34" t="n">
        <v>42644</v>
      </c>
      <c r="C199" s="56" t="n">
        <v>747046</v>
      </c>
      <c r="D199" s="250" t="s">
        <v>42</v>
      </c>
      <c r="E199" s="33" t="n">
        <f aca="false">IF(D199="totale",(C199/(A199*24))/F199,IF(D199="marché libre",(C199/(A199*24))/G199,"spécifier histo"))</f>
        <v>0.479510069733288</v>
      </c>
      <c r="F199" s="59" t="n">
        <v>2494</v>
      </c>
      <c r="G199" s="59" t="n">
        <f aca="false">F199-H199</f>
        <v>2094</v>
      </c>
      <c r="H199" s="59" t="n">
        <v>400</v>
      </c>
      <c r="J199" s="183"/>
      <c r="L199" s="0"/>
    </row>
    <row r="200" customFormat="false" ht="19.85" hidden="false" customHeight="true" outlineLevel="0" collapsed="false">
      <c r="A200" s="1" t="n">
        <v>30</v>
      </c>
      <c r="B200" s="31" t="n">
        <v>42675</v>
      </c>
      <c r="C200" s="56" t="n">
        <v>1256177</v>
      </c>
      <c r="D200" s="250" t="s">
        <v>42</v>
      </c>
      <c r="E200" s="33" t="n">
        <f aca="false">IF(D200="totale",(C200/(A200*24))/F200,IF(D200="marché libre",(C200/(A200*24))/G200,"spécifier histo"))</f>
        <v>0.833185423962645</v>
      </c>
      <c r="F200" s="59" t="n">
        <v>2494</v>
      </c>
      <c r="G200" s="59" t="n">
        <f aca="false">F200-H200</f>
        <v>2094</v>
      </c>
      <c r="H200" s="59" t="n">
        <v>400</v>
      </c>
      <c r="J200" s="183"/>
      <c r="L200" s="0"/>
    </row>
    <row r="201" customFormat="false" ht="19.85" hidden="false" customHeight="true" outlineLevel="0" collapsed="false">
      <c r="A201" s="1" t="n">
        <v>31</v>
      </c>
      <c r="B201" s="34" t="n">
        <v>42705</v>
      </c>
      <c r="C201" s="56" t="n">
        <v>655814</v>
      </c>
      <c r="D201" s="250" t="s">
        <v>42</v>
      </c>
      <c r="E201" s="33" t="n">
        <f aca="false">IF(D201="totale",(C201/(A201*24))/F201,IF(D201="marché libre",(C201/(A201*24))/G201,"spécifier histo"))</f>
        <v>0.420950539688408</v>
      </c>
      <c r="F201" s="59" t="n">
        <v>2494</v>
      </c>
      <c r="G201" s="59" t="n">
        <f aca="false">F201-H201</f>
        <v>2094</v>
      </c>
      <c r="H201" s="59" t="n">
        <v>400</v>
      </c>
      <c r="J201" s="183"/>
      <c r="L201" s="0"/>
    </row>
    <row r="202" customFormat="false" ht="19.85" hidden="false" customHeight="true" outlineLevel="0" collapsed="false">
      <c r="A202" s="1" t="n">
        <v>31</v>
      </c>
      <c r="B202" s="31" t="n">
        <v>42736</v>
      </c>
      <c r="C202" s="56" t="n">
        <v>182388</v>
      </c>
      <c r="D202" s="250" t="s">
        <v>42</v>
      </c>
      <c r="E202" s="33" t="n">
        <f aca="false">IF(D202="totale",(C202/(A202*24))/F202,IF(D202="marché libre",(C202/(A202*24))/G202,"spécifier histo"))</f>
        <v>0.117070277598053</v>
      </c>
      <c r="F202" s="59" t="n">
        <v>2494</v>
      </c>
      <c r="G202" s="59" t="n">
        <f aca="false">F202-H202</f>
        <v>2094</v>
      </c>
      <c r="H202" s="59" t="n">
        <v>400</v>
      </c>
      <c r="J202" s="183"/>
    </row>
    <row r="203" customFormat="false" ht="19.85" hidden="false" customHeight="true" outlineLevel="0" collapsed="false">
      <c r="A203" s="1" t="n">
        <v>28</v>
      </c>
      <c r="B203" s="34" t="n">
        <v>42767</v>
      </c>
      <c r="C203" s="56" t="n">
        <v>29494</v>
      </c>
      <c r="D203" s="250" t="s">
        <v>42</v>
      </c>
      <c r="E203" s="33" t="n">
        <f aca="false">IF(D203="totale",(C203/(A203*24))/F203,IF(D203="marché libre",(C203/(A203*24))/G203,"spécifier histo"))</f>
        <v>0.0209598285350434</v>
      </c>
      <c r="F203" s="59" t="n">
        <v>2494</v>
      </c>
      <c r="G203" s="59" t="n">
        <f aca="false">F203-H203</f>
        <v>2094</v>
      </c>
      <c r="H203" s="59" t="n">
        <v>400</v>
      </c>
      <c r="J203" s="183"/>
    </row>
    <row r="204" customFormat="false" ht="19.85" hidden="false" customHeight="true" outlineLevel="0" collapsed="false">
      <c r="A204" s="1" t="n">
        <v>31</v>
      </c>
      <c r="B204" s="31" t="n">
        <v>42795</v>
      </c>
      <c r="C204" s="56" t="n">
        <v>360874</v>
      </c>
      <c r="D204" s="250" t="s">
        <v>42</v>
      </c>
      <c r="E204" s="33" t="n">
        <f aca="false">IF(D204="totale",(C204/(A204*24))/F204,IF(D204="marché libre",(C204/(A204*24))/G204,"spécifier histo"))</f>
        <v>0.231635959371887</v>
      </c>
      <c r="F204" s="59" t="n">
        <v>2494</v>
      </c>
      <c r="G204" s="59" t="n">
        <f aca="false">F204-H204</f>
        <v>2094</v>
      </c>
      <c r="H204" s="59" t="n">
        <v>400</v>
      </c>
      <c r="J204" s="183"/>
    </row>
    <row r="205" customFormat="false" ht="19.85" hidden="false" customHeight="true" outlineLevel="0" collapsed="false">
      <c r="A205" s="1" t="n">
        <v>30</v>
      </c>
      <c r="B205" s="34" t="n">
        <v>42826</v>
      </c>
      <c r="C205" s="56" t="n">
        <v>1182280</v>
      </c>
      <c r="D205" s="250" t="s">
        <v>42</v>
      </c>
      <c r="E205" s="33" t="n">
        <f aca="false">IF(D205="totale",(C205/(A205*24))/F205,IF(D205="marché libre",(C205/(A205*24))/G205,"spécifier histo"))</f>
        <v>0.784171707524143</v>
      </c>
      <c r="F205" s="59" t="n">
        <v>2494</v>
      </c>
      <c r="G205" s="59" t="n">
        <f aca="false">F205-H205</f>
        <v>2094</v>
      </c>
      <c r="H205" s="59" t="n">
        <v>400</v>
      </c>
      <c r="J205" s="183"/>
    </row>
    <row r="206" customFormat="false" ht="19.85" hidden="false" customHeight="true" outlineLevel="0" collapsed="false">
      <c r="A206" s="1" t="n">
        <v>31</v>
      </c>
      <c r="B206" s="31" t="n">
        <v>42856</v>
      </c>
      <c r="C206" s="310" t="n">
        <v>1362219</v>
      </c>
      <c r="D206" s="250" t="s">
        <v>42</v>
      </c>
      <c r="E206" s="33" t="n">
        <f aca="false">IF(D206="totale",(C206/(A206*24))/F206,IF(D206="marché libre",(C206/(A206*24))/G206,"spécifier histo"))</f>
        <v>0.874374171981391</v>
      </c>
      <c r="F206" s="59" t="n">
        <v>2494</v>
      </c>
      <c r="G206" s="59" t="n">
        <f aca="false">F206-H206</f>
        <v>2094</v>
      </c>
      <c r="H206" s="59" t="n">
        <v>400</v>
      </c>
      <c r="J206" s="183"/>
    </row>
    <row r="207" customFormat="false" ht="19.95" hidden="false" customHeight="true" outlineLevel="0" collapsed="false">
      <c r="A207" s="1" t="n">
        <v>30</v>
      </c>
      <c r="B207" s="34" t="n">
        <v>42887</v>
      </c>
      <c r="C207" s="310" t="n">
        <v>1208276</v>
      </c>
      <c r="D207" s="250" t="s">
        <v>42</v>
      </c>
      <c r="E207" s="33" t="n">
        <f aca="false">IF(D207="totale",(C207/(A207*24))/F207,IF(D207="marché libre",(C207/(A207*24))/G207,"spécifier histo"))</f>
        <v>0.801414093176271</v>
      </c>
      <c r="F207" s="59" t="n">
        <v>2494</v>
      </c>
      <c r="G207" s="59" t="n">
        <f aca="false">F207-H207</f>
        <v>2094</v>
      </c>
      <c r="H207" s="59" t="n">
        <v>400</v>
      </c>
      <c r="I207" s="204"/>
      <c r="J207" s="256"/>
    </row>
    <row r="208" customFormat="false" ht="19.95" hidden="false" customHeight="true" outlineLevel="0" collapsed="false">
      <c r="A208" s="1" t="n">
        <v>31</v>
      </c>
      <c r="B208" s="31" t="n">
        <v>42917</v>
      </c>
      <c r="C208" s="310" t="n">
        <v>409575</v>
      </c>
      <c r="D208" s="250" t="s">
        <v>42</v>
      </c>
      <c r="E208" s="33" t="n">
        <f aca="false">IF(D208="totale",(C208/(A208*24))/F208,IF(D208="marché libre",(C208/(A208*24))/G208,"spécifier histo"))</f>
        <v>0.262895908432696</v>
      </c>
      <c r="F208" s="59" t="n">
        <v>2494</v>
      </c>
      <c r="G208" s="59" t="n">
        <f aca="false">F208-H208</f>
        <v>2094</v>
      </c>
      <c r="H208" s="59" t="n">
        <v>400</v>
      </c>
      <c r="I208" s="204"/>
      <c r="J208" s="256"/>
    </row>
    <row r="209" customFormat="false" ht="19.95" hidden="false" customHeight="true" outlineLevel="0" collapsed="false">
      <c r="A209" s="1" t="n">
        <v>31</v>
      </c>
      <c r="B209" s="34" t="n">
        <v>42948</v>
      </c>
      <c r="C209" s="310" t="n">
        <v>17230</v>
      </c>
      <c r="D209" s="250" t="s">
        <v>42</v>
      </c>
      <c r="E209" s="33" t="n">
        <f aca="false">IF(D209="totale",(C209/(A209*24))/F209,IF(D209="marché libre",(C209/(A209*24))/G209,"spécifier histo"))</f>
        <v>0.0110595043698843</v>
      </c>
      <c r="F209" s="59" t="n">
        <v>2494</v>
      </c>
      <c r="G209" s="59" t="n">
        <f aca="false">F209-H209</f>
        <v>2094</v>
      </c>
      <c r="H209" s="59" t="n">
        <v>400</v>
      </c>
      <c r="I209" s="204"/>
      <c r="J209" s="256"/>
    </row>
    <row r="210" customFormat="false" ht="19.95" hidden="false" customHeight="true" outlineLevel="0" collapsed="false">
      <c r="A210" s="1" t="n">
        <v>30</v>
      </c>
      <c r="B210" s="31" t="n">
        <v>42979</v>
      </c>
      <c r="C210" s="310" t="n">
        <v>630</v>
      </c>
      <c r="D210" s="250" t="s">
        <v>42</v>
      </c>
      <c r="E210" s="33" t="n">
        <f aca="false">IF(D210="totale",(C210/(A210*24))/F210,IF(D210="marché libre",(C210/(A210*24))/G210,"spécifier histo"))</f>
        <v>0.000417860553963706</v>
      </c>
      <c r="F210" s="59" t="n">
        <v>2494</v>
      </c>
      <c r="G210" s="59" t="n">
        <f aca="false">F210-H210</f>
        <v>2094</v>
      </c>
      <c r="H210" s="59" t="n">
        <v>400</v>
      </c>
      <c r="I210" s="204"/>
      <c r="J210" s="256"/>
    </row>
    <row r="211" customFormat="false" ht="19.95" hidden="false" customHeight="true" outlineLevel="0" collapsed="false">
      <c r="A211" s="1" t="n">
        <v>31</v>
      </c>
      <c r="B211" s="34" t="n">
        <v>43009</v>
      </c>
      <c r="C211" s="310" t="n">
        <v>0</v>
      </c>
      <c r="D211" s="250" t="s">
        <v>42</v>
      </c>
      <c r="E211" s="33" t="n">
        <f aca="false">IF(D211="totale",(C211/(A211*24))/F211,IF(D211="marché libre",(C211/(A211*24))/G211,"spécifier histo"))</f>
        <v>0</v>
      </c>
      <c r="F211" s="59" t="n">
        <v>2494</v>
      </c>
      <c r="G211" s="59" t="n">
        <f aca="false">F211-H211</f>
        <v>2094</v>
      </c>
      <c r="H211" s="59" t="n">
        <v>400</v>
      </c>
      <c r="I211" s="204"/>
      <c r="J211" s="256"/>
    </row>
    <row r="212" customFormat="false" ht="19.95" hidden="false" customHeight="true" outlineLevel="0" collapsed="false">
      <c r="A212" s="1" t="n">
        <v>30</v>
      </c>
      <c r="B212" s="31" t="n">
        <v>43040</v>
      </c>
      <c r="C212" s="310" t="n">
        <v>0</v>
      </c>
      <c r="D212" s="250" t="s">
        <v>42</v>
      </c>
      <c r="E212" s="33" t="n">
        <f aca="false">IF(D212="totale",(C212/(A212*24))/F212,IF(D212="marché libre",(C212/(A212*24))/G212,"spécifier histo"))</f>
        <v>0</v>
      </c>
      <c r="F212" s="59" t="n">
        <v>2494</v>
      </c>
      <c r="G212" s="59" t="n">
        <f aca="false">F212-H212</f>
        <v>2094</v>
      </c>
      <c r="H212" s="59" t="n">
        <v>400</v>
      </c>
      <c r="I212" s="204"/>
      <c r="J212" s="256"/>
    </row>
    <row r="213" customFormat="false" ht="19.95" hidden="false" customHeight="true" outlineLevel="0" collapsed="false">
      <c r="A213" s="1" t="n">
        <v>31</v>
      </c>
      <c r="B213" s="34" t="n">
        <v>43070</v>
      </c>
      <c r="C213" s="310" t="n">
        <v>22418</v>
      </c>
      <c r="D213" s="250" t="s">
        <v>42</v>
      </c>
      <c r="E213" s="33" t="n">
        <f aca="false">IF(D213="totale",(C213/(A213*24))/F213,IF(D213="marché libre",(C213/(A213*24))/G213,"spécifier histo"))</f>
        <v>0.0143895513037763</v>
      </c>
      <c r="F213" s="59" t="n">
        <v>2494</v>
      </c>
      <c r="G213" s="59" t="n">
        <f aca="false">F213-H213</f>
        <v>2094</v>
      </c>
      <c r="H213" s="59" t="n">
        <v>400</v>
      </c>
      <c r="I213" s="204"/>
      <c r="J213" s="204"/>
    </row>
    <row r="214" customFormat="false" ht="19.95" hidden="false" customHeight="true" outlineLevel="0" collapsed="false">
      <c r="A214" s="1" t="n">
        <v>31</v>
      </c>
      <c r="B214" s="31" t="n">
        <v>43101</v>
      </c>
      <c r="C214" s="310" t="n">
        <v>1867</v>
      </c>
      <c r="D214" s="250" t="s">
        <v>42</v>
      </c>
      <c r="E214" s="33" t="n">
        <f aca="false">IF(D214="totale",(C214/(A214*24))/F214,IF(D214="marché libre",(C214/(A214*24))/G214,"spécifier histo"))</f>
        <v>0.00119838042127533</v>
      </c>
      <c r="F214" s="59" t="n">
        <v>2494</v>
      </c>
      <c r="G214" s="59" t="n">
        <f aca="false">F214-H214</f>
        <v>2094</v>
      </c>
      <c r="H214" s="59" t="n">
        <v>400</v>
      </c>
    </row>
    <row r="215" customFormat="false" ht="28.35" hidden="false" customHeight="true" outlineLevel="0" collapsed="false">
      <c r="A215" s="0"/>
    </row>
    <row r="216" customFormat="false" ht="28.35" hidden="false" customHeight="true" outlineLevel="0" collapsed="false">
      <c r="A216" s="0"/>
    </row>
    <row r="217" customFormat="false" ht="28.35" hidden="false" customHeight="true" outlineLevel="0" collapsed="false">
      <c r="A217" s="0"/>
    </row>
    <row r="218" customFormat="false" ht="28.35" hidden="false" customHeight="true" outlineLevel="0" collapsed="false">
      <c r="A218" s="0"/>
    </row>
    <row r="219" customFormat="false" ht="28.35" hidden="false" customHeight="true" outlineLevel="0" collapsed="false">
      <c r="A219" s="0"/>
    </row>
    <row r="220" customFormat="false" ht="28.35" hidden="false" customHeight="true" outlineLevel="0" collapsed="false">
      <c r="A220" s="0"/>
    </row>
    <row r="221" customFormat="false" ht="28.35" hidden="false" customHeight="true" outlineLevel="0" collapsed="false">
      <c r="A221" s="0"/>
    </row>
    <row r="222" customFormat="false" ht="28.35" hidden="false" customHeight="true" outlineLevel="0" collapsed="false">
      <c r="A222" s="0"/>
    </row>
    <row r="223" customFormat="false" ht="28.35" hidden="false" customHeight="true" outlineLevel="0" collapsed="false">
      <c r="A223" s="0"/>
    </row>
    <row r="224" customFormat="false" ht="28.35" hidden="false" customHeight="true" outlineLevel="0" collapsed="false">
      <c r="A224" s="0"/>
    </row>
    <row r="225" customFormat="false" ht="28.35" hidden="false" customHeight="true" outlineLevel="0" collapsed="false">
      <c r="A225" s="0"/>
    </row>
    <row r="226" customFormat="false" ht="28.35" hidden="false" customHeight="true" outlineLevel="0" collapsed="false">
      <c r="A226" s="0"/>
    </row>
    <row r="227" customFormat="false" ht="28.35" hidden="false" customHeight="true" outlineLevel="0" collapsed="false">
      <c r="A227" s="0"/>
    </row>
    <row r="228" customFormat="false" ht="28.35" hidden="false" customHeight="true" outlineLevel="0" collapsed="false">
      <c r="A228" s="0"/>
    </row>
    <row r="229" customFormat="false" ht="28.35" hidden="false" customHeight="true" outlineLevel="0" collapsed="false">
      <c r="A229" s="0"/>
    </row>
    <row r="230" customFormat="false" ht="28.35" hidden="false" customHeight="true" outlineLevel="0" collapsed="false">
      <c r="A230" s="0"/>
    </row>
    <row r="231" customFormat="false" ht="28.35" hidden="false" customHeight="tru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row r="239" customFormat="false" ht="12.8" hidden="false" customHeight="false" outlineLevel="0" collapsed="false">
      <c r="A239" s="0"/>
    </row>
    <row r="240" customFormat="false" ht="12.8" hidden="false" customHeight="false" outlineLevel="0" collapsed="false">
      <c r="A240" s="0"/>
    </row>
    <row r="241" customFormat="false" ht="12.8" hidden="false" customHeight="false" outlineLevel="0" collapsed="false">
      <c r="A241" s="0"/>
    </row>
    <row r="242" customFormat="false" ht="12.8" hidden="false" customHeight="false" outlineLevel="0" collapsed="false">
      <c r="A242" s="0"/>
    </row>
    <row r="243" customFormat="false" ht="12.8" hidden="false" customHeight="false" outlineLevel="0" collapsed="false">
      <c r="A243" s="0"/>
    </row>
    <row r="244" customFormat="false" ht="12.8" hidden="false" customHeight="false" outlineLevel="0" collapsed="false">
      <c r="A244" s="0"/>
    </row>
    <row r="245" customFormat="false" ht="12.8" hidden="false" customHeight="false" outlineLevel="0" collapsed="false">
      <c r="A245" s="0"/>
    </row>
    <row r="246" customFormat="false" ht="12.8" hidden="false" customHeight="false" outlineLevel="0" collapsed="false">
      <c r="A246" s="0"/>
    </row>
    <row r="247" customFormat="false" ht="12.8" hidden="false" customHeight="false" outlineLevel="0" collapsed="false">
      <c r="A247" s="0"/>
    </row>
    <row r="248" customFormat="false" ht="12.8" hidden="false" customHeight="false" outlineLevel="0" collapsed="false">
      <c r="A248" s="0"/>
    </row>
    <row r="249" customFormat="false" ht="12.8" hidden="false" customHeight="false" outlineLevel="0" collapsed="false">
      <c r="A249" s="0"/>
    </row>
    <row r="250" customFormat="false" ht="12.8" hidden="false" customHeight="false" outlineLevel="0" collapsed="false">
      <c r="A250" s="0"/>
    </row>
    <row r="251" customFormat="false" ht="12.8" hidden="false" customHeight="false" outlineLevel="0" collapsed="false">
      <c r="A251" s="0"/>
    </row>
    <row r="252" customFormat="false" ht="12.8" hidden="false" customHeight="false" outlineLevel="0" collapsed="false">
      <c r="A252" s="0"/>
    </row>
    <row r="253" customFormat="false" ht="12.8" hidden="false" customHeight="false" outlineLevel="0" collapsed="false">
      <c r="A253" s="0"/>
    </row>
    <row r="254" customFormat="false" ht="12.8" hidden="false" customHeight="false" outlineLevel="0" collapsed="false">
      <c r="A254" s="0"/>
    </row>
    <row r="255" customFormat="false" ht="12.8" hidden="false" customHeight="false" outlineLevel="0" collapsed="false">
      <c r="A255" s="0"/>
    </row>
    <row r="256" customFormat="false" ht="12.8" hidden="false" customHeight="false" outlineLevel="0" collapsed="false">
      <c r="A256" s="0"/>
    </row>
    <row r="257" customFormat="false" ht="12.8" hidden="false" customHeight="false" outlineLevel="0" collapsed="false">
      <c r="A257" s="0"/>
    </row>
    <row r="258" customFormat="false" ht="12.8" hidden="false" customHeight="false" outlineLevel="0" collapsed="false">
      <c r="A258" s="0"/>
    </row>
    <row r="259" customFormat="false" ht="12.8" hidden="false" customHeight="false" outlineLevel="0" collapsed="false">
      <c r="A259" s="0"/>
    </row>
  </sheetData>
  <mergeCells count="17">
    <mergeCell ref="B1:E2"/>
    <mergeCell ref="F1:N1"/>
    <mergeCell ref="F2:I2"/>
    <mergeCell ref="J2:K2"/>
    <mergeCell ref="L2:M2"/>
    <mergeCell ref="N2:N3"/>
    <mergeCell ref="U2:U3"/>
    <mergeCell ref="T4:V4"/>
    <mergeCell ref="C6:D6"/>
    <mergeCell ref="F6:F7"/>
    <mergeCell ref="G6:N7"/>
    <mergeCell ref="C7:D7"/>
    <mergeCell ref="O167:S167"/>
    <mergeCell ref="O168:R168"/>
    <mergeCell ref="K181:N181"/>
    <mergeCell ref="K182:N182"/>
    <mergeCell ref="K183:N183"/>
  </mergeCells>
  <conditionalFormatting sqref="E10:E21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AA197"/>
  <sheetViews>
    <sheetView showFormulas="false" showGridLines="true" showRowColHeaders="true" showZeros="true" rightToLeft="false" tabSelected="false" showOutlineSymbols="true" defaultGridColor="true" view="normal" topLeftCell="A23" colorId="64" zoomScale="90" zoomScaleNormal="90" zoomScalePageLayoutView="100" workbookViewId="0">
      <selection pane="topLeft" activeCell="C164" activeCellId="0" sqref="C164"/>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35" t="s">
        <v>534</v>
      </c>
      <c r="C4" s="16" t="n">
        <v>51789</v>
      </c>
      <c r="D4" s="5" t="s">
        <v>535</v>
      </c>
      <c r="E4" s="14" t="s">
        <v>439</v>
      </c>
      <c r="F4" s="15" t="n">
        <v>1720</v>
      </c>
      <c r="G4" s="15" t="n">
        <v>1400</v>
      </c>
      <c r="H4" s="15"/>
      <c r="I4" s="16"/>
      <c r="J4" s="15" t="n">
        <v>1300</v>
      </c>
      <c r="K4" s="16"/>
      <c r="L4" s="16"/>
      <c r="M4" s="16" t="n">
        <v>420</v>
      </c>
      <c r="N4" s="16"/>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c r="H6" s="19"/>
      <c r="I6" s="19"/>
      <c r="J6" s="19"/>
      <c r="K6" s="19"/>
      <c r="L6" s="19"/>
      <c r="M6" s="19"/>
      <c r="N6" s="19"/>
      <c r="P6" s="21" t="n">
        <v>43466</v>
      </c>
      <c r="Q6" s="19" t="s">
        <v>27</v>
      </c>
      <c r="R6" s="9"/>
      <c r="S6" s="22"/>
      <c r="T6" s="5" t="s">
        <v>28</v>
      </c>
    </row>
    <row r="7" customFormat="false" ht="41.65" hidden="false" customHeight="true" outlineLevel="0" collapsed="false">
      <c r="A7" s="0"/>
      <c r="B7" s="0"/>
      <c r="C7" s="126" t="s">
        <v>536</v>
      </c>
      <c r="D7" s="126"/>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205" t="s">
        <v>40</v>
      </c>
      <c r="K9" s="206"/>
    </row>
    <row r="10" customFormat="false" ht="23" hidden="false" customHeight="true" outlineLevel="0" collapsed="false">
      <c r="A10" s="0" t="n">
        <v>31</v>
      </c>
      <c r="B10" s="31" t="n">
        <v>39083</v>
      </c>
      <c r="C10" s="321" t="n">
        <v>369202</v>
      </c>
      <c r="D10" s="1" t="s">
        <v>41</v>
      </c>
      <c r="E10" s="33" t="n">
        <f aca="false">IF(D10="totale",(C10/(A10*24))/F10,IF(D10="marché libre",(C10/(A10*24))/G10,"spécifier histo"))</f>
        <v>0.288511190297574</v>
      </c>
      <c r="F10" s="59" t="n">
        <v>1720</v>
      </c>
      <c r="G10" s="59" t="n">
        <f aca="false">1720</f>
        <v>1720</v>
      </c>
      <c r="H10" s="59" t="n">
        <f aca="false">0</f>
        <v>0</v>
      </c>
      <c r="I10" s="9"/>
      <c r="J10" s="205"/>
      <c r="K10" s="206"/>
    </row>
    <row r="11" customFormat="false" ht="23" hidden="false" customHeight="true" outlineLevel="0" collapsed="false">
      <c r="A11" s="0" t="n">
        <v>31</v>
      </c>
      <c r="B11" s="34" t="n">
        <v>39114</v>
      </c>
      <c r="C11" s="321" t="n">
        <v>231431</v>
      </c>
      <c r="D11" s="1" t="s">
        <v>41</v>
      </c>
      <c r="E11" s="33" t="n">
        <f aca="false">IF(D11="totale",(C11/(A11*24))/F11,IF(D11="marché libre",(C11/(A11*24))/G11,"spécifier histo"))</f>
        <v>0.180850681420355</v>
      </c>
      <c r="F11" s="59" t="n">
        <v>1720</v>
      </c>
      <c r="G11" s="59" t="n">
        <f aca="false">1720</f>
        <v>1720</v>
      </c>
      <c r="H11" s="59" t="n">
        <f aca="false">0</f>
        <v>0</v>
      </c>
      <c r="I11" s="9"/>
      <c r="J11" s="205"/>
      <c r="K11" s="206"/>
    </row>
    <row r="12" customFormat="false" ht="23" hidden="false" customHeight="true" outlineLevel="0" collapsed="false">
      <c r="A12" s="0" t="n">
        <v>30</v>
      </c>
      <c r="B12" s="31" t="n">
        <v>39142</v>
      </c>
      <c r="C12" s="321" t="n">
        <v>235082</v>
      </c>
      <c r="D12" s="1" t="s">
        <v>41</v>
      </c>
      <c r="E12" s="33" t="n">
        <f aca="false">IF(D12="totale",(C12/(A12*24))/F12,IF(D12="marché libre",(C12/(A12*24))/G12,"spécifier histo"))</f>
        <v>0.189827196382429</v>
      </c>
      <c r="F12" s="59" t="n">
        <v>1720</v>
      </c>
      <c r="G12" s="59" t="n">
        <f aca="false">1720</f>
        <v>1720</v>
      </c>
      <c r="H12" s="59" t="n">
        <f aca="false">0</f>
        <v>0</v>
      </c>
      <c r="I12" s="9"/>
      <c r="J12" s="205"/>
      <c r="K12" s="206"/>
    </row>
    <row r="13" customFormat="false" ht="23" hidden="false" customHeight="true" outlineLevel="0" collapsed="false">
      <c r="A13" s="0" t="n">
        <v>31</v>
      </c>
      <c r="B13" s="34" t="n">
        <v>39173</v>
      </c>
      <c r="C13" s="321" t="n">
        <v>488627</v>
      </c>
      <c r="D13" s="1" t="s">
        <v>41</v>
      </c>
      <c r="E13" s="33" t="n">
        <f aca="false">IF(D13="totale",(C13/(A13*24))/F13,IF(D13="marché libre",(C13/(A13*24))/G13,"spécifier histo"))</f>
        <v>0.381835302575644</v>
      </c>
      <c r="F13" s="59" t="n">
        <v>1720</v>
      </c>
      <c r="G13" s="59" t="n">
        <f aca="false">1720</f>
        <v>1720</v>
      </c>
      <c r="H13" s="59" t="n">
        <f aca="false">0</f>
        <v>0</v>
      </c>
      <c r="I13" s="9"/>
      <c r="J13" s="205"/>
      <c r="K13" s="206"/>
    </row>
    <row r="14" customFormat="false" ht="23" hidden="false" customHeight="true" outlineLevel="0" collapsed="false">
      <c r="A14" s="0" t="n">
        <v>30</v>
      </c>
      <c r="B14" s="31" t="n">
        <v>39203</v>
      </c>
      <c r="C14" s="321" t="n">
        <v>847126</v>
      </c>
      <c r="D14" s="1" t="s">
        <v>41</v>
      </c>
      <c r="E14" s="33" t="n">
        <f aca="false">IF(D14="totale",(C14/(A14*24))/F14,IF(D14="marché libre",(C14/(A14*24))/G14,"spécifier histo"))</f>
        <v>0.684048772609819</v>
      </c>
      <c r="F14" s="59" t="n">
        <v>1720</v>
      </c>
      <c r="G14" s="59" t="n">
        <f aca="false">1720</f>
        <v>1720</v>
      </c>
      <c r="H14" s="59" t="n">
        <f aca="false">0</f>
        <v>0</v>
      </c>
      <c r="I14" s="9"/>
      <c r="J14" s="205"/>
      <c r="K14" s="206"/>
    </row>
    <row r="15" customFormat="false" ht="23" hidden="false" customHeight="true" outlineLevel="0" collapsed="false">
      <c r="A15" s="0" t="n">
        <v>31</v>
      </c>
      <c r="B15" s="34" t="n">
        <v>39234</v>
      </c>
      <c r="C15" s="321" t="n">
        <v>865082</v>
      </c>
      <c r="D15" s="1" t="s">
        <v>41</v>
      </c>
      <c r="E15" s="33" t="n">
        <f aca="false">IF(D15="totale",(C15/(A15*24))/F15,IF(D15="marché libre",(C15/(A15*24))/G15,"spécifier histo"))</f>
        <v>0.67601431607902</v>
      </c>
      <c r="F15" s="59" t="n">
        <v>1720</v>
      </c>
      <c r="G15" s="59" t="n">
        <f aca="false">1720</f>
        <v>1720</v>
      </c>
      <c r="H15" s="59" t="n">
        <f aca="false">0</f>
        <v>0</v>
      </c>
      <c r="I15" s="9"/>
      <c r="J15" s="205"/>
      <c r="K15" s="206"/>
    </row>
    <row r="16" customFormat="false" ht="23" hidden="false" customHeight="true" outlineLevel="0" collapsed="false">
      <c r="A16" s="0" t="n">
        <v>31</v>
      </c>
      <c r="B16" s="31" t="n">
        <v>39264</v>
      </c>
      <c r="C16" s="321" t="n">
        <v>419552</v>
      </c>
      <c r="D16" s="1" t="s">
        <v>41</v>
      </c>
      <c r="E16" s="33" t="n">
        <f aca="false">IF(D16="totale",(C16/(A16*24))/F16,IF(D16="marché libre",(C16/(A16*24))/G16,"spécifier histo"))</f>
        <v>0.32785696424106</v>
      </c>
      <c r="F16" s="59" t="n">
        <v>1720</v>
      </c>
      <c r="G16" s="59" t="n">
        <f aca="false">1720</f>
        <v>1720</v>
      </c>
      <c r="H16" s="59" t="n">
        <f aca="false">0</f>
        <v>0</v>
      </c>
      <c r="I16" s="9"/>
      <c r="J16" s="205"/>
      <c r="K16" s="206"/>
    </row>
    <row r="17" customFormat="false" ht="23" hidden="false" customHeight="true" outlineLevel="0" collapsed="false">
      <c r="A17" s="0" t="n">
        <v>31</v>
      </c>
      <c r="B17" s="34" t="n">
        <v>39295</v>
      </c>
      <c r="C17" s="321" t="n">
        <v>7823</v>
      </c>
      <c r="D17" s="1" t="s">
        <v>41</v>
      </c>
      <c r="E17" s="33" t="n">
        <f aca="false">IF(D17="totale",(C17/(A17*24))/F17,IF(D17="marché libre",(C17/(A17*24))/G17,"spécifier histo"))</f>
        <v>0.00611324706176544</v>
      </c>
      <c r="F17" s="59" t="n">
        <v>1720</v>
      </c>
      <c r="G17" s="59" t="n">
        <f aca="false">1720</f>
        <v>1720</v>
      </c>
      <c r="H17" s="59" t="n">
        <f aca="false">0</f>
        <v>0</v>
      </c>
      <c r="I17" s="9"/>
      <c r="J17" s="205"/>
      <c r="K17" s="206"/>
    </row>
    <row r="18" customFormat="false" ht="23" hidden="false" customHeight="true" outlineLevel="0" collapsed="false">
      <c r="A18" s="0" t="n">
        <v>30</v>
      </c>
      <c r="B18" s="31" t="n">
        <v>39326</v>
      </c>
      <c r="C18" s="321" t="n">
        <v>168756</v>
      </c>
      <c r="D18" s="1" t="s">
        <v>41</v>
      </c>
      <c r="E18" s="33" t="n">
        <f aca="false">IF(D18="totale",(C18/(A18*24))/F18,IF(D18="marché libre",(C18/(A18*24))/G18,"spécifier histo"))</f>
        <v>0.136269379844961</v>
      </c>
      <c r="F18" s="59" t="n">
        <v>1720</v>
      </c>
      <c r="G18" s="59" t="n">
        <f aca="false">1720</f>
        <v>1720</v>
      </c>
      <c r="H18" s="59" t="n">
        <f aca="false">0</f>
        <v>0</v>
      </c>
      <c r="I18" s="9"/>
      <c r="J18" s="205"/>
      <c r="K18" s="206"/>
    </row>
    <row r="19" customFormat="false" ht="23" hidden="false" customHeight="true" outlineLevel="0" collapsed="false">
      <c r="A19" s="0" t="n">
        <v>31</v>
      </c>
      <c r="B19" s="34" t="n">
        <v>39356</v>
      </c>
      <c r="C19" s="321" t="n">
        <v>150740</v>
      </c>
      <c r="D19" s="1" t="s">
        <v>41</v>
      </c>
      <c r="E19" s="33" t="n">
        <f aca="false">IF(D19="totale",(C19/(A19*24))/F19,IF(D19="marché libre",(C19/(A19*24))/G19,"spécifier histo"))</f>
        <v>0.117795073768442</v>
      </c>
      <c r="F19" s="59" t="n">
        <v>1720</v>
      </c>
      <c r="G19" s="59" t="n">
        <f aca="false">1720</f>
        <v>1720</v>
      </c>
      <c r="H19" s="59" t="n">
        <f aca="false">0</f>
        <v>0</v>
      </c>
      <c r="I19" s="9"/>
      <c r="J19" s="205"/>
      <c r="K19" s="206"/>
    </row>
    <row r="20" customFormat="false" ht="23" hidden="false" customHeight="true" outlineLevel="0" collapsed="false">
      <c r="A20" s="0" t="n">
        <v>30</v>
      </c>
      <c r="B20" s="31" t="n">
        <v>39387</v>
      </c>
      <c r="C20" s="321" t="n">
        <v>203527</v>
      </c>
      <c r="D20" s="1" t="s">
        <v>41</v>
      </c>
      <c r="E20" s="33" t="n">
        <f aca="false">IF(D20="totale",(C20/(A20*24))/F20,IF(D20="marché libre",(C20/(A20*24))/G20,"spécifier histo"))</f>
        <v>0.164346737726098</v>
      </c>
      <c r="F20" s="59" t="n">
        <v>1720</v>
      </c>
      <c r="G20" s="59" t="n">
        <f aca="false">1720</f>
        <v>1720</v>
      </c>
      <c r="H20" s="59" t="n">
        <f aca="false">0</f>
        <v>0</v>
      </c>
      <c r="I20" s="9"/>
      <c r="J20" s="205"/>
      <c r="K20" s="206"/>
    </row>
    <row r="21" customFormat="false" ht="23" hidden="false" customHeight="true" outlineLevel="0" collapsed="false">
      <c r="A21" s="0" t="n">
        <v>31</v>
      </c>
      <c r="B21" s="34" t="n">
        <v>39417</v>
      </c>
      <c r="C21" s="321" t="n">
        <v>133706</v>
      </c>
      <c r="D21" s="1" t="s">
        <v>41</v>
      </c>
      <c r="E21" s="33" t="n">
        <f aca="false">IF(D21="totale",(C21/(A21*24))/F21,IF(D21="marché libre",(C21/(A21*24))/G21,"spécifier histo"))</f>
        <v>0.104483933483371</v>
      </c>
      <c r="F21" s="59" t="n">
        <v>1720</v>
      </c>
      <c r="G21" s="59" t="n">
        <f aca="false">1720</f>
        <v>1720</v>
      </c>
      <c r="H21" s="59" t="n">
        <f aca="false">0</f>
        <v>0</v>
      </c>
      <c r="I21" s="9"/>
      <c r="J21" s="205"/>
      <c r="K21" s="206"/>
    </row>
    <row r="22" customFormat="false" ht="23" hidden="false" customHeight="true" outlineLevel="0" collapsed="false">
      <c r="A22" s="0" t="n">
        <v>31</v>
      </c>
      <c r="B22" s="31" t="n">
        <v>39448</v>
      </c>
      <c r="C22" s="321" t="n">
        <v>177243</v>
      </c>
      <c r="D22" s="1" t="s">
        <v>41</v>
      </c>
      <c r="E22" s="33" t="n">
        <f aca="false">IF(D22="totale",(C22/(A22*24))/F22,IF(D22="marché libre",(C22/(A22*24))/G22,"spécifier histo"))</f>
        <v>0.138505720180045</v>
      </c>
      <c r="F22" s="59" t="n">
        <v>1720</v>
      </c>
      <c r="G22" s="59" t="n">
        <f aca="false">1720</f>
        <v>1720</v>
      </c>
      <c r="H22" s="59" t="n">
        <f aca="false">0</f>
        <v>0</v>
      </c>
      <c r="I22" s="9"/>
      <c r="J22" s="205"/>
      <c r="K22" s="206"/>
    </row>
    <row r="23" customFormat="false" ht="23" hidden="false" customHeight="true" outlineLevel="0" collapsed="false">
      <c r="A23" s="0" t="n">
        <v>28</v>
      </c>
      <c r="B23" s="34" t="n">
        <v>39479</v>
      </c>
      <c r="C23" s="321" t="n">
        <v>159463</v>
      </c>
      <c r="D23" s="1" t="s">
        <v>41</v>
      </c>
      <c r="E23" s="33" t="n">
        <f aca="false">IF(D23="totale",(C23/(A23*24))/F23,IF(D23="marché libre",(C23/(A23*24))/G23,"spécifier histo"))</f>
        <v>0.13796286683278</v>
      </c>
      <c r="F23" s="59" t="n">
        <v>1720</v>
      </c>
      <c r="G23" s="59" t="n">
        <f aca="false">1720</f>
        <v>1720</v>
      </c>
      <c r="H23" s="59" t="n">
        <f aca="false">0</f>
        <v>0</v>
      </c>
      <c r="I23" s="9"/>
      <c r="J23" s="205"/>
      <c r="K23" s="206"/>
    </row>
    <row r="24" customFormat="false" ht="23" hidden="false" customHeight="true" outlineLevel="0" collapsed="false">
      <c r="A24" s="0" t="n">
        <v>31</v>
      </c>
      <c r="B24" s="31" t="n">
        <v>39508</v>
      </c>
      <c r="C24" s="321" t="n">
        <v>249289</v>
      </c>
      <c r="D24" s="1" t="s">
        <v>41</v>
      </c>
      <c r="E24" s="33" t="n">
        <f aca="false">IF(D24="totale",(C24/(A24*24))/F24,IF(D24="marché libre",(C24/(A24*24))/G24,"spécifier histo"))</f>
        <v>0.194805732683171</v>
      </c>
      <c r="F24" s="59" t="n">
        <v>1720</v>
      </c>
      <c r="G24" s="59" t="n">
        <f aca="false">1720</f>
        <v>1720</v>
      </c>
      <c r="H24" s="59" t="n">
        <f aca="false">0</f>
        <v>0</v>
      </c>
      <c r="I24" s="9"/>
      <c r="J24" s="205"/>
      <c r="K24" s="206"/>
    </row>
    <row r="25" customFormat="false" ht="23" hidden="false" customHeight="true" outlineLevel="0" collapsed="false">
      <c r="A25" s="0" t="n">
        <v>30</v>
      </c>
      <c r="B25" s="34" t="n">
        <v>39539</v>
      </c>
      <c r="C25" s="321" t="n">
        <v>605084</v>
      </c>
      <c r="D25" s="1" t="s">
        <v>41</v>
      </c>
      <c r="E25" s="33" t="n">
        <f aca="false">IF(D25="totale",(C25/(A25*24))/F25,IF(D25="marché libre",(C25/(A25*24))/G25,"spécifier histo"))</f>
        <v>0.48860142118863</v>
      </c>
      <c r="F25" s="59" t="n">
        <v>1720</v>
      </c>
      <c r="G25" s="59" t="n">
        <f aca="false">1720</f>
        <v>1720</v>
      </c>
      <c r="H25" s="59" t="n">
        <f aca="false">0</f>
        <v>0</v>
      </c>
      <c r="I25" s="9"/>
      <c r="J25" s="205"/>
      <c r="K25" s="206"/>
    </row>
    <row r="26" customFormat="false" ht="23" hidden="false" customHeight="true" outlineLevel="0" collapsed="false">
      <c r="A26" s="0" t="n">
        <v>31</v>
      </c>
      <c r="B26" s="31" t="n">
        <v>39569</v>
      </c>
      <c r="C26" s="321" t="n">
        <v>1049140</v>
      </c>
      <c r="D26" s="1" t="s">
        <v>41</v>
      </c>
      <c r="E26" s="33" t="n">
        <f aca="false">IF(D26="totale",(C26/(A26*24))/F26,IF(D26="marché libre",(C26/(A26*24))/G26,"spécifier histo"))</f>
        <v>0.819845586396599</v>
      </c>
      <c r="F26" s="59" t="n">
        <v>1720</v>
      </c>
      <c r="G26" s="59" t="n">
        <f aca="false">1720</f>
        <v>1720</v>
      </c>
      <c r="H26" s="59" t="n">
        <f aca="false">0</f>
        <v>0</v>
      </c>
      <c r="I26" s="9"/>
      <c r="J26" s="205"/>
      <c r="K26" s="206"/>
    </row>
    <row r="27" customFormat="false" ht="23" hidden="false" customHeight="true" outlineLevel="0" collapsed="false">
      <c r="A27" s="0" t="n">
        <v>30</v>
      </c>
      <c r="B27" s="34" t="n">
        <v>39600</v>
      </c>
      <c r="C27" s="321" t="n">
        <v>1107892</v>
      </c>
      <c r="D27" s="1" t="s">
        <v>41</v>
      </c>
      <c r="E27" s="33" t="n">
        <f aca="false">IF(D27="totale",(C27/(A27*24))/F27,IF(D27="marché libre",(C27/(A27*24))/G27,"spécifier histo"))</f>
        <v>0.894615633074935</v>
      </c>
      <c r="F27" s="59" t="n">
        <v>1720</v>
      </c>
      <c r="G27" s="59" t="n">
        <f aca="false">1720</f>
        <v>1720</v>
      </c>
      <c r="H27" s="59" t="n">
        <f aca="false">0</f>
        <v>0</v>
      </c>
      <c r="I27" s="9"/>
      <c r="J27" s="205"/>
      <c r="K27" s="206"/>
    </row>
    <row r="28" customFormat="false" ht="23" hidden="false" customHeight="true" outlineLevel="0" collapsed="false">
      <c r="A28" s="0" t="n">
        <v>31</v>
      </c>
      <c r="B28" s="31" t="n">
        <v>39630</v>
      </c>
      <c r="C28" s="321" t="n">
        <v>895970</v>
      </c>
      <c r="D28" s="1" t="s">
        <v>41</v>
      </c>
      <c r="E28" s="33" t="n">
        <f aca="false">IF(D28="totale",(C28/(A28*24))/F28,IF(D28="marché libre",(C28/(A28*24))/G28,"spécifier histo"))</f>
        <v>0.7001516004001</v>
      </c>
      <c r="F28" s="59" t="n">
        <v>1720</v>
      </c>
      <c r="G28" s="59" t="n">
        <f aca="false">1720</f>
        <v>1720</v>
      </c>
      <c r="H28" s="59" t="n">
        <f aca="false">0</f>
        <v>0</v>
      </c>
      <c r="I28" s="9"/>
      <c r="J28" s="205"/>
      <c r="K28" s="206"/>
    </row>
    <row r="29" customFormat="false" ht="23" hidden="false" customHeight="true" outlineLevel="0" collapsed="false">
      <c r="A29" s="0" t="n">
        <v>31</v>
      </c>
      <c r="B29" s="34" t="n">
        <v>39661</v>
      </c>
      <c r="C29" s="321" t="n">
        <v>28107</v>
      </c>
      <c r="D29" s="1" t="s">
        <v>41</v>
      </c>
      <c r="E29" s="33" t="n">
        <f aca="false">IF(D29="totale",(C29/(A29*24))/F29,IF(D29="marché libre",(C29/(A29*24))/G29,"spécifier histo"))</f>
        <v>0.0219640847711928</v>
      </c>
      <c r="F29" s="59" t="n">
        <v>1720</v>
      </c>
      <c r="G29" s="59" t="n">
        <f aca="false">1720</f>
        <v>1720</v>
      </c>
      <c r="H29" s="59" t="n">
        <f aca="false">0</f>
        <v>0</v>
      </c>
      <c r="I29" s="9"/>
      <c r="J29" s="205"/>
      <c r="K29" s="206"/>
    </row>
    <row r="30" customFormat="false" ht="23" hidden="false" customHeight="true" outlineLevel="0" collapsed="false">
      <c r="A30" s="0" t="n">
        <v>30</v>
      </c>
      <c r="B30" s="31" t="n">
        <v>39692</v>
      </c>
      <c r="C30" s="321" t="n">
        <v>353743</v>
      </c>
      <c r="D30" s="1" t="s">
        <v>41</v>
      </c>
      <c r="E30" s="33" t="n">
        <f aca="false">IF(D30="totale",(C30/(A30*24))/F30,IF(D30="marché libre",(C30/(A30*24))/G30,"spécifier histo"))</f>
        <v>0.285645187338501</v>
      </c>
      <c r="F30" s="59" t="n">
        <v>1720</v>
      </c>
      <c r="G30" s="59" t="n">
        <f aca="false">1720</f>
        <v>1720</v>
      </c>
      <c r="H30" s="59" t="n">
        <f aca="false">0</f>
        <v>0</v>
      </c>
      <c r="I30" s="9"/>
      <c r="J30" s="205"/>
      <c r="K30" s="206"/>
    </row>
    <row r="31" customFormat="false" ht="23" hidden="false" customHeight="true" outlineLevel="0" collapsed="false">
      <c r="A31" s="0" t="n">
        <v>31</v>
      </c>
      <c r="B31" s="34" t="n">
        <v>39722</v>
      </c>
      <c r="C31" s="321" t="n">
        <v>283412</v>
      </c>
      <c r="D31" s="1" t="s">
        <v>41</v>
      </c>
      <c r="E31" s="33" t="n">
        <f aca="false">IF(D31="totale",(C31/(A31*24))/F31,IF(D31="marché libre",(C31/(A31*24))/G31,"spécifier histo"))</f>
        <v>0.221470992748187</v>
      </c>
      <c r="F31" s="59" t="n">
        <v>1720</v>
      </c>
      <c r="G31" s="59" t="n">
        <f aca="false">1720</f>
        <v>1720</v>
      </c>
      <c r="H31" s="59" t="n">
        <f aca="false">0</f>
        <v>0</v>
      </c>
      <c r="I31" s="9"/>
      <c r="J31" s="205"/>
      <c r="K31" s="206"/>
    </row>
    <row r="32" customFormat="false" ht="23" hidden="false" customHeight="true" outlineLevel="0" collapsed="false">
      <c r="A32" s="0" t="n">
        <v>30</v>
      </c>
      <c r="B32" s="31" t="n">
        <v>39753</v>
      </c>
      <c r="C32" s="321" t="n">
        <v>556170</v>
      </c>
      <c r="D32" s="1" t="s">
        <v>41</v>
      </c>
      <c r="E32" s="33" t="n">
        <f aca="false">IF(D32="totale",(C32/(A32*24))/F32,IF(D32="marché libre",(C32/(A32*24))/G32,"spécifier histo"))</f>
        <v>0.449103682170543</v>
      </c>
      <c r="F32" s="59" t="n">
        <v>1720</v>
      </c>
      <c r="G32" s="59" t="n">
        <f aca="false">1720</f>
        <v>1720</v>
      </c>
      <c r="H32" s="59" t="n">
        <f aca="false">0</f>
        <v>0</v>
      </c>
      <c r="I32" s="9"/>
      <c r="J32" s="205"/>
      <c r="K32" s="206"/>
    </row>
    <row r="33" customFormat="false" ht="23" hidden="false" customHeight="true" outlineLevel="0" collapsed="false">
      <c r="A33" s="0" t="n">
        <v>31</v>
      </c>
      <c r="B33" s="34" t="n">
        <v>39783</v>
      </c>
      <c r="C33" s="321" t="n">
        <v>337426</v>
      </c>
      <c r="D33" s="1" t="s">
        <v>41</v>
      </c>
      <c r="E33" s="33" t="n">
        <f aca="false">IF(D33="totale",(C33/(A33*24))/F33,IF(D33="marché libre",(C33/(A33*24))/G33,"spécifier histo"))</f>
        <v>0.263679982495624</v>
      </c>
      <c r="F33" s="59" t="n">
        <v>1720</v>
      </c>
      <c r="G33" s="59" t="n">
        <f aca="false">1720</f>
        <v>1720</v>
      </c>
      <c r="H33" s="59" t="n">
        <f aca="false">0</f>
        <v>0</v>
      </c>
      <c r="I33" s="9"/>
      <c r="J33" s="205"/>
      <c r="K33" s="206"/>
    </row>
    <row r="34" customFormat="false" ht="23" hidden="false" customHeight="true" outlineLevel="0" collapsed="false">
      <c r="A34" s="0" t="n">
        <v>31</v>
      </c>
      <c r="B34" s="31" t="n">
        <v>39814</v>
      </c>
      <c r="C34" s="321" t="n">
        <v>276992.166666667</v>
      </c>
      <c r="D34" s="1" t="s">
        <v>41</v>
      </c>
      <c r="E34" s="33" t="n">
        <f aca="false">IF(D34="totale",(C34/(A34*24))/F34,IF(D34="marché libre",(C34/(A34*24))/G34,"spécifier histo"))</f>
        <v>0.216454243769276</v>
      </c>
      <c r="F34" s="59" t="n">
        <v>1720</v>
      </c>
      <c r="G34" s="59" t="n">
        <f aca="false">1720</f>
        <v>1720</v>
      </c>
      <c r="H34" s="59" t="n">
        <f aca="false">0</f>
        <v>0</v>
      </c>
      <c r="I34" s="9"/>
      <c r="J34" s="205"/>
      <c r="K34" s="206"/>
    </row>
    <row r="35" customFormat="false" ht="23" hidden="false" customHeight="true" outlineLevel="0" collapsed="false">
      <c r="A35" s="0" t="n">
        <v>28</v>
      </c>
      <c r="B35" s="34" t="n">
        <v>39845</v>
      </c>
      <c r="C35" s="321" t="n">
        <v>235272</v>
      </c>
      <c r="D35" s="1" t="s">
        <v>41</v>
      </c>
      <c r="E35" s="33" t="n">
        <f aca="false">IF(D35="totale",(C35/(A35*24))/F35,IF(D35="marché libre",(C35/(A35*24))/G35,"spécifier histo"))</f>
        <v>0.203550664451827</v>
      </c>
      <c r="F35" s="59" t="n">
        <v>1720</v>
      </c>
      <c r="G35" s="59" t="n">
        <f aca="false">1720</f>
        <v>1720</v>
      </c>
      <c r="H35" s="59" t="n">
        <f aca="false">0</f>
        <v>0</v>
      </c>
      <c r="I35" s="9"/>
      <c r="J35" s="205"/>
      <c r="K35" s="206"/>
    </row>
    <row r="36" customFormat="false" ht="23" hidden="false" customHeight="true" outlineLevel="0" collapsed="false">
      <c r="A36" s="0" t="n">
        <v>31</v>
      </c>
      <c r="B36" s="31" t="n">
        <v>39873</v>
      </c>
      <c r="C36" s="321" t="n">
        <v>469848</v>
      </c>
      <c r="D36" s="1" t="s">
        <v>41</v>
      </c>
      <c r="E36" s="33" t="n">
        <f aca="false">IF(D36="totale",(C36/(A36*24))/F36,IF(D36="marché libre",(C36/(A36*24))/G36,"spécifier histo"))</f>
        <v>0.367160540135034</v>
      </c>
      <c r="F36" s="59" t="n">
        <v>1720</v>
      </c>
      <c r="G36" s="59" t="n">
        <f aca="false">1720</f>
        <v>1720</v>
      </c>
      <c r="H36" s="59" t="n">
        <f aca="false">0</f>
        <v>0</v>
      </c>
      <c r="I36" s="9"/>
      <c r="J36" s="205"/>
      <c r="K36" s="206"/>
    </row>
    <row r="37" customFormat="false" ht="23" hidden="false" customHeight="true" outlineLevel="0" collapsed="false">
      <c r="A37" s="0" t="n">
        <v>30</v>
      </c>
      <c r="B37" s="34" t="n">
        <v>39904</v>
      </c>
      <c r="C37" s="321" t="n">
        <v>879255.166666667</v>
      </c>
      <c r="D37" s="1" t="s">
        <v>41</v>
      </c>
      <c r="E37" s="33" t="n">
        <f aca="false">IF(D37="totale",(C37/(A37*24))/F37,IF(D37="marché libre",(C37/(A37*24))/G37,"spécifier histo"))</f>
        <v>0.709992867140396</v>
      </c>
      <c r="F37" s="59" t="n">
        <v>1720</v>
      </c>
      <c r="G37" s="59" t="n">
        <f aca="false">1720</f>
        <v>1720</v>
      </c>
      <c r="H37" s="59" t="n">
        <f aca="false">0</f>
        <v>0</v>
      </c>
      <c r="I37" s="9"/>
      <c r="J37" s="205"/>
      <c r="K37" s="206"/>
    </row>
    <row r="38" customFormat="false" ht="23" hidden="false" customHeight="true" outlineLevel="0" collapsed="false">
      <c r="A38" s="0" t="n">
        <v>31</v>
      </c>
      <c r="B38" s="31" t="n">
        <v>39934</v>
      </c>
      <c r="C38" s="321" t="n">
        <v>970331.833333333</v>
      </c>
      <c r="D38" s="1" t="s">
        <v>41</v>
      </c>
      <c r="E38" s="33" t="n">
        <f aca="false">IF(D38="totale",(C38/(A38*24))/F38,IF(D38="marché libre",(C38/(A38*24))/G38,"spécifier histo"))</f>
        <v>0.758261310119196</v>
      </c>
      <c r="F38" s="59" t="n">
        <v>1720</v>
      </c>
      <c r="G38" s="59" t="n">
        <f aca="false">1720</f>
        <v>1720</v>
      </c>
      <c r="H38" s="59" t="n">
        <f aca="false">0</f>
        <v>0</v>
      </c>
      <c r="I38" s="9"/>
      <c r="J38" s="205"/>
      <c r="K38" s="206"/>
    </row>
    <row r="39" customFormat="false" ht="23" hidden="false" customHeight="true" outlineLevel="0" collapsed="false">
      <c r="A39" s="0" t="n">
        <v>30</v>
      </c>
      <c r="B39" s="34" t="n">
        <v>39965</v>
      </c>
      <c r="C39" s="321" t="n">
        <v>1077623.5</v>
      </c>
      <c r="D39" s="1" t="s">
        <v>41</v>
      </c>
      <c r="E39" s="33" t="n">
        <f aca="false">IF(D39="totale",(C39/(A39*24))/F39,IF(D39="marché libre",(C39/(A39*24))/G39,"spécifier histo"))</f>
        <v>0.870174014857881</v>
      </c>
      <c r="F39" s="59" t="n">
        <v>1720</v>
      </c>
      <c r="G39" s="59" t="n">
        <f aca="false">1720</f>
        <v>1720</v>
      </c>
      <c r="H39" s="59" t="n">
        <f aca="false">0</f>
        <v>0</v>
      </c>
      <c r="I39" s="9"/>
      <c r="J39" s="205"/>
      <c r="K39" s="206"/>
    </row>
    <row r="40" customFormat="false" ht="23" hidden="false" customHeight="true" outlineLevel="0" collapsed="false">
      <c r="A40" s="0" t="n">
        <v>31</v>
      </c>
      <c r="B40" s="31" t="n">
        <v>39995</v>
      </c>
      <c r="C40" s="321" t="n">
        <v>1096047.33333333</v>
      </c>
      <c r="D40" s="1" t="s">
        <v>41</v>
      </c>
      <c r="E40" s="33" t="n">
        <f aca="false">IF(D40="totale",(C40/(A40*24))/F40,IF(D40="marché libre",(C40/(A40*24))/G40,"spécifier histo"))</f>
        <v>0.856501104442775</v>
      </c>
      <c r="F40" s="59" t="n">
        <v>1720</v>
      </c>
      <c r="G40" s="59" t="n">
        <f aca="false">1720</f>
        <v>1720</v>
      </c>
      <c r="H40" s="59" t="n">
        <f aca="false">0</f>
        <v>0</v>
      </c>
      <c r="I40" s="9"/>
      <c r="J40" s="205"/>
      <c r="K40" s="206"/>
    </row>
    <row r="41" customFormat="false" ht="23" hidden="false" customHeight="true" outlineLevel="0" collapsed="false">
      <c r="A41" s="0" t="n">
        <v>31</v>
      </c>
      <c r="B41" s="34" t="n">
        <v>40026</v>
      </c>
      <c r="C41" s="321" t="n">
        <v>64436.8333333333</v>
      </c>
      <c r="D41" s="1" t="s">
        <v>41</v>
      </c>
      <c r="E41" s="33" t="n">
        <f aca="false">IF(D41="totale",(C41/(A41*24))/F41,IF(D41="marché libre",(C41/(A41*24))/G41,"spécifier histo"))</f>
        <v>0.0503538645077936</v>
      </c>
      <c r="F41" s="59" t="n">
        <v>1720</v>
      </c>
      <c r="G41" s="59" t="n">
        <f aca="false">1720</f>
        <v>1720</v>
      </c>
      <c r="H41" s="59" t="n">
        <f aca="false">0</f>
        <v>0</v>
      </c>
      <c r="I41" s="9"/>
      <c r="J41" s="205"/>
      <c r="K41" s="206"/>
    </row>
    <row r="42" customFormat="false" ht="23" hidden="false" customHeight="true" outlineLevel="0" collapsed="false">
      <c r="A42" s="0" t="n">
        <v>30</v>
      </c>
      <c r="B42" s="31" t="n">
        <v>40057</v>
      </c>
      <c r="C42" s="321" t="n">
        <v>465717.333333333</v>
      </c>
      <c r="D42" s="1" t="s">
        <v>41</v>
      </c>
      <c r="E42" s="33" t="n">
        <f aca="false">IF(D42="totale",(C42/(A42*24))/F42,IF(D42="marché libre",(C42/(A42*24))/G42,"spécifier histo"))</f>
        <v>0.376063738156761</v>
      </c>
      <c r="F42" s="59" t="n">
        <v>1720</v>
      </c>
      <c r="G42" s="59" t="n">
        <f aca="false">1720</f>
        <v>1720</v>
      </c>
      <c r="H42" s="59" t="n">
        <f aca="false">0</f>
        <v>0</v>
      </c>
      <c r="I42" s="9"/>
      <c r="J42" s="205"/>
      <c r="K42" s="206"/>
    </row>
    <row r="43" customFormat="false" ht="23" hidden="false" customHeight="true" outlineLevel="0" collapsed="false">
      <c r="A43" s="0" t="n">
        <v>31</v>
      </c>
      <c r="B43" s="34" t="n">
        <v>40087</v>
      </c>
      <c r="C43" s="321" t="n">
        <v>507535.666666667</v>
      </c>
      <c r="D43" s="1" t="s">
        <v>41</v>
      </c>
      <c r="E43" s="33" t="n">
        <f aca="false">IF(D43="totale",(C43/(A43*24))/F43,IF(D43="marché libre",(C43/(A43*24))/G43,"spécifier histo"))</f>
        <v>0.396611392431441</v>
      </c>
      <c r="F43" s="59" t="n">
        <v>1720</v>
      </c>
      <c r="G43" s="59" t="n">
        <f aca="false">1720</f>
        <v>1720</v>
      </c>
      <c r="H43" s="59" t="n">
        <f aca="false">0</f>
        <v>0</v>
      </c>
      <c r="I43" s="9"/>
      <c r="J43" s="205"/>
      <c r="K43" s="206"/>
    </row>
    <row r="44" customFormat="false" ht="23" hidden="false" customHeight="true" outlineLevel="0" collapsed="false">
      <c r="A44" s="0" t="n">
        <v>30</v>
      </c>
      <c r="B44" s="31" t="n">
        <v>40118</v>
      </c>
      <c r="C44" s="321" t="n">
        <v>547050.666666667</v>
      </c>
      <c r="D44" s="1" t="s">
        <v>41</v>
      </c>
      <c r="E44" s="33" t="n">
        <f aca="false">IF(D44="totale",(C44/(A44*24))/F44,IF(D44="marché libre",(C44/(A44*24))/G44,"spécifier histo"))</f>
        <v>0.441739879414298</v>
      </c>
      <c r="F44" s="59" t="n">
        <v>1720</v>
      </c>
      <c r="G44" s="59" t="n">
        <f aca="false">1720</f>
        <v>1720</v>
      </c>
      <c r="H44" s="59" t="n">
        <f aca="false">0</f>
        <v>0</v>
      </c>
      <c r="I44" s="9"/>
      <c r="J44" s="205"/>
      <c r="K44" s="206"/>
    </row>
    <row r="45" customFormat="false" ht="23" hidden="false" customHeight="true" outlineLevel="0" collapsed="false">
      <c r="A45" s="0" t="n">
        <v>31</v>
      </c>
      <c r="B45" s="34" t="n">
        <v>40148</v>
      </c>
      <c r="C45" s="321" t="n">
        <v>590439.333333333</v>
      </c>
      <c r="D45" s="1" t="s">
        <v>41</v>
      </c>
      <c r="E45" s="33" t="n">
        <f aca="false">IF(D45="totale",(C45/(A45*24))/F45,IF(D45="marché libre",(C45/(A45*24))/G45,"spécifier histo"))</f>
        <v>0.461396078186213</v>
      </c>
      <c r="F45" s="59" t="n">
        <v>1720</v>
      </c>
      <c r="G45" s="59" t="n">
        <f aca="false">1720</f>
        <v>1720</v>
      </c>
      <c r="H45" s="59" t="n">
        <f aca="false">0</f>
        <v>0</v>
      </c>
      <c r="I45" s="9"/>
      <c r="J45" s="205"/>
      <c r="K45" s="206"/>
    </row>
    <row r="46" customFormat="false" ht="23" hidden="false" customHeight="true" outlineLevel="0" collapsed="false">
      <c r="A46" s="0" t="n">
        <v>31</v>
      </c>
      <c r="B46" s="31" t="n">
        <v>40179</v>
      </c>
      <c r="C46" s="321" t="n">
        <v>585239.5</v>
      </c>
      <c r="D46" s="1" t="s">
        <v>41</v>
      </c>
      <c r="E46" s="33" t="n">
        <f aca="false">IF(D46="totale",(C46/(A46*24))/F46,IF(D46="marché libre",(C46/(A46*24))/G46,"spécifier histo"))</f>
        <v>0.457332692548137</v>
      </c>
      <c r="F46" s="59" t="n">
        <v>1720</v>
      </c>
      <c r="G46" s="59" t="n">
        <f aca="false">1720</f>
        <v>1720</v>
      </c>
      <c r="H46" s="59" t="n">
        <f aca="false">0</f>
        <v>0</v>
      </c>
      <c r="I46" s="9"/>
      <c r="J46" s="205"/>
      <c r="K46" s="206"/>
    </row>
    <row r="47" customFormat="false" ht="23" hidden="false" customHeight="true" outlineLevel="0" collapsed="false">
      <c r="A47" s="0" t="n">
        <v>28</v>
      </c>
      <c r="B47" s="34" t="n">
        <v>40210</v>
      </c>
      <c r="C47" s="321" t="n">
        <v>300237</v>
      </c>
      <c r="D47" s="1" t="s">
        <v>41</v>
      </c>
      <c r="E47" s="33" t="n">
        <f aca="false">IF(D47="totale",(C47/(A47*24))/F47,IF(D47="marché libre",(C47/(A47*24))/G47,"spécifier histo"))</f>
        <v>0.259756540697674</v>
      </c>
      <c r="F47" s="59" t="n">
        <v>1720</v>
      </c>
      <c r="G47" s="59" t="n">
        <f aca="false">1720</f>
        <v>1720</v>
      </c>
      <c r="H47" s="59" t="n">
        <f aca="false">0</f>
        <v>0</v>
      </c>
      <c r="I47" s="9"/>
      <c r="J47" s="205"/>
      <c r="K47" s="206"/>
    </row>
    <row r="48" customFormat="false" ht="23" hidden="false" customHeight="true" outlineLevel="0" collapsed="false">
      <c r="A48" s="0" t="n">
        <v>31</v>
      </c>
      <c r="B48" s="31" t="n">
        <v>40238</v>
      </c>
      <c r="C48" s="321" t="n">
        <v>472948.833333333</v>
      </c>
      <c r="D48" s="1" t="s">
        <v>41</v>
      </c>
      <c r="E48" s="33" t="n">
        <f aca="false">IF(D48="totale",(C48/(A48*24))/F48,IF(D48="marché libre",(C48/(A48*24))/G48,"spécifier histo"))</f>
        <v>0.369583671959656</v>
      </c>
      <c r="F48" s="59" t="n">
        <v>1720</v>
      </c>
      <c r="G48" s="59" t="n">
        <f aca="false">1720</f>
        <v>1720</v>
      </c>
      <c r="H48" s="59" t="n">
        <f aca="false">0</f>
        <v>0</v>
      </c>
      <c r="I48" s="9"/>
      <c r="J48" s="205"/>
      <c r="K48" s="206"/>
    </row>
    <row r="49" customFormat="false" ht="23" hidden="false" customHeight="true" outlineLevel="0" collapsed="false">
      <c r="A49" s="0" t="n">
        <v>30</v>
      </c>
      <c r="B49" s="34" t="n">
        <v>40269</v>
      </c>
      <c r="C49" s="321" t="n">
        <v>723294.5</v>
      </c>
      <c r="D49" s="1" t="s">
        <v>41</v>
      </c>
      <c r="E49" s="33" t="n">
        <f aca="false">IF(D49="totale",(C49/(A49*24))/F49,IF(D49="marché libre",(C49/(A49*24))/G49,"spécifier histo"))</f>
        <v>0.58405563630491</v>
      </c>
      <c r="F49" s="59" t="n">
        <v>1720</v>
      </c>
      <c r="G49" s="59" t="n">
        <f aca="false">1720</f>
        <v>1720</v>
      </c>
      <c r="H49" s="59" t="n">
        <f aca="false">0</f>
        <v>0</v>
      </c>
      <c r="I49" s="9"/>
      <c r="J49" s="205"/>
      <c r="K49" s="206"/>
    </row>
    <row r="50" customFormat="false" ht="23" hidden="false" customHeight="true" outlineLevel="0" collapsed="false">
      <c r="A50" s="0" t="n">
        <v>31</v>
      </c>
      <c r="B50" s="31" t="n">
        <v>40299</v>
      </c>
      <c r="C50" s="321" t="n">
        <v>1076816</v>
      </c>
      <c r="D50" s="1" t="s">
        <v>41</v>
      </c>
      <c r="E50" s="33" t="n">
        <f aca="false">IF(D50="totale",(C50/(A50*24))/F50,IF(D50="marché libre",(C50/(A50*24))/G50,"spécifier histo"))</f>
        <v>0.841472868217054</v>
      </c>
      <c r="F50" s="59" t="n">
        <v>1720</v>
      </c>
      <c r="G50" s="59" t="n">
        <f aca="false">1720</f>
        <v>1720</v>
      </c>
      <c r="H50" s="59" t="n">
        <f aca="false">0</f>
        <v>0</v>
      </c>
      <c r="I50" s="9"/>
      <c r="J50" s="205"/>
      <c r="K50" s="206"/>
    </row>
    <row r="51" customFormat="false" ht="23" hidden="false" customHeight="true" outlineLevel="0" collapsed="false">
      <c r="A51" s="0" t="n">
        <v>30</v>
      </c>
      <c r="B51" s="34" t="n">
        <v>40330</v>
      </c>
      <c r="C51" s="321" t="n">
        <v>1065578.33333333</v>
      </c>
      <c r="D51" s="1" t="s">
        <v>41</v>
      </c>
      <c r="E51" s="33" t="n">
        <f aca="false">IF(D51="totale",(C51/(A51*24))/F51,IF(D51="marché libre",(C51/(A51*24))/G51,"spécifier histo"))</f>
        <v>0.860447620585699</v>
      </c>
      <c r="F51" s="59" t="n">
        <v>1720</v>
      </c>
      <c r="G51" s="59" t="n">
        <f aca="false">1720</f>
        <v>1720</v>
      </c>
      <c r="H51" s="59" t="n">
        <f aca="false">0</f>
        <v>0</v>
      </c>
      <c r="I51" s="9"/>
      <c r="J51" s="205"/>
      <c r="K51" s="206"/>
    </row>
    <row r="52" customFormat="false" ht="23" hidden="false" customHeight="true" outlineLevel="0" collapsed="false">
      <c r="A52" s="0" t="n">
        <v>31</v>
      </c>
      <c r="B52" s="31" t="n">
        <v>40360</v>
      </c>
      <c r="C52" s="321" t="n">
        <v>970198.833333333</v>
      </c>
      <c r="D52" s="1" t="s">
        <v>41</v>
      </c>
      <c r="E52" s="33" t="n">
        <f aca="false">IF(D52="totale",(C52/(A52*24))/F52,IF(D52="marché libre",(C52/(A52*24))/G52,"spécifier histo"))</f>
        <v>0.758157377886138</v>
      </c>
      <c r="F52" s="59" t="n">
        <v>1720</v>
      </c>
      <c r="G52" s="59" t="n">
        <f aca="false">1720</f>
        <v>1720</v>
      </c>
      <c r="H52" s="59" t="n">
        <f aca="false">0</f>
        <v>0</v>
      </c>
      <c r="I52" s="9"/>
      <c r="J52" s="205"/>
      <c r="K52" s="206"/>
    </row>
    <row r="53" customFormat="false" ht="23" hidden="false" customHeight="true" outlineLevel="0" collapsed="false">
      <c r="A53" s="0" t="n">
        <v>31</v>
      </c>
      <c r="B53" s="34" t="n">
        <v>40391</v>
      </c>
      <c r="C53" s="321" t="n">
        <v>105860.666666667</v>
      </c>
      <c r="D53" s="1" t="s">
        <v>41</v>
      </c>
      <c r="E53" s="33" t="n">
        <f aca="false">IF(D53="totale",(C53/(A53*24))/F53,IF(D53="marché libre",(C53/(A53*24))/G53,"spécifier histo"))</f>
        <v>0.0827243269150624</v>
      </c>
      <c r="F53" s="59" t="n">
        <v>1720</v>
      </c>
      <c r="G53" s="59" t="n">
        <f aca="false">1720</f>
        <v>1720</v>
      </c>
      <c r="H53" s="59" t="n">
        <f aca="false">0</f>
        <v>0</v>
      </c>
      <c r="I53" s="9"/>
      <c r="J53" s="205"/>
      <c r="K53" s="206"/>
    </row>
    <row r="54" customFormat="false" ht="23" hidden="false" customHeight="true" outlineLevel="0" collapsed="false">
      <c r="A54" s="0" t="n">
        <v>30</v>
      </c>
      <c r="B54" s="31" t="n">
        <v>40422</v>
      </c>
      <c r="C54" s="321" t="n">
        <v>411514.333333333</v>
      </c>
      <c r="D54" s="1" t="s">
        <v>41</v>
      </c>
      <c r="E54" s="33" t="n">
        <f aca="false">IF(D54="totale",(C54/(A54*24))/F54,IF(D54="marché libre",(C54/(A54*24))/G54,"spécifier histo"))</f>
        <v>0.33229516580534</v>
      </c>
      <c r="F54" s="59" t="n">
        <v>1720</v>
      </c>
      <c r="G54" s="59" t="n">
        <f aca="false">1720</f>
        <v>1720</v>
      </c>
      <c r="H54" s="59" t="n">
        <f aca="false">0</f>
        <v>0</v>
      </c>
      <c r="I54" s="9"/>
      <c r="J54" s="205"/>
      <c r="K54" s="206"/>
    </row>
    <row r="55" customFormat="false" ht="23" hidden="false" customHeight="true" outlineLevel="0" collapsed="false">
      <c r="A55" s="0" t="n">
        <v>31</v>
      </c>
      <c r="B55" s="34" t="n">
        <v>40452</v>
      </c>
      <c r="C55" s="321" t="n">
        <v>374818.5</v>
      </c>
      <c r="D55" s="1" t="s">
        <v>41</v>
      </c>
      <c r="E55" s="33" t="n">
        <f aca="false">IF(D55="totale",(C55/(A55*24))/F55,IF(D55="marché libre",(C55/(A55*24))/G55,"spécifier histo"))</f>
        <v>0.292900178169542</v>
      </c>
      <c r="F55" s="59" t="n">
        <v>1720</v>
      </c>
      <c r="G55" s="59" t="n">
        <f aca="false">1720</f>
        <v>1720</v>
      </c>
      <c r="H55" s="59" t="n">
        <f aca="false">0</f>
        <v>0</v>
      </c>
      <c r="I55" s="9"/>
      <c r="J55" s="205"/>
      <c r="K55" s="206"/>
    </row>
    <row r="56" customFormat="false" ht="23" hidden="false" customHeight="true" outlineLevel="0" collapsed="false">
      <c r="A56" s="0" t="n">
        <v>30</v>
      </c>
      <c r="B56" s="31" t="n">
        <v>40483</v>
      </c>
      <c r="C56" s="321" t="n">
        <v>895969.5</v>
      </c>
      <c r="D56" s="1" t="s">
        <v>41</v>
      </c>
      <c r="E56" s="33" t="n">
        <f aca="false">IF(D56="totale",(C56/(A56*24))/F56,IF(D56="marché libre",(C56/(A56*24))/G56,"spécifier histo"))</f>
        <v>0.723489583333333</v>
      </c>
      <c r="F56" s="59" t="n">
        <v>1720</v>
      </c>
      <c r="G56" s="59" t="n">
        <f aca="false">1720</f>
        <v>1720</v>
      </c>
      <c r="H56" s="59" t="n">
        <f aca="false">0</f>
        <v>0</v>
      </c>
      <c r="I56" s="9"/>
      <c r="J56" s="205"/>
      <c r="K56" s="206"/>
    </row>
    <row r="57" customFormat="false" ht="23" hidden="false" customHeight="true" outlineLevel="0" collapsed="false">
      <c r="A57" s="0" t="n">
        <v>31</v>
      </c>
      <c r="B57" s="34" t="n">
        <v>40513</v>
      </c>
      <c r="C57" s="321" t="n">
        <v>813367.333333333</v>
      </c>
      <c r="D57" s="1" t="s">
        <v>41</v>
      </c>
      <c r="E57" s="33" t="n">
        <f aca="false">IF(D57="totale",(C57/(A57*24))/F57,IF(D57="marché libre",(C57/(A57*24))/G57,"spécifier histo"))</f>
        <v>0.635602129699091</v>
      </c>
      <c r="F57" s="59" t="n">
        <v>1720</v>
      </c>
      <c r="G57" s="59" t="n">
        <f aca="false">1720</f>
        <v>1720</v>
      </c>
      <c r="H57" s="59" t="n">
        <f aca="false">0</f>
        <v>0</v>
      </c>
      <c r="I57" s="9"/>
      <c r="J57" s="205"/>
      <c r="K57" s="206"/>
    </row>
    <row r="58" customFormat="false" ht="23" hidden="false" customHeight="true" outlineLevel="0" collapsed="false">
      <c r="A58" s="0" t="n">
        <v>31</v>
      </c>
      <c r="B58" s="31" t="n">
        <v>40544</v>
      </c>
      <c r="C58" s="321" t="n">
        <v>557623.166666667</v>
      </c>
      <c r="D58" s="1" t="s">
        <v>41</v>
      </c>
      <c r="E58" s="33" t="n">
        <f aca="false">IF(D58="totale",(C58/(A58*24))/F58,IF(D58="marché libre",(C58/(A58*24))/G58,"spécifier histo"))</f>
        <v>0.435752036967575</v>
      </c>
      <c r="F58" s="59" t="n">
        <v>1720</v>
      </c>
      <c r="G58" s="59" t="n">
        <f aca="false">1720</f>
        <v>1720</v>
      </c>
      <c r="H58" s="59" t="n">
        <f aca="false">0</f>
        <v>0</v>
      </c>
      <c r="I58" s="9"/>
      <c r="J58" s="205"/>
      <c r="K58" s="206"/>
    </row>
    <row r="59" customFormat="false" ht="23" hidden="false" customHeight="true" outlineLevel="0" collapsed="false">
      <c r="A59" s="0" t="n">
        <v>28</v>
      </c>
      <c r="B59" s="34" t="n">
        <v>40575</v>
      </c>
      <c r="C59" s="321" t="n">
        <v>315607.333333333</v>
      </c>
      <c r="D59" s="1" t="s">
        <v>41</v>
      </c>
      <c r="E59" s="33" t="n">
        <f aca="false">IF(D59="totale",(C59/(A59*24))/F59,IF(D59="marché libre",(C59/(A59*24))/G59,"spécifier histo"))</f>
        <v>0.273054517349575</v>
      </c>
      <c r="F59" s="59" t="n">
        <v>1720</v>
      </c>
      <c r="G59" s="59" t="n">
        <f aca="false">1720</f>
        <v>1720</v>
      </c>
      <c r="H59" s="59" t="n">
        <f aca="false">0</f>
        <v>0</v>
      </c>
      <c r="I59" s="9"/>
      <c r="J59" s="205"/>
      <c r="K59" s="206"/>
    </row>
    <row r="60" customFormat="false" ht="23" hidden="false" customHeight="true" outlineLevel="0" collapsed="false">
      <c r="A60" s="0" t="n">
        <v>31</v>
      </c>
      <c r="B60" s="31" t="n">
        <v>40603</v>
      </c>
      <c r="C60" s="321" t="n">
        <v>330964.333333333</v>
      </c>
      <c r="D60" s="1" t="s">
        <v>41</v>
      </c>
      <c r="E60" s="33" t="n">
        <f aca="false">IF(D60="totale",(C60/(A60*24))/F60,IF(D60="marché libre",(C60/(A60*24))/G60,"spécifier histo"))</f>
        <v>0.25863054305243</v>
      </c>
      <c r="F60" s="59" t="n">
        <v>1720</v>
      </c>
      <c r="G60" s="59" t="n">
        <f aca="false">1720</f>
        <v>1720</v>
      </c>
      <c r="H60" s="59" t="n">
        <f aca="false">0</f>
        <v>0</v>
      </c>
      <c r="I60" s="9"/>
      <c r="J60" s="205"/>
      <c r="K60" s="206"/>
    </row>
    <row r="61" customFormat="false" ht="23" hidden="false" customHeight="true" outlineLevel="0" collapsed="false">
      <c r="A61" s="0" t="n">
        <v>30</v>
      </c>
      <c r="B61" s="34" t="n">
        <v>40634</v>
      </c>
      <c r="C61" s="321" t="n">
        <v>990257.5</v>
      </c>
      <c r="D61" s="1" t="s">
        <v>41</v>
      </c>
      <c r="E61" s="33" t="n">
        <f aca="false">IF(D61="totale",(C61/(A61*24))/F61,IF(D61="marché libre",(C61/(A61*24))/G61,"spécifier histo"))</f>
        <v>0.799626534237726</v>
      </c>
      <c r="F61" s="59" t="n">
        <v>1720</v>
      </c>
      <c r="G61" s="59" t="n">
        <f aca="false">1720</f>
        <v>1720</v>
      </c>
      <c r="H61" s="59" t="n">
        <f aca="false">0</f>
        <v>0</v>
      </c>
      <c r="I61" s="9"/>
      <c r="J61" s="205"/>
      <c r="K61" s="206"/>
    </row>
    <row r="62" customFormat="false" ht="23" hidden="false" customHeight="true" outlineLevel="0" collapsed="false">
      <c r="A62" s="0" t="n">
        <v>31</v>
      </c>
      <c r="B62" s="31" t="n">
        <v>40664</v>
      </c>
      <c r="C62" s="321" t="n">
        <v>1051271.33333333</v>
      </c>
      <c r="D62" s="1" t="s">
        <v>41</v>
      </c>
      <c r="E62" s="33" t="n">
        <f aca="false">IF(D62="totale",(C62/(A62*24))/F62,IF(D62="marché libre",(C62/(A62*24))/G62,"spécifier histo"))</f>
        <v>0.8215111069434</v>
      </c>
      <c r="F62" s="59" t="n">
        <v>1720</v>
      </c>
      <c r="G62" s="59" t="n">
        <f aca="false">1720</f>
        <v>1720</v>
      </c>
      <c r="H62" s="59" t="n">
        <f aca="false">0</f>
        <v>0</v>
      </c>
      <c r="I62" s="9"/>
      <c r="J62" s="205"/>
      <c r="K62" s="206"/>
    </row>
    <row r="63" customFormat="false" ht="23" hidden="false" customHeight="true" outlineLevel="0" collapsed="false">
      <c r="A63" s="0" t="n">
        <v>30</v>
      </c>
      <c r="B63" s="34" t="n">
        <v>40695</v>
      </c>
      <c r="C63" s="321" t="n">
        <v>912073.5</v>
      </c>
      <c r="D63" s="1" t="s">
        <v>41</v>
      </c>
      <c r="E63" s="33" t="n">
        <f aca="false">IF(D63="totale",(C63/(A63*24))/F63,IF(D63="marché libre",(C63/(A63*24))/G63,"spécifier histo"))</f>
        <v>0.736493459302326</v>
      </c>
      <c r="F63" s="59" t="n">
        <v>1720</v>
      </c>
      <c r="G63" s="59" t="n">
        <f aca="false">1720</f>
        <v>1720</v>
      </c>
      <c r="H63" s="59" t="n">
        <f aca="false">0</f>
        <v>0</v>
      </c>
      <c r="I63" s="9"/>
      <c r="J63" s="205"/>
      <c r="K63" s="206"/>
    </row>
    <row r="64" customFormat="false" ht="23" hidden="false" customHeight="true" outlineLevel="0" collapsed="false">
      <c r="A64" s="0" t="n">
        <v>31</v>
      </c>
      <c r="B64" s="31" t="n">
        <v>40725</v>
      </c>
      <c r="C64" s="321" t="n">
        <v>822495.833333333</v>
      </c>
      <c r="D64" s="1" t="s">
        <v>41</v>
      </c>
      <c r="E64" s="33" t="n">
        <f aca="false">IF(D64="totale",(C64/(A64*24))/F64,IF(D64="marché libre",(C64/(A64*24))/G64,"spécifier histo"))</f>
        <v>0.642735553680086</v>
      </c>
      <c r="F64" s="59" t="n">
        <v>1720</v>
      </c>
      <c r="G64" s="59" t="n">
        <f aca="false">1720</f>
        <v>1720</v>
      </c>
      <c r="H64" s="59" t="n">
        <f aca="false">0</f>
        <v>0</v>
      </c>
      <c r="I64" s="9"/>
      <c r="J64" s="205"/>
      <c r="K64" s="206"/>
    </row>
    <row r="65" customFormat="false" ht="23" hidden="false" customHeight="true" outlineLevel="0" collapsed="false">
      <c r="A65" s="0" t="n">
        <v>31</v>
      </c>
      <c r="B65" s="34" t="n">
        <v>40756</v>
      </c>
      <c r="C65" s="321" t="n">
        <v>14623.5</v>
      </c>
      <c r="D65" s="1" t="s">
        <v>41</v>
      </c>
      <c r="E65" s="33" t="n">
        <f aca="false">IF(D65="totale",(C65/(A65*24))/F65,IF(D65="marché libre",(C65/(A65*24))/G65,"spécifier histo"))</f>
        <v>0.0114274662415604</v>
      </c>
      <c r="F65" s="59" t="n">
        <v>1720</v>
      </c>
      <c r="G65" s="59" t="n">
        <f aca="false">1720</f>
        <v>1720</v>
      </c>
      <c r="H65" s="59" t="n">
        <f aca="false">0</f>
        <v>0</v>
      </c>
      <c r="I65" s="9"/>
      <c r="J65" s="205"/>
      <c r="K65" s="206"/>
    </row>
    <row r="66" customFormat="false" ht="23" hidden="false" customHeight="true" outlineLevel="0" collapsed="false">
      <c r="A66" s="0" t="n">
        <v>30</v>
      </c>
      <c r="B66" s="31" t="n">
        <v>40787</v>
      </c>
      <c r="C66" s="321" t="n">
        <v>315260</v>
      </c>
      <c r="D66" s="1" t="s">
        <v>41</v>
      </c>
      <c r="E66" s="33" t="n">
        <f aca="false">IF(D66="totale",(C66/(A66*24))/F66,IF(D66="marché libre",(C66/(A66*24))/G66,"spécifier histo"))</f>
        <v>0.254570413436692</v>
      </c>
      <c r="F66" s="59" t="n">
        <v>1720</v>
      </c>
      <c r="G66" s="59" t="n">
        <f aca="false">1720</f>
        <v>1720</v>
      </c>
      <c r="H66" s="59" t="n">
        <f aca="false">0</f>
        <v>0</v>
      </c>
      <c r="I66" s="9"/>
      <c r="J66" s="205"/>
      <c r="K66" s="206"/>
    </row>
    <row r="67" customFormat="false" ht="23" hidden="false" customHeight="true" outlineLevel="0" collapsed="false">
      <c r="A67" s="0" t="n">
        <v>31</v>
      </c>
      <c r="B67" s="34" t="n">
        <v>40817</v>
      </c>
      <c r="C67" s="321" t="n">
        <v>311213.5</v>
      </c>
      <c r="D67" s="1" t="s">
        <v>41</v>
      </c>
      <c r="E67" s="33" t="n">
        <f aca="false">IF(D67="totale",(C67/(A67*24))/F67,IF(D67="marché libre",(C67/(A67*24))/G67,"spécifier histo"))</f>
        <v>0.24319634596149</v>
      </c>
      <c r="F67" s="59" t="n">
        <v>1720</v>
      </c>
      <c r="G67" s="59" t="n">
        <f aca="false">1720</f>
        <v>1720</v>
      </c>
      <c r="H67" s="59" t="n">
        <f aca="false">0</f>
        <v>0</v>
      </c>
      <c r="I67" s="9"/>
      <c r="J67" s="205"/>
      <c r="K67" s="206"/>
    </row>
    <row r="68" customFormat="false" ht="23" hidden="false" customHeight="true" outlineLevel="0" collapsed="false">
      <c r="A68" s="0" t="n">
        <v>30</v>
      </c>
      <c r="B68" s="31" t="n">
        <v>40848</v>
      </c>
      <c r="C68" s="321" t="n">
        <v>692603</v>
      </c>
      <c r="D68" s="1" t="s">
        <v>41</v>
      </c>
      <c r="E68" s="33" t="n">
        <f aca="false">IF(D68="totale",(C68/(A68*24))/F68,IF(D68="marché libre",(C68/(A68*24))/G68,"spécifier histo"))</f>
        <v>0.559272448320413</v>
      </c>
      <c r="F68" s="59" t="n">
        <v>1720</v>
      </c>
      <c r="G68" s="59" t="n">
        <f aca="false">1720</f>
        <v>1720</v>
      </c>
      <c r="H68" s="59" t="n">
        <f aca="false">0</f>
        <v>0</v>
      </c>
      <c r="I68" s="9"/>
      <c r="J68" s="205"/>
      <c r="K68" s="206"/>
    </row>
    <row r="69" customFormat="false" ht="23" hidden="false" customHeight="true" outlineLevel="0" collapsed="false">
      <c r="A69" s="0" t="n">
        <v>31</v>
      </c>
      <c r="B69" s="34" t="n">
        <v>40878</v>
      </c>
      <c r="C69" s="321" t="n">
        <v>403605.5</v>
      </c>
      <c r="D69" s="1" t="s">
        <v>41</v>
      </c>
      <c r="E69" s="33" t="n">
        <f aca="false">IF(D69="totale",(C69/(A69*24))/F69,IF(D69="marché libre",(C69/(A69*24))/G69,"spécifier histo"))</f>
        <v>0.315395645786447</v>
      </c>
      <c r="F69" s="59" t="n">
        <v>1720</v>
      </c>
      <c r="G69" s="59" t="n">
        <f aca="false">1720</f>
        <v>1720</v>
      </c>
      <c r="H69" s="59" t="n">
        <f aca="false">0</f>
        <v>0</v>
      </c>
      <c r="I69" s="9"/>
      <c r="J69" s="205"/>
      <c r="K69" s="206"/>
    </row>
    <row r="70" customFormat="false" ht="23" hidden="false" customHeight="true" outlineLevel="0" collapsed="false">
      <c r="A70" s="0" t="n">
        <v>31</v>
      </c>
      <c r="B70" s="31" t="n">
        <v>40909</v>
      </c>
      <c r="C70" s="321" t="n">
        <v>172933.5</v>
      </c>
      <c r="D70" s="1" t="s">
        <v>41</v>
      </c>
      <c r="E70" s="33" t="n">
        <f aca="false">IF(D70="totale",(C70/(A70*24))/F70,IF(D70="marché libre",(C70/(A70*24))/G70,"spécifier histo"))</f>
        <v>0.135138081395349</v>
      </c>
      <c r="F70" s="59" t="n">
        <v>1720</v>
      </c>
      <c r="G70" s="59" t="n">
        <f aca="false">1720</f>
        <v>1720</v>
      </c>
      <c r="H70" s="59" t="n">
        <f aca="false">0</f>
        <v>0</v>
      </c>
      <c r="I70" s="9"/>
      <c r="J70" s="205"/>
      <c r="K70" s="206"/>
    </row>
    <row r="71" customFormat="false" ht="23" hidden="false" customHeight="true" outlineLevel="0" collapsed="false">
      <c r="A71" s="0" t="n">
        <v>31</v>
      </c>
      <c r="B71" s="34" t="n">
        <v>40940</v>
      </c>
      <c r="C71" s="321" t="n">
        <v>90316</v>
      </c>
      <c r="D71" s="1" t="s">
        <v>41</v>
      </c>
      <c r="E71" s="33" t="n">
        <f aca="false">IF(D71="totale",(C71/(A71*24))/F71,IF(D71="marché libre",(C71/(A71*24))/G71,"spécifier histo"))</f>
        <v>0.0705770192548137</v>
      </c>
      <c r="F71" s="59" t="n">
        <v>1720</v>
      </c>
      <c r="G71" s="59" t="n">
        <f aca="false">1720</f>
        <v>1720</v>
      </c>
      <c r="H71" s="59" t="n">
        <f aca="false">0</f>
        <v>0</v>
      </c>
      <c r="I71" s="9"/>
      <c r="J71" s="205"/>
      <c r="K71" s="206"/>
    </row>
    <row r="72" customFormat="false" ht="23" hidden="false" customHeight="true" outlineLevel="0" collapsed="false">
      <c r="A72" s="0" t="n">
        <v>30</v>
      </c>
      <c r="B72" s="31" t="n">
        <v>40969</v>
      </c>
      <c r="C72" s="321" t="n">
        <v>108108.5</v>
      </c>
      <c r="D72" s="1" t="s">
        <v>41</v>
      </c>
      <c r="E72" s="33" t="n">
        <f aca="false">IF(D72="totale",(C72/(A72*24))/F72,IF(D72="marché libre",(C72/(A72*24))/G72,"spécifier histo"))</f>
        <v>0.087296915374677</v>
      </c>
      <c r="F72" s="59" t="n">
        <v>1720</v>
      </c>
      <c r="G72" s="59" t="n">
        <f aca="false">1720</f>
        <v>1720</v>
      </c>
      <c r="H72" s="59" t="n">
        <f aca="false">0</f>
        <v>0</v>
      </c>
      <c r="I72" s="9"/>
      <c r="J72" s="205"/>
      <c r="K72" s="206"/>
    </row>
    <row r="73" customFormat="false" ht="23" hidden="false" customHeight="true" outlineLevel="0" collapsed="false">
      <c r="A73" s="0" t="n">
        <v>31</v>
      </c>
      <c r="B73" s="34" t="n">
        <v>41000</v>
      </c>
      <c r="C73" s="321" t="n">
        <v>247462.333333333</v>
      </c>
      <c r="D73" s="1" t="s">
        <v>41</v>
      </c>
      <c r="E73" s="33" t="n">
        <f aca="false">IF(D73="totale",(C73/(A73*24))/F73,IF(D73="marché libre",(C73/(A73*24))/G73,"spécifier histo"))</f>
        <v>0.193378292489789</v>
      </c>
      <c r="F73" s="59" t="n">
        <v>1720</v>
      </c>
      <c r="G73" s="59" t="n">
        <f aca="false">1720</f>
        <v>1720</v>
      </c>
      <c r="H73" s="59" t="n">
        <f aca="false">0</f>
        <v>0</v>
      </c>
      <c r="I73" s="9"/>
      <c r="J73" s="205"/>
      <c r="K73" s="206"/>
    </row>
    <row r="74" customFormat="false" ht="23" hidden="false" customHeight="true" outlineLevel="0" collapsed="false">
      <c r="A74" s="0" t="n">
        <v>30</v>
      </c>
      <c r="B74" s="31" t="n">
        <v>41030</v>
      </c>
      <c r="C74" s="321" t="n">
        <v>1023134.83333333</v>
      </c>
      <c r="D74" s="1" t="s">
        <v>41</v>
      </c>
      <c r="E74" s="33" t="n">
        <f aca="false">IF(D74="totale",(C74/(A74*24))/F74,IF(D74="marché libre",(C74/(A74*24))/G74,"spécifier histo"))</f>
        <v>0.826174768518516</v>
      </c>
      <c r="F74" s="59" t="n">
        <v>1720</v>
      </c>
      <c r="G74" s="59" t="n">
        <f aca="false">1720</f>
        <v>1720</v>
      </c>
      <c r="H74" s="59" t="n">
        <f aca="false">0</f>
        <v>0</v>
      </c>
      <c r="I74" s="9"/>
      <c r="J74" s="205"/>
      <c r="K74" s="206"/>
    </row>
    <row r="75" customFormat="false" ht="23" hidden="false" customHeight="true" outlineLevel="0" collapsed="false">
      <c r="A75" s="0" t="n">
        <v>31</v>
      </c>
      <c r="B75" s="34" t="n">
        <v>41061</v>
      </c>
      <c r="C75" s="321" t="n">
        <v>909102.833333333</v>
      </c>
      <c r="D75" s="1" t="s">
        <v>41</v>
      </c>
      <c r="E75" s="33" t="n">
        <f aca="false">IF(D75="totale",(C75/(A75*24))/F75,IF(D75="marché libre",(C75/(A75*24))/G75,"spécifier histo"))</f>
        <v>0.710414192089689</v>
      </c>
      <c r="F75" s="59" t="n">
        <v>1720</v>
      </c>
      <c r="G75" s="59" t="n">
        <f aca="false">1720</f>
        <v>1720</v>
      </c>
      <c r="H75" s="59" t="n">
        <f aca="false">0</f>
        <v>0</v>
      </c>
      <c r="I75" s="9"/>
      <c r="J75" s="205"/>
      <c r="K75" s="206"/>
    </row>
    <row r="76" customFormat="false" ht="23" hidden="false" customHeight="true" outlineLevel="0" collapsed="false">
      <c r="A76" s="0" t="n">
        <v>31</v>
      </c>
      <c r="B76" s="31" t="n">
        <v>41091</v>
      </c>
      <c r="C76" s="321" t="n">
        <v>476285.333333333</v>
      </c>
      <c r="D76" s="1" t="s">
        <v>41</v>
      </c>
      <c r="E76" s="33" t="n">
        <f aca="false">IF(D76="totale",(C76/(A76*24))/F76,IF(D76="marché libre",(C76/(A76*24))/G76,"spécifier histo"))</f>
        <v>0.372190964407768</v>
      </c>
      <c r="F76" s="59" t="n">
        <v>1720</v>
      </c>
      <c r="G76" s="59" t="n">
        <f aca="false">1720</f>
        <v>1720</v>
      </c>
      <c r="H76" s="59" t="n">
        <f aca="false">0</f>
        <v>0</v>
      </c>
      <c r="I76" s="9"/>
      <c r="J76" s="205"/>
      <c r="K76" s="206"/>
    </row>
    <row r="77" customFormat="false" ht="23" hidden="false" customHeight="true" outlineLevel="0" collapsed="false">
      <c r="A77" s="0" t="n">
        <v>31</v>
      </c>
      <c r="B77" s="34" t="n">
        <v>41122</v>
      </c>
      <c r="C77" s="321" t="n">
        <v>12947.5</v>
      </c>
      <c r="D77" s="1" t="s">
        <v>41</v>
      </c>
      <c r="E77" s="33" t="n">
        <f aca="false">IF(D77="totale",(C77/(A77*24))/F77,IF(D77="marché libre",(C77/(A77*24))/G77,"spécifier histo"))</f>
        <v>0.010117763815954</v>
      </c>
      <c r="F77" s="59" t="n">
        <v>1720</v>
      </c>
      <c r="G77" s="59" t="n">
        <f aca="false">1720</f>
        <v>1720</v>
      </c>
      <c r="H77" s="59" t="n">
        <f aca="false">0</f>
        <v>0</v>
      </c>
      <c r="I77" s="9"/>
      <c r="J77" s="205"/>
      <c r="K77" s="206"/>
    </row>
    <row r="78" customFormat="false" ht="23" hidden="false" customHeight="true" outlineLevel="0" collapsed="false">
      <c r="A78" s="0" t="n">
        <v>30</v>
      </c>
      <c r="B78" s="31" t="n">
        <v>41153</v>
      </c>
      <c r="C78" s="321" t="n">
        <v>571241.833333334</v>
      </c>
      <c r="D78" s="1" t="s">
        <v>41</v>
      </c>
      <c r="E78" s="33" t="n">
        <f aca="false">IF(D78="totale",(C78/(A78*24))/F78,IF(D78="marché libre",(C78/(A78*24))/G78,"spécifier histo"))</f>
        <v>0.461274090223945</v>
      </c>
      <c r="F78" s="59" t="n">
        <v>1720</v>
      </c>
      <c r="G78" s="59" t="n">
        <f aca="false">1720</f>
        <v>1720</v>
      </c>
      <c r="H78" s="59" t="n">
        <f aca="false">0</f>
        <v>0</v>
      </c>
      <c r="I78" s="9"/>
      <c r="J78" s="205"/>
      <c r="K78" s="206"/>
    </row>
    <row r="79" customFormat="false" ht="23" hidden="false" customHeight="true" outlineLevel="0" collapsed="false">
      <c r="A79" s="0" t="n">
        <v>31</v>
      </c>
      <c r="B79" s="34" t="n">
        <v>41183</v>
      </c>
      <c r="C79" s="321" t="n">
        <v>412917.833333333</v>
      </c>
      <c r="D79" s="1" t="s">
        <v>41</v>
      </c>
      <c r="E79" s="33" t="n">
        <f aca="false">IF(D79="totale",(C79/(A79*24))/F79,IF(D79="marché libre",(C79/(A79*24))/G79,"spécifier histo"))</f>
        <v>0.322672725473035</v>
      </c>
      <c r="F79" s="59" t="n">
        <v>1720</v>
      </c>
      <c r="G79" s="59" t="n">
        <f aca="false">1720</f>
        <v>1720</v>
      </c>
      <c r="H79" s="59" t="n">
        <f aca="false">0</f>
        <v>0</v>
      </c>
      <c r="I79" s="9"/>
      <c r="J79" s="205"/>
      <c r="K79" s="206"/>
    </row>
    <row r="80" customFormat="false" ht="20.5" hidden="false" customHeight="true" outlineLevel="0" collapsed="false">
      <c r="A80" s="0" t="n">
        <v>30</v>
      </c>
      <c r="B80" s="31" t="n">
        <v>41214</v>
      </c>
      <c r="C80" s="321" t="n">
        <v>901023</v>
      </c>
      <c r="D80" s="1" t="s">
        <v>41</v>
      </c>
      <c r="E80" s="33" t="n">
        <f aca="false">IF(D80="totale",(C80/(A80*24))/F80,IF(D80="marché libre",(C80/(A80*24))/G80,"spécifier histo"))</f>
        <v>0.727570251937985</v>
      </c>
      <c r="F80" s="59" t="n">
        <v>1720</v>
      </c>
      <c r="G80" s="59" t="n">
        <f aca="false">1720</f>
        <v>1720</v>
      </c>
      <c r="H80" s="59" t="n">
        <f aca="false">0</f>
        <v>0</v>
      </c>
      <c r="I80" s="9"/>
      <c r="J80" s="0"/>
      <c r="K80" s="0"/>
      <c r="L80" s="0"/>
      <c r="M80" s="0"/>
      <c r="N80" s="0"/>
      <c r="O80" s="0"/>
      <c r="P80" s="0"/>
      <c r="Q80" s="0"/>
      <c r="R80" s="0"/>
      <c r="S80" s="0"/>
      <c r="T80" s="0"/>
      <c r="U80" s="0"/>
      <c r="V80" s="0"/>
    </row>
    <row r="81" customFormat="false" ht="20.5" hidden="false" customHeight="true" outlineLevel="0" collapsed="false">
      <c r="A81" s="0" t="n">
        <v>31</v>
      </c>
      <c r="B81" s="34" t="n">
        <v>41244</v>
      </c>
      <c r="C81" s="321" t="n">
        <v>797372</v>
      </c>
      <c r="D81" s="1" t="s">
        <v>41</v>
      </c>
      <c r="E81" s="33" t="n">
        <f aca="false">IF(D81="totale",(C81/(A81*24))/F81,IF(D81="marché libre",(C81/(A81*24))/G81,"spécifier histo"))</f>
        <v>0.623102650662666</v>
      </c>
      <c r="F81" s="59" t="n">
        <v>1720</v>
      </c>
      <c r="G81" s="59" t="n">
        <f aca="false">1720</f>
        <v>1720</v>
      </c>
      <c r="H81" s="59" t="n">
        <f aca="false">0</f>
        <v>0</v>
      </c>
      <c r="I81" s="9"/>
      <c r="J81" s="0"/>
      <c r="K81" s="0"/>
      <c r="L81" s="0"/>
      <c r="M81" s="0"/>
      <c r="N81" s="0"/>
      <c r="O81" s="0"/>
      <c r="P81" s="0"/>
      <c r="Q81" s="0"/>
      <c r="R81" s="0"/>
      <c r="S81" s="0"/>
      <c r="T81" s="0"/>
      <c r="U81" s="0"/>
      <c r="V81" s="0"/>
    </row>
    <row r="82" customFormat="false" ht="20.5" hidden="false" customHeight="true" outlineLevel="0" collapsed="false">
      <c r="A82" s="0" t="n">
        <v>31</v>
      </c>
      <c r="B82" s="31" t="n">
        <v>41275</v>
      </c>
      <c r="C82" s="321" t="n">
        <v>499900</v>
      </c>
      <c r="D82" s="1" t="s">
        <v>41</v>
      </c>
      <c r="E82" s="33" t="n">
        <f aca="false">IF(D82="totale",(C82/(A82*24))/F82,IF(D82="marché libre",(C82/(A82*24))/G82,"spécifier histo"))</f>
        <v>0.390644536134033</v>
      </c>
      <c r="F82" s="59" t="n">
        <v>1720</v>
      </c>
      <c r="G82" s="59" t="n">
        <f aca="false">1720</f>
        <v>1720</v>
      </c>
      <c r="H82" s="59" t="n">
        <f aca="false">0</f>
        <v>0</v>
      </c>
      <c r="I82" s="9"/>
      <c r="J82" s="0"/>
      <c r="K82" s="0"/>
      <c r="L82" s="0"/>
      <c r="M82" s="0"/>
      <c r="N82" s="0"/>
      <c r="O82" s="0"/>
      <c r="P82" s="0"/>
      <c r="Q82" s="0"/>
      <c r="R82" s="0"/>
      <c r="S82" s="0"/>
      <c r="T82" s="0"/>
      <c r="U82" s="0"/>
      <c r="V82" s="0"/>
    </row>
    <row r="83" customFormat="false" ht="20.5" hidden="false" customHeight="true" outlineLevel="0" collapsed="false">
      <c r="A83" s="0" t="n">
        <v>28</v>
      </c>
      <c r="B83" s="34" t="n">
        <v>41306</v>
      </c>
      <c r="C83" s="321" t="n">
        <v>323029</v>
      </c>
      <c r="D83" s="1" t="s">
        <v>41</v>
      </c>
      <c r="E83" s="33" t="n">
        <f aca="false">IF(D83="totale",(C83/(A83*24))/F83,IF(D83="marché libre",(C83/(A83*24))/G83,"spécifier histo"))</f>
        <v>0.279475532945736</v>
      </c>
      <c r="F83" s="59" t="n">
        <v>1720</v>
      </c>
      <c r="G83" s="59" t="n">
        <f aca="false">1720</f>
        <v>1720</v>
      </c>
      <c r="H83" s="59" t="n">
        <f aca="false">0</f>
        <v>0</v>
      </c>
      <c r="I83" s="9"/>
      <c r="J83" s="0"/>
      <c r="K83" s="0"/>
      <c r="L83" s="0"/>
      <c r="M83" s="0"/>
      <c r="N83" s="0"/>
      <c r="O83" s="0"/>
      <c r="P83" s="0"/>
      <c r="Q83" s="0"/>
      <c r="R83" s="0"/>
      <c r="S83" s="0"/>
      <c r="T83" s="0"/>
      <c r="U83" s="0"/>
      <c r="V83" s="0"/>
    </row>
    <row r="84" customFormat="false" ht="20.5" hidden="false" customHeight="true" outlineLevel="0" collapsed="false">
      <c r="A84" s="0" t="n">
        <v>31</v>
      </c>
      <c r="B84" s="31" t="n">
        <v>41334</v>
      </c>
      <c r="C84" s="321" t="n">
        <v>243040</v>
      </c>
      <c r="D84" s="1" t="s">
        <v>41</v>
      </c>
      <c r="E84" s="33" t="n">
        <f aca="false">IF(D84="totale",(C84/(A84*24))/F84,IF(D84="marché libre",(C84/(A84*24))/G84,"spécifier histo"))</f>
        <v>0.189922480620155</v>
      </c>
      <c r="F84" s="59" t="n">
        <v>1720</v>
      </c>
      <c r="G84" s="59" t="n">
        <f aca="false">1720</f>
        <v>1720</v>
      </c>
      <c r="H84" s="59" t="n">
        <f aca="false">0</f>
        <v>0</v>
      </c>
      <c r="I84" s="9"/>
      <c r="J84" s="0"/>
      <c r="K84" s="0"/>
      <c r="L84" s="0"/>
      <c r="M84" s="0"/>
      <c r="N84" s="0"/>
      <c r="O84" s="0"/>
      <c r="P84" s="0"/>
      <c r="Q84" s="0"/>
      <c r="R84" s="0"/>
      <c r="S84" s="0"/>
      <c r="T84" s="0"/>
      <c r="U84" s="0"/>
      <c r="V84" s="0"/>
    </row>
    <row r="85" customFormat="false" ht="20.5" hidden="false" customHeight="true" outlineLevel="0" collapsed="false">
      <c r="A85" s="0" t="n">
        <v>30</v>
      </c>
      <c r="B85" s="34" t="n">
        <v>41365</v>
      </c>
      <c r="C85" s="321" t="n">
        <v>708502.67</v>
      </c>
      <c r="D85" s="1" t="s">
        <v>41</v>
      </c>
      <c r="E85" s="33" t="n">
        <f aca="false">IF(D85="totale",(C85/(A85*24))/F85,IF(D85="marché libre",(C85/(A85*24))/G85,"spécifier histo"))</f>
        <v>0.572111329134367</v>
      </c>
      <c r="F85" s="59" t="n">
        <v>1720</v>
      </c>
      <c r="G85" s="59" t="n">
        <f aca="false">1720</f>
        <v>1720</v>
      </c>
      <c r="H85" s="59" t="n">
        <f aca="false">0</f>
        <v>0</v>
      </c>
      <c r="I85" s="9"/>
      <c r="J85" s="0"/>
      <c r="K85" s="0"/>
      <c r="L85" s="0"/>
      <c r="M85" s="0"/>
      <c r="N85" s="0"/>
      <c r="O85" s="0"/>
      <c r="P85" s="0"/>
      <c r="Q85" s="0"/>
      <c r="R85" s="0"/>
      <c r="S85" s="0"/>
      <c r="T85" s="0"/>
      <c r="U85" s="0"/>
      <c r="V85" s="0"/>
    </row>
    <row r="86" customFormat="false" ht="20.5" hidden="false" customHeight="true" outlineLevel="0" collapsed="false">
      <c r="A86" s="0" t="n">
        <v>31</v>
      </c>
      <c r="B86" s="31" t="n">
        <v>41395</v>
      </c>
      <c r="C86" s="321" t="n">
        <v>1052156</v>
      </c>
      <c r="D86" s="1" t="s">
        <v>41</v>
      </c>
      <c r="E86" s="33" t="n">
        <f aca="false">IF(D86="totale",(C86/(A86*24))/F86,IF(D86="marché libre",(C86/(A86*24))/G86,"spécifier histo"))</f>
        <v>0.822202425606402</v>
      </c>
      <c r="F86" s="59" t="n">
        <v>1720</v>
      </c>
      <c r="G86" s="59" t="n">
        <f aca="false">1720</f>
        <v>1720</v>
      </c>
      <c r="H86" s="59" t="n">
        <f aca="false">0</f>
        <v>0</v>
      </c>
      <c r="I86" s="9"/>
      <c r="J86" s="0"/>
      <c r="K86" s="0"/>
      <c r="L86" s="0"/>
      <c r="M86" s="0"/>
      <c r="N86" s="0"/>
      <c r="O86" s="0"/>
      <c r="P86" s="0"/>
      <c r="Q86" s="0"/>
      <c r="R86" s="0"/>
      <c r="S86" s="0"/>
      <c r="T86" s="0"/>
      <c r="U86" s="0"/>
      <c r="V86" s="0"/>
    </row>
    <row r="87" customFormat="false" ht="20.5" hidden="false" customHeight="true" outlineLevel="0" collapsed="false">
      <c r="A87" s="0" t="n">
        <v>30</v>
      </c>
      <c r="B87" s="34" t="n">
        <v>41426</v>
      </c>
      <c r="C87" s="321" t="n">
        <v>1025460</v>
      </c>
      <c r="D87" s="1" t="s">
        <v>41</v>
      </c>
      <c r="E87" s="33" t="n">
        <f aca="false">IF(D87="totale",(C87/(A87*24))/F87,IF(D87="marché libre",(C87/(A87*24))/G87,"spécifier histo"))</f>
        <v>0.828052325581395</v>
      </c>
      <c r="F87" s="59" t="n">
        <v>1720</v>
      </c>
      <c r="G87" s="59" t="n">
        <f aca="false">1720</f>
        <v>1720</v>
      </c>
      <c r="H87" s="59" t="n">
        <f aca="false">0</f>
        <v>0</v>
      </c>
      <c r="I87" s="9"/>
      <c r="J87" s="0"/>
      <c r="K87" s="0"/>
      <c r="L87" s="0"/>
      <c r="M87" s="0"/>
      <c r="N87" s="0"/>
      <c r="O87" s="0"/>
      <c r="P87" s="0"/>
      <c r="Q87" s="0"/>
      <c r="R87" s="0"/>
      <c r="S87" s="0"/>
      <c r="T87" s="0"/>
      <c r="U87" s="0"/>
      <c r="V87" s="0"/>
    </row>
    <row r="88" customFormat="false" ht="20.5" hidden="false" customHeight="true" outlineLevel="0" collapsed="false">
      <c r="A88" s="0" t="n">
        <v>31</v>
      </c>
      <c r="B88" s="31" t="n">
        <v>41456</v>
      </c>
      <c r="C88" s="321" t="n">
        <v>1012867</v>
      </c>
      <c r="D88" s="1" t="s">
        <v>41</v>
      </c>
      <c r="E88" s="33" t="n">
        <f aca="false">IF(D88="totale",(C88/(A88*24))/F88,IF(D88="marché libre",(C88/(A88*24))/G88,"spécifier histo"))</f>
        <v>0.791500218804701</v>
      </c>
      <c r="F88" s="59" t="n">
        <v>1720</v>
      </c>
      <c r="G88" s="59" t="n">
        <f aca="false">1720</f>
        <v>1720</v>
      </c>
      <c r="H88" s="59" t="n">
        <f aca="false">0</f>
        <v>0</v>
      </c>
      <c r="I88" s="9"/>
      <c r="J88" s="0"/>
      <c r="K88" s="0"/>
      <c r="L88" s="0"/>
      <c r="M88" s="0"/>
      <c r="N88" s="0"/>
      <c r="O88" s="0"/>
      <c r="P88" s="0"/>
      <c r="Q88" s="0"/>
      <c r="R88" s="0"/>
      <c r="S88" s="0"/>
      <c r="T88" s="0"/>
      <c r="U88" s="0"/>
      <c r="V88" s="0"/>
    </row>
    <row r="89" customFormat="false" ht="20.5" hidden="false" customHeight="true" outlineLevel="0" collapsed="false">
      <c r="A89" s="0" t="n">
        <v>31</v>
      </c>
      <c r="B89" s="34" t="n">
        <v>41487</v>
      </c>
      <c r="C89" s="321" t="n">
        <v>11271</v>
      </c>
      <c r="D89" s="1" t="s">
        <v>41</v>
      </c>
      <c r="E89" s="33" t="n">
        <f aca="false">IF(D89="totale",(C89/(A89*24))/F89,IF(D89="marché libre",(C89/(A89*24))/G89,"spécifier histo"))</f>
        <v>0.00880767066766692</v>
      </c>
      <c r="F89" s="59" t="n">
        <v>1720</v>
      </c>
      <c r="G89" s="59" t="n">
        <f aca="false">1720</f>
        <v>1720</v>
      </c>
      <c r="H89" s="59" t="n">
        <f aca="false">0</f>
        <v>0</v>
      </c>
      <c r="I89" s="9"/>
    </row>
    <row r="90" customFormat="false" ht="20.5" hidden="false" customHeight="true" outlineLevel="0" collapsed="false">
      <c r="A90" s="0" t="n">
        <v>30</v>
      </c>
      <c r="B90" s="31" t="n">
        <v>41518</v>
      </c>
      <c r="C90" s="321" t="n">
        <v>84957</v>
      </c>
      <c r="D90" s="1" t="s">
        <v>41</v>
      </c>
      <c r="E90" s="33" t="n">
        <f aca="false">IF(D90="totale",(C90/(A90*24))/F90,IF(D90="marché libre",(C90/(A90*24))/G90,"spécifier histo"))</f>
        <v>0.0686022286821705</v>
      </c>
      <c r="F90" s="59" t="n">
        <v>1720</v>
      </c>
      <c r="G90" s="59" t="n">
        <f aca="false">1720</f>
        <v>1720</v>
      </c>
      <c r="H90" s="59" t="n">
        <f aca="false">0</f>
        <v>0</v>
      </c>
      <c r="I90" s="9"/>
      <c r="L90" s="0"/>
      <c r="M90" s="0"/>
      <c r="N90" s="0"/>
      <c r="O90" s="0"/>
      <c r="P90" s="0"/>
      <c r="Q90" s="0"/>
      <c r="R90" s="0"/>
      <c r="S90" s="0"/>
      <c r="T90" s="0"/>
      <c r="U90" s="0"/>
      <c r="V90" s="0"/>
    </row>
    <row r="91" customFormat="false" ht="20.5" hidden="false" customHeight="true" outlineLevel="0" collapsed="false">
      <c r="A91" s="0" t="n">
        <v>31</v>
      </c>
      <c r="B91" s="34" t="n">
        <v>41548</v>
      </c>
      <c r="C91" s="321" t="n">
        <v>41624.66</v>
      </c>
      <c r="D91" s="1" t="s">
        <v>42</v>
      </c>
      <c r="E91" s="33" t="n">
        <f aca="false">IF(D91="totale",(C91/(A91*24))/F91,IF(D91="marché libre",(C91/(A91*24))/G91,"spécifier histo"))</f>
        <v>0.0430362489660877</v>
      </c>
      <c r="F91" s="59" t="n">
        <v>1720</v>
      </c>
      <c r="G91" s="59" t="n">
        <v>1300</v>
      </c>
      <c r="H91" s="59" t="n">
        <v>420</v>
      </c>
      <c r="I91" s="9"/>
      <c r="L91" s="0"/>
      <c r="M91" s="0"/>
      <c r="N91" s="0"/>
      <c r="O91" s="0"/>
      <c r="P91" s="0"/>
      <c r="Q91" s="0"/>
      <c r="R91" s="0"/>
      <c r="S91" s="0"/>
      <c r="T91" s="0"/>
      <c r="U91" s="0"/>
      <c r="V91" s="0"/>
    </row>
    <row r="92" customFormat="false" ht="20.5" hidden="false" customHeight="true" outlineLevel="0" collapsed="false">
      <c r="A92" s="0" t="n">
        <v>30</v>
      </c>
      <c r="B92" s="31" t="n">
        <v>41579</v>
      </c>
      <c r="C92" s="321" t="n">
        <v>3899</v>
      </c>
      <c r="D92" s="1" t="s">
        <v>42</v>
      </c>
      <c r="E92" s="33" t="n">
        <f aca="false">IF(D92="totale",(C92/(A92*24))/F92,IF(D92="marché libre",(C92/(A92*24))/G92,"spécifier histo"))</f>
        <v>0.00416559829059829</v>
      </c>
      <c r="F92" s="59" t="n">
        <v>1720</v>
      </c>
      <c r="G92" s="59" t="n">
        <v>1300</v>
      </c>
      <c r="H92" s="59" t="n">
        <v>420</v>
      </c>
      <c r="I92" s="9"/>
      <c r="L92" s="0"/>
      <c r="M92" s="0"/>
      <c r="N92" s="0"/>
      <c r="O92" s="0"/>
      <c r="P92" s="0"/>
      <c r="Q92" s="0"/>
      <c r="R92" s="0"/>
      <c r="S92" s="0"/>
      <c r="T92" s="0"/>
      <c r="U92" s="0"/>
      <c r="V92" s="0"/>
    </row>
    <row r="93" customFormat="false" ht="20.5" hidden="false" customHeight="true" outlineLevel="0" collapsed="false">
      <c r="A93" s="0" t="n">
        <v>31</v>
      </c>
      <c r="B93" s="34" t="n">
        <v>41609</v>
      </c>
      <c r="C93" s="321" t="n">
        <v>242</v>
      </c>
      <c r="D93" s="1" t="s">
        <v>42</v>
      </c>
      <c r="E93" s="33" t="n">
        <f aca="false">IF(D93="totale",(C93/(A93*24))/F93,IF(D93="marché libre",(C93/(A93*24))/G93,"spécifier histo"))</f>
        <v>0.000250206782464847</v>
      </c>
      <c r="F93" s="59" t="n">
        <v>1720</v>
      </c>
      <c r="G93" s="59" t="n">
        <v>1300</v>
      </c>
      <c r="H93" s="59" t="n">
        <v>420</v>
      </c>
      <c r="I93" s="9"/>
      <c r="L93" s="0"/>
      <c r="M93" s="0"/>
      <c r="N93" s="0"/>
      <c r="O93" s="0"/>
      <c r="P93" s="0"/>
      <c r="Q93" s="0"/>
      <c r="R93" s="0"/>
      <c r="S93" s="0"/>
      <c r="T93" s="0"/>
      <c r="U93" s="0"/>
      <c r="V93" s="0"/>
    </row>
    <row r="94" customFormat="false" ht="20.5" hidden="false" customHeight="true" outlineLevel="0" collapsed="false">
      <c r="A94" s="0" t="n">
        <v>31</v>
      </c>
      <c r="B94" s="31" t="n">
        <v>41640</v>
      </c>
      <c r="C94" s="321" t="n">
        <v>47221</v>
      </c>
      <c r="D94" s="1" t="s">
        <v>42</v>
      </c>
      <c r="E94" s="33" t="n">
        <f aca="false">IF(D94="totale",(C94/(A94*24))/F94,IF(D94="marché libre",(C94/(A94*24))/G94,"spécifier histo"))</f>
        <v>0.0488223738626964</v>
      </c>
      <c r="F94" s="59" t="n">
        <v>1720</v>
      </c>
      <c r="G94" s="59" t="n">
        <v>1300</v>
      </c>
      <c r="H94" s="59" t="n">
        <v>420</v>
      </c>
      <c r="I94" s="9"/>
      <c r="L94" s="0"/>
      <c r="M94" s="0"/>
      <c r="N94" s="0"/>
      <c r="O94" s="0"/>
      <c r="P94" s="0"/>
      <c r="Q94" s="0"/>
      <c r="R94" s="0"/>
      <c r="S94" s="0"/>
      <c r="T94" s="0"/>
      <c r="U94" s="0"/>
      <c r="V94" s="0"/>
    </row>
    <row r="95" customFormat="false" ht="20.5" hidden="false" customHeight="true" outlineLevel="0" collapsed="false">
      <c r="A95" s="0" t="n">
        <v>28</v>
      </c>
      <c r="B95" s="34" t="n">
        <v>41671</v>
      </c>
      <c r="C95" s="321" t="n">
        <v>1</v>
      </c>
      <c r="D95" s="1" t="s">
        <v>42</v>
      </c>
      <c r="E95" s="33" t="n">
        <f aca="false">IF(D95="totale",(C95/(A95*24))/F95,IF(D95="marché libre",(C95/(A95*24))/G95,"spécifier histo"))</f>
        <v>1.14468864468864E-006</v>
      </c>
      <c r="F95" s="59" t="n">
        <v>1720</v>
      </c>
      <c r="G95" s="59" t="n">
        <v>1300</v>
      </c>
      <c r="H95" s="59" t="n">
        <v>420</v>
      </c>
      <c r="I95" s="9"/>
      <c r="L95" s="0"/>
      <c r="M95" s="0"/>
      <c r="N95" s="0"/>
      <c r="O95" s="0"/>
      <c r="P95" s="0"/>
      <c r="Q95" s="0"/>
      <c r="R95" s="0"/>
      <c r="S95" s="0"/>
      <c r="T95" s="0"/>
      <c r="U95" s="0"/>
      <c r="V95" s="0"/>
    </row>
    <row r="96" customFormat="false" ht="20.5" hidden="false" customHeight="true" outlineLevel="0" collapsed="false">
      <c r="A96" s="0" t="n">
        <v>31</v>
      </c>
      <c r="B96" s="31" t="n">
        <v>41699</v>
      </c>
      <c r="C96" s="321" t="n">
        <v>236809</v>
      </c>
      <c r="D96" s="1" t="s">
        <v>42</v>
      </c>
      <c r="E96" s="33" t="n">
        <f aca="false">IF(D96="totale",(C96/(A96*24))/F96,IF(D96="marché libre",(C96/(A96*24))/G96,"spécifier histo"))</f>
        <v>0.244839743589744</v>
      </c>
      <c r="F96" s="59" t="n">
        <v>1720</v>
      </c>
      <c r="G96" s="59" t="n">
        <v>1300</v>
      </c>
      <c r="H96" s="59" t="n">
        <v>420</v>
      </c>
      <c r="I96" s="9"/>
      <c r="L96" s="0"/>
      <c r="M96" s="0"/>
      <c r="N96" s="0"/>
      <c r="O96" s="0"/>
      <c r="P96" s="0"/>
      <c r="Q96" s="0"/>
      <c r="R96" s="0"/>
      <c r="S96" s="0"/>
      <c r="T96" s="0"/>
      <c r="U96" s="0"/>
      <c r="V96" s="0"/>
    </row>
    <row r="97" customFormat="false" ht="20.5" hidden="false" customHeight="true" outlineLevel="0" collapsed="false">
      <c r="A97" s="0" t="n">
        <v>30</v>
      </c>
      <c r="B97" s="34" t="n">
        <v>41730</v>
      </c>
      <c r="C97" s="321" t="n">
        <v>666077</v>
      </c>
      <c r="D97" s="1" t="s">
        <v>42</v>
      </c>
      <c r="E97" s="33" t="n">
        <f aca="false">IF(D97="totale",(C97/(A97*24))/F97,IF(D97="marché libre",(C97/(A97*24))/G97,"spécifier histo"))</f>
        <v>0.711620726495726</v>
      </c>
      <c r="F97" s="59" t="n">
        <v>1720</v>
      </c>
      <c r="G97" s="59" t="n">
        <v>1300</v>
      </c>
      <c r="H97" s="59" t="n">
        <v>420</v>
      </c>
      <c r="I97" s="9"/>
      <c r="L97" s="0"/>
      <c r="M97" s="0"/>
      <c r="N97" s="0"/>
      <c r="O97" s="0"/>
      <c r="P97" s="0"/>
      <c r="Q97" s="0"/>
      <c r="R97" s="0"/>
      <c r="S97" s="0"/>
      <c r="T97" s="0"/>
      <c r="U97" s="0"/>
      <c r="V97" s="0"/>
    </row>
    <row r="98" customFormat="false" ht="20.5" hidden="false" customHeight="true" outlineLevel="0" collapsed="false">
      <c r="A98" s="0" t="n">
        <v>31</v>
      </c>
      <c r="B98" s="31" t="n">
        <v>41760</v>
      </c>
      <c r="C98" s="321" t="n">
        <v>726934</v>
      </c>
      <c r="D98" s="1" t="s">
        <v>42</v>
      </c>
      <c r="E98" s="33" t="n">
        <f aca="false">IF(D98="totale",(C98/(A98*24))/F98,IF(D98="marché libre",(C98/(A98*24))/G98,"spécifier histo"))</f>
        <v>0.751586021505376</v>
      </c>
      <c r="F98" s="59" t="n">
        <v>1720</v>
      </c>
      <c r="G98" s="59" t="n">
        <v>1300</v>
      </c>
      <c r="H98" s="59" t="n">
        <v>420</v>
      </c>
      <c r="I98" s="9"/>
      <c r="L98" s="0"/>
      <c r="M98" s="0"/>
      <c r="N98" s="0"/>
      <c r="O98" s="0"/>
      <c r="P98" s="0"/>
      <c r="Q98" s="0"/>
      <c r="R98" s="0"/>
      <c r="S98" s="0"/>
      <c r="T98" s="0"/>
      <c r="U98" s="0"/>
      <c r="V98" s="0"/>
    </row>
    <row r="99" customFormat="false" ht="20.5" hidden="false" customHeight="true" outlineLevel="0" collapsed="false">
      <c r="A99" s="0" t="n">
        <v>30</v>
      </c>
      <c r="B99" s="34" t="n">
        <v>41791</v>
      </c>
      <c r="C99" s="321" t="n">
        <v>698269</v>
      </c>
      <c r="D99" s="1" t="s">
        <v>42</v>
      </c>
      <c r="E99" s="33" t="n">
        <f aca="false">IF(D99="totale",(C99/(A99*24))/F99,IF(D99="marché libre",(C99/(A99*24))/G99,"spécifier histo"))</f>
        <v>0.746013888888889</v>
      </c>
      <c r="F99" s="59" t="n">
        <v>1720</v>
      </c>
      <c r="G99" s="59" t="n">
        <v>1300</v>
      </c>
      <c r="H99" s="59" t="n">
        <v>420</v>
      </c>
      <c r="I99" s="9"/>
      <c r="L99" s="0"/>
      <c r="M99" s="0"/>
      <c r="N99" s="0"/>
      <c r="O99" s="0"/>
      <c r="P99" s="0"/>
      <c r="Q99" s="0"/>
      <c r="R99" s="0"/>
      <c r="S99" s="0"/>
      <c r="T99" s="0"/>
      <c r="U99" s="0"/>
      <c r="V99" s="0"/>
    </row>
    <row r="100" customFormat="false" ht="20.5" hidden="false" customHeight="true" outlineLevel="0" collapsed="false">
      <c r="A100" s="0" t="n">
        <v>31</v>
      </c>
      <c r="B100" s="31" t="n">
        <v>41821</v>
      </c>
      <c r="C100" s="321" t="n">
        <v>736619</v>
      </c>
      <c r="D100" s="1" t="s">
        <v>42</v>
      </c>
      <c r="E100" s="33" t="n">
        <f aca="false">IF(D100="totale",(C100/(A100*24))/F100,IF(D100="marché libre",(C100/(A100*24))/G100,"spécifier histo"))</f>
        <v>0.761599462365591</v>
      </c>
      <c r="F100" s="59" t="n">
        <v>1720</v>
      </c>
      <c r="G100" s="59" t="n">
        <v>1300</v>
      </c>
      <c r="H100" s="59" t="n">
        <v>420</v>
      </c>
      <c r="I100" s="9"/>
      <c r="L100" s="0"/>
      <c r="M100" s="0"/>
      <c r="N100" s="0"/>
      <c r="O100" s="0"/>
      <c r="P100" s="0"/>
      <c r="Q100" s="0"/>
      <c r="R100" s="0"/>
      <c r="S100" s="0"/>
      <c r="T100" s="0"/>
      <c r="U100" s="0"/>
      <c r="V100" s="0"/>
    </row>
    <row r="101" customFormat="false" ht="20.5" hidden="false" customHeight="true" outlineLevel="0" collapsed="false">
      <c r="A101" s="0" t="n">
        <v>31</v>
      </c>
      <c r="B101" s="34" t="n">
        <v>41852</v>
      </c>
      <c r="C101" s="321" t="n">
        <v>14258</v>
      </c>
      <c r="D101" s="1" t="s">
        <v>42</v>
      </c>
      <c r="E101" s="33" t="n">
        <f aca="false">IF(D101="totale",(C101/(A101*24))/F101,IF(D101="marché libre",(C101/(A101*24))/G101,"spécifier histo"))</f>
        <v>0.0147415219189413</v>
      </c>
      <c r="F101" s="59" t="n">
        <v>1720</v>
      </c>
      <c r="G101" s="59" t="n">
        <v>1300</v>
      </c>
      <c r="H101" s="59" t="n">
        <v>420</v>
      </c>
      <c r="I101" s="9"/>
      <c r="L101" s="0"/>
      <c r="M101" s="0"/>
      <c r="N101" s="0"/>
      <c r="O101" s="0"/>
      <c r="P101" s="0"/>
      <c r="Q101" s="0"/>
      <c r="R101" s="0"/>
      <c r="S101" s="0"/>
      <c r="T101" s="0"/>
      <c r="U101" s="0"/>
      <c r="V101" s="0"/>
    </row>
    <row r="102" customFormat="false" ht="20.5" hidden="false" customHeight="true" outlineLevel="0" collapsed="false">
      <c r="A102" s="0" t="n">
        <v>30</v>
      </c>
      <c r="B102" s="31" t="n">
        <v>41883</v>
      </c>
      <c r="C102" s="321" t="n">
        <v>159876</v>
      </c>
      <c r="D102" s="1" t="s">
        <v>42</v>
      </c>
      <c r="E102" s="33" t="n">
        <f aca="false">IF(D102="totale",(C102/(A102*24))/F102,IF(D102="marché libre",(C102/(A102*24))/G102,"spécifier histo"))</f>
        <v>0.170807692307692</v>
      </c>
      <c r="F102" s="59" t="n">
        <v>1720</v>
      </c>
      <c r="G102" s="59" t="n">
        <v>1300</v>
      </c>
      <c r="H102" s="59" t="n">
        <v>420</v>
      </c>
      <c r="I102" s="9"/>
      <c r="J102" s="205"/>
      <c r="K102" s="206"/>
      <c r="L102" s="0"/>
      <c r="Q102" s="0"/>
      <c r="T102" s="0"/>
    </row>
    <row r="103" customFormat="false" ht="20.5" hidden="false" customHeight="true" outlineLevel="0" collapsed="false">
      <c r="A103" s="0" t="n">
        <v>31</v>
      </c>
      <c r="B103" s="34" t="n">
        <v>41913</v>
      </c>
      <c r="C103" s="321" t="n">
        <v>225837</v>
      </c>
      <c r="D103" s="1" t="s">
        <v>42</v>
      </c>
      <c r="E103" s="33" t="n">
        <f aca="false">IF(D103="totale",(C103/(A103*24))/F103,IF(D103="marché libre",(C103/(A103*24))/G103,"spécifier histo"))</f>
        <v>0.233495657568238</v>
      </c>
      <c r="F103" s="59" t="n">
        <v>1720</v>
      </c>
      <c r="G103" s="59" t="n">
        <v>1300</v>
      </c>
      <c r="H103" s="59" t="n">
        <v>420</v>
      </c>
      <c r="I103" s="9"/>
      <c r="J103" s="205"/>
      <c r="K103" s="206"/>
      <c r="L103" s="0"/>
      <c r="Q103" s="0"/>
      <c r="T103" s="0"/>
    </row>
    <row r="104" customFormat="false" ht="20.5" hidden="false" customHeight="true" outlineLevel="0" collapsed="false">
      <c r="A104" s="0" t="n">
        <v>30</v>
      </c>
      <c r="B104" s="31" t="n">
        <v>41944</v>
      </c>
      <c r="C104" s="321" t="n">
        <v>594960</v>
      </c>
      <c r="D104" s="1" t="s">
        <v>42</v>
      </c>
      <c r="E104" s="33" t="n">
        <f aca="false">IF(D104="totale",(C104/(A104*24))/F104,IF(D104="marché libre",(C104/(A104*24))/G104,"spécifier histo"))</f>
        <v>0.635641025641026</v>
      </c>
      <c r="F104" s="59" t="n">
        <v>1720</v>
      </c>
      <c r="G104" s="59" t="n">
        <v>1300</v>
      </c>
      <c r="H104" s="59" t="n">
        <v>420</v>
      </c>
      <c r="I104" s="9"/>
      <c r="J104" s="205"/>
      <c r="K104" s="206"/>
      <c r="L104" s="0"/>
      <c r="Q104" s="0"/>
      <c r="T104" s="0"/>
    </row>
    <row r="105" customFormat="false" ht="20.5" hidden="false" customHeight="true" outlineLevel="0" collapsed="false">
      <c r="A105" s="0" t="n">
        <v>31</v>
      </c>
      <c r="B105" s="34" t="n">
        <v>41974</v>
      </c>
      <c r="C105" s="321" t="n">
        <v>536773</v>
      </c>
      <c r="D105" s="1" t="s">
        <v>42</v>
      </c>
      <c r="E105" s="33" t="n">
        <f aca="false">IF(D105="totale",(C105/(A105*24))/F105,IF(D105="marché libre",(C105/(A105*24))/G105,"spécifier histo"))</f>
        <v>0.554976220016543</v>
      </c>
      <c r="F105" s="59" t="n">
        <v>1720</v>
      </c>
      <c r="G105" s="59" t="n">
        <v>1300</v>
      </c>
      <c r="H105" s="59" t="n">
        <v>420</v>
      </c>
      <c r="I105" s="9"/>
      <c r="J105" s="205"/>
      <c r="K105" s="206"/>
      <c r="L105" s="0"/>
      <c r="Q105" s="0"/>
      <c r="T105" s="0"/>
    </row>
    <row r="106" customFormat="false" ht="15.75" hidden="false" customHeight="true" outlineLevel="0" collapsed="false">
      <c r="A106" s="0" t="n">
        <v>31</v>
      </c>
      <c r="B106" s="31" t="n">
        <v>42005</v>
      </c>
      <c r="C106" s="321" t="n">
        <v>183125</v>
      </c>
      <c r="D106" s="1" t="s">
        <v>42</v>
      </c>
      <c r="E106" s="33" t="n">
        <f aca="false">IF(D106="totale",(C106/(A106*24))/F106,IF(D106="marché libre",(C106/(A106*24))/G106,"spécifier histo"))</f>
        <v>0.189335194375517</v>
      </c>
      <c r="F106" s="59" t="n">
        <v>1720</v>
      </c>
      <c r="G106" s="59" t="n">
        <v>1300</v>
      </c>
      <c r="H106" s="59" t="n">
        <v>420</v>
      </c>
      <c r="I106" s="9"/>
      <c r="J106" s="205"/>
      <c r="K106" s="206"/>
      <c r="L106" s="0"/>
      <c r="Q106" s="0"/>
      <c r="T106" s="0"/>
    </row>
    <row r="107" customFormat="false" ht="15.75" hidden="false" customHeight="true" outlineLevel="0" collapsed="false">
      <c r="A107" s="0" t="n">
        <v>28</v>
      </c>
      <c r="B107" s="34" t="n">
        <v>42036</v>
      </c>
      <c r="C107" s="321" t="n">
        <v>154212</v>
      </c>
      <c r="D107" s="1" t="s">
        <v>42</v>
      </c>
      <c r="E107" s="33" t="n">
        <f aca="false">IF(D107="totale",(C107/(A107*24))/F107,IF(D107="marché libre",(C107/(A107*24))/G107,"spécifier histo"))</f>
        <v>0.176524725274725</v>
      </c>
      <c r="F107" s="59" t="n">
        <v>1720</v>
      </c>
      <c r="G107" s="59" t="n">
        <v>1300</v>
      </c>
      <c r="H107" s="59" t="n">
        <v>420</v>
      </c>
      <c r="I107" s="9"/>
      <c r="J107" s="205"/>
      <c r="K107" s="206"/>
      <c r="L107" s="0"/>
      <c r="Q107" s="0"/>
      <c r="T107" s="0"/>
    </row>
    <row r="108" customFormat="false" ht="15.75" hidden="false" customHeight="true" outlineLevel="0" collapsed="false">
      <c r="A108" s="0" t="n">
        <v>31</v>
      </c>
      <c r="B108" s="31" t="n">
        <v>42064</v>
      </c>
      <c r="C108" s="321" t="n">
        <v>169769</v>
      </c>
      <c r="D108" s="1" t="s">
        <v>42</v>
      </c>
      <c r="E108" s="33" t="n">
        <f aca="false">IF(D108="totale",(C108/(A108*24))/F108,IF(D108="marché libre",(C108/(A108*24))/G108,"spécifier histo"))</f>
        <v>0.175526261373036</v>
      </c>
      <c r="F108" s="59" t="n">
        <v>1720</v>
      </c>
      <c r="G108" s="59" t="n">
        <v>1300</v>
      </c>
      <c r="H108" s="59" t="n">
        <v>420</v>
      </c>
      <c r="I108" s="9"/>
      <c r="J108" s="0"/>
      <c r="K108" s="0"/>
      <c r="L108" s="0"/>
      <c r="M108" s="0"/>
      <c r="N108" s="0"/>
      <c r="O108" s="0"/>
      <c r="P108" s="0"/>
      <c r="Q108" s="0"/>
      <c r="R108" s="0"/>
      <c r="S108" s="0"/>
      <c r="T108" s="0"/>
      <c r="U108" s="0"/>
      <c r="V108" s="0"/>
      <c r="W108" s="0"/>
      <c r="X108" s="0"/>
      <c r="Y108" s="0"/>
      <c r="Z108" s="0"/>
      <c r="AA108" s="0"/>
    </row>
    <row r="109" customFormat="false" ht="15.75" hidden="false" customHeight="true" outlineLevel="0" collapsed="false">
      <c r="A109" s="0" t="n">
        <v>30</v>
      </c>
      <c r="B109" s="31" t="n">
        <v>42095</v>
      </c>
      <c r="C109" s="321" t="n">
        <v>452358</v>
      </c>
      <c r="D109" s="1" t="s">
        <v>42</v>
      </c>
      <c r="E109" s="33" t="n">
        <f aca="false">IF(D109="totale",(C109/(A109*24))/F109,IF(D109="marché libre",(C109/(A109*24))/G109,"spécifier histo"))</f>
        <v>0.483288461538461</v>
      </c>
      <c r="F109" s="59" t="n">
        <v>1720</v>
      </c>
      <c r="G109" s="59" t="n">
        <v>1300</v>
      </c>
      <c r="H109" s="59" t="n">
        <v>420</v>
      </c>
      <c r="I109" s="9"/>
      <c r="J109" s="0"/>
      <c r="K109" s="0"/>
      <c r="L109" s="0"/>
      <c r="M109" s="0"/>
      <c r="N109" s="0"/>
      <c r="O109" s="0"/>
      <c r="P109" s="0"/>
      <c r="Q109" s="0"/>
      <c r="R109" s="0"/>
      <c r="S109" s="0"/>
      <c r="T109" s="0"/>
      <c r="U109" s="0"/>
      <c r="V109" s="0"/>
      <c r="W109" s="0"/>
      <c r="X109" s="0"/>
      <c r="Y109" s="0"/>
      <c r="Z109" s="0"/>
      <c r="AA109" s="0"/>
    </row>
    <row r="110" customFormat="false" ht="15.75" hidden="false" customHeight="true" outlineLevel="0" collapsed="false">
      <c r="A110" s="0" t="n">
        <v>31</v>
      </c>
      <c r="B110" s="34" t="n">
        <v>42125</v>
      </c>
      <c r="C110" s="321" t="n">
        <v>729805</v>
      </c>
      <c r="D110" s="1" t="s">
        <v>42</v>
      </c>
      <c r="E110" s="33" t="n">
        <f aca="false">IF(D110="totale",(C110/(A110*24))/F110,IF(D110="marché libre",(C110/(A110*24))/G110,"spécifier histo"))</f>
        <v>0.754554383788255</v>
      </c>
      <c r="F110" s="59" t="n">
        <v>1720</v>
      </c>
      <c r="G110" s="59" t="n">
        <v>1300</v>
      </c>
      <c r="H110" s="59" t="n">
        <v>420</v>
      </c>
      <c r="I110" s="9"/>
      <c r="J110" s="0"/>
      <c r="K110" s="0"/>
      <c r="L110" s="0"/>
      <c r="M110" s="0"/>
      <c r="N110" s="0"/>
      <c r="O110" s="0"/>
      <c r="P110" s="0"/>
      <c r="Q110" s="0"/>
      <c r="R110" s="0"/>
      <c r="S110" s="0"/>
      <c r="T110" s="0"/>
      <c r="U110" s="0"/>
      <c r="V110" s="0"/>
      <c r="W110" s="0"/>
      <c r="X110" s="0"/>
      <c r="Y110" s="0"/>
      <c r="Z110" s="0"/>
      <c r="AA110" s="0"/>
    </row>
    <row r="111" customFormat="false" ht="15.75" hidden="false" customHeight="true" outlineLevel="0" collapsed="false">
      <c r="A111" s="0" t="n">
        <v>30</v>
      </c>
      <c r="B111" s="31" t="n">
        <v>42156</v>
      </c>
      <c r="C111" s="321" t="n">
        <v>695502</v>
      </c>
      <c r="D111" s="1" t="s">
        <v>42</v>
      </c>
      <c r="E111" s="33" t="n">
        <f aca="false">IF(D111="totale",(C111/(A111*24))/F111,IF(D111="marché libre",(C111/(A111*24))/G111,"spécifier histo"))</f>
        <v>0.743057692307692</v>
      </c>
      <c r="F111" s="59" t="n">
        <v>1720</v>
      </c>
      <c r="G111" s="59" t="n">
        <v>1300</v>
      </c>
      <c r="H111" s="59" t="n">
        <v>420</v>
      </c>
      <c r="I111" s="9"/>
      <c r="J111" s="0"/>
      <c r="K111" s="0"/>
      <c r="L111" s="0"/>
      <c r="M111" s="0"/>
      <c r="N111" s="0"/>
      <c r="O111" s="0"/>
      <c r="P111" s="0"/>
      <c r="Q111" s="0"/>
      <c r="R111" s="0"/>
      <c r="S111" s="0"/>
      <c r="T111" s="0"/>
      <c r="U111" s="0"/>
      <c r="V111" s="0"/>
      <c r="W111" s="0"/>
      <c r="X111" s="0"/>
      <c r="Y111" s="0"/>
      <c r="Z111" s="0"/>
      <c r="AA111" s="0"/>
    </row>
    <row r="112" customFormat="false" ht="15.75" hidden="false" customHeight="true" outlineLevel="0" collapsed="false">
      <c r="A112" s="0" t="n">
        <v>31</v>
      </c>
      <c r="B112" s="31" t="n">
        <v>42186</v>
      </c>
      <c r="C112" s="321" t="n">
        <v>412184</v>
      </c>
      <c r="D112" s="1" t="s">
        <v>42</v>
      </c>
      <c r="E112" s="33" t="n">
        <f aca="false">IF(D112="totale",(C112/(A112*24))/F112,IF(D112="marché libre",(C112/(A112*24))/G112,"spécifier histo"))</f>
        <v>0.42616211745244</v>
      </c>
      <c r="F112" s="59" t="n">
        <v>1720</v>
      </c>
      <c r="G112" s="59" t="n">
        <v>1300</v>
      </c>
      <c r="H112" s="59" t="n">
        <v>420</v>
      </c>
      <c r="I112" s="9"/>
      <c r="J112" s="0"/>
      <c r="K112" s="0"/>
      <c r="L112" s="0"/>
      <c r="M112" s="0"/>
      <c r="N112" s="0"/>
      <c r="O112" s="0"/>
      <c r="P112" s="0"/>
      <c r="Q112" s="0"/>
      <c r="R112" s="0"/>
      <c r="S112" s="0"/>
      <c r="T112" s="0"/>
      <c r="U112" s="0"/>
      <c r="V112" s="0"/>
      <c r="W112" s="0"/>
      <c r="X112" s="0"/>
      <c r="Y112" s="0"/>
      <c r="Z112" s="0"/>
      <c r="AA112" s="0"/>
    </row>
    <row r="113" customFormat="false" ht="15.75" hidden="false" customHeight="true" outlineLevel="0" collapsed="false">
      <c r="A113" s="0" t="n">
        <v>31</v>
      </c>
      <c r="B113" s="34" t="n">
        <v>42217</v>
      </c>
      <c r="C113" s="321" t="n">
        <v>15110</v>
      </c>
      <c r="D113" s="1" t="s">
        <v>42</v>
      </c>
      <c r="E113" s="33" t="n">
        <f aca="false">IF(D113="totale",(C113/(A113*24))/F113,IF(D113="marché libre",(C113/(A113*24))/G113,"spécifier histo"))</f>
        <v>0.0156224152191894</v>
      </c>
      <c r="F113" s="59" t="n">
        <v>1720</v>
      </c>
      <c r="G113" s="59" t="n">
        <v>1300</v>
      </c>
      <c r="H113" s="59" t="n">
        <v>420</v>
      </c>
      <c r="I113" s="9"/>
      <c r="J113" s="0"/>
      <c r="K113" s="0"/>
      <c r="L113" s="0"/>
      <c r="M113" s="0"/>
      <c r="N113" s="0"/>
      <c r="O113" s="0"/>
      <c r="P113" s="0"/>
      <c r="Q113" s="0"/>
      <c r="R113" s="0"/>
      <c r="S113" s="0"/>
      <c r="T113" s="0"/>
      <c r="U113" s="0"/>
      <c r="V113" s="0"/>
      <c r="W113" s="0"/>
      <c r="X113" s="0"/>
      <c r="Y113" s="0"/>
      <c r="Z113" s="0"/>
      <c r="AA113" s="0"/>
    </row>
    <row r="114" customFormat="false" ht="15.75" hidden="false" customHeight="true" outlineLevel="0" collapsed="false">
      <c r="A114" s="0" t="n">
        <v>30</v>
      </c>
      <c r="B114" s="31" t="n">
        <v>42248</v>
      </c>
      <c r="C114" s="321" t="n">
        <v>58400</v>
      </c>
      <c r="D114" s="1" t="s">
        <v>42</v>
      </c>
      <c r="E114" s="33" t="n">
        <f aca="false">IF(D114="totale",(C114/(A114*24))/F114,IF(D114="marché libre",(C114/(A114*24))/G114,"spécifier histo"))</f>
        <v>0.0623931623931624</v>
      </c>
      <c r="F114" s="59" t="n">
        <v>1720</v>
      </c>
      <c r="G114" s="59" t="n">
        <v>1300</v>
      </c>
      <c r="H114" s="59" t="n">
        <v>420</v>
      </c>
      <c r="I114" s="9"/>
      <c r="J114" s="0"/>
      <c r="K114" s="0"/>
      <c r="L114" s="0"/>
      <c r="M114" s="0"/>
      <c r="N114" s="0"/>
      <c r="O114" s="0"/>
      <c r="P114" s="0"/>
      <c r="Q114" s="0"/>
      <c r="R114" s="0"/>
      <c r="S114" s="0"/>
      <c r="T114" s="0"/>
      <c r="U114" s="0"/>
      <c r="V114" s="0"/>
      <c r="W114" s="0"/>
      <c r="X114" s="0"/>
      <c r="Y114" s="0"/>
      <c r="Z114" s="0"/>
      <c r="AA114" s="0"/>
    </row>
    <row r="115" customFormat="false" ht="15.75" hidden="false" customHeight="true" outlineLevel="0" collapsed="false">
      <c r="A115" s="0" t="n">
        <v>31</v>
      </c>
      <c r="B115" s="31" t="n">
        <v>42278</v>
      </c>
      <c r="C115" s="321" t="n">
        <v>289053</v>
      </c>
      <c r="D115" s="1" t="s">
        <v>42</v>
      </c>
      <c r="E115" s="33" t="n">
        <f aca="false">IF(D115="totale",(C115/(A115*24))/F115,IF(D115="marché libre",(C115/(A115*24))/G115,"spécifier histo"))</f>
        <v>0.298855459057072</v>
      </c>
      <c r="F115" s="59" t="n">
        <v>1720</v>
      </c>
      <c r="G115" s="59" t="n">
        <v>1300</v>
      </c>
      <c r="H115" s="59" t="n">
        <v>420</v>
      </c>
      <c r="I115" s="9"/>
      <c r="J115" s="0"/>
      <c r="K115" s="0"/>
      <c r="L115" s="0"/>
      <c r="M115" s="0"/>
      <c r="N115" s="0"/>
      <c r="O115" s="0"/>
      <c r="P115" s="0"/>
      <c r="Q115" s="0"/>
      <c r="R115" s="0"/>
      <c r="S115" s="0"/>
      <c r="T115" s="0"/>
      <c r="U115" s="0"/>
      <c r="V115" s="0"/>
      <c r="W115" s="0"/>
      <c r="X115" s="0"/>
      <c r="Y115" s="0"/>
      <c r="Z115" s="0"/>
      <c r="AA115" s="292"/>
    </row>
    <row r="116" customFormat="false" ht="15.75" hidden="false" customHeight="true" outlineLevel="0" collapsed="false">
      <c r="A116" s="0" t="n">
        <v>30</v>
      </c>
      <c r="B116" s="34" t="n">
        <v>42309</v>
      </c>
      <c r="C116" s="321" t="n">
        <v>229899</v>
      </c>
      <c r="D116" s="1" t="s">
        <v>42</v>
      </c>
      <c r="E116" s="33" t="n">
        <f aca="false">IF(D116="totale",(C116/(A116*24))/F116,IF(D116="marché libre",(C116/(A116*24))/G116,"spécifier histo"))</f>
        <v>0.24561858974359</v>
      </c>
      <c r="F116" s="59" t="n">
        <v>1720</v>
      </c>
      <c r="G116" s="59" t="n">
        <v>1300</v>
      </c>
      <c r="H116" s="59" t="n">
        <v>420</v>
      </c>
      <c r="I116" s="9"/>
      <c r="J116" s="0"/>
      <c r="K116" s="0"/>
      <c r="L116" s="0"/>
      <c r="M116" s="0"/>
      <c r="N116" s="0"/>
      <c r="O116" s="0"/>
      <c r="P116" s="0"/>
      <c r="Q116" s="0"/>
      <c r="R116" s="0"/>
      <c r="S116" s="0"/>
      <c r="T116" s="0"/>
      <c r="U116" s="0"/>
      <c r="V116" s="0"/>
      <c r="W116" s="0"/>
      <c r="X116" s="0"/>
      <c r="Y116" s="0"/>
      <c r="Z116" s="0"/>
      <c r="AA116" s="292"/>
    </row>
    <row r="117" customFormat="false" ht="15.75" hidden="false" customHeight="true" outlineLevel="0" collapsed="false">
      <c r="A117" s="0" t="n">
        <v>31</v>
      </c>
      <c r="B117" s="31" t="n">
        <v>42339</v>
      </c>
      <c r="C117" s="321" t="n">
        <v>8939</v>
      </c>
      <c r="D117" s="1" t="s">
        <v>42</v>
      </c>
      <c r="E117" s="33" t="n">
        <f aca="false">IF(D117="totale",(C117/(A117*24))/F117,IF(D117="marché libre",(C117/(A117*24))/G117,"spécifier histo"))</f>
        <v>0.00924214226633582</v>
      </c>
      <c r="F117" s="59" t="n">
        <v>1720</v>
      </c>
      <c r="G117" s="59" t="n">
        <v>1300</v>
      </c>
      <c r="H117" s="59" t="n">
        <v>420</v>
      </c>
      <c r="I117" s="9"/>
      <c r="J117" s="0"/>
      <c r="K117" s="0"/>
      <c r="L117" s="0"/>
      <c r="M117" s="0"/>
      <c r="N117" s="0"/>
      <c r="O117" s="0"/>
      <c r="P117" s="0"/>
      <c r="Q117" s="0"/>
      <c r="R117" s="0"/>
      <c r="S117" s="0"/>
      <c r="T117" s="0"/>
      <c r="U117" s="0"/>
      <c r="V117" s="0"/>
      <c r="W117" s="0"/>
      <c r="X117" s="0"/>
      <c r="Y117" s="0"/>
      <c r="Z117" s="0"/>
      <c r="AA117" s="292"/>
    </row>
    <row r="118" customFormat="false" ht="15.75" hidden="false" customHeight="true" outlineLevel="0" collapsed="false">
      <c r="A118" s="0" t="n">
        <v>31</v>
      </c>
      <c r="B118" s="31" t="n">
        <v>42370</v>
      </c>
      <c r="C118" s="321" t="n">
        <v>1619</v>
      </c>
      <c r="D118" s="1" t="s">
        <v>42</v>
      </c>
      <c r="E118" s="33" t="n">
        <f aca="false">IF(D118="totale",(C118/(A118*24))/F118,IF(D118="marché libre",(C118/(A118*24))/G118,"spécifier histo"))</f>
        <v>0.00167390405293631</v>
      </c>
      <c r="F118" s="59" t="n">
        <v>1720</v>
      </c>
      <c r="G118" s="59" t="n">
        <v>1300</v>
      </c>
      <c r="H118" s="59" t="n">
        <v>420</v>
      </c>
      <c r="I118" s="9"/>
      <c r="J118" s="0"/>
      <c r="K118" s="0"/>
      <c r="L118" s="0"/>
      <c r="M118" s="0"/>
      <c r="N118" s="0"/>
      <c r="O118" s="0"/>
      <c r="P118" s="0"/>
      <c r="Q118" s="0"/>
      <c r="R118" s="0"/>
      <c r="S118" s="0"/>
      <c r="T118" s="0"/>
      <c r="U118" s="0"/>
      <c r="V118" s="0"/>
      <c r="W118" s="0"/>
      <c r="X118" s="0"/>
      <c r="Y118" s="0"/>
      <c r="Z118" s="0"/>
      <c r="AA118" s="292"/>
    </row>
    <row r="119" customFormat="false" ht="15.75" hidden="false" customHeight="true" outlineLevel="0" collapsed="false">
      <c r="A119" s="0" t="n">
        <v>28</v>
      </c>
      <c r="B119" s="34" t="n">
        <v>42401</v>
      </c>
      <c r="C119" s="321" t="n">
        <v>1392</v>
      </c>
      <c r="D119" s="1" t="s">
        <v>42</v>
      </c>
      <c r="E119" s="33" t="n">
        <f aca="false">IF(D119="totale",(C119/(A119*24))/F119,IF(D119="marché libre",(C119/(A119*24))/G119,"spécifier histo"))</f>
        <v>0.00159340659340659</v>
      </c>
      <c r="F119" s="59" t="n">
        <v>1720</v>
      </c>
      <c r="G119" s="59" t="n">
        <v>1300</v>
      </c>
      <c r="H119" s="59" t="n">
        <v>420</v>
      </c>
      <c r="I119" s="9"/>
      <c r="J119" s="0"/>
      <c r="K119" s="0"/>
      <c r="L119" s="0"/>
      <c r="M119" s="0"/>
      <c r="N119" s="0"/>
      <c r="O119" s="0"/>
      <c r="P119" s="0"/>
      <c r="Q119" s="0"/>
      <c r="R119" s="0"/>
      <c r="S119" s="0"/>
      <c r="T119" s="0"/>
      <c r="U119" s="0"/>
      <c r="V119" s="0"/>
      <c r="W119" s="0"/>
      <c r="X119" s="0"/>
      <c r="Y119" s="0"/>
      <c r="Z119" s="0"/>
      <c r="AA119" s="292"/>
    </row>
    <row r="120" customFormat="false" ht="15.75" hidden="false" customHeight="true" outlineLevel="0" collapsed="false">
      <c r="A120" s="0" t="n">
        <v>31</v>
      </c>
      <c r="B120" s="31" t="n">
        <v>42430</v>
      </c>
      <c r="C120" s="321" t="n">
        <v>1439</v>
      </c>
      <c r="D120" s="1" t="s">
        <v>42</v>
      </c>
      <c r="E120" s="33" t="n">
        <f aca="false">IF(D120="totale",(C120/(A120*24))/F120,IF(D120="marché libre",(C120/(A120*24))/G120,"spécifier histo"))</f>
        <v>0.00148779983457403</v>
      </c>
      <c r="F120" s="59" t="n">
        <v>1720</v>
      </c>
      <c r="G120" s="59" t="n">
        <v>1300</v>
      </c>
      <c r="H120" s="59" t="n">
        <v>420</v>
      </c>
      <c r="I120" s="9"/>
      <c r="J120" s="0"/>
      <c r="K120" s="293"/>
      <c r="L120" s="0"/>
      <c r="M120" s="292"/>
      <c r="N120" s="0"/>
      <c r="O120" s="292"/>
      <c r="P120" s="292"/>
      <c r="Q120" s="0"/>
      <c r="R120" s="292"/>
      <c r="S120" s="0"/>
      <c r="T120" s="0"/>
      <c r="U120" s="292"/>
      <c r="V120" s="0"/>
      <c r="Y120" s="0"/>
    </row>
    <row r="121" customFormat="false" ht="15.75" hidden="false" customHeight="true" outlineLevel="0" collapsed="false">
      <c r="A121" s="0" t="n">
        <v>30</v>
      </c>
      <c r="B121" s="31" t="n">
        <v>42461</v>
      </c>
      <c r="C121" s="321" t="n">
        <v>397496</v>
      </c>
      <c r="D121" s="1" t="s">
        <v>42</v>
      </c>
      <c r="E121" s="33" t="n">
        <f aca="false">IF(D121="totale",(C121/(A121*24))/F121,IF(D121="marché libre",(C121/(A121*24))/G121,"spécifier histo"))</f>
        <v>0.424675213675214</v>
      </c>
      <c r="F121" s="59" t="n">
        <v>1720</v>
      </c>
      <c r="G121" s="59" t="n">
        <v>1300</v>
      </c>
      <c r="H121" s="59" t="n">
        <v>420</v>
      </c>
      <c r="I121" s="9"/>
      <c r="J121" s="0"/>
      <c r="K121" s="293"/>
      <c r="L121" s="0"/>
      <c r="M121" s="292"/>
      <c r="N121" s="0"/>
      <c r="O121" s="292"/>
      <c r="P121" s="292"/>
      <c r="Q121" s="0"/>
      <c r="R121" s="292"/>
      <c r="S121" s="0"/>
      <c r="T121" s="0"/>
      <c r="U121" s="292"/>
      <c r="V121" s="0"/>
      <c r="Y121" s="0"/>
    </row>
    <row r="122" customFormat="false" ht="15.75" hidden="false" customHeight="true" outlineLevel="0" collapsed="false">
      <c r="A122" s="0" t="n">
        <v>31</v>
      </c>
      <c r="B122" s="34" t="n">
        <v>42491</v>
      </c>
      <c r="C122" s="321" t="n">
        <v>608113.5</v>
      </c>
      <c r="D122" s="1" t="s">
        <v>42</v>
      </c>
      <c r="E122" s="33" t="n">
        <f aca="false">IF(D122="totale",(C122/(A122*24))/F122,IF(D122="marché libre",(C122/(A122*24))/G122,"spécifier histo"))</f>
        <v>0.628736042183623</v>
      </c>
      <c r="F122" s="59" t="n">
        <v>1720</v>
      </c>
      <c r="G122" s="59" t="n">
        <v>1300</v>
      </c>
      <c r="H122" s="59" t="n">
        <v>420</v>
      </c>
      <c r="I122" s="9"/>
      <c r="J122" s="0"/>
      <c r="K122" s="293"/>
      <c r="L122" s="0"/>
      <c r="M122" s="292"/>
      <c r="N122" s="0"/>
      <c r="O122" s="292"/>
      <c r="P122" s="292"/>
      <c r="Q122" s="0"/>
      <c r="R122" s="292"/>
      <c r="S122" s="0"/>
      <c r="T122" s="0"/>
      <c r="U122" s="292"/>
      <c r="V122" s="0"/>
      <c r="Y122" s="0"/>
    </row>
    <row r="123" customFormat="false" ht="15.75" hidden="false" customHeight="true" outlineLevel="0" collapsed="false">
      <c r="A123" s="0" t="n">
        <v>30</v>
      </c>
      <c r="B123" s="31" t="n">
        <v>42522</v>
      </c>
      <c r="C123" s="321" t="n">
        <v>517383</v>
      </c>
      <c r="D123" s="1" t="s">
        <v>42</v>
      </c>
      <c r="E123" s="33" t="n">
        <f aca="false">IF(D123="totale",(C123/(A123*24))/F123,IF(D123="marché libre",(C123/(A123*24))/G123,"spécifier histo"))</f>
        <v>0.552759615384615</v>
      </c>
      <c r="F123" s="59" t="n">
        <v>1720</v>
      </c>
      <c r="G123" s="59" t="n">
        <v>1300</v>
      </c>
      <c r="H123" s="59" t="n">
        <v>420</v>
      </c>
      <c r="I123" s="9"/>
      <c r="J123" s="0"/>
      <c r="K123" s="293"/>
      <c r="L123" s="0"/>
      <c r="M123" s="292"/>
      <c r="N123" s="0"/>
      <c r="O123" s="292"/>
      <c r="P123" s="292"/>
      <c r="Q123" s="0"/>
      <c r="R123" s="292"/>
      <c r="S123" s="0"/>
      <c r="T123" s="0"/>
      <c r="U123" s="292"/>
      <c r="V123" s="0"/>
      <c r="Y123" s="0"/>
    </row>
    <row r="124" customFormat="false" ht="15.75" hidden="false" customHeight="true" outlineLevel="0" collapsed="false">
      <c r="A124" s="0" t="n">
        <v>31</v>
      </c>
      <c r="B124" s="31" t="n">
        <v>42552</v>
      </c>
      <c r="C124" s="321" t="n">
        <v>465808</v>
      </c>
      <c r="D124" s="1" t="s">
        <v>42</v>
      </c>
      <c r="E124" s="33" t="n">
        <f aca="false">IF(D124="totale",(C124/(A124*24))/F124,IF(D124="marché libre",(C124/(A124*24))/G124,"spécifier histo"))</f>
        <v>0.481604631927213</v>
      </c>
      <c r="F124" s="59" t="n">
        <v>1720</v>
      </c>
      <c r="G124" s="59" t="n">
        <v>1300</v>
      </c>
      <c r="H124" s="59" t="n">
        <v>420</v>
      </c>
      <c r="I124" s="9"/>
      <c r="J124" s="0"/>
      <c r="K124" s="293"/>
      <c r="L124" s="0"/>
      <c r="M124" s="292"/>
      <c r="N124" s="0"/>
      <c r="O124" s="292"/>
      <c r="P124" s="292"/>
      <c r="Q124" s="0"/>
      <c r="R124" s="292"/>
      <c r="S124" s="0"/>
      <c r="T124" s="0"/>
      <c r="U124" s="292"/>
      <c r="V124" s="0"/>
      <c r="Y124" s="0"/>
    </row>
    <row r="125" customFormat="false" ht="15.75" hidden="false" customHeight="true" outlineLevel="0" collapsed="false">
      <c r="A125" s="0" t="n">
        <v>31</v>
      </c>
      <c r="B125" s="34" t="n">
        <v>42583</v>
      </c>
      <c r="C125" s="321" t="n">
        <v>3640</v>
      </c>
      <c r="D125" s="1" t="s">
        <v>42</v>
      </c>
      <c r="E125" s="33" t="n">
        <f aca="false">IF(D125="totale",(C125/(A125*24))/F125,IF(D125="marché libre",(C125/(A125*24))/G125,"spécifier histo"))</f>
        <v>0.00376344086021505</v>
      </c>
      <c r="F125" s="59" t="n">
        <v>1720</v>
      </c>
      <c r="G125" s="59" t="n">
        <v>1300</v>
      </c>
      <c r="H125" s="59" t="n">
        <v>420</v>
      </c>
      <c r="I125" s="9"/>
      <c r="J125" s="0"/>
      <c r="K125" s="293"/>
      <c r="L125" s="0"/>
      <c r="M125" s="292"/>
      <c r="N125" s="0"/>
      <c r="O125" s="292"/>
      <c r="P125" s="292"/>
      <c r="Q125" s="0"/>
      <c r="R125" s="292"/>
      <c r="S125" s="0"/>
      <c r="T125" s="0"/>
      <c r="U125" s="292"/>
      <c r="V125" s="0"/>
      <c r="Y125" s="0"/>
    </row>
    <row r="126" customFormat="false" ht="15.75" hidden="false" customHeight="true" outlineLevel="0" collapsed="false">
      <c r="A126" s="0" t="n">
        <v>30</v>
      </c>
      <c r="B126" s="31" t="n">
        <v>42614</v>
      </c>
      <c r="C126" s="321" t="n">
        <v>375.17</v>
      </c>
      <c r="D126" s="1" t="s">
        <v>42</v>
      </c>
      <c r="E126" s="33" t="n">
        <f aca="false">IF(D126="totale",(C126/(A126*24))/F126,IF(D126="marché libre",(C126/(A126*24))/G126,"spécifier histo"))</f>
        <v>0.00040082264957265</v>
      </c>
      <c r="F126" s="59" t="n">
        <v>1720</v>
      </c>
      <c r="G126" s="59" t="n">
        <v>1300</v>
      </c>
      <c r="H126" s="59" t="n">
        <v>420</v>
      </c>
      <c r="I126" s="9"/>
      <c r="J126" s="0"/>
      <c r="K126" s="206"/>
      <c r="L126" s="0"/>
      <c r="N126" s="0"/>
      <c r="Q126" s="0"/>
      <c r="S126" s="0"/>
      <c r="V126" s="0"/>
      <c r="Y126" s="0"/>
    </row>
    <row r="127" customFormat="false" ht="15.75" hidden="false" customHeight="true" outlineLevel="0" collapsed="false">
      <c r="A127" s="0" t="n">
        <v>31</v>
      </c>
      <c r="B127" s="31" t="n">
        <v>42644</v>
      </c>
      <c r="C127" s="321" t="n">
        <v>162666</v>
      </c>
      <c r="D127" s="1" t="s">
        <v>42</v>
      </c>
      <c r="E127" s="33" t="n">
        <f aca="false">IF(D127="totale",(C127/(A127*24))/F127,IF(D127="marché libre",(C127/(A127*24))/G127,"spécifier histo"))</f>
        <v>0.168182382133995</v>
      </c>
      <c r="F127" s="59" t="n">
        <v>1720</v>
      </c>
      <c r="G127" s="59" t="n">
        <v>1300</v>
      </c>
      <c r="H127" s="59" t="n">
        <v>420</v>
      </c>
      <c r="I127" s="9"/>
      <c r="J127" s="0"/>
      <c r="K127" s="206"/>
      <c r="L127" s="0"/>
      <c r="N127" s="0"/>
      <c r="Q127" s="0"/>
      <c r="S127" s="0"/>
      <c r="V127" s="0"/>
      <c r="Y127" s="0"/>
    </row>
    <row r="128" customFormat="false" ht="15.75" hidden="false" customHeight="true" outlineLevel="0" collapsed="false">
      <c r="A128" s="0" t="n">
        <v>30</v>
      </c>
      <c r="B128" s="34" t="n">
        <v>42675</v>
      </c>
      <c r="C128" s="321" t="n">
        <v>615005</v>
      </c>
      <c r="D128" s="1" t="s">
        <v>42</v>
      </c>
      <c r="E128" s="33" t="n">
        <f aca="false">IF(D128="totale",(C128/(A128*24))/F128,IF(D128="marché libre",(C128/(A128*24))/G128,"spécifier histo"))</f>
        <v>0.657056623931624</v>
      </c>
      <c r="F128" s="59" t="n">
        <v>1720</v>
      </c>
      <c r="G128" s="59" t="n">
        <v>1300</v>
      </c>
      <c r="H128" s="59" t="n">
        <v>420</v>
      </c>
      <c r="I128" s="9"/>
      <c r="J128" s="0"/>
      <c r="K128" s="206"/>
      <c r="L128" s="0"/>
      <c r="N128" s="0"/>
      <c r="Q128" s="0"/>
      <c r="S128" s="0"/>
      <c r="V128" s="0"/>
      <c r="Y128" s="0"/>
    </row>
    <row r="129" customFormat="false" ht="15.75" hidden="false" customHeight="true" outlineLevel="0" collapsed="false">
      <c r="A129" s="0" t="n">
        <v>31</v>
      </c>
      <c r="B129" s="31" t="n">
        <v>42705</v>
      </c>
      <c r="C129" s="321" t="n">
        <v>443542.17</v>
      </c>
      <c r="D129" s="1" t="s">
        <v>42</v>
      </c>
      <c r="E129" s="33" t="n">
        <f aca="false">IF(D129="totale",(C129/(A129*24))/F129,IF(D129="marché libre",(C129/(A129*24))/G129,"spécifier histo"))</f>
        <v>0.458583715880893</v>
      </c>
      <c r="F129" s="59" t="n">
        <v>1720</v>
      </c>
      <c r="G129" s="59" t="n">
        <v>1300</v>
      </c>
      <c r="H129" s="59" t="n">
        <v>420</v>
      </c>
      <c r="I129" s="9"/>
      <c r="J129" s="0"/>
      <c r="K129" s="206"/>
      <c r="L129" s="0"/>
      <c r="N129" s="0"/>
      <c r="Q129" s="0"/>
      <c r="S129" s="0"/>
      <c r="V129" s="0"/>
      <c r="Y129" s="0"/>
    </row>
    <row r="130" customFormat="false" ht="15.75" hidden="false" customHeight="true" outlineLevel="0" collapsed="false">
      <c r="A130" s="0" t="n">
        <v>31</v>
      </c>
      <c r="B130" s="31" t="n">
        <v>42736</v>
      </c>
      <c r="C130" s="321" t="n">
        <v>55622</v>
      </c>
      <c r="D130" s="1" t="s">
        <v>42</v>
      </c>
      <c r="E130" s="33" t="n">
        <f aca="false">IF(D130="totale",(C130/(A130*24))/F130,IF(D130="marché libre",(C130/(A130*24))/G130,"spécifier histo"))</f>
        <v>0.0575082712985939</v>
      </c>
      <c r="F130" s="59" t="n">
        <v>1720</v>
      </c>
      <c r="G130" s="59" t="n">
        <v>1300</v>
      </c>
      <c r="H130" s="59" t="n">
        <v>420</v>
      </c>
      <c r="J130" s="0"/>
      <c r="K130" s="206"/>
      <c r="L130" s="0"/>
      <c r="N130" s="0"/>
      <c r="Q130" s="0"/>
      <c r="S130" s="0"/>
      <c r="V130" s="0"/>
      <c r="Y130" s="0"/>
    </row>
    <row r="131" customFormat="false" ht="15.75" hidden="false" customHeight="true" outlineLevel="0" collapsed="false">
      <c r="A131" s="0" t="n">
        <v>31</v>
      </c>
      <c r="B131" s="34" t="n">
        <v>42767</v>
      </c>
      <c r="C131" s="321" t="n">
        <v>1369</v>
      </c>
      <c r="D131" s="1" t="s">
        <v>42</v>
      </c>
      <c r="E131" s="33" t="n">
        <f aca="false">IF(D131="totale",(C131/(A131*24))/F131,IF(D131="marché libre",(C131/(A131*24))/G131,"spécifier histo"))</f>
        <v>0.00141542597187758</v>
      </c>
      <c r="F131" s="59" t="n">
        <v>1720</v>
      </c>
      <c r="G131" s="59" t="n">
        <v>1300</v>
      </c>
      <c r="H131" s="59" t="n">
        <v>420</v>
      </c>
      <c r="I131" s="206"/>
      <c r="J131" s="0"/>
      <c r="K131" s="206"/>
      <c r="L131" s="0"/>
      <c r="M131" s="206"/>
      <c r="N131" s="0"/>
      <c r="Q131" s="0"/>
      <c r="S131" s="0"/>
      <c r="V131" s="0"/>
      <c r="Y131" s="0"/>
    </row>
    <row r="132" customFormat="false" ht="15.75" hidden="false" customHeight="true" outlineLevel="0" collapsed="false">
      <c r="A132" s="0" t="n">
        <v>30</v>
      </c>
      <c r="B132" s="31" t="n">
        <v>42795</v>
      </c>
      <c r="C132" s="321" t="n">
        <v>89874</v>
      </c>
      <c r="D132" s="1" t="s">
        <v>42</v>
      </c>
      <c r="E132" s="33" t="n">
        <f aca="false">IF(D132="totale",(C132/(A132*24))/F132,IF(D132="marché libre",(C132/(A132*24))/G132,"spécifier histo"))</f>
        <v>0.0960192307692308</v>
      </c>
      <c r="F132" s="59" t="n">
        <v>1720</v>
      </c>
      <c r="G132" s="59" t="n">
        <v>1300</v>
      </c>
      <c r="H132" s="59" t="n">
        <v>420</v>
      </c>
      <c r="J132" s="0"/>
      <c r="K132" s="206"/>
      <c r="L132" s="0"/>
      <c r="N132" s="0"/>
      <c r="Q132" s="0"/>
      <c r="S132" s="0"/>
      <c r="V132" s="0"/>
      <c r="Y132" s="0"/>
    </row>
    <row r="133" customFormat="false" ht="19.85" hidden="false" customHeight="true" outlineLevel="0" collapsed="false">
      <c r="A133" s="0" t="n">
        <v>31</v>
      </c>
      <c r="B133" s="34" t="n">
        <v>42826</v>
      </c>
      <c r="C133" s="321" t="n">
        <v>482832</v>
      </c>
      <c r="D133" s="1" t="s">
        <v>42</v>
      </c>
      <c r="E133" s="33" t="n">
        <f aca="false">IF(D133="totale",(C133/(A133*24))/F133,IF(D133="marché libre",(C133/(A133*24))/G133,"spécifier histo"))</f>
        <v>0.499205955334988</v>
      </c>
      <c r="F133" s="59" t="n">
        <v>1720</v>
      </c>
      <c r="G133" s="59" t="n">
        <v>1300</v>
      </c>
      <c r="H133" s="59" t="n">
        <v>420</v>
      </c>
      <c r="J133" s="0"/>
      <c r="K133" s="206"/>
      <c r="L133" s="0"/>
      <c r="N133" s="0"/>
      <c r="Q133" s="0"/>
      <c r="S133" s="0"/>
      <c r="V133" s="0"/>
      <c r="Y133" s="0"/>
    </row>
    <row r="134" customFormat="false" ht="19.85" hidden="false" customHeight="true" outlineLevel="0" collapsed="false">
      <c r="A134" s="0" t="n">
        <v>30</v>
      </c>
      <c r="B134" s="31" t="n">
        <v>42856</v>
      </c>
      <c r="C134" s="321" t="n">
        <v>667594</v>
      </c>
      <c r="D134" s="1" t="s">
        <v>42</v>
      </c>
      <c r="E134" s="33" t="n">
        <f aca="false">IF(D134="totale",(C134/(A134*24))/F134,IF(D134="marché libre",(C134/(A134*24))/G134,"spécifier histo"))</f>
        <v>0.713241452991453</v>
      </c>
      <c r="F134" s="59" t="n">
        <v>1720</v>
      </c>
      <c r="G134" s="59" t="n">
        <v>1300</v>
      </c>
      <c r="H134" s="59" t="n">
        <v>420</v>
      </c>
      <c r="J134" s="0"/>
      <c r="K134" s="206"/>
      <c r="L134" s="0"/>
      <c r="N134" s="0"/>
      <c r="Q134" s="0"/>
      <c r="S134" s="0"/>
      <c r="V134" s="0"/>
      <c r="Y134" s="0"/>
    </row>
    <row r="135" customFormat="false" ht="22.45" hidden="false" customHeight="true" outlineLevel="0" collapsed="false">
      <c r="A135" s="0" t="n">
        <v>31</v>
      </c>
      <c r="B135" s="34" t="n">
        <v>42887</v>
      </c>
      <c r="C135" s="321" t="n">
        <v>632074</v>
      </c>
      <c r="D135" s="1" t="s">
        <v>42</v>
      </c>
      <c r="E135" s="33" t="n">
        <f aca="false">IF(D135="totale",(C135/(A135*24))/F135,IF(D135="marché libre",(C135/(A135*24))/G135,"spécifier histo"))</f>
        <v>0.653509098428453</v>
      </c>
      <c r="F135" s="59" t="n">
        <v>1720</v>
      </c>
      <c r="G135" s="59" t="n">
        <v>1300</v>
      </c>
      <c r="H135" s="59" t="n">
        <v>420</v>
      </c>
      <c r="J135" s="0"/>
      <c r="K135" s="206"/>
      <c r="L135" s="0"/>
      <c r="N135" s="0"/>
      <c r="Q135" s="0"/>
      <c r="S135" s="0"/>
      <c r="V135" s="0"/>
      <c r="Y135" s="0"/>
    </row>
    <row r="136" customFormat="false" ht="21.65" hidden="false" customHeight="true" outlineLevel="0" collapsed="false">
      <c r="A136" s="0" t="n">
        <v>31</v>
      </c>
      <c r="B136" s="31" t="n">
        <v>42917</v>
      </c>
      <c r="C136" s="321" t="n">
        <v>619744</v>
      </c>
      <c r="D136" s="1" t="s">
        <v>42</v>
      </c>
      <c r="E136" s="33" t="n">
        <f aca="false">IF(D136="totale",(C136/(A136*24))/F136,IF(D136="marché libre",(C136/(A136*24))/G136,"spécifier histo"))</f>
        <v>0.640760959470637</v>
      </c>
      <c r="F136" s="59" t="n">
        <v>1720</v>
      </c>
      <c r="G136" s="59" t="n">
        <v>1300</v>
      </c>
      <c r="H136" s="59" t="n">
        <v>420</v>
      </c>
      <c r="J136" s="0"/>
      <c r="K136" s="206"/>
      <c r="L136" s="0"/>
      <c r="N136" s="0"/>
      <c r="Q136" s="0"/>
      <c r="S136" s="0"/>
      <c r="V136" s="0"/>
      <c r="Y136" s="0"/>
    </row>
    <row r="137" customFormat="false" ht="21.65" hidden="false" customHeight="true" outlineLevel="0" collapsed="false">
      <c r="A137" s="0" t="n">
        <v>31</v>
      </c>
      <c r="B137" s="34" t="n">
        <v>42948</v>
      </c>
      <c r="C137" s="321" t="n">
        <v>0</v>
      </c>
      <c r="D137" s="1" t="s">
        <v>42</v>
      </c>
      <c r="E137" s="33" t="n">
        <f aca="false">IF(D137="totale",(C137/(A137*24))/F137,IF(D137="marché libre",(C137/(A137*24))/G137,"spécifier histo"))</f>
        <v>0</v>
      </c>
      <c r="F137" s="59" t="n">
        <v>1720</v>
      </c>
      <c r="G137" s="59" t="n">
        <v>1300</v>
      </c>
      <c r="H137" s="59" t="n">
        <v>420</v>
      </c>
      <c r="J137" s="0"/>
      <c r="K137" s="206"/>
      <c r="L137" s="0"/>
      <c r="N137" s="0"/>
      <c r="Q137" s="0"/>
      <c r="S137" s="0"/>
      <c r="V137" s="0"/>
      <c r="Y137" s="0"/>
    </row>
    <row r="138" customFormat="false" ht="21.65" hidden="false" customHeight="true" outlineLevel="0" collapsed="false">
      <c r="A138" s="0" t="n">
        <v>30</v>
      </c>
      <c r="B138" s="31" t="n">
        <v>42979</v>
      </c>
      <c r="C138" s="321" t="n">
        <v>59047</v>
      </c>
      <c r="D138" s="1" t="s">
        <v>42</v>
      </c>
      <c r="E138" s="33" t="n">
        <f aca="false">IF(D138="totale",(C138/(A138*24))/F138,IF(D138="marché libre",(C138/(A138*24))/G138,"spécifier histo"))</f>
        <v>0.0630844017094017</v>
      </c>
      <c r="F138" s="59" t="n">
        <v>1720</v>
      </c>
      <c r="G138" s="59" t="n">
        <v>1300</v>
      </c>
      <c r="H138" s="59" t="n">
        <v>420</v>
      </c>
      <c r="J138" s="0"/>
      <c r="K138" s="206"/>
      <c r="L138" s="0"/>
      <c r="N138" s="0"/>
      <c r="Q138" s="0"/>
      <c r="S138" s="0"/>
      <c r="V138" s="0"/>
      <c r="Y138" s="0"/>
    </row>
    <row r="139" customFormat="false" ht="21.65" hidden="false" customHeight="true" outlineLevel="0" collapsed="false">
      <c r="A139" s="0" t="n">
        <v>31</v>
      </c>
      <c r="B139" s="34" t="n">
        <v>43009</v>
      </c>
      <c r="C139" s="321" t="n">
        <v>1323</v>
      </c>
      <c r="D139" s="1" t="s">
        <v>42</v>
      </c>
      <c r="E139" s="33" t="n">
        <f aca="false">IF(D139="totale",(C139/(A139*24))/F139,IF(D139="marché libre",(C139/(A139*24))/G139,"spécifier histo"))</f>
        <v>0.00136786600496278</v>
      </c>
      <c r="F139" s="59" t="n">
        <v>1720</v>
      </c>
      <c r="G139" s="59" t="n">
        <v>1300</v>
      </c>
      <c r="H139" s="59" t="n">
        <v>420</v>
      </c>
      <c r="J139" s="0"/>
      <c r="K139" s="206"/>
      <c r="L139" s="0"/>
      <c r="N139" s="0"/>
      <c r="Q139" s="0"/>
      <c r="S139" s="0"/>
      <c r="V139" s="0"/>
      <c r="Y139" s="0"/>
    </row>
    <row r="140" customFormat="false" ht="21.65" hidden="false" customHeight="true" outlineLevel="0" collapsed="false">
      <c r="A140" s="0" t="n">
        <v>30</v>
      </c>
      <c r="B140" s="31" t="n">
        <v>43040</v>
      </c>
      <c r="C140" s="321" t="n">
        <v>2801</v>
      </c>
      <c r="D140" s="1" t="s">
        <v>42</v>
      </c>
      <c r="E140" s="33" t="n">
        <f aca="false">IF(D140="totale",(C140/(A140*24))/F140,IF(D140="marché libre",(C140/(A140*24))/G140,"spécifier histo"))</f>
        <v>0.00299252136752137</v>
      </c>
      <c r="F140" s="59" t="n">
        <v>1720</v>
      </c>
      <c r="G140" s="59" t="n">
        <v>1300</v>
      </c>
      <c r="H140" s="59" t="n">
        <v>420</v>
      </c>
      <c r="J140" s="0"/>
      <c r="K140" s="206"/>
      <c r="L140" s="0"/>
      <c r="N140" s="0"/>
      <c r="Q140" s="0"/>
      <c r="S140" s="0"/>
      <c r="V140" s="0"/>
    </row>
    <row r="141" customFormat="false" ht="21.65" hidden="false" customHeight="true" outlineLevel="0" collapsed="false">
      <c r="A141" s="0" t="n">
        <v>31</v>
      </c>
      <c r="B141" s="34" t="n">
        <v>43070</v>
      </c>
      <c r="C141" s="321" t="n">
        <v>25539</v>
      </c>
      <c r="D141" s="1" t="s">
        <v>42</v>
      </c>
      <c r="E141" s="33" t="n">
        <f aca="false">IF(D141="totale",(C141/(A141*24))/F141,IF(D141="marché libre",(C141/(A141*24))/G141,"spécifier histo"))</f>
        <v>0.0264050868486352</v>
      </c>
      <c r="F141" s="59" t="n">
        <v>1720</v>
      </c>
      <c r="G141" s="59" t="n">
        <v>1300</v>
      </c>
      <c r="H141" s="59" t="n">
        <v>420</v>
      </c>
      <c r="J141" s="0"/>
      <c r="K141" s="206"/>
      <c r="L141" s="0"/>
      <c r="N141" s="0"/>
      <c r="Q141" s="0"/>
      <c r="S141" s="0"/>
      <c r="V141" s="0"/>
    </row>
    <row r="142" customFormat="false" ht="28.35" hidden="false" customHeight="true" outlineLevel="0" collapsed="false">
      <c r="A142" s="0" t="n">
        <v>31</v>
      </c>
      <c r="B142" s="31" t="n">
        <v>43101</v>
      </c>
      <c r="C142" s="321" t="n">
        <v>1299</v>
      </c>
      <c r="D142" s="1" t="s">
        <v>42</v>
      </c>
      <c r="E142" s="33" t="n">
        <f aca="false">IF(D142="totale",(C142/(A142*24))/F142,IF(D142="marché libre",(C142/(A142*24))/G142,"spécifier histo"))</f>
        <v>0.00134305210918114</v>
      </c>
      <c r="F142" s="59" t="n">
        <v>1720</v>
      </c>
      <c r="G142" s="59" t="n">
        <v>1300</v>
      </c>
      <c r="H142" s="59" t="n">
        <v>420</v>
      </c>
      <c r="J142" s="0"/>
      <c r="K142" s="206"/>
      <c r="L142" s="0"/>
      <c r="N142" s="0"/>
      <c r="Q142" s="0"/>
      <c r="S142" s="0"/>
      <c r="V142" s="0"/>
    </row>
    <row r="143" customFormat="false" ht="28.35" hidden="false" customHeight="true" outlineLevel="0" collapsed="false">
      <c r="A143" s="0" t="n">
        <v>28</v>
      </c>
      <c r="B143" s="34" t="n">
        <v>43132</v>
      </c>
      <c r="C143" s="321" t="n">
        <v>172856</v>
      </c>
      <c r="D143" s="1" t="s">
        <v>42</v>
      </c>
      <c r="E143" s="33" t="n">
        <f aca="false">IF(D143="totale",(C143/(A143*24))/F143,IF(D143="marché libre",(C143/(A143*24))/G143,"spécifier histo"))</f>
        <v>0.1978663003663</v>
      </c>
      <c r="F143" s="59" t="n">
        <v>1720</v>
      </c>
      <c r="G143" s="59" t="n">
        <v>1300</v>
      </c>
      <c r="H143" s="59" t="n">
        <v>420</v>
      </c>
      <c r="J143" s="0"/>
      <c r="K143" s="206"/>
      <c r="L143" s="0"/>
      <c r="N143" s="0"/>
      <c r="Q143" s="0"/>
      <c r="S143" s="0"/>
      <c r="V143" s="0"/>
    </row>
    <row r="144" customFormat="false" ht="28.35" hidden="false" customHeight="true" outlineLevel="0" collapsed="false">
      <c r="A144" s="0" t="n">
        <v>31</v>
      </c>
      <c r="B144" s="31" t="n">
        <v>43160</v>
      </c>
      <c r="C144" s="321" t="n">
        <v>52986</v>
      </c>
      <c r="D144" s="1" t="s">
        <v>42</v>
      </c>
      <c r="E144" s="33" t="n">
        <f aca="false">IF(D144="totale",(C144/(A144*24))/F144,IF(D144="marché libre",(C144/(A144*24))/G144,"spécifier histo"))</f>
        <v>0.0547828784119107</v>
      </c>
      <c r="F144" s="59" t="n">
        <v>1720</v>
      </c>
      <c r="G144" s="59" t="n">
        <v>1300</v>
      </c>
      <c r="H144" s="59" t="n">
        <v>420</v>
      </c>
      <c r="J144" s="0"/>
      <c r="K144" s="206"/>
      <c r="L144" s="0"/>
      <c r="Q144" s="0"/>
      <c r="S144" s="0"/>
      <c r="V144" s="0"/>
    </row>
    <row r="145" customFormat="false" ht="28.35" hidden="false" customHeight="true" outlineLevel="0" collapsed="false">
      <c r="A145" s="0" t="n">
        <v>30</v>
      </c>
      <c r="B145" s="34" t="n">
        <v>43191</v>
      </c>
      <c r="C145" s="321" t="n">
        <v>445776</v>
      </c>
      <c r="D145" s="1" t="s">
        <v>42</v>
      </c>
      <c r="E145" s="33" t="n">
        <f aca="false">IF(D145="totale",(C145/(A145*24))/F145,IF(D145="marché libre",(C145/(A145*24))/G145,"spécifier histo"))</f>
        <v>0.47625641025641</v>
      </c>
      <c r="F145" s="59" t="n">
        <v>1720</v>
      </c>
      <c r="G145" s="59" t="n">
        <v>1300</v>
      </c>
      <c r="H145" s="59" t="n">
        <v>420</v>
      </c>
      <c r="J145" s="0"/>
      <c r="K145" s="206"/>
      <c r="L145" s="0"/>
      <c r="Q145" s="0"/>
      <c r="S145" s="0"/>
    </row>
    <row r="146" customFormat="false" ht="28.35" hidden="false" customHeight="true" outlineLevel="0" collapsed="false">
      <c r="A146" s="0" t="n">
        <v>31</v>
      </c>
      <c r="B146" s="31" t="n">
        <v>43221</v>
      </c>
      <c r="C146" s="321" t="n">
        <v>725718</v>
      </c>
      <c r="D146" s="1" t="s">
        <v>42</v>
      </c>
      <c r="E146" s="33" t="n">
        <f aca="false">IF(D146="totale",(C146/(A146*24))/F146,IF(D146="marché libre",(C146/(A146*24))/G146,"spécifier histo"))</f>
        <v>0.750328784119107</v>
      </c>
      <c r="F146" s="59" t="n">
        <v>1720</v>
      </c>
      <c r="G146" s="59" t="n">
        <v>1300</v>
      </c>
      <c r="H146" s="59" t="n">
        <v>420</v>
      </c>
      <c r="J146" s="0"/>
      <c r="K146" s="206"/>
      <c r="L146" s="0"/>
      <c r="Q146" s="0"/>
      <c r="S146" s="0"/>
    </row>
    <row r="147" customFormat="false" ht="28.35" hidden="false" customHeight="true" outlineLevel="0" collapsed="false">
      <c r="A147" s="0" t="n">
        <v>30</v>
      </c>
      <c r="B147" s="34" t="n">
        <v>43252</v>
      </c>
      <c r="C147" s="321" t="n">
        <v>683754</v>
      </c>
      <c r="D147" s="1" t="s">
        <v>42</v>
      </c>
      <c r="E147" s="33" t="n">
        <f aca="false">IF(D147="totale",(C147/(A147*24))/F147,IF(D147="marché libre",(C147/(A147*24))/G147,"spécifier histo"))</f>
        <v>0.73050641025641</v>
      </c>
      <c r="F147" s="59" t="n">
        <v>1720</v>
      </c>
      <c r="G147" s="59" t="n">
        <v>1300</v>
      </c>
      <c r="H147" s="59" t="n">
        <v>420</v>
      </c>
      <c r="J147" s="0"/>
      <c r="L147" s="0"/>
      <c r="Q147" s="0"/>
      <c r="S147" s="0"/>
    </row>
    <row r="148" customFormat="false" ht="28.35" hidden="false" customHeight="true" outlineLevel="0" collapsed="false">
      <c r="A148" s="0" t="n">
        <v>31</v>
      </c>
      <c r="B148" s="31" t="n">
        <v>43282</v>
      </c>
      <c r="C148" s="321" t="n">
        <v>712934</v>
      </c>
      <c r="D148" s="1" t="s">
        <v>42</v>
      </c>
      <c r="E148" s="33" t="n">
        <f aca="false">IF(D148="totale",(C148/(A148*24))/F148,IF(D148="marché libre",(C148/(A148*24))/G148,"spécifier histo"))</f>
        <v>0.737111248966088</v>
      </c>
      <c r="F148" s="59" t="n">
        <v>1720</v>
      </c>
      <c r="G148" s="59" t="n">
        <v>1300</v>
      </c>
      <c r="H148" s="59" t="n">
        <v>420</v>
      </c>
      <c r="J148" s="0"/>
      <c r="L148" s="0"/>
      <c r="Q148" s="0"/>
      <c r="S148" s="0"/>
    </row>
    <row r="149" customFormat="false" ht="28.35" hidden="false" customHeight="true" outlineLevel="0" collapsed="false">
      <c r="A149" s="0" t="n">
        <v>31</v>
      </c>
      <c r="B149" s="34" t="n">
        <v>43313</v>
      </c>
      <c r="C149" s="321" t="n">
        <v>16496</v>
      </c>
      <c r="D149" s="1" t="s">
        <v>42</v>
      </c>
      <c r="E149" s="33" t="n">
        <f aca="false">IF(D149="totale",(C149/(A149*24))/F149,IF(D149="marché libre",(C149/(A149*24))/G149,"spécifier histo"))</f>
        <v>0.017055417700579</v>
      </c>
      <c r="F149" s="59" t="n">
        <v>1720</v>
      </c>
      <c r="G149" s="59" t="n">
        <v>1300</v>
      </c>
      <c r="H149" s="59" t="n">
        <v>420</v>
      </c>
      <c r="J149" s="0"/>
      <c r="L149" s="0"/>
      <c r="Q149" s="0"/>
      <c r="S149" s="0"/>
    </row>
    <row r="150" customFormat="false" ht="28.35" hidden="false" customHeight="true" outlineLevel="0" collapsed="false">
      <c r="A150" s="0" t="n">
        <v>30</v>
      </c>
      <c r="B150" s="31" t="n">
        <v>43344</v>
      </c>
      <c r="C150" s="321" t="n">
        <v>73072</v>
      </c>
      <c r="D150" s="1" t="s">
        <v>42</v>
      </c>
      <c r="E150" s="33" t="n">
        <f aca="false">IF(D150="totale",(C150/(A150*24))/F150,IF(D150="marché libre",(C150/(A150*24))/G150,"spécifier histo"))</f>
        <v>0.0780683760683761</v>
      </c>
      <c r="F150" s="59" t="n">
        <v>1720</v>
      </c>
      <c r="G150" s="59" t="n">
        <v>1300</v>
      </c>
      <c r="H150" s="59" t="n">
        <v>420</v>
      </c>
      <c r="J150" s="0"/>
      <c r="L150" s="0"/>
      <c r="Q150" s="0"/>
      <c r="S150" s="0"/>
    </row>
    <row r="151" customFormat="false" ht="28.35" hidden="false" customHeight="true" outlineLevel="0" collapsed="false">
      <c r="A151" s="0" t="n">
        <v>31</v>
      </c>
      <c r="B151" s="34" t="n">
        <v>43374</v>
      </c>
      <c r="C151" s="321" t="n">
        <v>108193</v>
      </c>
      <c r="D151" s="1" t="s">
        <v>42</v>
      </c>
      <c r="E151" s="33" t="n">
        <f aca="false">IF(D151="totale",(C151/(A151*24))/F151,IF(D151="marché libre",(C151/(A151*24))/G151,"spécifier histo"))</f>
        <v>0.111862076095947</v>
      </c>
      <c r="F151" s="59" t="n">
        <v>1720</v>
      </c>
      <c r="G151" s="59" t="n">
        <v>1300</v>
      </c>
      <c r="H151" s="59" t="n">
        <v>420</v>
      </c>
      <c r="J151" s="0"/>
      <c r="L151" s="0"/>
      <c r="Q151" s="0"/>
      <c r="S151" s="0"/>
    </row>
    <row r="152" customFormat="false" ht="28.35" hidden="false" customHeight="true" outlineLevel="0" collapsed="false">
      <c r="A152" s="0" t="n">
        <v>30</v>
      </c>
      <c r="B152" s="31" t="n">
        <v>43405</v>
      </c>
      <c r="C152" s="321" t="n">
        <v>675764</v>
      </c>
      <c r="D152" s="1" t="s">
        <v>42</v>
      </c>
      <c r="E152" s="33" t="n">
        <f aca="false">IF(D152="totale",(C152/(A152*24))/F152,IF(D152="marché libre",(C152/(A152*24))/G152,"spécifier histo"))</f>
        <v>0.721970085470085</v>
      </c>
      <c r="F152" s="59" t="n">
        <v>1720</v>
      </c>
      <c r="G152" s="59" t="n">
        <v>1300</v>
      </c>
      <c r="H152" s="59" t="n">
        <v>420</v>
      </c>
      <c r="J152" s="0"/>
      <c r="L152" s="0"/>
      <c r="Q152" s="0"/>
      <c r="S152" s="0"/>
    </row>
    <row r="153" customFormat="false" ht="28.35" hidden="false" customHeight="true" outlineLevel="0" collapsed="false">
      <c r="A153" s="0" t="n">
        <v>31</v>
      </c>
      <c r="B153" s="34" t="n">
        <v>43435</v>
      </c>
      <c r="C153" s="321" t="n">
        <v>226114</v>
      </c>
      <c r="D153" s="1" t="s">
        <v>42</v>
      </c>
      <c r="E153" s="33" t="n">
        <f aca="false">IF(D153="totale",(C153/(A153*24))/F153,IF(D153="marché libre",(C153/(A153*24))/G153,"spécifier histo"))</f>
        <v>0.233782051282051</v>
      </c>
      <c r="F153" s="59" t="n">
        <v>1720</v>
      </c>
      <c r="G153" s="59" t="n">
        <v>1300</v>
      </c>
      <c r="H153" s="59" t="n">
        <v>420</v>
      </c>
      <c r="J153" s="0"/>
      <c r="L153" s="0"/>
      <c r="Q153" s="0"/>
      <c r="S153" s="0"/>
    </row>
    <row r="154" customFormat="false" ht="12.8" hidden="false" customHeight="false" outlineLevel="0" collapsed="false">
      <c r="C154" s="296"/>
      <c r="J154" s="0"/>
      <c r="L154" s="0"/>
      <c r="Q154" s="0"/>
    </row>
    <row r="155" customFormat="false" ht="12.8" hidden="false" customHeight="false" outlineLevel="0" collapsed="false">
      <c r="C155" s="296"/>
      <c r="L155" s="0"/>
      <c r="Q155" s="0"/>
    </row>
    <row r="156" customFormat="false" ht="12.8" hidden="false" customHeight="false" outlineLevel="0" collapsed="false">
      <c r="C156" s="296"/>
      <c r="L156" s="0"/>
      <c r="Q156" s="0"/>
    </row>
    <row r="157" customFormat="false" ht="12.8" hidden="false" customHeight="false" outlineLevel="0" collapsed="false">
      <c r="C157" s="296"/>
      <c r="L157" s="0"/>
      <c r="Q157" s="0"/>
    </row>
    <row r="158" customFormat="false" ht="12.8" hidden="false" customHeight="false" outlineLevel="0" collapsed="false">
      <c r="C158" s="296"/>
      <c r="L158" s="0"/>
      <c r="Q158" s="0"/>
    </row>
    <row r="159" customFormat="false" ht="12.8" hidden="false" customHeight="false" outlineLevel="0" collapsed="false">
      <c r="C159" s="296"/>
      <c r="L159" s="0"/>
      <c r="Q159" s="0"/>
    </row>
    <row r="160" customFormat="false" ht="12.8" hidden="false" customHeight="false" outlineLevel="0" collapsed="false">
      <c r="C160" s="296"/>
      <c r="L160" s="0"/>
      <c r="Q160" s="0"/>
    </row>
    <row r="161" customFormat="false" ht="12.8" hidden="false" customHeight="false" outlineLevel="0" collapsed="false">
      <c r="C161" s="296"/>
      <c r="L161" s="0"/>
      <c r="Q161" s="0"/>
    </row>
    <row r="162" customFormat="false" ht="12.8" hidden="false" customHeight="false" outlineLevel="0" collapsed="false">
      <c r="C162" s="296"/>
      <c r="L162" s="0"/>
      <c r="Q162" s="0"/>
    </row>
    <row r="163" customFormat="false" ht="12.8" hidden="false" customHeight="false" outlineLevel="0" collapsed="false">
      <c r="C163" s="296"/>
      <c r="L163" s="0"/>
      <c r="Q163" s="0"/>
    </row>
    <row r="164" customFormat="false" ht="12.8" hidden="false" customHeight="false" outlineLevel="0" collapsed="false">
      <c r="C164" s="296"/>
      <c r="L164" s="0"/>
      <c r="Q164" s="0"/>
    </row>
    <row r="165" customFormat="false" ht="12.8" hidden="false" customHeight="false" outlineLevel="0" collapsed="false">
      <c r="C165" s="296"/>
      <c r="L165" s="0"/>
      <c r="Q165" s="0"/>
    </row>
    <row r="166" customFormat="false" ht="12.8" hidden="false" customHeight="false" outlineLevel="0" collapsed="false">
      <c r="C166" s="296"/>
      <c r="L166" s="0"/>
      <c r="Q166" s="0"/>
    </row>
    <row r="167" customFormat="false" ht="12.8" hidden="false" customHeight="false" outlineLevel="0" collapsed="false">
      <c r="C167" s="296"/>
      <c r="L167" s="0"/>
      <c r="Q167" s="0"/>
    </row>
    <row r="168" customFormat="false" ht="12.8" hidden="false" customHeight="false" outlineLevel="0" collapsed="false">
      <c r="C168" s="296"/>
      <c r="L168" s="0"/>
      <c r="Q168" s="0"/>
    </row>
    <row r="169" customFormat="false" ht="12.8" hidden="false" customHeight="false" outlineLevel="0" collapsed="false">
      <c r="C169" s="296"/>
      <c r="L169" s="0"/>
      <c r="Q169" s="0"/>
    </row>
    <row r="170" customFormat="false" ht="12.8" hidden="false" customHeight="false" outlineLevel="0" collapsed="false">
      <c r="C170" s="296"/>
      <c r="L170" s="0"/>
      <c r="Q170" s="0"/>
    </row>
    <row r="171" customFormat="false" ht="12.8" hidden="false" customHeight="false" outlineLevel="0" collapsed="false">
      <c r="C171" s="296"/>
      <c r="L171" s="0"/>
      <c r="Q171" s="0"/>
    </row>
    <row r="172" customFormat="false" ht="12.8" hidden="false" customHeight="false" outlineLevel="0" collapsed="false">
      <c r="C172" s="296"/>
      <c r="L172" s="0"/>
      <c r="Q172" s="0"/>
    </row>
    <row r="173" customFormat="false" ht="12.8" hidden="false" customHeight="false" outlineLevel="0" collapsed="false">
      <c r="C173" s="296"/>
      <c r="L173" s="0"/>
      <c r="Q173" s="0"/>
    </row>
    <row r="174" customFormat="false" ht="12.8" hidden="false" customHeight="false" outlineLevel="0" collapsed="false">
      <c r="C174" s="296"/>
      <c r="L174" s="0"/>
      <c r="Q174" s="0"/>
    </row>
    <row r="175" customFormat="false" ht="12.8" hidden="false" customHeight="false" outlineLevel="0" collapsed="false">
      <c r="C175" s="296"/>
      <c r="L175" s="0"/>
      <c r="Q175" s="0"/>
    </row>
    <row r="176" customFormat="false" ht="12.8" hidden="false" customHeight="false" outlineLevel="0" collapsed="false">
      <c r="C176" s="296"/>
      <c r="L176" s="0"/>
      <c r="Q176" s="0"/>
    </row>
    <row r="177" customFormat="false" ht="12.8" hidden="false" customHeight="false" outlineLevel="0" collapsed="false">
      <c r="C177" s="296"/>
      <c r="L177" s="0"/>
      <c r="Q177" s="0"/>
    </row>
    <row r="178" customFormat="false" ht="12.8" hidden="false" customHeight="false" outlineLevel="0" collapsed="false">
      <c r="C178" s="133"/>
      <c r="L178" s="0"/>
      <c r="Q178" s="0"/>
    </row>
    <row r="179" customFormat="false" ht="12.8" hidden="false" customHeight="false" outlineLevel="0" collapsed="false">
      <c r="C179" s="133"/>
      <c r="L179" s="0"/>
      <c r="Q179" s="0"/>
    </row>
    <row r="180" customFormat="false" ht="12.8" hidden="false" customHeight="false" outlineLevel="0" collapsed="false">
      <c r="L180" s="0"/>
      <c r="Q180" s="0"/>
    </row>
    <row r="181" customFormat="false" ht="12.8" hidden="false" customHeight="false" outlineLevel="0" collapsed="false">
      <c r="L181" s="0"/>
      <c r="Q181" s="0"/>
    </row>
    <row r="182" customFormat="false" ht="12.8" hidden="false" customHeight="false" outlineLevel="0" collapsed="false">
      <c r="L182" s="0"/>
      <c r="Q182" s="0"/>
    </row>
    <row r="183" customFormat="false" ht="12.8" hidden="false" customHeight="false" outlineLevel="0" collapsed="false">
      <c r="L183" s="0"/>
      <c r="Q183" s="0"/>
    </row>
    <row r="184" customFormat="false" ht="12.8" hidden="false" customHeight="false" outlineLevel="0" collapsed="false">
      <c r="L184" s="0"/>
      <c r="Q184" s="0"/>
    </row>
    <row r="185" customFormat="false" ht="12.8" hidden="false" customHeight="false" outlineLevel="0" collapsed="false">
      <c r="Q185" s="0"/>
    </row>
    <row r="186" customFormat="false" ht="12.8" hidden="false" customHeight="false" outlineLevel="0" collapsed="false">
      <c r="Q186" s="0"/>
    </row>
    <row r="187" customFormat="false" ht="12.8" hidden="false" customHeight="false" outlineLevel="0" collapsed="false">
      <c r="Q187" s="0"/>
    </row>
    <row r="188" customFormat="false" ht="12.8" hidden="false" customHeight="false" outlineLevel="0" collapsed="false">
      <c r="Q188" s="0"/>
    </row>
    <row r="189" customFormat="false" ht="12.8" hidden="false" customHeight="false" outlineLevel="0" collapsed="false">
      <c r="Q189" s="0"/>
    </row>
    <row r="190" customFormat="false" ht="12.8" hidden="false" customHeight="false" outlineLevel="0" collapsed="false">
      <c r="Q190" s="0"/>
    </row>
    <row r="191" customFormat="false" ht="12.8" hidden="false" customHeight="false" outlineLevel="0" collapsed="false">
      <c r="Q191" s="0"/>
    </row>
    <row r="192" customFormat="false" ht="12.8" hidden="false" customHeight="false" outlineLevel="0" collapsed="false">
      <c r="Q192" s="0"/>
    </row>
    <row r="193" customFormat="false" ht="12.8" hidden="false" customHeight="false" outlineLevel="0" collapsed="false">
      <c r="Q193" s="0"/>
    </row>
    <row r="194" customFormat="false" ht="12.8" hidden="false" customHeight="false" outlineLevel="0" collapsed="false">
      <c r="Q194" s="0"/>
    </row>
    <row r="195" customFormat="false" ht="12.8" hidden="false" customHeight="false" outlineLevel="0" collapsed="false">
      <c r="Q195" s="0"/>
    </row>
    <row r="196" customFormat="false" ht="12.8" hidden="false" customHeight="false" outlineLevel="0" collapsed="false">
      <c r="Q196" s="0"/>
    </row>
    <row r="197" customFormat="false" ht="12.8" hidden="false" customHeight="false" outlineLevel="0" collapsed="false">
      <c r="Q19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5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B4" r:id="rId1" display="CT_HYDRO_174"/>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7.xml><?xml version="1.0" encoding="utf-8"?>
<worksheet xmlns="http://schemas.openxmlformats.org/spreadsheetml/2006/main" xmlns:r="http://schemas.openxmlformats.org/officeDocument/2006/relationships">
  <sheetPr filterMode="false">
    <tabColor rgb="FF00CC33"/>
    <pageSetUpPr fitToPage="false"/>
  </sheetPr>
  <dimension ref="A1:V7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C46" activeCellId="0" sqref="C46"/>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7.32"/>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12.97"/>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22" t="s">
        <v>108</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5.8" hidden="false" customHeight="true" outlineLevel="0" collapsed="false">
      <c r="A4" s="0"/>
      <c r="B4" s="16" t="s">
        <v>537</v>
      </c>
      <c r="C4" s="16" t="n">
        <v>61553</v>
      </c>
      <c r="D4" s="5" t="s">
        <v>538</v>
      </c>
      <c r="E4" s="14" t="s">
        <v>539</v>
      </c>
      <c r="F4" s="15" t="n">
        <v>1850</v>
      </c>
      <c r="G4" s="15"/>
      <c r="H4" s="15" t="n">
        <v>850</v>
      </c>
      <c r="I4" s="16"/>
      <c r="J4" s="15"/>
      <c r="K4" s="5"/>
      <c r="L4" s="16"/>
      <c r="M4" s="16" t="n">
        <v>1000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c r="H6" s="19"/>
      <c r="I6" s="19"/>
      <c r="J6" s="19"/>
      <c r="K6" s="19"/>
      <c r="L6" s="19"/>
      <c r="M6" s="19"/>
      <c r="N6" s="19"/>
      <c r="P6" s="21" t="n">
        <v>41165</v>
      </c>
      <c r="Q6" s="19" t="s">
        <v>27</v>
      </c>
      <c r="R6" s="9"/>
      <c r="S6" s="22"/>
      <c r="T6" s="5" t="s">
        <v>28</v>
      </c>
    </row>
    <row r="7" customFormat="false" ht="66.9" hidden="false" customHeight="true" outlineLevel="0" collapsed="false">
      <c r="A7" s="0"/>
      <c r="B7" s="0"/>
      <c r="C7" s="23" t="s">
        <v>540</v>
      </c>
      <c r="D7" s="23"/>
      <c r="F7" s="20"/>
      <c r="G7" s="20"/>
      <c r="H7" s="19"/>
      <c r="I7" s="19"/>
      <c r="J7" s="19"/>
      <c r="K7" s="19"/>
      <c r="L7" s="19"/>
      <c r="M7" s="19"/>
      <c r="N7" s="19"/>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19.85" hidden="false" customHeight="true" outlineLevel="0" collapsed="false">
      <c r="A10" s="0" t="n">
        <v>31</v>
      </c>
      <c r="B10" s="31" t="n">
        <v>42370</v>
      </c>
      <c r="C10" s="1" t="n">
        <v>985430</v>
      </c>
      <c r="D10" s="367" t="s">
        <v>41</v>
      </c>
      <c r="E10" s="33" t="n">
        <f aca="false">IF(D10="totale",(C10/(A10*24))/F10,IF(D10="marché libre",(C10/(A10*24))/G10,"spécifier histo"))</f>
        <v>0.715947399011915</v>
      </c>
      <c r="F10" s="59" t="n">
        <v>1850</v>
      </c>
      <c r="G10" s="59" t="n">
        <v>850</v>
      </c>
      <c r="H10" s="58" t="n">
        <v>1000</v>
      </c>
      <c r="J10" s="55"/>
    </row>
    <row r="11" customFormat="false" ht="19.85" hidden="false" customHeight="true" outlineLevel="0" collapsed="false">
      <c r="A11" s="0" t="n">
        <v>28</v>
      </c>
      <c r="B11" s="34" t="n">
        <v>42401</v>
      </c>
      <c r="C11" s="1" t="n">
        <v>1075540</v>
      </c>
      <c r="D11" s="367" t="s">
        <v>41</v>
      </c>
      <c r="E11" s="33" t="n">
        <f aca="false">IF(D11="totale",(C11/(A11*24))/F11,IF(D11="marché libre",(C11/(A11*24))/G11,"spécifier histo"))</f>
        <v>0.865138352638353</v>
      </c>
      <c r="F11" s="59" t="n">
        <v>1850</v>
      </c>
      <c r="G11" s="59" t="n">
        <v>850</v>
      </c>
      <c r="H11" s="58" t="n">
        <v>1000</v>
      </c>
      <c r="J11" s="55"/>
    </row>
    <row r="12" customFormat="false" ht="19.85" hidden="false" customHeight="true" outlineLevel="0" collapsed="false">
      <c r="A12" s="0" t="n">
        <v>31</v>
      </c>
      <c r="B12" s="31" t="n">
        <v>42430</v>
      </c>
      <c r="C12" s="58" t="n">
        <v>1226150</v>
      </c>
      <c r="D12" s="367" t="s">
        <v>41</v>
      </c>
      <c r="E12" s="33" t="n">
        <f aca="false">IF(D12="totale",(C12/(A12*24))/F12,IF(D12="marché libre",(C12/(A12*24))/G12,"spécifier histo"))</f>
        <v>0.890838419064225</v>
      </c>
      <c r="F12" s="59" t="n">
        <v>1850</v>
      </c>
      <c r="G12" s="59" t="n">
        <v>850</v>
      </c>
      <c r="H12" s="58" t="n">
        <v>1000</v>
      </c>
      <c r="J12" s="55"/>
      <c r="K12" s="0"/>
    </row>
    <row r="13" customFormat="false" ht="19.85" hidden="false" customHeight="true" outlineLevel="0" collapsed="false">
      <c r="A13" s="0" t="n">
        <v>30</v>
      </c>
      <c r="B13" s="34" t="n">
        <v>42461</v>
      </c>
      <c r="C13" s="58" t="n">
        <v>1145960</v>
      </c>
      <c r="D13" s="367" t="s">
        <v>41</v>
      </c>
      <c r="E13" s="33" t="n">
        <f aca="false">IF(D13="totale",(C13/(A13*24))/F13,IF(D13="marché libre",(C13/(A13*24))/G13,"spécifier histo"))</f>
        <v>0.86033033033033</v>
      </c>
      <c r="F13" s="59" t="n">
        <v>1850</v>
      </c>
      <c r="G13" s="59" t="n">
        <v>850</v>
      </c>
      <c r="H13" s="58" t="n">
        <v>1000</v>
      </c>
      <c r="J13" s="55"/>
      <c r="K13" s="0"/>
    </row>
    <row r="14" customFormat="false" ht="19.85" hidden="false" customHeight="true" outlineLevel="0" collapsed="false">
      <c r="A14" s="0" t="n">
        <v>31</v>
      </c>
      <c r="B14" s="31" t="n">
        <v>42491</v>
      </c>
      <c r="C14" s="58" t="n">
        <v>1100990</v>
      </c>
      <c r="D14" s="367" t="s">
        <v>41</v>
      </c>
      <c r="E14" s="33" t="n">
        <f aca="false">IF(D14="totale",(C14/(A14*24))/F14,IF(D14="marché libre",(C14/(A14*24))/G14,"spécifier histo"))</f>
        <v>0.799905550712002</v>
      </c>
      <c r="F14" s="59" t="n">
        <v>1850</v>
      </c>
      <c r="G14" s="59" t="n">
        <v>850</v>
      </c>
      <c r="H14" s="58" t="n">
        <v>1000</v>
      </c>
      <c r="J14" s="55"/>
      <c r="K14" s="0"/>
    </row>
    <row r="15" customFormat="false" ht="19.85" hidden="false" customHeight="true" outlineLevel="0" collapsed="false">
      <c r="A15" s="0" t="n">
        <v>30</v>
      </c>
      <c r="B15" s="34" t="n">
        <v>42522</v>
      </c>
      <c r="C15" s="1" t="n">
        <v>887380</v>
      </c>
      <c r="D15" s="367" t="s">
        <v>41</v>
      </c>
      <c r="E15" s="33" t="n">
        <f aca="false">IF(D15="totale",(C15/(A15*24))/F15,IF(D15="marché libre",(C15/(A15*24))/G15,"spécifier histo"))</f>
        <v>0.666201201201201</v>
      </c>
      <c r="F15" s="59" t="n">
        <v>1850</v>
      </c>
      <c r="G15" s="59" t="n">
        <v>850</v>
      </c>
      <c r="H15" s="58" t="n">
        <v>1000</v>
      </c>
      <c r="J15" s="55"/>
      <c r="K15" s="0"/>
    </row>
    <row r="16" customFormat="false" ht="19.85" hidden="false" customHeight="true" outlineLevel="0" collapsed="false">
      <c r="A16" s="0" t="n">
        <v>31</v>
      </c>
      <c r="B16" s="31" t="n">
        <v>42552</v>
      </c>
      <c r="C16" s="1" t="n">
        <v>353355</v>
      </c>
      <c r="D16" s="367" t="s">
        <v>41</v>
      </c>
      <c r="E16" s="33" t="n">
        <f aca="false">IF(D16="totale",(C16/(A16*24))/F16,IF(D16="marché libre",(C16/(A16*24))/G16,"spécifier histo"))</f>
        <v>0.25672406277245</v>
      </c>
      <c r="F16" s="59" t="n">
        <v>1850</v>
      </c>
      <c r="G16" s="59" t="n">
        <v>850</v>
      </c>
      <c r="H16" s="58" t="n">
        <v>1000</v>
      </c>
      <c r="J16" s="55"/>
      <c r="K16" s="0"/>
    </row>
    <row r="17" customFormat="false" ht="19.85" hidden="false" customHeight="true" outlineLevel="0" collapsed="false">
      <c r="A17" s="0" t="n">
        <v>31</v>
      </c>
      <c r="B17" s="34" t="n">
        <v>42583</v>
      </c>
      <c r="C17" s="1" t="n">
        <v>257340</v>
      </c>
      <c r="D17" s="367" t="s">
        <v>41</v>
      </c>
      <c r="E17" s="33" t="n">
        <f aca="false">IF(D17="totale",(C17/(A17*24))/F17,IF(D17="marché libre",(C17/(A17*24))/G17,"spécifier histo"))</f>
        <v>0.186965998256321</v>
      </c>
      <c r="F17" s="59" t="n">
        <v>1850</v>
      </c>
      <c r="G17" s="59" t="n">
        <v>850</v>
      </c>
      <c r="H17" s="58" t="n">
        <v>1000</v>
      </c>
      <c r="J17" s="55"/>
      <c r="K17" s="0"/>
    </row>
    <row r="18" customFormat="false" ht="19.85" hidden="false" customHeight="true" outlineLevel="0" collapsed="false">
      <c r="A18" s="0" t="n">
        <v>30</v>
      </c>
      <c r="B18" s="31" t="n">
        <v>42614</v>
      </c>
      <c r="C18" s="1" t="n">
        <v>274160</v>
      </c>
      <c r="D18" s="367" t="s">
        <v>41</v>
      </c>
      <c r="E18" s="33" t="n">
        <f aca="false">IF(D18="totale",(C18/(A18*24))/F18,IF(D18="marché libre",(C18/(A18*24))/G18,"spécifier histo"))</f>
        <v>0.205825825825826</v>
      </c>
      <c r="F18" s="59" t="n">
        <v>1850</v>
      </c>
      <c r="G18" s="59" t="n">
        <v>850</v>
      </c>
      <c r="H18" s="58" t="n">
        <v>1000</v>
      </c>
      <c r="J18" s="55"/>
      <c r="K18" s="0"/>
    </row>
    <row r="19" customFormat="false" ht="19.85" hidden="false" customHeight="true" outlineLevel="0" collapsed="false">
      <c r="A19" s="0" t="n">
        <v>31</v>
      </c>
      <c r="B19" s="34" t="n">
        <v>42644</v>
      </c>
      <c r="C19" s="1" t="n">
        <v>346875</v>
      </c>
      <c r="D19" s="367" t="s">
        <v>41</v>
      </c>
      <c r="E19" s="33" t="n">
        <f aca="false">IF(D19="totale",(C19/(A19*24))/F19,IF(D19="marché libre",(C19/(A19*24))/G19,"spécifier histo"))</f>
        <v>0.252016129032258</v>
      </c>
      <c r="F19" s="59" t="n">
        <v>1850</v>
      </c>
      <c r="G19" s="59" t="n">
        <v>850</v>
      </c>
      <c r="H19" s="58" t="n">
        <v>1000</v>
      </c>
      <c r="J19" s="55"/>
      <c r="K19" s="0"/>
    </row>
    <row r="20" customFormat="false" ht="19.85" hidden="false" customHeight="true" outlineLevel="0" collapsed="false">
      <c r="A20" s="0" t="n">
        <v>30</v>
      </c>
      <c r="B20" s="31" t="n">
        <v>42675</v>
      </c>
      <c r="C20" s="1" t="n">
        <v>295390</v>
      </c>
      <c r="D20" s="367" t="s">
        <v>41</v>
      </c>
      <c r="E20" s="33" t="n">
        <f aca="false">IF(D20="totale",(C20/(A20*24))/F20,IF(D20="marché libre",(C20/(A20*24))/G20,"spécifier histo"))</f>
        <v>0.221764264264264</v>
      </c>
      <c r="F20" s="59" t="n">
        <v>1850</v>
      </c>
      <c r="G20" s="59" t="n">
        <v>850</v>
      </c>
      <c r="H20" s="58" t="n">
        <v>1000</v>
      </c>
      <c r="J20" s="55"/>
      <c r="K20" s="0"/>
    </row>
    <row r="21" customFormat="false" ht="19.85" hidden="false" customHeight="true" outlineLevel="0" collapsed="false">
      <c r="A21" s="0" t="n">
        <v>31</v>
      </c>
      <c r="B21" s="34" t="n">
        <v>42705</v>
      </c>
      <c r="C21" s="1" t="n">
        <v>821040</v>
      </c>
      <c r="D21" s="367" t="s">
        <v>41</v>
      </c>
      <c r="E21" s="33" t="n">
        <f aca="false">IF(D21="totale",(C21/(A21*24))/F21,IF(D21="marché libre",(C21/(A21*24))/G21,"spécifier histo"))</f>
        <v>0.596512641673932</v>
      </c>
      <c r="F21" s="59" t="n">
        <v>1850</v>
      </c>
      <c r="G21" s="59" t="n">
        <v>850</v>
      </c>
      <c r="H21" s="58" t="n">
        <v>1000</v>
      </c>
      <c r="J21" s="55"/>
      <c r="K21" s="0"/>
    </row>
    <row r="22" customFormat="false" ht="19.85" hidden="false" customHeight="true" outlineLevel="0" collapsed="false">
      <c r="A22" s="0" t="n">
        <v>31</v>
      </c>
      <c r="B22" s="31" t="n">
        <v>42736</v>
      </c>
      <c r="C22" s="1" t="n">
        <v>733301</v>
      </c>
      <c r="D22" s="367" t="s">
        <v>41</v>
      </c>
      <c r="E22" s="33" t="n">
        <f aca="false">IF(D22="totale",(C22/(A22*24))/F22,IF(D22="marché libre",(C22/(A22*24))/G22,"spécifier histo"))</f>
        <v>0.532767364138332</v>
      </c>
      <c r="F22" s="59" t="n">
        <v>1850</v>
      </c>
      <c r="G22" s="59" t="n">
        <v>850</v>
      </c>
      <c r="H22" s="58" t="n">
        <v>1000</v>
      </c>
      <c r="J22" s="30"/>
      <c r="K22" s="0"/>
    </row>
    <row r="23" customFormat="false" ht="19.85" hidden="false" customHeight="true" outlineLevel="0" collapsed="false">
      <c r="A23" s="0" t="n">
        <v>28</v>
      </c>
      <c r="B23" s="34" t="n">
        <v>42767</v>
      </c>
      <c r="C23" s="26" t="n">
        <v>876618</v>
      </c>
      <c r="D23" s="367" t="s">
        <v>41</v>
      </c>
      <c r="E23" s="33" t="n">
        <f aca="false">IF(D23="totale",(C23/(A23*24))/F23,IF(D23="marché libre",(C23/(A23*24))/G23,"spécifier histo"))</f>
        <v>0.705130308880309</v>
      </c>
      <c r="F23" s="59" t="n">
        <v>1850</v>
      </c>
      <c r="G23" s="59" t="n">
        <v>850</v>
      </c>
      <c r="H23" s="58" t="n">
        <v>1000</v>
      </c>
      <c r="J23" s="55"/>
      <c r="K23" s="0"/>
    </row>
    <row r="24" customFormat="false" ht="19.85" hidden="false" customHeight="true" outlineLevel="0" collapsed="false">
      <c r="A24" s="0" t="n">
        <v>31</v>
      </c>
      <c r="B24" s="31" t="n">
        <v>42795</v>
      </c>
      <c r="C24" s="1" t="n">
        <v>1091116</v>
      </c>
      <c r="D24" s="367" t="s">
        <v>41</v>
      </c>
      <c r="E24" s="33" t="n">
        <f aca="false">IF(D24="totale",(C24/(A24*24))/F24,IF(D24="marché libre",(C24/(A24*24))/G24,"spécifier histo"))</f>
        <v>0.792731764022087</v>
      </c>
      <c r="F24" s="59" t="n">
        <v>1850</v>
      </c>
      <c r="G24" s="59" t="n">
        <v>850</v>
      </c>
      <c r="H24" s="58" t="n">
        <v>1000</v>
      </c>
      <c r="J24" s="55"/>
      <c r="K24" s="0"/>
    </row>
    <row r="25" customFormat="false" ht="19.85" hidden="false" customHeight="true" outlineLevel="0" collapsed="false">
      <c r="A25" s="0" t="n">
        <v>30</v>
      </c>
      <c r="B25" s="34" t="n">
        <v>42826</v>
      </c>
      <c r="C25" s="1" t="n">
        <v>1042722</v>
      </c>
      <c r="D25" s="367" t="s">
        <v>41</v>
      </c>
      <c r="E25" s="33" t="n">
        <f aca="false">IF(D25="totale",(C25/(A25*24))/F25,IF(D25="marché libre",(C25/(A25*24))/G25,"spécifier histo"))</f>
        <v>0.782824324324324</v>
      </c>
      <c r="F25" s="59" t="n">
        <v>1850</v>
      </c>
      <c r="G25" s="59" t="n">
        <v>850</v>
      </c>
      <c r="H25" s="58" t="n">
        <v>1000</v>
      </c>
      <c r="J25" s="55"/>
      <c r="K25" s="0"/>
    </row>
    <row r="26" customFormat="false" ht="19.85" hidden="false" customHeight="true" outlineLevel="0" collapsed="false">
      <c r="A26" s="0" t="n">
        <v>31</v>
      </c>
      <c r="B26" s="31" t="n">
        <v>42856</v>
      </c>
      <c r="C26" s="1" t="n">
        <v>958875</v>
      </c>
      <c r="D26" s="367" t="s">
        <v>41</v>
      </c>
      <c r="E26" s="33" t="n">
        <f aca="false">IF(D26="totale",(C26/(A26*24))/F26,IF(D26="marché libre",(C26/(A26*24))/G26,"spécifier histo"))</f>
        <v>0.696654315605928</v>
      </c>
      <c r="F26" s="59" t="n">
        <v>1850</v>
      </c>
      <c r="G26" s="59" t="n">
        <v>850</v>
      </c>
      <c r="H26" s="58" t="n">
        <v>1000</v>
      </c>
      <c r="J26" s="55"/>
      <c r="K26" s="0"/>
    </row>
    <row r="27" customFormat="false" ht="22.45" hidden="false" customHeight="true" outlineLevel="0" collapsed="false">
      <c r="A27" s="0" t="n">
        <v>30</v>
      </c>
      <c r="B27" s="34" t="n">
        <v>42887</v>
      </c>
      <c r="C27" s="1" t="n">
        <v>333219</v>
      </c>
      <c r="D27" s="367" t="s">
        <v>41</v>
      </c>
      <c r="E27" s="33" t="n">
        <f aca="false">IF(D27="totale",(C27/(A27*24))/F27,IF(D27="marché libre",(C27/(A27*24))/G27,"spécifier histo"))</f>
        <v>0.250164414414414</v>
      </c>
      <c r="F27" s="59" t="n">
        <v>1850</v>
      </c>
      <c r="G27" s="59" t="n">
        <v>850</v>
      </c>
      <c r="H27" s="58" t="n">
        <v>1000</v>
      </c>
      <c r="J27" s="55"/>
      <c r="K27" s="0"/>
    </row>
    <row r="28" customFormat="false" ht="21.65" hidden="false" customHeight="true" outlineLevel="0" collapsed="false">
      <c r="A28" s="0" t="n">
        <v>31</v>
      </c>
      <c r="B28" s="31" t="n">
        <v>42917</v>
      </c>
      <c r="C28" s="1" t="n">
        <v>220392</v>
      </c>
      <c r="D28" s="367" t="s">
        <v>41</v>
      </c>
      <c r="E28" s="33" t="n">
        <f aca="false">IF(D28="totale",(C28/(A28*24))/F28,IF(D28="marché libre",(C28/(A28*24))/G28,"spécifier histo"))</f>
        <v>0.160122057541412</v>
      </c>
      <c r="F28" s="59" t="n">
        <v>1850</v>
      </c>
      <c r="G28" s="59" t="n">
        <v>850</v>
      </c>
      <c r="H28" s="58" t="n">
        <v>1000</v>
      </c>
      <c r="J28" s="55"/>
      <c r="K28" s="0"/>
    </row>
    <row r="29" customFormat="false" ht="21.65" hidden="false" customHeight="true" outlineLevel="0" collapsed="false">
      <c r="A29" s="0" t="n">
        <v>31</v>
      </c>
      <c r="B29" s="34" t="n">
        <v>42948</v>
      </c>
      <c r="C29" s="1" t="n">
        <v>56980</v>
      </c>
      <c r="D29" s="367" t="s">
        <v>41</v>
      </c>
      <c r="E29" s="33" t="n">
        <f aca="false">IF(D29="totale",(C29/(A29*24))/F29,IF(D29="marché libre",(C29/(A29*24))/G29,"spécifier histo"))</f>
        <v>0.0413978494623656</v>
      </c>
      <c r="F29" s="59" t="n">
        <v>1850</v>
      </c>
      <c r="G29" s="59" t="n">
        <v>850</v>
      </c>
      <c r="H29" s="58" t="n">
        <v>1000</v>
      </c>
      <c r="J29" s="55"/>
      <c r="K29" s="0"/>
    </row>
    <row r="30" customFormat="false" ht="21.65" hidden="false" customHeight="true" outlineLevel="0" collapsed="false">
      <c r="A30" s="0" t="n">
        <v>30</v>
      </c>
      <c r="B30" s="31" t="n">
        <v>42979</v>
      </c>
      <c r="C30" s="1" t="n">
        <v>122213</v>
      </c>
      <c r="D30" s="367" t="s">
        <v>41</v>
      </c>
      <c r="E30" s="33" t="n">
        <f aca="false">IF(D30="totale",(C30/(A30*24))/F30,IF(D30="marché libre",(C30/(A30*24))/G30,"spécifier histo"))</f>
        <v>0.0917515015015015</v>
      </c>
      <c r="F30" s="59" t="n">
        <v>1850</v>
      </c>
      <c r="G30" s="59" t="n">
        <v>850</v>
      </c>
      <c r="H30" s="58" t="n">
        <v>1000</v>
      </c>
      <c r="J30" s="55"/>
      <c r="K30" s="0"/>
    </row>
    <row r="31" customFormat="false" ht="21.65" hidden="false" customHeight="true" outlineLevel="0" collapsed="false">
      <c r="A31" s="0" t="n">
        <v>31</v>
      </c>
      <c r="B31" s="34" t="n">
        <v>43009</v>
      </c>
      <c r="C31" s="1" t="n">
        <v>149387</v>
      </c>
      <c r="D31" s="367" t="s">
        <v>41</v>
      </c>
      <c r="E31" s="33" t="n">
        <f aca="false">IF(D31="totale",(C31/(A31*24))/F31,IF(D31="marché libre",(C31/(A31*24))/G31,"spécifier histo"))</f>
        <v>0.108534582970067</v>
      </c>
      <c r="F31" s="59" t="n">
        <v>1850</v>
      </c>
      <c r="G31" s="59" t="n">
        <v>850</v>
      </c>
      <c r="H31" s="58" t="n">
        <v>1000</v>
      </c>
      <c r="J31" s="55"/>
      <c r="K31" s="0"/>
    </row>
    <row r="32" customFormat="false" ht="21.65" hidden="false" customHeight="true" outlineLevel="0" collapsed="false">
      <c r="A32" s="0" t="n">
        <v>30</v>
      </c>
      <c r="B32" s="31" t="n">
        <v>43040</v>
      </c>
      <c r="C32" s="1" t="n">
        <v>499512</v>
      </c>
      <c r="D32" s="367" t="s">
        <v>41</v>
      </c>
      <c r="E32" s="33" t="n">
        <f aca="false">IF(D32="totale",(C32/(A32*24))/F32,IF(D32="marché libre",(C32/(A32*24))/G32,"spécifier histo"))</f>
        <v>0.375009009009009</v>
      </c>
      <c r="F32" s="59" t="n">
        <v>1850</v>
      </c>
      <c r="G32" s="59" t="n">
        <v>850</v>
      </c>
      <c r="H32" s="58" t="n">
        <v>1000</v>
      </c>
      <c r="J32" s="55"/>
      <c r="K32" s="0"/>
    </row>
    <row r="33" customFormat="false" ht="21.65" hidden="false" customHeight="true" outlineLevel="0" collapsed="false">
      <c r="A33" s="0" t="n">
        <v>31</v>
      </c>
      <c r="B33" s="34" t="n">
        <v>43070</v>
      </c>
      <c r="C33" s="1" t="n">
        <v>814416</v>
      </c>
      <c r="D33" s="367" t="s">
        <v>41</v>
      </c>
      <c r="E33" s="33" t="n">
        <f aca="false">IF(D33="totale",(C33/(A33*24))/F33,IF(D33="marché libre",(C33/(A33*24))/G33,"spécifier histo"))</f>
        <v>0.591700087183958</v>
      </c>
      <c r="F33" s="59" t="n">
        <v>1850</v>
      </c>
      <c r="G33" s="59" t="n">
        <v>850</v>
      </c>
      <c r="H33" s="58" t="n">
        <v>1000</v>
      </c>
      <c r="J33" s="55"/>
      <c r="K33" s="0"/>
    </row>
    <row r="34" customFormat="false" ht="22.05" hidden="false" customHeight="true" outlineLevel="0" collapsed="false">
      <c r="A34" s="0" t="n">
        <v>31</v>
      </c>
      <c r="B34" s="31" t="n">
        <v>43101</v>
      </c>
      <c r="C34" s="1" t="n">
        <v>596651</v>
      </c>
      <c r="D34" s="367" t="s">
        <v>41</v>
      </c>
      <c r="E34" s="33" t="n">
        <f aca="false">IF(D34="totale",(C34/(A34*24))/F34,IF(D34="marché libre",(C34/(A34*24))/G34,"spécifier histo"))</f>
        <v>0.433486631793083</v>
      </c>
      <c r="F34" s="59" t="n">
        <v>1850</v>
      </c>
      <c r="G34" s="59" t="n">
        <v>850</v>
      </c>
      <c r="H34" s="58" t="n">
        <v>1000</v>
      </c>
      <c r="J34" s="30"/>
    </row>
    <row r="35" customFormat="false" ht="28.35" hidden="false" customHeight="true" outlineLevel="0" collapsed="false">
      <c r="A35" s="0" t="n">
        <v>29</v>
      </c>
      <c r="B35" s="34" t="n">
        <v>43132</v>
      </c>
      <c r="C35" s="1" t="n">
        <v>1131002</v>
      </c>
      <c r="D35" s="367" t="s">
        <v>41</v>
      </c>
      <c r="E35" s="33" t="n">
        <f aca="false">IF(D35="totale",(C35/(A35*24))/F35,IF(D35="marché libre",(C35/(A35*24))/G35,"spécifier histo"))</f>
        <v>0.878379931655794</v>
      </c>
      <c r="F35" s="59" t="n">
        <v>1850</v>
      </c>
      <c r="G35" s="59" t="n">
        <v>850</v>
      </c>
      <c r="H35" s="58" t="n">
        <v>1000</v>
      </c>
    </row>
    <row r="36" customFormat="false" ht="28.35" hidden="false" customHeight="true" outlineLevel="0" collapsed="false">
      <c r="A36" s="0" t="n">
        <v>31</v>
      </c>
      <c r="B36" s="31" t="n">
        <v>43160</v>
      </c>
      <c r="C36" s="1" t="n">
        <v>1219224</v>
      </c>
      <c r="D36" s="367" t="s">
        <v>41</v>
      </c>
      <c r="E36" s="33" t="n">
        <f aca="false">IF(D36="totale",(C36/(A36*24))/F36,IF(D36="marché libre",(C36/(A36*24))/G36,"spécifier histo"))</f>
        <v>0.885806451612903</v>
      </c>
      <c r="F36" s="59" t="n">
        <v>1850</v>
      </c>
      <c r="G36" s="59" t="n">
        <v>850</v>
      </c>
      <c r="H36" s="58" t="n">
        <v>1000</v>
      </c>
    </row>
    <row r="37" customFormat="false" ht="28.35" hidden="false" customHeight="true" outlineLevel="0" collapsed="false">
      <c r="A37" s="0" t="n">
        <v>30</v>
      </c>
      <c r="B37" s="34" t="n">
        <v>43191</v>
      </c>
      <c r="C37" s="1" t="n">
        <v>1040353</v>
      </c>
      <c r="D37" s="367" t="s">
        <v>41</v>
      </c>
      <c r="E37" s="33" t="n">
        <f aca="false">IF(D37="totale",(C37/(A37*24))/F37,IF(D37="marché libre",(C37/(A37*24))/G37,"spécifier histo"))</f>
        <v>0.781045795795796</v>
      </c>
      <c r="F37" s="59" t="n">
        <v>1850</v>
      </c>
      <c r="G37" s="59" t="n">
        <v>850</v>
      </c>
      <c r="H37" s="58" t="n">
        <v>1000</v>
      </c>
    </row>
    <row r="38" customFormat="false" ht="28.35" hidden="false" customHeight="true" outlineLevel="0" collapsed="false">
      <c r="A38" s="0" t="n">
        <v>31</v>
      </c>
      <c r="B38" s="31" t="n">
        <v>43221</v>
      </c>
      <c r="C38" s="1" t="n">
        <v>1141444</v>
      </c>
      <c r="D38" s="367" t="s">
        <v>41</v>
      </c>
      <c r="E38" s="33" t="n">
        <f aca="false">IF(D38="totale",(C38/(A38*24))/F38,IF(D38="marché libre",(C38/(A38*24))/G38,"spécifier histo"))</f>
        <v>0.82929671607091</v>
      </c>
      <c r="F38" s="59" t="n">
        <v>1850</v>
      </c>
      <c r="G38" s="59" t="n">
        <v>850</v>
      </c>
      <c r="H38" s="58" t="n">
        <v>1000</v>
      </c>
    </row>
    <row r="39" customFormat="false" ht="28.35" hidden="false" customHeight="true" outlineLevel="0" collapsed="false">
      <c r="A39" s="0" t="n">
        <v>30</v>
      </c>
      <c r="B39" s="34" t="n">
        <v>43252</v>
      </c>
      <c r="C39" s="1" t="n">
        <v>1081915</v>
      </c>
      <c r="D39" s="367" t="s">
        <v>41</v>
      </c>
      <c r="E39" s="33" t="n">
        <f aca="false">IF(D39="totale",(C39/(A39*24))/F39,IF(D39="marché libre",(C39/(A39*24))/G39,"spécifier histo"))</f>
        <v>0.812248498498498</v>
      </c>
      <c r="F39" s="59" t="n">
        <v>1850</v>
      </c>
      <c r="G39" s="59" t="n">
        <v>850</v>
      </c>
      <c r="H39" s="58" t="n">
        <v>1000</v>
      </c>
    </row>
    <row r="40" customFormat="false" ht="28.35" hidden="false" customHeight="true" outlineLevel="0" collapsed="false">
      <c r="A40" s="0" t="n">
        <v>31</v>
      </c>
      <c r="B40" s="31" t="n">
        <v>43282</v>
      </c>
      <c r="C40" s="1" t="n">
        <v>435166</v>
      </c>
      <c r="D40" s="367" t="s">
        <v>41</v>
      </c>
      <c r="E40" s="33" t="n">
        <f aca="false">IF(D40="totale",(C40/(A40*24))/F40,IF(D40="marché libre",(C40/(A40*24))/G40,"spécifier histo"))</f>
        <v>0.316162452775356</v>
      </c>
      <c r="F40" s="59" t="n">
        <v>1850</v>
      </c>
      <c r="G40" s="59" t="n">
        <v>850</v>
      </c>
      <c r="H40" s="58" t="n">
        <v>1000</v>
      </c>
    </row>
    <row r="41" customFormat="false" ht="28.35" hidden="false" customHeight="true" outlineLevel="0" collapsed="false">
      <c r="A41" s="0" t="n">
        <v>31</v>
      </c>
      <c r="B41" s="34" t="n">
        <v>43313</v>
      </c>
      <c r="C41" s="1" t="n">
        <v>264823</v>
      </c>
      <c r="D41" s="367" t="s">
        <v>41</v>
      </c>
      <c r="E41" s="33" t="n">
        <f aca="false">IF(D41="totale",(C41/(A41*24))/F41,IF(D41="marché libre",(C41/(A41*24))/G41,"spécifier histo"))</f>
        <v>0.192402644580064</v>
      </c>
      <c r="F41" s="59" t="n">
        <v>1850</v>
      </c>
      <c r="G41" s="59" t="n">
        <v>850</v>
      </c>
      <c r="H41" s="58" t="n">
        <v>1000</v>
      </c>
    </row>
    <row r="42" customFormat="false" ht="28.35" hidden="false" customHeight="true" outlineLevel="0" collapsed="false">
      <c r="A42" s="0" t="n">
        <v>30</v>
      </c>
      <c r="B42" s="31" t="n">
        <v>43344</v>
      </c>
      <c r="C42" s="1" t="n">
        <v>242301</v>
      </c>
      <c r="D42" s="367" t="s">
        <v>41</v>
      </c>
      <c r="E42" s="33" t="n">
        <f aca="false">IF(D42="totale",(C42/(A42*24))/F42,IF(D42="marché libre",(C42/(A42*24))/G42,"spécifier histo"))</f>
        <v>0.181907657657658</v>
      </c>
      <c r="F42" s="59" t="n">
        <v>1850</v>
      </c>
      <c r="G42" s="59" t="n">
        <v>850</v>
      </c>
      <c r="H42" s="58" t="n">
        <v>1000</v>
      </c>
    </row>
    <row r="43" customFormat="false" ht="28.35" hidden="false" customHeight="true" outlineLevel="0" collapsed="false">
      <c r="A43" s="0" t="n">
        <v>31</v>
      </c>
      <c r="B43" s="34" t="n">
        <v>43374</v>
      </c>
      <c r="C43" s="1" t="n">
        <v>609372</v>
      </c>
      <c r="D43" s="367" t="s">
        <v>41</v>
      </c>
      <c r="E43" s="33" t="n">
        <f aca="false">IF(D43="totale",(C43/(A43*24))/F43,IF(D43="marché libre",(C43/(A43*24))/G43,"spécifier histo"))</f>
        <v>0.442728857890148</v>
      </c>
      <c r="F43" s="59" t="n">
        <v>1850</v>
      </c>
      <c r="G43" s="59" t="n">
        <v>850</v>
      </c>
      <c r="H43" s="58" t="n">
        <v>1000</v>
      </c>
    </row>
    <row r="44" customFormat="false" ht="28.35" hidden="false" customHeight="true" outlineLevel="0" collapsed="false">
      <c r="A44" s="0" t="n">
        <v>30</v>
      </c>
      <c r="B44" s="31" t="n">
        <v>43405</v>
      </c>
      <c r="C44" s="1" t="n">
        <v>827183</v>
      </c>
      <c r="D44" s="367" t="s">
        <v>41</v>
      </c>
      <c r="E44" s="33" t="n">
        <f aca="false">IF(D44="totale",(C44/(A44*24))/F44,IF(D44="marché libre",(C44/(A44*24))/G44,"spécifier histo"))</f>
        <v>0.621008258258258</v>
      </c>
      <c r="F44" s="59" t="n">
        <v>1850</v>
      </c>
      <c r="G44" s="59" t="n">
        <v>850</v>
      </c>
      <c r="H44" s="58" t="n">
        <v>1000</v>
      </c>
    </row>
    <row r="45" customFormat="false" ht="28.35" hidden="false" customHeight="true" outlineLevel="0" collapsed="false">
      <c r="A45" s="0" t="n">
        <v>31</v>
      </c>
      <c r="B45" s="34" t="n">
        <v>43435</v>
      </c>
      <c r="C45" s="1" t="n">
        <v>1065926</v>
      </c>
      <c r="D45" s="367" t="s">
        <v>41</v>
      </c>
      <c r="E45" s="33" t="n">
        <f aca="false">IF(D45="totale",(C45/(A45*24))/F45,IF(D45="marché libre",(C45/(A45*24))/G45,"spécifier histo"))</f>
        <v>0.774430398140076</v>
      </c>
      <c r="F45" s="59" t="n">
        <v>1850</v>
      </c>
      <c r="G45" s="59" t="n">
        <v>850</v>
      </c>
      <c r="H45" s="58" t="n">
        <v>1000</v>
      </c>
    </row>
    <row r="46" customFormat="false" ht="28.35" hidden="false" customHeight="true" outlineLevel="0" collapsed="false">
      <c r="A46" s="0"/>
    </row>
    <row r="47" customFormat="false" ht="28.35" hidden="false" customHeight="true" outlineLevel="0" collapsed="false">
      <c r="A47" s="0"/>
    </row>
    <row r="48" customFormat="false" ht="28.35" hidden="false" customHeight="true" outlineLevel="0" collapsed="false">
      <c r="A48" s="0"/>
    </row>
    <row r="49" customFormat="false" ht="28.35" hidden="false" customHeight="true" outlineLevel="0" collapsed="false">
      <c r="A49" s="0"/>
    </row>
    <row r="50" customFormat="false" ht="28.35" hidden="false" customHeight="true" outlineLevel="0" collapsed="false">
      <c r="A50" s="0"/>
    </row>
    <row r="51" customFormat="false" ht="28.35" hidden="false" customHeight="true" outlineLevel="0" collapsed="false">
      <c r="A51" s="0"/>
    </row>
    <row r="52" customFormat="false" ht="12.8" hidden="false" customHeight="false" outlineLevel="0" collapsed="false">
      <c r="A52" s="0"/>
    </row>
    <row r="53" customFormat="false" ht="12.8" hidden="false" customHeight="false" outlineLevel="0" collapsed="false">
      <c r="A53" s="0"/>
    </row>
    <row r="54" customFormat="false" ht="12.8" hidden="false" customHeight="false" outlineLevel="0" collapsed="false">
      <c r="A54" s="0"/>
    </row>
    <row r="55" customFormat="false" ht="12.8" hidden="false" customHeight="false" outlineLevel="0" collapsed="false">
      <c r="A55" s="0"/>
    </row>
    <row r="56" customFormat="false" ht="12.8" hidden="false" customHeight="false" outlineLevel="0" collapsed="false">
      <c r="A56" s="0"/>
    </row>
    <row r="57" customFormat="false" ht="12.8" hidden="false" customHeight="false" outlineLevel="0" collapsed="false">
      <c r="A57" s="0"/>
    </row>
    <row r="58" customFormat="false" ht="12.8" hidden="false" customHeight="false" outlineLevel="0" collapsed="false">
      <c r="A58" s="0"/>
    </row>
    <row r="59" customFormat="false" ht="12.8" hidden="false" customHeight="false" outlineLevel="0" collapsed="false">
      <c r="A59" s="0"/>
    </row>
    <row r="60" customFormat="false" ht="12.8" hidden="false" customHeight="false" outlineLevel="0" collapsed="false">
      <c r="A60" s="0"/>
    </row>
    <row r="61" customFormat="false" ht="12.8" hidden="false" customHeight="false" outlineLevel="0" collapsed="false">
      <c r="A61" s="0"/>
    </row>
    <row r="62" customFormat="false" ht="12.8" hidden="false" customHeight="false" outlineLevel="0" collapsed="false">
      <c r="A62" s="0"/>
    </row>
    <row r="63" customFormat="false" ht="12.8" hidden="false" customHeight="false" outlineLevel="0" collapsed="false">
      <c r="A63" s="0"/>
    </row>
    <row r="64" customFormat="false" ht="12.8" hidden="false" customHeight="false" outlineLevel="0" collapsed="false">
      <c r="A64" s="0"/>
    </row>
    <row r="65" customFormat="false" ht="12.8" hidden="false" customHeight="false" outlineLevel="0" collapsed="false">
      <c r="A65" s="0"/>
    </row>
    <row r="66" customFormat="false" ht="12.8" hidden="false" customHeight="false" outlineLevel="0" collapsed="false">
      <c r="A66" s="0"/>
    </row>
    <row r="67" customFormat="false" ht="12.8" hidden="false" customHeight="false" outlineLevel="0" collapsed="false">
      <c r="A67" s="0"/>
    </row>
    <row r="68" customFormat="false" ht="12.8" hidden="false" customHeight="false" outlineLevel="0" collapsed="false">
      <c r="A68" s="0"/>
    </row>
    <row r="69" customFormat="false" ht="12.8" hidden="false" customHeight="false" outlineLevel="0" collapsed="false">
      <c r="A69" s="0"/>
    </row>
    <row r="70" customFormat="false" ht="12.8" hidden="false" customHeight="false" outlineLevel="0" collapsed="false">
      <c r="A70" s="0"/>
    </row>
    <row r="71" customFormat="false" ht="12.8" hidden="false" customHeight="false" outlineLevel="0" collapsed="false">
      <c r="A71" s="0"/>
    </row>
    <row r="72" customFormat="false" ht="12.8" hidden="false" customHeight="false" outlineLevel="0" collapsed="false">
      <c r="A72" s="0"/>
    </row>
    <row r="73" customFormat="false" ht="12.8" hidden="false" customHeight="false" outlineLevel="0" collapsed="false">
      <c r="A73" s="0"/>
    </row>
    <row r="74" customFormat="false" ht="12.8" hidden="false" customHeight="false" outlineLevel="0" collapsed="false">
      <c r="A74" s="0"/>
    </row>
    <row r="75" customFormat="false" ht="12.8" hidden="false" customHeight="false" outlineLevel="0" collapsed="false">
      <c r="A75" s="0"/>
    </row>
    <row r="76" customFormat="false" ht="12.8" hidden="false" customHeight="false" outlineLevel="0" collapsed="false">
      <c r="A76" s="0"/>
    </row>
    <row r="77" customFormat="false" ht="12.8" hidden="false" customHeight="false" outlineLevel="0" collapsed="false">
      <c r="A77" s="0"/>
    </row>
    <row r="78" customFormat="false" ht="12.8" hidden="false" customHeight="false" outlineLevel="0" collapsed="false">
      <c r="A78" s="0"/>
    </row>
    <row r="79" customFormat="false" ht="12.8" hidden="false" customHeight="false" outlineLevel="0" collapsed="false">
      <c r="A79"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4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8.xml><?xml version="1.0" encoding="utf-8"?>
<worksheet xmlns="http://schemas.openxmlformats.org/spreadsheetml/2006/main" xmlns:r="http://schemas.openxmlformats.org/officeDocument/2006/relationships">
  <sheetPr filterMode="false">
    <tabColor rgb="FF00CC33"/>
    <pageSetUpPr fitToPage="false"/>
  </sheetPr>
  <dimension ref="A1:W25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I20" activeCellId="0" sqref="I2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7.32"/>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12.97"/>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22" t="s">
        <v>108</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5.8" hidden="false" customHeight="true" outlineLevel="0" collapsed="false">
      <c r="A4" s="0"/>
      <c r="B4" s="16" t="s">
        <v>541</v>
      </c>
      <c r="C4" s="16" t="n">
        <v>61554</v>
      </c>
      <c r="D4" s="5" t="s">
        <v>542</v>
      </c>
      <c r="E4" s="14" t="s">
        <v>543</v>
      </c>
      <c r="F4" s="15" t="s">
        <v>145</v>
      </c>
      <c r="G4" s="15" t="n">
        <v>1600</v>
      </c>
      <c r="H4" s="15" t="s">
        <v>145</v>
      </c>
      <c r="I4" s="16" t="s">
        <v>544</v>
      </c>
      <c r="J4" s="15" t="n">
        <v>1200</v>
      </c>
      <c r="K4" s="5" t="s">
        <v>545</v>
      </c>
      <c r="L4" s="16" t="s">
        <v>145</v>
      </c>
      <c r="M4" s="16" t="s">
        <v>145</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20" t="s">
        <v>546</v>
      </c>
      <c r="H6" s="220"/>
      <c r="I6" s="220"/>
      <c r="J6" s="220"/>
      <c r="K6" s="220"/>
      <c r="L6" s="220"/>
      <c r="M6" s="220"/>
      <c r="N6" s="220"/>
      <c r="P6" s="21" t="n">
        <v>41165</v>
      </c>
      <c r="Q6" s="19" t="s">
        <v>27</v>
      </c>
      <c r="R6" s="9"/>
      <c r="S6" s="22"/>
      <c r="T6" s="5" t="s">
        <v>28</v>
      </c>
    </row>
    <row r="7" customFormat="false" ht="66.9" hidden="false" customHeight="true" outlineLevel="0" collapsed="false">
      <c r="A7" s="0"/>
      <c r="B7" s="0"/>
      <c r="C7" s="23" t="s">
        <v>547</v>
      </c>
      <c r="D7" s="23"/>
      <c r="F7" s="20"/>
      <c r="G7" s="20"/>
      <c r="H7" s="220"/>
      <c r="I7" s="220"/>
      <c r="J7" s="220"/>
      <c r="K7" s="220"/>
      <c r="L7" s="220"/>
      <c r="M7" s="220"/>
      <c r="N7" s="220"/>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20.25" hidden="false" customHeight="true" outlineLevel="0" collapsed="false">
      <c r="A10" s="0" t="n">
        <v>31</v>
      </c>
      <c r="B10" s="31" t="n">
        <v>36892</v>
      </c>
      <c r="C10" s="1" t="n">
        <v>613600</v>
      </c>
      <c r="D10" s="58" t="s">
        <v>41</v>
      </c>
      <c r="E10" s="33" t="n">
        <f aca="false">IF(D10="totale",(C10/(A10*24))/F10,IF(D10="marché libre",(C10/(A10*24))/G10,"spécifier histo"))</f>
        <v>0.549820788530466</v>
      </c>
      <c r="F10" s="59" t="n">
        <v>1500</v>
      </c>
      <c r="G10" s="59" t="n">
        <f aca="false">F10-H10</f>
        <v>0</v>
      </c>
      <c r="H10" s="59" t="n">
        <v>1500</v>
      </c>
      <c r="I10" s="9"/>
      <c r="J10" s="30"/>
    </row>
    <row r="11" customFormat="false" ht="20.25" hidden="false" customHeight="true" outlineLevel="0" collapsed="false">
      <c r="A11" s="0" t="n">
        <v>28</v>
      </c>
      <c r="B11" s="34" t="n">
        <v>36923</v>
      </c>
      <c r="C11" s="1" t="n">
        <v>485600</v>
      </c>
      <c r="D11" s="58" t="s">
        <v>41</v>
      </c>
      <c r="E11" s="33" t="n">
        <f aca="false">IF(D11="totale",(C11/(A11*24))/F11,IF(D11="marché libre",(C11/(A11*24))/G11,"spécifier histo"))</f>
        <v>0.481746031746032</v>
      </c>
      <c r="F11" s="59" t="n">
        <v>1500</v>
      </c>
      <c r="G11" s="59" t="n">
        <f aca="false">F11-H11</f>
        <v>0</v>
      </c>
      <c r="H11" s="59" t="n">
        <v>1500</v>
      </c>
      <c r="I11" s="9"/>
      <c r="J11" s="30"/>
    </row>
    <row r="12" customFormat="false" ht="20.25" hidden="false" customHeight="true" outlineLevel="0" collapsed="false">
      <c r="A12" s="0" t="n">
        <v>31</v>
      </c>
      <c r="B12" s="31" t="n">
        <v>36951</v>
      </c>
      <c r="C12" s="1" t="n">
        <v>533606</v>
      </c>
      <c r="D12" s="58" t="s">
        <v>41</v>
      </c>
      <c r="E12" s="33" t="n">
        <f aca="false">IF(D12="totale",(C12/(A12*24))/F12,IF(D12="marché libre",(C12/(A12*24))/G12,"spécifier histo"))</f>
        <v>0.478141577060932</v>
      </c>
      <c r="F12" s="59" t="n">
        <v>1500</v>
      </c>
      <c r="G12" s="59" t="n">
        <f aca="false">F12-H12</f>
        <v>0</v>
      </c>
      <c r="H12" s="59" t="n">
        <v>1500</v>
      </c>
      <c r="I12" s="9"/>
      <c r="J12" s="30"/>
    </row>
    <row r="13" customFormat="false" ht="20.25" hidden="false" customHeight="true" outlineLevel="0" collapsed="false">
      <c r="A13" s="0" t="n">
        <v>30</v>
      </c>
      <c r="B13" s="34" t="n">
        <v>36982</v>
      </c>
      <c r="C13" s="1" t="n">
        <v>494400</v>
      </c>
      <c r="D13" s="58" t="s">
        <v>41</v>
      </c>
      <c r="E13" s="33" t="n">
        <f aca="false">IF(D13="totale",(C13/(A13*24))/F13,IF(D13="marché libre",(C13/(A13*24))/G13,"spécifier histo"))</f>
        <v>0.457777777777778</v>
      </c>
      <c r="F13" s="59" t="n">
        <v>1500</v>
      </c>
      <c r="G13" s="59" t="n">
        <f aca="false">F13-H13</f>
        <v>0</v>
      </c>
      <c r="H13" s="59" t="n">
        <v>1500</v>
      </c>
      <c r="I13" s="9"/>
      <c r="J13" s="30"/>
    </row>
    <row r="14" customFormat="false" ht="20.25" hidden="false" customHeight="true" outlineLevel="0" collapsed="false">
      <c r="A14" s="0" t="n">
        <v>31</v>
      </c>
      <c r="B14" s="31" t="n">
        <v>37012</v>
      </c>
      <c r="C14" s="1" t="n">
        <v>545600</v>
      </c>
      <c r="D14" s="58" t="s">
        <v>41</v>
      </c>
      <c r="E14" s="33" t="n">
        <f aca="false">IF(D14="totale",(C14/(A14*24))/F14,IF(D14="marché libre",(C14/(A14*24))/G14,"spécifier histo"))</f>
        <v>0.488888888888889</v>
      </c>
      <c r="F14" s="59" t="n">
        <v>1500</v>
      </c>
      <c r="G14" s="59" t="n">
        <f aca="false">F14-H14</f>
        <v>0</v>
      </c>
      <c r="H14" s="59" t="n">
        <v>1500</v>
      </c>
      <c r="I14" s="9"/>
      <c r="J14" s="30"/>
    </row>
    <row r="15" customFormat="false" ht="20.25" hidden="false" customHeight="true" outlineLevel="0" collapsed="false">
      <c r="A15" s="0" t="n">
        <v>30</v>
      </c>
      <c r="B15" s="34" t="n">
        <v>37043</v>
      </c>
      <c r="C15" s="1" t="n">
        <v>130000</v>
      </c>
      <c r="D15" s="58" t="s">
        <v>41</v>
      </c>
      <c r="E15" s="33" t="n">
        <f aca="false">IF(D15="totale",(C15/(A15*24))/F15,IF(D15="marché libre",(C15/(A15*24))/G15,"spécifier histo"))</f>
        <v>0.12037037037037</v>
      </c>
      <c r="F15" s="59" t="n">
        <v>1500</v>
      </c>
      <c r="G15" s="59" t="n">
        <f aca="false">F15-H15</f>
        <v>0</v>
      </c>
      <c r="H15" s="59" t="n">
        <v>1500</v>
      </c>
      <c r="I15" s="9"/>
      <c r="J15" s="30"/>
    </row>
    <row r="16" customFormat="false" ht="20.25" hidden="false" customHeight="true" outlineLevel="0" collapsed="false">
      <c r="A16" s="0" t="n">
        <v>31</v>
      </c>
      <c r="B16" s="31" t="n">
        <v>37073</v>
      </c>
      <c r="C16" s="1" t="n">
        <v>48000</v>
      </c>
      <c r="D16" s="58" t="s">
        <v>41</v>
      </c>
      <c r="E16" s="33" t="n">
        <f aca="false">IF(D16="totale",(C16/(A16*24))/F16,IF(D16="marché libre",(C16/(A16*24))/G16,"spécifier histo"))</f>
        <v>0.043010752688172</v>
      </c>
      <c r="F16" s="59" t="n">
        <v>1500</v>
      </c>
      <c r="G16" s="59" t="n">
        <f aca="false">F16-H16</f>
        <v>0</v>
      </c>
      <c r="H16" s="59" t="n">
        <v>1500</v>
      </c>
      <c r="I16" s="9"/>
      <c r="J16" s="30"/>
    </row>
    <row r="17" customFormat="false" ht="20.25" hidden="false" customHeight="true" outlineLevel="0" collapsed="false">
      <c r="A17" s="0" t="n">
        <v>31</v>
      </c>
      <c r="B17" s="34" t="n">
        <v>37104</v>
      </c>
      <c r="C17" s="1" t="n">
        <v>14000</v>
      </c>
      <c r="D17" s="58" t="s">
        <v>41</v>
      </c>
      <c r="E17" s="33" t="n">
        <f aca="false">IF(D17="totale",(C17/(A17*24))/F17,IF(D17="marché libre",(C17/(A17*24))/G17,"spécifier histo"))</f>
        <v>0.0125448028673835</v>
      </c>
      <c r="F17" s="59" t="n">
        <v>1500</v>
      </c>
      <c r="G17" s="59" t="n">
        <f aca="false">F17-H17</f>
        <v>0</v>
      </c>
      <c r="H17" s="59" t="n">
        <v>1500</v>
      </c>
      <c r="I17" s="9"/>
      <c r="J17" s="30"/>
    </row>
    <row r="18" customFormat="false" ht="20.25" hidden="false" customHeight="true" outlineLevel="0" collapsed="false">
      <c r="A18" s="0" t="n">
        <v>30</v>
      </c>
      <c r="B18" s="31" t="n">
        <v>37135</v>
      </c>
      <c r="C18" s="1" t="n">
        <v>0</v>
      </c>
      <c r="D18" s="58" t="s">
        <v>41</v>
      </c>
      <c r="E18" s="33" t="n">
        <f aca="false">IF(D18="totale",(C18/(A18*24))/F18,IF(D18="marché libre",(C18/(A18*24))/G18,"spécifier histo"))</f>
        <v>0</v>
      </c>
      <c r="F18" s="59" t="n">
        <v>1500</v>
      </c>
      <c r="G18" s="59" t="n">
        <f aca="false">F18-H18</f>
        <v>0</v>
      </c>
      <c r="H18" s="59" t="n">
        <v>1500</v>
      </c>
      <c r="I18" s="9"/>
      <c r="J18" s="30"/>
    </row>
    <row r="19" customFormat="false" ht="20.25" hidden="false" customHeight="true" outlineLevel="0" collapsed="false">
      <c r="A19" s="0" t="n">
        <v>31</v>
      </c>
      <c r="B19" s="34" t="n">
        <v>37165</v>
      </c>
      <c r="C19" s="1" t="n">
        <v>400</v>
      </c>
      <c r="D19" s="58" t="s">
        <v>41</v>
      </c>
      <c r="E19" s="33" t="n">
        <f aca="false">IF(D19="totale",(C19/(A19*24))/F19,IF(D19="marché libre",(C19/(A19*24))/G19,"spécifier histo"))</f>
        <v>0.0003584229390681</v>
      </c>
      <c r="F19" s="59" t="n">
        <v>1500</v>
      </c>
      <c r="G19" s="59" t="n">
        <f aca="false">F19-H19</f>
        <v>0</v>
      </c>
      <c r="H19" s="59" t="n">
        <v>1500</v>
      </c>
      <c r="I19" s="9"/>
      <c r="J19" s="30"/>
    </row>
    <row r="20" customFormat="false" ht="20.25" hidden="false" customHeight="true" outlineLevel="0" collapsed="false">
      <c r="A20" s="0" t="n">
        <v>30</v>
      </c>
      <c r="B20" s="31" t="n">
        <v>37196</v>
      </c>
      <c r="C20" s="1" t="n">
        <v>42800</v>
      </c>
      <c r="D20" s="58" t="s">
        <v>41</v>
      </c>
      <c r="E20" s="33" t="n">
        <f aca="false">IF(D20="totale",(C20/(A20*24))/F20,IF(D20="marché libre",(C20/(A20*24))/G20,"spécifier histo"))</f>
        <v>0.0396296296296296</v>
      </c>
      <c r="F20" s="59" t="n">
        <v>1500</v>
      </c>
      <c r="G20" s="59" t="n">
        <f aca="false">F20-H20</f>
        <v>0</v>
      </c>
      <c r="H20" s="59" t="n">
        <v>1500</v>
      </c>
      <c r="I20" s="9"/>
      <c r="J20" s="30"/>
    </row>
    <row r="21" customFormat="false" ht="20.25" hidden="false" customHeight="true" outlineLevel="0" collapsed="false">
      <c r="A21" s="0" t="n">
        <v>31</v>
      </c>
      <c r="B21" s="34" t="n">
        <v>37226</v>
      </c>
      <c r="C21" s="1" t="n">
        <v>112000</v>
      </c>
      <c r="D21" s="58" t="s">
        <v>41</v>
      </c>
      <c r="E21" s="33" t="n">
        <f aca="false">IF(D21="totale",(C21/(A21*24))/F21,IF(D21="marché libre",(C21/(A21*24))/G21,"spécifier histo"))</f>
        <v>0.100358422939068</v>
      </c>
      <c r="F21" s="59" t="n">
        <v>1500</v>
      </c>
      <c r="G21" s="59" t="n">
        <f aca="false">F21-H21</f>
        <v>0</v>
      </c>
      <c r="H21" s="59" t="n">
        <v>1500</v>
      </c>
      <c r="I21" s="9"/>
      <c r="J21" s="30"/>
    </row>
    <row r="22" customFormat="false" ht="20.25" hidden="false" customHeight="true" outlineLevel="0" collapsed="false">
      <c r="A22" s="0" t="n">
        <v>31</v>
      </c>
      <c r="B22" s="31" t="n">
        <v>37257</v>
      </c>
      <c r="C22" s="1" t="n">
        <v>154000</v>
      </c>
      <c r="D22" s="58" t="s">
        <v>41</v>
      </c>
      <c r="E22" s="33" t="n">
        <f aca="false">IF(D22="totale",(C22/(A22*24))/F22,IF(D22="marché libre",(C22/(A22*24))/G22,"spécifier histo"))</f>
        <v>0.137992831541219</v>
      </c>
      <c r="F22" s="59" t="n">
        <v>1500</v>
      </c>
      <c r="G22" s="59" t="n">
        <f aca="false">F22-H22</f>
        <v>0</v>
      </c>
      <c r="H22" s="59" t="n">
        <v>1500</v>
      </c>
      <c r="I22" s="9"/>
      <c r="J22" s="30"/>
    </row>
    <row r="23" customFormat="false" ht="20.25" hidden="false" customHeight="true" outlineLevel="0" collapsed="false">
      <c r="A23" s="0" t="n">
        <v>28</v>
      </c>
      <c r="B23" s="34" t="n">
        <v>37288</v>
      </c>
      <c r="C23" s="1" t="n">
        <v>420400</v>
      </c>
      <c r="D23" s="58" t="s">
        <v>41</v>
      </c>
      <c r="E23" s="33" t="n">
        <f aca="false">IF(D23="totale",(C23/(A23*24))/F23,IF(D23="marché libre",(C23/(A23*24))/G23,"spécifier histo"))</f>
        <v>0.417063492063492</v>
      </c>
      <c r="F23" s="59" t="n">
        <v>1500</v>
      </c>
      <c r="G23" s="59" t="n">
        <f aca="false">F23-H23</f>
        <v>0</v>
      </c>
      <c r="H23" s="59" t="n">
        <v>1500</v>
      </c>
      <c r="I23" s="9"/>
      <c r="J23" s="30"/>
    </row>
    <row r="24" customFormat="false" ht="20.25" hidden="false" customHeight="true" outlineLevel="0" collapsed="false">
      <c r="A24" s="0" t="n">
        <v>31</v>
      </c>
      <c r="B24" s="31" t="n">
        <v>37316</v>
      </c>
      <c r="C24" s="1" t="n">
        <v>412800</v>
      </c>
      <c r="D24" s="58" t="s">
        <v>41</v>
      </c>
      <c r="E24" s="33" t="n">
        <f aca="false">IF(D24="totale",(C24/(A24*24))/F24,IF(D24="marché libre",(C24/(A24*24))/G24,"spécifier histo"))</f>
        <v>0.36989247311828</v>
      </c>
      <c r="F24" s="59" t="n">
        <v>1500</v>
      </c>
      <c r="G24" s="59" t="n">
        <f aca="false">F24-H24</f>
        <v>0</v>
      </c>
      <c r="H24" s="59" t="n">
        <v>1500</v>
      </c>
      <c r="I24" s="9"/>
      <c r="J24" s="30"/>
    </row>
    <row r="25" customFormat="false" ht="20.25" hidden="false" customHeight="true" outlineLevel="0" collapsed="false">
      <c r="A25" s="0" t="n">
        <v>30</v>
      </c>
      <c r="B25" s="34" t="n">
        <v>37347</v>
      </c>
      <c r="C25" s="1" t="n">
        <v>314000</v>
      </c>
      <c r="D25" s="58" t="s">
        <v>41</v>
      </c>
      <c r="E25" s="33" t="n">
        <f aca="false">IF(D25="totale",(C25/(A25*24))/F25,IF(D25="marché libre",(C25/(A25*24))/G25,"spécifier histo"))</f>
        <v>0.290740740740741</v>
      </c>
      <c r="F25" s="59" t="n">
        <v>1500</v>
      </c>
      <c r="G25" s="59" t="n">
        <f aca="false">F25-H25</f>
        <v>0</v>
      </c>
      <c r="H25" s="59" t="n">
        <v>1500</v>
      </c>
      <c r="I25" s="9"/>
      <c r="J25" s="30"/>
    </row>
    <row r="26" customFormat="false" ht="20.25" hidden="false" customHeight="true" outlineLevel="0" collapsed="false">
      <c r="A26" s="0" t="n">
        <v>31</v>
      </c>
      <c r="B26" s="31" t="n">
        <v>37377</v>
      </c>
      <c r="C26" s="1" t="n">
        <v>244800</v>
      </c>
      <c r="D26" s="58" t="s">
        <v>41</v>
      </c>
      <c r="E26" s="33" t="n">
        <f aca="false">IF(D26="totale",(C26/(A26*24))/F26,IF(D26="marché libre",(C26/(A26*24))/G26,"spécifier histo"))</f>
        <v>0.219354838709677</v>
      </c>
      <c r="F26" s="59" t="n">
        <v>1500</v>
      </c>
      <c r="G26" s="59" t="n">
        <f aca="false">F26-H26</f>
        <v>0</v>
      </c>
      <c r="H26" s="59" t="n">
        <v>1500</v>
      </c>
      <c r="I26" s="9"/>
      <c r="J26" s="30"/>
    </row>
    <row r="27" customFormat="false" ht="20.25" hidden="false" customHeight="true" outlineLevel="0" collapsed="false">
      <c r="A27" s="0" t="n">
        <v>30</v>
      </c>
      <c r="B27" s="34" t="n">
        <v>37408</v>
      </c>
      <c r="C27" s="1" t="n">
        <v>532400</v>
      </c>
      <c r="D27" s="58" t="s">
        <v>41</v>
      </c>
      <c r="E27" s="33" t="n">
        <f aca="false">IF(D27="totale",(C27/(A27*24))/F27,IF(D27="marché libre",(C27/(A27*24))/G27,"spécifier histo"))</f>
        <v>0.492962962962963</v>
      </c>
      <c r="F27" s="59" t="n">
        <v>1500</v>
      </c>
      <c r="G27" s="59" t="n">
        <f aca="false">F27-H27</f>
        <v>0</v>
      </c>
      <c r="H27" s="59" t="n">
        <v>1500</v>
      </c>
      <c r="I27" s="9"/>
      <c r="J27" s="30"/>
    </row>
    <row r="28" customFormat="false" ht="20.25" hidden="false" customHeight="true" outlineLevel="0" collapsed="false">
      <c r="A28" s="0" t="n">
        <v>31</v>
      </c>
      <c r="B28" s="31" t="n">
        <v>37438</v>
      </c>
      <c r="C28" s="1" t="n">
        <v>151600</v>
      </c>
      <c r="D28" s="58" t="s">
        <v>41</v>
      </c>
      <c r="E28" s="33" t="n">
        <f aca="false">IF(D28="totale",(C28/(A28*24))/F28,IF(D28="marché libre",(C28/(A28*24))/G28,"spécifier histo"))</f>
        <v>0.13584229390681</v>
      </c>
      <c r="F28" s="59" t="n">
        <v>1500</v>
      </c>
      <c r="G28" s="59" t="n">
        <f aca="false">F28-H28</f>
        <v>0</v>
      </c>
      <c r="H28" s="59" t="n">
        <v>1500</v>
      </c>
      <c r="I28" s="9"/>
      <c r="J28" s="30"/>
    </row>
    <row r="29" customFormat="false" ht="20.25" hidden="false" customHeight="true" outlineLevel="0" collapsed="false">
      <c r="A29" s="0" t="n">
        <v>31</v>
      </c>
      <c r="B29" s="34" t="n">
        <v>37469</v>
      </c>
      <c r="C29" s="1" t="n">
        <v>151600</v>
      </c>
      <c r="D29" s="58" t="s">
        <v>41</v>
      </c>
      <c r="E29" s="33" t="n">
        <f aca="false">IF(D29="totale",(C29/(A29*24))/F29,IF(D29="marché libre",(C29/(A29*24))/G29,"spécifier histo"))</f>
        <v>0.13584229390681</v>
      </c>
      <c r="F29" s="59" t="n">
        <v>1500</v>
      </c>
      <c r="G29" s="59" t="n">
        <f aca="false">F29-H29</f>
        <v>0</v>
      </c>
      <c r="H29" s="59" t="n">
        <v>1500</v>
      </c>
      <c r="I29" s="9"/>
      <c r="J29" s="30"/>
    </row>
    <row r="30" customFormat="false" ht="20.25" hidden="false" customHeight="true" outlineLevel="0" collapsed="false">
      <c r="A30" s="0" t="n">
        <v>30</v>
      </c>
      <c r="B30" s="31" t="n">
        <v>37500</v>
      </c>
      <c r="C30" s="1" t="n">
        <v>136400</v>
      </c>
      <c r="D30" s="58" t="s">
        <v>41</v>
      </c>
      <c r="E30" s="33" t="n">
        <f aca="false">IF(D30="totale",(C30/(A30*24))/F30,IF(D30="marché libre",(C30/(A30*24))/G30,"spécifier histo"))</f>
        <v>0.126296296296296</v>
      </c>
      <c r="F30" s="59" t="n">
        <v>1500</v>
      </c>
      <c r="G30" s="59" t="n">
        <f aca="false">F30-H30</f>
        <v>0</v>
      </c>
      <c r="H30" s="59" t="n">
        <v>1500</v>
      </c>
      <c r="I30" s="9"/>
      <c r="J30" s="30"/>
    </row>
    <row r="31" customFormat="false" ht="20.25" hidden="false" customHeight="true" outlineLevel="0" collapsed="false">
      <c r="A31" s="0" t="n">
        <v>31</v>
      </c>
      <c r="B31" s="34" t="n">
        <v>37530</v>
      </c>
      <c r="C31" s="1" t="n">
        <v>347600</v>
      </c>
      <c r="D31" s="58" t="s">
        <v>41</v>
      </c>
      <c r="E31" s="33" t="n">
        <f aca="false">IF(D31="totale",(C31/(A31*24))/F31,IF(D31="marché libre",(C31/(A31*24))/G31,"spécifier histo"))</f>
        <v>0.311469534050179</v>
      </c>
      <c r="F31" s="59" t="n">
        <v>1500</v>
      </c>
      <c r="G31" s="59" t="n">
        <f aca="false">F31-H31</f>
        <v>0</v>
      </c>
      <c r="H31" s="59" t="n">
        <v>1500</v>
      </c>
      <c r="I31" s="9"/>
      <c r="J31" s="30"/>
    </row>
    <row r="32" customFormat="false" ht="20.25" hidden="false" customHeight="true" outlineLevel="0" collapsed="false">
      <c r="A32" s="0" t="n">
        <v>30</v>
      </c>
      <c r="B32" s="31" t="n">
        <v>37561</v>
      </c>
      <c r="C32" s="1" t="n">
        <v>649200</v>
      </c>
      <c r="D32" s="58" t="s">
        <v>41</v>
      </c>
      <c r="E32" s="33" t="n">
        <f aca="false">IF(D32="totale",(C32/(A32*24))/F32,IF(D32="marché libre",(C32/(A32*24))/G32,"spécifier histo"))</f>
        <v>0.601111111111111</v>
      </c>
      <c r="F32" s="59" t="n">
        <v>1500</v>
      </c>
      <c r="G32" s="59" t="n">
        <f aca="false">F32-H32</f>
        <v>0</v>
      </c>
      <c r="H32" s="59" t="n">
        <v>1500</v>
      </c>
      <c r="I32" s="9"/>
      <c r="J32" s="30"/>
    </row>
    <row r="33" customFormat="false" ht="20.25" hidden="false" customHeight="true" outlineLevel="0" collapsed="false">
      <c r="A33" s="0" t="n">
        <v>31</v>
      </c>
      <c r="B33" s="34" t="n">
        <v>37591</v>
      </c>
      <c r="C33" s="1" t="n">
        <v>740000</v>
      </c>
      <c r="D33" s="58" t="s">
        <v>41</v>
      </c>
      <c r="E33" s="33" t="n">
        <f aca="false">IF(D33="totale",(C33/(A33*24))/F33,IF(D33="marché libre",(C33/(A33*24))/G33,"spécifier histo"))</f>
        <v>0.663082437275986</v>
      </c>
      <c r="F33" s="59" t="n">
        <v>1500</v>
      </c>
      <c r="G33" s="59" t="n">
        <f aca="false">F33-H33</f>
        <v>0</v>
      </c>
      <c r="H33" s="59" t="n">
        <v>1500</v>
      </c>
      <c r="I33" s="9"/>
      <c r="J33" s="30"/>
    </row>
    <row r="34" customFormat="false" ht="20.25" hidden="false" customHeight="true" outlineLevel="0" collapsed="false">
      <c r="A34" s="0" t="n">
        <v>31</v>
      </c>
      <c r="B34" s="31" t="n">
        <v>37622</v>
      </c>
      <c r="C34" s="1" t="n">
        <v>619200</v>
      </c>
      <c r="D34" s="58" t="s">
        <v>41</v>
      </c>
      <c r="E34" s="33" t="n">
        <f aca="false">IF(D34="totale",(C34/(A34*24))/F34,IF(D34="marché libre",(C34/(A34*24))/G34,"spécifier histo"))</f>
        <v>0.554838709677419</v>
      </c>
      <c r="F34" s="59" t="n">
        <v>1500</v>
      </c>
      <c r="G34" s="59" t="n">
        <f aca="false">F34-H34</f>
        <v>0</v>
      </c>
      <c r="H34" s="59" t="n">
        <v>1500</v>
      </c>
      <c r="I34" s="9"/>
      <c r="J34" s="30"/>
    </row>
    <row r="35" customFormat="false" ht="20.25" hidden="false" customHeight="true" outlineLevel="0" collapsed="false">
      <c r="A35" s="0" t="n">
        <v>28</v>
      </c>
      <c r="B35" s="34" t="n">
        <v>37653</v>
      </c>
      <c r="C35" s="1" t="n">
        <v>667999</v>
      </c>
      <c r="D35" s="58" t="s">
        <v>41</v>
      </c>
      <c r="E35" s="33" t="n">
        <f aca="false">IF(D35="totale",(C35/(A35*24))/F35,IF(D35="marché libre",(C35/(A35*24))/G35,"spécifier histo"))</f>
        <v>0.662697420634921</v>
      </c>
      <c r="F35" s="59" t="n">
        <v>1500</v>
      </c>
      <c r="G35" s="59" t="n">
        <f aca="false">F35-H35</f>
        <v>0</v>
      </c>
      <c r="H35" s="59" t="n">
        <v>1500</v>
      </c>
      <c r="I35" s="9"/>
      <c r="J35" s="30"/>
    </row>
    <row r="36" customFormat="false" ht="20.25" hidden="false" customHeight="true" outlineLevel="0" collapsed="false">
      <c r="A36" s="0" t="n">
        <v>31</v>
      </c>
      <c r="B36" s="31" t="n">
        <v>37681</v>
      </c>
      <c r="C36" s="1" t="n">
        <v>275600</v>
      </c>
      <c r="D36" s="58" t="s">
        <v>41</v>
      </c>
      <c r="E36" s="33" t="n">
        <f aca="false">IF(D36="totale",(C36/(A36*24))/F36,IF(D36="marché libre",(C36/(A36*24))/G36,"spécifier histo"))</f>
        <v>0.246953405017921</v>
      </c>
      <c r="F36" s="59" t="n">
        <v>1500</v>
      </c>
      <c r="G36" s="59" t="n">
        <f aca="false">F36-H36</f>
        <v>0</v>
      </c>
      <c r="H36" s="59" t="n">
        <v>1500</v>
      </c>
      <c r="I36" s="9"/>
      <c r="J36" s="30"/>
    </row>
    <row r="37" customFormat="false" ht="20.25" hidden="false" customHeight="true" outlineLevel="0" collapsed="false">
      <c r="A37" s="0" t="n">
        <v>30</v>
      </c>
      <c r="B37" s="34" t="n">
        <v>37712</v>
      </c>
      <c r="C37" s="1" t="n">
        <v>72000</v>
      </c>
      <c r="D37" s="58" t="s">
        <v>41</v>
      </c>
      <c r="E37" s="33" t="n">
        <f aca="false">IF(D37="totale",(C37/(A37*24))/F37,IF(D37="marché libre",(C37/(A37*24))/G37,"spécifier histo"))</f>
        <v>0.0666666666666667</v>
      </c>
      <c r="F37" s="59" t="n">
        <v>1500</v>
      </c>
      <c r="G37" s="59" t="n">
        <f aca="false">F37-H37</f>
        <v>0</v>
      </c>
      <c r="H37" s="59" t="n">
        <v>1500</v>
      </c>
      <c r="I37" s="9"/>
      <c r="J37" s="30"/>
    </row>
    <row r="38" customFormat="false" ht="20.25" hidden="false" customHeight="true" outlineLevel="0" collapsed="false">
      <c r="A38" s="0" t="n">
        <v>31</v>
      </c>
      <c r="B38" s="31" t="n">
        <v>37742</v>
      </c>
      <c r="C38" s="1" t="n">
        <v>98400</v>
      </c>
      <c r="D38" s="58" t="s">
        <v>41</v>
      </c>
      <c r="E38" s="33" t="n">
        <f aca="false">IF(D38="totale",(C38/(A38*24))/F38,IF(D38="marché libre",(C38/(A38*24))/G38,"spécifier histo"))</f>
        <v>0.0881720430107527</v>
      </c>
      <c r="F38" s="59" t="n">
        <v>1500</v>
      </c>
      <c r="G38" s="59" t="n">
        <f aca="false">F38-H38</f>
        <v>0</v>
      </c>
      <c r="H38" s="59" t="n">
        <v>1500</v>
      </c>
      <c r="I38" s="9"/>
      <c r="J38" s="30"/>
    </row>
    <row r="39" customFormat="false" ht="20.25" hidden="false" customHeight="true" outlineLevel="0" collapsed="false">
      <c r="A39" s="0" t="n">
        <v>30</v>
      </c>
      <c r="B39" s="34" t="n">
        <v>37773</v>
      </c>
      <c r="C39" s="1" t="n">
        <v>32000</v>
      </c>
      <c r="D39" s="58" t="s">
        <v>41</v>
      </c>
      <c r="E39" s="33" t="n">
        <f aca="false">IF(D39="totale",(C39/(A39*24))/F39,IF(D39="marché libre",(C39/(A39*24))/G39,"spécifier histo"))</f>
        <v>0.0296296296296296</v>
      </c>
      <c r="F39" s="59" t="n">
        <v>1500</v>
      </c>
      <c r="G39" s="59" t="n">
        <f aca="false">F39-H39</f>
        <v>0</v>
      </c>
      <c r="H39" s="59" t="n">
        <v>1500</v>
      </c>
      <c r="I39" s="9"/>
      <c r="J39" s="30"/>
    </row>
    <row r="40" customFormat="false" ht="20.25" hidden="false" customHeight="true" outlineLevel="0" collapsed="false">
      <c r="A40" s="0" t="n">
        <v>31</v>
      </c>
      <c r="B40" s="31" t="n">
        <v>37803</v>
      </c>
      <c r="C40" s="1" t="n">
        <v>0</v>
      </c>
      <c r="D40" s="58" t="s">
        <v>41</v>
      </c>
      <c r="E40" s="33" t="n">
        <f aca="false">IF(D40="totale",(C40/(A40*24))/F40,IF(D40="marché libre",(C40/(A40*24))/G40,"spécifier histo"))</f>
        <v>0</v>
      </c>
      <c r="F40" s="59" t="n">
        <v>1500</v>
      </c>
      <c r="G40" s="59" t="n">
        <f aca="false">F40-H40</f>
        <v>0</v>
      </c>
      <c r="H40" s="59" t="n">
        <v>1500</v>
      </c>
      <c r="I40" s="9"/>
      <c r="J40" s="30"/>
    </row>
    <row r="41" customFormat="false" ht="20.25" hidden="false" customHeight="true" outlineLevel="0" collapsed="false">
      <c r="A41" s="0" t="n">
        <v>31</v>
      </c>
      <c r="B41" s="34" t="n">
        <v>37834</v>
      </c>
      <c r="C41" s="1" t="n">
        <v>0</v>
      </c>
      <c r="D41" s="58" t="s">
        <v>41</v>
      </c>
      <c r="E41" s="33" t="n">
        <f aca="false">IF(D41="totale",(C41/(A41*24))/F41,IF(D41="marché libre",(C41/(A41*24))/G41,"spécifier histo"))</f>
        <v>0</v>
      </c>
      <c r="F41" s="59" t="n">
        <v>1500</v>
      </c>
      <c r="G41" s="59" t="n">
        <f aca="false">F41-H41</f>
        <v>0</v>
      </c>
      <c r="H41" s="59" t="n">
        <v>1500</v>
      </c>
      <c r="I41" s="9"/>
      <c r="J41" s="30"/>
    </row>
    <row r="42" customFormat="false" ht="20.25" hidden="false" customHeight="true" outlineLevel="0" collapsed="false">
      <c r="A42" s="0" t="n">
        <v>30</v>
      </c>
      <c r="B42" s="31" t="n">
        <v>37865</v>
      </c>
      <c r="C42" s="1" t="n">
        <v>0</v>
      </c>
      <c r="D42" s="58" t="s">
        <v>41</v>
      </c>
      <c r="E42" s="33" t="n">
        <f aca="false">IF(D42="totale",(C42/(A42*24))/F42,IF(D42="marché libre",(C42/(A42*24))/G42,"spécifier histo"))</f>
        <v>0</v>
      </c>
      <c r="F42" s="59" t="n">
        <v>1500</v>
      </c>
      <c r="G42" s="59" t="n">
        <f aca="false">F42-H42</f>
        <v>0</v>
      </c>
      <c r="H42" s="59" t="n">
        <v>1500</v>
      </c>
      <c r="I42" s="9"/>
      <c r="J42" s="30"/>
    </row>
    <row r="43" customFormat="false" ht="20.25" hidden="false" customHeight="true" outlineLevel="0" collapsed="false">
      <c r="A43" s="0" t="n">
        <v>31</v>
      </c>
      <c r="B43" s="34" t="n">
        <v>37895</v>
      </c>
      <c r="C43" s="1" t="n">
        <v>21600</v>
      </c>
      <c r="D43" s="58" t="s">
        <v>41</v>
      </c>
      <c r="E43" s="33" t="n">
        <f aca="false">IF(D43="totale",(C43/(A43*24))/F43,IF(D43="marché libre",(C43/(A43*24))/G43,"spécifier histo"))</f>
        <v>0.0193548387096774</v>
      </c>
      <c r="F43" s="59" t="n">
        <v>1500</v>
      </c>
      <c r="G43" s="59" t="n">
        <f aca="false">F43-H43</f>
        <v>0</v>
      </c>
      <c r="H43" s="59" t="n">
        <v>1500</v>
      </c>
      <c r="I43" s="9"/>
      <c r="J43" s="30"/>
    </row>
    <row r="44" customFormat="false" ht="22.9" hidden="false" customHeight="true" outlineLevel="0" collapsed="false">
      <c r="A44" s="0" t="n">
        <v>30</v>
      </c>
      <c r="B44" s="31" t="n">
        <v>37926</v>
      </c>
      <c r="C44" s="1" t="n">
        <v>76400</v>
      </c>
      <c r="D44" s="58" t="s">
        <v>41</v>
      </c>
      <c r="E44" s="33" t="n">
        <f aca="false">IF(D44="totale",(C44/(A44*24))/F44,IF(D44="marché libre",(C44/(A44*24))/G44,"spécifier histo"))</f>
        <v>0.0707407407407407</v>
      </c>
      <c r="F44" s="59" t="n">
        <v>1500</v>
      </c>
      <c r="G44" s="59" t="n">
        <f aca="false">F44-H44</f>
        <v>0</v>
      </c>
      <c r="H44" s="59" t="n">
        <v>1500</v>
      </c>
      <c r="I44" s="9"/>
      <c r="J44" s="30"/>
    </row>
    <row r="45" customFormat="false" ht="20.25" hidden="false" customHeight="true" outlineLevel="0" collapsed="false">
      <c r="A45" s="0" t="n">
        <v>31</v>
      </c>
      <c r="B45" s="34" t="n">
        <v>37956</v>
      </c>
      <c r="C45" s="1" t="n">
        <v>597600</v>
      </c>
      <c r="D45" s="58" t="s">
        <v>41</v>
      </c>
      <c r="E45" s="33" t="n">
        <f aca="false">IF(D45="totale",(C45/(A45*24))/F45,IF(D45="marché libre",(C45/(A45*24))/G45,"spécifier histo"))</f>
        <v>0.535483870967742</v>
      </c>
      <c r="F45" s="59" t="n">
        <v>1500</v>
      </c>
      <c r="G45" s="59" t="n">
        <f aca="false">F45-H45</f>
        <v>0</v>
      </c>
      <c r="H45" s="59" t="n">
        <v>1500</v>
      </c>
      <c r="I45" s="9"/>
      <c r="J45" s="30"/>
    </row>
    <row r="46" customFormat="false" ht="19.95" hidden="false" customHeight="true" outlineLevel="0" collapsed="false">
      <c r="A46" s="0" t="n">
        <v>31</v>
      </c>
      <c r="B46" s="31" t="n">
        <v>37987</v>
      </c>
      <c r="C46" s="1" t="n">
        <v>951600</v>
      </c>
      <c r="D46" s="58" t="s">
        <v>41</v>
      </c>
      <c r="E46" s="33" t="n">
        <f aca="false">IF(D46="totale",(C46/(A46*24))/F46,IF(D46="marché libre",(C46/(A46*24))/G46,"spécifier histo"))</f>
        <v>0.852688172043011</v>
      </c>
      <c r="F46" s="59" t="n">
        <v>1500</v>
      </c>
      <c r="G46" s="59" t="n">
        <f aca="false">F46-H46</f>
        <v>0</v>
      </c>
      <c r="H46" s="59" t="n">
        <v>1500</v>
      </c>
      <c r="I46" s="9"/>
      <c r="J46" s="30"/>
    </row>
    <row r="47" customFormat="false" ht="19.95" hidden="false" customHeight="true" outlineLevel="0" collapsed="false">
      <c r="A47" s="0" t="n">
        <v>28</v>
      </c>
      <c r="B47" s="34" t="n">
        <v>38018</v>
      </c>
      <c r="C47" s="1" t="n">
        <v>504800</v>
      </c>
      <c r="D47" s="58" t="s">
        <v>41</v>
      </c>
      <c r="E47" s="33" t="n">
        <f aca="false">IF(D47="totale",(C47/(A47*24))/F47,IF(D47="marché libre",(C47/(A47*24))/G47,"spécifier histo"))</f>
        <v>0.500793650793651</v>
      </c>
      <c r="F47" s="59" t="n">
        <v>1500</v>
      </c>
      <c r="G47" s="59" t="n">
        <f aca="false">F47-H47</f>
        <v>0</v>
      </c>
      <c r="H47" s="59" t="n">
        <v>1500</v>
      </c>
      <c r="I47" s="9"/>
      <c r="J47" s="30"/>
    </row>
    <row r="48" customFormat="false" ht="19.95" hidden="false" customHeight="true" outlineLevel="0" collapsed="false">
      <c r="A48" s="0" t="n">
        <v>31</v>
      </c>
      <c r="B48" s="31" t="n">
        <v>38047</v>
      </c>
      <c r="C48" s="1" t="n">
        <v>438800</v>
      </c>
      <c r="D48" s="58" t="s">
        <v>41</v>
      </c>
      <c r="E48" s="33" t="n">
        <f aca="false">IF(D48="totale",(C48/(A48*24))/F48,IF(D48="marché libre",(C48/(A48*24))/G48,"spécifier histo"))</f>
        <v>0.393189964157706</v>
      </c>
      <c r="F48" s="59" t="n">
        <v>1500</v>
      </c>
      <c r="G48" s="59" t="n">
        <f aca="false">F48-H48</f>
        <v>0</v>
      </c>
      <c r="H48" s="59" t="n">
        <v>1500</v>
      </c>
      <c r="I48" s="9"/>
      <c r="J48" s="30"/>
    </row>
    <row r="49" customFormat="false" ht="19.95" hidden="false" customHeight="true" outlineLevel="0" collapsed="false">
      <c r="A49" s="0" t="n">
        <v>30</v>
      </c>
      <c r="B49" s="34" t="n">
        <v>38078</v>
      </c>
      <c r="C49" s="1" t="n">
        <v>484000</v>
      </c>
      <c r="D49" s="58" t="s">
        <v>41</v>
      </c>
      <c r="E49" s="33" t="n">
        <f aca="false">IF(D49="totale",(C49/(A49*24))/F49,IF(D49="marché libre",(C49/(A49*24))/G49,"spécifier histo"))</f>
        <v>0.448148148148148</v>
      </c>
      <c r="F49" s="59" t="n">
        <v>1500</v>
      </c>
      <c r="G49" s="59" t="n">
        <f aca="false">F49-H49</f>
        <v>0</v>
      </c>
      <c r="H49" s="59" t="n">
        <v>1500</v>
      </c>
      <c r="I49" s="9"/>
      <c r="J49" s="30"/>
    </row>
    <row r="50" customFormat="false" ht="19.95" hidden="false" customHeight="true" outlineLevel="0" collapsed="false">
      <c r="A50" s="0" t="n">
        <v>31</v>
      </c>
      <c r="B50" s="31" t="n">
        <v>38108</v>
      </c>
      <c r="C50" s="1" t="n">
        <v>547600</v>
      </c>
      <c r="D50" s="58" t="s">
        <v>41</v>
      </c>
      <c r="E50" s="33" t="n">
        <f aca="false">IF(D50="totale",(C50/(A50*24))/F50,IF(D50="marché libre",(C50/(A50*24))/G50,"spécifier histo"))</f>
        <v>0.490681003584229</v>
      </c>
      <c r="F50" s="59" t="n">
        <v>1500</v>
      </c>
      <c r="G50" s="59" t="n">
        <f aca="false">F50-H50</f>
        <v>0</v>
      </c>
      <c r="H50" s="59" t="n">
        <v>1500</v>
      </c>
      <c r="I50" s="9"/>
      <c r="J50" s="30"/>
    </row>
    <row r="51" customFormat="false" ht="19.95" hidden="false" customHeight="true" outlineLevel="0" collapsed="false">
      <c r="A51" s="0" t="n">
        <v>30</v>
      </c>
      <c r="B51" s="34" t="n">
        <v>38139</v>
      </c>
      <c r="C51" s="1" t="n">
        <v>120800</v>
      </c>
      <c r="D51" s="58" t="s">
        <v>41</v>
      </c>
      <c r="E51" s="33" t="n">
        <f aca="false">IF(D51="totale",(C51/(A51*24))/F51,IF(D51="marché libre",(C51/(A51*24))/G51,"spécifier histo"))</f>
        <v>0.111851851851852</v>
      </c>
      <c r="F51" s="59" t="n">
        <v>1500</v>
      </c>
      <c r="G51" s="59" t="n">
        <f aca="false">F51-H51</f>
        <v>0</v>
      </c>
      <c r="H51" s="59" t="n">
        <v>1500</v>
      </c>
      <c r="I51" s="9"/>
      <c r="J51" s="30"/>
    </row>
    <row r="52" customFormat="false" ht="19.95" hidden="false" customHeight="true" outlineLevel="0" collapsed="false">
      <c r="A52" s="0" t="n">
        <v>31</v>
      </c>
      <c r="B52" s="31" t="n">
        <v>38169</v>
      </c>
      <c r="C52" s="1" t="n">
        <v>0</v>
      </c>
      <c r="D52" s="58" t="s">
        <v>41</v>
      </c>
      <c r="E52" s="33" t="n">
        <f aca="false">IF(D52="totale",(C52/(A52*24))/F52,IF(D52="marché libre",(C52/(A52*24))/G52,"spécifier histo"))</f>
        <v>0</v>
      </c>
      <c r="F52" s="59" t="n">
        <v>1500</v>
      </c>
      <c r="G52" s="59" t="n">
        <f aca="false">F52-H52</f>
        <v>0</v>
      </c>
      <c r="H52" s="59" t="n">
        <v>1500</v>
      </c>
      <c r="I52" s="9"/>
      <c r="J52" s="30"/>
    </row>
    <row r="53" customFormat="false" ht="19.95" hidden="false" customHeight="true" outlineLevel="0" collapsed="false">
      <c r="A53" s="0" t="n">
        <v>31</v>
      </c>
      <c r="B53" s="34" t="n">
        <v>38200</v>
      </c>
      <c r="C53" s="1" t="n">
        <v>14000</v>
      </c>
      <c r="D53" s="58" t="s">
        <v>41</v>
      </c>
      <c r="E53" s="33" t="n">
        <f aca="false">IF(D53="totale",(C53/(A53*24))/F53,IF(D53="marché libre",(C53/(A53*24))/G53,"spécifier histo"))</f>
        <v>0.0125448028673835</v>
      </c>
      <c r="F53" s="59" t="n">
        <v>1500</v>
      </c>
      <c r="G53" s="59" t="n">
        <f aca="false">F53-H53</f>
        <v>0</v>
      </c>
      <c r="H53" s="59" t="n">
        <v>1500</v>
      </c>
      <c r="I53" s="9"/>
      <c r="J53" s="30"/>
    </row>
    <row r="54" customFormat="false" ht="19.95" hidden="false" customHeight="true" outlineLevel="0" collapsed="false">
      <c r="A54" s="0" t="n">
        <v>30</v>
      </c>
      <c r="B54" s="31" t="n">
        <v>38231</v>
      </c>
      <c r="C54" s="1" t="n">
        <v>0</v>
      </c>
      <c r="D54" s="58" t="s">
        <v>41</v>
      </c>
      <c r="E54" s="33" t="n">
        <f aca="false">IF(D54="totale",(C54/(A54*24))/F54,IF(D54="marché libre",(C54/(A54*24))/G54,"spécifier histo"))</f>
        <v>0</v>
      </c>
      <c r="F54" s="59" t="n">
        <v>1500</v>
      </c>
      <c r="G54" s="59" t="n">
        <f aca="false">F54-H54</f>
        <v>0</v>
      </c>
      <c r="H54" s="59" t="n">
        <v>1500</v>
      </c>
      <c r="I54" s="9"/>
      <c r="J54" s="30"/>
    </row>
    <row r="55" customFormat="false" ht="19.95" hidden="false" customHeight="true" outlineLevel="0" collapsed="false">
      <c r="A55" s="0" t="n">
        <v>31</v>
      </c>
      <c r="B55" s="34" t="n">
        <v>38261</v>
      </c>
      <c r="C55" s="1" t="n">
        <v>26400</v>
      </c>
      <c r="D55" s="58" t="s">
        <v>41</v>
      </c>
      <c r="E55" s="33" t="n">
        <f aca="false">IF(D55="totale",(C55/(A55*24))/F55,IF(D55="marché libre",(C55/(A55*24))/G55,"spécifier histo"))</f>
        <v>0.0236559139784946</v>
      </c>
      <c r="F55" s="59" t="n">
        <v>1500</v>
      </c>
      <c r="G55" s="59" t="n">
        <f aca="false">F55-H55</f>
        <v>0</v>
      </c>
      <c r="H55" s="59" t="n">
        <v>1500</v>
      </c>
      <c r="I55" s="9"/>
      <c r="J55" s="30"/>
    </row>
    <row r="56" customFormat="false" ht="19.95" hidden="false" customHeight="true" outlineLevel="0" collapsed="false">
      <c r="A56" s="0" t="n">
        <v>30</v>
      </c>
      <c r="B56" s="31" t="n">
        <v>38292</v>
      </c>
      <c r="C56" s="1" t="n">
        <v>122000</v>
      </c>
      <c r="D56" s="58" t="s">
        <v>41</v>
      </c>
      <c r="E56" s="33" t="n">
        <f aca="false">IF(D56="totale",(C56/(A56*24))/F56,IF(D56="marché libre",(C56/(A56*24))/G56,"spécifier histo"))</f>
        <v>0.112962962962963</v>
      </c>
      <c r="F56" s="59" t="n">
        <v>1500</v>
      </c>
      <c r="G56" s="59" t="n">
        <f aca="false">F56-H56</f>
        <v>0</v>
      </c>
      <c r="H56" s="59" t="n">
        <v>1500</v>
      </c>
      <c r="I56" s="9"/>
      <c r="J56" s="30"/>
    </row>
    <row r="57" customFormat="false" ht="19.95" hidden="false" customHeight="true" outlineLevel="0" collapsed="false">
      <c r="A57" s="0" t="n">
        <v>31</v>
      </c>
      <c r="B57" s="34" t="n">
        <v>38322</v>
      </c>
      <c r="C57" s="1" t="n">
        <v>510400</v>
      </c>
      <c r="D57" s="58" t="s">
        <v>41</v>
      </c>
      <c r="E57" s="33" t="n">
        <f aca="false">IF(D57="totale",(C57/(A57*24))/F57,IF(D57="marché libre",(C57/(A57*24))/G57,"spécifier histo"))</f>
        <v>0.457347670250896</v>
      </c>
      <c r="F57" s="59" t="n">
        <v>1500</v>
      </c>
      <c r="G57" s="59" t="n">
        <f aca="false">F57-H57</f>
        <v>0</v>
      </c>
      <c r="H57" s="59" t="n">
        <v>1500</v>
      </c>
      <c r="I57" s="9"/>
      <c r="J57" s="30"/>
    </row>
    <row r="58" customFormat="false" ht="19.85" hidden="false" customHeight="true" outlineLevel="0" collapsed="false">
      <c r="A58" s="0" t="n">
        <v>31</v>
      </c>
      <c r="B58" s="31" t="n">
        <v>38353</v>
      </c>
      <c r="C58" s="56" t="n">
        <v>728401</v>
      </c>
      <c r="D58" s="58" t="s">
        <v>41</v>
      </c>
      <c r="E58" s="33" t="n">
        <f aca="false">IF(D58="totale",(C58/(A58*24))/F58,IF(D58="marché libre",(C58/(A58*24))/G58,"spécifier histo"))</f>
        <v>0.652689068100358</v>
      </c>
      <c r="F58" s="59" t="n">
        <v>1500</v>
      </c>
      <c r="G58" s="59" t="n">
        <f aca="false">F58-H58</f>
        <v>0</v>
      </c>
      <c r="H58" s="59" t="n">
        <v>1500</v>
      </c>
      <c r="J58" s="70" t="s">
        <v>548</v>
      </c>
    </row>
    <row r="59" customFormat="false" ht="19.85" hidden="false" customHeight="true" outlineLevel="0" collapsed="false">
      <c r="A59" s="0" t="n">
        <v>28</v>
      </c>
      <c r="B59" s="34" t="n">
        <v>38384</v>
      </c>
      <c r="C59" s="56" t="n">
        <v>752800</v>
      </c>
      <c r="D59" s="58" t="s">
        <v>41</v>
      </c>
      <c r="E59" s="33" t="n">
        <f aca="false">IF(D59="totale",(C59/(A59*24))/F59,IF(D59="marché libre",(C59/(A59*24))/G59,"spécifier histo"))</f>
        <v>0.746825396825397</v>
      </c>
      <c r="F59" s="59" t="n">
        <v>1500</v>
      </c>
      <c r="G59" s="59" t="n">
        <f aca="false">F59-H59</f>
        <v>0</v>
      </c>
      <c r="H59" s="59" t="n">
        <v>1500</v>
      </c>
      <c r="J59" s="70" t="s">
        <v>549</v>
      </c>
    </row>
    <row r="60" customFormat="false" ht="19.85" hidden="false" customHeight="true" outlineLevel="0" collapsed="false">
      <c r="A60" s="0" t="n">
        <v>31</v>
      </c>
      <c r="B60" s="31" t="n">
        <v>38412</v>
      </c>
      <c r="C60" s="56" t="n">
        <v>316000</v>
      </c>
      <c r="D60" s="58" t="s">
        <v>41</v>
      </c>
      <c r="E60" s="33" t="n">
        <f aca="false">IF(D60="totale",(C60/(A60*24))/F60,IF(D60="marché libre",(C60/(A60*24))/G60,"spécifier histo"))</f>
        <v>0.283154121863799</v>
      </c>
      <c r="F60" s="59" t="n">
        <v>1500</v>
      </c>
      <c r="G60" s="59" t="n">
        <f aca="false">F60-H60</f>
        <v>0</v>
      </c>
      <c r="H60" s="59" t="n">
        <v>1500</v>
      </c>
      <c r="J60" s="70" t="s">
        <v>550</v>
      </c>
    </row>
    <row r="61" customFormat="false" ht="19.85" hidden="false" customHeight="true" outlineLevel="0" collapsed="false">
      <c r="A61" s="0" t="n">
        <v>30</v>
      </c>
      <c r="B61" s="34" t="n">
        <v>38443</v>
      </c>
      <c r="C61" s="56" t="n">
        <v>310400</v>
      </c>
      <c r="D61" s="58" t="s">
        <v>41</v>
      </c>
      <c r="E61" s="33" t="n">
        <f aca="false">IF(D61="totale",(C61/(A61*24))/F61,IF(D61="marché libre",(C61/(A61*24))/G61,"spécifier histo"))</f>
        <v>0.287407407407407</v>
      </c>
      <c r="F61" s="59" t="n">
        <v>1500</v>
      </c>
      <c r="G61" s="59" t="n">
        <f aca="false">F61-H61</f>
        <v>0</v>
      </c>
      <c r="H61" s="59" t="n">
        <v>1500</v>
      </c>
      <c r="J61" s="70"/>
    </row>
    <row r="62" customFormat="false" ht="19.85" hidden="false" customHeight="true" outlineLevel="0" collapsed="false">
      <c r="A62" s="0" t="n">
        <v>31</v>
      </c>
      <c r="B62" s="31" t="n">
        <v>38473</v>
      </c>
      <c r="C62" s="56" t="n">
        <v>212400</v>
      </c>
      <c r="D62" s="58" t="s">
        <v>41</v>
      </c>
      <c r="E62" s="33" t="n">
        <f aca="false">IF(D62="totale",(C62/(A62*24))/F62,IF(D62="marché libre",(C62/(A62*24))/G62,"spécifier histo"))</f>
        <v>0.190322580645161</v>
      </c>
      <c r="F62" s="59" t="n">
        <v>1500</v>
      </c>
      <c r="G62" s="59" t="n">
        <f aca="false">F62-H62</f>
        <v>0</v>
      </c>
      <c r="H62" s="59" t="n">
        <v>1500</v>
      </c>
      <c r="J62" s="70"/>
      <c r="K62" s="26" t="n">
        <v>2001</v>
      </c>
      <c r="L62" s="26" t="n">
        <v>2002</v>
      </c>
      <c r="M62" s="26" t="n">
        <v>2003</v>
      </c>
      <c r="N62" s="26" t="n">
        <v>2004</v>
      </c>
      <c r="O62" s="26" t="n">
        <v>2005</v>
      </c>
      <c r="P62" s="26" t="n">
        <v>2006</v>
      </c>
      <c r="Q62" s="26" t="n">
        <v>2007</v>
      </c>
      <c r="R62" s="26" t="n">
        <v>2008</v>
      </c>
      <c r="S62" s="26" t="n">
        <v>2009</v>
      </c>
      <c r="T62" s="26" t="n">
        <v>2010</v>
      </c>
      <c r="U62" s="26" t="n">
        <v>2011</v>
      </c>
      <c r="V62" s="0"/>
      <c r="W62" s="0"/>
    </row>
    <row r="63" customFormat="false" ht="19.85" hidden="false" customHeight="true" outlineLevel="0" collapsed="false">
      <c r="A63" s="0" t="n">
        <v>30</v>
      </c>
      <c r="B63" s="34" t="n">
        <v>38504</v>
      </c>
      <c r="C63" s="56" t="n">
        <v>54000</v>
      </c>
      <c r="D63" s="58" t="s">
        <v>41</v>
      </c>
      <c r="E63" s="33" t="n">
        <f aca="false">IF(D63="totale",(C63/(A63*24))/F63,IF(D63="marché libre",(C63/(A63*24))/G63,"spécifier histo"))</f>
        <v>0.05</v>
      </c>
      <c r="F63" s="59" t="n">
        <v>1500</v>
      </c>
      <c r="G63" s="59" t="n">
        <f aca="false">F63-H63</f>
        <v>0</v>
      </c>
      <c r="H63" s="59" t="n">
        <v>1500</v>
      </c>
      <c r="J63" s="70"/>
      <c r="K63" s="0"/>
      <c r="L63" s="0"/>
      <c r="M63" s="0"/>
      <c r="N63" s="0"/>
      <c r="O63" s="1" t="n">
        <v>728401</v>
      </c>
      <c r="P63" s="1" t="n">
        <v>563200</v>
      </c>
      <c r="Q63" s="1" t="n">
        <v>277864</v>
      </c>
      <c r="R63" s="1" t="n">
        <v>792720</v>
      </c>
      <c r="S63" s="1" t="n">
        <v>453667</v>
      </c>
      <c r="T63" s="1" t="n">
        <v>604688</v>
      </c>
      <c r="U63" s="1" t="n">
        <v>376119</v>
      </c>
      <c r="V63" s="0"/>
    </row>
    <row r="64" customFormat="false" ht="19.85" hidden="false" customHeight="true" outlineLevel="0" collapsed="false">
      <c r="A64" s="0" t="n">
        <v>31</v>
      </c>
      <c r="B64" s="31" t="n">
        <v>38534</v>
      </c>
      <c r="C64" s="56" t="n">
        <v>0</v>
      </c>
      <c r="D64" s="58" t="s">
        <v>41</v>
      </c>
      <c r="E64" s="33" t="n">
        <f aca="false">IF(D64="totale",(C64/(A64*24))/F64,IF(D64="marché libre",(C64/(A64*24))/G64,"spécifier histo"))</f>
        <v>0</v>
      </c>
      <c r="F64" s="59" t="n">
        <v>1500</v>
      </c>
      <c r="G64" s="59" t="n">
        <f aca="false">F64-H64</f>
        <v>0</v>
      </c>
      <c r="H64" s="59" t="n">
        <v>1500</v>
      </c>
      <c r="J64" s="70"/>
      <c r="K64" s="0"/>
      <c r="L64" s="0"/>
      <c r="M64" s="0"/>
      <c r="N64" s="0"/>
      <c r="O64" s="1" t="n">
        <v>752800</v>
      </c>
      <c r="P64" s="1" t="n">
        <v>526001</v>
      </c>
      <c r="Q64" s="1" t="n">
        <v>539642</v>
      </c>
      <c r="R64" s="1" t="n">
        <v>279645</v>
      </c>
      <c r="S64" s="1" t="n">
        <v>592578</v>
      </c>
      <c r="T64" s="1" t="n">
        <v>612138</v>
      </c>
      <c r="U64" s="1" t="n">
        <v>456948</v>
      </c>
      <c r="V64" s="0"/>
    </row>
    <row r="65" customFormat="false" ht="19.85" hidden="false" customHeight="true" outlineLevel="0" collapsed="false">
      <c r="A65" s="0" t="n">
        <v>31</v>
      </c>
      <c r="B65" s="34" t="n">
        <v>38565</v>
      </c>
      <c r="C65" s="56" t="n">
        <v>0</v>
      </c>
      <c r="D65" s="58" t="s">
        <v>41</v>
      </c>
      <c r="E65" s="33" t="n">
        <f aca="false">IF(D65="totale",(C65/(A65*24))/F65,IF(D65="marché libre",(C65/(A65*24))/G65,"spécifier histo"))</f>
        <v>0</v>
      </c>
      <c r="F65" s="59" t="n">
        <v>1500</v>
      </c>
      <c r="G65" s="59" t="n">
        <f aca="false">F65-H65</f>
        <v>0</v>
      </c>
      <c r="H65" s="59" t="n">
        <v>1500</v>
      </c>
      <c r="J65" s="70"/>
      <c r="K65" s="0"/>
      <c r="L65" s="0"/>
      <c r="M65" s="0"/>
      <c r="N65" s="0"/>
      <c r="O65" s="1" t="n">
        <v>316000</v>
      </c>
      <c r="P65" s="1" t="n">
        <v>754400</v>
      </c>
      <c r="Q65" s="1" t="n">
        <v>677751</v>
      </c>
      <c r="R65" s="1" t="n">
        <v>605223</v>
      </c>
      <c r="S65" s="1" t="n">
        <v>377771</v>
      </c>
      <c r="T65" s="1" t="n">
        <v>376318</v>
      </c>
      <c r="U65" s="1" t="n">
        <v>774582</v>
      </c>
      <c r="V65" s="0"/>
    </row>
    <row r="66" customFormat="false" ht="19.85" hidden="false" customHeight="true" outlineLevel="0" collapsed="false">
      <c r="A66" s="0" t="n">
        <v>30</v>
      </c>
      <c r="B66" s="31" t="n">
        <v>38596</v>
      </c>
      <c r="C66" s="56" t="n">
        <v>99600</v>
      </c>
      <c r="D66" s="58" t="s">
        <v>41</v>
      </c>
      <c r="E66" s="33" t="n">
        <f aca="false">IF(D66="totale",(C66/(A66*24))/F66,IF(D66="marché libre",(C66/(A66*24))/G66,"spécifier histo"))</f>
        <v>0.0922222222222222</v>
      </c>
      <c r="F66" s="59" t="n">
        <v>1500</v>
      </c>
      <c r="G66" s="59" t="n">
        <f aca="false">F66-H66</f>
        <v>0</v>
      </c>
      <c r="H66" s="59" t="n">
        <v>1500</v>
      </c>
      <c r="J66" s="70"/>
      <c r="K66" s="0"/>
      <c r="L66" s="0"/>
      <c r="M66" s="0"/>
      <c r="N66" s="0"/>
      <c r="O66" s="1" t="n">
        <v>310400</v>
      </c>
      <c r="P66" s="1" t="n">
        <v>262400</v>
      </c>
      <c r="Q66" s="1" t="n">
        <v>329729</v>
      </c>
      <c r="R66" s="1" t="n">
        <v>761232</v>
      </c>
      <c r="S66" s="1" t="n">
        <v>585133</v>
      </c>
      <c r="T66" s="1" t="n">
        <v>266430</v>
      </c>
      <c r="U66" s="1" t="n">
        <v>360566</v>
      </c>
      <c r="V66" s="0"/>
    </row>
    <row r="67" customFormat="false" ht="19.85" hidden="false" customHeight="true" outlineLevel="0" collapsed="false">
      <c r="A67" s="0" t="n">
        <v>31</v>
      </c>
      <c r="B67" s="34" t="n">
        <v>38626</v>
      </c>
      <c r="C67" s="56" t="n">
        <v>66400</v>
      </c>
      <c r="D67" s="58" t="s">
        <v>41</v>
      </c>
      <c r="E67" s="33" t="n">
        <f aca="false">IF(D67="totale",(C67/(A67*24))/F67,IF(D67="marché libre",(C67/(A67*24))/G67,"spécifier histo"))</f>
        <v>0.0594982078853047</v>
      </c>
      <c r="F67" s="59" t="n">
        <v>1500</v>
      </c>
      <c r="G67" s="59" t="n">
        <f aca="false">F67-H67</f>
        <v>0</v>
      </c>
      <c r="H67" s="59" t="n">
        <v>1500</v>
      </c>
      <c r="J67" s="70"/>
      <c r="K67" s="0"/>
      <c r="L67" s="0"/>
      <c r="M67" s="0"/>
      <c r="N67" s="0"/>
      <c r="O67" s="1" t="n">
        <v>212400</v>
      </c>
      <c r="P67" s="1" t="n">
        <v>113600</v>
      </c>
      <c r="Q67" s="1" t="n">
        <v>644982</v>
      </c>
      <c r="R67" s="1" t="n">
        <v>373285</v>
      </c>
      <c r="S67" s="1" t="n">
        <v>514091</v>
      </c>
      <c r="T67" s="1" t="n">
        <v>526091</v>
      </c>
      <c r="U67" s="1" t="n">
        <v>128237</v>
      </c>
      <c r="V67" s="0"/>
    </row>
    <row r="68" customFormat="false" ht="19.85" hidden="false" customHeight="true" outlineLevel="0" collapsed="false">
      <c r="A68" s="0" t="n">
        <v>30</v>
      </c>
      <c r="B68" s="31" t="n">
        <v>38657</v>
      </c>
      <c r="C68" s="56" t="n">
        <v>220400</v>
      </c>
      <c r="D68" s="58" t="s">
        <v>41</v>
      </c>
      <c r="E68" s="33" t="n">
        <f aca="false">IF(D68="totale",(C68/(A68*24))/F68,IF(D68="marché libre",(C68/(A68*24))/G68,"spécifier histo"))</f>
        <v>0.204074074074074</v>
      </c>
      <c r="F68" s="59" t="n">
        <v>1500</v>
      </c>
      <c r="G68" s="59" t="n">
        <f aca="false">F68-H68</f>
        <v>0</v>
      </c>
      <c r="H68" s="59" t="n">
        <v>1500</v>
      </c>
      <c r="J68" s="70"/>
      <c r="K68" s="0"/>
      <c r="L68" s="0"/>
      <c r="M68" s="0"/>
      <c r="N68" s="0"/>
      <c r="O68" s="1" t="n">
        <v>54000</v>
      </c>
      <c r="P68" s="1" t="n">
        <v>0</v>
      </c>
      <c r="Q68" s="1" t="n">
        <v>525734</v>
      </c>
      <c r="R68" s="1" t="n">
        <v>336262</v>
      </c>
      <c r="S68" s="1" t="n">
        <v>169241</v>
      </c>
      <c r="T68" s="1" t="n">
        <v>585164</v>
      </c>
      <c r="U68" s="1" t="n">
        <v>118691</v>
      </c>
      <c r="V68" s="0"/>
    </row>
    <row r="69" customFormat="false" ht="19.85" hidden="false" customHeight="true" outlineLevel="0" collapsed="false">
      <c r="A69" s="0" t="n">
        <v>31</v>
      </c>
      <c r="B69" s="34" t="n">
        <v>38687</v>
      </c>
      <c r="C69" s="56" t="n">
        <v>587599</v>
      </c>
      <c r="D69" s="58" t="s">
        <v>41</v>
      </c>
      <c r="E69" s="33" t="n">
        <f aca="false">IF(D69="totale",(C69/(A69*24))/F69,IF(D69="marché libre",(C69/(A69*24))/G69,"spécifier histo"))</f>
        <v>0.526522401433692</v>
      </c>
      <c r="F69" s="59" t="n">
        <v>1500</v>
      </c>
      <c r="G69" s="59" t="n">
        <f aca="false">F69-H69</f>
        <v>0</v>
      </c>
      <c r="H69" s="59" t="n">
        <v>1500</v>
      </c>
      <c r="J69" s="70"/>
      <c r="K69" s="0"/>
      <c r="L69" s="0"/>
      <c r="M69" s="0"/>
      <c r="N69" s="0"/>
      <c r="O69" s="1" t="n">
        <v>0</v>
      </c>
      <c r="P69" s="1" t="n">
        <v>47600</v>
      </c>
      <c r="Q69" s="1" t="n">
        <v>151997</v>
      </c>
      <c r="R69" s="1" t="n">
        <v>108369</v>
      </c>
      <c r="S69" s="1" t="n">
        <v>50701</v>
      </c>
      <c r="T69" s="1" t="n">
        <v>156716</v>
      </c>
      <c r="U69" s="1" t="n">
        <v>369198</v>
      </c>
      <c r="V69" s="0"/>
    </row>
    <row r="70" customFormat="false" ht="19.85" hidden="false" customHeight="true" outlineLevel="0" collapsed="false">
      <c r="A70" s="0" t="n">
        <v>31</v>
      </c>
      <c r="B70" s="31" t="n">
        <v>38718</v>
      </c>
      <c r="C70" s="56" t="n">
        <v>563200</v>
      </c>
      <c r="D70" s="58" t="s">
        <v>41</v>
      </c>
      <c r="E70" s="33" t="n">
        <f aca="false">IF(D70="totale",(C70/(A70*24))/F70,IF(D70="marché libre",(C70/(A70*24))/G70,"spécifier histo"))</f>
        <v>0.504659498207885</v>
      </c>
      <c r="F70" s="59" t="n">
        <v>1500</v>
      </c>
      <c r="G70" s="59" t="n">
        <f aca="false">F70-H70</f>
        <v>0</v>
      </c>
      <c r="H70" s="59" t="n">
        <v>1500</v>
      </c>
      <c r="J70" s="55"/>
      <c r="K70" s="0"/>
      <c r="L70" s="0"/>
      <c r="M70" s="0"/>
      <c r="N70" s="0"/>
      <c r="O70" s="1" t="n">
        <v>0</v>
      </c>
      <c r="P70" s="1" t="n">
        <v>2400</v>
      </c>
      <c r="Q70" s="1" t="n">
        <v>67881</v>
      </c>
      <c r="R70" s="1" t="n">
        <v>29806</v>
      </c>
      <c r="S70" s="1" t="n">
        <v>0</v>
      </c>
      <c r="T70" s="1" t="n">
        <v>11560</v>
      </c>
      <c r="U70" s="1" t="n">
        <v>129611</v>
      </c>
      <c r="V70" s="0"/>
    </row>
    <row r="71" customFormat="false" ht="19.85" hidden="false" customHeight="true" outlineLevel="0" collapsed="false">
      <c r="A71" s="0" t="n">
        <v>28</v>
      </c>
      <c r="B71" s="34" t="n">
        <v>38749</v>
      </c>
      <c r="C71" s="56" t="n">
        <v>526001</v>
      </c>
      <c r="D71" s="58" t="s">
        <v>41</v>
      </c>
      <c r="E71" s="33" t="n">
        <f aca="false">IF(D71="totale",(C71/(A71*24))/F71,IF(D71="marché libre",(C71/(A71*24))/G71,"spécifier histo"))</f>
        <v>0.521826388888889</v>
      </c>
      <c r="F71" s="59" t="n">
        <v>1500</v>
      </c>
      <c r="G71" s="59" t="n">
        <f aca="false">F71-H71</f>
        <v>0</v>
      </c>
      <c r="H71" s="59" t="n">
        <v>1500</v>
      </c>
      <c r="J71" s="55"/>
      <c r="K71" s="0"/>
      <c r="L71" s="0"/>
      <c r="M71" s="0"/>
      <c r="N71" s="0"/>
      <c r="O71" s="1" t="n">
        <v>99600</v>
      </c>
      <c r="P71" s="1" t="n">
        <v>158612</v>
      </c>
      <c r="Q71" s="1" t="n">
        <v>14988</v>
      </c>
      <c r="R71" s="1" t="n">
        <v>45423</v>
      </c>
      <c r="S71" s="1" t="n">
        <v>305</v>
      </c>
      <c r="T71" s="1" t="n">
        <v>0</v>
      </c>
      <c r="U71" s="1" t="n">
        <v>37192</v>
      </c>
      <c r="V71" s="0"/>
    </row>
    <row r="72" customFormat="false" ht="19.85" hidden="false" customHeight="true" outlineLevel="0" collapsed="false">
      <c r="A72" s="0" t="n">
        <v>31</v>
      </c>
      <c r="B72" s="31" t="n">
        <v>38777</v>
      </c>
      <c r="C72" s="56" t="n">
        <v>754400</v>
      </c>
      <c r="D72" s="58" t="s">
        <v>41</v>
      </c>
      <c r="E72" s="33" t="n">
        <f aca="false">IF(D72="totale",(C72/(A72*24))/F72,IF(D72="marché libre",(C72/(A72*24))/G72,"spécifier histo"))</f>
        <v>0.675985663082437</v>
      </c>
      <c r="F72" s="59" t="n">
        <v>1500</v>
      </c>
      <c r="G72" s="59" t="n">
        <f aca="false">F72-H72</f>
        <v>0</v>
      </c>
      <c r="H72" s="59" t="n">
        <v>1500</v>
      </c>
      <c r="J72" s="55"/>
      <c r="K72" s="0"/>
      <c r="L72" s="0"/>
      <c r="M72" s="0"/>
      <c r="N72" s="0"/>
      <c r="O72" s="1" t="n">
        <v>66400</v>
      </c>
      <c r="P72" s="1" t="n">
        <v>120706</v>
      </c>
      <c r="Q72" s="1" t="n">
        <v>75147</v>
      </c>
      <c r="R72" s="1" t="n">
        <v>43202</v>
      </c>
      <c r="S72" s="1" t="n">
        <v>55520</v>
      </c>
      <c r="T72" s="1" t="n">
        <v>28574</v>
      </c>
      <c r="U72" s="1" t="n">
        <v>36736</v>
      </c>
      <c r="V72" s="0"/>
    </row>
    <row r="73" customFormat="false" ht="19.85" hidden="false" customHeight="true" outlineLevel="0" collapsed="false">
      <c r="A73" s="0" t="n">
        <v>30</v>
      </c>
      <c r="B73" s="34" t="n">
        <v>38808</v>
      </c>
      <c r="C73" s="56" t="n">
        <v>262400</v>
      </c>
      <c r="D73" s="58" t="s">
        <v>41</v>
      </c>
      <c r="E73" s="33" t="n">
        <f aca="false">IF(D73="totale",(C73/(A73*24))/F73,IF(D73="marché libre",(C73/(A73*24))/G73,"spécifier histo"))</f>
        <v>0.242962962962963</v>
      </c>
      <c r="F73" s="59" t="n">
        <v>1500</v>
      </c>
      <c r="G73" s="59" t="n">
        <f aca="false">F73-H73</f>
        <v>0</v>
      </c>
      <c r="H73" s="59" t="n">
        <v>1500</v>
      </c>
      <c r="J73" s="55"/>
      <c r="K73" s="0"/>
      <c r="L73" s="0"/>
      <c r="M73" s="0"/>
      <c r="N73" s="0"/>
      <c r="O73" s="1" t="n">
        <v>220400</v>
      </c>
      <c r="P73" s="1" t="n">
        <v>116838</v>
      </c>
      <c r="Q73" s="1" t="n">
        <v>73393</v>
      </c>
      <c r="R73" s="1" t="n">
        <v>373928</v>
      </c>
      <c r="S73" s="1" t="n">
        <v>528454</v>
      </c>
      <c r="T73" s="1" t="n">
        <v>339440</v>
      </c>
      <c r="U73" s="1" t="n">
        <v>58345</v>
      </c>
      <c r="V73" s="0"/>
    </row>
    <row r="74" customFormat="false" ht="19.85" hidden="false" customHeight="true" outlineLevel="0" collapsed="false">
      <c r="A74" s="0" t="n">
        <v>31</v>
      </c>
      <c r="B74" s="31" t="n">
        <v>38838</v>
      </c>
      <c r="C74" s="56" t="n">
        <v>113600</v>
      </c>
      <c r="D74" s="58" t="s">
        <v>41</v>
      </c>
      <c r="E74" s="33" t="n">
        <f aca="false">IF(D74="totale",(C74/(A74*24))/F74,IF(D74="marché libre",(C74/(A74*24))/G74,"spécifier histo"))</f>
        <v>0.10179211469534</v>
      </c>
      <c r="F74" s="59" t="n">
        <v>1500</v>
      </c>
      <c r="G74" s="59" t="n">
        <f aca="false">F74-H74</f>
        <v>0</v>
      </c>
      <c r="H74" s="59" t="n">
        <v>1500</v>
      </c>
      <c r="J74" s="55"/>
      <c r="K74" s="0"/>
      <c r="L74" s="0"/>
      <c r="M74" s="0"/>
      <c r="N74" s="0"/>
      <c r="O74" s="1" t="n">
        <v>587599</v>
      </c>
      <c r="P74" s="1" t="n">
        <v>181794</v>
      </c>
      <c r="Q74" s="1" t="n">
        <v>432220</v>
      </c>
      <c r="R74" s="1" t="n">
        <v>794216</v>
      </c>
      <c r="S74" s="1" t="n">
        <v>440623</v>
      </c>
      <c r="T74" s="1" t="n">
        <v>271070</v>
      </c>
      <c r="U74" s="1" t="n">
        <v>526993</v>
      </c>
      <c r="V74" s="0"/>
    </row>
    <row r="75" customFormat="false" ht="19.85" hidden="false" customHeight="true" outlineLevel="0" collapsed="false">
      <c r="A75" s="0" t="n">
        <v>30</v>
      </c>
      <c r="B75" s="34" t="n">
        <v>38869</v>
      </c>
      <c r="C75" s="56" t="n">
        <v>0</v>
      </c>
      <c r="D75" s="58" t="s">
        <v>41</v>
      </c>
      <c r="E75" s="33" t="n">
        <f aca="false">IF(D75="totale",(C75/(A75*24))/F75,IF(D75="marché libre",(C75/(A75*24))/G75,"spécifier histo"))</f>
        <v>0</v>
      </c>
      <c r="F75" s="59" t="n">
        <v>1500</v>
      </c>
      <c r="G75" s="59" t="n">
        <f aca="false">F75-H75</f>
        <v>0</v>
      </c>
      <c r="H75" s="59" t="n">
        <v>1500</v>
      </c>
      <c r="J75" s="55"/>
      <c r="K75" s="0"/>
    </row>
    <row r="76" customFormat="false" ht="19.85" hidden="false" customHeight="true" outlineLevel="0" collapsed="false">
      <c r="A76" s="0" t="n">
        <v>31</v>
      </c>
      <c r="B76" s="31" t="n">
        <v>38899</v>
      </c>
      <c r="C76" s="56" t="n">
        <v>47600</v>
      </c>
      <c r="D76" s="58" t="s">
        <v>41</v>
      </c>
      <c r="E76" s="33" t="n">
        <f aca="false">IF(D76="totale",(C76/(A76*24))/F76,IF(D76="marché libre",(C76/(A76*24))/G76,"spécifier histo"))</f>
        <v>0.0426523297491039</v>
      </c>
      <c r="F76" s="59" t="n">
        <v>1500</v>
      </c>
      <c r="G76" s="59" t="n">
        <f aca="false">F76-H76</f>
        <v>0</v>
      </c>
      <c r="H76" s="59" t="n">
        <v>1500</v>
      </c>
      <c r="J76" s="55"/>
      <c r="K76" s="0"/>
    </row>
    <row r="77" customFormat="false" ht="19.85" hidden="false" customHeight="true" outlineLevel="0" collapsed="false">
      <c r="A77" s="0" t="n">
        <v>31</v>
      </c>
      <c r="B77" s="34" t="n">
        <v>38930</v>
      </c>
      <c r="C77" s="56" t="n">
        <v>2400</v>
      </c>
      <c r="D77" s="58" t="s">
        <v>41</v>
      </c>
      <c r="E77" s="33" t="n">
        <f aca="false">IF(D77="totale",(C77/(A77*24))/F77,IF(D77="marché libre",(C77/(A77*24))/G77,"spécifier histo"))</f>
        <v>0.0021505376344086</v>
      </c>
      <c r="F77" s="59" t="n">
        <v>1500</v>
      </c>
      <c r="G77" s="59" t="n">
        <f aca="false">F77-H77</f>
        <v>0</v>
      </c>
      <c r="H77" s="59" t="n">
        <v>1500</v>
      </c>
      <c r="J77" s="55"/>
      <c r="K77" s="0"/>
    </row>
    <row r="78" customFormat="false" ht="19.85" hidden="false" customHeight="true" outlineLevel="0" collapsed="false">
      <c r="A78" s="0" t="n">
        <v>30</v>
      </c>
      <c r="B78" s="31" t="n">
        <v>38961</v>
      </c>
      <c r="C78" s="56" t="n">
        <v>158612</v>
      </c>
      <c r="D78" s="58" t="s">
        <v>41</v>
      </c>
      <c r="E78" s="33" t="n">
        <f aca="false">IF(D78="totale",(C78/(A78*24))/F78,IF(D78="marché libre",(C78/(A78*24))/G78,"spécifier histo"))</f>
        <v>0.146862962962963</v>
      </c>
      <c r="F78" s="59" t="n">
        <v>1500</v>
      </c>
      <c r="G78" s="59" t="n">
        <f aca="false">F78-H78</f>
        <v>0</v>
      </c>
      <c r="H78" s="59" t="n">
        <v>1500</v>
      </c>
      <c r="J78" s="55"/>
      <c r="K78" s="0"/>
    </row>
    <row r="79" customFormat="false" ht="19.85" hidden="false" customHeight="true" outlineLevel="0" collapsed="false">
      <c r="A79" s="0" t="n">
        <v>31</v>
      </c>
      <c r="B79" s="34" t="n">
        <v>38991</v>
      </c>
      <c r="C79" s="56" t="n">
        <v>120706</v>
      </c>
      <c r="D79" s="58" t="s">
        <v>41</v>
      </c>
      <c r="E79" s="33" t="n">
        <f aca="false">IF(D79="totale",(C79/(A79*24))/F79,IF(D79="marché libre",(C79/(A79*24))/G79,"spécifier histo"))</f>
        <v>0.108159498207885</v>
      </c>
      <c r="F79" s="59" t="n">
        <v>1500</v>
      </c>
      <c r="G79" s="59" t="n">
        <f aca="false">F79-H79</f>
        <v>0</v>
      </c>
      <c r="H79" s="59" t="n">
        <v>1500</v>
      </c>
      <c r="J79" s="55"/>
      <c r="K79" s="0"/>
    </row>
    <row r="80" customFormat="false" ht="19.85" hidden="false" customHeight="true" outlineLevel="0" collapsed="false">
      <c r="A80" s="0" t="n">
        <v>30</v>
      </c>
      <c r="B80" s="31" t="n">
        <v>39022</v>
      </c>
      <c r="C80" s="56" t="n">
        <v>116838</v>
      </c>
      <c r="D80" s="58" t="s">
        <v>41</v>
      </c>
      <c r="E80" s="33" t="n">
        <f aca="false">IF(D80="totale",(C80/(A80*24))/F80,IF(D80="marché libre",(C80/(A80*24))/G80,"spécifier histo"))</f>
        <v>0.108183333333333</v>
      </c>
      <c r="F80" s="59" t="n">
        <v>1500</v>
      </c>
      <c r="G80" s="59" t="n">
        <f aca="false">F80-H80</f>
        <v>0</v>
      </c>
      <c r="H80" s="59" t="n">
        <v>1500</v>
      </c>
      <c r="J80" s="55"/>
      <c r="K80" s="0"/>
    </row>
    <row r="81" customFormat="false" ht="19.85" hidden="false" customHeight="true" outlineLevel="0" collapsed="false">
      <c r="A81" s="0" t="n">
        <v>31</v>
      </c>
      <c r="B81" s="34" t="n">
        <v>39052</v>
      </c>
      <c r="C81" s="56" t="n">
        <v>181794</v>
      </c>
      <c r="D81" s="58" t="s">
        <v>41</v>
      </c>
      <c r="E81" s="33" t="n">
        <f aca="false">IF(D81="totale",(C81/(A81*24))/F81,IF(D81="marché libre",(C81/(A81*24))/G81,"spécifier histo"))</f>
        <v>0.162897849462366</v>
      </c>
      <c r="F81" s="59" t="n">
        <v>1500</v>
      </c>
      <c r="G81" s="59" t="n">
        <f aca="false">F81-H81</f>
        <v>0</v>
      </c>
      <c r="H81" s="59" t="n">
        <v>1500</v>
      </c>
      <c r="J81" s="55"/>
      <c r="K81" s="0"/>
    </row>
    <row r="82" customFormat="false" ht="19.85" hidden="false" customHeight="true" outlineLevel="0" collapsed="false">
      <c r="A82" s="0" t="n">
        <v>31</v>
      </c>
      <c r="B82" s="31" t="n">
        <v>39083</v>
      </c>
      <c r="C82" s="56" t="n">
        <v>277864</v>
      </c>
      <c r="D82" s="58" t="s">
        <v>41</v>
      </c>
      <c r="E82" s="33" t="n">
        <f aca="false">IF(D82="totale",(C82/(A82*24))/F82,IF(D82="marché libre",(C82/(A82*24))/G82,"spécifier histo"))</f>
        <v>0.248982078853047</v>
      </c>
      <c r="F82" s="59" t="n">
        <v>1500</v>
      </c>
      <c r="G82" s="59" t="n">
        <f aca="false">F82-H82</f>
        <v>0</v>
      </c>
      <c r="H82" s="59" t="n">
        <v>1500</v>
      </c>
      <c r="J82" s="55"/>
      <c r="K82" s="0"/>
    </row>
    <row r="83" customFormat="false" ht="19.85" hidden="false" customHeight="true" outlineLevel="0" collapsed="false">
      <c r="A83" s="0" t="n">
        <v>28</v>
      </c>
      <c r="B83" s="34" t="n">
        <v>39114</v>
      </c>
      <c r="C83" s="56" t="n">
        <v>539642</v>
      </c>
      <c r="D83" s="58" t="s">
        <v>41</v>
      </c>
      <c r="E83" s="33" t="n">
        <f aca="false">IF(D83="totale",(C83/(A83*24))/F83,IF(D83="marché libre",(C83/(A83*24))/G83,"spécifier histo"))</f>
        <v>0.535359126984127</v>
      </c>
      <c r="F83" s="59" t="n">
        <v>1500</v>
      </c>
      <c r="G83" s="59" t="n">
        <f aca="false">F83-H83</f>
        <v>0</v>
      </c>
      <c r="H83" s="59" t="n">
        <v>1500</v>
      </c>
      <c r="J83" s="55"/>
      <c r="K83" s="0"/>
    </row>
    <row r="84" customFormat="false" ht="19.85" hidden="false" customHeight="true" outlineLevel="0" collapsed="false">
      <c r="A84" s="0" t="n">
        <v>31</v>
      </c>
      <c r="B84" s="31" t="n">
        <v>39142</v>
      </c>
      <c r="C84" s="56" t="n">
        <v>677751</v>
      </c>
      <c r="D84" s="58" t="s">
        <v>41</v>
      </c>
      <c r="E84" s="33" t="n">
        <f aca="false">IF(D84="totale",(C84/(A84*24))/F84,IF(D84="marché libre",(C84/(A84*24))/G84,"spécifier histo"))</f>
        <v>0.60730376344086</v>
      </c>
      <c r="F84" s="59" t="n">
        <v>1500</v>
      </c>
      <c r="G84" s="59" t="n">
        <f aca="false">F84-H84</f>
        <v>0</v>
      </c>
      <c r="H84" s="59" t="n">
        <v>1500</v>
      </c>
      <c r="J84" s="55"/>
      <c r="K84" s="0"/>
    </row>
    <row r="85" customFormat="false" ht="19.85" hidden="false" customHeight="true" outlineLevel="0" collapsed="false">
      <c r="A85" s="0" t="n">
        <v>30</v>
      </c>
      <c r="B85" s="34" t="n">
        <v>39173</v>
      </c>
      <c r="C85" s="56" t="n">
        <v>329729</v>
      </c>
      <c r="D85" s="58" t="s">
        <v>41</v>
      </c>
      <c r="E85" s="33" t="n">
        <f aca="false">IF(D85="totale",(C85/(A85*24))/F85,IF(D85="marché libre",(C85/(A85*24))/G85,"spécifier histo"))</f>
        <v>0.30530462962963</v>
      </c>
      <c r="F85" s="59" t="n">
        <v>1500</v>
      </c>
      <c r="G85" s="59" t="n">
        <f aca="false">F85-H85</f>
        <v>0</v>
      </c>
      <c r="H85" s="59" t="n">
        <v>1500</v>
      </c>
      <c r="J85" s="55"/>
      <c r="K85" s="0"/>
    </row>
    <row r="86" customFormat="false" ht="19.85" hidden="false" customHeight="true" outlineLevel="0" collapsed="false">
      <c r="A86" s="0" t="n">
        <v>31</v>
      </c>
      <c r="B86" s="31" t="n">
        <v>39203</v>
      </c>
      <c r="C86" s="56" t="n">
        <v>644982</v>
      </c>
      <c r="D86" s="58" t="s">
        <v>41</v>
      </c>
      <c r="E86" s="33" t="n">
        <f aca="false">IF(D86="totale",(C86/(A86*24))/F86,IF(D86="marché libre",(C86/(A86*24))/G86,"spécifier histo"))</f>
        <v>0.577940860215054</v>
      </c>
      <c r="F86" s="59" t="n">
        <v>1500</v>
      </c>
      <c r="G86" s="59" t="n">
        <f aca="false">F86-H86</f>
        <v>0</v>
      </c>
      <c r="H86" s="59" t="n">
        <v>1500</v>
      </c>
      <c r="J86" s="55"/>
      <c r="K86" s="0"/>
    </row>
    <row r="87" customFormat="false" ht="19.85" hidden="false" customHeight="true" outlineLevel="0" collapsed="false">
      <c r="A87" s="0" t="n">
        <v>30</v>
      </c>
      <c r="B87" s="34" t="n">
        <v>39234</v>
      </c>
      <c r="C87" s="56" t="n">
        <v>525734</v>
      </c>
      <c r="D87" s="58" t="s">
        <v>41</v>
      </c>
      <c r="E87" s="33" t="n">
        <f aca="false">IF(D87="totale",(C87/(A87*24))/F87,IF(D87="marché libre",(C87/(A87*24))/G87,"spécifier histo"))</f>
        <v>0.486790740740741</v>
      </c>
      <c r="F87" s="59" t="n">
        <v>1500</v>
      </c>
      <c r="G87" s="59" t="n">
        <f aca="false">F87-H87</f>
        <v>0</v>
      </c>
      <c r="H87" s="59" t="n">
        <v>1500</v>
      </c>
      <c r="J87" s="55"/>
      <c r="K87" s="0"/>
    </row>
    <row r="88" customFormat="false" ht="19.85" hidden="false" customHeight="true" outlineLevel="0" collapsed="false">
      <c r="A88" s="0" t="n">
        <v>31</v>
      </c>
      <c r="B88" s="31" t="n">
        <v>39264</v>
      </c>
      <c r="C88" s="56" t="n">
        <v>151997</v>
      </c>
      <c r="D88" s="58" t="s">
        <v>41</v>
      </c>
      <c r="E88" s="33" t="n">
        <f aca="false">IF(D88="totale",(C88/(A88*24))/F88,IF(D88="marché libre",(C88/(A88*24))/G88,"spécifier histo"))</f>
        <v>0.136198028673835</v>
      </c>
      <c r="F88" s="59" t="n">
        <v>1500</v>
      </c>
      <c r="G88" s="59" t="n">
        <f aca="false">F88-H88</f>
        <v>0</v>
      </c>
      <c r="H88" s="59" t="n">
        <v>1500</v>
      </c>
      <c r="J88" s="55"/>
      <c r="K88" s="0"/>
    </row>
    <row r="89" customFormat="false" ht="19.85" hidden="false" customHeight="true" outlineLevel="0" collapsed="false">
      <c r="A89" s="0" t="n">
        <v>31</v>
      </c>
      <c r="B89" s="34" t="n">
        <v>39295</v>
      </c>
      <c r="C89" s="56" t="n">
        <v>67881</v>
      </c>
      <c r="D89" s="58" t="s">
        <v>41</v>
      </c>
      <c r="E89" s="33" t="n">
        <f aca="false">IF(D89="totale",(C89/(A89*24))/F89,IF(D89="marché libre",(C89/(A89*24))/G89,"spécifier histo"))</f>
        <v>0.0608252688172043</v>
      </c>
      <c r="F89" s="59" t="n">
        <v>1500</v>
      </c>
      <c r="G89" s="59" t="n">
        <f aca="false">F89-H89</f>
        <v>0</v>
      </c>
      <c r="H89" s="59" t="n">
        <v>1500</v>
      </c>
      <c r="J89" s="55"/>
      <c r="K89" s="0"/>
    </row>
    <row r="90" customFormat="false" ht="19.85" hidden="false" customHeight="true" outlineLevel="0" collapsed="false">
      <c r="A90" s="0" t="n">
        <v>30</v>
      </c>
      <c r="B90" s="31" t="n">
        <v>39326</v>
      </c>
      <c r="C90" s="56" t="n">
        <v>14988</v>
      </c>
      <c r="D90" s="58" t="s">
        <v>41</v>
      </c>
      <c r="E90" s="33" t="n">
        <f aca="false">IF(D90="totale",(C90/(A90*24))/F90,IF(D90="marché libre",(C90/(A90*24))/G90,"spécifier histo"))</f>
        <v>0.0138777777777778</v>
      </c>
      <c r="F90" s="59" t="n">
        <v>1500</v>
      </c>
      <c r="G90" s="59" t="n">
        <f aca="false">F90-H90</f>
        <v>0</v>
      </c>
      <c r="H90" s="59" t="n">
        <v>1500</v>
      </c>
      <c r="J90" s="55"/>
      <c r="K90" s="0"/>
    </row>
    <row r="91" customFormat="false" ht="19.85" hidden="false" customHeight="true" outlineLevel="0" collapsed="false">
      <c r="A91" s="0" t="n">
        <v>31</v>
      </c>
      <c r="B91" s="34" t="n">
        <v>39356</v>
      </c>
      <c r="C91" s="56" t="n">
        <v>75147</v>
      </c>
      <c r="D91" s="58" t="s">
        <v>41</v>
      </c>
      <c r="E91" s="33" t="n">
        <f aca="false">IF(D91="totale",(C91/(A91*24))/F91,IF(D91="marché libre",(C91/(A91*24))/G91,"spécifier histo"))</f>
        <v>0.0673360215053763</v>
      </c>
      <c r="F91" s="59" t="n">
        <v>1500</v>
      </c>
      <c r="G91" s="59" t="n">
        <f aca="false">F91-H91</f>
        <v>0</v>
      </c>
      <c r="H91" s="59" t="n">
        <v>1500</v>
      </c>
      <c r="J91" s="55"/>
      <c r="K91" s="0"/>
    </row>
    <row r="92" customFormat="false" ht="19.85" hidden="false" customHeight="true" outlineLevel="0" collapsed="false">
      <c r="A92" s="0" t="n">
        <v>30</v>
      </c>
      <c r="B92" s="31" t="n">
        <v>39387</v>
      </c>
      <c r="C92" s="56" t="n">
        <v>73393</v>
      </c>
      <c r="D92" s="58" t="s">
        <v>41</v>
      </c>
      <c r="E92" s="33" t="n">
        <f aca="false">IF(D92="totale",(C92/(A92*24))/F92,IF(D92="marché libre",(C92/(A92*24))/G92,"spécifier histo"))</f>
        <v>0.0679564814814815</v>
      </c>
      <c r="F92" s="59" t="n">
        <v>1500</v>
      </c>
      <c r="G92" s="59" t="n">
        <f aca="false">F92-H92</f>
        <v>0</v>
      </c>
      <c r="H92" s="59" t="n">
        <v>1500</v>
      </c>
      <c r="J92" s="55"/>
      <c r="K92" s="0"/>
    </row>
    <row r="93" customFormat="false" ht="19.85" hidden="false" customHeight="true" outlineLevel="0" collapsed="false">
      <c r="A93" s="0" t="n">
        <v>31</v>
      </c>
      <c r="B93" s="34" t="n">
        <v>39417</v>
      </c>
      <c r="C93" s="56" t="n">
        <v>432220</v>
      </c>
      <c r="D93" s="58" t="s">
        <v>41</v>
      </c>
      <c r="E93" s="33" t="n">
        <f aca="false">IF(D93="totale",(C93/(A93*24))/F93,IF(D93="marché libre",(C93/(A93*24))/G93,"spécifier histo"))</f>
        <v>0.387293906810036</v>
      </c>
      <c r="F93" s="59" t="n">
        <v>1500</v>
      </c>
      <c r="G93" s="59" t="n">
        <f aca="false">F93-H93</f>
        <v>0</v>
      </c>
      <c r="H93" s="59" t="n">
        <v>1500</v>
      </c>
      <c r="J93" s="55"/>
      <c r="K93" s="0"/>
    </row>
    <row r="94" customFormat="false" ht="19.85" hidden="false" customHeight="true" outlineLevel="0" collapsed="false">
      <c r="A94" s="0" t="n">
        <v>31</v>
      </c>
      <c r="B94" s="31" t="n">
        <v>39448</v>
      </c>
      <c r="C94" s="56" t="n">
        <v>792720</v>
      </c>
      <c r="D94" s="58" t="s">
        <v>41</v>
      </c>
      <c r="E94" s="33" t="n">
        <f aca="false">IF(D94="totale",(C94/(A94*24))/F94,IF(D94="marché libre",(C94/(A94*24))/G94,"spécifier histo"))</f>
        <v>0.710322580645161</v>
      </c>
      <c r="F94" s="59" t="n">
        <v>1500</v>
      </c>
      <c r="G94" s="59" t="n">
        <f aca="false">F94-H94</f>
        <v>0</v>
      </c>
      <c r="H94" s="59" t="n">
        <v>1500</v>
      </c>
      <c r="J94" s="55"/>
      <c r="K94" s="0"/>
    </row>
    <row r="95" customFormat="false" ht="19.85" hidden="false" customHeight="true" outlineLevel="0" collapsed="false">
      <c r="A95" s="0" t="n">
        <v>28</v>
      </c>
      <c r="B95" s="34" t="n">
        <v>39479</v>
      </c>
      <c r="C95" s="56" t="n">
        <v>279645</v>
      </c>
      <c r="D95" s="58" t="s">
        <v>41</v>
      </c>
      <c r="E95" s="33" t="n">
        <f aca="false">IF(D95="totale",(C95/(A95*24))/F95,IF(D95="marché libre",(C95/(A95*24))/G95,"spécifier histo"))</f>
        <v>0.277425595238095</v>
      </c>
      <c r="F95" s="59" t="n">
        <v>1500</v>
      </c>
      <c r="G95" s="59" t="n">
        <f aca="false">F95-H95</f>
        <v>0</v>
      </c>
      <c r="H95" s="59" t="n">
        <v>1500</v>
      </c>
      <c r="J95" s="55"/>
      <c r="K95" s="0"/>
    </row>
    <row r="96" customFormat="false" ht="19.85" hidden="false" customHeight="true" outlineLevel="0" collapsed="false">
      <c r="A96" s="0" t="n">
        <v>31</v>
      </c>
      <c r="B96" s="31" t="n">
        <v>39508</v>
      </c>
      <c r="C96" s="56" t="n">
        <v>605223</v>
      </c>
      <c r="D96" s="58" t="s">
        <v>41</v>
      </c>
      <c r="E96" s="33" t="n">
        <f aca="false">IF(D96="totale",(C96/(A96*24))/F96,IF(D96="marché libre",(C96/(A96*24))/G96,"spécifier histo"))</f>
        <v>0.542314516129032</v>
      </c>
      <c r="F96" s="59" t="n">
        <v>1500</v>
      </c>
      <c r="G96" s="59" t="n">
        <f aca="false">F96-H96</f>
        <v>0</v>
      </c>
      <c r="H96" s="59" t="n">
        <v>1500</v>
      </c>
      <c r="J96" s="55"/>
      <c r="K96" s="0"/>
    </row>
    <row r="97" customFormat="false" ht="19.85" hidden="false" customHeight="true" outlineLevel="0" collapsed="false">
      <c r="A97" s="0" t="n">
        <v>30</v>
      </c>
      <c r="B97" s="34" t="n">
        <v>39539</v>
      </c>
      <c r="C97" s="56" t="n">
        <v>761232</v>
      </c>
      <c r="D97" s="58" t="s">
        <v>41</v>
      </c>
      <c r="E97" s="33" t="n">
        <f aca="false">IF(D97="totale",(C97/(A97*24))/F97,IF(D97="marché libre",(C97/(A97*24))/G97,"spécifier histo"))</f>
        <v>0.704844444444444</v>
      </c>
      <c r="F97" s="59" t="n">
        <v>1500</v>
      </c>
      <c r="G97" s="59" t="n">
        <f aca="false">F97-H97</f>
        <v>0</v>
      </c>
      <c r="H97" s="59" t="n">
        <v>1500</v>
      </c>
      <c r="J97" s="55"/>
      <c r="K97" s="0"/>
    </row>
    <row r="98" customFormat="false" ht="19.85" hidden="false" customHeight="true" outlineLevel="0" collapsed="false">
      <c r="A98" s="0" t="n">
        <v>31</v>
      </c>
      <c r="B98" s="31" t="n">
        <v>39569</v>
      </c>
      <c r="C98" s="56" t="n">
        <v>373285</v>
      </c>
      <c r="D98" s="58" t="s">
        <v>41</v>
      </c>
      <c r="E98" s="33" t="n">
        <f aca="false">IF(D98="totale",(C98/(A98*24))/F98,IF(D98="marché libre",(C98/(A98*24))/G98,"spécifier histo"))</f>
        <v>0.33448476702509</v>
      </c>
      <c r="F98" s="59" t="n">
        <v>1500</v>
      </c>
      <c r="G98" s="59" t="n">
        <f aca="false">F98-H98</f>
        <v>0</v>
      </c>
      <c r="H98" s="59" t="n">
        <v>1500</v>
      </c>
      <c r="J98" s="55"/>
      <c r="K98" s="0"/>
    </row>
    <row r="99" customFormat="false" ht="19.85" hidden="false" customHeight="true" outlineLevel="0" collapsed="false">
      <c r="A99" s="0" t="n">
        <v>30</v>
      </c>
      <c r="B99" s="34" t="n">
        <v>39600</v>
      </c>
      <c r="C99" s="56" t="n">
        <v>336262</v>
      </c>
      <c r="D99" s="58" t="s">
        <v>41</v>
      </c>
      <c r="E99" s="33" t="n">
        <f aca="false">IF(D99="totale",(C99/(A99*24))/F99,IF(D99="marché libre",(C99/(A99*24))/G99,"spécifier histo"))</f>
        <v>0.311353703703704</v>
      </c>
      <c r="F99" s="59" t="n">
        <v>1500</v>
      </c>
      <c r="G99" s="59" t="n">
        <f aca="false">F99-H99</f>
        <v>0</v>
      </c>
      <c r="H99" s="59" t="n">
        <v>1500</v>
      </c>
      <c r="J99" s="55"/>
      <c r="K99" s="0"/>
    </row>
    <row r="100" customFormat="false" ht="19.85" hidden="false" customHeight="true" outlineLevel="0" collapsed="false">
      <c r="A100" s="0" t="n">
        <v>31</v>
      </c>
      <c r="B100" s="31" t="n">
        <v>39630</v>
      </c>
      <c r="C100" s="56" t="n">
        <v>108369</v>
      </c>
      <c r="D100" s="58" t="s">
        <v>41</v>
      </c>
      <c r="E100" s="33" t="n">
        <f aca="false">IF(D100="totale",(C100/(A100*24))/F100,IF(D100="marché libre",(C100/(A100*24))/G100,"spécifier histo"))</f>
        <v>0.0971048387096774</v>
      </c>
      <c r="F100" s="59" t="n">
        <v>1500</v>
      </c>
      <c r="G100" s="59" t="n">
        <f aca="false">F100-H100</f>
        <v>0</v>
      </c>
      <c r="H100" s="59" t="n">
        <v>1500</v>
      </c>
      <c r="J100" s="55"/>
      <c r="K100" s="0"/>
    </row>
    <row r="101" customFormat="false" ht="19.85" hidden="false" customHeight="true" outlineLevel="0" collapsed="false">
      <c r="A101" s="0" t="n">
        <v>31</v>
      </c>
      <c r="B101" s="34" t="n">
        <v>39661</v>
      </c>
      <c r="C101" s="56" t="n">
        <v>29806</v>
      </c>
      <c r="D101" s="58" t="s">
        <v>41</v>
      </c>
      <c r="E101" s="33" t="n">
        <f aca="false">IF(D101="totale",(C101/(A101*24))/F101,IF(D101="marché libre",(C101/(A101*24))/G101,"spécifier histo"))</f>
        <v>0.0267078853046595</v>
      </c>
      <c r="F101" s="59" t="n">
        <v>1500</v>
      </c>
      <c r="G101" s="59" t="n">
        <f aca="false">F101-H101</f>
        <v>0</v>
      </c>
      <c r="H101" s="59" t="n">
        <v>1500</v>
      </c>
      <c r="J101" s="55"/>
      <c r="K101" s="0"/>
    </row>
    <row r="102" customFormat="false" ht="19.85" hidden="false" customHeight="true" outlineLevel="0" collapsed="false">
      <c r="A102" s="0" t="n">
        <v>30</v>
      </c>
      <c r="B102" s="31" t="n">
        <v>39692</v>
      </c>
      <c r="C102" s="56" t="n">
        <v>45423</v>
      </c>
      <c r="D102" s="58" t="s">
        <v>41</v>
      </c>
      <c r="E102" s="33" t="n">
        <f aca="false">IF(D102="totale",(C102/(A102*24))/F102,IF(D102="marché libre",(C102/(A102*24))/G102,"spécifier histo"))</f>
        <v>0.0420583333333333</v>
      </c>
      <c r="F102" s="59" t="n">
        <v>1500</v>
      </c>
      <c r="G102" s="59" t="n">
        <f aca="false">F102-H102</f>
        <v>0</v>
      </c>
      <c r="H102" s="59" t="n">
        <v>1500</v>
      </c>
      <c r="J102" s="55"/>
      <c r="K102" s="0"/>
    </row>
    <row r="103" customFormat="false" ht="19.85" hidden="false" customHeight="true" outlineLevel="0" collapsed="false">
      <c r="A103" s="0" t="n">
        <v>31</v>
      </c>
      <c r="B103" s="34" t="n">
        <v>39722</v>
      </c>
      <c r="C103" s="56" t="n">
        <v>43202</v>
      </c>
      <c r="D103" s="58" t="s">
        <v>41</v>
      </c>
      <c r="E103" s="33" t="n">
        <f aca="false">IF(D103="totale",(C103/(A103*24))/F103,IF(D103="marché libre",(C103/(A103*24))/G103,"spécifier histo"))</f>
        <v>0.0387114695340502</v>
      </c>
      <c r="F103" s="59" t="n">
        <v>1500</v>
      </c>
      <c r="G103" s="59" t="n">
        <f aca="false">F103-H103</f>
        <v>0</v>
      </c>
      <c r="H103" s="59" t="n">
        <v>1500</v>
      </c>
      <c r="J103" s="55"/>
      <c r="K103" s="0"/>
    </row>
    <row r="104" customFormat="false" ht="19.85" hidden="false" customHeight="true" outlineLevel="0" collapsed="false">
      <c r="A104" s="0" t="n">
        <v>30</v>
      </c>
      <c r="B104" s="31" t="n">
        <v>39753</v>
      </c>
      <c r="C104" s="56" t="n">
        <v>373928</v>
      </c>
      <c r="D104" s="58" t="s">
        <v>41</v>
      </c>
      <c r="E104" s="33" t="n">
        <f aca="false">IF(D104="totale",(C104/(A104*24))/F104,IF(D104="marché libre",(C104/(A104*24))/G104,"spécifier histo"))</f>
        <v>0.34622962962963</v>
      </c>
      <c r="F104" s="59" t="n">
        <v>1500</v>
      </c>
      <c r="G104" s="59" t="n">
        <f aca="false">F104-H104</f>
        <v>0</v>
      </c>
      <c r="H104" s="59" t="n">
        <v>1500</v>
      </c>
      <c r="J104" s="55"/>
      <c r="K104" s="0"/>
    </row>
    <row r="105" customFormat="false" ht="19.85" hidden="false" customHeight="true" outlineLevel="0" collapsed="false">
      <c r="A105" s="0" t="n">
        <v>31</v>
      </c>
      <c r="B105" s="34" t="n">
        <v>39783</v>
      </c>
      <c r="C105" s="56" t="n">
        <v>794216</v>
      </c>
      <c r="D105" s="58" t="s">
        <v>41</v>
      </c>
      <c r="E105" s="33" t="n">
        <f aca="false">IF(D105="totale",(C105/(A105*24))/F105,IF(D105="marché libre",(C105/(A105*24))/G105,"spécifier histo"))</f>
        <v>0.711663082437276</v>
      </c>
      <c r="F105" s="59" t="n">
        <v>1500</v>
      </c>
      <c r="G105" s="59" t="n">
        <f aca="false">F105-H105</f>
        <v>0</v>
      </c>
      <c r="H105" s="59" t="n">
        <v>1500</v>
      </c>
      <c r="J105" s="55"/>
      <c r="K105" s="0"/>
    </row>
    <row r="106" customFormat="false" ht="19.85" hidden="false" customHeight="true" outlineLevel="0" collapsed="false">
      <c r="A106" s="0" t="n">
        <v>31</v>
      </c>
      <c r="B106" s="31" t="n">
        <v>39814</v>
      </c>
      <c r="C106" s="56" t="n">
        <v>453667</v>
      </c>
      <c r="D106" s="58" t="s">
        <v>41</v>
      </c>
      <c r="E106" s="33" t="n">
        <f aca="false">IF(D106="totale",(C106/(A106*24))/F106,IF(D106="marché libre",(C106/(A106*24))/G106,"spécifier histo"))</f>
        <v>0.40651164874552</v>
      </c>
      <c r="F106" s="59" t="n">
        <v>1500</v>
      </c>
      <c r="G106" s="59" t="n">
        <f aca="false">F106-H106</f>
        <v>0</v>
      </c>
      <c r="H106" s="59" t="n">
        <v>1500</v>
      </c>
      <c r="J106" s="55"/>
      <c r="K106" s="0"/>
    </row>
    <row r="107" customFormat="false" ht="19.85" hidden="false" customHeight="true" outlineLevel="0" collapsed="false">
      <c r="A107" s="0" t="n">
        <v>28</v>
      </c>
      <c r="B107" s="34" t="n">
        <v>39845</v>
      </c>
      <c r="C107" s="56" t="n">
        <v>592578</v>
      </c>
      <c r="D107" s="58" t="s">
        <v>41</v>
      </c>
      <c r="E107" s="33" t="n">
        <f aca="false">IF(D107="totale",(C107/(A107*24))/F107,IF(D107="marché libre",(C107/(A107*24))/G107,"spécifier histo"))</f>
        <v>0.587875</v>
      </c>
      <c r="F107" s="59" t="n">
        <v>1500</v>
      </c>
      <c r="G107" s="59" t="n">
        <f aca="false">F107-H107</f>
        <v>0</v>
      </c>
      <c r="H107" s="59" t="n">
        <v>1500</v>
      </c>
      <c r="J107" s="55"/>
      <c r="K107" s="0"/>
    </row>
    <row r="108" customFormat="false" ht="19.85" hidden="false" customHeight="true" outlineLevel="0" collapsed="false">
      <c r="A108" s="0" t="n">
        <v>31</v>
      </c>
      <c r="B108" s="31" t="n">
        <v>39873</v>
      </c>
      <c r="C108" s="56" t="n">
        <v>377771</v>
      </c>
      <c r="D108" s="58" t="s">
        <v>41</v>
      </c>
      <c r="E108" s="33" t="n">
        <f aca="false">IF(D108="totale",(C108/(A108*24))/F108,IF(D108="marché libre",(C108/(A108*24))/G108,"spécifier histo"))</f>
        <v>0.338504480286738</v>
      </c>
      <c r="F108" s="59" t="n">
        <v>1500</v>
      </c>
      <c r="G108" s="59" t="n">
        <f aca="false">F108-H108</f>
        <v>0</v>
      </c>
      <c r="H108" s="59" t="n">
        <v>1500</v>
      </c>
      <c r="J108" s="55"/>
      <c r="K108" s="0"/>
    </row>
    <row r="109" customFormat="false" ht="19.85" hidden="false" customHeight="true" outlineLevel="0" collapsed="false">
      <c r="A109" s="0" t="n">
        <v>30</v>
      </c>
      <c r="B109" s="34" t="n">
        <v>39904</v>
      </c>
      <c r="C109" s="56" t="n">
        <v>585133</v>
      </c>
      <c r="D109" s="58" t="s">
        <v>41</v>
      </c>
      <c r="E109" s="33" t="n">
        <f aca="false">IF(D109="totale",(C109/(A109*24))/F109,IF(D109="marché libre",(C109/(A109*24))/G109,"spécifier histo"))</f>
        <v>0.541789814814815</v>
      </c>
      <c r="F109" s="59" t="n">
        <v>1500</v>
      </c>
      <c r="G109" s="59" t="n">
        <f aca="false">F109-H109</f>
        <v>0</v>
      </c>
      <c r="H109" s="59" t="n">
        <v>1500</v>
      </c>
      <c r="J109" s="55"/>
      <c r="K109" s="0"/>
    </row>
    <row r="110" customFormat="false" ht="19.85" hidden="false" customHeight="true" outlineLevel="0" collapsed="false">
      <c r="A110" s="0" t="n">
        <v>31</v>
      </c>
      <c r="B110" s="31" t="n">
        <v>39934</v>
      </c>
      <c r="C110" s="56" t="n">
        <v>514091</v>
      </c>
      <c r="D110" s="58" t="s">
        <v>41</v>
      </c>
      <c r="E110" s="33" t="n">
        <f aca="false">IF(D110="totale",(C110/(A110*24))/F110,IF(D110="marché libre",(C110/(A110*24))/G110,"spécifier histo"))</f>
        <v>0.460655017921147</v>
      </c>
      <c r="F110" s="59" t="n">
        <v>1500</v>
      </c>
      <c r="G110" s="59" t="n">
        <f aca="false">F110-H110</f>
        <v>0</v>
      </c>
      <c r="H110" s="59" t="n">
        <v>1500</v>
      </c>
      <c r="J110" s="55"/>
      <c r="K110" s="0"/>
    </row>
    <row r="111" customFormat="false" ht="19.85" hidden="false" customHeight="true" outlineLevel="0" collapsed="false">
      <c r="A111" s="0" t="n">
        <v>30</v>
      </c>
      <c r="B111" s="34" t="n">
        <v>39965</v>
      </c>
      <c r="C111" s="56" t="n">
        <v>169241</v>
      </c>
      <c r="D111" s="58" t="s">
        <v>41</v>
      </c>
      <c r="E111" s="33" t="n">
        <f aca="false">IF(D111="totale",(C111/(A111*24))/F111,IF(D111="marché libre",(C111/(A111*24))/G111,"spécifier histo"))</f>
        <v>0.15670462962963</v>
      </c>
      <c r="F111" s="59" t="n">
        <v>1500</v>
      </c>
      <c r="G111" s="59" t="n">
        <f aca="false">F111-H111</f>
        <v>0</v>
      </c>
      <c r="H111" s="59" t="n">
        <v>1500</v>
      </c>
      <c r="J111" s="55"/>
    </row>
    <row r="112" customFormat="false" ht="19.85" hidden="false" customHeight="true" outlineLevel="0" collapsed="false">
      <c r="A112" s="0" t="n">
        <v>31</v>
      </c>
      <c r="B112" s="31" t="n">
        <v>39995</v>
      </c>
      <c r="C112" s="56" t="n">
        <v>50701</v>
      </c>
      <c r="D112" s="58" t="s">
        <v>41</v>
      </c>
      <c r="E112" s="33" t="n">
        <f aca="false">IF(D112="totale",(C112/(A112*24))/F112,IF(D112="marché libre",(C112/(A112*24))/G112,"spécifier histo"))</f>
        <v>0.0454310035842294</v>
      </c>
      <c r="F112" s="59" t="n">
        <v>1500</v>
      </c>
      <c r="G112" s="59" t="n">
        <f aca="false">F112-H112</f>
        <v>0</v>
      </c>
      <c r="H112" s="59" t="n">
        <v>1500</v>
      </c>
      <c r="J112" s="55"/>
    </row>
    <row r="113" customFormat="false" ht="19.85" hidden="false" customHeight="true" outlineLevel="0" collapsed="false">
      <c r="A113" s="0" t="n">
        <v>31</v>
      </c>
      <c r="B113" s="34" t="n">
        <v>40026</v>
      </c>
      <c r="C113" s="56" t="n">
        <v>0</v>
      </c>
      <c r="D113" s="58" t="s">
        <v>41</v>
      </c>
      <c r="E113" s="33" t="n">
        <f aca="false">IF(D113="totale",(C113/(A113*24))/F113,IF(D113="marché libre",(C113/(A113*24))/G113,"spécifier histo"))</f>
        <v>0</v>
      </c>
      <c r="F113" s="59" t="n">
        <v>1500</v>
      </c>
      <c r="G113" s="59" t="n">
        <f aca="false">F113-H113</f>
        <v>0</v>
      </c>
      <c r="H113" s="59" t="n">
        <v>1500</v>
      </c>
      <c r="J113" s="55"/>
    </row>
    <row r="114" customFormat="false" ht="19.85" hidden="false" customHeight="true" outlineLevel="0" collapsed="false">
      <c r="A114" s="0" t="n">
        <v>30</v>
      </c>
      <c r="B114" s="31" t="n">
        <v>40057</v>
      </c>
      <c r="C114" s="56" t="n">
        <v>305</v>
      </c>
      <c r="D114" s="58" t="s">
        <v>41</v>
      </c>
      <c r="E114" s="33" t="n">
        <f aca="false">IF(D114="totale",(C114/(A114*24))/F114,IF(D114="marché libre",(C114/(A114*24))/G114,"spécifier histo"))</f>
        <v>0.000282407407407407</v>
      </c>
      <c r="F114" s="59" t="n">
        <v>1500</v>
      </c>
      <c r="G114" s="59" t="n">
        <f aca="false">F114-H114</f>
        <v>0</v>
      </c>
      <c r="H114" s="59" t="n">
        <v>1500</v>
      </c>
      <c r="J114" s="55"/>
    </row>
    <row r="115" customFormat="false" ht="19.85" hidden="false" customHeight="true" outlineLevel="0" collapsed="false">
      <c r="A115" s="0" t="n">
        <v>31</v>
      </c>
      <c r="B115" s="34" t="n">
        <v>40087</v>
      </c>
      <c r="C115" s="56" t="n">
        <v>55520</v>
      </c>
      <c r="D115" s="58" t="s">
        <v>41</v>
      </c>
      <c r="E115" s="33" t="n">
        <f aca="false">IF(D115="totale",(C115/(A115*24))/F115,IF(D115="marché libre",(C115/(A115*24))/G115,"spécifier histo"))</f>
        <v>0.0497491039426523</v>
      </c>
      <c r="F115" s="59" t="n">
        <v>1500</v>
      </c>
      <c r="G115" s="59" t="n">
        <f aca="false">F115-H115</f>
        <v>0</v>
      </c>
      <c r="H115" s="59" t="n">
        <v>1500</v>
      </c>
      <c r="J115" s="55"/>
    </row>
    <row r="116" customFormat="false" ht="19.85" hidden="false" customHeight="true" outlineLevel="0" collapsed="false">
      <c r="A116" s="0" t="n">
        <v>30</v>
      </c>
      <c r="B116" s="31" t="n">
        <v>40118</v>
      </c>
      <c r="C116" s="56" t="n">
        <v>528454</v>
      </c>
      <c r="D116" s="58" t="s">
        <v>41</v>
      </c>
      <c r="E116" s="33" t="n">
        <f aca="false">IF(D116="totale",(C116/(A116*24))/F116,IF(D116="marché libre",(C116/(A116*24))/G116,"spécifier histo"))</f>
        <v>0.489309259259259</v>
      </c>
      <c r="F116" s="59" t="n">
        <v>1500</v>
      </c>
      <c r="G116" s="59" t="n">
        <f aca="false">F116-H116</f>
        <v>0</v>
      </c>
      <c r="H116" s="59" t="n">
        <v>1500</v>
      </c>
      <c r="J116" s="55"/>
    </row>
    <row r="117" customFormat="false" ht="19.85" hidden="false" customHeight="true" outlineLevel="0" collapsed="false">
      <c r="A117" s="0" t="n">
        <v>31</v>
      </c>
      <c r="B117" s="34" t="n">
        <v>40148</v>
      </c>
      <c r="C117" s="56" t="n">
        <v>440623</v>
      </c>
      <c r="D117" s="58" t="s">
        <v>41</v>
      </c>
      <c r="E117" s="33" t="n">
        <f aca="false">IF(D117="totale",(C117/(A117*24))/F117,IF(D117="marché libre",(C117/(A117*24))/G117,"spécifier histo"))</f>
        <v>0.394823476702509</v>
      </c>
      <c r="F117" s="59" t="n">
        <v>1500</v>
      </c>
      <c r="G117" s="59" t="n">
        <f aca="false">F117-H117</f>
        <v>0</v>
      </c>
      <c r="H117" s="59" t="n">
        <v>1500</v>
      </c>
      <c r="J117" s="55"/>
    </row>
    <row r="118" customFormat="false" ht="19.85" hidden="false" customHeight="true" outlineLevel="0" collapsed="false">
      <c r="A118" s="0" t="n">
        <v>31</v>
      </c>
      <c r="B118" s="31" t="n">
        <v>40179</v>
      </c>
      <c r="C118" s="56" t="n">
        <v>604688</v>
      </c>
      <c r="D118" s="58" t="s">
        <v>41</v>
      </c>
      <c r="E118" s="33" t="n">
        <f aca="false">IF(D118="totale",(C118/(A118*24))/F118,IF(D118="marché libre",(C118/(A118*24))/G118,"spécifier histo"))</f>
        <v>0.541835125448029</v>
      </c>
      <c r="F118" s="59" t="n">
        <v>1500</v>
      </c>
      <c r="G118" s="59" t="n">
        <f aca="false">F118-H118</f>
        <v>0</v>
      </c>
      <c r="H118" s="59" t="n">
        <v>1500</v>
      </c>
      <c r="J118" s="55"/>
    </row>
    <row r="119" customFormat="false" ht="19.85" hidden="false" customHeight="true" outlineLevel="0" collapsed="false">
      <c r="A119" s="0" t="n">
        <v>28</v>
      </c>
      <c r="B119" s="34" t="n">
        <v>40210</v>
      </c>
      <c r="C119" s="56" t="n">
        <v>612138</v>
      </c>
      <c r="D119" s="58" t="s">
        <v>41</v>
      </c>
      <c r="E119" s="33" t="n">
        <f aca="false">IF(D119="totale",(C119/(A119*24))/F119,IF(D119="marché libre",(C119/(A119*24))/G119,"spécifier histo"))</f>
        <v>0.607279761904762</v>
      </c>
      <c r="F119" s="59" t="n">
        <v>1500</v>
      </c>
      <c r="G119" s="59" t="n">
        <f aca="false">F119-H119</f>
        <v>0</v>
      </c>
      <c r="H119" s="59" t="n">
        <v>1500</v>
      </c>
      <c r="J119" s="55"/>
    </row>
    <row r="120" customFormat="false" ht="19.85" hidden="false" customHeight="true" outlineLevel="0" collapsed="false">
      <c r="A120" s="0" t="n">
        <v>31</v>
      </c>
      <c r="B120" s="31" t="n">
        <v>40238</v>
      </c>
      <c r="C120" s="56" t="n">
        <v>376318</v>
      </c>
      <c r="D120" s="58" t="s">
        <v>41</v>
      </c>
      <c r="E120" s="33" t="n">
        <f aca="false">IF(D120="totale",(C120/(A120*24))/F120,IF(D120="marché libre",(C120/(A120*24))/G120,"spécifier histo"))</f>
        <v>0.337202508960573</v>
      </c>
      <c r="F120" s="59" t="n">
        <v>1500</v>
      </c>
      <c r="G120" s="59" t="n">
        <f aca="false">F120-H120</f>
        <v>0</v>
      </c>
      <c r="H120" s="59" t="n">
        <v>1500</v>
      </c>
      <c r="J120" s="55"/>
    </row>
    <row r="121" customFormat="false" ht="19.85" hidden="false" customHeight="true" outlineLevel="0" collapsed="false">
      <c r="A121" s="0" t="n">
        <v>30</v>
      </c>
      <c r="B121" s="34" t="n">
        <v>40269</v>
      </c>
      <c r="C121" s="56" t="n">
        <v>266430</v>
      </c>
      <c r="D121" s="58" t="s">
        <v>41</v>
      </c>
      <c r="E121" s="33" t="n">
        <f aca="false">IF(D121="totale",(C121/(A121*24))/F121,IF(D121="marché libre",(C121/(A121*24))/G121,"spécifier histo"))</f>
        <v>0.246694444444444</v>
      </c>
      <c r="F121" s="59" t="n">
        <v>1500</v>
      </c>
      <c r="G121" s="59" t="n">
        <f aca="false">F121-H121</f>
        <v>0</v>
      </c>
      <c r="H121" s="59" t="n">
        <v>1500</v>
      </c>
      <c r="J121" s="55"/>
    </row>
    <row r="122" customFormat="false" ht="19.85" hidden="false" customHeight="true" outlineLevel="0" collapsed="false">
      <c r="A122" s="0" t="n">
        <v>31</v>
      </c>
      <c r="B122" s="31" t="n">
        <v>40299</v>
      </c>
      <c r="C122" s="56" t="n">
        <v>526091</v>
      </c>
      <c r="D122" s="58" t="s">
        <v>41</v>
      </c>
      <c r="E122" s="33" t="n">
        <f aca="false">IF(D122="totale",(C122/(A122*24))/F122,IF(D122="marché libre",(C122/(A122*24))/G122,"spécifier histo"))</f>
        <v>0.47140770609319</v>
      </c>
      <c r="F122" s="59" t="n">
        <v>1500</v>
      </c>
      <c r="G122" s="59" t="n">
        <f aca="false">F122-H122</f>
        <v>0</v>
      </c>
      <c r="H122" s="59" t="n">
        <v>1500</v>
      </c>
      <c r="J122" s="55"/>
    </row>
    <row r="123" customFormat="false" ht="19.85" hidden="false" customHeight="true" outlineLevel="0" collapsed="false">
      <c r="A123" s="0" t="n">
        <v>30</v>
      </c>
      <c r="B123" s="34" t="n">
        <v>40330</v>
      </c>
      <c r="C123" s="56" t="n">
        <v>585164</v>
      </c>
      <c r="D123" s="58" t="s">
        <v>41</v>
      </c>
      <c r="E123" s="33" t="n">
        <f aca="false">IF(D123="totale",(C123/(A123*24))/F123,IF(D123="marché libre",(C123/(A123*24))/G123,"spécifier histo"))</f>
        <v>0.541818518518519</v>
      </c>
      <c r="F123" s="59" t="n">
        <v>1500</v>
      </c>
      <c r="G123" s="59" t="n">
        <f aca="false">F123-H123</f>
        <v>0</v>
      </c>
      <c r="H123" s="59" t="n">
        <v>1500</v>
      </c>
      <c r="J123" s="55"/>
    </row>
    <row r="124" customFormat="false" ht="19.85" hidden="false" customHeight="true" outlineLevel="0" collapsed="false">
      <c r="A124" s="0" t="n">
        <v>31</v>
      </c>
      <c r="B124" s="31" t="n">
        <v>40360</v>
      </c>
      <c r="C124" s="56" t="n">
        <v>156716</v>
      </c>
      <c r="D124" s="58" t="s">
        <v>41</v>
      </c>
      <c r="E124" s="33" t="n">
        <f aca="false">IF(D124="totale",(C124/(A124*24))/F124,IF(D124="marché libre",(C124/(A124*24))/G124,"spécifier histo"))</f>
        <v>0.140426523297491</v>
      </c>
      <c r="F124" s="59" t="n">
        <v>1500</v>
      </c>
      <c r="G124" s="59" t="n">
        <f aca="false">F124-H124</f>
        <v>0</v>
      </c>
      <c r="H124" s="59" t="n">
        <v>1500</v>
      </c>
      <c r="J124" s="55"/>
    </row>
    <row r="125" customFormat="false" ht="19.85" hidden="false" customHeight="true" outlineLevel="0" collapsed="false">
      <c r="A125" s="0" t="n">
        <v>31</v>
      </c>
      <c r="B125" s="34" t="n">
        <v>40391</v>
      </c>
      <c r="C125" s="56" t="n">
        <v>11560</v>
      </c>
      <c r="D125" s="58" t="s">
        <v>41</v>
      </c>
      <c r="E125" s="33" t="n">
        <f aca="false">IF(D125="totale",(C125/(A125*24))/F125,IF(D125="marché libre",(C125/(A125*24))/G125,"spécifier histo"))</f>
        <v>0.0103584229390681</v>
      </c>
      <c r="F125" s="59" t="n">
        <v>1500</v>
      </c>
      <c r="G125" s="59" t="n">
        <f aca="false">F125-H125</f>
        <v>0</v>
      </c>
      <c r="H125" s="59" t="n">
        <v>1500</v>
      </c>
      <c r="J125" s="55"/>
    </row>
    <row r="126" customFormat="false" ht="19.85" hidden="false" customHeight="true" outlineLevel="0" collapsed="false">
      <c r="A126" s="0" t="n">
        <v>30</v>
      </c>
      <c r="B126" s="31" t="n">
        <v>40422</v>
      </c>
      <c r="C126" s="56" t="n">
        <v>0</v>
      </c>
      <c r="D126" s="58" t="s">
        <v>41</v>
      </c>
      <c r="E126" s="33" t="n">
        <f aca="false">IF(D126="totale",(C126/(A126*24))/F126,IF(D126="marché libre",(C126/(A126*24))/G126,"spécifier histo"))</f>
        <v>0</v>
      </c>
      <c r="F126" s="59" t="n">
        <v>1500</v>
      </c>
      <c r="G126" s="59" t="n">
        <f aca="false">F126-H126</f>
        <v>0</v>
      </c>
      <c r="H126" s="59" t="n">
        <v>1500</v>
      </c>
      <c r="J126" s="55"/>
    </row>
    <row r="127" customFormat="false" ht="19.85" hidden="false" customHeight="true" outlineLevel="0" collapsed="false">
      <c r="A127" s="0" t="n">
        <v>31</v>
      </c>
      <c r="B127" s="34" t="n">
        <v>40452</v>
      </c>
      <c r="C127" s="56" t="n">
        <v>28574</v>
      </c>
      <c r="D127" s="58" t="s">
        <v>41</v>
      </c>
      <c r="E127" s="33" t="n">
        <f aca="false">IF(D127="totale",(C127/(A127*24))/F127,IF(D127="marché libre",(C127/(A127*24))/G127,"spécifier histo"))</f>
        <v>0.0256039426523298</v>
      </c>
      <c r="F127" s="59" t="n">
        <v>1500</v>
      </c>
      <c r="G127" s="59" t="n">
        <f aca="false">F127-H127</f>
        <v>0</v>
      </c>
      <c r="H127" s="59" t="n">
        <v>1500</v>
      </c>
      <c r="J127" s="55"/>
    </row>
    <row r="128" customFormat="false" ht="19.85" hidden="false" customHeight="true" outlineLevel="0" collapsed="false">
      <c r="A128" s="0" t="n">
        <v>30</v>
      </c>
      <c r="B128" s="31" t="n">
        <v>40483</v>
      </c>
      <c r="C128" s="56" t="n">
        <v>339440</v>
      </c>
      <c r="D128" s="58" t="s">
        <v>41</v>
      </c>
      <c r="E128" s="33" t="n">
        <f aca="false">IF(D128="totale",(C128/(A128*24))/F128,IF(D128="marché libre",(C128/(A128*24))/G128,"spécifier histo"))</f>
        <v>0.314296296296296</v>
      </c>
      <c r="F128" s="59" t="n">
        <v>1500</v>
      </c>
      <c r="G128" s="59" t="n">
        <f aca="false">F128-H128</f>
        <v>0</v>
      </c>
      <c r="H128" s="59" t="n">
        <v>1500</v>
      </c>
      <c r="J128" s="55"/>
    </row>
    <row r="129" customFormat="false" ht="19.85" hidden="false" customHeight="true" outlineLevel="0" collapsed="false">
      <c r="A129" s="0" t="n">
        <v>31</v>
      </c>
      <c r="B129" s="34" t="n">
        <v>40513</v>
      </c>
      <c r="C129" s="56" t="n">
        <v>271070</v>
      </c>
      <c r="D129" s="58" t="s">
        <v>41</v>
      </c>
      <c r="E129" s="33" t="n">
        <f aca="false">IF(D129="totale",(C129/(A129*24))/F129,IF(D129="marché libre",(C129/(A129*24))/G129,"spécifier histo"))</f>
        <v>0.242894265232975</v>
      </c>
      <c r="F129" s="59" t="n">
        <v>1500</v>
      </c>
      <c r="G129" s="59" t="n">
        <f aca="false">F129-H129</f>
        <v>0</v>
      </c>
      <c r="H129" s="59" t="n">
        <v>1500</v>
      </c>
      <c r="J129" s="55"/>
    </row>
    <row r="130" customFormat="false" ht="19.85" hidden="false" customHeight="true" outlineLevel="0" collapsed="false">
      <c r="A130" s="0" t="n">
        <v>31</v>
      </c>
      <c r="B130" s="31" t="n">
        <v>40544</v>
      </c>
      <c r="C130" s="56" t="n">
        <v>376119</v>
      </c>
      <c r="D130" s="58" t="s">
        <v>41</v>
      </c>
      <c r="E130" s="33" t="n">
        <f aca="false">IF(D130="totale",(C130/(A130*24))/F130,IF(D130="marché libre",(C130/(A130*24))/G130,"spécifier histo"))</f>
        <v>0.337024193548387</v>
      </c>
      <c r="F130" s="59" t="n">
        <v>1500</v>
      </c>
      <c r="G130" s="59" t="n">
        <f aca="false">F130-H130</f>
        <v>0</v>
      </c>
      <c r="H130" s="59" t="n">
        <v>1500</v>
      </c>
      <c r="J130" s="55"/>
    </row>
    <row r="131" customFormat="false" ht="19.85" hidden="false" customHeight="true" outlineLevel="0" collapsed="false">
      <c r="A131" s="0" t="n">
        <v>28</v>
      </c>
      <c r="B131" s="34" t="n">
        <v>40575</v>
      </c>
      <c r="C131" s="56" t="n">
        <v>456948</v>
      </c>
      <c r="D131" s="58" t="s">
        <v>41</v>
      </c>
      <c r="E131" s="33" t="n">
        <f aca="false">IF(D131="totale",(C131/(A131*24))/F131,IF(D131="marché libre",(C131/(A131*24))/G131,"spécifier histo"))</f>
        <v>0.453321428571429</v>
      </c>
      <c r="F131" s="59" t="n">
        <v>1500</v>
      </c>
      <c r="G131" s="59" t="n">
        <f aca="false">F131-H131</f>
        <v>0</v>
      </c>
      <c r="H131" s="59" t="n">
        <v>1500</v>
      </c>
      <c r="J131" s="55"/>
    </row>
    <row r="132" customFormat="false" ht="19.85" hidden="false" customHeight="true" outlineLevel="0" collapsed="false">
      <c r="A132" s="0" t="n">
        <v>31</v>
      </c>
      <c r="B132" s="31" t="n">
        <v>40603</v>
      </c>
      <c r="C132" s="56" t="n">
        <v>774582</v>
      </c>
      <c r="D132" s="58" t="s">
        <v>41</v>
      </c>
      <c r="E132" s="33" t="n">
        <f aca="false">IF(D132="totale",(C132/(A132*24))/F132,IF(D132="marché libre",(C132/(A132*24))/G132,"spécifier histo"))</f>
        <v>0.694069892473118</v>
      </c>
      <c r="F132" s="59" t="n">
        <v>1500</v>
      </c>
      <c r="G132" s="59" t="n">
        <f aca="false">F132-H132</f>
        <v>0</v>
      </c>
      <c r="H132" s="59" t="n">
        <v>1500</v>
      </c>
      <c r="J132" s="55"/>
    </row>
    <row r="133" customFormat="false" ht="19.85" hidden="false" customHeight="true" outlineLevel="0" collapsed="false">
      <c r="A133" s="0" t="n">
        <v>30</v>
      </c>
      <c r="B133" s="34" t="n">
        <v>40634</v>
      </c>
      <c r="C133" s="56" t="n">
        <v>360566</v>
      </c>
      <c r="D133" s="58" t="s">
        <v>41</v>
      </c>
      <c r="E133" s="33" t="n">
        <f aca="false">IF(D133="totale",(C133/(A133*24))/F133,IF(D133="marché libre",(C133/(A133*24))/G133,"spécifier histo"))</f>
        <v>0.333857407407407</v>
      </c>
      <c r="F133" s="59" t="n">
        <v>1500</v>
      </c>
      <c r="G133" s="59" t="n">
        <f aca="false">F133-H133</f>
        <v>0</v>
      </c>
      <c r="H133" s="59" t="n">
        <v>1500</v>
      </c>
      <c r="J133" s="55"/>
    </row>
    <row r="134" customFormat="false" ht="19.85" hidden="false" customHeight="true" outlineLevel="0" collapsed="false">
      <c r="A134" s="0" t="n">
        <v>31</v>
      </c>
      <c r="B134" s="31" t="n">
        <v>40664</v>
      </c>
      <c r="C134" s="56" t="n">
        <v>128237</v>
      </c>
      <c r="D134" s="58" t="s">
        <v>41</v>
      </c>
      <c r="E134" s="33" t="n">
        <f aca="false">IF(D134="totale",(C134/(A134*24))/F134,IF(D134="marché libre",(C134/(A134*24))/G134,"spécifier histo"))</f>
        <v>0.11490770609319</v>
      </c>
      <c r="F134" s="59" t="n">
        <v>1500</v>
      </c>
      <c r="G134" s="59" t="n">
        <f aca="false">F134-H134</f>
        <v>0</v>
      </c>
      <c r="H134" s="59" t="n">
        <v>1500</v>
      </c>
      <c r="J134" s="55"/>
    </row>
    <row r="135" customFormat="false" ht="19.85" hidden="false" customHeight="true" outlineLevel="0" collapsed="false">
      <c r="A135" s="0" t="n">
        <v>30</v>
      </c>
      <c r="B135" s="34" t="n">
        <v>40695</v>
      </c>
      <c r="C135" s="56" t="n">
        <v>118691</v>
      </c>
      <c r="D135" s="58" t="s">
        <v>41</v>
      </c>
      <c r="E135" s="33" t="n">
        <f aca="false">IF(D135="totale",(C135/(A135*24))/F135,IF(D135="marché libre",(C135/(A135*24))/G135,"spécifier histo"))</f>
        <v>0.109899074074074</v>
      </c>
      <c r="F135" s="59" t="n">
        <v>1500</v>
      </c>
      <c r="G135" s="59" t="n">
        <f aca="false">F135-H135</f>
        <v>0</v>
      </c>
      <c r="H135" s="59" t="n">
        <v>1500</v>
      </c>
      <c r="J135" s="55"/>
    </row>
    <row r="136" customFormat="false" ht="19.85" hidden="false" customHeight="true" outlineLevel="0" collapsed="false">
      <c r="A136" s="0" t="n">
        <v>31</v>
      </c>
      <c r="B136" s="31" t="n">
        <v>40725</v>
      </c>
      <c r="C136" s="56" t="n">
        <v>369198</v>
      </c>
      <c r="D136" s="58" t="s">
        <v>41</v>
      </c>
      <c r="E136" s="33" t="n">
        <f aca="false">IF(D136="totale",(C136/(A136*24))/F136,IF(D136="marché libre",(C136/(A136*24))/G136,"spécifier histo"))</f>
        <v>0.330822580645161</v>
      </c>
      <c r="F136" s="59" t="n">
        <v>1500</v>
      </c>
      <c r="G136" s="59" t="n">
        <f aca="false">F136-H136</f>
        <v>0</v>
      </c>
      <c r="H136" s="59" t="n">
        <v>1500</v>
      </c>
      <c r="J136" s="55"/>
    </row>
    <row r="137" customFormat="false" ht="19.85" hidden="false" customHeight="true" outlineLevel="0" collapsed="false">
      <c r="A137" s="0" t="n">
        <v>31</v>
      </c>
      <c r="B137" s="34" t="n">
        <v>40756</v>
      </c>
      <c r="C137" s="56" t="n">
        <v>129611</v>
      </c>
      <c r="D137" s="58" t="s">
        <v>41</v>
      </c>
      <c r="E137" s="33" t="n">
        <f aca="false">IF(D137="totale",(C137/(A137*24))/F137,IF(D137="marché libre",(C137/(A137*24))/G137,"spécifier histo"))</f>
        <v>0.116138888888889</v>
      </c>
      <c r="F137" s="59" t="n">
        <v>1500</v>
      </c>
      <c r="G137" s="59" t="n">
        <f aca="false">F137-H137</f>
        <v>0</v>
      </c>
      <c r="H137" s="59" t="n">
        <v>1500</v>
      </c>
      <c r="J137" s="55"/>
    </row>
    <row r="138" customFormat="false" ht="19.85" hidden="false" customHeight="true" outlineLevel="0" collapsed="false">
      <c r="A138" s="0" t="n">
        <v>30</v>
      </c>
      <c r="B138" s="31" t="n">
        <v>40787</v>
      </c>
      <c r="C138" s="56" t="n">
        <v>37192</v>
      </c>
      <c r="D138" s="58" t="s">
        <v>41</v>
      </c>
      <c r="E138" s="33" t="n">
        <f aca="false">IF(D138="totale",(C138/(A138*24))/F138,IF(D138="marché libre",(C138/(A138*24))/G138,"spécifier histo"))</f>
        <v>0.034437037037037</v>
      </c>
      <c r="F138" s="59" t="n">
        <v>1500</v>
      </c>
      <c r="G138" s="59" t="n">
        <f aca="false">F138-H138</f>
        <v>0</v>
      </c>
      <c r="H138" s="59" t="n">
        <v>1500</v>
      </c>
      <c r="J138" s="55"/>
    </row>
    <row r="139" customFormat="false" ht="19.85" hidden="false" customHeight="true" outlineLevel="0" collapsed="false">
      <c r="A139" s="0" t="n">
        <v>31</v>
      </c>
      <c r="B139" s="34" t="n">
        <v>40817</v>
      </c>
      <c r="C139" s="56" t="n">
        <v>36736</v>
      </c>
      <c r="D139" s="58" t="s">
        <v>41</v>
      </c>
      <c r="E139" s="33" t="n">
        <f aca="false">IF(D139="totale",(C139/(A139*24))/F139,IF(D139="marché libre",(C139/(A139*24))/G139,"spécifier histo"))</f>
        <v>0.0329175627240143</v>
      </c>
      <c r="F139" s="59" t="n">
        <v>1500</v>
      </c>
      <c r="G139" s="59" t="n">
        <f aca="false">F139-H139</f>
        <v>0</v>
      </c>
      <c r="H139" s="59" t="n">
        <v>1500</v>
      </c>
      <c r="J139" s="55"/>
    </row>
    <row r="140" customFormat="false" ht="19.85" hidden="false" customHeight="true" outlineLevel="0" collapsed="false">
      <c r="A140" s="0" t="n">
        <v>30</v>
      </c>
      <c r="B140" s="31" t="n">
        <v>40848</v>
      </c>
      <c r="C140" s="56" t="n">
        <v>58345</v>
      </c>
      <c r="D140" s="58" t="s">
        <v>41</v>
      </c>
      <c r="E140" s="33" t="n">
        <f aca="false">IF(D140="totale",(C140/(A140*24))/F140,IF(D140="marché libre",(C140/(A140*24))/G140,"spécifier histo"))</f>
        <v>0.0540231481481482</v>
      </c>
      <c r="F140" s="59" t="n">
        <v>1500</v>
      </c>
      <c r="G140" s="59" t="n">
        <f aca="false">F140-H140</f>
        <v>0</v>
      </c>
      <c r="H140" s="59" t="n">
        <v>1500</v>
      </c>
      <c r="J140" s="55"/>
    </row>
    <row r="141" customFormat="false" ht="19.85" hidden="false" customHeight="true" outlineLevel="0" collapsed="false">
      <c r="A141" s="0" t="n">
        <v>31</v>
      </c>
      <c r="B141" s="34" t="n">
        <v>40878</v>
      </c>
      <c r="C141" s="56" t="n">
        <v>526993</v>
      </c>
      <c r="D141" s="58" t="s">
        <v>41</v>
      </c>
      <c r="E141" s="33" t="n">
        <f aca="false">IF(D141="totale",(C141/(A141*24))/F141,IF(D141="marché libre",(C141/(A141*24))/G141,"spécifier histo"))</f>
        <v>0.472215949820789</v>
      </c>
      <c r="F141" s="59" t="n">
        <v>1500</v>
      </c>
      <c r="G141" s="59" t="n">
        <f aca="false">F141-H141</f>
        <v>0</v>
      </c>
      <c r="H141" s="59" t="n">
        <v>1500</v>
      </c>
      <c r="J141" s="55"/>
    </row>
    <row r="142" customFormat="false" ht="19.85" hidden="false" customHeight="true" outlineLevel="0" collapsed="false">
      <c r="A142" s="0" t="n">
        <v>31</v>
      </c>
      <c r="B142" s="31" t="n">
        <v>40909</v>
      </c>
      <c r="C142" s="56" t="n">
        <v>898097</v>
      </c>
      <c r="D142" s="58" t="s">
        <v>41</v>
      </c>
      <c r="E142" s="33" t="n">
        <f aca="false">IF(D142="totale",(C142/(A142*24))/F142,IF(D142="marché libre",(C142/(A142*24))/G142,"spécifier histo"))</f>
        <v>0.804746415770609</v>
      </c>
      <c r="F142" s="59" t="n">
        <v>1500</v>
      </c>
      <c r="G142" s="59" t="n">
        <f aca="false">F142-H142</f>
        <v>0</v>
      </c>
      <c r="H142" s="59" t="n">
        <v>1500</v>
      </c>
      <c r="J142" s="55"/>
    </row>
    <row r="143" customFormat="false" ht="19.85" hidden="false" customHeight="true" outlineLevel="0" collapsed="false">
      <c r="A143" s="0" t="n">
        <v>28</v>
      </c>
      <c r="B143" s="34" t="n">
        <v>40940</v>
      </c>
      <c r="C143" s="56" t="n">
        <v>345080</v>
      </c>
      <c r="D143" s="58" t="s">
        <v>41</v>
      </c>
      <c r="E143" s="33" t="n">
        <f aca="false">IF(D143="totale",(C143/(A143*24))/F143,IF(D143="marché libre",(C143/(A143*24))/G143,"spécifier histo"))</f>
        <v>0.34234126984127</v>
      </c>
      <c r="F143" s="59" t="n">
        <v>1500</v>
      </c>
      <c r="G143" s="59" t="n">
        <f aca="false">F143-H143</f>
        <v>0</v>
      </c>
      <c r="H143" s="59" t="n">
        <v>1500</v>
      </c>
      <c r="J143" s="55"/>
      <c r="K143" s="0"/>
      <c r="L143" s="0"/>
      <c r="M143" s="0"/>
      <c r="N143" s="0"/>
      <c r="O143" s="0"/>
      <c r="P143" s="0"/>
      <c r="Q143" s="0"/>
      <c r="R143" s="0"/>
      <c r="S143" s="0"/>
    </row>
    <row r="144" customFormat="false" ht="19.85" hidden="false" customHeight="true" outlineLevel="0" collapsed="false">
      <c r="A144" s="0" t="n">
        <v>31</v>
      </c>
      <c r="B144" s="31" t="n">
        <v>40969</v>
      </c>
      <c r="C144" s="56" t="n">
        <v>267781</v>
      </c>
      <c r="D144" s="58" t="s">
        <v>41</v>
      </c>
      <c r="E144" s="33" t="n">
        <f aca="false">IF(D144="totale",(C144/(A144*24))/F144,IF(D144="marché libre",(C144/(A144*24))/G144,"spécifier histo"))</f>
        <v>0.239947132616487</v>
      </c>
      <c r="F144" s="59" t="n">
        <v>1500</v>
      </c>
      <c r="G144" s="59" t="n">
        <f aca="false">F144-H144</f>
        <v>0</v>
      </c>
      <c r="H144" s="59" t="n">
        <v>1500</v>
      </c>
      <c r="J144" s="55"/>
    </row>
    <row r="145" customFormat="false" ht="19.85" hidden="false" customHeight="true" outlineLevel="0" collapsed="false">
      <c r="A145" s="0" t="n">
        <v>30</v>
      </c>
      <c r="B145" s="34" t="n">
        <v>41000</v>
      </c>
      <c r="C145" s="56" t="n">
        <v>528739</v>
      </c>
      <c r="D145" s="58" t="s">
        <v>41</v>
      </c>
      <c r="E145" s="33" t="n">
        <f aca="false">IF(D145="totale",(C145/(A145*24))/F145,IF(D145="marché libre",(C145/(A145*24))/G145,"spécifier histo"))</f>
        <v>0.489573148148148</v>
      </c>
      <c r="F145" s="59" t="n">
        <v>1500</v>
      </c>
      <c r="G145" s="59" t="n">
        <f aca="false">F145-H145</f>
        <v>0</v>
      </c>
      <c r="H145" s="59" t="n">
        <v>1500</v>
      </c>
      <c r="J145" s="55"/>
    </row>
    <row r="146" customFormat="false" ht="19.85" hidden="false" customHeight="true" outlineLevel="0" collapsed="false">
      <c r="A146" s="0" t="n">
        <v>31</v>
      </c>
      <c r="B146" s="31" t="n">
        <v>41030</v>
      </c>
      <c r="C146" s="56" t="n">
        <v>702490</v>
      </c>
      <c r="D146" s="58" t="s">
        <v>41</v>
      </c>
      <c r="E146" s="33" t="n">
        <f aca="false">IF(D146="totale",(C146/(A146*24))/F146,IF(D146="marché libre",(C146/(A146*24))/G146,"spécifier histo"))</f>
        <v>0.629471326164875</v>
      </c>
      <c r="F146" s="59" t="n">
        <v>1500</v>
      </c>
      <c r="G146" s="59" t="n">
        <f aca="false">F146-H146</f>
        <v>0</v>
      </c>
      <c r="H146" s="59" t="n">
        <v>1500</v>
      </c>
      <c r="J146" s="55"/>
    </row>
    <row r="147" customFormat="false" ht="19.85" hidden="false" customHeight="true" outlineLevel="0" collapsed="false">
      <c r="A147" s="0" t="n">
        <v>30</v>
      </c>
      <c r="B147" s="34" t="n">
        <v>41061</v>
      </c>
      <c r="C147" s="56" t="n">
        <v>340263</v>
      </c>
      <c r="D147" s="58" t="s">
        <v>41</v>
      </c>
      <c r="E147" s="33" t="n">
        <f aca="false">IF(D147="totale",(C147/(A147*24))/F147,IF(D147="marché libre",(C147/(A147*24))/G147,"spécifier histo"))</f>
        <v>0.315058333333333</v>
      </c>
      <c r="F147" s="59" t="n">
        <v>1500</v>
      </c>
      <c r="G147" s="59" t="n">
        <f aca="false">F147-H147</f>
        <v>0</v>
      </c>
      <c r="H147" s="59" t="n">
        <v>1500</v>
      </c>
      <c r="J147" s="55"/>
    </row>
    <row r="148" customFormat="false" ht="19.85" hidden="false" customHeight="true" outlineLevel="0" collapsed="false">
      <c r="A148" s="0" t="n">
        <v>31</v>
      </c>
      <c r="B148" s="31" t="n">
        <v>41091</v>
      </c>
      <c r="C148" s="56" t="n">
        <v>102279</v>
      </c>
      <c r="D148" s="58" t="s">
        <v>41</v>
      </c>
      <c r="E148" s="33" t="n">
        <f aca="false">IF(D148="totale",(C148/(A148*24))/F148,IF(D148="marché libre",(C148/(A148*24))/G148,"spécifier histo"))</f>
        <v>0.0916478494623656</v>
      </c>
      <c r="F148" s="59" t="n">
        <v>1500</v>
      </c>
      <c r="G148" s="59" t="n">
        <f aca="false">F148-H148</f>
        <v>0</v>
      </c>
      <c r="H148" s="59" t="n">
        <v>1500</v>
      </c>
      <c r="J148" s="55"/>
    </row>
    <row r="149" customFormat="false" ht="19.85" hidden="false" customHeight="true" outlineLevel="0" collapsed="false">
      <c r="A149" s="0" t="n">
        <v>31</v>
      </c>
      <c r="B149" s="34" t="n">
        <v>41122</v>
      </c>
      <c r="C149" s="56" t="n">
        <v>46712</v>
      </c>
      <c r="D149" s="58" t="s">
        <v>41</v>
      </c>
      <c r="E149" s="33" t="n">
        <f aca="false">IF(D149="totale",(C149/(A149*24))/F149,IF(D149="marché libre",(C149/(A149*24))/G149,"spécifier histo"))</f>
        <v>0.0418566308243728</v>
      </c>
      <c r="F149" s="59" t="n">
        <v>1500</v>
      </c>
      <c r="G149" s="59" t="n">
        <f aca="false">F149-H149</f>
        <v>0</v>
      </c>
      <c r="H149" s="59" t="n">
        <v>1500</v>
      </c>
      <c r="J149" s="55"/>
    </row>
    <row r="150" customFormat="false" ht="19.85" hidden="false" customHeight="true" outlineLevel="0" collapsed="false">
      <c r="A150" s="0" t="n">
        <v>30</v>
      </c>
      <c r="B150" s="31" t="n">
        <v>41153</v>
      </c>
      <c r="C150" s="56" t="n">
        <v>24978</v>
      </c>
      <c r="D150" s="58" t="s">
        <v>41</v>
      </c>
      <c r="E150" s="33" t="n">
        <f aca="false">IF(D150="totale",(C150/(A150*24))/F150,IF(D150="marché libre",(C150/(A150*24))/G150,"spécifier histo"))</f>
        <v>0.0231277777777778</v>
      </c>
      <c r="F150" s="59" t="n">
        <v>1500</v>
      </c>
      <c r="G150" s="59" t="n">
        <f aca="false">F150-H150</f>
        <v>0</v>
      </c>
      <c r="H150" s="59" t="n">
        <v>1500</v>
      </c>
      <c r="I150" s="326" t="s">
        <v>551</v>
      </c>
      <c r="J150" s="55"/>
    </row>
    <row r="151" customFormat="false" ht="19.85" hidden="false" customHeight="true" outlineLevel="0" collapsed="false">
      <c r="A151" s="0" t="n">
        <v>31</v>
      </c>
      <c r="B151" s="34" t="n">
        <v>41183</v>
      </c>
      <c r="C151" s="135" t="n">
        <v>135731</v>
      </c>
      <c r="D151" s="58" t="s">
        <v>41</v>
      </c>
      <c r="E151" s="33" t="n">
        <f aca="false">IF(D151="totale",(C151/(A151*24))/F151,IF(D151="marché libre",(C151/(A151*24))/G151,"spécifier histo"))</f>
        <v>0.121622759856631</v>
      </c>
      <c r="F151" s="228" t="n">
        <v>1500</v>
      </c>
      <c r="G151" s="228" t="n">
        <f aca="false">F151-H151</f>
        <v>1500</v>
      </c>
      <c r="H151" s="187" t="n">
        <v>0</v>
      </c>
      <c r="J151" s="55"/>
      <c r="K151" s="0"/>
    </row>
    <row r="152" customFormat="false" ht="19.85" hidden="false" customHeight="true" outlineLevel="0" collapsed="false">
      <c r="A152" s="0" t="n">
        <v>30</v>
      </c>
      <c r="B152" s="31" t="n">
        <v>41214</v>
      </c>
      <c r="C152" s="135" t="n">
        <v>206419</v>
      </c>
      <c r="D152" s="58" t="s">
        <v>41</v>
      </c>
      <c r="E152" s="33" t="n">
        <f aca="false">IF(D152="totale",(C152/(A152*24))/F152,IF(D152="marché libre",(C152/(A152*24))/G152,"spécifier histo"))</f>
        <v>0.191128703703704</v>
      </c>
      <c r="F152" s="59" t="n">
        <v>1500</v>
      </c>
      <c r="G152" s="59" t="n">
        <f aca="false">F152-H152</f>
        <v>1500</v>
      </c>
      <c r="H152" s="59" t="n">
        <v>0</v>
      </c>
      <c r="J152" s="55"/>
      <c r="K152" s="0"/>
    </row>
    <row r="153" customFormat="false" ht="19.85" hidden="false" customHeight="true" outlineLevel="0" collapsed="false">
      <c r="A153" s="0" t="n">
        <v>31</v>
      </c>
      <c r="B153" s="34" t="n">
        <v>41244</v>
      </c>
      <c r="C153" s="135" t="n">
        <v>784183</v>
      </c>
      <c r="D153" s="58" t="s">
        <v>41</v>
      </c>
      <c r="E153" s="33" t="n">
        <f aca="false">IF(D153="totale",(C153/(A153*24))/F153,IF(D153="marché libre",(C153/(A153*24))/G153,"spécifier histo"))</f>
        <v>0.7026729390681</v>
      </c>
      <c r="F153" s="59" t="n">
        <v>1500</v>
      </c>
      <c r="G153" s="59" t="n">
        <f aca="false">F153-H153</f>
        <v>1500</v>
      </c>
      <c r="H153" s="59" t="n">
        <v>0</v>
      </c>
      <c r="J153" s="55"/>
      <c r="K153" s="0"/>
    </row>
    <row r="154" customFormat="false" ht="19.85" hidden="false" customHeight="true" outlineLevel="0" collapsed="false">
      <c r="A154" s="0" t="n">
        <v>31</v>
      </c>
      <c r="B154" s="31" t="n">
        <v>41275</v>
      </c>
      <c r="C154" s="1" t="n">
        <v>731675</v>
      </c>
      <c r="D154" s="58" t="s">
        <v>41</v>
      </c>
      <c r="E154" s="33" t="n">
        <f aca="false">IF(D154="totale",(C154/(A154*24))/F154,IF(D154="marché libre",(C154/(A154*24))/G154,"spécifier histo"))</f>
        <v>0.655622759856631</v>
      </c>
      <c r="F154" s="59" t="n">
        <v>1500</v>
      </c>
      <c r="G154" s="59" t="n">
        <f aca="false">F154-H154</f>
        <v>1500</v>
      </c>
      <c r="H154" s="59" t="n">
        <v>0</v>
      </c>
      <c r="I154" s="368"/>
      <c r="J154" s="55"/>
      <c r="K154" s="0"/>
    </row>
    <row r="155" customFormat="false" ht="19.85" hidden="false" customHeight="true" outlineLevel="0" collapsed="false">
      <c r="A155" s="0" t="n">
        <v>28</v>
      </c>
      <c r="B155" s="34" t="n">
        <v>41306</v>
      </c>
      <c r="C155" s="1" t="n">
        <v>892995</v>
      </c>
      <c r="D155" s="58" t="s">
        <v>41</v>
      </c>
      <c r="E155" s="33" t="n">
        <f aca="false">IF(D155="totale",(C155/(A155*24))/F155,IF(D155="marché libre",(C155/(A155*24))/G155,"spécifier histo"))</f>
        <v>0.885907738095238</v>
      </c>
      <c r="F155" s="59" t="n">
        <v>1500</v>
      </c>
      <c r="G155" s="59" t="n">
        <f aca="false">F155-H155</f>
        <v>1500</v>
      </c>
      <c r="H155" s="59" t="n">
        <v>0</v>
      </c>
      <c r="I155" s="368"/>
      <c r="J155" s="55"/>
      <c r="K155" s="0"/>
    </row>
    <row r="156" customFormat="false" ht="19.85" hidden="false" customHeight="true" outlineLevel="0" collapsed="false">
      <c r="A156" s="0" t="n">
        <v>31</v>
      </c>
      <c r="B156" s="31" t="n">
        <v>41334</v>
      </c>
      <c r="C156" s="1" t="n">
        <v>627441</v>
      </c>
      <c r="D156" s="58" t="s">
        <v>41</v>
      </c>
      <c r="E156" s="33" t="n">
        <f aca="false">IF(D156="totale",(C156/(A156*24))/F156,IF(D156="marché libre",(C156/(A156*24))/G156,"spécifier histo"))</f>
        <v>0.56222311827957</v>
      </c>
      <c r="F156" s="59" t="n">
        <v>1500</v>
      </c>
      <c r="G156" s="59" t="n">
        <f aca="false">F156-H156</f>
        <v>1500</v>
      </c>
      <c r="H156" s="59" t="n">
        <v>0</v>
      </c>
      <c r="I156" s="368"/>
      <c r="J156" s="55"/>
      <c r="K156" s="0"/>
    </row>
    <row r="157" customFormat="false" ht="19.85" hidden="false" customHeight="true" outlineLevel="0" collapsed="false">
      <c r="A157" s="0" t="n">
        <v>30</v>
      </c>
      <c r="B157" s="34" t="n">
        <v>41365</v>
      </c>
      <c r="C157" s="1" t="n">
        <v>668945</v>
      </c>
      <c r="D157" s="58" t="s">
        <v>41</v>
      </c>
      <c r="E157" s="33" t="n">
        <f aca="false">IF(D157="totale",(C157/(A157*24))/F157,IF(D157="marché libre",(C157/(A157*24))/G157,"spécifier histo"))</f>
        <v>0.619393518518519</v>
      </c>
      <c r="F157" s="59" t="n">
        <v>1500</v>
      </c>
      <c r="G157" s="59" t="n">
        <f aca="false">F157-H157</f>
        <v>1500</v>
      </c>
      <c r="H157" s="59" t="n">
        <v>0</v>
      </c>
      <c r="I157" s="368"/>
      <c r="J157" s="55"/>
      <c r="K157" s="0"/>
    </row>
    <row r="158" customFormat="false" ht="19.85" hidden="false" customHeight="true" outlineLevel="0" collapsed="false">
      <c r="A158" s="0" t="n">
        <v>31</v>
      </c>
      <c r="B158" s="31" t="n">
        <v>41395</v>
      </c>
      <c r="C158" s="1" t="n">
        <v>788421</v>
      </c>
      <c r="D158" s="58" t="s">
        <v>41</v>
      </c>
      <c r="E158" s="33" t="n">
        <f aca="false">IF(D158="totale",(C158/(A158*24))/F158,IF(D158="marché libre",(C158/(A158*24))/G158,"spécifier histo"))</f>
        <v>0.706470430107527</v>
      </c>
      <c r="F158" s="59" t="n">
        <v>1500</v>
      </c>
      <c r="G158" s="59" t="n">
        <f aca="false">F158-H158</f>
        <v>1500</v>
      </c>
      <c r="H158" s="59" t="n">
        <v>0</v>
      </c>
      <c r="I158" s="368"/>
      <c r="J158" s="55"/>
      <c r="K158" s="0"/>
    </row>
    <row r="159" customFormat="false" ht="19.85" hidden="false" customHeight="true" outlineLevel="0" collapsed="false">
      <c r="A159" s="0" t="n">
        <v>30</v>
      </c>
      <c r="B159" s="34" t="n">
        <v>41426</v>
      </c>
      <c r="C159" s="1" t="n">
        <v>625961</v>
      </c>
      <c r="D159" s="58" t="s">
        <v>41</v>
      </c>
      <c r="E159" s="33" t="n">
        <f aca="false">IF(D159="totale",(C159/(A159*24))/F159,IF(D159="marché libre",(C159/(A159*24))/G159,"spécifier histo"))</f>
        <v>0.579593518518518</v>
      </c>
      <c r="F159" s="59" t="n">
        <v>1500</v>
      </c>
      <c r="G159" s="59" t="n">
        <f aca="false">F159-H159</f>
        <v>1500</v>
      </c>
      <c r="H159" s="59" t="n">
        <v>0</v>
      </c>
      <c r="I159" s="368"/>
      <c r="J159" s="55"/>
      <c r="K159" s="0"/>
    </row>
    <row r="160" customFormat="false" ht="19.85" hidden="false" customHeight="true" outlineLevel="0" collapsed="false">
      <c r="A160" s="0" t="n">
        <v>31</v>
      </c>
      <c r="B160" s="31" t="n">
        <v>41456</v>
      </c>
      <c r="C160" s="1" t="n">
        <v>218296</v>
      </c>
      <c r="D160" s="58" t="s">
        <v>41</v>
      </c>
      <c r="E160" s="33" t="n">
        <f aca="false">IF(D160="totale",(C160/(A160*24))/F160,IF(D160="marché libre",(C160/(A160*24))/G160,"spécifier histo"))</f>
        <v>0.195605734767025</v>
      </c>
      <c r="F160" s="59" t="n">
        <v>1500</v>
      </c>
      <c r="G160" s="59" t="n">
        <f aca="false">F160-H160</f>
        <v>1500</v>
      </c>
      <c r="H160" s="59" t="n">
        <v>0</v>
      </c>
      <c r="I160" s="368"/>
      <c r="J160" s="55"/>
      <c r="K160" s="0"/>
    </row>
    <row r="161" customFormat="false" ht="19.85" hidden="false" customHeight="true" outlineLevel="0" collapsed="false">
      <c r="A161" s="0" t="n">
        <v>31</v>
      </c>
      <c r="B161" s="34" t="n">
        <v>41487</v>
      </c>
      <c r="C161" s="1" t="n">
        <v>85137</v>
      </c>
      <c r="D161" s="58" t="s">
        <v>41</v>
      </c>
      <c r="E161" s="33" t="n">
        <f aca="false">IF(D161="totale",(C161/(A161*24))/F161,IF(D161="marché libre",(C161/(A161*24))/G161,"spécifier histo"))</f>
        <v>0.0762876344086022</v>
      </c>
      <c r="F161" s="59" t="n">
        <v>1500</v>
      </c>
      <c r="G161" s="59" t="n">
        <f aca="false">F161-H161</f>
        <v>1500</v>
      </c>
      <c r="H161" s="59" t="n">
        <v>0</v>
      </c>
      <c r="I161" s="368"/>
      <c r="J161" s="55"/>
      <c r="K161" s="0"/>
    </row>
    <row r="162" customFormat="false" ht="19.85" hidden="false" customHeight="true" outlineLevel="0" collapsed="false">
      <c r="A162" s="0" t="n">
        <v>30</v>
      </c>
      <c r="B162" s="31" t="n">
        <v>41518</v>
      </c>
      <c r="C162" s="1" t="n">
        <v>73324</v>
      </c>
      <c r="D162" s="58" t="s">
        <v>41</v>
      </c>
      <c r="E162" s="33" t="n">
        <f aca="false">IF(D162="totale",(C162/(A162*24))/F162,IF(D162="marché libre",(C162/(A162*24))/G162,"spécifier histo"))</f>
        <v>0.0678925925925926</v>
      </c>
      <c r="F162" s="59" t="n">
        <v>1500</v>
      </c>
      <c r="G162" s="59" t="n">
        <f aca="false">F162-H162</f>
        <v>1500</v>
      </c>
      <c r="H162" s="59" t="n">
        <v>0</v>
      </c>
      <c r="I162" s="368"/>
      <c r="J162" s="55"/>
      <c r="K162" s="0"/>
    </row>
    <row r="163" customFormat="false" ht="19.85" hidden="false" customHeight="true" outlineLevel="0" collapsed="false">
      <c r="A163" s="0" t="n">
        <v>31</v>
      </c>
      <c r="B163" s="34" t="n">
        <v>41548</v>
      </c>
      <c r="C163" s="1" t="n">
        <v>43898</v>
      </c>
      <c r="D163" s="58" t="s">
        <v>41</v>
      </c>
      <c r="E163" s="33" t="n">
        <f aca="false">IF(D163="totale",(C163/(A163*24))/F163,IF(D163="marché libre",(C163/(A163*24))/G163,"spécifier histo"))</f>
        <v>0.0393351254480287</v>
      </c>
      <c r="F163" s="59" t="n">
        <v>1500</v>
      </c>
      <c r="G163" s="59" t="n">
        <f aca="false">F163-H163</f>
        <v>1500</v>
      </c>
      <c r="H163" s="59" t="n">
        <v>0</v>
      </c>
      <c r="I163" s="368"/>
      <c r="J163" s="55"/>
      <c r="K163" s="0"/>
    </row>
    <row r="164" customFormat="false" ht="19.85" hidden="false" customHeight="true" outlineLevel="0" collapsed="false">
      <c r="A164" s="0" t="n">
        <v>30</v>
      </c>
      <c r="B164" s="31" t="n">
        <v>41579</v>
      </c>
      <c r="C164" s="1" t="n">
        <v>792749</v>
      </c>
      <c r="D164" s="58" t="s">
        <v>41</v>
      </c>
      <c r="E164" s="33" t="n">
        <f aca="false">IF(D164="totale",(C164/(A164*24))/F164,IF(D164="marché libre",(C164/(A164*24))/G164,"spécifier histo"))</f>
        <v>0.734026851851852</v>
      </c>
      <c r="F164" s="59" t="n">
        <v>1500</v>
      </c>
      <c r="G164" s="59" t="n">
        <f aca="false">F164-H164</f>
        <v>1500</v>
      </c>
      <c r="H164" s="59" t="n">
        <v>0</v>
      </c>
      <c r="I164" s="368"/>
      <c r="J164" s="55"/>
      <c r="K164" s="26"/>
    </row>
    <row r="165" customFormat="false" ht="19.85" hidden="false" customHeight="true" outlineLevel="0" collapsed="false">
      <c r="A165" s="0" t="n">
        <v>31</v>
      </c>
      <c r="B165" s="34" t="n">
        <v>41609</v>
      </c>
      <c r="C165" s="56" t="n">
        <v>509761</v>
      </c>
      <c r="D165" s="58" t="s">
        <v>41</v>
      </c>
      <c r="E165" s="33" t="n">
        <f aca="false">IF(D165="totale",(C165/(A165*24))/F165,IF(D165="marché libre",(C165/(A165*24))/G165,"spécifier histo"))</f>
        <v>0.456775089605735</v>
      </c>
      <c r="F165" s="59" t="n">
        <v>1500</v>
      </c>
      <c r="G165" s="59" t="n">
        <f aca="false">F165-H165</f>
        <v>1500</v>
      </c>
      <c r="H165" s="59" t="n">
        <v>0</v>
      </c>
      <c r="I165" s="368"/>
      <c r="J165" s="55"/>
    </row>
    <row r="166" customFormat="false" ht="19.85" hidden="false" customHeight="true" outlineLevel="0" collapsed="false">
      <c r="A166" s="0" t="n">
        <v>31</v>
      </c>
      <c r="B166" s="31" t="n">
        <v>41640</v>
      </c>
      <c r="C166" s="26" t="n">
        <v>623058</v>
      </c>
      <c r="D166" s="58" t="s">
        <v>41</v>
      </c>
      <c r="E166" s="33" t="n">
        <f aca="false">IF(D166="totale",(C166/(A166*24))/F166,IF(D166="marché libre",(C166/(A166*24))/G166,"spécifier histo"))</f>
        <v>0.558295698924731</v>
      </c>
      <c r="F166" s="59" t="n">
        <v>1500</v>
      </c>
      <c r="G166" s="59" t="n">
        <f aca="false">F166-H166</f>
        <v>1500</v>
      </c>
      <c r="H166" s="59" t="n">
        <v>0</v>
      </c>
      <c r="I166" s="0"/>
      <c r="J166" s="55"/>
    </row>
    <row r="167" customFormat="false" ht="19.85" hidden="false" customHeight="true" outlineLevel="0" collapsed="false">
      <c r="A167" s="0" t="n">
        <v>28</v>
      </c>
      <c r="B167" s="34" t="n">
        <v>41671</v>
      </c>
      <c r="C167" s="26" t="n">
        <v>793225</v>
      </c>
      <c r="D167" s="58" t="s">
        <v>41</v>
      </c>
      <c r="E167" s="33" t="n">
        <f aca="false">IF(D167="totale",(C167/(A167*24))/F167,IF(D167="marché libre",(C167/(A167*24))/G167,"spécifier histo"))</f>
        <v>0.786929563492063</v>
      </c>
      <c r="F167" s="59" t="n">
        <v>1500</v>
      </c>
      <c r="G167" s="59" t="n">
        <f aca="false">F167-H167</f>
        <v>1500</v>
      </c>
      <c r="H167" s="59" t="n">
        <v>0</v>
      </c>
      <c r="J167" s="55"/>
    </row>
    <row r="168" customFormat="false" ht="19.85" hidden="false" customHeight="true" outlineLevel="0" collapsed="false">
      <c r="A168" s="0" t="n">
        <v>31</v>
      </c>
      <c r="B168" s="31" t="n">
        <v>41699</v>
      </c>
      <c r="C168" s="26" t="n">
        <v>711403</v>
      </c>
      <c r="D168" s="58" t="s">
        <v>41</v>
      </c>
      <c r="E168" s="33" t="n">
        <f aca="false">IF(D168="totale",(C168/(A168*24))/F168,IF(D168="marché libre",(C168/(A168*24))/G168,"spécifier histo"))</f>
        <v>0.637457885304659</v>
      </c>
      <c r="F168" s="59" t="n">
        <v>1500</v>
      </c>
      <c r="G168" s="59" t="n">
        <f aca="false">F168-H168</f>
        <v>1500</v>
      </c>
      <c r="H168" s="59" t="n">
        <v>0</v>
      </c>
      <c r="J168" s="55"/>
    </row>
    <row r="169" customFormat="false" ht="19.85" hidden="false" customHeight="true" outlineLevel="0" collapsed="false">
      <c r="A169" s="0" t="n">
        <v>30</v>
      </c>
      <c r="B169" s="34" t="n">
        <v>41730</v>
      </c>
      <c r="C169" s="26" t="n">
        <v>474382</v>
      </c>
      <c r="D169" s="58" t="s">
        <v>41</v>
      </c>
      <c r="E169" s="33" t="n">
        <f aca="false">IF(D169="totale",(C169/(A169*24))/F169,IF(D169="marché libre",(C169/(A169*24))/G169,"spécifier histo"))</f>
        <v>0.439242592592593</v>
      </c>
      <c r="F169" s="59" t="n">
        <v>1500</v>
      </c>
      <c r="G169" s="59" t="n">
        <f aca="false">F169-H169</f>
        <v>1500</v>
      </c>
      <c r="H169" s="59" t="n">
        <v>0</v>
      </c>
      <c r="J169" s="55"/>
    </row>
    <row r="170" customFormat="false" ht="19.85" hidden="false" customHeight="true" outlineLevel="0" collapsed="false">
      <c r="A170" s="0" t="n">
        <v>31</v>
      </c>
      <c r="B170" s="31" t="n">
        <v>41760</v>
      </c>
      <c r="C170" s="26" t="n">
        <v>383986</v>
      </c>
      <c r="D170" s="58" t="s">
        <v>41</v>
      </c>
      <c r="E170" s="33" t="n">
        <f aca="false">IF(D170="totale",(C170/(A170*24))/F170,IF(D170="marché libre",(C170/(A170*24))/G170,"spécifier histo"))</f>
        <v>0.344073476702509</v>
      </c>
      <c r="F170" s="59" t="n">
        <v>1500</v>
      </c>
      <c r="G170" s="59" t="n">
        <f aca="false">F170-H170</f>
        <v>1500</v>
      </c>
      <c r="H170" s="59" t="n">
        <v>0</v>
      </c>
      <c r="J170" s="55"/>
    </row>
    <row r="171" customFormat="false" ht="19.85" hidden="false" customHeight="true" outlineLevel="0" collapsed="false">
      <c r="A171" s="0" t="n">
        <v>30</v>
      </c>
      <c r="B171" s="34" t="n">
        <v>41791</v>
      </c>
      <c r="C171" s="26" t="n">
        <v>143445</v>
      </c>
      <c r="D171" s="58" t="s">
        <v>41</v>
      </c>
      <c r="E171" s="33" t="n">
        <f aca="false">IF(D171="totale",(C171/(A171*24))/F171,IF(D171="marché libre",(C171/(A171*24))/G171,"spécifier histo"))</f>
        <v>0.132819444444444</v>
      </c>
      <c r="F171" s="59" t="n">
        <v>1500</v>
      </c>
      <c r="G171" s="59" t="n">
        <f aca="false">F171-H171</f>
        <v>1500</v>
      </c>
      <c r="H171" s="59" t="n">
        <v>0</v>
      </c>
      <c r="J171" s="55"/>
    </row>
    <row r="172" customFormat="false" ht="19.85" hidden="false" customHeight="true" outlineLevel="0" collapsed="false">
      <c r="A172" s="0" t="n">
        <v>31</v>
      </c>
      <c r="B172" s="31" t="n">
        <v>41821</v>
      </c>
      <c r="C172" s="26" t="n">
        <v>203701</v>
      </c>
      <c r="D172" s="58" t="s">
        <v>41</v>
      </c>
      <c r="E172" s="33" t="n">
        <f aca="false">IF(D172="totale",(C172/(A172*24))/F172,IF(D172="marché libre",(C172/(A172*24))/G172,"spécifier histo"))</f>
        <v>0.182527777777778</v>
      </c>
      <c r="F172" s="59" t="n">
        <v>1500</v>
      </c>
      <c r="G172" s="59" t="n">
        <f aca="false">F172-H172</f>
        <v>1500</v>
      </c>
      <c r="H172" s="59" t="n">
        <v>0</v>
      </c>
      <c r="J172" s="55"/>
    </row>
    <row r="173" customFormat="false" ht="19.85" hidden="false" customHeight="true" outlineLevel="0" collapsed="false">
      <c r="A173" s="0" t="n">
        <v>31</v>
      </c>
      <c r="B173" s="34" t="n">
        <v>41852</v>
      </c>
      <c r="C173" s="26" t="n">
        <v>0</v>
      </c>
      <c r="D173" s="58" t="s">
        <v>41</v>
      </c>
      <c r="E173" s="33" t="n">
        <f aca="false">IF(D173="totale",(C173/(A173*24))/F173,IF(D173="marché libre",(C173/(A173*24))/G173,"spécifier histo"))</f>
        <v>0</v>
      </c>
      <c r="F173" s="59" t="n">
        <v>1500</v>
      </c>
      <c r="G173" s="59" t="n">
        <f aca="false">F173-H173</f>
        <v>1500</v>
      </c>
      <c r="H173" s="59" t="n">
        <v>0</v>
      </c>
      <c r="J173" s="55" t="s">
        <v>552</v>
      </c>
    </row>
    <row r="174" customFormat="false" ht="19.85" hidden="false" customHeight="true" outlineLevel="0" collapsed="false">
      <c r="A174" s="0" t="n">
        <v>30</v>
      </c>
      <c r="B174" s="31" t="n">
        <v>41883</v>
      </c>
      <c r="C174" s="26" t="n">
        <v>0</v>
      </c>
      <c r="D174" s="58" t="s">
        <v>41</v>
      </c>
      <c r="E174" s="33" t="n">
        <f aca="false">IF(D174="totale",(C174/(A174*24))/F174,IF(D174="marché libre",(C174/(A174*24))/G174,"spécifier histo"))</f>
        <v>0</v>
      </c>
      <c r="F174" s="59" t="n">
        <v>1500</v>
      </c>
      <c r="G174" s="59" t="n">
        <f aca="false">F174-H174</f>
        <v>1500</v>
      </c>
      <c r="H174" s="59" t="n">
        <v>0</v>
      </c>
      <c r="J174" s="55"/>
      <c r="K174" s="369" t="s">
        <v>553</v>
      </c>
    </row>
    <row r="175" customFormat="false" ht="19.85" hidden="false" customHeight="true" outlineLevel="0" collapsed="false">
      <c r="A175" s="0" t="n">
        <v>31</v>
      </c>
      <c r="B175" s="34" t="n">
        <v>41913</v>
      </c>
      <c r="C175" s="370" t="n">
        <v>0</v>
      </c>
      <c r="D175" s="371" t="s">
        <v>41</v>
      </c>
      <c r="E175" s="372" t="n">
        <f aca="false">IF(D175="totale",(C175/(A175*24))/F175,IF(D175="marché libre",(C175/(A175*24))/G175,"spécifier histo"))</f>
        <v>0</v>
      </c>
      <c r="F175" s="239" t="n">
        <v>1500</v>
      </c>
      <c r="G175" s="239" t="n">
        <f aca="false">F175-H175</f>
        <v>1500</v>
      </c>
      <c r="H175" s="239" t="n">
        <v>0</v>
      </c>
      <c r="I175" s="199" t="s">
        <v>554</v>
      </c>
      <c r="J175" s="55" t="s">
        <v>555</v>
      </c>
      <c r="K175" s="373" t="s">
        <v>556</v>
      </c>
    </row>
    <row r="176" customFormat="false" ht="19.85" hidden="false" customHeight="true" outlineLevel="0" collapsed="false">
      <c r="A176" s="0" t="n">
        <v>30</v>
      </c>
      <c r="B176" s="31" t="n">
        <v>41944</v>
      </c>
      <c r="C176" s="370" t="n">
        <v>0</v>
      </c>
      <c r="D176" s="371" t="s">
        <v>41</v>
      </c>
      <c r="E176" s="372" t="n">
        <f aca="false">IF(D176="totale",(C176/(A176*24))/F176,IF(D176="marché libre",(C176/(A176*24))/G176,"spécifier histo"))</f>
        <v>0</v>
      </c>
      <c r="F176" s="239" t="n">
        <v>1500</v>
      </c>
      <c r="G176" s="239" t="n">
        <f aca="false">F176-H176</f>
        <v>1500</v>
      </c>
      <c r="H176" s="239" t="n">
        <v>0</v>
      </c>
      <c r="I176" s="199" t="s">
        <v>554</v>
      </c>
      <c r="J176" s="73" t="s">
        <v>557</v>
      </c>
      <c r="K176" s="373" t="s">
        <v>558</v>
      </c>
    </row>
    <row r="177" customFormat="false" ht="19.95" hidden="false" customHeight="true" outlineLevel="0" collapsed="false">
      <c r="A177" s="0" t="n">
        <v>31</v>
      </c>
      <c r="B177" s="34" t="n">
        <v>41974</v>
      </c>
      <c r="C177" s="26" t="n">
        <v>128748</v>
      </c>
      <c r="D177" s="367" t="s">
        <v>42</v>
      </c>
      <c r="E177" s="33" t="n">
        <f aca="false">IF(D177="totale",(C177/(A177*24))/F177,IF(D177="marché libre",(C177/(A177*24))/G177,"spécifier histo"))</f>
        <v>0.144206989247312</v>
      </c>
      <c r="F177" s="59" t="n">
        <v>1600</v>
      </c>
      <c r="G177" s="59" t="n">
        <f aca="false">F177-H177</f>
        <v>1200</v>
      </c>
      <c r="H177" s="59" t="n">
        <v>400</v>
      </c>
      <c r="J177" s="55"/>
      <c r="K177" s="373" t="s">
        <v>559</v>
      </c>
    </row>
    <row r="178" customFormat="false" ht="19.85" hidden="false" customHeight="true" outlineLevel="0" collapsed="false">
      <c r="A178" s="0" t="n">
        <v>31</v>
      </c>
      <c r="B178" s="31" t="n">
        <v>42005</v>
      </c>
      <c r="C178" s="1" t="n">
        <v>260154</v>
      </c>
      <c r="D178" s="367" t="s">
        <v>42</v>
      </c>
      <c r="E178" s="33" t="n">
        <f aca="false">IF(D178="totale",(C178/(A178*24))/F178,IF(D178="marché libre",(C178/(A178*24))/G178,"spécifier histo"))</f>
        <v>0.291391129032258</v>
      </c>
      <c r="F178" s="59" t="n">
        <v>1600</v>
      </c>
      <c r="G178" s="59" t="n">
        <f aca="false">F178-H178</f>
        <v>1200</v>
      </c>
      <c r="H178" s="58" t="n">
        <v>400</v>
      </c>
      <c r="J178" s="55"/>
      <c r="K178" s="0"/>
    </row>
    <row r="179" customFormat="false" ht="19.85" hidden="false" customHeight="true" outlineLevel="0" collapsed="false">
      <c r="A179" s="0" t="n">
        <v>28</v>
      </c>
      <c r="B179" s="34" t="n">
        <v>42036</v>
      </c>
      <c r="C179" s="1" t="n">
        <v>367961</v>
      </c>
      <c r="D179" s="367" t="s">
        <v>42</v>
      </c>
      <c r="E179" s="33" t="n">
        <f aca="false">IF(D179="totale",(C179/(A179*24))/F179,IF(D179="marché libre",(C179/(A179*24))/G179,"spécifier histo"))</f>
        <v>0.456300843253968</v>
      </c>
      <c r="F179" s="59" t="n">
        <v>1600</v>
      </c>
      <c r="G179" s="59" t="n">
        <f aca="false">F179-H179</f>
        <v>1200</v>
      </c>
      <c r="H179" s="59" t="n">
        <v>400</v>
      </c>
      <c r="J179" s="55"/>
      <c r="K179" s="0"/>
    </row>
    <row r="180" customFormat="false" ht="19.85" hidden="false" customHeight="true" outlineLevel="0" collapsed="false">
      <c r="A180" s="0" t="n">
        <v>31</v>
      </c>
      <c r="B180" s="31" t="n">
        <v>42064</v>
      </c>
      <c r="C180" s="1" t="n">
        <v>163697</v>
      </c>
      <c r="D180" s="367" t="s">
        <v>42</v>
      </c>
      <c r="E180" s="33" t="n">
        <f aca="false">IF(D180="totale",(C180/(A180*24))/F180,IF(D180="marché libre",(C180/(A180*24))/G180,"spécifier histo"))</f>
        <v>0.183352374551971</v>
      </c>
      <c r="F180" s="59" t="n">
        <v>1600</v>
      </c>
      <c r="G180" s="59" t="n">
        <f aca="false">F180-H180</f>
        <v>1200</v>
      </c>
      <c r="H180" s="58" t="n">
        <v>400</v>
      </c>
      <c r="J180" s="55"/>
      <c r="K180" s="0"/>
    </row>
    <row r="181" customFormat="false" ht="19.85" hidden="false" customHeight="true" outlineLevel="0" collapsed="false">
      <c r="A181" s="0" t="n">
        <v>30</v>
      </c>
      <c r="B181" s="34" t="n">
        <v>42095</v>
      </c>
      <c r="C181" s="1" t="n">
        <v>340766</v>
      </c>
      <c r="D181" s="367" t="s">
        <v>42</v>
      </c>
      <c r="E181" s="33" t="n">
        <f aca="false">IF(D181="totale",(C181/(A181*24))/F181,IF(D181="marché libre",(C181/(A181*24))/G181,"spécifier histo"))</f>
        <v>0.394405092592593</v>
      </c>
      <c r="F181" s="59" t="n">
        <v>1600</v>
      </c>
      <c r="G181" s="59" t="n">
        <f aca="false">F181-H181</f>
        <v>1200</v>
      </c>
      <c r="H181" s="59" t="n">
        <v>400</v>
      </c>
      <c r="J181" s="55"/>
      <c r="K181" s="0"/>
    </row>
    <row r="182" customFormat="false" ht="19.85" hidden="false" customHeight="true" outlineLevel="0" collapsed="false">
      <c r="A182" s="0" t="n">
        <v>31</v>
      </c>
      <c r="B182" s="31" t="n">
        <v>42125</v>
      </c>
      <c r="C182" s="1" t="n">
        <v>96959</v>
      </c>
      <c r="D182" s="367" t="s">
        <v>42</v>
      </c>
      <c r="E182" s="33" t="n">
        <f aca="false">IF(D182="totale",(C182/(A182*24))/F182,IF(D182="marché libre",(C182/(A182*24))/G182,"spécifier histo"))</f>
        <v>0.10860103046595</v>
      </c>
      <c r="F182" s="59" t="n">
        <v>1600</v>
      </c>
      <c r="G182" s="59" t="n">
        <f aca="false">F182-H182</f>
        <v>1200</v>
      </c>
      <c r="H182" s="58" t="n">
        <v>400</v>
      </c>
      <c r="J182" s="55"/>
      <c r="K182" s="0"/>
    </row>
    <row r="183" customFormat="false" ht="19.85" hidden="false" customHeight="true" outlineLevel="0" collapsed="false">
      <c r="A183" s="0" t="n">
        <v>30</v>
      </c>
      <c r="B183" s="34" t="n">
        <v>42156</v>
      </c>
      <c r="C183" s="1" t="n">
        <v>731</v>
      </c>
      <c r="D183" s="367" t="s">
        <v>42</v>
      </c>
      <c r="E183" s="33" t="n">
        <f aca="false">IF(D183="totale",(C183/(A183*24))/F183,IF(D183="marché libre",(C183/(A183*24))/G183,"spécifier histo"))</f>
        <v>0.000846064814814815</v>
      </c>
      <c r="F183" s="59" t="n">
        <v>1600</v>
      </c>
      <c r="G183" s="59" t="n">
        <f aca="false">F183-H183</f>
        <v>1200</v>
      </c>
      <c r="H183" s="59" t="n">
        <v>400</v>
      </c>
      <c r="J183" s="55"/>
      <c r="K183" s="0"/>
    </row>
    <row r="184" customFormat="false" ht="19.85" hidden="false" customHeight="true" outlineLevel="0" collapsed="false">
      <c r="A184" s="0" t="n">
        <v>31</v>
      </c>
      <c r="B184" s="31" t="n">
        <v>42186</v>
      </c>
      <c r="C184" s="1" t="n">
        <v>139</v>
      </c>
      <c r="D184" s="367" t="s">
        <v>42</v>
      </c>
      <c r="E184" s="33" t="n">
        <f aca="false">IF(D184="totale",(C184/(A184*24))/F184,IF(D184="marché libre",(C184/(A184*24))/G184,"spécifier histo"))</f>
        <v>0.000155689964157706</v>
      </c>
      <c r="F184" s="59" t="n">
        <v>1600</v>
      </c>
      <c r="G184" s="59" t="n">
        <f aca="false">F184-H184</f>
        <v>1200</v>
      </c>
      <c r="H184" s="58" t="n">
        <v>400</v>
      </c>
      <c r="J184" s="55"/>
      <c r="K184" s="0"/>
    </row>
    <row r="185" customFormat="false" ht="19.85" hidden="false" customHeight="true" outlineLevel="0" collapsed="false">
      <c r="A185" s="0" t="n">
        <v>31</v>
      </c>
      <c r="B185" s="34" t="n">
        <v>42217</v>
      </c>
      <c r="C185" s="1" t="n">
        <v>397</v>
      </c>
      <c r="D185" s="367" t="s">
        <v>42</v>
      </c>
      <c r="E185" s="33" t="n">
        <f aca="false">IF(D185="totale",(C185/(A185*24))/F185,IF(D185="marché libre",(C185/(A185*24))/G185,"spécifier histo"))</f>
        <v>0.000444668458781362</v>
      </c>
      <c r="F185" s="59" t="n">
        <v>1600</v>
      </c>
      <c r="G185" s="59" t="n">
        <f aca="false">F185-H185</f>
        <v>1200</v>
      </c>
      <c r="H185" s="59" t="n">
        <v>400</v>
      </c>
      <c r="J185" s="55"/>
      <c r="K185" s="0"/>
    </row>
    <row r="186" customFormat="false" ht="19.85" hidden="false" customHeight="true" outlineLevel="0" collapsed="false">
      <c r="A186" s="0" t="n">
        <v>30</v>
      </c>
      <c r="B186" s="31" t="n">
        <v>42248</v>
      </c>
      <c r="C186" s="1" t="n">
        <v>189</v>
      </c>
      <c r="D186" s="367" t="s">
        <v>42</v>
      </c>
      <c r="E186" s="33" t="n">
        <f aca="false">IF(D186="totale",(C186/(A186*24))/F186,IF(D186="marché libre",(C186/(A186*24))/G186,"spécifier histo"))</f>
        <v>0.00021875</v>
      </c>
      <c r="F186" s="59" t="n">
        <v>1600</v>
      </c>
      <c r="G186" s="59" t="n">
        <f aca="false">F186-H186</f>
        <v>1200</v>
      </c>
      <c r="H186" s="58" t="n">
        <v>400</v>
      </c>
      <c r="J186" s="55"/>
      <c r="K186" s="0"/>
    </row>
    <row r="187" customFormat="false" ht="19.85" hidden="false" customHeight="true" outlineLevel="0" collapsed="false">
      <c r="A187" s="0" t="n">
        <v>31</v>
      </c>
      <c r="B187" s="34" t="n">
        <v>42278</v>
      </c>
      <c r="C187" s="1" t="n">
        <v>0</v>
      </c>
      <c r="D187" s="367" t="s">
        <v>42</v>
      </c>
      <c r="E187" s="33" t="n">
        <f aca="false">IF(D187="totale",(C187/(A187*24))/F187,IF(D187="marché libre",(C187/(A187*24))/G187,"spécifier histo"))</f>
        <v>0</v>
      </c>
      <c r="F187" s="59" t="n">
        <v>1600</v>
      </c>
      <c r="G187" s="59" t="n">
        <f aca="false">F187-H187</f>
        <v>1200</v>
      </c>
      <c r="H187" s="59" t="n">
        <v>400</v>
      </c>
      <c r="J187" s="55"/>
      <c r="K187" s="0"/>
    </row>
    <row r="188" customFormat="false" ht="19.85" hidden="false" customHeight="true" outlineLevel="0" collapsed="false">
      <c r="A188" s="0" t="n">
        <v>30</v>
      </c>
      <c r="B188" s="31" t="n">
        <v>42309</v>
      </c>
      <c r="C188" s="1" t="n">
        <v>1403</v>
      </c>
      <c r="D188" s="367" t="s">
        <v>42</v>
      </c>
      <c r="E188" s="33" t="n">
        <f aca="false">IF(D188="totale",(C188/(A188*24))/F188,IF(D188="marché libre",(C188/(A188*24))/G188,"spécifier histo"))</f>
        <v>0.00162384259259259</v>
      </c>
      <c r="F188" s="59" t="n">
        <v>1600</v>
      </c>
      <c r="G188" s="59" t="n">
        <f aca="false">F188-H188</f>
        <v>1200</v>
      </c>
      <c r="H188" s="58" t="n">
        <v>400</v>
      </c>
      <c r="J188" s="55"/>
      <c r="K188" s="0"/>
    </row>
    <row r="189" customFormat="false" ht="19.85" hidden="false" customHeight="true" outlineLevel="0" collapsed="false">
      <c r="A189" s="0" t="n">
        <v>31</v>
      </c>
      <c r="B189" s="34" t="n">
        <v>42339</v>
      </c>
      <c r="C189" s="1" t="n">
        <v>1642</v>
      </c>
      <c r="D189" s="367" t="s">
        <v>42</v>
      </c>
      <c r="E189" s="33" t="n">
        <f aca="false">IF(D189="totale",(C189/(A189*24))/F189,IF(D189="marché libre",(C189/(A189*24))/G189,"spécifier histo"))</f>
        <v>0.00183915770609319</v>
      </c>
      <c r="F189" s="59" t="n">
        <v>1600</v>
      </c>
      <c r="G189" s="59" t="n">
        <f aca="false">F189-H189</f>
        <v>1200</v>
      </c>
      <c r="H189" s="59" t="n">
        <v>400</v>
      </c>
      <c r="J189" s="55"/>
      <c r="K189" s="0"/>
    </row>
    <row r="190" customFormat="false" ht="19.85" hidden="false" customHeight="true" outlineLevel="0" collapsed="false">
      <c r="A190" s="0" t="n">
        <v>31</v>
      </c>
      <c r="B190" s="31" t="n">
        <v>42370</v>
      </c>
      <c r="C190" s="1" t="n">
        <v>173449</v>
      </c>
      <c r="D190" s="367" t="s">
        <v>42</v>
      </c>
      <c r="E190" s="33" t="n">
        <f aca="false">IF(D190="totale",(C190/(A190*24))/F190,IF(D190="marché libre",(C190/(A190*24))/G190,"spécifier histo"))</f>
        <v>0.194275313620072</v>
      </c>
      <c r="F190" s="59" t="n">
        <v>1600</v>
      </c>
      <c r="G190" s="59" t="n">
        <f aca="false">F190-H190</f>
        <v>1200</v>
      </c>
      <c r="H190" s="58" t="n">
        <v>400</v>
      </c>
      <c r="J190" s="55"/>
    </row>
    <row r="191" customFormat="false" ht="19.85" hidden="false" customHeight="true" outlineLevel="0" collapsed="false">
      <c r="A191" s="0" t="n">
        <v>28</v>
      </c>
      <c r="B191" s="34" t="n">
        <v>42401</v>
      </c>
      <c r="C191" s="1" t="n">
        <v>442186</v>
      </c>
      <c r="D191" s="367" t="s">
        <v>42</v>
      </c>
      <c r="E191" s="33" t="n">
        <f aca="false">IF(D191="totale",(C191/(A191*24))/F191,IF(D191="marché libre",(C191/(A191*24))/G191,"spécifier histo"))</f>
        <v>0.548345734126984</v>
      </c>
      <c r="F191" s="59" t="n">
        <v>1600</v>
      </c>
      <c r="G191" s="59" t="n">
        <f aca="false">F191-H191</f>
        <v>1200</v>
      </c>
      <c r="H191" s="59" t="n">
        <v>400</v>
      </c>
      <c r="J191" s="55"/>
    </row>
    <row r="192" customFormat="false" ht="19.85" hidden="false" customHeight="true" outlineLevel="0" collapsed="false">
      <c r="A192" s="0" t="n">
        <v>31</v>
      </c>
      <c r="B192" s="31" t="n">
        <v>42430</v>
      </c>
      <c r="C192" s="58" t="n">
        <v>359352</v>
      </c>
      <c r="D192" s="367" t="s">
        <v>42</v>
      </c>
      <c r="E192" s="33" t="n">
        <f aca="false">IF(D192="totale",(C192/(A192*24))/F192,IF(D192="marché libre",(C192/(A192*24))/G192,"spécifier histo"))</f>
        <v>0.4025</v>
      </c>
      <c r="F192" s="59" t="n">
        <v>1600</v>
      </c>
      <c r="G192" s="59" t="n">
        <f aca="false">F192-H192</f>
        <v>1200</v>
      </c>
      <c r="H192" s="58" t="n">
        <v>400</v>
      </c>
      <c r="J192" s="55"/>
      <c r="K192" s="0"/>
    </row>
    <row r="193" customFormat="false" ht="19.85" hidden="false" customHeight="true" outlineLevel="0" collapsed="false">
      <c r="A193" s="0" t="n">
        <v>30</v>
      </c>
      <c r="B193" s="34" t="n">
        <v>42461</v>
      </c>
      <c r="C193" s="58" t="n">
        <v>20711</v>
      </c>
      <c r="D193" s="367" t="s">
        <v>42</v>
      </c>
      <c r="E193" s="33" t="n">
        <f aca="false">IF(D193="totale",(C193/(A193*24))/F193,IF(D193="marché libre",(C193/(A193*24))/G193,"spécifier histo"))</f>
        <v>0.0239710648148148</v>
      </c>
      <c r="F193" s="59" t="n">
        <v>1600</v>
      </c>
      <c r="G193" s="59" t="n">
        <f aca="false">F193-H193</f>
        <v>1200</v>
      </c>
      <c r="H193" s="59" t="n">
        <v>400</v>
      </c>
      <c r="J193" s="55"/>
      <c r="K193" s="0"/>
    </row>
    <row r="194" customFormat="false" ht="19.85" hidden="false" customHeight="true" outlineLevel="0" collapsed="false">
      <c r="A194" s="0" t="n">
        <v>31</v>
      </c>
      <c r="B194" s="31" t="n">
        <v>42491</v>
      </c>
      <c r="C194" s="58" t="n">
        <v>139681</v>
      </c>
      <c r="D194" s="367" t="s">
        <v>42</v>
      </c>
      <c r="E194" s="33" t="n">
        <f aca="false">IF(D194="totale",(C194/(A194*24))/F194,IF(D194="marché libre",(C194/(A194*24))/G194,"spécifier histo"))</f>
        <v>0.15645273297491</v>
      </c>
      <c r="F194" s="59" t="n">
        <v>1600</v>
      </c>
      <c r="G194" s="59" t="n">
        <f aca="false">F194-H194</f>
        <v>1200</v>
      </c>
      <c r="H194" s="58" t="n">
        <v>400</v>
      </c>
      <c r="J194" s="55"/>
      <c r="K194" s="0"/>
    </row>
    <row r="195" customFormat="false" ht="19.85" hidden="false" customHeight="true" outlineLevel="0" collapsed="false">
      <c r="A195" s="0" t="n">
        <v>30</v>
      </c>
      <c r="B195" s="34" t="n">
        <v>42522</v>
      </c>
      <c r="C195" s="1" t="n">
        <v>287062</v>
      </c>
      <c r="D195" s="367" t="s">
        <v>42</v>
      </c>
      <c r="E195" s="33" t="n">
        <f aca="false">IF(D195="totale",(C195/(A195*24))/F195,IF(D195="marché libre",(C195/(A195*24))/G195,"spécifier histo"))</f>
        <v>0.332247685185185</v>
      </c>
      <c r="F195" s="59" t="n">
        <v>1600</v>
      </c>
      <c r="G195" s="59" t="n">
        <f aca="false">F195-H195</f>
        <v>1200</v>
      </c>
      <c r="H195" s="59" t="n">
        <v>400</v>
      </c>
      <c r="J195" s="55"/>
      <c r="K195" s="0"/>
    </row>
    <row r="196" customFormat="false" ht="19.85" hidden="false" customHeight="true" outlineLevel="0" collapsed="false">
      <c r="A196" s="0" t="n">
        <v>31</v>
      </c>
      <c r="B196" s="31" t="n">
        <v>42552</v>
      </c>
      <c r="C196" s="1" t="n">
        <v>1454</v>
      </c>
      <c r="D196" s="367" t="s">
        <v>42</v>
      </c>
      <c r="E196" s="33" t="n">
        <f aca="false">IF(D196="totale",(C196/(A196*24))/F196,IF(D196="marché libre",(C196/(A196*24))/G196,"spécifier histo"))</f>
        <v>0.00162858422939068</v>
      </c>
      <c r="F196" s="59" t="n">
        <v>1600</v>
      </c>
      <c r="G196" s="59" t="n">
        <f aca="false">F196-H196</f>
        <v>1200</v>
      </c>
      <c r="H196" s="58" t="n">
        <v>400</v>
      </c>
      <c r="J196" s="55"/>
      <c r="K196" s="0"/>
    </row>
    <row r="197" customFormat="false" ht="19.85" hidden="false" customHeight="true" outlineLevel="0" collapsed="false">
      <c r="A197" s="0" t="n">
        <v>31</v>
      </c>
      <c r="B197" s="34" t="n">
        <v>42583</v>
      </c>
      <c r="C197" s="1" t="n">
        <v>0</v>
      </c>
      <c r="D197" s="367" t="s">
        <v>42</v>
      </c>
      <c r="E197" s="33" t="n">
        <f aca="false">IF(D197="totale",(C197/(A197*24))/F197,IF(D197="marché libre",(C197/(A197*24))/G197,"spécifier histo"))</f>
        <v>0</v>
      </c>
      <c r="F197" s="59" t="n">
        <v>1600</v>
      </c>
      <c r="G197" s="59" t="n">
        <f aca="false">F197-H197</f>
        <v>1200</v>
      </c>
      <c r="H197" s="59" t="n">
        <v>400</v>
      </c>
      <c r="J197" s="55"/>
      <c r="K197" s="0"/>
    </row>
    <row r="198" customFormat="false" ht="19.85" hidden="false" customHeight="true" outlineLevel="0" collapsed="false">
      <c r="A198" s="0" t="n">
        <v>30</v>
      </c>
      <c r="B198" s="31" t="n">
        <v>42614</v>
      </c>
      <c r="C198" s="1" t="n">
        <v>929</v>
      </c>
      <c r="D198" s="367" t="s">
        <v>42</v>
      </c>
      <c r="E198" s="33" t="n">
        <f aca="false">IF(D198="totale",(C198/(A198*24))/F198,IF(D198="marché libre",(C198/(A198*24))/G198,"spécifier histo"))</f>
        <v>0.00107523148148148</v>
      </c>
      <c r="F198" s="59" t="n">
        <v>1600</v>
      </c>
      <c r="G198" s="59" t="n">
        <f aca="false">F198-H198</f>
        <v>1200</v>
      </c>
      <c r="H198" s="58" t="n">
        <v>400</v>
      </c>
      <c r="J198" s="55"/>
      <c r="K198" s="0"/>
    </row>
    <row r="199" customFormat="false" ht="19.85" hidden="false" customHeight="true" outlineLevel="0" collapsed="false">
      <c r="A199" s="0" t="n">
        <v>31</v>
      </c>
      <c r="B199" s="34" t="n">
        <v>42644</v>
      </c>
      <c r="C199" s="1" t="n">
        <v>1021</v>
      </c>
      <c r="D199" s="367" t="s">
        <v>42</v>
      </c>
      <c r="E199" s="33" t="n">
        <f aca="false">IF(D199="totale",(C199/(A199*24))/F199,IF(D199="marché libre",(C199/(A199*24))/G199,"spécifier histo"))</f>
        <v>0.00114359318996416</v>
      </c>
      <c r="F199" s="59" t="n">
        <v>1600</v>
      </c>
      <c r="G199" s="59" t="n">
        <f aca="false">F199-H199</f>
        <v>1200</v>
      </c>
      <c r="H199" s="59" t="n">
        <v>400</v>
      </c>
      <c r="J199" s="55"/>
      <c r="K199" s="0"/>
    </row>
    <row r="200" customFormat="false" ht="19.85" hidden="false" customHeight="true" outlineLevel="0" collapsed="false">
      <c r="A200" s="0" t="n">
        <v>30</v>
      </c>
      <c r="B200" s="31" t="n">
        <v>42675</v>
      </c>
      <c r="C200" s="1" t="n">
        <v>905</v>
      </c>
      <c r="D200" s="367" t="s">
        <v>42</v>
      </c>
      <c r="E200" s="33" t="n">
        <f aca="false">IF(D200="totale",(C200/(A200*24))/F200,IF(D200="marché libre",(C200/(A200*24))/G200,"spécifier histo"))</f>
        <v>0.0010474537037037</v>
      </c>
      <c r="F200" s="59" t="n">
        <v>1600</v>
      </c>
      <c r="G200" s="59" t="n">
        <f aca="false">F200-H200</f>
        <v>1200</v>
      </c>
      <c r="H200" s="58" t="n">
        <v>400</v>
      </c>
      <c r="J200" s="55"/>
      <c r="K200" s="0"/>
    </row>
    <row r="201" customFormat="false" ht="19.85" hidden="false" customHeight="true" outlineLevel="0" collapsed="false">
      <c r="A201" s="0" t="n">
        <v>31</v>
      </c>
      <c r="B201" s="34" t="n">
        <v>42705</v>
      </c>
      <c r="C201" s="1" t="n">
        <v>3568</v>
      </c>
      <c r="D201" s="367" t="s">
        <v>42</v>
      </c>
      <c r="E201" s="33" t="n">
        <f aca="false">IF(D201="totale",(C201/(A201*24))/F201,IF(D201="marché libre",(C201/(A201*24))/G201,"spécifier histo"))</f>
        <v>0.00399641577060932</v>
      </c>
      <c r="F201" s="59" t="n">
        <v>1600</v>
      </c>
      <c r="G201" s="59" t="n">
        <f aca="false">F201-H201</f>
        <v>1200</v>
      </c>
      <c r="H201" s="59" t="n">
        <v>400</v>
      </c>
      <c r="J201" s="55"/>
      <c r="K201" s="0"/>
    </row>
    <row r="202" customFormat="false" ht="19.85" hidden="false" customHeight="true" outlineLevel="0" collapsed="false">
      <c r="A202" s="0" t="n">
        <v>31</v>
      </c>
      <c r="B202" s="31" t="n">
        <v>42736</v>
      </c>
      <c r="C202" s="1" t="n">
        <v>63822</v>
      </c>
      <c r="D202" s="367" t="s">
        <v>42</v>
      </c>
      <c r="E202" s="33" t="n">
        <f aca="false">IF(D202="totale",(C202/(A202*24))/F202,IF(D202="marché libre",(C202/(A202*24))/G202,"spécifier histo"))</f>
        <v>0.0714852150537634</v>
      </c>
      <c r="F202" s="59" t="n">
        <v>1600</v>
      </c>
      <c r="G202" s="59" t="n">
        <f aca="false">F202-H202</f>
        <v>1200</v>
      </c>
      <c r="H202" s="58" t="n">
        <v>400</v>
      </c>
      <c r="J202" s="30"/>
      <c r="K202" s="0"/>
    </row>
    <row r="203" customFormat="false" ht="19.85" hidden="false" customHeight="true" outlineLevel="0" collapsed="false">
      <c r="A203" s="0" t="n">
        <v>28</v>
      </c>
      <c r="B203" s="34" t="n">
        <v>42767</v>
      </c>
      <c r="C203" s="26" t="n">
        <v>497059</v>
      </c>
      <c r="D203" s="367" t="s">
        <v>42</v>
      </c>
      <c r="E203" s="33" t="n">
        <f aca="false">IF(D203="totale",(C203/(A203*24))/F203,IF(D203="marché libre",(C203/(A203*24))/G203,"spécifier histo"))</f>
        <v>0.616392609126984</v>
      </c>
      <c r="F203" s="59" t="n">
        <v>1600</v>
      </c>
      <c r="G203" s="59" t="n">
        <f aca="false">F203-H203</f>
        <v>1200</v>
      </c>
      <c r="H203" s="59" t="n">
        <v>400</v>
      </c>
      <c r="J203" s="55"/>
      <c r="K203" s="0"/>
    </row>
    <row r="204" customFormat="false" ht="19.85" hidden="false" customHeight="true" outlineLevel="0" collapsed="false">
      <c r="A204" s="0" t="n">
        <v>31</v>
      </c>
      <c r="B204" s="31" t="n">
        <v>42795</v>
      </c>
      <c r="C204" s="1" t="n">
        <v>497991</v>
      </c>
      <c r="D204" s="367" t="s">
        <v>42</v>
      </c>
      <c r="E204" s="33" t="n">
        <f aca="false">IF(D204="totale",(C204/(A204*24))/F204,IF(D204="marché libre",(C204/(A204*24))/G204,"spécifier histo"))</f>
        <v>0.55778561827957</v>
      </c>
      <c r="F204" s="59" t="n">
        <v>1600</v>
      </c>
      <c r="G204" s="59" t="n">
        <f aca="false">F204-H204</f>
        <v>1200</v>
      </c>
      <c r="H204" s="58" t="n">
        <v>400</v>
      </c>
      <c r="J204" s="55"/>
      <c r="K204" s="0"/>
    </row>
    <row r="205" customFormat="false" ht="19.85" hidden="false" customHeight="true" outlineLevel="0" collapsed="false">
      <c r="A205" s="0" t="n">
        <v>30</v>
      </c>
      <c r="B205" s="34" t="n">
        <v>42826</v>
      </c>
      <c r="C205" s="1" t="n">
        <v>128261</v>
      </c>
      <c r="D205" s="367" t="s">
        <v>42</v>
      </c>
      <c r="E205" s="33" t="n">
        <f aca="false">IF(D205="totale",(C205/(A205*24))/F205,IF(D205="marché libre",(C205/(A205*24))/G205,"spécifier histo"))</f>
        <v>0.148450231481481</v>
      </c>
      <c r="F205" s="59" t="n">
        <v>1600</v>
      </c>
      <c r="G205" s="59" t="n">
        <f aca="false">F205-H205</f>
        <v>1200</v>
      </c>
      <c r="H205" s="59" t="n">
        <v>400</v>
      </c>
      <c r="J205" s="55"/>
      <c r="K205" s="0"/>
    </row>
    <row r="206" customFormat="false" ht="19.85" hidden="false" customHeight="true" outlineLevel="0" collapsed="false">
      <c r="A206" s="0" t="n">
        <v>31</v>
      </c>
      <c r="B206" s="31" t="n">
        <v>42856</v>
      </c>
      <c r="C206" s="1" t="n">
        <v>35168</v>
      </c>
      <c r="D206" s="367" t="s">
        <v>42</v>
      </c>
      <c r="E206" s="33" t="n">
        <f aca="false">IF(D206="totale",(C206/(A206*24))/F206,IF(D206="marché libre",(C206/(A206*24))/G206,"spécifier histo"))</f>
        <v>0.0393906810035842</v>
      </c>
      <c r="F206" s="59" t="n">
        <v>1600</v>
      </c>
      <c r="G206" s="59" t="n">
        <f aca="false">F206-H206</f>
        <v>1200</v>
      </c>
      <c r="H206" s="58" t="n">
        <v>400</v>
      </c>
      <c r="J206" s="55"/>
      <c r="K206" s="0"/>
    </row>
    <row r="207" customFormat="false" ht="22.45" hidden="false" customHeight="true" outlineLevel="0" collapsed="false">
      <c r="A207" s="0" t="n">
        <v>30</v>
      </c>
      <c r="B207" s="34" t="n">
        <v>42887</v>
      </c>
      <c r="C207" s="1" t="n">
        <v>952</v>
      </c>
      <c r="D207" s="367" t="s">
        <v>42</v>
      </c>
      <c r="E207" s="33" t="n">
        <f aca="false">IF(D207="totale",(C207/(A207*24))/F207,IF(D207="marché libre",(C207/(A207*24))/G207,"spécifier histo"))</f>
        <v>0.00110185185185185</v>
      </c>
      <c r="F207" s="59" t="n">
        <v>1600</v>
      </c>
      <c r="G207" s="59" t="n">
        <f aca="false">F207-H207</f>
        <v>1200</v>
      </c>
      <c r="H207" s="59" t="n">
        <v>400</v>
      </c>
      <c r="J207" s="55"/>
      <c r="K207" s="0"/>
    </row>
    <row r="208" customFormat="false" ht="21.65" hidden="false" customHeight="true" outlineLevel="0" collapsed="false">
      <c r="A208" s="0" t="n">
        <v>31</v>
      </c>
      <c r="B208" s="31" t="n">
        <v>42917</v>
      </c>
      <c r="C208" s="1" t="n">
        <v>17666</v>
      </c>
      <c r="D208" s="367" t="s">
        <v>42</v>
      </c>
      <c r="E208" s="33" t="n">
        <f aca="false">IF(D208="totale",(C208/(A208*24))/F208,IF(D208="marché libre",(C208/(A208*24))/G208,"spécifier histo"))</f>
        <v>0.0197871863799283</v>
      </c>
      <c r="F208" s="59" t="n">
        <v>1600</v>
      </c>
      <c r="G208" s="59" t="n">
        <f aca="false">F208-H208</f>
        <v>1200</v>
      </c>
      <c r="H208" s="58" t="n">
        <v>400</v>
      </c>
      <c r="J208" s="55"/>
      <c r="K208" s="0"/>
    </row>
    <row r="209" customFormat="false" ht="21.65" hidden="false" customHeight="true" outlineLevel="0" collapsed="false">
      <c r="A209" s="0" t="n">
        <v>31</v>
      </c>
      <c r="B209" s="34" t="n">
        <v>42948</v>
      </c>
      <c r="C209" s="1" t="n">
        <v>316</v>
      </c>
      <c r="D209" s="367" t="s">
        <v>42</v>
      </c>
      <c r="E209" s="33" t="n">
        <f aca="false">IF(D209="totale",(C209/(A209*24))/F209,IF(D209="marché libre",(C209/(A209*24))/G209,"spécifier histo"))</f>
        <v>0.000353942652329749</v>
      </c>
      <c r="F209" s="59" t="n">
        <v>1600</v>
      </c>
      <c r="G209" s="59" t="n">
        <f aca="false">F209-H209</f>
        <v>1200</v>
      </c>
      <c r="H209" s="59" t="n">
        <v>400</v>
      </c>
      <c r="J209" s="55"/>
      <c r="K209" s="0"/>
    </row>
    <row r="210" customFormat="false" ht="21.65" hidden="false" customHeight="true" outlineLevel="0" collapsed="false">
      <c r="A210" s="0" t="n">
        <v>30</v>
      </c>
      <c r="B210" s="31" t="n">
        <v>42979</v>
      </c>
      <c r="C210" s="1" t="n">
        <v>213</v>
      </c>
      <c r="D210" s="367" t="s">
        <v>42</v>
      </c>
      <c r="E210" s="33" t="n">
        <f aca="false">IF(D210="totale",(C210/(A210*24))/F210,IF(D210="marché libre",(C210/(A210*24))/G210,"spécifier histo"))</f>
        <v>0.000246527777777778</v>
      </c>
      <c r="F210" s="59" t="n">
        <v>1600</v>
      </c>
      <c r="G210" s="59" t="n">
        <f aca="false">F210-H210</f>
        <v>1200</v>
      </c>
      <c r="H210" s="58" t="n">
        <v>400</v>
      </c>
      <c r="J210" s="55"/>
      <c r="K210" s="0"/>
    </row>
    <row r="211" customFormat="false" ht="21.65" hidden="false" customHeight="true" outlineLevel="0" collapsed="false">
      <c r="A211" s="0" t="n">
        <v>31</v>
      </c>
      <c r="B211" s="34" t="n">
        <v>43009</v>
      </c>
      <c r="C211" s="1" t="n">
        <v>320</v>
      </c>
      <c r="D211" s="367" t="s">
        <v>42</v>
      </c>
      <c r="E211" s="33" t="n">
        <f aca="false">IF(D211="totale",(C211/(A211*24))/F211,IF(D211="marché libre",(C211/(A211*24))/G211,"spécifier histo"))</f>
        <v>0.0003584229390681</v>
      </c>
      <c r="F211" s="59" t="n">
        <v>1600</v>
      </c>
      <c r="G211" s="59" t="n">
        <f aca="false">F211-H211</f>
        <v>1200</v>
      </c>
      <c r="H211" s="59" t="n">
        <v>400</v>
      </c>
      <c r="J211" s="55"/>
      <c r="K211" s="0"/>
    </row>
    <row r="212" customFormat="false" ht="21.65" hidden="false" customHeight="true" outlineLevel="0" collapsed="false">
      <c r="A212" s="0" t="n">
        <v>30</v>
      </c>
      <c r="B212" s="31" t="n">
        <v>43040</v>
      </c>
      <c r="C212" s="1" t="n">
        <v>23423</v>
      </c>
      <c r="D212" s="367" t="s">
        <v>42</v>
      </c>
      <c r="E212" s="33" t="n">
        <f aca="false">IF(D212="totale",(C212/(A212*24))/F212,IF(D212="marché libre",(C212/(A212*24))/G212,"spécifier histo"))</f>
        <v>0.0271099537037037</v>
      </c>
      <c r="F212" s="59" t="n">
        <v>1600</v>
      </c>
      <c r="G212" s="59" t="n">
        <f aca="false">F212-H212</f>
        <v>1200</v>
      </c>
      <c r="H212" s="58" t="n">
        <v>400</v>
      </c>
      <c r="J212" s="55"/>
      <c r="K212" s="0"/>
    </row>
    <row r="213" customFormat="false" ht="21.65" hidden="false" customHeight="true" outlineLevel="0" collapsed="false">
      <c r="A213" s="0" t="n">
        <v>31</v>
      </c>
      <c r="B213" s="34" t="n">
        <v>43070</v>
      </c>
      <c r="C213" s="1" t="n">
        <v>252657</v>
      </c>
      <c r="D213" s="367" t="s">
        <v>42</v>
      </c>
      <c r="E213" s="33" t="n">
        <f aca="false">IF(D213="totale",(C213/(A213*24))/F213,IF(D213="marché libre",(C213/(A213*24))/G213,"spécifier histo"))</f>
        <v>0.282993951612903</v>
      </c>
      <c r="F213" s="59" t="n">
        <v>1600</v>
      </c>
      <c r="G213" s="59" t="n">
        <f aca="false">F213-H213</f>
        <v>1200</v>
      </c>
      <c r="H213" s="59" t="n">
        <v>400</v>
      </c>
      <c r="J213" s="55"/>
      <c r="K213" s="0"/>
    </row>
    <row r="214" customFormat="false" ht="22.05" hidden="false" customHeight="true" outlineLevel="0" collapsed="false">
      <c r="A214" s="0" t="n">
        <v>31</v>
      </c>
      <c r="B214" s="31" t="n">
        <v>43101</v>
      </c>
      <c r="C214" s="1" t="n">
        <v>803391</v>
      </c>
      <c r="D214" s="367" t="s">
        <v>42</v>
      </c>
      <c r="E214" s="33" t="n">
        <f aca="false">IF(D214="totale",(C214/(A214*24))/F214,IF(D214="marché libre",(C214/(A214*24))/G214,"spécifier histo"))</f>
        <v>0.899855510752688</v>
      </c>
      <c r="F214" s="59" t="n">
        <v>1600</v>
      </c>
      <c r="G214" s="59" t="n">
        <f aca="false">F214-H214</f>
        <v>1200</v>
      </c>
      <c r="H214" s="58" t="n">
        <v>400</v>
      </c>
      <c r="J214" s="30"/>
    </row>
    <row r="215" customFormat="false" ht="28.35" hidden="false" customHeight="true" outlineLevel="0" collapsed="false">
      <c r="A215" s="0"/>
      <c r="D215" s="9"/>
    </row>
    <row r="216" customFormat="false" ht="28.35" hidden="false" customHeight="true" outlineLevel="0" collapsed="false">
      <c r="A216" s="0"/>
    </row>
    <row r="217" customFormat="false" ht="28.35" hidden="false" customHeight="true" outlineLevel="0" collapsed="false">
      <c r="A217" s="0"/>
    </row>
    <row r="218" customFormat="false" ht="28.35" hidden="false" customHeight="true" outlineLevel="0" collapsed="false">
      <c r="A218" s="0"/>
    </row>
    <row r="219" customFormat="false" ht="28.35" hidden="false" customHeight="true" outlineLevel="0" collapsed="false">
      <c r="A219" s="0"/>
    </row>
    <row r="220" customFormat="false" ht="28.35" hidden="false" customHeight="true" outlineLevel="0" collapsed="false">
      <c r="A220" s="0"/>
    </row>
    <row r="221" customFormat="false" ht="28.35" hidden="false" customHeight="true" outlineLevel="0" collapsed="false">
      <c r="A221" s="0"/>
    </row>
    <row r="222" customFormat="false" ht="28.35" hidden="false" customHeight="true" outlineLevel="0" collapsed="false">
      <c r="A222" s="0"/>
    </row>
    <row r="223" customFormat="false" ht="28.35" hidden="false" customHeight="true" outlineLevel="0" collapsed="false">
      <c r="A223" s="0"/>
    </row>
    <row r="224" customFormat="false" ht="28.35" hidden="false" customHeight="true" outlineLevel="0" collapsed="false">
      <c r="A224" s="0"/>
    </row>
    <row r="225" customFormat="false" ht="28.35" hidden="false" customHeight="true" outlineLevel="0" collapsed="false">
      <c r="A225" s="0"/>
    </row>
    <row r="226" customFormat="false" ht="28.35" hidden="false" customHeight="true" outlineLevel="0" collapsed="false">
      <c r="A226" s="0"/>
    </row>
    <row r="227" customFormat="false" ht="28.35" hidden="false" customHeight="true" outlineLevel="0" collapsed="false">
      <c r="A227" s="0"/>
    </row>
    <row r="228" customFormat="false" ht="28.35" hidden="false" customHeight="true" outlineLevel="0" collapsed="false">
      <c r="A228" s="0"/>
    </row>
    <row r="229" customFormat="false" ht="28.35" hidden="false" customHeight="true" outlineLevel="0" collapsed="false">
      <c r="A229" s="0"/>
    </row>
    <row r="230" customFormat="false" ht="28.35" hidden="false" customHeight="true" outlineLevel="0" collapsed="false">
      <c r="A230" s="0"/>
    </row>
    <row r="231" customFormat="false" ht="28.35" hidden="false" customHeight="tru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row r="239" customFormat="false" ht="12.8" hidden="false" customHeight="false" outlineLevel="0" collapsed="false">
      <c r="A239" s="0"/>
    </row>
    <row r="240" customFormat="false" ht="12.8" hidden="false" customHeight="false" outlineLevel="0" collapsed="false">
      <c r="A240" s="0"/>
    </row>
    <row r="241" customFormat="false" ht="12.8" hidden="false" customHeight="false" outlineLevel="0" collapsed="false">
      <c r="A241" s="0"/>
    </row>
    <row r="242" customFormat="false" ht="12.8" hidden="false" customHeight="false" outlineLevel="0" collapsed="false">
      <c r="A242" s="0"/>
    </row>
    <row r="243" customFormat="false" ht="12.8" hidden="false" customHeight="false" outlineLevel="0" collapsed="false">
      <c r="A243" s="0"/>
    </row>
    <row r="244" customFormat="false" ht="12.8" hidden="false" customHeight="false" outlineLevel="0" collapsed="false">
      <c r="A244" s="0"/>
    </row>
    <row r="245" customFormat="false" ht="12.8" hidden="false" customHeight="false" outlineLevel="0" collapsed="false">
      <c r="A245" s="0"/>
    </row>
    <row r="246" customFormat="false" ht="12.8" hidden="false" customHeight="false" outlineLevel="0" collapsed="false">
      <c r="A246" s="0"/>
    </row>
    <row r="247" customFormat="false" ht="12.8" hidden="false" customHeight="false" outlineLevel="0" collapsed="false">
      <c r="A247" s="0"/>
    </row>
    <row r="248" customFormat="false" ht="12.8" hidden="false" customHeight="false" outlineLevel="0" collapsed="false">
      <c r="A248" s="0"/>
    </row>
    <row r="249" customFormat="false" ht="12.8" hidden="false" customHeight="false" outlineLevel="0" collapsed="false">
      <c r="A249" s="0"/>
    </row>
    <row r="250" customFormat="false" ht="12.8" hidden="false" customHeight="false" outlineLevel="0" collapsed="false">
      <c r="A250" s="0"/>
    </row>
    <row r="251" customFormat="false" ht="12.8" hidden="false" customHeight="false" outlineLevel="0" collapsed="false">
      <c r="A251" s="0"/>
    </row>
    <row r="252" customFormat="false" ht="12.8" hidden="false" customHeight="false" outlineLevel="0" collapsed="false">
      <c r="A252" s="0"/>
    </row>
    <row r="253" customFormat="false" ht="12.8" hidden="false" customHeight="false" outlineLevel="0" collapsed="false">
      <c r="A253" s="0"/>
    </row>
    <row r="254" customFormat="false" ht="12.8" hidden="false" customHeight="false" outlineLevel="0" collapsed="false">
      <c r="A254" s="0"/>
    </row>
    <row r="255" customFormat="false" ht="12.8" hidden="false" customHeight="false" outlineLevel="0" collapsed="false">
      <c r="A255" s="0"/>
    </row>
    <row r="256" customFormat="false" ht="12.8" hidden="false" customHeight="false" outlineLevel="0" collapsed="false">
      <c r="A256" s="0"/>
    </row>
    <row r="257" customFormat="false" ht="12.8" hidden="false" customHeight="false" outlineLevel="0" collapsed="false">
      <c r="A257" s="0"/>
    </row>
    <row r="258" customFormat="false" ht="12.8" hidden="false" customHeight="false" outlineLevel="0" collapsed="false">
      <c r="A258" s="0"/>
    </row>
    <row r="259" customFormat="false" ht="12.8" hidden="false" customHeight="false" outlineLevel="0" collapsed="false">
      <c r="A259"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2:E15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214">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hyperlinks>
    <hyperlink ref="G6" r:id="rId1" display="Vieille centrale donc peu d’infos&#10;Mandat GO (11/01/2017) : puissance totale = 1600 kW dont 1200 kW Enercoop&#10;CARD-I du 10/10/2014 : 1200 kVA soit 1200 kW + 506 kVA soit 400 kW = 1706 kVA soit 1600 kW et puissance active max injectée : 1600 kW =&gt; perfect !&#10;CPA du 15/10/2014 : 1200 EN + 400 OA&#10;Quelques doutes sur la puissance avant le passage à l’OA. A vérifier avec AD les données du producteur dans le fichier prod par prod !! En 2012 pas des données ! par contre 2013 oui ! Ce n’est pas une erreur ? Données de production demandée au producteurs&#10;Avant OA : 1600 kW (file:///media/partage_enercoop/APPRO/01_Producteurs/Producteurs/HYDRO/Documents%20producteurs/CT_HYDRO_023%20-%20Pont%20de%20l'Arn/passage%20%C3%A0%20l'OA%20partielle%20-%20novembre%202014/Implantation%20groupe%20Pont%20de%20l%20Arn%20La%20Sarnari%C3%A9.pdf), ajout turbine de 400 kW donc 1600 + 400 maintenant ?"/>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9.xml><?xml version="1.0" encoding="utf-8"?>
<worksheet xmlns="http://schemas.openxmlformats.org/spreadsheetml/2006/main" xmlns:r="http://schemas.openxmlformats.org/officeDocument/2006/relationships">
  <sheetPr filterMode="false">
    <tabColor rgb="FF00CC33"/>
    <pageSetUpPr fitToPage="false"/>
  </sheetPr>
  <dimension ref="A1:V18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39" activePane="bottomRight" state="frozen"/>
      <selection pane="topLeft" activeCell="A1" activeCellId="0" sqref="A1"/>
      <selection pane="topRight" activeCell="B1" activeCellId="0" sqref="B1"/>
      <selection pane="bottomLeft" activeCell="A139" activeCellId="0" sqref="A139"/>
      <selection pane="bottomRight" activeCell="E160" activeCellId="0" sqref="E16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560</v>
      </c>
      <c r="C4" s="5" t="n">
        <v>61891</v>
      </c>
      <c r="D4" s="5" t="s">
        <v>561</v>
      </c>
      <c r="E4" s="14" t="s">
        <v>562</v>
      </c>
      <c r="F4" s="15" t="n">
        <v>720</v>
      </c>
      <c r="G4" s="15" t="n">
        <v>720</v>
      </c>
      <c r="H4" s="15" t="n">
        <v>720</v>
      </c>
      <c r="I4" s="16"/>
      <c r="J4" s="15" t="s">
        <v>563</v>
      </c>
      <c r="K4" s="16"/>
      <c r="L4" s="16" t="s">
        <v>113</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c r="H6" s="20"/>
      <c r="I6" s="20"/>
      <c r="J6" s="20"/>
      <c r="K6" s="20"/>
      <c r="L6" s="20"/>
      <c r="M6" s="20"/>
      <c r="N6" s="20"/>
      <c r="P6" s="125" t="n">
        <v>41183</v>
      </c>
      <c r="Q6" s="19" t="s">
        <v>27</v>
      </c>
      <c r="R6" s="9"/>
      <c r="S6" s="22"/>
      <c r="T6" s="5" t="s">
        <v>28</v>
      </c>
    </row>
    <row r="7" customFormat="false" ht="41.65" hidden="false" customHeight="true" outlineLevel="0" collapsed="false">
      <c r="A7" s="0"/>
      <c r="B7" s="0"/>
      <c r="C7" s="23" t="s">
        <v>564</v>
      </c>
      <c r="D7" s="23"/>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19.85" hidden="false" customHeight="true" outlineLevel="0" collapsed="false">
      <c r="A10" s="0" t="n">
        <v>31</v>
      </c>
      <c r="B10" s="31" t="n">
        <v>38718</v>
      </c>
      <c r="C10" s="1" t="n">
        <v>187900</v>
      </c>
      <c r="D10" s="57" t="s">
        <v>41</v>
      </c>
      <c r="E10" s="33" t="n">
        <f aca="false">IF(D10="totale",(C10/(A10*24))/F10,IF(D10="marché libre",(C10/(A10*24))/G10,"spécifier histo"))</f>
        <v>0.350769115890084</v>
      </c>
      <c r="F10" s="59" t="n">
        <v>720</v>
      </c>
      <c r="G10" s="59" t="n">
        <f aca="false">F10-H10</f>
        <v>720</v>
      </c>
      <c r="H10" s="58" t="n">
        <v>0</v>
      </c>
      <c r="J10" s="55"/>
      <c r="L10" s="0"/>
      <c r="M10" s="0"/>
      <c r="N10" s="0"/>
      <c r="O10" s="0"/>
      <c r="P10" s="0"/>
      <c r="Q10" s="0"/>
      <c r="R10" s="0"/>
      <c r="S10" s="0"/>
      <c r="T10" s="0"/>
      <c r="U10" s="0"/>
    </row>
    <row r="11" customFormat="false" ht="19.85" hidden="false" customHeight="true" outlineLevel="0" collapsed="false">
      <c r="A11" s="0" t="n">
        <v>28</v>
      </c>
      <c r="B11" s="34" t="n">
        <v>38749</v>
      </c>
      <c r="C11" s="1" t="n">
        <v>161901</v>
      </c>
      <c r="D11" s="57" t="s">
        <v>41</v>
      </c>
      <c r="E11" s="33" t="n">
        <f aca="false">IF(D11="totale",(C11/(A11*24))/F11,IF(D11="marché libre",(C11/(A11*24))/G11,"spécifier histo"))</f>
        <v>0.33461681547619</v>
      </c>
      <c r="F11" s="59" t="n">
        <v>720</v>
      </c>
      <c r="G11" s="59" t="n">
        <f aca="false">F11-H11</f>
        <v>720</v>
      </c>
      <c r="H11" s="58" t="n">
        <v>0</v>
      </c>
      <c r="J11" s="55"/>
      <c r="K11" s="30"/>
    </row>
    <row r="12" customFormat="false" ht="19.85" hidden="false" customHeight="true" outlineLevel="0" collapsed="false">
      <c r="A12" s="0" t="n">
        <v>31</v>
      </c>
      <c r="B12" s="31" t="n">
        <v>38777</v>
      </c>
      <c r="C12" s="1" t="n">
        <v>0</v>
      </c>
      <c r="D12" s="57" t="s">
        <v>41</v>
      </c>
      <c r="E12" s="33" t="n">
        <f aca="false">IF(D12="totale",(C12/(A12*24))/F12,IF(D12="marché libre",(C12/(A12*24))/G12,"spécifier histo"))</f>
        <v>0</v>
      </c>
      <c r="F12" s="59" t="n">
        <v>720</v>
      </c>
      <c r="G12" s="59" t="n">
        <f aca="false">F12-H12</f>
        <v>720</v>
      </c>
      <c r="H12" s="58" t="n">
        <v>0</v>
      </c>
      <c r="J12" s="55"/>
      <c r="K12" s="30"/>
      <c r="L12" s="0"/>
      <c r="M12" s="0"/>
      <c r="N12" s="0"/>
      <c r="O12" s="0"/>
      <c r="P12" s="0"/>
      <c r="Q12" s="0"/>
      <c r="R12" s="0"/>
      <c r="S12" s="0"/>
    </row>
    <row r="13" customFormat="false" ht="19.85" hidden="false" customHeight="true" outlineLevel="0" collapsed="false">
      <c r="A13" s="0" t="n">
        <v>30</v>
      </c>
      <c r="B13" s="34" t="n">
        <v>38808</v>
      </c>
      <c r="C13" s="1" t="n">
        <v>0</v>
      </c>
      <c r="D13" s="57" t="s">
        <v>41</v>
      </c>
      <c r="E13" s="33" t="n">
        <f aca="false">IF(D13="totale",(C13/(A13*24))/F13,IF(D13="marché libre",(C13/(A13*24))/G13,"spécifier histo"))</f>
        <v>0</v>
      </c>
      <c r="F13" s="59" t="n">
        <v>720</v>
      </c>
      <c r="G13" s="59" t="n">
        <f aca="false">F13-H13</f>
        <v>720</v>
      </c>
      <c r="H13" s="58" t="n">
        <v>0</v>
      </c>
      <c r="J13" s="55"/>
      <c r="K13" s="30"/>
      <c r="L13" s="0"/>
      <c r="M13" s="0"/>
      <c r="N13" s="0"/>
      <c r="O13" s="0"/>
      <c r="P13" s="0"/>
      <c r="Q13" s="0"/>
      <c r="R13" s="0"/>
      <c r="S13" s="0"/>
    </row>
    <row r="14" customFormat="false" ht="19.85" hidden="false" customHeight="true" outlineLevel="0" collapsed="false">
      <c r="A14" s="0" t="n">
        <v>31</v>
      </c>
      <c r="B14" s="31" t="n">
        <v>38838</v>
      </c>
      <c r="C14" s="1" t="n">
        <v>0</v>
      </c>
      <c r="D14" s="57" t="s">
        <v>41</v>
      </c>
      <c r="E14" s="33" t="n">
        <f aca="false">IF(D14="totale",(C14/(A14*24))/F14,IF(D14="marché libre",(C14/(A14*24))/G14,"spécifier histo"))</f>
        <v>0</v>
      </c>
      <c r="F14" s="59" t="n">
        <v>720</v>
      </c>
      <c r="G14" s="59" t="n">
        <f aca="false">F14-H14</f>
        <v>720</v>
      </c>
      <c r="H14" s="58" t="n">
        <v>0</v>
      </c>
      <c r="J14" s="55"/>
      <c r="K14" s="30"/>
      <c r="L14" s="0"/>
      <c r="M14" s="0"/>
      <c r="N14" s="0"/>
      <c r="O14" s="0"/>
      <c r="P14" s="0"/>
      <c r="Q14" s="0"/>
      <c r="R14" s="0"/>
      <c r="S14" s="0"/>
    </row>
    <row r="15" customFormat="false" ht="19.85" hidden="false" customHeight="true" outlineLevel="0" collapsed="false">
      <c r="A15" s="0" t="n">
        <v>30</v>
      </c>
      <c r="B15" s="34" t="n">
        <v>38869</v>
      </c>
      <c r="C15" s="1" t="n">
        <v>0</v>
      </c>
      <c r="D15" s="57" t="s">
        <v>41</v>
      </c>
      <c r="E15" s="33" t="n">
        <f aca="false">IF(D15="totale",(C15/(A15*24))/F15,IF(D15="marché libre",(C15/(A15*24))/G15,"spécifier histo"))</f>
        <v>0</v>
      </c>
      <c r="F15" s="59" t="n">
        <v>720</v>
      </c>
      <c r="G15" s="59" t="n">
        <f aca="false">F15-H15</f>
        <v>720</v>
      </c>
      <c r="H15" s="58" t="n">
        <v>0</v>
      </c>
      <c r="J15" s="55"/>
      <c r="K15" s="30"/>
      <c r="L15" s="0"/>
      <c r="M15" s="0"/>
      <c r="N15" s="0"/>
      <c r="O15" s="0"/>
      <c r="P15" s="0"/>
      <c r="Q15" s="0"/>
      <c r="R15" s="0"/>
      <c r="S15" s="0"/>
    </row>
    <row r="16" customFormat="false" ht="19.85" hidden="false" customHeight="true" outlineLevel="0" collapsed="false">
      <c r="A16" s="0" t="n">
        <v>31</v>
      </c>
      <c r="B16" s="31" t="n">
        <v>38899</v>
      </c>
      <c r="C16" s="1" t="n">
        <v>0</v>
      </c>
      <c r="D16" s="57" t="s">
        <v>41</v>
      </c>
      <c r="E16" s="33" t="n">
        <f aca="false">IF(D16="totale",(C16/(A16*24))/F16,IF(D16="marché libre",(C16/(A16*24))/G16,"spécifier histo"))</f>
        <v>0</v>
      </c>
      <c r="F16" s="59" t="n">
        <v>720</v>
      </c>
      <c r="G16" s="59" t="n">
        <f aca="false">F16-H16</f>
        <v>720</v>
      </c>
      <c r="H16" s="58" t="n">
        <v>0</v>
      </c>
      <c r="J16" s="55"/>
      <c r="K16" s="30"/>
      <c r="L16" s="0"/>
      <c r="M16" s="0"/>
      <c r="N16" s="0"/>
      <c r="O16" s="0"/>
      <c r="P16" s="0"/>
      <c r="Q16" s="0"/>
      <c r="R16" s="0"/>
      <c r="S16" s="0"/>
    </row>
    <row r="17" customFormat="false" ht="19.85" hidden="false" customHeight="true" outlineLevel="0" collapsed="false">
      <c r="A17" s="0" t="n">
        <v>31</v>
      </c>
      <c r="B17" s="34" t="n">
        <v>38930</v>
      </c>
      <c r="C17" s="1" t="n">
        <v>0</v>
      </c>
      <c r="D17" s="57" t="s">
        <v>41</v>
      </c>
      <c r="E17" s="33" t="n">
        <f aca="false">IF(D17="totale",(C17/(A17*24))/F17,IF(D17="marché libre",(C17/(A17*24))/G17,"spécifier histo"))</f>
        <v>0</v>
      </c>
      <c r="F17" s="59" t="n">
        <v>720</v>
      </c>
      <c r="G17" s="59" t="n">
        <f aca="false">F17-H17</f>
        <v>720</v>
      </c>
      <c r="H17" s="58" t="n">
        <v>0</v>
      </c>
      <c r="J17" s="55"/>
      <c r="K17" s="30"/>
      <c r="L17" s="0"/>
      <c r="M17" s="0"/>
      <c r="N17" s="0"/>
      <c r="O17" s="0"/>
      <c r="P17" s="0"/>
      <c r="Q17" s="0"/>
      <c r="R17" s="0"/>
      <c r="S17" s="0"/>
    </row>
    <row r="18" customFormat="false" ht="19.85" hidden="false" customHeight="true" outlineLevel="0" collapsed="false">
      <c r="A18" s="0" t="n">
        <v>30</v>
      </c>
      <c r="B18" s="31" t="n">
        <v>38961</v>
      </c>
      <c r="C18" s="26" t="n">
        <v>0</v>
      </c>
      <c r="D18" s="57" t="s">
        <v>41</v>
      </c>
      <c r="E18" s="33" t="n">
        <f aca="false">IF(D18="totale",(C18/(A18*24))/F18,IF(D18="marché libre",(C18/(A18*24))/G18,"spécifier histo"))</f>
        <v>0</v>
      </c>
      <c r="F18" s="59" t="n">
        <v>720</v>
      </c>
      <c r="G18" s="59" t="n">
        <f aca="false">F18-H18</f>
        <v>720</v>
      </c>
      <c r="H18" s="58" t="n">
        <v>0</v>
      </c>
      <c r="J18" s="55"/>
      <c r="K18" s="30"/>
      <c r="L18" s="0"/>
      <c r="M18" s="0"/>
      <c r="N18" s="0"/>
      <c r="O18" s="0"/>
      <c r="P18" s="0"/>
      <c r="Q18" s="0"/>
      <c r="R18" s="0"/>
      <c r="S18" s="0"/>
    </row>
    <row r="19" customFormat="false" ht="19.85" hidden="false" customHeight="true" outlineLevel="0" collapsed="false">
      <c r="A19" s="0" t="n">
        <v>31</v>
      </c>
      <c r="B19" s="34" t="n">
        <v>38991</v>
      </c>
      <c r="C19" s="26" t="n">
        <v>0</v>
      </c>
      <c r="D19" s="57" t="s">
        <v>41</v>
      </c>
      <c r="E19" s="33" t="n">
        <f aca="false">IF(D19="totale",(C19/(A19*24))/F19,IF(D19="marché libre",(C19/(A19*24))/G19,"spécifier histo"))</f>
        <v>0</v>
      </c>
      <c r="F19" s="59" t="n">
        <v>720</v>
      </c>
      <c r="G19" s="59" t="n">
        <f aca="false">F19-H19</f>
        <v>720</v>
      </c>
      <c r="H19" s="58" t="n">
        <v>0</v>
      </c>
      <c r="J19" s="55"/>
      <c r="K19" s="30"/>
      <c r="L19" s="0"/>
      <c r="M19" s="0"/>
      <c r="N19" s="0"/>
      <c r="O19" s="0"/>
      <c r="P19" s="0"/>
      <c r="Q19" s="0"/>
      <c r="R19" s="0"/>
      <c r="S19" s="0"/>
    </row>
    <row r="20" customFormat="false" ht="19.85" hidden="false" customHeight="true" outlineLevel="0" collapsed="false">
      <c r="A20" s="0" t="n">
        <v>30</v>
      </c>
      <c r="B20" s="31" t="n">
        <v>39022</v>
      </c>
      <c r="C20" s="26" t="n">
        <v>0</v>
      </c>
      <c r="D20" s="57" t="s">
        <v>41</v>
      </c>
      <c r="E20" s="33" t="n">
        <f aca="false">IF(D20="totale",(C20/(A20*24))/F20,IF(D20="marché libre",(C20/(A20*24))/G20,"spécifier histo"))</f>
        <v>0</v>
      </c>
      <c r="F20" s="59" t="n">
        <v>720</v>
      </c>
      <c r="G20" s="59" t="n">
        <f aca="false">F20-H20</f>
        <v>720</v>
      </c>
      <c r="H20" s="58" t="n">
        <v>0</v>
      </c>
      <c r="J20" s="55"/>
      <c r="L20" s="0"/>
      <c r="M20" s="0"/>
      <c r="N20" s="0"/>
      <c r="O20" s="0"/>
      <c r="P20" s="0"/>
      <c r="Q20" s="0"/>
      <c r="R20" s="0"/>
      <c r="S20" s="0"/>
      <c r="T20" s="0"/>
    </row>
    <row r="21" customFormat="false" ht="19.85" hidden="false" customHeight="true" outlineLevel="0" collapsed="false">
      <c r="A21" s="0" t="n">
        <v>31</v>
      </c>
      <c r="B21" s="34" t="n">
        <v>39052</v>
      </c>
      <c r="C21" s="26" t="n">
        <v>0</v>
      </c>
      <c r="D21" s="57" t="s">
        <v>41</v>
      </c>
      <c r="E21" s="33" t="n">
        <f aca="false">IF(D21="totale",(C21/(A21*24))/F21,IF(D21="marché libre",(C21/(A21*24))/G21,"spécifier histo"))</f>
        <v>0</v>
      </c>
      <c r="F21" s="59" t="n">
        <v>720</v>
      </c>
      <c r="G21" s="59" t="n">
        <f aca="false">F21-H21</f>
        <v>720</v>
      </c>
      <c r="H21" s="58" t="n">
        <v>0</v>
      </c>
      <c r="J21" s="55"/>
      <c r="L21" s="0"/>
      <c r="M21" s="0"/>
      <c r="N21" s="0"/>
      <c r="O21" s="0"/>
      <c r="P21" s="0"/>
      <c r="Q21" s="0"/>
      <c r="R21" s="0"/>
      <c r="S21" s="0"/>
      <c r="T21" s="0"/>
    </row>
    <row r="22" customFormat="false" ht="19.85" hidden="false" customHeight="true" outlineLevel="0" collapsed="false">
      <c r="A22" s="0" t="n">
        <v>31</v>
      </c>
      <c r="B22" s="31" t="n">
        <v>39083</v>
      </c>
      <c r="C22" s="1" t="n">
        <v>0</v>
      </c>
      <c r="D22" s="57" t="s">
        <v>41</v>
      </c>
      <c r="E22" s="33" t="n">
        <f aca="false">IF(D22="totale",(C22/(A22*24))/F22,IF(D22="marché libre",(C22/(A22*24))/G22,"spécifier histo"))</f>
        <v>0</v>
      </c>
      <c r="F22" s="59" t="n">
        <v>720</v>
      </c>
      <c r="G22" s="59" t="n">
        <f aca="false">F22-H22</f>
        <v>720</v>
      </c>
      <c r="H22" s="58" t="n">
        <v>0</v>
      </c>
      <c r="J22" s="55"/>
      <c r="L22" s="0"/>
      <c r="M22" s="0"/>
      <c r="N22" s="0"/>
      <c r="O22" s="0"/>
      <c r="P22" s="0"/>
      <c r="Q22" s="0"/>
      <c r="R22" s="0"/>
      <c r="S22" s="0"/>
      <c r="T22" s="0"/>
    </row>
    <row r="23" customFormat="false" ht="19.85" hidden="false" customHeight="true" outlineLevel="0" collapsed="false">
      <c r="A23" s="0" t="n">
        <v>28</v>
      </c>
      <c r="B23" s="34" t="n">
        <v>39114</v>
      </c>
      <c r="C23" s="1" t="n">
        <v>120700</v>
      </c>
      <c r="D23" s="57" t="s">
        <v>41</v>
      </c>
      <c r="E23" s="33" t="n">
        <f aca="false">IF(D23="totale",(C23/(A23*24))/F23,IF(D23="marché libre",(C23/(A23*24))/G23,"spécifier histo"))</f>
        <v>0.249462632275132</v>
      </c>
      <c r="F23" s="59" t="n">
        <v>720</v>
      </c>
      <c r="G23" s="59" t="n">
        <f aca="false">F23-H23</f>
        <v>720</v>
      </c>
      <c r="H23" s="58" t="n">
        <v>0</v>
      </c>
      <c r="J23" s="55"/>
      <c r="L23" s="0"/>
      <c r="M23" s="0"/>
      <c r="N23" s="0"/>
      <c r="O23" s="0"/>
      <c r="P23" s="0"/>
      <c r="Q23" s="0"/>
      <c r="R23" s="0"/>
      <c r="S23" s="0"/>
      <c r="T23" s="0"/>
    </row>
    <row r="24" customFormat="false" ht="19.85" hidden="false" customHeight="true" outlineLevel="0" collapsed="false">
      <c r="A24" s="0" t="n">
        <v>31</v>
      </c>
      <c r="B24" s="31" t="n">
        <v>39142</v>
      </c>
      <c r="C24" s="1" t="n">
        <v>245601</v>
      </c>
      <c r="D24" s="57" t="s">
        <v>41</v>
      </c>
      <c r="E24" s="33" t="n">
        <f aca="false">IF(D24="totale",(C24/(A24*24))/F24,IF(D24="marché libre",(C24/(A24*24))/G24,"spécifier histo"))</f>
        <v>0.458484543010753</v>
      </c>
      <c r="F24" s="59" t="n">
        <v>720</v>
      </c>
      <c r="G24" s="59" t="n">
        <f aca="false">F24-H24</f>
        <v>720</v>
      </c>
      <c r="H24" s="58" t="n">
        <v>0</v>
      </c>
      <c r="J24" s="55"/>
      <c r="L24" s="0"/>
      <c r="P24" s="0"/>
      <c r="T24" s="0"/>
    </row>
    <row r="25" customFormat="false" ht="19.85" hidden="false" customHeight="true" outlineLevel="0" collapsed="false">
      <c r="A25" s="0" t="n">
        <v>30</v>
      </c>
      <c r="B25" s="34" t="n">
        <v>39173</v>
      </c>
      <c r="C25" s="1" t="n">
        <v>0</v>
      </c>
      <c r="D25" s="57" t="s">
        <v>41</v>
      </c>
      <c r="E25" s="33" t="n">
        <f aca="false">IF(D25="totale",(C25/(A25*24))/F25,IF(D25="marché libre",(C25/(A25*24))/G25,"spécifier histo"))</f>
        <v>0</v>
      </c>
      <c r="F25" s="59" t="n">
        <v>720</v>
      </c>
      <c r="G25" s="59" t="n">
        <f aca="false">F25-H25</f>
        <v>720</v>
      </c>
      <c r="H25" s="58" t="n">
        <v>0</v>
      </c>
      <c r="J25" s="55"/>
      <c r="L25" s="0"/>
      <c r="P25" s="0"/>
      <c r="T25" s="0"/>
    </row>
    <row r="26" customFormat="false" ht="19.85" hidden="false" customHeight="true" outlineLevel="0" collapsed="false">
      <c r="A26" s="0" t="n">
        <v>31</v>
      </c>
      <c r="B26" s="31" t="n">
        <v>39203</v>
      </c>
      <c r="C26" s="1" t="n">
        <v>0</v>
      </c>
      <c r="D26" s="57" t="s">
        <v>41</v>
      </c>
      <c r="E26" s="33" t="n">
        <f aca="false">IF(D26="totale",(C26/(A26*24))/F26,IF(D26="marché libre",(C26/(A26*24))/G26,"spécifier histo"))</f>
        <v>0</v>
      </c>
      <c r="F26" s="59" t="n">
        <v>720</v>
      </c>
      <c r="G26" s="59" t="n">
        <f aca="false">F26-H26</f>
        <v>720</v>
      </c>
      <c r="H26" s="58" t="n">
        <v>0</v>
      </c>
      <c r="J26" s="55"/>
      <c r="L26" s="0"/>
      <c r="P26" s="0"/>
      <c r="T26" s="0"/>
    </row>
    <row r="27" customFormat="false" ht="19.85" hidden="false" customHeight="true" outlineLevel="0" collapsed="false">
      <c r="A27" s="0" t="n">
        <v>30</v>
      </c>
      <c r="B27" s="34" t="n">
        <v>39234</v>
      </c>
      <c r="C27" s="1" t="n">
        <v>0</v>
      </c>
      <c r="D27" s="57" t="s">
        <v>41</v>
      </c>
      <c r="E27" s="33" t="n">
        <f aca="false">IF(D27="totale",(C27/(A27*24))/F27,IF(D27="marché libre",(C27/(A27*24))/G27,"spécifier histo"))</f>
        <v>0</v>
      </c>
      <c r="F27" s="59" t="n">
        <v>720</v>
      </c>
      <c r="G27" s="59" t="n">
        <f aca="false">F27-H27</f>
        <v>720</v>
      </c>
      <c r="H27" s="58" t="n">
        <v>0</v>
      </c>
      <c r="J27" s="55"/>
      <c r="L27" s="0"/>
      <c r="P27" s="0"/>
      <c r="T27" s="0"/>
    </row>
    <row r="28" customFormat="false" ht="19.85" hidden="false" customHeight="true" outlineLevel="0" collapsed="false">
      <c r="A28" s="0" t="n">
        <v>31</v>
      </c>
      <c r="B28" s="31" t="n">
        <v>39264</v>
      </c>
      <c r="C28" s="1" t="n">
        <v>0</v>
      </c>
      <c r="D28" s="57" t="s">
        <v>41</v>
      </c>
      <c r="E28" s="33" t="n">
        <f aca="false">IF(D28="totale",(C28/(A28*24))/F28,IF(D28="marché libre",(C28/(A28*24))/G28,"spécifier histo"))</f>
        <v>0</v>
      </c>
      <c r="F28" s="59" t="n">
        <v>720</v>
      </c>
      <c r="G28" s="59" t="n">
        <f aca="false">F28-H28</f>
        <v>720</v>
      </c>
      <c r="H28" s="58" t="n">
        <v>0</v>
      </c>
      <c r="J28" s="55"/>
      <c r="L28" s="0"/>
      <c r="P28" s="0"/>
      <c r="T28" s="0"/>
    </row>
    <row r="29" customFormat="false" ht="19.85" hidden="false" customHeight="true" outlineLevel="0" collapsed="false">
      <c r="A29" s="0" t="n">
        <v>31</v>
      </c>
      <c r="B29" s="34" t="n">
        <v>39295</v>
      </c>
      <c r="C29" s="1" t="n">
        <v>0</v>
      </c>
      <c r="D29" s="57" t="s">
        <v>41</v>
      </c>
      <c r="E29" s="33" t="n">
        <f aca="false">IF(D29="totale",(C29/(A29*24))/F29,IF(D29="marché libre",(C29/(A29*24))/G29,"spécifier histo"))</f>
        <v>0</v>
      </c>
      <c r="F29" s="59" t="n">
        <v>720</v>
      </c>
      <c r="G29" s="59" t="n">
        <f aca="false">F29-H29</f>
        <v>720</v>
      </c>
      <c r="H29" s="58" t="n">
        <v>0</v>
      </c>
      <c r="J29" s="55"/>
      <c r="L29" s="0"/>
      <c r="P29" s="0"/>
      <c r="T29" s="0"/>
    </row>
    <row r="30" customFormat="false" ht="19.85" hidden="false" customHeight="true" outlineLevel="0" collapsed="false">
      <c r="A30" s="0" t="n">
        <v>30</v>
      </c>
      <c r="B30" s="31" t="n">
        <v>39326</v>
      </c>
      <c r="C30" s="1" t="n">
        <v>0</v>
      </c>
      <c r="D30" s="57" t="s">
        <v>41</v>
      </c>
      <c r="E30" s="33" t="n">
        <f aca="false">IF(D30="totale",(C30/(A30*24))/F30,IF(D30="marché libre",(C30/(A30*24))/G30,"spécifier histo"))</f>
        <v>0</v>
      </c>
      <c r="F30" s="59" t="n">
        <v>720</v>
      </c>
      <c r="G30" s="59" t="n">
        <f aca="false">F30-H30</f>
        <v>720</v>
      </c>
      <c r="H30" s="58" t="n">
        <v>0</v>
      </c>
      <c r="J30" s="55"/>
      <c r="L30" s="0"/>
      <c r="P30" s="0"/>
      <c r="T30" s="0"/>
    </row>
    <row r="31" customFormat="false" ht="19.85" hidden="false" customHeight="true" outlineLevel="0" collapsed="false">
      <c r="A31" s="0" t="n">
        <v>31</v>
      </c>
      <c r="B31" s="34" t="n">
        <v>39356</v>
      </c>
      <c r="C31" s="1" t="n">
        <v>0</v>
      </c>
      <c r="D31" s="57" t="s">
        <v>41</v>
      </c>
      <c r="E31" s="33" t="n">
        <f aca="false">IF(D31="totale",(C31/(A31*24))/F31,IF(D31="marché libre",(C31/(A31*24))/G31,"spécifier histo"))</f>
        <v>0</v>
      </c>
      <c r="F31" s="59" t="n">
        <v>720</v>
      </c>
      <c r="G31" s="59" t="n">
        <f aca="false">F31-H31</f>
        <v>720</v>
      </c>
      <c r="H31" s="58" t="n">
        <v>0</v>
      </c>
      <c r="J31" s="55"/>
      <c r="L31" s="0"/>
      <c r="P31" s="0"/>
      <c r="T31" s="0"/>
    </row>
    <row r="32" customFormat="false" ht="19.85" hidden="false" customHeight="true" outlineLevel="0" collapsed="false">
      <c r="A32" s="0" t="n">
        <v>30</v>
      </c>
      <c r="B32" s="31" t="n">
        <v>39387</v>
      </c>
      <c r="C32" s="1" t="n">
        <v>0</v>
      </c>
      <c r="D32" s="57" t="s">
        <v>41</v>
      </c>
      <c r="E32" s="33" t="n">
        <f aca="false">IF(D32="totale",(C32/(A32*24))/F32,IF(D32="marché libre",(C32/(A32*24))/G32,"spécifier histo"))</f>
        <v>0</v>
      </c>
      <c r="F32" s="59" t="n">
        <v>720</v>
      </c>
      <c r="G32" s="59" t="n">
        <f aca="false">F32-H32</f>
        <v>720</v>
      </c>
      <c r="H32" s="58" t="n">
        <v>0</v>
      </c>
      <c r="J32" s="55"/>
      <c r="L32" s="0"/>
      <c r="P32" s="0"/>
    </row>
    <row r="33" customFormat="false" ht="19.85" hidden="false" customHeight="true" outlineLevel="0" collapsed="false">
      <c r="A33" s="0" t="n">
        <v>31</v>
      </c>
      <c r="B33" s="34" t="n">
        <v>39417</v>
      </c>
      <c r="C33" s="1" t="n">
        <v>66400</v>
      </c>
      <c r="D33" s="57" t="s">
        <v>41</v>
      </c>
      <c r="E33" s="33" t="n">
        <f aca="false">IF(D33="totale",(C33/(A33*24))/F33,IF(D33="marché libre",(C33/(A33*24))/G33,"spécifier histo"))</f>
        <v>0.123954599761051</v>
      </c>
      <c r="F33" s="59" t="n">
        <v>720</v>
      </c>
      <c r="G33" s="59" t="n">
        <f aca="false">F33-H33</f>
        <v>720</v>
      </c>
      <c r="H33" s="58" t="n">
        <v>0</v>
      </c>
      <c r="J33" s="55"/>
      <c r="L33" s="0"/>
      <c r="P33" s="0"/>
    </row>
    <row r="34" customFormat="false" ht="19.85" hidden="false" customHeight="true" outlineLevel="0" collapsed="false">
      <c r="A34" s="0" t="n">
        <v>31</v>
      </c>
      <c r="B34" s="31" t="n">
        <v>39448</v>
      </c>
      <c r="C34" s="1" t="n">
        <v>254100</v>
      </c>
      <c r="D34" s="57" t="s">
        <v>41</v>
      </c>
      <c r="E34" s="33" t="n">
        <f aca="false">IF(D34="totale",(C34/(A34*24))/F34,IF(D34="marché libre",(C34/(A34*24))/G34,"spécifier histo"))</f>
        <v>0.474350358422939</v>
      </c>
      <c r="F34" s="59" t="n">
        <v>720</v>
      </c>
      <c r="G34" s="59" t="n">
        <f aca="false">F34-H34</f>
        <v>720</v>
      </c>
      <c r="H34" s="58" t="n">
        <v>0</v>
      </c>
      <c r="J34" s="55"/>
      <c r="L34" s="0"/>
      <c r="P34" s="0"/>
    </row>
    <row r="35" customFormat="false" ht="19.85" hidden="false" customHeight="true" outlineLevel="0" collapsed="false">
      <c r="A35" s="0" t="n">
        <v>28</v>
      </c>
      <c r="B35" s="34" t="n">
        <v>39479</v>
      </c>
      <c r="C35" s="1" t="n">
        <v>13800</v>
      </c>
      <c r="D35" s="57" t="s">
        <v>41</v>
      </c>
      <c r="E35" s="33" t="n">
        <f aca="false">IF(D35="totale",(C35/(A35*24))/F35,IF(D35="marché libre",(C35/(A35*24))/G35,"spécifier histo"))</f>
        <v>0.0285218253968254</v>
      </c>
      <c r="F35" s="59" t="n">
        <v>720</v>
      </c>
      <c r="G35" s="59" t="n">
        <f aca="false">F35-H35</f>
        <v>720</v>
      </c>
      <c r="H35" s="58" t="n">
        <v>0</v>
      </c>
      <c r="J35" s="55"/>
      <c r="L35" s="0"/>
      <c r="P35" s="0"/>
    </row>
    <row r="36" customFormat="false" ht="19.85" hidden="false" customHeight="true" outlineLevel="0" collapsed="false">
      <c r="A36" s="0" t="n">
        <v>31</v>
      </c>
      <c r="B36" s="31" t="n">
        <v>39508</v>
      </c>
      <c r="C36" s="1" t="n">
        <v>0</v>
      </c>
      <c r="D36" s="57" t="s">
        <v>41</v>
      </c>
      <c r="E36" s="33" t="n">
        <f aca="false">IF(D36="totale",(C36/(A36*24))/F36,IF(D36="marché libre",(C36/(A36*24))/G36,"spécifier histo"))</f>
        <v>0</v>
      </c>
      <c r="F36" s="59" t="n">
        <v>720</v>
      </c>
      <c r="G36" s="59" t="n">
        <f aca="false">F36-H36</f>
        <v>720</v>
      </c>
      <c r="H36" s="58" t="n">
        <v>0</v>
      </c>
      <c r="J36" s="55"/>
      <c r="L36" s="0"/>
      <c r="P36" s="0"/>
    </row>
    <row r="37" customFormat="false" ht="19.85" hidden="false" customHeight="true" outlineLevel="0" collapsed="false">
      <c r="A37" s="0" t="n">
        <v>30</v>
      </c>
      <c r="B37" s="34" t="n">
        <v>39539</v>
      </c>
      <c r="C37" s="1" t="n">
        <v>0</v>
      </c>
      <c r="D37" s="57" t="s">
        <v>41</v>
      </c>
      <c r="E37" s="33" t="n">
        <f aca="false">IF(D37="totale",(C37/(A37*24))/F37,IF(D37="marché libre",(C37/(A37*24))/G37,"spécifier histo"))</f>
        <v>0</v>
      </c>
      <c r="F37" s="59" t="n">
        <v>720</v>
      </c>
      <c r="G37" s="59" t="n">
        <f aca="false">F37-H37</f>
        <v>720</v>
      </c>
      <c r="H37" s="58" t="n">
        <v>0</v>
      </c>
      <c r="J37" s="55"/>
      <c r="L37" s="0"/>
      <c r="P37" s="0"/>
    </row>
    <row r="38" customFormat="false" ht="19.85" hidden="false" customHeight="true" outlineLevel="0" collapsed="false">
      <c r="A38" s="0" t="n">
        <v>31</v>
      </c>
      <c r="B38" s="31" t="n">
        <v>39569</v>
      </c>
      <c r="C38" s="1" t="n">
        <v>0</v>
      </c>
      <c r="D38" s="57" t="s">
        <v>41</v>
      </c>
      <c r="E38" s="33" t="n">
        <f aca="false">IF(D38="totale",(C38/(A38*24))/F38,IF(D38="marché libre",(C38/(A38*24))/G38,"spécifier histo"))</f>
        <v>0</v>
      </c>
      <c r="F38" s="59" t="n">
        <v>720</v>
      </c>
      <c r="G38" s="59" t="n">
        <f aca="false">F38-H38</f>
        <v>720</v>
      </c>
      <c r="H38" s="58" t="n">
        <v>0</v>
      </c>
      <c r="J38" s="55"/>
      <c r="L38" s="0"/>
      <c r="P38" s="0"/>
    </row>
    <row r="39" customFormat="false" ht="19.85" hidden="false" customHeight="true" outlineLevel="0" collapsed="false">
      <c r="A39" s="0" t="n">
        <v>30</v>
      </c>
      <c r="B39" s="34" t="n">
        <v>39600</v>
      </c>
      <c r="C39" s="1" t="n">
        <v>0</v>
      </c>
      <c r="D39" s="57" t="s">
        <v>41</v>
      </c>
      <c r="E39" s="33" t="n">
        <f aca="false">IF(D39="totale",(C39/(A39*24))/F39,IF(D39="marché libre",(C39/(A39*24))/G39,"spécifier histo"))</f>
        <v>0</v>
      </c>
      <c r="F39" s="59" t="n">
        <v>720</v>
      </c>
      <c r="G39" s="59" t="n">
        <f aca="false">F39-H39</f>
        <v>720</v>
      </c>
      <c r="H39" s="58" t="n">
        <v>0</v>
      </c>
      <c r="J39" s="55"/>
      <c r="L39" s="0"/>
      <c r="P39" s="0"/>
    </row>
    <row r="40" customFormat="false" ht="19.85" hidden="false" customHeight="true" outlineLevel="0" collapsed="false">
      <c r="A40" s="0" t="n">
        <v>31</v>
      </c>
      <c r="B40" s="31" t="n">
        <v>39630</v>
      </c>
      <c r="C40" s="1" t="n">
        <v>0</v>
      </c>
      <c r="D40" s="57" t="s">
        <v>41</v>
      </c>
      <c r="E40" s="33" t="n">
        <f aca="false">IF(D40="totale",(C40/(A40*24))/F40,IF(D40="marché libre",(C40/(A40*24))/G40,"spécifier histo"))</f>
        <v>0</v>
      </c>
      <c r="F40" s="59" t="n">
        <v>720</v>
      </c>
      <c r="G40" s="59" t="n">
        <f aca="false">F40-H40</f>
        <v>720</v>
      </c>
      <c r="H40" s="58" t="n">
        <v>0</v>
      </c>
      <c r="J40" s="55"/>
      <c r="L40" s="0"/>
      <c r="P40" s="0"/>
    </row>
    <row r="41" customFormat="false" ht="19.85" hidden="false" customHeight="true" outlineLevel="0" collapsed="false">
      <c r="A41" s="0" t="n">
        <v>31</v>
      </c>
      <c r="B41" s="34" t="n">
        <v>39661</v>
      </c>
      <c r="C41" s="1" t="n">
        <v>0</v>
      </c>
      <c r="D41" s="57" t="s">
        <v>41</v>
      </c>
      <c r="E41" s="33" t="n">
        <f aca="false">IF(D41="totale",(C41/(A41*24))/F41,IF(D41="marché libre",(C41/(A41*24))/G41,"spécifier histo"))</f>
        <v>0</v>
      </c>
      <c r="F41" s="59" t="n">
        <v>720</v>
      </c>
      <c r="G41" s="59" t="n">
        <f aca="false">F41-H41</f>
        <v>720</v>
      </c>
      <c r="H41" s="58" t="n">
        <v>0</v>
      </c>
      <c r="J41" s="55"/>
      <c r="L41" s="0"/>
      <c r="P41" s="0"/>
    </row>
    <row r="42" customFormat="false" ht="19.85" hidden="false" customHeight="true" outlineLevel="0" collapsed="false">
      <c r="A42" s="0" t="n">
        <v>30</v>
      </c>
      <c r="B42" s="31" t="n">
        <v>39692</v>
      </c>
      <c r="C42" s="1" t="n">
        <v>0</v>
      </c>
      <c r="D42" s="57" t="s">
        <v>41</v>
      </c>
      <c r="E42" s="33" t="n">
        <f aca="false">IF(D42="totale",(C42/(A42*24))/F42,IF(D42="marché libre",(C42/(A42*24))/G42,"spécifier histo"))</f>
        <v>0</v>
      </c>
      <c r="F42" s="59" t="n">
        <v>720</v>
      </c>
      <c r="G42" s="59" t="n">
        <f aca="false">F42-H42</f>
        <v>720</v>
      </c>
      <c r="H42" s="58" t="n">
        <v>0</v>
      </c>
      <c r="J42" s="55"/>
      <c r="L42" s="0"/>
      <c r="P42" s="0"/>
    </row>
    <row r="43" customFormat="false" ht="19.85" hidden="false" customHeight="true" outlineLevel="0" collapsed="false">
      <c r="A43" s="0" t="n">
        <v>31</v>
      </c>
      <c r="B43" s="34" t="n">
        <v>39722</v>
      </c>
      <c r="C43" s="1" t="n">
        <v>0</v>
      </c>
      <c r="D43" s="57" t="s">
        <v>41</v>
      </c>
      <c r="E43" s="33" t="n">
        <f aca="false">IF(D43="totale",(C43/(A43*24))/F43,IF(D43="marché libre",(C43/(A43*24))/G43,"spécifier histo"))</f>
        <v>0</v>
      </c>
      <c r="F43" s="59" t="n">
        <v>720</v>
      </c>
      <c r="G43" s="59" t="n">
        <f aca="false">F43-H43</f>
        <v>720</v>
      </c>
      <c r="H43" s="58" t="n">
        <v>0</v>
      </c>
      <c r="J43" s="55"/>
      <c r="L43" s="0"/>
      <c r="P43" s="0"/>
    </row>
    <row r="44" customFormat="false" ht="19.85" hidden="false" customHeight="true" outlineLevel="0" collapsed="false">
      <c r="A44" s="0" t="n">
        <v>30</v>
      </c>
      <c r="B44" s="31" t="n">
        <v>39753</v>
      </c>
      <c r="C44" s="1" t="n">
        <v>190500</v>
      </c>
      <c r="D44" s="57" t="s">
        <v>41</v>
      </c>
      <c r="E44" s="33" t="n">
        <f aca="false">IF(D44="totale",(C44/(A44*24))/F44,IF(D44="marché libre",(C44/(A44*24))/G44,"spécifier histo"))</f>
        <v>0.367476851851852</v>
      </c>
      <c r="F44" s="59" t="n">
        <v>720</v>
      </c>
      <c r="G44" s="59" t="n">
        <f aca="false">F44-H44</f>
        <v>720</v>
      </c>
      <c r="H44" s="58" t="n">
        <v>0</v>
      </c>
      <c r="J44" s="55"/>
      <c r="L44" s="0"/>
      <c r="P44" s="0"/>
    </row>
    <row r="45" customFormat="false" ht="19.85" hidden="false" customHeight="true" outlineLevel="0" collapsed="false">
      <c r="A45" s="0" t="n">
        <v>31</v>
      </c>
      <c r="B45" s="34" t="n">
        <v>39783</v>
      </c>
      <c r="C45" s="1" t="n">
        <v>367900</v>
      </c>
      <c r="D45" s="57" t="s">
        <v>41</v>
      </c>
      <c r="E45" s="33" t="n">
        <f aca="false">IF(D45="totale",(C45/(A45*24))/F45,IF(D45="marché libre",(C45/(A45*24))/G45,"spécifier histo"))</f>
        <v>0.686790621266428</v>
      </c>
      <c r="F45" s="59" t="n">
        <v>720</v>
      </c>
      <c r="G45" s="59" t="n">
        <f aca="false">F45-H45</f>
        <v>720</v>
      </c>
      <c r="H45" s="58" t="n">
        <v>0</v>
      </c>
      <c r="J45" s="55"/>
      <c r="L45" s="0"/>
      <c r="P45" s="0"/>
    </row>
    <row r="46" customFormat="false" ht="19.85" hidden="false" customHeight="true" outlineLevel="0" collapsed="false">
      <c r="A46" s="0" t="n">
        <v>31</v>
      </c>
      <c r="B46" s="31" t="n">
        <v>39814</v>
      </c>
      <c r="C46" s="1" t="n">
        <v>439600</v>
      </c>
      <c r="D46" s="57" t="s">
        <v>41</v>
      </c>
      <c r="E46" s="33" t="n">
        <f aca="false">IF(D46="totale",(C46/(A46*24))/F46,IF(D46="marché libre",(C46/(A46*24))/G46,"spécifier histo"))</f>
        <v>0.820639187574671</v>
      </c>
      <c r="F46" s="59" t="n">
        <v>720</v>
      </c>
      <c r="G46" s="59" t="n">
        <f aca="false">F46-H46</f>
        <v>720</v>
      </c>
      <c r="H46" s="58" t="n">
        <v>0</v>
      </c>
      <c r="J46" s="55"/>
      <c r="L46" s="0"/>
      <c r="P46" s="0"/>
    </row>
    <row r="47" customFormat="false" ht="19.85" hidden="false" customHeight="true" outlineLevel="0" collapsed="false">
      <c r="A47" s="0" t="n">
        <v>28</v>
      </c>
      <c r="B47" s="34" t="n">
        <v>39845</v>
      </c>
      <c r="C47" s="1" t="n">
        <v>502500</v>
      </c>
      <c r="D47" s="57" t="s">
        <v>41</v>
      </c>
      <c r="E47" s="33" t="n">
        <f aca="false">IF(D47="totale",(C47/(A47*24))/F47,IF(D47="marché libre",(C47/(A47*24))/G47,"spécifier histo"))</f>
        <v>1.03856646825397</v>
      </c>
      <c r="F47" s="59" t="n">
        <v>720</v>
      </c>
      <c r="G47" s="59" t="n">
        <f aca="false">F47-H47</f>
        <v>720</v>
      </c>
      <c r="H47" s="58" t="n">
        <v>0</v>
      </c>
      <c r="J47" s="55"/>
      <c r="L47" s="0"/>
      <c r="P47" s="0"/>
    </row>
    <row r="48" customFormat="false" ht="19.85" hidden="false" customHeight="true" outlineLevel="0" collapsed="false">
      <c r="A48" s="0" t="n">
        <v>31</v>
      </c>
      <c r="B48" s="31" t="n">
        <v>39873</v>
      </c>
      <c r="C48" s="1" t="n">
        <v>429900</v>
      </c>
      <c r="D48" s="57" t="s">
        <v>41</v>
      </c>
      <c r="E48" s="33" t="n">
        <f aca="false">IF(D48="totale",(C48/(A48*24))/F48,IF(D48="marché libre",(C48/(A48*24))/G48,"spécifier histo"))</f>
        <v>0.802531362007169</v>
      </c>
      <c r="F48" s="59" t="n">
        <v>720</v>
      </c>
      <c r="G48" s="59" t="n">
        <f aca="false">F48-H48</f>
        <v>720</v>
      </c>
      <c r="H48" s="58" t="n">
        <v>0</v>
      </c>
      <c r="J48" s="55"/>
      <c r="L48" s="0"/>
      <c r="P48" s="0"/>
    </row>
    <row r="49" customFormat="false" ht="19.85" hidden="false" customHeight="true" outlineLevel="0" collapsed="false">
      <c r="A49" s="0" t="n">
        <v>30</v>
      </c>
      <c r="B49" s="34" t="n">
        <v>39904</v>
      </c>
      <c r="C49" s="1" t="n">
        <v>342100</v>
      </c>
      <c r="D49" s="57" t="s">
        <v>41</v>
      </c>
      <c r="E49" s="33" t="n">
        <f aca="false">IF(D49="totale",(C49/(A49*24))/F49,IF(D49="marché libre",(C49/(A49*24))/G49,"spécifier histo"))</f>
        <v>0.65991512345679</v>
      </c>
      <c r="F49" s="59" t="n">
        <v>720</v>
      </c>
      <c r="G49" s="59" t="n">
        <f aca="false">F49-H49</f>
        <v>720</v>
      </c>
      <c r="H49" s="58" t="n">
        <v>0</v>
      </c>
      <c r="J49" s="55"/>
      <c r="L49" s="0"/>
      <c r="P49" s="0"/>
    </row>
    <row r="50" customFormat="false" ht="19.85" hidden="false" customHeight="true" outlineLevel="0" collapsed="false">
      <c r="A50" s="0" t="n">
        <v>31</v>
      </c>
      <c r="B50" s="31" t="n">
        <v>39934</v>
      </c>
      <c r="C50" s="1" t="n">
        <v>200700</v>
      </c>
      <c r="D50" s="57" t="s">
        <v>41</v>
      </c>
      <c r="E50" s="33" t="n">
        <f aca="false">IF(D50="totale",(C50/(A50*24))/F50,IF(D50="marché libre",(C50/(A50*24))/G50,"spécifier histo"))</f>
        <v>0.374663978494624</v>
      </c>
      <c r="F50" s="59" t="n">
        <v>720</v>
      </c>
      <c r="G50" s="59" t="n">
        <f aca="false">F50-H50</f>
        <v>720</v>
      </c>
      <c r="H50" s="58" t="n">
        <v>0</v>
      </c>
      <c r="J50" s="55"/>
      <c r="L50" s="0"/>
      <c r="P50" s="0"/>
    </row>
    <row r="51" customFormat="false" ht="19.85" hidden="false" customHeight="true" outlineLevel="0" collapsed="false">
      <c r="A51" s="0" t="n">
        <v>30</v>
      </c>
      <c r="B51" s="34" t="n">
        <v>39965</v>
      </c>
      <c r="C51" s="1" t="n">
        <v>0</v>
      </c>
      <c r="D51" s="57" t="s">
        <v>41</v>
      </c>
      <c r="E51" s="33" t="n">
        <f aca="false">IF(D51="totale",(C51/(A51*24))/F51,IF(D51="marché libre",(C51/(A51*24))/G51,"spécifier histo"))</f>
        <v>0</v>
      </c>
      <c r="F51" s="59" t="n">
        <v>720</v>
      </c>
      <c r="G51" s="59" t="n">
        <f aca="false">F51-H51</f>
        <v>720</v>
      </c>
      <c r="H51" s="58" t="n">
        <v>0</v>
      </c>
      <c r="J51" s="55"/>
      <c r="L51" s="0"/>
      <c r="P51" s="0"/>
    </row>
    <row r="52" customFormat="false" ht="19.85" hidden="false" customHeight="true" outlineLevel="0" collapsed="false">
      <c r="A52" s="0" t="n">
        <v>31</v>
      </c>
      <c r="B52" s="31" t="n">
        <v>39995</v>
      </c>
      <c r="C52" s="1" t="n">
        <v>0</v>
      </c>
      <c r="D52" s="57" t="s">
        <v>41</v>
      </c>
      <c r="E52" s="33" t="n">
        <f aca="false">IF(D52="totale",(C52/(A52*24))/F52,IF(D52="marché libre",(C52/(A52*24))/G52,"spécifier histo"))</f>
        <v>0</v>
      </c>
      <c r="F52" s="59" t="n">
        <v>720</v>
      </c>
      <c r="G52" s="59" t="n">
        <f aca="false">F52-H52</f>
        <v>720</v>
      </c>
      <c r="H52" s="58" t="n">
        <v>0</v>
      </c>
      <c r="J52" s="55"/>
      <c r="L52" s="0"/>
      <c r="P52" s="0"/>
    </row>
    <row r="53" customFormat="false" ht="19.85" hidden="false" customHeight="true" outlineLevel="0" collapsed="false">
      <c r="A53" s="0" t="n">
        <v>31</v>
      </c>
      <c r="B53" s="34" t="n">
        <v>40026</v>
      </c>
      <c r="C53" s="1" t="n">
        <v>0</v>
      </c>
      <c r="D53" s="57" t="s">
        <v>41</v>
      </c>
      <c r="E53" s="33" t="n">
        <f aca="false">IF(D53="totale",(C53/(A53*24))/F53,IF(D53="marché libre",(C53/(A53*24))/G53,"spécifier histo"))</f>
        <v>0</v>
      </c>
      <c r="F53" s="59" t="n">
        <v>720</v>
      </c>
      <c r="G53" s="59" t="n">
        <f aca="false">F53-H53</f>
        <v>720</v>
      </c>
      <c r="H53" s="58" t="n">
        <v>0</v>
      </c>
      <c r="J53" s="55"/>
      <c r="L53" s="0"/>
      <c r="P53" s="0"/>
    </row>
    <row r="54" customFormat="false" ht="19.85" hidden="false" customHeight="true" outlineLevel="0" collapsed="false">
      <c r="A54" s="0" t="n">
        <v>30</v>
      </c>
      <c r="B54" s="31" t="n">
        <v>40057</v>
      </c>
      <c r="C54" s="1" t="n">
        <v>0</v>
      </c>
      <c r="D54" s="57" t="s">
        <v>41</v>
      </c>
      <c r="E54" s="33" t="n">
        <f aca="false">IF(D54="totale",(C54/(A54*24))/F54,IF(D54="marché libre",(C54/(A54*24))/G54,"spécifier histo"))</f>
        <v>0</v>
      </c>
      <c r="F54" s="59" t="n">
        <v>720</v>
      </c>
      <c r="G54" s="59" t="n">
        <f aca="false">F54-H54</f>
        <v>720</v>
      </c>
      <c r="H54" s="58" t="n">
        <v>0</v>
      </c>
      <c r="J54" s="55"/>
      <c r="L54" s="0"/>
      <c r="P54" s="0"/>
    </row>
    <row r="55" customFormat="false" ht="19.85" hidden="false" customHeight="true" outlineLevel="0" collapsed="false">
      <c r="A55" s="0" t="n">
        <v>31</v>
      </c>
      <c r="B55" s="34" t="n">
        <v>40087</v>
      </c>
      <c r="C55" s="1" t="n">
        <v>7500</v>
      </c>
      <c r="D55" s="57" t="s">
        <v>41</v>
      </c>
      <c r="E55" s="33" t="n">
        <f aca="false">IF(D55="totale",(C55/(A55*24))/F55,IF(D55="marché libre",(C55/(A55*24))/G55,"spécifier histo"))</f>
        <v>0.0140008960573477</v>
      </c>
      <c r="F55" s="59" t="n">
        <v>720</v>
      </c>
      <c r="G55" s="59" t="n">
        <f aca="false">F55-H55</f>
        <v>720</v>
      </c>
      <c r="H55" s="58" t="n">
        <v>0</v>
      </c>
      <c r="J55" s="55"/>
      <c r="L55" s="0"/>
      <c r="P55" s="0"/>
    </row>
    <row r="56" customFormat="false" ht="19.85" hidden="false" customHeight="true" outlineLevel="0" collapsed="false">
      <c r="A56" s="0" t="n">
        <v>30</v>
      </c>
      <c r="B56" s="31" t="n">
        <v>40118</v>
      </c>
      <c r="C56" s="1" t="n">
        <v>117600</v>
      </c>
      <c r="D56" s="57" t="s">
        <v>41</v>
      </c>
      <c r="E56" s="33" t="n">
        <f aca="false">IF(D56="totale",(C56/(A56*24))/F56,IF(D56="marché libre",(C56/(A56*24))/G56,"spécifier histo"))</f>
        <v>0.226851851851852</v>
      </c>
      <c r="F56" s="59" t="n">
        <v>720</v>
      </c>
      <c r="G56" s="59" t="n">
        <f aca="false">F56-H56</f>
        <v>720</v>
      </c>
      <c r="H56" s="58" t="n">
        <v>0</v>
      </c>
      <c r="J56" s="55"/>
      <c r="L56" s="0"/>
      <c r="P56" s="0"/>
    </row>
    <row r="57" customFormat="false" ht="19.85" hidden="false" customHeight="true" outlineLevel="0" collapsed="false">
      <c r="A57" s="0" t="n">
        <v>31</v>
      </c>
      <c r="B57" s="34" t="n">
        <v>40148</v>
      </c>
      <c r="C57" s="1" t="n">
        <v>162600</v>
      </c>
      <c r="D57" s="57" t="s">
        <v>41</v>
      </c>
      <c r="E57" s="33" t="n">
        <f aca="false">IF(D57="totale",(C57/(A57*24))/F57,IF(D57="marché libre",(C57/(A57*24))/G57,"spécifier histo"))</f>
        <v>0.303539426523297</v>
      </c>
      <c r="F57" s="59" t="n">
        <v>720</v>
      </c>
      <c r="G57" s="59" t="n">
        <f aca="false">F57-H57</f>
        <v>720</v>
      </c>
      <c r="H57" s="58" t="n">
        <v>0</v>
      </c>
      <c r="J57" s="55"/>
      <c r="L57" s="0"/>
      <c r="P57" s="0"/>
    </row>
    <row r="58" customFormat="false" ht="19.85" hidden="false" customHeight="true" outlineLevel="0" collapsed="false">
      <c r="A58" s="0" t="n">
        <v>31</v>
      </c>
      <c r="B58" s="31" t="n">
        <v>40179</v>
      </c>
      <c r="C58" s="1" t="n">
        <v>114400</v>
      </c>
      <c r="D58" s="57" t="s">
        <v>41</v>
      </c>
      <c r="E58" s="33" t="n">
        <f aca="false">IF(D58="totale",(C58/(A58*24))/F58,IF(D58="marché libre",(C58/(A58*24))/G58,"spécifier histo"))</f>
        <v>0.213560334528076</v>
      </c>
      <c r="F58" s="59" t="n">
        <v>720</v>
      </c>
      <c r="G58" s="59" t="n">
        <f aca="false">F58-H58</f>
        <v>720</v>
      </c>
      <c r="H58" s="58" t="n">
        <v>0</v>
      </c>
      <c r="J58" s="55"/>
      <c r="L58" s="0"/>
      <c r="P58" s="0"/>
    </row>
    <row r="59" customFormat="false" ht="19.85" hidden="false" customHeight="true" outlineLevel="0" collapsed="false">
      <c r="A59" s="0" t="n">
        <v>28</v>
      </c>
      <c r="B59" s="34" t="n">
        <v>40210</v>
      </c>
      <c r="C59" s="1" t="n">
        <v>0</v>
      </c>
      <c r="D59" s="57" t="s">
        <v>41</v>
      </c>
      <c r="E59" s="33" t="n">
        <f aca="false">IF(D59="totale",(C59/(A59*24))/F59,IF(D59="marché libre",(C59/(A59*24))/G59,"spécifier histo"))</f>
        <v>0</v>
      </c>
      <c r="F59" s="59" t="n">
        <v>720</v>
      </c>
      <c r="G59" s="59" t="n">
        <f aca="false">F59-H59</f>
        <v>720</v>
      </c>
      <c r="H59" s="58" t="n">
        <v>0</v>
      </c>
      <c r="J59" s="55"/>
      <c r="L59" s="0"/>
      <c r="P59" s="0"/>
    </row>
    <row r="60" customFormat="false" ht="19.85" hidden="false" customHeight="true" outlineLevel="0" collapsed="false">
      <c r="A60" s="0" t="n">
        <v>31</v>
      </c>
      <c r="B60" s="31" t="n">
        <v>40238</v>
      </c>
      <c r="C60" s="1" t="n">
        <v>0</v>
      </c>
      <c r="D60" s="57" t="s">
        <v>41</v>
      </c>
      <c r="E60" s="33" t="n">
        <f aca="false">IF(D60="totale",(C60/(A60*24))/F60,IF(D60="marché libre",(C60/(A60*24))/G60,"spécifier histo"))</f>
        <v>0</v>
      </c>
      <c r="F60" s="59" t="n">
        <v>720</v>
      </c>
      <c r="G60" s="59" t="n">
        <f aca="false">F60-H60</f>
        <v>720</v>
      </c>
      <c r="H60" s="58" t="n">
        <v>0</v>
      </c>
      <c r="J60" s="55"/>
      <c r="L60" s="0"/>
      <c r="P60" s="0"/>
    </row>
    <row r="61" customFormat="false" ht="19.85" hidden="false" customHeight="true" outlineLevel="0" collapsed="false">
      <c r="A61" s="0" t="n">
        <v>30</v>
      </c>
      <c r="B61" s="34" t="n">
        <v>40269</v>
      </c>
      <c r="C61" s="1" t="n">
        <v>62900</v>
      </c>
      <c r="D61" s="57" t="s">
        <v>41</v>
      </c>
      <c r="E61" s="33" t="n">
        <f aca="false">IF(D61="totale",(C61/(A61*24))/F61,IF(D61="marché libre",(C61/(A61*24))/G61,"spécifier histo"))</f>
        <v>0.12133487654321</v>
      </c>
      <c r="F61" s="59" t="n">
        <v>720</v>
      </c>
      <c r="G61" s="59" t="n">
        <f aca="false">F61-H61</f>
        <v>720</v>
      </c>
      <c r="H61" s="58" t="n">
        <v>0</v>
      </c>
      <c r="J61" s="55"/>
      <c r="L61" s="0"/>
      <c r="P61" s="0"/>
    </row>
    <row r="62" customFormat="false" ht="19.85" hidden="false" customHeight="true" outlineLevel="0" collapsed="false">
      <c r="A62" s="0" t="n">
        <v>31</v>
      </c>
      <c r="B62" s="31" t="n">
        <v>40299</v>
      </c>
      <c r="C62" s="1" t="n">
        <v>3100</v>
      </c>
      <c r="D62" s="57" t="s">
        <v>41</v>
      </c>
      <c r="E62" s="33" t="n">
        <f aca="false">IF(D62="totale",(C62/(A62*24))/F62,IF(D62="marché libre",(C62/(A62*24))/G62,"spécifier histo"))</f>
        <v>0.00578703703703704</v>
      </c>
      <c r="F62" s="59" t="n">
        <v>720</v>
      </c>
      <c r="G62" s="59" t="n">
        <f aca="false">F62-H62</f>
        <v>720</v>
      </c>
      <c r="H62" s="58" t="n">
        <v>0</v>
      </c>
      <c r="J62" s="55"/>
      <c r="L62" s="0"/>
      <c r="P62" s="0"/>
    </row>
    <row r="63" customFormat="false" ht="19.85" hidden="false" customHeight="true" outlineLevel="0" collapsed="false">
      <c r="A63" s="0" t="n">
        <v>30</v>
      </c>
      <c r="B63" s="34" t="n">
        <v>40330</v>
      </c>
      <c r="C63" s="1" t="n">
        <v>0</v>
      </c>
      <c r="D63" s="57" t="s">
        <v>41</v>
      </c>
      <c r="E63" s="33" t="n">
        <f aca="false">IF(D63="totale",(C63/(A63*24))/F63,IF(D63="marché libre",(C63/(A63*24))/G63,"spécifier histo"))</f>
        <v>0</v>
      </c>
      <c r="F63" s="59" t="n">
        <v>720</v>
      </c>
      <c r="G63" s="59" t="n">
        <f aca="false">F63-H63</f>
        <v>720</v>
      </c>
      <c r="H63" s="58" t="n">
        <v>0</v>
      </c>
      <c r="J63" s="55"/>
      <c r="L63" s="0"/>
      <c r="P63" s="0"/>
    </row>
    <row r="64" customFormat="false" ht="19.85" hidden="false" customHeight="true" outlineLevel="0" collapsed="false">
      <c r="A64" s="0" t="n">
        <v>31</v>
      </c>
      <c r="B64" s="31" t="n">
        <v>40360</v>
      </c>
      <c r="C64" s="1" t="n">
        <v>0</v>
      </c>
      <c r="D64" s="57" t="s">
        <v>41</v>
      </c>
      <c r="E64" s="33" t="n">
        <f aca="false">IF(D64="totale",(C64/(A64*24))/F64,IF(D64="marché libre",(C64/(A64*24))/G64,"spécifier histo"))</f>
        <v>0</v>
      </c>
      <c r="F64" s="59" t="n">
        <v>720</v>
      </c>
      <c r="G64" s="59" t="n">
        <f aca="false">F64-H64</f>
        <v>720</v>
      </c>
      <c r="H64" s="58" t="n">
        <v>0</v>
      </c>
      <c r="J64" s="55"/>
      <c r="L64" s="0"/>
      <c r="P64" s="0"/>
    </row>
    <row r="65" customFormat="false" ht="19.85" hidden="false" customHeight="true" outlineLevel="0" collapsed="false">
      <c r="A65" s="0" t="n">
        <v>31</v>
      </c>
      <c r="B65" s="34" t="n">
        <v>40391</v>
      </c>
      <c r="C65" s="1" t="n">
        <v>0</v>
      </c>
      <c r="D65" s="57" t="s">
        <v>41</v>
      </c>
      <c r="E65" s="33" t="n">
        <f aca="false">IF(D65="totale",(C65/(A65*24))/F65,IF(D65="marché libre",(C65/(A65*24))/G65,"spécifier histo"))</f>
        <v>0</v>
      </c>
      <c r="F65" s="59" t="n">
        <v>720</v>
      </c>
      <c r="G65" s="59" t="n">
        <f aca="false">F65-H65</f>
        <v>720</v>
      </c>
      <c r="H65" s="58" t="n">
        <v>0</v>
      </c>
      <c r="J65" s="55"/>
      <c r="L65" s="0"/>
      <c r="P65" s="0"/>
    </row>
    <row r="66" customFormat="false" ht="19.85" hidden="false" customHeight="true" outlineLevel="0" collapsed="false">
      <c r="A66" s="0" t="n">
        <v>30</v>
      </c>
      <c r="B66" s="31" t="n">
        <v>40422</v>
      </c>
      <c r="C66" s="26" t="n">
        <v>0</v>
      </c>
      <c r="D66" s="57" t="s">
        <v>41</v>
      </c>
      <c r="E66" s="33" t="n">
        <f aca="false">IF(D66="totale",(C66/(A66*24))/F66,IF(D66="marché libre",(C66/(A66*24))/G66,"spécifier histo"))</f>
        <v>0</v>
      </c>
      <c r="F66" s="59" t="n">
        <v>720</v>
      </c>
      <c r="G66" s="59" t="n">
        <f aca="false">F66-H66</f>
        <v>720</v>
      </c>
      <c r="H66" s="58" t="n">
        <v>0</v>
      </c>
      <c r="J66" s="55"/>
      <c r="L66" s="0"/>
      <c r="P66" s="0"/>
    </row>
    <row r="67" customFormat="false" ht="19.85" hidden="false" customHeight="true" outlineLevel="0" collapsed="false">
      <c r="A67" s="0" t="n">
        <v>31</v>
      </c>
      <c r="B67" s="34" t="n">
        <v>40452</v>
      </c>
      <c r="C67" s="26" t="n">
        <v>0</v>
      </c>
      <c r="D67" s="57" t="s">
        <v>41</v>
      </c>
      <c r="E67" s="33" t="n">
        <f aca="false">IF(D67="totale",(C67/(A67*24))/F67,IF(D67="marché libre",(C67/(A67*24))/G67,"spécifier histo"))</f>
        <v>0</v>
      </c>
      <c r="F67" s="59" t="n">
        <v>720</v>
      </c>
      <c r="G67" s="59" t="n">
        <f aca="false">F67-H67</f>
        <v>720</v>
      </c>
      <c r="H67" s="58" t="n">
        <v>0</v>
      </c>
      <c r="J67" s="55"/>
      <c r="L67" s="0"/>
      <c r="P67" s="0"/>
    </row>
    <row r="68" customFormat="false" ht="19.85" hidden="false" customHeight="true" outlineLevel="0" collapsed="false">
      <c r="A68" s="0" t="n">
        <v>30</v>
      </c>
      <c r="B68" s="31" t="n">
        <v>40483</v>
      </c>
      <c r="C68" s="26" t="n">
        <v>100600</v>
      </c>
      <c r="D68" s="57" t="s">
        <v>41</v>
      </c>
      <c r="E68" s="33" t="n">
        <f aca="false">IF(D68="totale",(C68/(A68*24))/F68,IF(D68="marché libre",(C68/(A68*24))/G68,"spécifier histo"))</f>
        <v>0.194058641975309</v>
      </c>
      <c r="F68" s="59" t="n">
        <v>720</v>
      </c>
      <c r="G68" s="59" t="n">
        <f aca="false">F68-H68</f>
        <v>720</v>
      </c>
      <c r="H68" s="58" t="n">
        <v>0</v>
      </c>
      <c r="J68" s="55"/>
      <c r="L68" s="0"/>
      <c r="P68" s="0"/>
    </row>
    <row r="69" customFormat="false" ht="19.85" hidden="false" customHeight="true" outlineLevel="0" collapsed="false">
      <c r="A69" s="0" t="n">
        <v>31</v>
      </c>
      <c r="B69" s="34" t="n">
        <v>40513</v>
      </c>
      <c r="C69" s="26" t="n">
        <v>210300</v>
      </c>
      <c r="D69" s="57" t="s">
        <v>41</v>
      </c>
      <c r="E69" s="33" t="n">
        <f aca="false">IF(D69="totale",(C69/(A69*24))/F69,IF(D69="marché libre",(C69/(A69*24))/G69,"spécifier histo"))</f>
        <v>0.392585125448029</v>
      </c>
      <c r="F69" s="59" t="n">
        <v>720</v>
      </c>
      <c r="G69" s="59" t="n">
        <f aca="false">F69-H69</f>
        <v>720</v>
      </c>
      <c r="H69" s="58" t="n">
        <v>0</v>
      </c>
      <c r="J69" s="55"/>
      <c r="L69" s="0"/>
      <c r="P69" s="0"/>
    </row>
    <row r="70" customFormat="false" ht="19.85" hidden="false" customHeight="true" outlineLevel="0" collapsed="false">
      <c r="A70" s="0" t="n">
        <v>31</v>
      </c>
      <c r="B70" s="31" t="n">
        <v>40544</v>
      </c>
      <c r="C70" s="1" t="n">
        <v>102700</v>
      </c>
      <c r="D70" s="57" t="s">
        <v>41</v>
      </c>
      <c r="E70" s="33" t="n">
        <f aca="false">IF(D70="totale",(C70/(A70*24))/F70,IF(D70="marché libre",(C70/(A70*24))/G70,"spécifier histo"))</f>
        <v>0.191718936678614</v>
      </c>
      <c r="F70" s="59" t="n">
        <v>720</v>
      </c>
      <c r="G70" s="59" t="n">
        <f aca="false">F70-H70</f>
        <v>720</v>
      </c>
      <c r="H70" s="58" t="n">
        <v>0</v>
      </c>
      <c r="J70" s="55"/>
      <c r="L70" s="0"/>
      <c r="P70" s="0"/>
    </row>
    <row r="71" customFormat="false" ht="19.85" hidden="false" customHeight="true" outlineLevel="0" collapsed="false">
      <c r="A71" s="0" t="n">
        <v>28</v>
      </c>
      <c r="B71" s="34" t="n">
        <v>40575</v>
      </c>
      <c r="C71" s="1" t="n">
        <v>131701</v>
      </c>
      <c r="D71" s="57" t="s">
        <v>41</v>
      </c>
      <c r="E71" s="33" t="n">
        <f aca="false">IF(D71="totale",(C71/(A71*24))/F71,IF(D71="marché libre",(C71/(A71*24))/G71,"spécifier histo"))</f>
        <v>0.272199487433862</v>
      </c>
      <c r="F71" s="59" t="n">
        <v>720</v>
      </c>
      <c r="G71" s="59" t="n">
        <f aca="false">F71-H71</f>
        <v>720</v>
      </c>
      <c r="H71" s="58" t="n">
        <v>0</v>
      </c>
      <c r="J71" s="55"/>
      <c r="L71" s="0"/>
      <c r="P71" s="0"/>
    </row>
    <row r="72" customFormat="false" ht="19.85" hidden="false" customHeight="true" outlineLevel="0" collapsed="false">
      <c r="A72" s="0" t="n">
        <v>31</v>
      </c>
      <c r="B72" s="31" t="n">
        <v>40603</v>
      </c>
      <c r="C72" s="1" t="n">
        <v>67700</v>
      </c>
      <c r="D72" s="57" t="s">
        <v>41</v>
      </c>
      <c r="E72" s="33" t="n">
        <f aca="false">IF(D72="totale",(C72/(A72*24))/F72,IF(D72="marché libre",(C72/(A72*24))/G72,"spécifier histo"))</f>
        <v>0.126381421744325</v>
      </c>
      <c r="F72" s="59" t="n">
        <v>720</v>
      </c>
      <c r="G72" s="59" t="n">
        <f aca="false">F72-H72</f>
        <v>720</v>
      </c>
      <c r="H72" s="58" t="n">
        <v>0</v>
      </c>
      <c r="J72" s="55"/>
      <c r="L72" s="0"/>
      <c r="P72" s="0"/>
    </row>
    <row r="73" customFormat="false" ht="19.85" hidden="false" customHeight="true" outlineLevel="0" collapsed="false">
      <c r="A73" s="0" t="n">
        <v>30</v>
      </c>
      <c r="B73" s="34" t="n">
        <v>40634</v>
      </c>
      <c r="C73" s="1" t="n">
        <v>150300</v>
      </c>
      <c r="D73" s="57" t="s">
        <v>41</v>
      </c>
      <c r="E73" s="33" t="n">
        <f aca="false">IF(D73="totale",(C73/(A73*24))/F73,IF(D73="marché libre",(C73/(A73*24))/G73,"spécifier histo"))</f>
        <v>0.289930555555556</v>
      </c>
      <c r="F73" s="59" t="n">
        <v>720</v>
      </c>
      <c r="G73" s="59" t="n">
        <f aca="false">F73-H73</f>
        <v>720</v>
      </c>
      <c r="H73" s="58" t="n">
        <v>0</v>
      </c>
      <c r="J73" s="55"/>
      <c r="L73" s="0"/>
      <c r="P73" s="0"/>
    </row>
    <row r="74" customFormat="false" ht="19.85" hidden="false" customHeight="true" outlineLevel="0" collapsed="false">
      <c r="A74" s="0" t="n">
        <v>31</v>
      </c>
      <c r="B74" s="31" t="n">
        <v>40664</v>
      </c>
      <c r="C74" s="1" t="n">
        <v>0</v>
      </c>
      <c r="D74" s="57" t="s">
        <v>41</v>
      </c>
      <c r="E74" s="33" t="n">
        <f aca="false">IF(D74="totale",(C74/(A74*24))/F74,IF(D74="marché libre",(C74/(A74*24))/G74,"spécifier histo"))</f>
        <v>0</v>
      </c>
      <c r="F74" s="59" t="n">
        <v>720</v>
      </c>
      <c r="G74" s="59" t="n">
        <f aca="false">F74-H74</f>
        <v>720</v>
      </c>
      <c r="H74" s="58" t="n">
        <v>0</v>
      </c>
      <c r="J74" s="55"/>
      <c r="L74" s="0"/>
      <c r="P74" s="0"/>
    </row>
    <row r="75" customFormat="false" ht="19.85" hidden="false" customHeight="true" outlineLevel="0" collapsed="false">
      <c r="A75" s="0" t="n">
        <v>30</v>
      </c>
      <c r="B75" s="34" t="n">
        <v>40695</v>
      </c>
      <c r="C75" s="1" t="n">
        <v>0</v>
      </c>
      <c r="D75" s="57" t="s">
        <v>41</v>
      </c>
      <c r="E75" s="33" t="n">
        <f aca="false">IF(D75="totale",(C75/(A75*24))/F75,IF(D75="marché libre",(C75/(A75*24))/G75,"spécifier histo"))</f>
        <v>0</v>
      </c>
      <c r="F75" s="59" t="n">
        <v>720</v>
      </c>
      <c r="G75" s="59" t="n">
        <f aca="false">F75-H75</f>
        <v>720</v>
      </c>
      <c r="H75" s="58" t="n">
        <v>0</v>
      </c>
      <c r="J75" s="55"/>
      <c r="L75" s="0"/>
      <c r="P75" s="0"/>
    </row>
    <row r="76" customFormat="false" ht="19.85" hidden="false" customHeight="true" outlineLevel="0" collapsed="false">
      <c r="A76" s="0" t="n">
        <v>31</v>
      </c>
      <c r="B76" s="31" t="n">
        <v>40725</v>
      </c>
      <c r="C76" s="1" t="n">
        <v>0</v>
      </c>
      <c r="D76" s="57" t="s">
        <v>41</v>
      </c>
      <c r="E76" s="33" t="n">
        <f aca="false">IF(D76="totale",(C76/(A76*24))/F76,IF(D76="marché libre",(C76/(A76*24))/G76,"spécifier histo"))</f>
        <v>0</v>
      </c>
      <c r="F76" s="59" t="n">
        <v>720</v>
      </c>
      <c r="G76" s="59" t="n">
        <f aca="false">F76-H76</f>
        <v>720</v>
      </c>
      <c r="H76" s="58" t="n">
        <v>0</v>
      </c>
      <c r="J76" s="55"/>
      <c r="L76" s="0"/>
      <c r="P76" s="0"/>
    </row>
    <row r="77" customFormat="false" ht="19.85" hidden="false" customHeight="true" outlineLevel="0" collapsed="false">
      <c r="A77" s="0" t="n">
        <v>31</v>
      </c>
      <c r="B77" s="34" t="n">
        <v>40756</v>
      </c>
      <c r="C77" s="1" t="n">
        <v>0</v>
      </c>
      <c r="D77" s="57" t="s">
        <v>41</v>
      </c>
      <c r="E77" s="33" t="n">
        <f aca="false">IF(D77="totale",(C77/(A77*24))/F77,IF(D77="marché libre",(C77/(A77*24))/G77,"spécifier histo"))</f>
        <v>0</v>
      </c>
      <c r="F77" s="59" t="n">
        <v>720</v>
      </c>
      <c r="G77" s="59" t="n">
        <f aca="false">F77-H77</f>
        <v>720</v>
      </c>
      <c r="H77" s="58" t="n">
        <v>0</v>
      </c>
      <c r="J77" s="55"/>
      <c r="L77" s="0"/>
      <c r="P77" s="0"/>
    </row>
    <row r="78" customFormat="false" ht="19.85" hidden="false" customHeight="true" outlineLevel="0" collapsed="false">
      <c r="A78" s="0" t="n">
        <v>30</v>
      </c>
      <c r="B78" s="31" t="n">
        <v>40787</v>
      </c>
      <c r="C78" s="1" t="n">
        <v>0</v>
      </c>
      <c r="D78" s="57" t="s">
        <v>41</v>
      </c>
      <c r="E78" s="33" t="n">
        <f aca="false">IF(D78="totale",(C78/(A78*24))/F78,IF(D78="marché libre",(C78/(A78*24))/G78,"spécifier histo"))</f>
        <v>0</v>
      </c>
      <c r="F78" s="59" t="n">
        <v>720</v>
      </c>
      <c r="G78" s="59" t="n">
        <f aca="false">F78-H78</f>
        <v>720</v>
      </c>
      <c r="H78" s="58" t="n">
        <v>0</v>
      </c>
      <c r="J78" s="55"/>
      <c r="L78" s="0"/>
      <c r="P78" s="0"/>
    </row>
    <row r="79" customFormat="false" ht="19.85" hidden="false" customHeight="true" outlineLevel="0" collapsed="false">
      <c r="A79" s="0" t="n">
        <v>31</v>
      </c>
      <c r="B79" s="34" t="n">
        <v>40817</v>
      </c>
      <c r="C79" s="1" t="n">
        <v>0</v>
      </c>
      <c r="D79" s="57" t="s">
        <v>41</v>
      </c>
      <c r="E79" s="33" t="n">
        <f aca="false">IF(D79="totale",(C79/(A79*24))/F79,IF(D79="marché libre",(C79/(A79*24))/G79,"spécifier histo"))</f>
        <v>0</v>
      </c>
      <c r="F79" s="59" t="n">
        <v>720</v>
      </c>
      <c r="G79" s="59" t="n">
        <f aca="false">F79-H79</f>
        <v>720</v>
      </c>
      <c r="H79" s="58" t="n">
        <v>0</v>
      </c>
      <c r="J79" s="55"/>
      <c r="L79" s="0"/>
      <c r="P79" s="0"/>
    </row>
    <row r="80" customFormat="false" ht="19.85" hidden="false" customHeight="true" outlineLevel="0" collapsed="false">
      <c r="A80" s="0" t="n">
        <v>30</v>
      </c>
      <c r="B80" s="31" t="n">
        <v>40848</v>
      </c>
      <c r="C80" s="1" t="n">
        <v>0</v>
      </c>
      <c r="D80" s="57" t="s">
        <v>41</v>
      </c>
      <c r="E80" s="33" t="n">
        <f aca="false">IF(D80="totale",(C80/(A80*24))/F80,IF(D80="marché libre",(C80/(A80*24))/G80,"spécifier histo"))</f>
        <v>0</v>
      </c>
      <c r="F80" s="59" t="n">
        <v>720</v>
      </c>
      <c r="G80" s="59" t="n">
        <f aca="false">F80-H80</f>
        <v>720</v>
      </c>
      <c r="H80" s="58" t="n">
        <v>0</v>
      </c>
      <c r="J80" s="55"/>
      <c r="L80" s="0"/>
    </row>
    <row r="81" customFormat="false" ht="19.85" hidden="false" customHeight="true" outlineLevel="0" collapsed="false">
      <c r="A81" s="0" t="n">
        <v>31</v>
      </c>
      <c r="B81" s="34" t="n">
        <v>40878</v>
      </c>
      <c r="C81" s="1" t="n">
        <v>0</v>
      </c>
      <c r="D81" s="57" t="s">
        <v>41</v>
      </c>
      <c r="E81" s="33" t="n">
        <f aca="false">IF(D81="totale",(C81/(A81*24))/F81,IF(D81="marché libre",(C81/(A81*24))/G81,"spécifier histo"))</f>
        <v>0</v>
      </c>
      <c r="F81" s="59" t="n">
        <v>720</v>
      </c>
      <c r="G81" s="59" t="n">
        <f aca="false">F81-H81</f>
        <v>720</v>
      </c>
      <c r="H81" s="58" t="n">
        <v>0</v>
      </c>
      <c r="J81" s="55"/>
      <c r="L81" s="0"/>
    </row>
    <row r="82" customFormat="false" ht="19.85" hidden="false" customHeight="true" outlineLevel="0" collapsed="false">
      <c r="A82" s="0" t="n">
        <v>31</v>
      </c>
      <c r="B82" s="31" t="n">
        <v>40909</v>
      </c>
      <c r="C82" s="1" t="n">
        <v>177600</v>
      </c>
      <c r="D82" s="57" t="s">
        <v>41</v>
      </c>
      <c r="E82" s="33" t="n">
        <f aca="false">IF(D82="totale",(C82/(A82*24))/F82,IF(D82="marché libre",(C82/(A82*24))/G82,"spécifier histo"))</f>
        <v>0.331541218637993</v>
      </c>
      <c r="F82" s="59" t="n">
        <v>720</v>
      </c>
      <c r="G82" s="59" t="n">
        <f aca="false">F82-H82</f>
        <v>720</v>
      </c>
      <c r="H82" s="58" t="n">
        <v>0</v>
      </c>
      <c r="J82" s="55"/>
      <c r="L82" s="0"/>
    </row>
    <row r="83" customFormat="false" ht="19.85" hidden="false" customHeight="true" outlineLevel="0" collapsed="false">
      <c r="A83" s="0" t="n">
        <v>28</v>
      </c>
      <c r="B83" s="34" t="n">
        <v>40940</v>
      </c>
      <c r="C83" s="1" t="n">
        <v>361500</v>
      </c>
      <c r="D83" s="57" t="s">
        <v>41</v>
      </c>
      <c r="E83" s="33" t="n">
        <f aca="false">IF(D83="totale",(C83/(A83*24))/F83,IF(D83="marché libre",(C83/(A83*24))/G83,"spécifier histo"))</f>
        <v>0.747147817460317</v>
      </c>
      <c r="F83" s="59" t="n">
        <v>720</v>
      </c>
      <c r="G83" s="59" t="n">
        <f aca="false">F83-H83</f>
        <v>720</v>
      </c>
      <c r="H83" s="58" t="n">
        <v>0</v>
      </c>
      <c r="J83" s="55"/>
      <c r="L83" s="0"/>
    </row>
    <row r="84" customFormat="false" ht="19.85" hidden="false" customHeight="true" outlineLevel="0" collapsed="false">
      <c r="A84" s="0" t="n">
        <v>31</v>
      </c>
      <c r="B84" s="31" t="n">
        <v>40969</v>
      </c>
      <c r="C84" s="1" t="n">
        <v>299800</v>
      </c>
      <c r="D84" s="57" t="s">
        <v>41</v>
      </c>
      <c r="E84" s="33" t="n">
        <f aca="false">IF(D84="totale",(C84/(A84*24))/F84,IF(D84="marché libre",(C84/(A84*24))/G84,"spécifier histo"))</f>
        <v>0.559662485065711</v>
      </c>
      <c r="F84" s="59" t="n">
        <v>720</v>
      </c>
      <c r="G84" s="59" t="n">
        <f aca="false">F84-H84</f>
        <v>720</v>
      </c>
      <c r="H84" s="58" t="n">
        <v>0</v>
      </c>
      <c r="J84" s="55"/>
      <c r="L84" s="0"/>
    </row>
    <row r="85" customFormat="false" ht="19.85" hidden="false" customHeight="true" outlineLevel="0" collapsed="false">
      <c r="A85" s="0" t="n">
        <v>30</v>
      </c>
      <c r="B85" s="34" t="n">
        <v>41000</v>
      </c>
      <c r="C85" s="1" t="n">
        <v>353100</v>
      </c>
      <c r="D85" s="57" t="s">
        <v>41</v>
      </c>
      <c r="E85" s="33" t="n">
        <f aca="false">IF(D85="totale",(C85/(A85*24))/F85,IF(D85="marché libre",(C85/(A85*24))/G85,"spécifier histo"))</f>
        <v>0.681134259259259</v>
      </c>
      <c r="F85" s="59" t="n">
        <v>720</v>
      </c>
      <c r="G85" s="59" t="n">
        <f aca="false">F85-H85</f>
        <v>720</v>
      </c>
      <c r="H85" s="58" t="n">
        <v>0</v>
      </c>
      <c r="J85" s="55"/>
      <c r="L85" s="0"/>
    </row>
    <row r="86" customFormat="false" ht="19.85" hidden="false" customHeight="true" outlineLevel="0" collapsed="false">
      <c r="A86" s="0" t="n">
        <v>31</v>
      </c>
      <c r="B86" s="31" t="n">
        <v>41030</v>
      </c>
      <c r="C86" s="1" t="n">
        <v>392400</v>
      </c>
      <c r="D86" s="57" t="s">
        <v>41</v>
      </c>
      <c r="E86" s="33" t="n">
        <f aca="false">IF(D86="totale",(C86/(A86*24))/F86,IF(D86="marché libre",(C86/(A86*24))/G86,"spécifier histo"))</f>
        <v>0.73252688172043</v>
      </c>
      <c r="F86" s="59" t="n">
        <v>720</v>
      </c>
      <c r="G86" s="59" t="n">
        <f aca="false">F86-H86</f>
        <v>720</v>
      </c>
      <c r="H86" s="58" t="n">
        <v>0</v>
      </c>
      <c r="J86" s="55"/>
      <c r="L86" s="0"/>
    </row>
    <row r="87" customFormat="false" ht="19.85" hidden="false" customHeight="true" outlineLevel="0" collapsed="false">
      <c r="A87" s="0" t="n">
        <v>30</v>
      </c>
      <c r="B87" s="34" t="n">
        <v>41061</v>
      </c>
      <c r="C87" s="1" t="n">
        <v>43800</v>
      </c>
      <c r="D87" s="57" t="s">
        <v>41</v>
      </c>
      <c r="E87" s="33" t="n">
        <f aca="false">IF(D87="totale",(C87/(A87*24))/F87,IF(D87="marché libre",(C87/(A87*24))/G87,"spécifier histo"))</f>
        <v>0.0844907407407407</v>
      </c>
      <c r="F87" s="59" t="n">
        <v>720</v>
      </c>
      <c r="G87" s="59" t="n">
        <f aca="false">F87-H87</f>
        <v>720</v>
      </c>
      <c r="H87" s="58" t="n">
        <v>0</v>
      </c>
      <c r="J87" s="55"/>
      <c r="L87" s="0"/>
    </row>
    <row r="88" customFormat="false" ht="19.85" hidden="false" customHeight="true" outlineLevel="0" collapsed="false">
      <c r="A88" s="0" t="n">
        <v>31</v>
      </c>
      <c r="B88" s="31" t="n">
        <v>41091</v>
      </c>
      <c r="C88" s="1" t="n">
        <v>182300</v>
      </c>
      <c r="D88" s="57" t="s">
        <v>41</v>
      </c>
      <c r="E88" s="33" t="n">
        <f aca="false">IF(D88="totale",(C88/(A88*24))/F88,IF(D88="marché libre",(C88/(A88*24))/G88,"spécifier histo"))</f>
        <v>0.340315113500597</v>
      </c>
      <c r="F88" s="59" t="n">
        <v>720</v>
      </c>
      <c r="G88" s="59" t="n">
        <f aca="false">F88-H88</f>
        <v>720</v>
      </c>
      <c r="H88" s="58" t="n">
        <v>0</v>
      </c>
      <c r="J88" s="55"/>
      <c r="L88" s="0"/>
    </row>
    <row r="89" customFormat="false" ht="19.85" hidden="false" customHeight="true" outlineLevel="0" collapsed="false">
      <c r="A89" s="0" t="n">
        <v>31</v>
      </c>
      <c r="B89" s="34" t="n">
        <v>41122</v>
      </c>
      <c r="C89" s="1" t="n">
        <v>0</v>
      </c>
      <c r="D89" s="57" t="s">
        <v>41</v>
      </c>
      <c r="E89" s="33" t="n">
        <f aca="false">IF(D89="totale",(C89/(A89*24))/F89,IF(D89="marché libre",(C89/(A89*24))/G89,"spécifier histo"))</f>
        <v>0</v>
      </c>
      <c r="F89" s="59" t="n">
        <v>720</v>
      </c>
      <c r="G89" s="59" t="n">
        <f aca="false">F89-H89</f>
        <v>720</v>
      </c>
      <c r="H89" s="58" t="n">
        <v>0</v>
      </c>
      <c r="J89" s="55"/>
      <c r="L89" s="0"/>
    </row>
    <row r="90" customFormat="false" ht="19.85" hidden="false" customHeight="true" outlineLevel="0" collapsed="false">
      <c r="A90" s="0" t="n">
        <v>30</v>
      </c>
      <c r="B90" s="31" t="n">
        <v>41153</v>
      </c>
      <c r="C90" s="1" t="n">
        <v>0</v>
      </c>
      <c r="D90" s="57" t="s">
        <v>41</v>
      </c>
      <c r="E90" s="33" t="n">
        <f aca="false">IF(D90="totale",(C90/(A90*24))/F90,IF(D90="marché libre",(C90/(A90*24))/G90,"spécifier histo"))</f>
        <v>0</v>
      </c>
      <c r="F90" s="59" t="n">
        <v>720</v>
      </c>
      <c r="G90" s="59" t="n">
        <f aca="false">F90-H90</f>
        <v>720</v>
      </c>
      <c r="H90" s="58" t="n">
        <v>0</v>
      </c>
      <c r="J90" s="55"/>
      <c r="L90" s="0"/>
    </row>
    <row r="91" customFormat="false" ht="19.85" hidden="false" customHeight="true" outlineLevel="0" collapsed="false">
      <c r="A91" s="0" t="n">
        <v>31</v>
      </c>
      <c r="B91" s="34" t="n">
        <v>41183</v>
      </c>
      <c r="C91" s="168" t="n">
        <v>0</v>
      </c>
      <c r="D91" s="171" t="s">
        <v>42</v>
      </c>
      <c r="E91" s="33" t="n">
        <f aca="false">IF(D91="totale",(C91/(A91*24))/F91,IF(D91="marché libre",(C91/(A91*24))/G91,"spécifier histo"))</f>
        <v>0</v>
      </c>
      <c r="F91" s="171" t="n">
        <v>720</v>
      </c>
      <c r="G91" s="171" t="n">
        <f aca="false">F91-H91</f>
        <v>720</v>
      </c>
      <c r="H91" s="374" t="n">
        <v>0</v>
      </c>
      <c r="J91" s="55"/>
      <c r="L91" s="0"/>
    </row>
    <row r="92" customFormat="false" ht="19.85" hidden="false" customHeight="true" outlineLevel="0" collapsed="false">
      <c r="A92" s="0" t="n">
        <v>30</v>
      </c>
      <c r="B92" s="31" t="n">
        <v>41214</v>
      </c>
      <c r="C92" s="135" t="n">
        <v>110100</v>
      </c>
      <c r="D92" s="57" t="s">
        <v>42</v>
      </c>
      <c r="E92" s="33" t="n">
        <f aca="false">IF(D92="totale",(C92/(A92*24))/F92,IF(D92="marché libre",(C92/(A92*24))/G92,"spécifier histo"))</f>
        <v>0.212384259259259</v>
      </c>
      <c r="F92" s="57" t="n">
        <v>720</v>
      </c>
      <c r="G92" s="57" t="n">
        <f aca="false">F92-H92</f>
        <v>720</v>
      </c>
      <c r="H92" s="58" t="n">
        <v>0</v>
      </c>
      <c r="J92" s="55"/>
      <c r="L92" s="0"/>
    </row>
    <row r="93" customFormat="false" ht="19.85" hidden="false" customHeight="true" outlineLevel="0" collapsed="false">
      <c r="A93" s="0" t="n">
        <v>31</v>
      </c>
      <c r="B93" s="34" t="n">
        <v>41244</v>
      </c>
      <c r="C93" s="1" t="n">
        <v>269400</v>
      </c>
      <c r="D93" s="57" t="s">
        <v>42</v>
      </c>
      <c r="E93" s="33" t="n">
        <f aca="false">IF(D93="totale",(C93/(A93*24))/F93,IF(D93="marché libre",(C93/(A93*24))/G93,"spécifier histo"))</f>
        <v>0.502912186379928</v>
      </c>
      <c r="F93" s="59" t="n">
        <v>720</v>
      </c>
      <c r="G93" s="59" t="n">
        <f aca="false">F93-H93</f>
        <v>720</v>
      </c>
      <c r="H93" s="58" t="n">
        <v>0</v>
      </c>
      <c r="J93" s="55"/>
      <c r="L93" s="0"/>
    </row>
    <row r="94" customFormat="false" ht="19.85" hidden="false" customHeight="true" outlineLevel="0" collapsed="false">
      <c r="A94" s="0" t="n">
        <v>31</v>
      </c>
      <c r="B94" s="31" t="n">
        <v>41275</v>
      </c>
      <c r="C94" s="1" t="n">
        <v>177600</v>
      </c>
      <c r="D94" s="57" t="s">
        <v>42</v>
      </c>
      <c r="E94" s="33" t="n">
        <f aca="false">IF(D94="totale",(C94/(A94*24))/F94,IF(D94="marché libre",(C94/(A94*24))/G94,"spécifier histo"))</f>
        <v>0.331541218637993</v>
      </c>
      <c r="F94" s="59" t="n">
        <v>720</v>
      </c>
      <c r="G94" s="59" t="n">
        <f aca="false">F94-H94</f>
        <v>720</v>
      </c>
      <c r="H94" s="58" t="n">
        <v>0</v>
      </c>
      <c r="J94" s="55"/>
      <c r="L94" s="0"/>
    </row>
    <row r="95" customFormat="false" ht="19.85" hidden="false" customHeight="true" outlineLevel="0" collapsed="false">
      <c r="A95" s="0" t="n">
        <v>28</v>
      </c>
      <c r="B95" s="34" t="n">
        <v>41306</v>
      </c>
      <c r="C95" s="1" t="n">
        <v>361500</v>
      </c>
      <c r="D95" s="57" t="s">
        <v>42</v>
      </c>
      <c r="E95" s="33" t="n">
        <f aca="false">IF(D95="totale",(C95/(A95*24))/F95,IF(D95="marché libre",(C95/(A95*24))/G95,"spécifier histo"))</f>
        <v>0.747147817460317</v>
      </c>
      <c r="F95" s="59" t="n">
        <v>720</v>
      </c>
      <c r="G95" s="59" t="n">
        <f aca="false">F95-H95</f>
        <v>720</v>
      </c>
      <c r="H95" s="58" t="n">
        <v>0</v>
      </c>
      <c r="J95" s="55"/>
      <c r="L95" s="0"/>
    </row>
    <row r="96" customFormat="false" ht="19.85" hidden="false" customHeight="true" outlineLevel="0" collapsed="false">
      <c r="A96" s="0" t="n">
        <v>31</v>
      </c>
      <c r="B96" s="31" t="n">
        <v>41334</v>
      </c>
      <c r="C96" s="1" t="n">
        <v>299800</v>
      </c>
      <c r="D96" s="57" t="s">
        <v>42</v>
      </c>
      <c r="E96" s="33" t="n">
        <f aca="false">IF(D96="totale",(C96/(A96*24))/F96,IF(D96="marché libre",(C96/(A96*24))/G96,"spécifier histo"))</f>
        <v>0.559662485065711</v>
      </c>
      <c r="F96" s="59" t="n">
        <v>720</v>
      </c>
      <c r="G96" s="59" t="n">
        <f aca="false">F96-H96</f>
        <v>720</v>
      </c>
      <c r="H96" s="58" t="n">
        <v>0</v>
      </c>
      <c r="J96" s="55"/>
      <c r="L96" s="0"/>
    </row>
    <row r="97" customFormat="false" ht="19.85" hidden="false" customHeight="true" outlineLevel="0" collapsed="false">
      <c r="A97" s="0" t="n">
        <v>30</v>
      </c>
      <c r="B97" s="34" t="n">
        <v>41365</v>
      </c>
      <c r="C97" s="1" t="n">
        <v>353100</v>
      </c>
      <c r="D97" s="57" t="s">
        <v>42</v>
      </c>
      <c r="E97" s="33" t="n">
        <f aca="false">IF(D97="totale",(C97/(A97*24))/F97,IF(D97="marché libre",(C97/(A97*24))/G97,"spécifier histo"))</f>
        <v>0.681134259259259</v>
      </c>
      <c r="F97" s="59" t="n">
        <v>720</v>
      </c>
      <c r="G97" s="59" t="n">
        <f aca="false">F97-H97</f>
        <v>720</v>
      </c>
      <c r="H97" s="58" t="n">
        <v>0</v>
      </c>
      <c r="J97" s="55"/>
      <c r="L97" s="0"/>
    </row>
    <row r="98" customFormat="false" ht="19.85" hidden="false" customHeight="true" outlineLevel="0" collapsed="false">
      <c r="A98" s="0" t="n">
        <v>31</v>
      </c>
      <c r="B98" s="31" t="n">
        <v>41395</v>
      </c>
      <c r="C98" s="1" t="n">
        <v>392400</v>
      </c>
      <c r="D98" s="57" t="s">
        <v>42</v>
      </c>
      <c r="E98" s="33" t="n">
        <f aca="false">IF(D98="totale",(C98/(A98*24))/F98,IF(D98="marché libre",(C98/(A98*24))/G98,"spécifier histo"))</f>
        <v>0.73252688172043</v>
      </c>
      <c r="F98" s="59" t="n">
        <v>720</v>
      </c>
      <c r="G98" s="59" t="n">
        <f aca="false">F98-H98</f>
        <v>720</v>
      </c>
      <c r="H98" s="58" t="n">
        <v>0</v>
      </c>
      <c r="J98" s="55"/>
      <c r="L98" s="0"/>
    </row>
    <row r="99" customFormat="false" ht="19.85" hidden="false" customHeight="true" outlineLevel="0" collapsed="false">
      <c r="A99" s="0" t="n">
        <v>30</v>
      </c>
      <c r="B99" s="34" t="n">
        <v>41426</v>
      </c>
      <c r="C99" s="1" t="n">
        <v>43800</v>
      </c>
      <c r="D99" s="57" t="s">
        <v>42</v>
      </c>
      <c r="E99" s="33" t="n">
        <f aca="false">IF(D99="totale",(C99/(A99*24))/F99,IF(D99="marché libre",(C99/(A99*24))/G99,"spécifier histo"))</f>
        <v>0.0844907407407407</v>
      </c>
      <c r="F99" s="59" t="n">
        <v>720</v>
      </c>
      <c r="G99" s="59" t="n">
        <f aca="false">F99-H99</f>
        <v>720</v>
      </c>
      <c r="H99" s="58" t="n">
        <v>0</v>
      </c>
      <c r="J99" s="55"/>
      <c r="L99" s="0"/>
    </row>
    <row r="100" customFormat="false" ht="19.85" hidden="false" customHeight="true" outlineLevel="0" collapsed="false">
      <c r="A100" s="0" t="n">
        <v>31</v>
      </c>
      <c r="B100" s="31" t="n">
        <v>41456</v>
      </c>
      <c r="C100" s="1" t="n">
        <v>182300</v>
      </c>
      <c r="D100" s="57" t="s">
        <v>42</v>
      </c>
      <c r="E100" s="33" t="n">
        <f aca="false">IF(D100="totale",(C100/(A100*24))/F100,IF(D100="marché libre",(C100/(A100*24))/G100,"spécifier histo"))</f>
        <v>0.340315113500597</v>
      </c>
      <c r="F100" s="59" t="n">
        <v>720</v>
      </c>
      <c r="G100" s="59" t="n">
        <f aca="false">F100-H100</f>
        <v>720</v>
      </c>
      <c r="H100" s="58" t="n">
        <v>0</v>
      </c>
      <c r="J100" s="55"/>
      <c r="L100" s="0"/>
    </row>
    <row r="101" customFormat="false" ht="19.85" hidden="false" customHeight="true" outlineLevel="0" collapsed="false">
      <c r="A101" s="0" t="n">
        <v>31</v>
      </c>
      <c r="B101" s="34" t="n">
        <v>41487</v>
      </c>
      <c r="C101" s="1" t="n">
        <v>127300</v>
      </c>
      <c r="D101" s="57" t="s">
        <v>42</v>
      </c>
      <c r="E101" s="33" t="n">
        <f aca="false">IF(D101="totale",(C101/(A101*24))/F101,IF(D101="marché libre",(C101/(A101*24))/G101,"spécifier histo"))</f>
        <v>0.237641875746714</v>
      </c>
      <c r="F101" s="59" t="n">
        <v>720</v>
      </c>
      <c r="G101" s="59" t="n">
        <f aca="false">F101-H101</f>
        <v>720</v>
      </c>
      <c r="H101" s="58" t="n">
        <v>0</v>
      </c>
      <c r="J101" s="55"/>
      <c r="L101" s="0"/>
    </row>
    <row r="102" customFormat="false" ht="19.85" hidden="false" customHeight="true" outlineLevel="0" collapsed="false">
      <c r="A102" s="0" t="n">
        <v>30</v>
      </c>
      <c r="B102" s="31" t="n">
        <v>41518</v>
      </c>
      <c r="C102" s="1" t="n">
        <v>157100</v>
      </c>
      <c r="D102" s="57" t="s">
        <v>42</v>
      </c>
      <c r="E102" s="33" t="n">
        <f aca="false">IF(D102="totale",(C102/(A102*24))/F102,IF(D102="marché libre",(C102/(A102*24))/G102,"spécifier histo"))</f>
        <v>0.303047839506173</v>
      </c>
      <c r="F102" s="59" t="n">
        <v>720</v>
      </c>
      <c r="G102" s="59" t="n">
        <f aca="false">F102-H102</f>
        <v>720</v>
      </c>
      <c r="H102" s="58" t="n">
        <v>0</v>
      </c>
      <c r="J102" s="55"/>
      <c r="L102" s="0"/>
    </row>
    <row r="103" customFormat="false" ht="19.85" hidden="false" customHeight="true" outlineLevel="0" collapsed="false">
      <c r="A103" s="0" t="n">
        <v>31</v>
      </c>
      <c r="B103" s="34" t="n">
        <v>41548</v>
      </c>
      <c r="C103" s="1" t="n">
        <v>0</v>
      </c>
      <c r="D103" s="57" t="s">
        <v>42</v>
      </c>
      <c r="E103" s="33" t="n">
        <f aca="false">IF(D103="totale",(C103/(A103*24))/F103,IF(D103="marché libre",(C103/(A103*24))/G103,"spécifier histo"))</f>
        <v>0</v>
      </c>
      <c r="F103" s="59" t="n">
        <v>720</v>
      </c>
      <c r="G103" s="59" t="n">
        <f aca="false">F103-H103</f>
        <v>720</v>
      </c>
      <c r="H103" s="58" t="n">
        <v>0</v>
      </c>
      <c r="J103" s="55"/>
      <c r="L103" s="0"/>
    </row>
    <row r="104" customFormat="false" ht="19.85" hidden="false" customHeight="true" outlineLevel="0" collapsed="false">
      <c r="A104" s="0" t="n">
        <v>30</v>
      </c>
      <c r="B104" s="31" t="n">
        <v>41579</v>
      </c>
      <c r="C104" s="1" t="n">
        <v>0</v>
      </c>
      <c r="D104" s="57" t="s">
        <v>42</v>
      </c>
      <c r="E104" s="33" t="n">
        <f aca="false">IF(D104="totale",(C104/(A104*24))/F104,IF(D104="marché libre",(C104/(A104*24))/G104,"spécifier histo"))</f>
        <v>0</v>
      </c>
      <c r="F104" s="59" t="n">
        <v>720</v>
      </c>
      <c r="G104" s="59" t="n">
        <f aca="false">F104-H104</f>
        <v>720</v>
      </c>
      <c r="H104" s="58" t="n">
        <v>0</v>
      </c>
      <c r="J104" s="55"/>
      <c r="L104" s="0"/>
    </row>
    <row r="105" customFormat="false" ht="19.85" hidden="false" customHeight="true" outlineLevel="0" collapsed="false">
      <c r="A105" s="0" t="n">
        <v>31</v>
      </c>
      <c r="B105" s="34" t="n">
        <v>41609</v>
      </c>
      <c r="C105" s="1" t="n">
        <v>0</v>
      </c>
      <c r="D105" s="57" t="s">
        <v>42</v>
      </c>
      <c r="E105" s="33" t="n">
        <f aca="false">IF(D105="totale",(C105/(A105*24))/F105,IF(D105="marché libre",(C105/(A105*24))/G105,"spécifier histo"))</f>
        <v>0</v>
      </c>
      <c r="F105" s="59" t="n">
        <v>720</v>
      </c>
      <c r="G105" s="59" t="n">
        <f aca="false">F105-H105</f>
        <v>720</v>
      </c>
      <c r="H105" s="58" t="n">
        <v>0</v>
      </c>
      <c r="J105" s="55"/>
      <c r="L105" s="0"/>
    </row>
    <row r="106" customFormat="false" ht="19.85" hidden="false" customHeight="true" outlineLevel="0" collapsed="false">
      <c r="A106" s="0" t="n">
        <v>31</v>
      </c>
      <c r="B106" s="31" t="n">
        <v>41640</v>
      </c>
      <c r="C106" s="56" t="n">
        <v>0</v>
      </c>
      <c r="D106" s="57" t="s">
        <v>42</v>
      </c>
      <c r="E106" s="33" t="n">
        <f aca="false">IF(D106="totale",(C106/(A106*24))/F106,IF(D106="marché libre",(C106/(A106*24))/G106,"spécifier histo"))</f>
        <v>0</v>
      </c>
      <c r="F106" s="59" t="n">
        <v>720</v>
      </c>
      <c r="G106" s="59" t="n">
        <f aca="false">F106-H106</f>
        <v>720</v>
      </c>
      <c r="H106" s="58" t="n">
        <v>0</v>
      </c>
      <c r="J106" s="55"/>
      <c r="L106" s="0"/>
    </row>
    <row r="107" customFormat="false" ht="19.85" hidden="false" customHeight="true" outlineLevel="0" collapsed="false">
      <c r="A107" s="0" t="n">
        <v>28</v>
      </c>
      <c r="B107" s="34" t="n">
        <v>41671</v>
      </c>
      <c r="C107" s="56" t="n">
        <v>291200</v>
      </c>
      <c r="D107" s="57" t="s">
        <v>42</v>
      </c>
      <c r="E107" s="33" t="n">
        <f aca="false">IF(D107="totale",(C107/(A107*24))/F107,IF(D107="marché libre",(C107/(A107*24))/G107,"spécifier histo"))</f>
        <v>0.601851851851852</v>
      </c>
      <c r="F107" s="59" t="n">
        <v>720</v>
      </c>
      <c r="G107" s="59" t="n">
        <f aca="false">F107-H107</f>
        <v>720</v>
      </c>
      <c r="H107" s="58" t="n">
        <v>0</v>
      </c>
      <c r="J107" s="55"/>
      <c r="L107" s="0"/>
    </row>
    <row r="108" customFormat="false" ht="19.85" hidden="false" customHeight="true" outlineLevel="0" collapsed="false">
      <c r="A108" s="0" t="n">
        <v>31</v>
      </c>
      <c r="B108" s="31" t="n">
        <v>41699</v>
      </c>
      <c r="C108" s="56" t="n">
        <v>351100</v>
      </c>
      <c r="D108" s="57" t="s">
        <v>42</v>
      </c>
      <c r="E108" s="33" t="n">
        <f aca="false">IF(D108="totale",(C108/(A108*24))/F108,IF(D108="marché libre",(C108/(A108*24))/G108,"spécifier histo"))</f>
        <v>0.655428614097969</v>
      </c>
      <c r="F108" s="59" t="n">
        <v>720</v>
      </c>
      <c r="G108" s="59" t="n">
        <f aca="false">F108-H108</f>
        <v>720</v>
      </c>
      <c r="H108" s="58" t="n">
        <v>0</v>
      </c>
      <c r="J108" s="55"/>
      <c r="L108" s="0"/>
    </row>
    <row r="109" customFormat="false" ht="19.85" hidden="false" customHeight="true" outlineLevel="0" collapsed="false">
      <c r="A109" s="0" t="n">
        <v>30</v>
      </c>
      <c r="B109" s="34" t="n">
        <v>41730</v>
      </c>
      <c r="C109" s="56" t="n">
        <v>262300</v>
      </c>
      <c r="D109" s="57" t="s">
        <v>42</v>
      </c>
      <c r="E109" s="33" t="n">
        <f aca="false">IF(D109="totale",(C109/(A109*24))/F109,IF(D109="marché libre",(C109/(A109*24))/G109,"spécifier histo"))</f>
        <v>0.505979938271605</v>
      </c>
      <c r="F109" s="59" t="n">
        <v>720</v>
      </c>
      <c r="G109" s="59" t="n">
        <f aca="false">F109-H109</f>
        <v>720</v>
      </c>
      <c r="H109" s="58" t="n">
        <v>0</v>
      </c>
      <c r="J109" s="55"/>
      <c r="L109" s="0"/>
    </row>
    <row r="110" customFormat="false" ht="19.85" hidden="false" customHeight="true" outlineLevel="0" collapsed="false">
      <c r="A110" s="0" t="n">
        <v>31</v>
      </c>
      <c r="B110" s="31" t="n">
        <v>41760</v>
      </c>
      <c r="C110" s="56" t="n">
        <v>212500</v>
      </c>
      <c r="D110" s="57" t="s">
        <v>42</v>
      </c>
      <c r="E110" s="33" t="n">
        <f aca="false">IF(D110="totale",(C110/(A110*24))/F110,IF(D110="marché libre",(C110/(A110*24))/G110,"spécifier histo"))</f>
        <v>0.396692054958184</v>
      </c>
      <c r="F110" s="59" t="n">
        <v>720</v>
      </c>
      <c r="G110" s="59" t="n">
        <f aca="false">F110-H110</f>
        <v>720</v>
      </c>
      <c r="H110" s="58" t="n">
        <v>0</v>
      </c>
      <c r="J110" s="55"/>
      <c r="L110" s="0"/>
    </row>
    <row r="111" customFormat="false" ht="19.85" hidden="false" customHeight="true" outlineLevel="0" collapsed="false">
      <c r="A111" s="0" t="n">
        <v>30</v>
      </c>
      <c r="B111" s="34" t="n">
        <v>41791</v>
      </c>
      <c r="C111" s="56" t="n">
        <v>40800</v>
      </c>
      <c r="D111" s="57" t="s">
        <v>42</v>
      </c>
      <c r="E111" s="33" t="n">
        <f aca="false">IF(D111="totale",(C111/(A111*24))/F111,IF(D111="marché libre",(C111/(A111*24))/G111,"spécifier histo"))</f>
        <v>0.0787037037037037</v>
      </c>
      <c r="F111" s="59" t="n">
        <v>720</v>
      </c>
      <c r="G111" s="59" t="n">
        <f aca="false">F111-H111</f>
        <v>720</v>
      </c>
      <c r="H111" s="58" t="n">
        <v>0</v>
      </c>
      <c r="J111" s="55"/>
      <c r="L111" s="0"/>
    </row>
    <row r="112" customFormat="false" ht="19.85" hidden="false" customHeight="true" outlineLevel="0" collapsed="false">
      <c r="A112" s="0" t="n">
        <v>31</v>
      </c>
      <c r="B112" s="31" t="n">
        <v>41821</v>
      </c>
      <c r="C112" s="56" t="n">
        <v>100</v>
      </c>
      <c r="D112" s="57" t="s">
        <v>42</v>
      </c>
      <c r="E112" s="33" t="n">
        <f aca="false">IF(D112="totale",(C112/(A112*24))/F112,IF(D112="marché libre",(C112/(A112*24))/G112,"spécifier histo"))</f>
        <v>0.000186678614097969</v>
      </c>
      <c r="F112" s="59" t="n">
        <v>720</v>
      </c>
      <c r="G112" s="59" t="n">
        <f aca="false">F112-H112</f>
        <v>720</v>
      </c>
      <c r="H112" s="58" t="n">
        <v>0</v>
      </c>
      <c r="J112" s="55"/>
      <c r="L112" s="0"/>
    </row>
    <row r="113" customFormat="false" ht="19.85" hidden="false" customHeight="true" outlineLevel="0" collapsed="false">
      <c r="A113" s="0" t="n">
        <v>31</v>
      </c>
      <c r="B113" s="34" t="n">
        <v>41852</v>
      </c>
      <c r="C113" s="56" t="n">
        <v>0</v>
      </c>
      <c r="D113" s="57" t="s">
        <v>42</v>
      </c>
      <c r="E113" s="33" t="n">
        <f aca="false">IF(D113="totale",(C113/(A113*24))/F113,IF(D113="marché libre",(C113/(A113*24))/G113,"spécifier histo"))</f>
        <v>0</v>
      </c>
      <c r="F113" s="59" t="n">
        <v>720</v>
      </c>
      <c r="G113" s="59" t="n">
        <f aca="false">F113-H113</f>
        <v>720</v>
      </c>
      <c r="H113" s="58" t="n">
        <v>0</v>
      </c>
      <c r="J113" s="55"/>
      <c r="L113" s="0"/>
    </row>
    <row r="114" customFormat="false" ht="19.85" hidden="false" customHeight="true" outlineLevel="0" collapsed="false">
      <c r="A114" s="0" t="n">
        <v>30</v>
      </c>
      <c r="B114" s="31" t="n">
        <v>41883</v>
      </c>
      <c r="C114" s="56" t="n">
        <v>0</v>
      </c>
      <c r="D114" s="57" t="s">
        <v>42</v>
      </c>
      <c r="E114" s="33" t="n">
        <f aca="false">IF(D114="totale",(C114/(A114*24))/F114,IF(D114="marché libre",(C114/(A114*24))/G114,"spécifier histo"))</f>
        <v>0</v>
      </c>
      <c r="F114" s="59" t="n">
        <v>720</v>
      </c>
      <c r="G114" s="59" t="n">
        <f aca="false">F114-H114</f>
        <v>720</v>
      </c>
      <c r="H114" s="58" t="n">
        <v>0</v>
      </c>
      <c r="J114" s="55"/>
      <c r="L114" s="0"/>
    </row>
    <row r="115" customFormat="false" ht="19.85" hidden="false" customHeight="true" outlineLevel="0" collapsed="false">
      <c r="A115" s="0" t="n">
        <v>31</v>
      </c>
      <c r="B115" s="34" t="n">
        <v>41913</v>
      </c>
      <c r="C115" s="56" t="n">
        <v>0</v>
      </c>
      <c r="D115" s="57" t="s">
        <v>42</v>
      </c>
      <c r="E115" s="33" t="n">
        <f aca="false">IF(D115="totale",(C115/(A115*24))/F115,IF(D115="marché libre",(C115/(A115*24))/G115,"spécifier histo"))</f>
        <v>0</v>
      </c>
      <c r="F115" s="59" t="n">
        <v>720</v>
      </c>
      <c r="G115" s="59" t="n">
        <f aca="false">F115-H115</f>
        <v>720</v>
      </c>
      <c r="H115" s="58" t="n">
        <v>0</v>
      </c>
      <c r="J115" s="55"/>
      <c r="L115" s="0"/>
    </row>
    <row r="116" customFormat="false" ht="19.85" hidden="false" customHeight="true" outlineLevel="0" collapsed="false">
      <c r="A116" s="0" t="n">
        <v>30</v>
      </c>
      <c r="B116" s="31" t="n">
        <v>41944</v>
      </c>
      <c r="C116" s="56" t="n">
        <v>0</v>
      </c>
      <c r="D116" s="57" t="s">
        <v>42</v>
      </c>
      <c r="E116" s="33" t="n">
        <f aca="false">IF(D116="totale",(C116/(A116*24))/F116,IF(D116="marché libre",(C116/(A116*24))/G116,"spécifier histo"))</f>
        <v>0</v>
      </c>
      <c r="F116" s="59" t="n">
        <v>720</v>
      </c>
      <c r="G116" s="59" t="n">
        <f aca="false">F116-H116</f>
        <v>720</v>
      </c>
      <c r="H116" s="58" t="n">
        <v>0</v>
      </c>
      <c r="J116" s="55"/>
      <c r="L116" s="0"/>
    </row>
    <row r="117" customFormat="false" ht="19.95" hidden="false" customHeight="true" outlineLevel="0" collapsed="false">
      <c r="A117" s="0" t="n">
        <v>31</v>
      </c>
      <c r="B117" s="34" t="n">
        <v>41974</v>
      </c>
      <c r="C117" s="56" t="n">
        <v>240400</v>
      </c>
      <c r="D117" s="57" t="s">
        <v>42</v>
      </c>
      <c r="E117" s="33" t="n">
        <f aca="false">IF(D117="totale",(C117/(A117*24))/F117,IF(D117="marché libre",(C117/(A117*24))/G117,"spécifier histo"))</f>
        <v>0.448775388291517</v>
      </c>
      <c r="F117" s="59" t="n">
        <v>720</v>
      </c>
      <c r="G117" s="59" t="n">
        <f aca="false">F117-H117</f>
        <v>720</v>
      </c>
      <c r="H117" s="58" t="n">
        <v>0</v>
      </c>
      <c r="J117" s="55"/>
      <c r="L117" s="0"/>
    </row>
    <row r="118" customFormat="false" ht="19.85" hidden="false" customHeight="true" outlineLevel="0" collapsed="false">
      <c r="A118" s="0" t="n">
        <v>31</v>
      </c>
      <c r="B118" s="31" t="n">
        <v>42005</v>
      </c>
      <c r="C118" s="56" t="n">
        <v>438600</v>
      </c>
      <c r="D118" s="57" t="s">
        <v>42</v>
      </c>
      <c r="E118" s="33" t="n">
        <f aca="false">IF(D118="totale",(C118/(A118*24))/F118,IF(D118="marché libre",(C118/(A118*24))/G118,"spécifier histo"))</f>
        <v>0.818772401433692</v>
      </c>
      <c r="F118" s="59" t="n">
        <v>720</v>
      </c>
      <c r="G118" s="59" t="n">
        <f aca="false">F118-H118</f>
        <v>720</v>
      </c>
      <c r="H118" s="58" t="n">
        <v>0</v>
      </c>
      <c r="J118" s="55"/>
      <c r="L118" s="0"/>
    </row>
    <row r="119" customFormat="false" ht="19.85" hidden="false" customHeight="true" outlineLevel="0" collapsed="false">
      <c r="A119" s="0" t="n">
        <v>28</v>
      </c>
      <c r="B119" s="34" t="n">
        <v>42036</v>
      </c>
      <c r="C119" s="56" t="n">
        <v>348600</v>
      </c>
      <c r="D119" s="57" t="s">
        <v>42</v>
      </c>
      <c r="E119" s="33" t="n">
        <f aca="false">IF(D119="totale",(C119/(A119*24))/F119,IF(D119="marché libre",(C119/(A119*24))/G119,"spécifier histo"))</f>
        <v>0.720486111111111</v>
      </c>
      <c r="F119" s="59" t="n">
        <v>720</v>
      </c>
      <c r="G119" s="59" t="n">
        <f aca="false">F119-H119</f>
        <v>720</v>
      </c>
      <c r="H119" s="58" t="n">
        <v>0</v>
      </c>
      <c r="J119" s="55"/>
      <c r="L119" s="0"/>
    </row>
    <row r="120" customFormat="false" ht="19.85" hidden="false" customHeight="true" outlineLevel="0" collapsed="false">
      <c r="A120" s="0" t="n">
        <v>31</v>
      </c>
      <c r="B120" s="31" t="n">
        <v>42064</v>
      </c>
      <c r="C120" s="56" t="n">
        <v>363255</v>
      </c>
      <c r="D120" s="57" t="s">
        <v>42</v>
      </c>
      <c r="E120" s="33" t="n">
        <f aca="false">IF(D120="totale",(C120/(A120*24))/F120,IF(D120="marché libre",(C120/(A120*24))/G120,"spécifier histo"))</f>
        <v>0.678119399641577</v>
      </c>
      <c r="F120" s="59" t="n">
        <v>720</v>
      </c>
      <c r="G120" s="59" t="n">
        <f aca="false">F120-H120</f>
        <v>720</v>
      </c>
      <c r="H120" s="58" t="n">
        <v>0</v>
      </c>
      <c r="J120" s="55"/>
      <c r="L120" s="0"/>
    </row>
    <row r="121" customFormat="false" ht="19.85" hidden="false" customHeight="true" outlineLevel="0" collapsed="false">
      <c r="A121" s="0" t="n">
        <v>30</v>
      </c>
      <c r="B121" s="34" t="n">
        <v>42095</v>
      </c>
      <c r="C121" s="56" t="n">
        <v>348593</v>
      </c>
      <c r="D121" s="57" t="s">
        <v>42</v>
      </c>
      <c r="E121" s="33" t="n">
        <f aca="false">IF(D121="totale",(C121/(A121*24))/F121,IF(D121="marché libre",(C121/(A121*24))/G121,"spécifier histo"))</f>
        <v>0.672440200617284</v>
      </c>
      <c r="F121" s="59" t="n">
        <v>720</v>
      </c>
      <c r="G121" s="59" t="n">
        <f aca="false">F121-H121</f>
        <v>720</v>
      </c>
      <c r="H121" s="58" t="n">
        <v>0</v>
      </c>
      <c r="J121" s="55"/>
      <c r="L121" s="0"/>
    </row>
    <row r="122" customFormat="false" ht="19.85" hidden="false" customHeight="true" outlineLevel="0" collapsed="false">
      <c r="A122" s="0" t="n">
        <v>31</v>
      </c>
      <c r="B122" s="31" t="n">
        <v>42125</v>
      </c>
      <c r="C122" s="56" t="n">
        <v>262738</v>
      </c>
      <c r="D122" s="57" t="s">
        <v>42</v>
      </c>
      <c r="E122" s="33" t="n">
        <f aca="false">IF(D122="totale",(C122/(A122*24))/F122,IF(D122="marché libre",(C122/(A122*24))/G122,"spécifier histo"))</f>
        <v>0.490475657108722</v>
      </c>
      <c r="F122" s="59" t="n">
        <v>720</v>
      </c>
      <c r="G122" s="59" t="n">
        <f aca="false">F122-H122</f>
        <v>720</v>
      </c>
      <c r="H122" s="58" t="n">
        <v>0</v>
      </c>
      <c r="J122" s="55"/>
      <c r="L122" s="0"/>
    </row>
    <row r="123" customFormat="false" ht="19.85" hidden="false" customHeight="true" outlineLevel="0" collapsed="false">
      <c r="A123" s="0" t="n">
        <v>30</v>
      </c>
      <c r="B123" s="34" t="n">
        <v>42156</v>
      </c>
      <c r="C123" s="56" t="n">
        <v>76260</v>
      </c>
      <c r="D123" s="57" t="s">
        <v>42</v>
      </c>
      <c r="E123" s="33" t="n">
        <f aca="false">IF(D123="totale",(C123/(A123*24))/F123,IF(D123="marché libre",(C123/(A123*24))/G123,"spécifier histo"))</f>
        <v>0.147106481481481</v>
      </c>
      <c r="F123" s="59" t="n">
        <v>720</v>
      </c>
      <c r="G123" s="59" t="n">
        <f aca="false">F123-H123</f>
        <v>720</v>
      </c>
      <c r="H123" s="58" t="n">
        <v>0</v>
      </c>
      <c r="J123" s="55"/>
      <c r="L123" s="0"/>
    </row>
    <row r="124" customFormat="false" ht="19.85" hidden="false" customHeight="true" outlineLevel="0" collapsed="false">
      <c r="A124" s="0" t="n">
        <v>31</v>
      </c>
      <c r="B124" s="31" t="n">
        <v>42186</v>
      </c>
      <c r="C124" s="56" t="n">
        <v>0</v>
      </c>
      <c r="D124" s="57" t="s">
        <v>42</v>
      </c>
      <c r="E124" s="33" t="n">
        <f aca="false">IF(D124="totale",(C124/(A124*24))/F124,IF(D124="marché libre",(C124/(A124*24))/G124,"spécifier histo"))</f>
        <v>0</v>
      </c>
      <c r="F124" s="59" t="n">
        <v>720</v>
      </c>
      <c r="G124" s="59" t="n">
        <f aca="false">F124-H124</f>
        <v>720</v>
      </c>
      <c r="H124" s="58" t="n">
        <v>0</v>
      </c>
      <c r="J124" s="55"/>
      <c r="L124" s="0"/>
    </row>
    <row r="125" customFormat="false" ht="19.85" hidden="false" customHeight="true" outlineLevel="0" collapsed="false">
      <c r="A125" s="0" t="n">
        <v>31</v>
      </c>
      <c r="B125" s="34" t="n">
        <v>42217</v>
      </c>
      <c r="C125" s="56" t="n">
        <v>0</v>
      </c>
      <c r="D125" s="57" t="s">
        <v>42</v>
      </c>
      <c r="E125" s="33" t="n">
        <f aca="false">IF(D125="totale",(C125/(A125*24))/F125,IF(D125="marché libre",(C125/(A125*24))/G125,"spécifier histo"))</f>
        <v>0</v>
      </c>
      <c r="F125" s="59" t="n">
        <v>720</v>
      </c>
      <c r="G125" s="59" t="n">
        <f aca="false">F125-H125</f>
        <v>720</v>
      </c>
      <c r="H125" s="58" t="n">
        <v>0</v>
      </c>
      <c r="J125" s="55"/>
      <c r="L125" s="0"/>
    </row>
    <row r="126" customFormat="false" ht="19.85" hidden="false" customHeight="true" outlineLevel="0" collapsed="false">
      <c r="A126" s="0" t="n">
        <v>30</v>
      </c>
      <c r="B126" s="31" t="n">
        <v>42248</v>
      </c>
      <c r="C126" s="56" t="n">
        <v>0</v>
      </c>
      <c r="D126" s="57" t="s">
        <v>42</v>
      </c>
      <c r="E126" s="33" t="n">
        <f aca="false">IF(D126="totale",(C126/(A126*24))/F126,IF(D126="marché libre",(C126/(A126*24))/G126,"spécifier histo"))</f>
        <v>0</v>
      </c>
      <c r="F126" s="59" t="n">
        <v>720</v>
      </c>
      <c r="G126" s="59" t="n">
        <f aca="false">F126-H126</f>
        <v>720</v>
      </c>
      <c r="H126" s="58" t="n">
        <v>0</v>
      </c>
      <c r="J126" s="55"/>
      <c r="L126" s="0"/>
    </row>
    <row r="127" customFormat="false" ht="19.85" hidden="false" customHeight="true" outlineLevel="0" collapsed="false">
      <c r="A127" s="0" t="n">
        <v>31</v>
      </c>
      <c r="B127" s="34" t="n">
        <v>42278</v>
      </c>
      <c r="C127" s="56" t="n">
        <v>0</v>
      </c>
      <c r="D127" s="57" t="s">
        <v>42</v>
      </c>
      <c r="E127" s="33" t="n">
        <f aca="false">IF(D127="totale",(C127/(A127*24))/F127,IF(D127="marché libre",(C127/(A127*24))/G127,"spécifier histo"))</f>
        <v>0</v>
      </c>
      <c r="F127" s="59" t="n">
        <v>720</v>
      </c>
      <c r="G127" s="59" t="n">
        <f aca="false">F127-H127</f>
        <v>720</v>
      </c>
      <c r="H127" s="58" t="n">
        <v>0</v>
      </c>
      <c r="J127" s="55"/>
      <c r="L127" s="0"/>
    </row>
    <row r="128" customFormat="false" ht="19.85" hidden="false" customHeight="true" outlineLevel="0" collapsed="false">
      <c r="A128" s="0" t="n">
        <v>30</v>
      </c>
      <c r="B128" s="31" t="n">
        <v>42309</v>
      </c>
      <c r="C128" s="56" t="n">
        <v>0</v>
      </c>
      <c r="D128" s="57" t="s">
        <v>42</v>
      </c>
      <c r="E128" s="33" t="n">
        <f aca="false">IF(D128="totale",(C128/(A128*24))/F128,IF(D128="marché libre",(C128/(A128*24))/G128,"spécifier histo"))</f>
        <v>0</v>
      </c>
      <c r="F128" s="59" t="n">
        <v>720</v>
      </c>
      <c r="G128" s="59" t="n">
        <f aca="false">F128-H128</f>
        <v>720</v>
      </c>
      <c r="H128" s="58" t="n">
        <v>0</v>
      </c>
      <c r="J128" s="55"/>
    </row>
    <row r="129" customFormat="false" ht="19.85" hidden="false" customHeight="true" outlineLevel="0" collapsed="false">
      <c r="A129" s="0" t="n">
        <v>31</v>
      </c>
      <c r="B129" s="34" t="n">
        <v>42339</v>
      </c>
      <c r="C129" s="56" t="n">
        <v>0</v>
      </c>
      <c r="D129" s="57" t="s">
        <v>42</v>
      </c>
      <c r="E129" s="33" t="n">
        <f aca="false">IF(D129="totale",(C129/(A129*24))/F129,IF(D129="marché libre",(C129/(A129*24))/G129,"spécifier histo"))</f>
        <v>0</v>
      </c>
      <c r="F129" s="59" t="n">
        <v>720</v>
      </c>
      <c r="G129" s="59" t="n">
        <f aca="false">F129-H129</f>
        <v>720</v>
      </c>
      <c r="H129" s="58" t="n">
        <v>0</v>
      </c>
      <c r="J129" s="55"/>
    </row>
    <row r="130" customFormat="false" ht="19.85" hidden="false" customHeight="true" outlineLevel="0" collapsed="false">
      <c r="A130" s="0" t="n">
        <v>31</v>
      </c>
      <c r="B130" s="31" t="n">
        <v>42370</v>
      </c>
      <c r="C130" s="56" t="n">
        <v>0</v>
      </c>
      <c r="D130" s="57" t="s">
        <v>42</v>
      </c>
      <c r="E130" s="33" t="n">
        <f aca="false">IF(D130="totale",(C130/(A130*24))/F130,IF(D130="marché libre",(C130/(A130*24))/G130,"spécifier histo"))</f>
        <v>0</v>
      </c>
      <c r="F130" s="59" t="n">
        <v>720</v>
      </c>
      <c r="G130" s="59" t="n">
        <f aca="false">F130-H130</f>
        <v>720</v>
      </c>
      <c r="H130" s="58" t="n">
        <v>0</v>
      </c>
      <c r="J130" s="55"/>
    </row>
    <row r="131" customFormat="false" ht="19.85" hidden="false" customHeight="true" outlineLevel="0" collapsed="false">
      <c r="A131" s="0" t="n">
        <v>28</v>
      </c>
      <c r="B131" s="34" t="n">
        <v>42401</v>
      </c>
      <c r="C131" s="56" t="n">
        <v>253778</v>
      </c>
      <c r="D131" s="57" t="s">
        <v>42</v>
      </c>
      <c r="E131" s="33" t="n">
        <f aca="false">IF(D131="totale",(C131/(A131*24))/F131,IF(D131="marché libre",(C131/(A131*24))/G131,"spécifier histo"))</f>
        <v>0.524508101851852</v>
      </c>
      <c r="F131" s="59" t="n">
        <v>720</v>
      </c>
      <c r="G131" s="59" t="n">
        <f aca="false">F131-H131</f>
        <v>720</v>
      </c>
      <c r="H131" s="58" t="n">
        <v>0</v>
      </c>
      <c r="J131" s="55"/>
    </row>
    <row r="132" customFormat="false" ht="19.85" hidden="false" customHeight="true" outlineLevel="0" collapsed="false">
      <c r="A132" s="0" t="n">
        <v>31</v>
      </c>
      <c r="B132" s="31" t="n">
        <v>42430</v>
      </c>
      <c r="C132" s="56" t="n">
        <v>44943</v>
      </c>
      <c r="D132" s="57" t="s">
        <v>42</v>
      </c>
      <c r="E132" s="33" t="n">
        <f aca="false">IF(D132="totale",(C132/(A132*24))/F132,IF(D132="marché libre",(C132/(A132*24))/G132,"spécifier histo"))</f>
        <v>0.0838989695340502</v>
      </c>
      <c r="F132" s="59" t="n">
        <v>720</v>
      </c>
      <c r="G132" s="59" t="n">
        <f aca="false">F132-H132</f>
        <v>720</v>
      </c>
      <c r="H132" s="58" t="n">
        <v>0</v>
      </c>
      <c r="J132" s="55"/>
    </row>
    <row r="133" customFormat="false" ht="19.85" hidden="false" customHeight="true" outlineLevel="0" collapsed="false">
      <c r="A133" s="0" t="n">
        <v>30</v>
      </c>
      <c r="B133" s="34" t="n">
        <v>42461</v>
      </c>
      <c r="C133" s="56" t="n">
        <v>0</v>
      </c>
      <c r="D133" s="57" t="s">
        <v>42</v>
      </c>
      <c r="E133" s="33" t="n">
        <f aca="false">IF(D133="totale",(C133/(A133*24))/F133,IF(D133="marché libre",(C133/(A133*24))/G133,"spécifier histo"))</f>
        <v>0</v>
      </c>
      <c r="F133" s="59" t="n">
        <v>720</v>
      </c>
      <c r="G133" s="59" t="n">
        <f aca="false">F133-H133</f>
        <v>720</v>
      </c>
      <c r="H133" s="58" t="n">
        <v>0</v>
      </c>
      <c r="J133" s="55"/>
    </row>
    <row r="134" customFormat="false" ht="19.85" hidden="false" customHeight="true" outlineLevel="0" collapsed="false">
      <c r="A134" s="0" t="n">
        <v>31</v>
      </c>
      <c r="B134" s="31" t="n">
        <v>42491</v>
      </c>
      <c r="C134" s="56" t="n">
        <v>116674</v>
      </c>
      <c r="D134" s="57" t="s">
        <v>42</v>
      </c>
      <c r="E134" s="33" t="n">
        <f aca="false">IF(D134="totale",(C134/(A134*24))/F134,IF(D134="marché libre",(C134/(A134*24))/G134,"spécifier histo"))</f>
        <v>0.217805406212664</v>
      </c>
      <c r="F134" s="59" t="n">
        <v>720</v>
      </c>
      <c r="G134" s="59" t="n">
        <f aca="false">F134-H134</f>
        <v>720</v>
      </c>
      <c r="H134" s="58" t="n">
        <v>0</v>
      </c>
      <c r="J134" s="55"/>
      <c r="K134" s="63"/>
    </row>
    <row r="135" customFormat="false" ht="19.85" hidden="false" customHeight="true" outlineLevel="0" collapsed="false">
      <c r="A135" s="0" t="n">
        <v>30</v>
      </c>
      <c r="B135" s="34" t="n">
        <v>42522</v>
      </c>
      <c r="C135" s="56" t="n">
        <v>195012</v>
      </c>
      <c r="D135" s="57" t="s">
        <v>42</v>
      </c>
      <c r="E135" s="33" t="n">
        <f aca="false">IF(D135="totale",(C135/(A135*24))/F135,IF(D135="marché libre",(C135/(A135*24))/G135,"spécifier histo"))</f>
        <v>0.376180555555556</v>
      </c>
      <c r="F135" s="59" t="n">
        <v>720</v>
      </c>
      <c r="G135" s="58" t="n">
        <f aca="false">F135-H135</f>
        <v>720</v>
      </c>
      <c r="H135" s="59" t="n">
        <v>0</v>
      </c>
      <c r="I135" s="58"/>
      <c r="J135" s="55"/>
      <c r="K135" s="63"/>
    </row>
    <row r="136" customFormat="false" ht="19.85" hidden="false" customHeight="true" outlineLevel="0" collapsed="false">
      <c r="A136" s="0" t="n">
        <v>31</v>
      </c>
      <c r="B136" s="31" t="n">
        <v>42552</v>
      </c>
      <c r="C136" s="56" t="n">
        <v>0</v>
      </c>
      <c r="D136" s="57" t="s">
        <v>42</v>
      </c>
      <c r="E136" s="33" t="n">
        <f aca="false">IF(D136="totale",(C136/(A136*24))/F136,IF(D136="marché libre",(C136/(A136*24))/G136,"spécifier histo"))</f>
        <v>0</v>
      </c>
      <c r="F136" s="59" t="n">
        <v>720</v>
      </c>
      <c r="G136" s="58" t="n">
        <f aca="false">F136-H136</f>
        <v>720</v>
      </c>
      <c r="H136" s="59" t="n">
        <v>0</v>
      </c>
      <c r="I136" s="58"/>
      <c r="J136" s="55"/>
      <c r="K136" s="63"/>
    </row>
    <row r="137" customFormat="false" ht="19.85" hidden="false" customHeight="true" outlineLevel="0" collapsed="false">
      <c r="A137" s="0" t="n">
        <v>31</v>
      </c>
      <c r="B137" s="34" t="n">
        <v>42583</v>
      </c>
      <c r="C137" s="56" t="n">
        <v>0</v>
      </c>
      <c r="D137" s="57" t="s">
        <v>42</v>
      </c>
      <c r="E137" s="33" t="n">
        <f aca="false">IF(D137="totale",(C137/(A137*24))/F137,IF(D137="marché libre",(C137/(A137*24))/G137,"spécifier histo"))</f>
        <v>0</v>
      </c>
      <c r="F137" s="59" t="n">
        <v>720</v>
      </c>
      <c r="G137" s="58" t="n">
        <f aca="false">F137-H137</f>
        <v>720</v>
      </c>
      <c r="H137" s="59" t="n">
        <v>0</v>
      </c>
      <c r="I137" s="58"/>
      <c r="J137" s="55"/>
    </row>
    <row r="138" customFormat="false" ht="19.85" hidden="false" customHeight="true" outlineLevel="0" collapsed="false">
      <c r="A138" s="0" t="n">
        <v>30</v>
      </c>
      <c r="B138" s="31" t="n">
        <v>42614</v>
      </c>
      <c r="C138" s="56" t="n">
        <v>0</v>
      </c>
      <c r="D138" s="57" t="s">
        <v>42</v>
      </c>
      <c r="E138" s="33" t="n">
        <f aca="false">IF(D138="totale",(C138/(A138*24))/F138,IF(D138="marché libre",(C138/(A138*24))/G138,"spécifier histo"))</f>
        <v>0</v>
      </c>
      <c r="F138" s="59" t="n">
        <v>720</v>
      </c>
      <c r="G138" s="58" t="n">
        <f aca="false">F138-H138</f>
        <v>720</v>
      </c>
      <c r="H138" s="59" t="n">
        <v>0</v>
      </c>
      <c r="I138" s="58"/>
      <c r="J138" s="55"/>
    </row>
    <row r="139" customFormat="false" ht="19.85" hidden="false" customHeight="true" outlineLevel="0" collapsed="false">
      <c r="A139" s="0" t="n">
        <v>31</v>
      </c>
      <c r="B139" s="34" t="n">
        <v>42644</v>
      </c>
      <c r="C139" s="56" t="n">
        <v>0</v>
      </c>
      <c r="D139" s="57" t="s">
        <v>42</v>
      </c>
      <c r="E139" s="33" t="n">
        <f aca="false">IF(D139="totale",(C139/(A139*24))/F139,IF(D139="marché libre",(C139/(A139*24))/G139,"spécifier histo"))</f>
        <v>0</v>
      </c>
      <c r="F139" s="59" t="n">
        <v>720</v>
      </c>
      <c r="G139" s="58" t="n">
        <f aca="false">F139-H139</f>
        <v>720</v>
      </c>
      <c r="H139" s="59" t="n">
        <v>0</v>
      </c>
      <c r="I139" s="58"/>
      <c r="J139" s="55"/>
    </row>
    <row r="140" customFormat="false" ht="19.85" hidden="false" customHeight="true" outlineLevel="0" collapsed="false">
      <c r="A140" s="0" t="n">
        <v>30</v>
      </c>
      <c r="B140" s="31" t="n">
        <v>42675</v>
      </c>
      <c r="C140" s="59" t="n">
        <v>0</v>
      </c>
      <c r="D140" s="57" t="s">
        <v>42</v>
      </c>
      <c r="E140" s="33" t="n">
        <f aca="false">IF(D140="totale",(C140/(A140*24))/F140,IF(D140="marché libre",(C140/(A140*24))/G140,"spécifier histo"))</f>
        <v>0</v>
      </c>
      <c r="F140" s="59" t="n">
        <v>720</v>
      </c>
      <c r="G140" s="58" t="n">
        <f aca="false">F140-H140</f>
        <v>720</v>
      </c>
      <c r="H140" s="59" t="n">
        <v>0</v>
      </c>
      <c r="I140" s="58"/>
      <c r="J140" s="55"/>
    </row>
    <row r="141" customFormat="false" ht="19.85" hidden="false" customHeight="true" outlineLevel="0" collapsed="false">
      <c r="A141" s="0" t="n">
        <v>31</v>
      </c>
      <c r="B141" s="34" t="n">
        <v>42705</v>
      </c>
      <c r="C141" s="60" t="n">
        <v>0</v>
      </c>
      <c r="D141" s="57" t="s">
        <v>42</v>
      </c>
      <c r="E141" s="33" t="n">
        <f aca="false">IF(D141="totale",(C141/(A141*24))/F141,IF(D141="marché libre",(C141/(A141*24))/G141,"spécifier histo"))</f>
        <v>0</v>
      </c>
      <c r="F141" s="59" t="n">
        <v>720</v>
      </c>
      <c r="G141" s="58" t="n">
        <f aca="false">F141-H141</f>
        <v>720</v>
      </c>
      <c r="H141" s="59" t="n">
        <v>0</v>
      </c>
      <c r="I141" s="58"/>
      <c r="J141" s="55"/>
    </row>
    <row r="142" customFormat="false" ht="19.85" hidden="false" customHeight="true" outlineLevel="0" collapsed="false">
      <c r="A142" s="0" t="n">
        <v>31</v>
      </c>
      <c r="B142" s="31" t="n">
        <v>42736</v>
      </c>
      <c r="C142" s="60" t="n">
        <v>0</v>
      </c>
      <c r="D142" s="57" t="s">
        <v>42</v>
      </c>
      <c r="E142" s="33" t="n">
        <f aca="false">IF(D142="totale",(C142/(A142*24))/F142,IF(D142="marché libre",(C142/(A142*24))/G142,"spécifier histo"))</f>
        <v>0</v>
      </c>
      <c r="F142" s="59" t="n">
        <v>720</v>
      </c>
      <c r="G142" s="58" t="n">
        <f aca="false">F142-H142</f>
        <v>720</v>
      </c>
      <c r="H142" s="59" t="n">
        <v>0</v>
      </c>
      <c r="I142" s="58"/>
      <c r="J142" s="30"/>
    </row>
    <row r="143" customFormat="false" ht="19.85" hidden="false" customHeight="true" outlineLevel="0" collapsed="false">
      <c r="A143" s="0" t="n">
        <v>28</v>
      </c>
      <c r="B143" s="34" t="n">
        <v>42767</v>
      </c>
      <c r="C143" s="60" t="n">
        <v>0</v>
      </c>
      <c r="D143" s="57" t="s">
        <v>42</v>
      </c>
      <c r="E143" s="33" t="n">
        <f aca="false">IF(D143="totale",(C143/(A143*24))/F143,IF(D143="marché libre",(C143/(A143*24))/G143,"spécifier histo"))</f>
        <v>0</v>
      </c>
      <c r="F143" s="59" t="n">
        <v>720</v>
      </c>
      <c r="G143" s="58" t="n">
        <f aca="false">F143-H143</f>
        <v>720</v>
      </c>
      <c r="H143" s="59" t="n">
        <v>0</v>
      </c>
      <c r="I143" s="58"/>
      <c r="J143" s="55"/>
    </row>
    <row r="144" customFormat="false" ht="19.85" hidden="false" customHeight="true" outlineLevel="0" collapsed="false">
      <c r="A144" s="0" t="n">
        <v>31</v>
      </c>
      <c r="B144" s="31" t="n">
        <v>42795</v>
      </c>
      <c r="C144" s="59" t="n">
        <v>165172</v>
      </c>
      <c r="D144" s="57" t="s">
        <v>42</v>
      </c>
      <c r="E144" s="33" t="n">
        <f aca="false">IF(D144="totale",(C144/(A144*24))/F144,IF(D144="marché libre",(C144/(A144*24))/G144,"spécifier histo"))</f>
        <v>0.308340800477897</v>
      </c>
      <c r="F144" s="59" t="n">
        <v>720</v>
      </c>
      <c r="G144" s="58" t="n">
        <f aca="false">F144-H144</f>
        <v>720</v>
      </c>
      <c r="H144" s="59" t="n">
        <v>0</v>
      </c>
      <c r="I144" s="58"/>
      <c r="J144" s="55"/>
    </row>
    <row r="145" customFormat="false" ht="19.85" hidden="false" customHeight="true" outlineLevel="0" collapsed="false">
      <c r="A145" s="0" t="n">
        <v>30</v>
      </c>
      <c r="B145" s="34" t="n">
        <v>42826</v>
      </c>
      <c r="C145" s="59" t="n">
        <v>270241</v>
      </c>
      <c r="D145" s="57" t="s">
        <v>42</v>
      </c>
      <c r="E145" s="33" t="n">
        <f aca="false">IF(D145="totale",(C145/(A145*24))/F145,IF(D145="marché libre",(C145/(A145*24))/G145,"spécifier histo"))</f>
        <v>0.521298225308642</v>
      </c>
      <c r="F145" s="59" t="n">
        <v>720</v>
      </c>
      <c r="G145" s="58" t="n">
        <f aca="false">F145-H145</f>
        <v>720</v>
      </c>
      <c r="H145" s="59" t="n">
        <v>0</v>
      </c>
      <c r="I145" s="58"/>
      <c r="J145" s="55"/>
    </row>
    <row r="146" customFormat="false" ht="19.85" hidden="false" customHeight="true" outlineLevel="0" collapsed="false">
      <c r="A146" s="0" t="n">
        <v>31</v>
      </c>
      <c r="B146" s="31" t="n">
        <v>42856</v>
      </c>
      <c r="C146" s="9" t="n">
        <v>0</v>
      </c>
      <c r="D146" s="57" t="s">
        <v>42</v>
      </c>
      <c r="E146" s="33" t="n">
        <f aca="false">IF(D146="totale",(C146/(A146*24))/F146,IF(D146="marché libre",(C146/(A146*24))/G146,"spécifier histo"))</f>
        <v>0</v>
      </c>
      <c r="F146" s="59" t="n">
        <v>720</v>
      </c>
      <c r="G146" s="58" t="n">
        <f aca="false">F146-H146</f>
        <v>720</v>
      </c>
      <c r="H146" s="59" t="n">
        <v>0</v>
      </c>
      <c r="I146" s="58"/>
      <c r="J146" s="55"/>
    </row>
    <row r="147" customFormat="false" ht="22.45" hidden="false" customHeight="true" outlineLevel="0" collapsed="false">
      <c r="A147" s="0" t="n">
        <v>30</v>
      </c>
      <c r="B147" s="34" t="n">
        <v>42887</v>
      </c>
      <c r="C147" s="9" t="n">
        <v>0</v>
      </c>
      <c r="D147" s="57" t="s">
        <v>42</v>
      </c>
      <c r="E147" s="33" t="n">
        <f aca="false">IF(D147="totale",(C147/(A147*24))/F147,IF(D147="marché libre",(C147/(A147*24))/G147,"spécifier histo"))</f>
        <v>0</v>
      </c>
      <c r="F147" s="59" t="n">
        <v>720</v>
      </c>
      <c r="G147" s="58" t="n">
        <f aca="false">F147-H147</f>
        <v>720</v>
      </c>
      <c r="H147" s="59" t="n">
        <v>0</v>
      </c>
      <c r="I147" s="58"/>
      <c r="J147" s="55"/>
    </row>
    <row r="148" customFormat="false" ht="21.65" hidden="false" customHeight="true" outlineLevel="0" collapsed="false">
      <c r="A148" s="0" t="n">
        <v>31</v>
      </c>
      <c r="B148" s="31" t="n">
        <v>42917</v>
      </c>
      <c r="C148" s="9" t="n">
        <v>0</v>
      </c>
      <c r="D148" s="57" t="s">
        <v>42</v>
      </c>
      <c r="E148" s="33" t="n">
        <f aca="false">IF(D148="totale",(C148/(A148*24))/F148,IF(D148="marché libre",(C148/(A148*24))/G148,"spécifier histo"))</f>
        <v>0</v>
      </c>
      <c r="F148" s="59" t="n">
        <v>720</v>
      </c>
      <c r="G148" s="58" t="n">
        <f aca="false">F148-H148</f>
        <v>720</v>
      </c>
      <c r="H148" s="59" t="n">
        <v>0</v>
      </c>
      <c r="I148" s="58"/>
      <c r="J148" s="55"/>
    </row>
    <row r="149" customFormat="false" ht="21.65" hidden="false" customHeight="true" outlineLevel="0" collapsed="false">
      <c r="A149" s="0" t="n">
        <v>31</v>
      </c>
      <c r="B149" s="34" t="n">
        <v>42948</v>
      </c>
      <c r="C149" s="9" t="n">
        <v>0</v>
      </c>
      <c r="D149" s="57" t="s">
        <v>42</v>
      </c>
      <c r="E149" s="33" t="n">
        <f aca="false">IF(D149="totale",(C149/(A149*24))/F149,IF(D149="marché libre",(C149/(A149*24))/G149,"spécifier histo"))</f>
        <v>0</v>
      </c>
      <c r="F149" s="59" t="n">
        <v>720</v>
      </c>
      <c r="G149" s="58" t="n">
        <f aca="false">F149-H149</f>
        <v>720</v>
      </c>
      <c r="H149" s="59" t="n">
        <v>0</v>
      </c>
      <c r="I149" s="58"/>
      <c r="J149" s="55"/>
    </row>
    <row r="150" customFormat="false" ht="21.65" hidden="false" customHeight="true" outlineLevel="0" collapsed="false">
      <c r="A150" s="0" t="n">
        <v>30</v>
      </c>
      <c r="B150" s="31" t="n">
        <v>42979</v>
      </c>
      <c r="C150" s="9" t="n">
        <v>0</v>
      </c>
      <c r="D150" s="57" t="s">
        <v>42</v>
      </c>
      <c r="E150" s="33" t="n">
        <f aca="false">IF(D150="totale",(C150/(A150*24))/F150,IF(D150="marché libre",(C150/(A150*24))/G150,"spécifier histo"))</f>
        <v>0</v>
      </c>
      <c r="F150" s="59" t="n">
        <v>720</v>
      </c>
      <c r="G150" s="59" t="n">
        <f aca="false">F150-H150</f>
        <v>720</v>
      </c>
      <c r="H150" s="59" t="n">
        <v>0</v>
      </c>
      <c r="J150" s="55"/>
    </row>
    <row r="151" customFormat="false" ht="21.65" hidden="false" customHeight="true" outlineLevel="0" collapsed="false">
      <c r="A151" s="0" t="n">
        <v>31</v>
      </c>
      <c r="B151" s="34" t="n">
        <v>43009</v>
      </c>
      <c r="C151" s="9" t="n">
        <v>0</v>
      </c>
      <c r="D151" s="57" t="s">
        <v>42</v>
      </c>
      <c r="E151" s="33" t="n">
        <f aca="false">IF(D151="totale",(C151/(A151*24))/F151,IF(D151="marché libre",(C151/(A151*24))/G151,"spécifier histo"))</f>
        <v>0</v>
      </c>
      <c r="F151" s="59" t="n">
        <v>720</v>
      </c>
      <c r="G151" s="59" t="n">
        <f aca="false">F151-H151</f>
        <v>720</v>
      </c>
      <c r="H151" s="59" t="n">
        <v>0</v>
      </c>
      <c r="J151" s="55"/>
    </row>
    <row r="152" customFormat="false" ht="21.65" hidden="false" customHeight="true" outlineLevel="0" collapsed="false">
      <c r="A152" s="0" t="n">
        <v>30</v>
      </c>
      <c r="B152" s="31" t="n">
        <v>43040</v>
      </c>
      <c r="C152" s="9" t="n">
        <v>0</v>
      </c>
      <c r="D152" s="57" t="s">
        <v>42</v>
      </c>
      <c r="E152" s="33" t="n">
        <f aca="false">IF(D152="totale",(C152/(A152*24))/F152,IF(D152="marché libre",(C152/(A152*24))/G152,"spécifier histo"))</f>
        <v>0</v>
      </c>
      <c r="F152" s="59" t="n">
        <v>720</v>
      </c>
      <c r="G152" s="59" t="n">
        <f aca="false">F152-H152</f>
        <v>720</v>
      </c>
      <c r="H152" s="59" t="n">
        <v>0</v>
      </c>
      <c r="J152" s="55"/>
    </row>
    <row r="153" customFormat="false" ht="21.65" hidden="false" customHeight="true" outlineLevel="0" collapsed="false">
      <c r="A153" s="0" t="n">
        <v>31</v>
      </c>
      <c r="B153" s="34" t="n">
        <v>43070</v>
      </c>
      <c r="C153" s="9" t="n">
        <v>134936</v>
      </c>
      <c r="D153" s="57" t="s">
        <v>42</v>
      </c>
      <c r="E153" s="33" t="n">
        <f aca="false">IF(D153="totale",(C153/(A153*24))/F153,IF(D153="marché libre",(C153/(A153*24))/G153,"spécifier histo"))</f>
        <v>0.251896654719235</v>
      </c>
      <c r="F153" s="59" t="n">
        <v>720</v>
      </c>
      <c r="G153" s="59" t="n">
        <f aca="false">F153-H153</f>
        <v>720</v>
      </c>
      <c r="H153" s="59" t="n">
        <v>0</v>
      </c>
      <c r="J153" s="55"/>
    </row>
    <row r="154" customFormat="false" ht="28.35" hidden="false" customHeight="true" outlineLevel="0" collapsed="false">
      <c r="A154" s="0" t="n">
        <v>31</v>
      </c>
      <c r="B154" s="31" t="n">
        <v>43101</v>
      </c>
      <c r="C154" s="9" t="n">
        <v>194594</v>
      </c>
      <c r="D154" s="57" t="s">
        <v>42</v>
      </c>
      <c r="E154" s="33" t="n">
        <f aca="false">IF(D154="totale",(C154/(A154*24))/F154,IF(D154="marché libre",(C154/(A154*24))/G154,"spécifier histo"))</f>
        <v>0.363265382317802</v>
      </c>
      <c r="F154" s="59" t="n">
        <v>720</v>
      </c>
      <c r="G154" s="59" t="n">
        <f aca="false">F154-H154</f>
        <v>720</v>
      </c>
      <c r="H154" s="59" t="n">
        <v>0</v>
      </c>
      <c r="J154" s="30"/>
    </row>
    <row r="155" customFormat="false" ht="28.35" hidden="false" customHeight="true" outlineLevel="0" collapsed="false">
      <c r="A155" s="0" t="n">
        <v>28</v>
      </c>
      <c r="B155" s="34" t="n">
        <v>43132</v>
      </c>
      <c r="C155" s="1" t="n">
        <v>88031</v>
      </c>
      <c r="D155" s="57" t="s">
        <v>42</v>
      </c>
      <c r="E155" s="33" t="n">
        <f aca="false">IF(D155="totale",(C155/(A155*24))/F155,IF(D155="marché libre",(C155/(A155*24))/G155,"spécifier histo"))</f>
        <v>0.181942377645503</v>
      </c>
      <c r="F155" s="59" t="n">
        <v>720</v>
      </c>
      <c r="G155" s="59" t="n">
        <f aca="false">F155-H155</f>
        <v>720</v>
      </c>
      <c r="H155" s="59" t="n">
        <v>0</v>
      </c>
    </row>
    <row r="156" customFormat="false" ht="28.35" hidden="false" customHeight="true" outlineLevel="0" collapsed="false">
      <c r="A156" s="0" t="n">
        <v>31</v>
      </c>
      <c r="B156" s="31" t="n">
        <v>43160</v>
      </c>
      <c r="C156" s="1" t="n">
        <v>141647</v>
      </c>
      <c r="D156" s="57" t="s">
        <v>42</v>
      </c>
      <c r="E156" s="33" t="n">
        <f aca="false">IF(D156="totale",(C156/(A156*24))/F156,IF(D156="marché libre",(C156/(A156*24))/G156,"spécifier histo"))</f>
        <v>0.26442465651135</v>
      </c>
      <c r="F156" s="59" t="n">
        <v>720</v>
      </c>
      <c r="G156" s="59" t="n">
        <f aca="false">F156-H156</f>
        <v>720</v>
      </c>
      <c r="H156" s="59" t="n">
        <v>0</v>
      </c>
    </row>
    <row r="157" customFormat="false" ht="28.35" hidden="false" customHeight="true" outlineLevel="0" collapsed="false">
      <c r="A157" s="0" t="n">
        <v>30</v>
      </c>
      <c r="B157" s="34" t="n">
        <v>43191</v>
      </c>
      <c r="C157" s="1" t="n">
        <v>0</v>
      </c>
      <c r="D157" s="57" t="s">
        <v>42</v>
      </c>
      <c r="E157" s="33" t="n">
        <f aca="false">IF(D157="totale",(C157/(A157*24))/F157,IF(D157="marché libre",(C157/(A157*24))/G157,"spécifier histo"))</f>
        <v>0</v>
      </c>
      <c r="F157" s="59" t="n">
        <v>720</v>
      </c>
      <c r="G157" s="59" t="n">
        <f aca="false">F157-H157</f>
        <v>720</v>
      </c>
      <c r="H157" s="59" t="n">
        <v>0</v>
      </c>
    </row>
    <row r="158" customFormat="false" ht="28.35" hidden="false" customHeight="true" outlineLevel="0" collapsed="false">
      <c r="A158" s="0" t="n">
        <v>31</v>
      </c>
      <c r="B158" s="31" t="n">
        <v>43221</v>
      </c>
      <c r="C158" s="1" t="n">
        <v>0</v>
      </c>
      <c r="D158" s="57" t="s">
        <v>42</v>
      </c>
      <c r="E158" s="33" t="n">
        <f aca="false">IF(D158="totale",(C158/(A158*24))/F158,IF(D158="marché libre",(C158/(A158*24))/G158,"spécifier histo"))</f>
        <v>0</v>
      </c>
      <c r="F158" s="59" t="n">
        <v>720</v>
      </c>
      <c r="G158" s="59" t="n">
        <f aca="false">F158-H158</f>
        <v>720</v>
      </c>
      <c r="H158" s="59" t="n">
        <v>0</v>
      </c>
    </row>
    <row r="159" customFormat="false" ht="12.8" hidden="false" customHeight="false" outlineLevel="0" collapsed="false">
      <c r="A159" s="0"/>
    </row>
    <row r="160" customFormat="false" ht="12.8" hidden="false" customHeight="false" outlineLevel="0" collapsed="false">
      <c r="A160" s="0"/>
    </row>
    <row r="161" customFormat="false" ht="12.8" hidden="false" customHeight="false" outlineLevel="0" collapsed="false">
      <c r="A161" s="0"/>
    </row>
    <row r="162" customFormat="false" ht="12.8" hidden="false" customHeight="false" outlineLevel="0" collapsed="false">
      <c r="A162" s="0"/>
    </row>
    <row r="163" customFormat="false" ht="12.8" hidden="false" customHeight="false" outlineLevel="0" collapsed="false">
      <c r="A163" s="0"/>
    </row>
    <row r="164" customFormat="false" ht="12.8" hidden="false" customHeight="false" outlineLevel="0" collapsed="false">
      <c r="A164" s="0"/>
    </row>
    <row r="165" customFormat="false" ht="12.8" hidden="false" customHeight="false" outlineLevel="0" collapsed="false">
      <c r="A165" s="0"/>
    </row>
    <row r="166" customFormat="false" ht="12.8" hidden="false" customHeight="false" outlineLevel="0" collapsed="false">
      <c r="A166" s="0"/>
    </row>
    <row r="167" customFormat="false" ht="12.8" hidden="false" customHeight="false" outlineLevel="0" collapsed="false">
      <c r="A167" s="0"/>
    </row>
    <row r="168" customFormat="false" ht="12.8" hidden="false" customHeight="false" outlineLevel="0" collapsed="false">
      <c r="A168" s="0"/>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row r="173" customFormat="false" ht="12.8" hidden="false" customHeight="false" outlineLevel="0" collapsed="false">
      <c r="A173" s="0"/>
    </row>
    <row r="174" customFormat="false" ht="12.8" hidden="false" customHeight="false" outlineLevel="0" collapsed="false">
      <c r="A174" s="0"/>
    </row>
    <row r="175" customFormat="false" ht="12.8" hidden="false" customHeight="false" outlineLevel="0" collapsed="false">
      <c r="A175" s="0"/>
    </row>
    <row r="176" customFormat="false" ht="12.8" hidden="false" customHeight="false" outlineLevel="0" collapsed="false">
      <c r="A176" s="0"/>
    </row>
    <row r="177" customFormat="false" ht="12.8" hidden="false" customHeight="false" outlineLevel="0" collapsed="false">
      <c r="A177" s="0"/>
    </row>
    <row r="178" customFormat="false" ht="12.8" hidden="false" customHeight="false" outlineLevel="0" collapsed="false">
      <c r="A178" s="0"/>
    </row>
    <row r="179" customFormat="false" ht="12.8" hidden="false" customHeight="false" outlineLevel="0" collapsed="false">
      <c r="A179" s="0"/>
    </row>
    <row r="180" customFormat="false" ht="12.8" hidden="false" customHeight="false" outlineLevel="0" collapsed="false">
      <c r="A180" s="0"/>
    </row>
    <row r="181" customFormat="false" ht="12.8" hidden="false" customHeight="false" outlineLevel="0" collapsed="false">
      <c r="A181" s="0"/>
    </row>
    <row r="182" customFormat="false" ht="12.8" hidden="false" customHeight="false" outlineLevel="0" collapsed="false">
      <c r="A182" s="0"/>
    </row>
    <row r="183" customFormat="false" ht="12.8" hidden="false" customHeight="fals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5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0.xml><?xml version="1.0" encoding="utf-8"?>
<worksheet xmlns="http://schemas.openxmlformats.org/spreadsheetml/2006/main" xmlns:r="http://schemas.openxmlformats.org/officeDocument/2006/relationships">
  <sheetPr filterMode="false">
    <tabColor rgb="FF00CC33"/>
    <pageSetUpPr fitToPage="false"/>
  </sheetPr>
  <dimension ref="A1:V10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B10" activeCellId="0" sqref="B1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565</v>
      </c>
      <c r="C4" s="16" t="n">
        <v>61901</v>
      </c>
      <c r="D4" s="5" t="s">
        <v>566</v>
      </c>
      <c r="E4" s="14" t="s">
        <v>562</v>
      </c>
      <c r="F4" s="15"/>
      <c r="G4" s="15" t="n">
        <v>260</v>
      </c>
      <c r="H4" s="15" t="n">
        <v>260</v>
      </c>
      <c r="I4" s="16"/>
      <c r="J4" s="15" t="n">
        <v>260</v>
      </c>
      <c r="K4" s="16"/>
      <c r="L4" s="16" t="s">
        <v>113</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c r="H6" s="20"/>
      <c r="I6" s="20"/>
      <c r="J6" s="20"/>
      <c r="K6" s="20"/>
      <c r="L6" s="20"/>
      <c r="M6" s="20"/>
      <c r="N6" s="20"/>
      <c r="P6" s="125" t="n">
        <v>41183</v>
      </c>
      <c r="Q6" s="19" t="s">
        <v>27</v>
      </c>
      <c r="R6" s="9"/>
      <c r="S6" s="22"/>
      <c r="T6" s="5" t="s">
        <v>28</v>
      </c>
    </row>
    <row r="7" customFormat="false" ht="41.65" hidden="false" customHeight="true" outlineLevel="0" collapsed="false">
      <c r="A7" s="0"/>
      <c r="B7" s="0"/>
      <c r="C7" s="23" t="s">
        <v>567</v>
      </c>
      <c r="D7" s="23"/>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19.85" hidden="false" customHeight="true" outlineLevel="0" collapsed="false">
      <c r="A10" s="0" t="n">
        <v>31</v>
      </c>
      <c r="B10" s="375" t="n">
        <v>41183</v>
      </c>
      <c r="C10" s="376" t="n">
        <v>27600</v>
      </c>
      <c r="D10" s="377" t="s">
        <v>42</v>
      </c>
      <c r="E10" s="378" t="n">
        <f aca="false">IF(D10="totale",(C10/(A10*24))/F10,IF(D10="marché libre",(C10/(A10*24))/G10,"spécifier histo"))</f>
        <v>0.142679900744417</v>
      </c>
      <c r="F10" s="379" t="n">
        <v>260</v>
      </c>
      <c r="G10" s="379" t="n">
        <f aca="false">F10-H10</f>
        <v>260</v>
      </c>
      <c r="H10" s="380" t="n">
        <v>0</v>
      </c>
      <c r="I10" s="381"/>
      <c r="J10" s="382"/>
      <c r="L10" s="0"/>
    </row>
    <row r="11" customFormat="false" ht="19.85" hidden="false" customHeight="true" outlineLevel="0" collapsed="false">
      <c r="A11" s="0" t="n">
        <v>30</v>
      </c>
      <c r="B11" s="31" t="n">
        <v>41214</v>
      </c>
      <c r="C11" s="56" t="n">
        <v>0</v>
      </c>
      <c r="D11" s="260" t="s">
        <v>42</v>
      </c>
      <c r="E11" s="33" t="n">
        <f aca="false">IF(D11="totale",(C11/(A11*24))/F11,IF(D11="marché libre",(C11/(A11*24))/G11,"spécifier histo"))</f>
        <v>0</v>
      </c>
      <c r="F11" s="59" t="n">
        <v>260</v>
      </c>
      <c r="G11" s="59" t="n">
        <f aca="false">F11-H11</f>
        <v>260</v>
      </c>
      <c r="H11" s="58" t="n">
        <v>0</v>
      </c>
      <c r="J11" s="55"/>
      <c r="L11" s="0"/>
    </row>
    <row r="12" customFormat="false" ht="19.85" hidden="false" customHeight="true" outlineLevel="0" collapsed="false">
      <c r="A12" s="0" t="n">
        <v>31</v>
      </c>
      <c r="B12" s="34" t="n">
        <v>41244</v>
      </c>
      <c r="C12" s="56" t="n">
        <v>0</v>
      </c>
      <c r="D12" s="260" t="s">
        <v>42</v>
      </c>
      <c r="E12" s="33" t="n">
        <f aca="false">IF(D12="totale",(C12/(A12*24))/F12,IF(D12="marché libre",(C12/(A12*24))/G12,"spécifier histo"))</f>
        <v>0</v>
      </c>
      <c r="F12" s="59" t="n">
        <v>260</v>
      </c>
      <c r="G12" s="59" t="n">
        <f aca="false">F12-H12</f>
        <v>260</v>
      </c>
      <c r="H12" s="58" t="n">
        <v>0</v>
      </c>
      <c r="J12" s="55"/>
      <c r="L12" s="0"/>
    </row>
    <row r="13" customFormat="false" ht="19.85" hidden="false" customHeight="true" outlineLevel="0" collapsed="false">
      <c r="A13" s="0" t="n">
        <v>31</v>
      </c>
      <c r="B13" s="31" t="n">
        <v>41275</v>
      </c>
      <c r="C13" s="56" t="n">
        <v>17920</v>
      </c>
      <c r="D13" s="260" t="s">
        <v>42</v>
      </c>
      <c r="E13" s="33" t="n">
        <f aca="false">IF(D13="totale",(C13/(A13*24))/F13,IF(D13="marché libre",(C13/(A13*24))/G13,"spécifier histo"))</f>
        <v>0.0926385442514475</v>
      </c>
      <c r="F13" s="59" t="n">
        <v>260</v>
      </c>
      <c r="G13" s="59" t="n">
        <f aca="false">F13-H13</f>
        <v>260</v>
      </c>
      <c r="H13" s="58" t="n">
        <v>0</v>
      </c>
      <c r="J13" s="55"/>
      <c r="L13" s="0"/>
    </row>
    <row r="14" customFormat="false" ht="19.85" hidden="false" customHeight="true" outlineLevel="0" collapsed="false">
      <c r="A14" s="0" t="n">
        <v>28</v>
      </c>
      <c r="B14" s="34" t="n">
        <v>41306</v>
      </c>
      <c r="C14" s="56" t="n">
        <v>130440</v>
      </c>
      <c r="D14" s="260" t="s">
        <v>42</v>
      </c>
      <c r="E14" s="33" t="n">
        <f aca="false">IF(D14="totale",(C14/(A14*24))/F14,IF(D14="marché libre",(C14/(A14*24))/G14,"spécifier histo"))</f>
        <v>0.746565934065934</v>
      </c>
      <c r="F14" s="59" t="n">
        <v>260</v>
      </c>
      <c r="G14" s="59" t="n">
        <f aca="false">F14-H14</f>
        <v>260</v>
      </c>
      <c r="H14" s="58" t="n">
        <v>0</v>
      </c>
      <c r="J14" s="55"/>
      <c r="L14" s="0"/>
    </row>
    <row r="15" customFormat="false" ht="19.85" hidden="false" customHeight="true" outlineLevel="0" collapsed="false">
      <c r="A15" s="0" t="n">
        <v>31</v>
      </c>
      <c r="B15" s="31" t="n">
        <v>41334</v>
      </c>
      <c r="C15" s="56" t="n">
        <v>159000</v>
      </c>
      <c r="D15" s="260" t="s">
        <v>42</v>
      </c>
      <c r="E15" s="33" t="n">
        <f aca="false">IF(D15="totale",(C15/(A15*24))/F15,IF(D15="marché libre",(C15/(A15*24))/G15,"spécifier histo"))</f>
        <v>0.821960297766749</v>
      </c>
      <c r="F15" s="59" t="n">
        <v>260</v>
      </c>
      <c r="G15" s="59" t="n">
        <f aca="false">F15-H15</f>
        <v>260</v>
      </c>
      <c r="H15" s="58" t="n">
        <v>0</v>
      </c>
      <c r="J15" s="55"/>
      <c r="L15" s="0"/>
    </row>
    <row r="16" customFormat="false" ht="19.85" hidden="false" customHeight="true" outlineLevel="0" collapsed="false">
      <c r="A16" s="0" t="n">
        <v>30</v>
      </c>
      <c r="B16" s="34" t="n">
        <v>41365</v>
      </c>
      <c r="C16" s="56" t="n">
        <v>159640</v>
      </c>
      <c r="D16" s="260" t="s">
        <v>42</v>
      </c>
      <c r="E16" s="33" t="n">
        <f aca="false">IF(D16="totale",(C16/(A16*24))/F16,IF(D16="marché libre",(C16/(A16*24))/G16,"spécifier histo"))</f>
        <v>0.852777777777778</v>
      </c>
      <c r="F16" s="59" t="n">
        <v>260</v>
      </c>
      <c r="G16" s="59" t="n">
        <f aca="false">F16-H16</f>
        <v>260</v>
      </c>
      <c r="H16" s="58" t="n">
        <v>0</v>
      </c>
      <c r="J16" s="55"/>
      <c r="L16" s="0"/>
    </row>
    <row r="17" customFormat="false" ht="19.85" hidden="false" customHeight="true" outlineLevel="0" collapsed="false">
      <c r="A17" s="0" t="n">
        <v>31</v>
      </c>
      <c r="B17" s="31" t="n">
        <v>41395</v>
      </c>
      <c r="C17" s="56" t="n">
        <v>122040</v>
      </c>
      <c r="D17" s="260" t="s">
        <v>42</v>
      </c>
      <c r="E17" s="33" t="n">
        <f aca="false">IF(D17="totale",(C17/(A17*24))/F17,IF(D17="marché libre",(C17/(A17*24))/G17,"spécifier histo"))</f>
        <v>0.630893300248139</v>
      </c>
      <c r="F17" s="59" t="n">
        <v>260</v>
      </c>
      <c r="G17" s="59" t="n">
        <f aca="false">F17-H17</f>
        <v>260</v>
      </c>
      <c r="H17" s="58" t="n">
        <v>0</v>
      </c>
      <c r="J17" s="55"/>
      <c r="L17" s="0"/>
    </row>
    <row r="18" customFormat="false" ht="19.85" hidden="false" customHeight="true" outlineLevel="0" collapsed="false">
      <c r="A18" s="0" t="n">
        <v>30</v>
      </c>
      <c r="B18" s="34" t="n">
        <v>41426</v>
      </c>
      <c r="C18" s="56" t="n">
        <v>104080</v>
      </c>
      <c r="D18" s="260" t="s">
        <v>42</v>
      </c>
      <c r="E18" s="33" t="n">
        <f aca="false">IF(D18="totale",(C18/(A18*24))/F18,IF(D18="marché libre",(C18/(A18*24))/G18,"spécifier histo"))</f>
        <v>0.555982905982906</v>
      </c>
      <c r="F18" s="59" t="n">
        <v>260</v>
      </c>
      <c r="G18" s="59" t="n">
        <f aca="false">F18-H18</f>
        <v>260</v>
      </c>
      <c r="H18" s="58" t="n">
        <v>0</v>
      </c>
      <c r="J18" s="55"/>
      <c r="L18" s="0"/>
    </row>
    <row r="19" customFormat="false" ht="19.85" hidden="false" customHeight="true" outlineLevel="0" collapsed="false">
      <c r="A19" s="0" t="n">
        <v>31</v>
      </c>
      <c r="B19" s="31" t="n">
        <v>41456</v>
      </c>
      <c r="C19" s="56" t="n">
        <v>118400</v>
      </c>
      <c r="D19" s="260" t="s">
        <v>42</v>
      </c>
      <c r="E19" s="33" t="n">
        <f aca="false">IF(D19="totale",(C19/(A19*24))/F19,IF(D19="marché libre",(C19/(A19*24))/G19,"spécifier histo"))</f>
        <v>0.612076095947064</v>
      </c>
      <c r="F19" s="59" t="n">
        <v>260</v>
      </c>
      <c r="G19" s="59" t="n">
        <f aca="false">F19-H19</f>
        <v>260</v>
      </c>
      <c r="H19" s="58" t="n">
        <v>0</v>
      </c>
      <c r="J19" s="55"/>
      <c r="L19" s="0"/>
    </row>
    <row r="20" customFormat="false" ht="19.85" hidden="false" customHeight="true" outlineLevel="0" collapsed="false">
      <c r="A20" s="0" t="n">
        <v>31</v>
      </c>
      <c r="B20" s="34" t="n">
        <v>41487</v>
      </c>
      <c r="C20" s="56" t="n">
        <v>165600</v>
      </c>
      <c r="D20" s="260" t="s">
        <v>42</v>
      </c>
      <c r="E20" s="33" t="n">
        <f aca="false">IF(D20="totale",(C20/(A20*24))/F20,IF(D20="marché libre",(C20/(A20*24))/G20,"spécifier histo"))</f>
        <v>0.856079404466501</v>
      </c>
      <c r="F20" s="59" t="n">
        <v>260</v>
      </c>
      <c r="G20" s="59" t="n">
        <f aca="false">F20-H20</f>
        <v>260</v>
      </c>
      <c r="H20" s="58" t="n">
        <v>0</v>
      </c>
      <c r="J20" s="55"/>
      <c r="L20" s="0"/>
    </row>
    <row r="21" customFormat="false" ht="19.85" hidden="false" customHeight="true" outlineLevel="0" collapsed="false">
      <c r="A21" s="0" t="n">
        <v>30</v>
      </c>
      <c r="B21" s="31" t="n">
        <v>41518</v>
      </c>
      <c r="C21" s="56" t="n">
        <v>102360</v>
      </c>
      <c r="D21" s="260" t="s">
        <v>42</v>
      </c>
      <c r="E21" s="33" t="n">
        <f aca="false">IF(D21="totale",(C21/(A21*24))/F21,IF(D21="marché libre",(C21/(A21*24))/G21,"spécifier histo"))</f>
        <v>0.546794871794872</v>
      </c>
      <c r="F21" s="59" t="n">
        <v>260</v>
      </c>
      <c r="G21" s="59" t="n">
        <f aca="false">F21-H21</f>
        <v>260</v>
      </c>
      <c r="H21" s="58" t="n">
        <v>0</v>
      </c>
      <c r="J21" s="55"/>
      <c r="L21" s="0"/>
    </row>
    <row r="22" customFormat="false" ht="19.85" hidden="false" customHeight="true" outlineLevel="0" collapsed="false">
      <c r="A22" s="0" t="n">
        <v>31</v>
      </c>
      <c r="B22" s="34" t="n">
        <v>41548</v>
      </c>
      <c r="C22" s="56" t="n">
        <v>940</v>
      </c>
      <c r="D22" s="260" t="s">
        <v>42</v>
      </c>
      <c r="E22" s="33" t="n">
        <f aca="false">IF(D22="totale",(C22/(A22*24))/F22,IF(D22="marché libre",(C22/(A22*24))/G22,"spécifier histo"))</f>
        <v>0.00485938792390405</v>
      </c>
      <c r="F22" s="59" t="n">
        <v>260</v>
      </c>
      <c r="G22" s="59" t="n">
        <f aca="false">F22-H22</f>
        <v>260</v>
      </c>
      <c r="H22" s="58" t="n">
        <v>0</v>
      </c>
      <c r="J22" s="55"/>
      <c r="L22" s="0"/>
    </row>
    <row r="23" customFormat="false" ht="19.85" hidden="false" customHeight="true" outlineLevel="0" collapsed="false">
      <c r="A23" s="0" t="n">
        <v>30</v>
      </c>
      <c r="B23" s="31" t="n">
        <v>41579</v>
      </c>
      <c r="C23" s="56" t="n">
        <v>0</v>
      </c>
      <c r="D23" s="260" t="s">
        <v>42</v>
      </c>
      <c r="E23" s="33" t="n">
        <f aca="false">IF(D23="totale",(C23/(A23*24))/F23,IF(D23="marché libre",(C23/(A23*24))/G23,"spécifier histo"))</f>
        <v>0</v>
      </c>
      <c r="F23" s="59" t="n">
        <v>260</v>
      </c>
      <c r="G23" s="59" t="n">
        <f aca="false">F23-H23</f>
        <v>260</v>
      </c>
      <c r="H23" s="58" t="n">
        <v>0</v>
      </c>
      <c r="J23" s="55"/>
      <c r="L23" s="0"/>
    </row>
    <row r="24" customFormat="false" ht="19.85" hidden="false" customHeight="true" outlineLevel="0" collapsed="false">
      <c r="A24" s="0" t="n">
        <v>31</v>
      </c>
      <c r="B24" s="34" t="n">
        <v>41609</v>
      </c>
      <c r="C24" s="56" t="n">
        <v>61160</v>
      </c>
      <c r="D24" s="260" t="s">
        <v>42</v>
      </c>
      <c r="E24" s="33" t="n">
        <f aca="false">IF(D24="totale",(C24/(A24*24))/F24,IF(D24="marché libre",(C24/(A24*24))/G24,"spécifier histo"))</f>
        <v>0.316170388751034</v>
      </c>
      <c r="F24" s="59" t="n">
        <v>260</v>
      </c>
      <c r="G24" s="59" t="n">
        <f aca="false">F24-H24</f>
        <v>260</v>
      </c>
      <c r="H24" s="58" t="n">
        <v>0</v>
      </c>
      <c r="J24" s="55"/>
      <c r="L24" s="0"/>
    </row>
    <row r="25" customFormat="false" ht="19.85" hidden="false" customHeight="true" outlineLevel="0" collapsed="false">
      <c r="A25" s="0" t="n">
        <v>31</v>
      </c>
      <c r="B25" s="31" t="n">
        <v>41640</v>
      </c>
      <c r="C25" s="56" t="n">
        <v>90120</v>
      </c>
      <c r="D25" s="260" t="s">
        <v>42</v>
      </c>
      <c r="E25" s="33" t="n">
        <f aca="false">IF(D25="totale",(C25/(A25*24))/F25,IF(D25="marché libre",(C25/(A25*24))/G25,"spécifier histo"))</f>
        <v>0.465880893300248</v>
      </c>
      <c r="F25" s="59" t="n">
        <v>260</v>
      </c>
      <c r="G25" s="59" t="n">
        <f aca="false">F25-H25</f>
        <v>260</v>
      </c>
      <c r="H25" s="58" t="n">
        <v>0</v>
      </c>
      <c r="J25" s="55"/>
      <c r="L25" s="0"/>
    </row>
    <row r="26" customFormat="false" ht="19.85" hidden="false" customHeight="true" outlineLevel="0" collapsed="false">
      <c r="A26" s="0" t="n">
        <v>28</v>
      </c>
      <c r="B26" s="34" t="n">
        <v>41671</v>
      </c>
      <c r="C26" s="56" t="n">
        <v>120320</v>
      </c>
      <c r="D26" s="260" t="s">
        <v>42</v>
      </c>
      <c r="E26" s="33" t="n">
        <f aca="false">IF(D26="totale",(C26/(A26*24))/F26,IF(D26="marché libre",(C26/(A26*24))/G26,"spécifier histo"))</f>
        <v>0.688644688644689</v>
      </c>
      <c r="F26" s="59" t="n">
        <v>260</v>
      </c>
      <c r="G26" s="59" t="n">
        <f aca="false">F26-H26</f>
        <v>260</v>
      </c>
      <c r="H26" s="58" t="n">
        <v>0</v>
      </c>
      <c r="J26" s="55"/>
      <c r="L26" s="0"/>
    </row>
    <row r="27" customFormat="false" ht="19.85" hidden="false" customHeight="true" outlineLevel="0" collapsed="false">
      <c r="A27" s="0" t="n">
        <v>31</v>
      </c>
      <c r="B27" s="31" t="n">
        <v>41699</v>
      </c>
      <c r="C27" s="56" t="n">
        <v>77760</v>
      </c>
      <c r="D27" s="260" t="s">
        <v>42</v>
      </c>
      <c r="E27" s="33" t="n">
        <f aca="false">IF(D27="totale",(C27/(A27*24))/F27,IF(D27="marché libre",(C27/(A27*24))/G27,"spécifier histo"))</f>
        <v>0.401985111662531</v>
      </c>
      <c r="F27" s="59" t="n">
        <v>260</v>
      </c>
      <c r="G27" s="59" t="n">
        <f aca="false">F27-H27</f>
        <v>260</v>
      </c>
      <c r="H27" s="58" t="n">
        <v>0</v>
      </c>
      <c r="J27" s="55"/>
      <c r="L27" s="0"/>
    </row>
    <row r="28" customFormat="false" ht="19.85" hidden="false" customHeight="true" outlineLevel="0" collapsed="false">
      <c r="A28" s="0" t="n">
        <v>30</v>
      </c>
      <c r="B28" s="34" t="n">
        <v>41730</v>
      </c>
      <c r="C28" s="56" t="n">
        <v>104840</v>
      </c>
      <c r="D28" s="260" t="s">
        <v>42</v>
      </c>
      <c r="E28" s="33" t="n">
        <f aca="false">IF(D28="totale",(C28/(A28*24))/F28,IF(D28="marché libre",(C28/(A28*24))/G28,"spécifier histo"))</f>
        <v>0.560042735042735</v>
      </c>
      <c r="F28" s="59" t="n">
        <v>260</v>
      </c>
      <c r="G28" s="59" t="n">
        <f aca="false">F28-H28</f>
        <v>260</v>
      </c>
      <c r="H28" s="58" t="n">
        <v>0</v>
      </c>
      <c r="J28" s="55"/>
      <c r="L28" s="0"/>
    </row>
    <row r="29" customFormat="false" ht="19.85" hidden="false" customHeight="true" outlineLevel="0" collapsed="false">
      <c r="A29" s="0" t="n">
        <v>31</v>
      </c>
      <c r="B29" s="31" t="n">
        <v>41760</v>
      </c>
      <c r="C29" s="56" t="n">
        <v>136240</v>
      </c>
      <c r="D29" s="260" t="s">
        <v>42</v>
      </c>
      <c r="E29" s="33" t="n">
        <f aca="false">IF(D29="totale",(C29/(A29*24))/F29,IF(D29="marché libre",(C29/(A29*24))/G29,"spécifier histo"))</f>
        <v>0.704301075268817</v>
      </c>
      <c r="F29" s="59" t="n">
        <v>260</v>
      </c>
      <c r="G29" s="59" t="n">
        <f aca="false">F29-H29</f>
        <v>260</v>
      </c>
      <c r="H29" s="58" t="n">
        <v>0</v>
      </c>
      <c r="J29" s="55"/>
      <c r="L29" s="0"/>
    </row>
    <row r="30" customFormat="false" ht="19.85" hidden="false" customHeight="true" outlineLevel="0" collapsed="false">
      <c r="A30" s="0" t="n">
        <v>30</v>
      </c>
      <c r="B30" s="34" t="n">
        <v>41791</v>
      </c>
      <c r="C30" s="56" t="n">
        <v>28200</v>
      </c>
      <c r="D30" s="260" t="s">
        <v>42</v>
      </c>
      <c r="E30" s="33" t="n">
        <f aca="false">IF(D30="totale",(C30/(A30*24))/F30,IF(D30="marché libre",(C30/(A30*24))/G30,"spécifier histo"))</f>
        <v>0.150641025641026</v>
      </c>
      <c r="F30" s="59" t="n">
        <v>260</v>
      </c>
      <c r="G30" s="59" t="n">
        <f aca="false">F30-H30</f>
        <v>260</v>
      </c>
      <c r="H30" s="58" t="n">
        <v>0</v>
      </c>
      <c r="J30" s="55"/>
      <c r="L30" s="0"/>
    </row>
    <row r="31" customFormat="false" ht="19.85" hidden="false" customHeight="true" outlineLevel="0" collapsed="false">
      <c r="A31" s="0" t="n">
        <v>31</v>
      </c>
      <c r="B31" s="31" t="n">
        <v>41821</v>
      </c>
      <c r="C31" s="56" t="n">
        <v>123040</v>
      </c>
      <c r="D31" s="260" t="s">
        <v>42</v>
      </c>
      <c r="E31" s="33" t="n">
        <f aca="false">IF(D31="totale",(C31/(A31*24))/F31,IF(D31="marché libre",(C31/(A31*24))/G31,"spécifier histo"))</f>
        <v>0.636062861869313</v>
      </c>
      <c r="F31" s="59" t="n">
        <v>260</v>
      </c>
      <c r="G31" s="59" t="n">
        <f aca="false">F31-H31</f>
        <v>260</v>
      </c>
      <c r="H31" s="58" t="n">
        <v>0</v>
      </c>
      <c r="J31" s="55"/>
      <c r="L31" s="0"/>
    </row>
    <row r="32" customFormat="false" ht="19.85" hidden="false" customHeight="true" outlineLevel="0" collapsed="false">
      <c r="A32" s="0" t="n">
        <v>31</v>
      </c>
      <c r="B32" s="34" t="n">
        <v>41852</v>
      </c>
      <c r="C32" s="56" t="n">
        <v>64840</v>
      </c>
      <c r="D32" s="260" t="s">
        <v>42</v>
      </c>
      <c r="E32" s="33" t="n">
        <f aca="false">IF(D32="totale",(C32/(A32*24))/F32,IF(D32="marché libre",(C32/(A32*24))/G32,"spécifier histo"))</f>
        <v>0.335194375516956</v>
      </c>
      <c r="F32" s="59" t="n">
        <v>260</v>
      </c>
      <c r="G32" s="59" t="n">
        <f aca="false">F32-H32</f>
        <v>260</v>
      </c>
      <c r="H32" s="58" t="n">
        <v>0</v>
      </c>
      <c r="J32" s="55"/>
      <c r="L32" s="0"/>
    </row>
    <row r="33" customFormat="false" ht="19.85" hidden="false" customHeight="true" outlineLevel="0" collapsed="false">
      <c r="A33" s="0" t="n">
        <v>30</v>
      </c>
      <c r="B33" s="31" t="n">
        <v>41883</v>
      </c>
      <c r="C33" s="56" t="n">
        <v>42400</v>
      </c>
      <c r="D33" s="260" t="s">
        <v>42</v>
      </c>
      <c r="E33" s="33" t="n">
        <f aca="false">IF(D33="totale",(C33/(A33*24))/F33,IF(D33="marché libre",(C33/(A33*24))/G33,"spécifier histo"))</f>
        <v>0.226495726495726</v>
      </c>
      <c r="F33" s="59" t="n">
        <v>260</v>
      </c>
      <c r="G33" s="59" t="n">
        <f aca="false">F33-H33</f>
        <v>260</v>
      </c>
      <c r="H33" s="58" t="n">
        <v>0</v>
      </c>
      <c r="J33" s="55"/>
      <c r="L33" s="0"/>
    </row>
    <row r="34" customFormat="false" ht="19.85" hidden="false" customHeight="true" outlineLevel="0" collapsed="false">
      <c r="A34" s="0" t="n">
        <v>31</v>
      </c>
      <c r="B34" s="34" t="n">
        <v>41913</v>
      </c>
      <c r="C34" s="56" t="n">
        <v>30800</v>
      </c>
      <c r="D34" s="260" t="s">
        <v>42</v>
      </c>
      <c r="E34" s="33" t="n">
        <f aca="false">IF(D34="totale",(C34/(A34*24))/F34,IF(D34="marché libre",(C34/(A34*24))/G34,"spécifier histo"))</f>
        <v>0.159222497932175</v>
      </c>
      <c r="F34" s="59" t="n">
        <v>260</v>
      </c>
      <c r="G34" s="59" t="n">
        <f aca="false">F34-H34</f>
        <v>260</v>
      </c>
      <c r="H34" s="58" t="n">
        <v>0</v>
      </c>
      <c r="J34" s="55"/>
      <c r="L34" s="0"/>
    </row>
    <row r="35" customFormat="false" ht="19.85" hidden="false" customHeight="true" outlineLevel="0" collapsed="false">
      <c r="A35" s="0" t="n">
        <v>30</v>
      </c>
      <c r="B35" s="31" t="n">
        <v>41944</v>
      </c>
      <c r="C35" s="56" t="n">
        <v>31200</v>
      </c>
      <c r="D35" s="260" t="s">
        <v>42</v>
      </c>
      <c r="E35" s="33" t="n">
        <f aca="false">IF(D35="totale",(C35/(A35*24))/F35,IF(D35="marché libre",(C35/(A35*24))/G35,"spécifier histo"))</f>
        <v>0.166666666666667</v>
      </c>
      <c r="F35" s="59" t="n">
        <v>260</v>
      </c>
      <c r="G35" s="59" t="n">
        <f aca="false">F35-H35</f>
        <v>260</v>
      </c>
      <c r="H35" s="58" t="n">
        <v>0</v>
      </c>
      <c r="J35" s="55"/>
      <c r="L35" s="0"/>
    </row>
    <row r="36" customFormat="false" ht="19.95" hidden="false" customHeight="true" outlineLevel="0" collapsed="false">
      <c r="A36" s="0" t="n">
        <v>31</v>
      </c>
      <c r="B36" s="34" t="n">
        <v>41974</v>
      </c>
      <c r="C36" s="56" t="n">
        <v>63480</v>
      </c>
      <c r="D36" s="260" t="s">
        <v>42</v>
      </c>
      <c r="E36" s="33" t="n">
        <f aca="false">IF(D36="totale",(C36/(A36*24))/F36,IF(D36="marché libre",(C36/(A36*24))/G36,"spécifier histo"))</f>
        <v>0.328163771712159</v>
      </c>
      <c r="F36" s="59" t="n">
        <v>260</v>
      </c>
      <c r="G36" s="59" t="n">
        <f aca="false">F36-H36</f>
        <v>260</v>
      </c>
      <c r="H36" s="58" t="n">
        <v>0</v>
      </c>
      <c r="J36" s="55"/>
      <c r="L36" s="0"/>
    </row>
    <row r="37" customFormat="false" ht="19.85" hidden="false" customHeight="true" outlineLevel="0" collapsed="false">
      <c r="A37" s="0" t="n">
        <v>31</v>
      </c>
      <c r="B37" s="31" t="n">
        <v>42005</v>
      </c>
      <c r="C37" s="56" t="n">
        <v>78320</v>
      </c>
      <c r="D37" s="260" t="s">
        <v>42</v>
      </c>
      <c r="E37" s="33" t="n">
        <f aca="false">IF(D37="totale",(C37/(A37*24))/F37,IF(D37="marché libre",(C37/(A37*24))/G37,"spécifier histo"))</f>
        <v>0.404880066170389</v>
      </c>
      <c r="F37" s="59" t="n">
        <v>260</v>
      </c>
      <c r="G37" s="59" t="n">
        <f aca="false">F37-H37</f>
        <v>260</v>
      </c>
      <c r="H37" s="58" t="n">
        <v>0</v>
      </c>
      <c r="J37" s="55"/>
      <c r="L37" s="0"/>
    </row>
    <row r="38" customFormat="false" ht="19.85" hidden="false" customHeight="true" outlineLevel="0" collapsed="false">
      <c r="A38" s="0" t="n">
        <v>28</v>
      </c>
      <c r="B38" s="34" t="n">
        <v>42036</v>
      </c>
      <c r="C38" s="56" t="n">
        <v>60750</v>
      </c>
      <c r="D38" s="260" t="s">
        <v>42</v>
      </c>
      <c r="E38" s="33" t="n">
        <f aca="false">IF(D38="totale",(C38/(A38*24))/F38,IF(D38="marché libre",(C38/(A38*24))/G38,"spécifier histo"))</f>
        <v>0.347699175824176</v>
      </c>
      <c r="F38" s="59" t="n">
        <v>260</v>
      </c>
      <c r="G38" s="59" t="n">
        <f aca="false">F38-H38</f>
        <v>260</v>
      </c>
      <c r="H38" s="58" t="n">
        <v>0</v>
      </c>
      <c r="J38" s="55"/>
      <c r="L38" s="0"/>
    </row>
    <row r="39" customFormat="false" ht="19.85" hidden="false" customHeight="true" outlineLevel="0" collapsed="false">
      <c r="A39" s="0" t="n">
        <v>31</v>
      </c>
      <c r="B39" s="31" t="n">
        <v>42064</v>
      </c>
      <c r="C39" s="56" t="n">
        <v>51929</v>
      </c>
      <c r="D39" s="260" t="s">
        <v>42</v>
      </c>
      <c r="E39" s="33" t="n">
        <f aca="false">IF(D39="totale",(C39/(A39*24))/F39,IF(D39="marché libre",(C39/(A39*24))/G39,"spécifier histo"))</f>
        <v>0.268450165425972</v>
      </c>
      <c r="F39" s="59" t="n">
        <v>260</v>
      </c>
      <c r="G39" s="59" t="n">
        <f aca="false">F39-H39</f>
        <v>260</v>
      </c>
      <c r="H39" s="58" t="n">
        <v>0</v>
      </c>
      <c r="J39" s="55"/>
      <c r="L39" s="0"/>
    </row>
    <row r="40" customFormat="false" ht="19.85" hidden="false" customHeight="true" outlineLevel="0" collapsed="false">
      <c r="A40" s="0" t="n">
        <v>30</v>
      </c>
      <c r="B40" s="34" t="n">
        <v>42095</v>
      </c>
      <c r="C40" s="56" t="n">
        <v>81019</v>
      </c>
      <c r="D40" s="260" t="s">
        <v>42</v>
      </c>
      <c r="E40" s="33" t="n">
        <f aca="false">IF(D40="totale",(C40/(A40*24))/F40,IF(D40="marché libre",(C40/(A40*24))/G40,"spécifier histo"))</f>
        <v>0.432793803418803</v>
      </c>
      <c r="F40" s="59" t="n">
        <v>260</v>
      </c>
      <c r="G40" s="59" t="n">
        <f aca="false">F40-H40</f>
        <v>260</v>
      </c>
      <c r="H40" s="58" t="n">
        <v>0</v>
      </c>
      <c r="J40" s="55"/>
      <c r="L40" s="0"/>
    </row>
    <row r="41" customFormat="false" ht="19.85" hidden="false" customHeight="true" outlineLevel="0" collapsed="false">
      <c r="A41" s="0" t="n">
        <v>31</v>
      </c>
      <c r="B41" s="31" t="n">
        <v>42125</v>
      </c>
      <c r="C41" s="56" t="n">
        <v>67106</v>
      </c>
      <c r="D41" s="260" t="s">
        <v>42</v>
      </c>
      <c r="E41" s="33" t="n">
        <f aca="false">IF(D41="totale",(C41/(A41*24))/F41,IF(D41="marché libre",(C41/(A41*24))/G41,"spécifier histo"))</f>
        <v>0.346908602150538</v>
      </c>
      <c r="F41" s="59" t="n">
        <v>260</v>
      </c>
      <c r="G41" s="59" t="n">
        <f aca="false">F41-H41</f>
        <v>260</v>
      </c>
      <c r="H41" s="58" t="n">
        <v>0</v>
      </c>
      <c r="J41" s="55"/>
      <c r="L41" s="0"/>
    </row>
    <row r="42" customFormat="false" ht="19.85" hidden="false" customHeight="true" outlineLevel="0" collapsed="false">
      <c r="A42" s="0" t="n">
        <v>30</v>
      </c>
      <c r="B42" s="34" t="n">
        <v>42156</v>
      </c>
      <c r="C42" s="56" t="n">
        <v>61977</v>
      </c>
      <c r="D42" s="260" t="s">
        <v>42</v>
      </c>
      <c r="E42" s="33" t="n">
        <f aca="false">IF(D42="totale",(C42/(A42*24))/F42,IF(D42="marché libre",(C42/(A42*24))/G42,"spécifier histo"))</f>
        <v>0.331073717948718</v>
      </c>
      <c r="F42" s="59" t="n">
        <v>260</v>
      </c>
      <c r="G42" s="59" t="n">
        <f aca="false">F42-H42</f>
        <v>260</v>
      </c>
      <c r="H42" s="58" t="n">
        <v>0</v>
      </c>
      <c r="J42" s="55"/>
      <c r="L42" s="0"/>
    </row>
    <row r="43" customFormat="false" ht="19.85" hidden="false" customHeight="true" outlineLevel="0" collapsed="false">
      <c r="A43" s="0" t="n">
        <v>31</v>
      </c>
      <c r="B43" s="31" t="n">
        <v>42186</v>
      </c>
      <c r="C43" s="56" t="n">
        <v>128425</v>
      </c>
      <c r="D43" s="260" t="s">
        <v>42</v>
      </c>
      <c r="E43" s="33" t="n">
        <f aca="false">IF(D43="totale",(C43/(A43*24))/F43,IF(D43="marché libre",(C43/(A43*24))/G43,"spécifier histo"))</f>
        <v>0.663900951199338</v>
      </c>
      <c r="F43" s="59" t="n">
        <v>260</v>
      </c>
      <c r="G43" s="59" t="n">
        <f aca="false">F43-H43</f>
        <v>260</v>
      </c>
      <c r="H43" s="58" t="n">
        <v>0</v>
      </c>
      <c r="J43" s="55"/>
      <c r="L43" s="0"/>
    </row>
    <row r="44" customFormat="false" ht="19.85" hidden="false" customHeight="true" outlineLevel="0" collapsed="false">
      <c r="A44" s="0" t="n">
        <v>31</v>
      </c>
      <c r="B44" s="34" t="n">
        <v>42217</v>
      </c>
      <c r="C44" s="56" t="n">
        <v>62491</v>
      </c>
      <c r="D44" s="260" t="s">
        <v>42</v>
      </c>
      <c r="E44" s="33" t="n">
        <f aca="false">IF(D44="totale",(C44/(A44*24))/F44,IF(D44="marché libre",(C44/(A44*24))/G44,"spécifier histo"))</f>
        <v>0.323051075268817</v>
      </c>
      <c r="F44" s="59" t="n">
        <v>260</v>
      </c>
      <c r="G44" s="59" t="n">
        <f aca="false">F44-H44</f>
        <v>260</v>
      </c>
      <c r="H44" s="58" t="n">
        <v>0</v>
      </c>
      <c r="J44" s="55"/>
      <c r="L44" s="0"/>
    </row>
    <row r="45" customFormat="false" ht="19.85" hidden="false" customHeight="true" outlineLevel="0" collapsed="false">
      <c r="A45" s="0" t="n">
        <v>30</v>
      </c>
      <c r="B45" s="31" t="n">
        <v>42248</v>
      </c>
      <c r="C45" s="56" t="n">
        <v>43310</v>
      </c>
      <c r="D45" s="260" t="s">
        <v>42</v>
      </c>
      <c r="E45" s="33" t="n">
        <f aca="false">IF(D45="totale",(C45/(A45*24))/F45,IF(D45="marché libre",(C45/(A45*24))/G45,"spécifier histo"))</f>
        <v>0.231356837606838</v>
      </c>
      <c r="F45" s="59" t="n">
        <v>260</v>
      </c>
      <c r="G45" s="59" t="n">
        <f aca="false">F45-H45</f>
        <v>260</v>
      </c>
      <c r="H45" s="58" t="n">
        <v>0</v>
      </c>
      <c r="J45" s="55"/>
      <c r="L45" s="0"/>
    </row>
    <row r="46" customFormat="false" ht="19.85" hidden="false" customHeight="true" outlineLevel="0" collapsed="false">
      <c r="A46" s="0" t="n">
        <v>31</v>
      </c>
      <c r="B46" s="34" t="n">
        <v>42278</v>
      </c>
      <c r="C46" s="56" t="n">
        <v>50860</v>
      </c>
      <c r="D46" s="260" t="s">
        <v>42</v>
      </c>
      <c r="E46" s="33" t="n">
        <f aca="false">IF(D46="totale",(C46/(A46*24))/F46,IF(D46="marché libre",(C46/(A46*24))/G46,"spécifier histo"))</f>
        <v>0.262923904052936</v>
      </c>
      <c r="F46" s="59" t="n">
        <v>260</v>
      </c>
      <c r="G46" s="59" t="n">
        <f aca="false">F46-H46</f>
        <v>260</v>
      </c>
      <c r="H46" s="58" t="n">
        <v>0</v>
      </c>
      <c r="J46" s="55"/>
      <c r="L46" s="0"/>
    </row>
    <row r="47" customFormat="false" ht="19.85" hidden="false" customHeight="true" outlineLevel="0" collapsed="false">
      <c r="A47" s="0" t="n">
        <v>30</v>
      </c>
      <c r="B47" s="31" t="n">
        <v>42309</v>
      </c>
      <c r="C47" s="56" t="n">
        <v>22328</v>
      </c>
      <c r="D47" s="260" t="s">
        <v>42</v>
      </c>
      <c r="E47" s="33" t="n">
        <f aca="false">IF(D47="totale",(C47/(A47*24))/F47,IF(D47="marché libre",(C47/(A47*24))/G47,"spécifier histo"))</f>
        <v>0.119273504273504</v>
      </c>
      <c r="F47" s="59" t="n">
        <v>260</v>
      </c>
      <c r="G47" s="59" t="n">
        <f aca="false">F47-H47</f>
        <v>260</v>
      </c>
      <c r="H47" s="58" t="n">
        <v>0</v>
      </c>
      <c r="J47" s="55"/>
    </row>
    <row r="48" customFormat="false" ht="19.85" hidden="false" customHeight="true" outlineLevel="0" collapsed="false">
      <c r="A48" s="0" t="n">
        <v>31</v>
      </c>
      <c r="B48" s="34" t="n">
        <v>42339</v>
      </c>
      <c r="C48" s="56" t="n">
        <v>0</v>
      </c>
      <c r="D48" s="260" t="s">
        <v>42</v>
      </c>
      <c r="E48" s="33" t="n">
        <f aca="false">IF(D48="totale",(C48/(A48*24))/F48,IF(D48="marché libre",(C48/(A48*24))/G48,"spécifier histo"))</f>
        <v>0</v>
      </c>
      <c r="F48" s="59" t="n">
        <v>260</v>
      </c>
      <c r="G48" s="59" t="n">
        <f aca="false">F48-H48</f>
        <v>260</v>
      </c>
      <c r="H48" s="58" t="n">
        <v>0</v>
      </c>
      <c r="J48" s="55"/>
    </row>
    <row r="49" customFormat="false" ht="19.85" hidden="false" customHeight="true" outlineLevel="0" collapsed="false">
      <c r="A49" s="0" t="n">
        <v>31</v>
      </c>
      <c r="B49" s="31" t="n">
        <v>42370</v>
      </c>
      <c r="C49" s="56" t="n">
        <v>1799</v>
      </c>
      <c r="D49" s="260" t="s">
        <v>42</v>
      </c>
      <c r="E49" s="33" t="n">
        <f aca="false">IF(D49="totale",(C49/(A49*24))/F49,IF(D49="marché libre",(C49/(A49*24))/G49,"spécifier histo"))</f>
        <v>0.00930004135649297</v>
      </c>
      <c r="F49" s="59" t="n">
        <v>260</v>
      </c>
      <c r="G49" s="59" t="n">
        <f aca="false">F49-H49</f>
        <v>260</v>
      </c>
      <c r="H49" s="58" t="n">
        <v>0</v>
      </c>
      <c r="J49" s="55"/>
    </row>
    <row r="50" customFormat="false" ht="19.85" hidden="false" customHeight="true" outlineLevel="0" collapsed="false">
      <c r="A50" s="0" t="n">
        <v>28</v>
      </c>
      <c r="B50" s="34" t="n">
        <v>42401</v>
      </c>
      <c r="C50" s="56" t="n">
        <v>8437</v>
      </c>
      <c r="D50" s="260" t="s">
        <v>42</v>
      </c>
      <c r="E50" s="33" t="n">
        <f aca="false">IF(D50="totale",(C50/(A50*24))/F50,IF(D50="marché libre",(C50/(A50*24))/G50,"spécifier histo"))</f>
        <v>0.0482886904761905</v>
      </c>
      <c r="F50" s="59" t="n">
        <v>260</v>
      </c>
      <c r="G50" s="59" t="n">
        <f aca="false">F50-H50</f>
        <v>260</v>
      </c>
      <c r="H50" s="58" t="n">
        <v>0</v>
      </c>
      <c r="J50" s="55"/>
    </row>
    <row r="51" customFormat="false" ht="19.85" hidden="false" customHeight="true" outlineLevel="0" collapsed="false">
      <c r="A51" s="0" t="n">
        <v>31</v>
      </c>
      <c r="B51" s="31" t="n">
        <v>42430</v>
      </c>
      <c r="C51" s="56" t="n">
        <v>0</v>
      </c>
      <c r="D51" s="260" t="s">
        <v>42</v>
      </c>
      <c r="E51" s="33" t="n">
        <f aca="false">IF(D51="totale",(C51/(A51*24))/F51,IF(D51="marché libre",(C51/(A51*24))/G51,"spécifier histo"))</f>
        <v>0</v>
      </c>
      <c r="F51" s="59" t="n">
        <v>260</v>
      </c>
      <c r="G51" s="59" t="n">
        <f aca="false">F51-H51</f>
        <v>260</v>
      </c>
      <c r="H51" s="58" t="n">
        <v>0</v>
      </c>
      <c r="J51" s="55"/>
    </row>
    <row r="52" customFormat="false" ht="19.85" hidden="false" customHeight="true" outlineLevel="0" collapsed="false">
      <c r="A52" s="0" t="n">
        <v>30</v>
      </c>
      <c r="B52" s="34" t="n">
        <v>42461</v>
      </c>
      <c r="C52" s="56" t="n">
        <v>0</v>
      </c>
      <c r="D52" s="260" t="s">
        <v>42</v>
      </c>
      <c r="E52" s="33" t="n">
        <f aca="false">IF(D52="totale",(C52/(A52*24))/F52,IF(D52="marché libre",(C52/(A52*24))/G52,"spécifier histo"))</f>
        <v>0</v>
      </c>
      <c r="F52" s="59" t="n">
        <v>260</v>
      </c>
      <c r="G52" s="59" t="n">
        <f aca="false">F52-H52</f>
        <v>260</v>
      </c>
      <c r="H52" s="58" t="n">
        <v>0</v>
      </c>
      <c r="J52" s="55"/>
    </row>
    <row r="53" customFormat="false" ht="19.85" hidden="false" customHeight="true" outlineLevel="0" collapsed="false">
      <c r="A53" s="0" t="n">
        <v>31</v>
      </c>
      <c r="B53" s="31" t="n">
        <v>42491</v>
      </c>
      <c r="C53" s="56" t="n">
        <v>0</v>
      </c>
      <c r="D53" s="260" t="s">
        <v>42</v>
      </c>
      <c r="E53" s="33" t="n">
        <f aca="false">IF(D53="totale",(C53/(A53*24))/F53,IF(D53="marché libre",(C53/(A53*24))/G53,"spécifier histo"))</f>
        <v>0</v>
      </c>
      <c r="F53" s="59" t="n">
        <v>260</v>
      </c>
      <c r="G53" s="59" t="n">
        <f aca="false">F53-H53</f>
        <v>260</v>
      </c>
      <c r="H53" s="58" t="n">
        <v>0</v>
      </c>
      <c r="J53" s="55"/>
      <c r="K53" s="63"/>
    </row>
    <row r="54" customFormat="false" ht="19.85" hidden="false" customHeight="true" outlineLevel="0" collapsed="false">
      <c r="A54" s="0" t="n">
        <v>30</v>
      </c>
      <c r="B54" s="34" t="n">
        <v>42522</v>
      </c>
      <c r="C54" s="56" t="n">
        <v>100136</v>
      </c>
      <c r="D54" s="260" t="s">
        <v>42</v>
      </c>
      <c r="E54" s="33" t="n">
        <f aca="false">IF(D54="totale",(C54/(A54*24))/F54,IF(D54="marché libre",(C54/(A54*24))/G54,"spécifier histo"))</f>
        <v>0.53491452991453</v>
      </c>
      <c r="F54" s="59" t="n">
        <v>260</v>
      </c>
      <c r="G54" s="58" t="n">
        <f aca="false">F54-H54</f>
        <v>260</v>
      </c>
      <c r="H54" s="59" t="n">
        <v>0</v>
      </c>
      <c r="I54" s="58"/>
      <c r="J54" s="55"/>
      <c r="K54" s="63"/>
    </row>
    <row r="55" customFormat="false" ht="19.85" hidden="false" customHeight="true" outlineLevel="0" collapsed="false">
      <c r="A55" s="0" t="n">
        <v>31</v>
      </c>
      <c r="B55" s="31" t="n">
        <v>42552</v>
      </c>
      <c r="C55" s="56" t="n">
        <v>126516</v>
      </c>
      <c r="D55" s="260" t="s">
        <v>42</v>
      </c>
      <c r="E55" s="33" t="n">
        <f aca="false">IF(D55="totale",(C55/(A55*24))/F55,IF(D55="marché libre",(C55/(A55*24))/G55,"spécifier histo"))</f>
        <v>0.654032258064516</v>
      </c>
      <c r="F55" s="59" t="n">
        <v>260</v>
      </c>
      <c r="G55" s="58" t="n">
        <f aca="false">F55-H55</f>
        <v>260</v>
      </c>
      <c r="H55" s="59" t="n">
        <v>0</v>
      </c>
      <c r="I55" s="58"/>
      <c r="J55" s="55"/>
      <c r="K55" s="63"/>
    </row>
    <row r="56" customFormat="false" ht="19.85" hidden="false" customHeight="true" outlineLevel="0" collapsed="false">
      <c r="A56" s="0" t="n">
        <v>31</v>
      </c>
      <c r="B56" s="34" t="n">
        <v>42583</v>
      </c>
      <c r="C56" s="56" t="n">
        <v>119175</v>
      </c>
      <c r="D56" s="260" t="s">
        <v>42</v>
      </c>
      <c r="E56" s="33" t="n">
        <f aca="false">IF(D56="totale",(C56/(A56*24))/F56,IF(D56="marché libre",(C56/(A56*24))/G56,"spécifier histo"))</f>
        <v>0.616082506203474</v>
      </c>
      <c r="F56" s="59" t="n">
        <v>260</v>
      </c>
      <c r="G56" s="58" t="n">
        <f aca="false">F56-H56</f>
        <v>260</v>
      </c>
      <c r="H56" s="59" t="n">
        <v>0</v>
      </c>
      <c r="I56" s="58"/>
      <c r="J56" s="55"/>
    </row>
    <row r="57" customFormat="false" ht="19.85" hidden="false" customHeight="true" outlineLevel="0" collapsed="false">
      <c r="A57" s="0" t="n">
        <v>30</v>
      </c>
      <c r="B57" s="31" t="n">
        <v>42614</v>
      </c>
      <c r="C57" s="56" t="n">
        <v>34453</v>
      </c>
      <c r="D57" s="260" t="s">
        <v>42</v>
      </c>
      <c r="E57" s="33" t="n">
        <f aca="false">IF(D57="totale",(C57/(A57*24))/F57,IF(D57="marché libre",(C57/(A57*24))/G57,"spécifier histo"))</f>
        <v>0.184043803418803</v>
      </c>
      <c r="F57" s="59" t="n">
        <v>260</v>
      </c>
      <c r="G57" s="58" t="n">
        <f aca="false">F57-H57</f>
        <v>260</v>
      </c>
      <c r="H57" s="59" t="n">
        <v>0</v>
      </c>
      <c r="I57" s="58"/>
      <c r="J57" s="55"/>
    </row>
    <row r="58" customFormat="false" ht="19.85" hidden="false" customHeight="true" outlineLevel="0" collapsed="false">
      <c r="A58" s="0" t="n">
        <v>31</v>
      </c>
      <c r="B58" s="34" t="n">
        <v>42644</v>
      </c>
      <c r="C58" s="56" t="n">
        <v>0</v>
      </c>
      <c r="D58" s="260" t="s">
        <v>42</v>
      </c>
      <c r="E58" s="33" t="n">
        <f aca="false">IF(D58="totale",(C58/(A58*24))/F58,IF(D58="marché libre",(C58/(A58*24))/G58,"spécifier histo"))</f>
        <v>0</v>
      </c>
      <c r="F58" s="59" t="n">
        <v>260</v>
      </c>
      <c r="G58" s="58" t="n">
        <f aca="false">F58-H58</f>
        <v>260</v>
      </c>
      <c r="H58" s="59" t="n">
        <v>0</v>
      </c>
      <c r="I58" s="58"/>
      <c r="J58" s="55"/>
    </row>
    <row r="59" customFormat="false" ht="19.85" hidden="false" customHeight="true" outlineLevel="0" collapsed="false">
      <c r="A59" s="0" t="n">
        <v>30</v>
      </c>
      <c r="B59" s="31" t="n">
        <v>42675</v>
      </c>
      <c r="C59" s="59" t="n">
        <v>0</v>
      </c>
      <c r="D59" s="260" t="s">
        <v>42</v>
      </c>
      <c r="E59" s="33" t="n">
        <f aca="false">IF(D59="totale",(C59/(A59*24))/F59,IF(D59="marché libre",(C59/(A59*24))/G59,"spécifier histo"))</f>
        <v>0</v>
      </c>
      <c r="F59" s="59" t="n">
        <v>260</v>
      </c>
      <c r="G59" s="58" t="n">
        <f aca="false">F59-H59</f>
        <v>260</v>
      </c>
      <c r="H59" s="59" t="n">
        <v>0</v>
      </c>
      <c r="I59" s="58"/>
      <c r="J59" s="55"/>
    </row>
    <row r="60" customFormat="false" ht="19.85" hidden="false" customHeight="true" outlineLevel="0" collapsed="false">
      <c r="A60" s="0" t="n">
        <v>31</v>
      </c>
      <c r="B60" s="34" t="n">
        <v>42705</v>
      </c>
      <c r="C60" s="60" t="n">
        <v>0</v>
      </c>
      <c r="D60" s="260" t="s">
        <v>42</v>
      </c>
      <c r="E60" s="33" t="n">
        <f aca="false">IF(D60="totale",(C60/(A60*24))/F60,IF(D60="marché libre",(C60/(A60*24))/G60,"spécifier histo"))</f>
        <v>0</v>
      </c>
      <c r="F60" s="59" t="n">
        <v>260</v>
      </c>
      <c r="G60" s="58" t="n">
        <f aca="false">F60-H60</f>
        <v>260</v>
      </c>
      <c r="H60" s="59" t="n">
        <v>0</v>
      </c>
      <c r="I60" s="58"/>
      <c r="J60" s="55"/>
    </row>
    <row r="61" customFormat="false" ht="19.85" hidden="false" customHeight="true" outlineLevel="0" collapsed="false">
      <c r="A61" s="0" t="n">
        <v>31</v>
      </c>
      <c r="B61" s="31" t="n">
        <v>42736</v>
      </c>
      <c r="C61" s="60" t="n">
        <v>0</v>
      </c>
      <c r="D61" s="260" t="s">
        <v>42</v>
      </c>
      <c r="E61" s="33" t="n">
        <f aca="false">IF(D61="totale",(C61/(A61*24))/F61,IF(D61="marché libre",(C61/(A61*24))/G61,"spécifier histo"))</f>
        <v>0</v>
      </c>
      <c r="F61" s="59" t="n">
        <v>260</v>
      </c>
      <c r="G61" s="58" t="n">
        <f aca="false">F61-H61</f>
        <v>260</v>
      </c>
      <c r="H61" s="59" t="n">
        <v>0</v>
      </c>
      <c r="I61" s="58"/>
      <c r="J61" s="30"/>
    </row>
    <row r="62" customFormat="false" ht="19.85" hidden="false" customHeight="true" outlineLevel="0" collapsed="false">
      <c r="A62" s="0" t="n">
        <v>28</v>
      </c>
      <c r="B62" s="34" t="n">
        <v>42767</v>
      </c>
      <c r="C62" s="60" t="n">
        <v>0</v>
      </c>
      <c r="D62" s="260" t="s">
        <v>42</v>
      </c>
      <c r="E62" s="33" t="n">
        <f aca="false">IF(D62="totale",(C62/(A62*24))/F62,IF(D62="marché libre",(C62/(A62*24))/G62,"spécifier histo"))</f>
        <v>0</v>
      </c>
      <c r="F62" s="59" t="n">
        <v>260</v>
      </c>
      <c r="G62" s="58" t="n">
        <f aca="false">F62-H62</f>
        <v>260</v>
      </c>
      <c r="H62" s="59" t="n">
        <v>0</v>
      </c>
      <c r="I62" s="58"/>
      <c r="J62" s="55"/>
    </row>
    <row r="63" customFormat="false" ht="19.85" hidden="false" customHeight="true" outlineLevel="0" collapsed="false">
      <c r="A63" s="0" t="n">
        <v>31</v>
      </c>
      <c r="B63" s="31" t="n">
        <v>42795</v>
      </c>
      <c r="C63" s="59" t="n">
        <v>7778</v>
      </c>
      <c r="D63" s="260" t="s">
        <v>42</v>
      </c>
      <c r="E63" s="33" t="n">
        <f aca="false">IF(D63="totale",(C63/(A63*24))/F63,IF(D63="marché libre",(C63/(A63*24))/G63,"spécifier histo"))</f>
        <v>0.0402088502894955</v>
      </c>
      <c r="F63" s="59" t="n">
        <v>260</v>
      </c>
      <c r="G63" s="58" t="n">
        <f aca="false">F63-H63</f>
        <v>260</v>
      </c>
      <c r="H63" s="59" t="n">
        <v>0</v>
      </c>
      <c r="I63" s="58"/>
      <c r="J63" s="55"/>
    </row>
    <row r="64" customFormat="false" ht="19.85" hidden="false" customHeight="true" outlineLevel="0" collapsed="false">
      <c r="A64" s="0" t="n">
        <v>30</v>
      </c>
      <c r="B64" s="34" t="n">
        <v>42826</v>
      </c>
      <c r="C64" s="59" t="n">
        <v>86985</v>
      </c>
      <c r="D64" s="260" t="s">
        <v>42</v>
      </c>
      <c r="E64" s="33" t="n">
        <f aca="false">IF(D64="totale",(C64/(A64*24))/F64,IF(D64="marché libre",(C64/(A64*24))/G64,"spécifier histo"))</f>
        <v>0.464663461538462</v>
      </c>
      <c r="F64" s="59" t="n">
        <v>260</v>
      </c>
      <c r="G64" s="58" t="n">
        <f aca="false">F64-H64</f>
        <v>260</v>
      </c>
      <c r="H64" s="59" t="n">
        <v>0</v>
      </c>
      <c r="I64" s="58"/>
      <c r="J64" s="55"/>
    </row>
    <row r="65" customFormat="false" ht="19.85" hidden="false" customHeight="true" outlineLevel="0" collapsed="false">
      <c r="A65" s="0" t="n">
        <v>31</v>
      </c>
      <c r="B65" s="31" t="n">
        <v>42856</v>
      </c>
      <c r="C65" s="9" t="n">
        <v>67428</v>
      </c>
      <c r="D65" s="260" t="s">
        <v>42</v>
      </c>
      <c r="E65" s="33" t="n">
        <f aca="false">IF(D65="totale",(C65/(A65*24))/F65,IF(D65="marché libre",(C65/(A65*24))/G65,"spécifier histo"))</f>
        <v>0.348573200992556</v>
      </c>
      <c r="F65" s="59" t="n">
        <v>260</v>
      </c>
      <c r="G65" s="58" t="n">
        <f aca="false">F65-H65</f>
        <v>260</v>
      </c>
      <c r="H65" s="59" t="n">
        <v>0</v>
      </c>
      <c r="I65" s="58"/>
      <c r="J65" s="55"/>
    </row>
    <row r="66" customFormat="false" ht="22.45" hidden="false" customHeight="true" outlineLevel="0" collapsed="false">
      <c r="A66" s="0" t="n">
        <v>30</v>
      </c>
      <c r="B66" s="34" t="n">
        <v>42887</v>
      </c>
      <c r="C66" s="9" t="n">
        <v>97528</v>
      </c>
      <c r="D66" s="260" t="s">
        <v>42</v>
      </c>
      <c r="E66" s="33" t="n">
        <f aca="false">IF(D66="totale",(C66/(A66*24))/F66,IF(D66="marché libre",(C66/(A66*24))/G66,"spécifier histo"))</f>
        <v>0.520982905982906</v>
      </c>
      <c r="F66" s="59" t="n">
        <v>260</v>
      </c>
      <c r="G66" s="58" t="n">
        <f aca="false">F66-H66</f>
        <v>260</v>
      </c>
      <c r="H66" s="59" t="n">
        <v>0</v>
      </c>
      <c r="I66" s="58"/>
      <c r="J66" s="55"/>
    </row>
    <row r="67" customFormat="false" ht="21.65" hidden="false" customHeight="true" outlineLevel="0" collapsed="false">
      <c r="A67" s="0" t="n">
        <v>31</v>
      </c>
      <c r="B67" s="31" t="n">
        <v>42917</v>
      </c>
      <c r="C67" s="9" t="n">
        <v>42609</v>
      </c>
      <c r="D67" s="260" t="s">
        <v>42</v>
      </c>
      <c r="E67" s="33" t="n">
        <f aca="false">IF(D67="totale",(C67/(A67*24))/F67,IF(D67="marché libre",(C67/(A67*24))/G67,"spécifier histo"))</f>
        <v>0.220269851116625</v>
      </c>
      <c r="F67" s="59" t="n">
        <v>260</v>
      </c>
      <c r="G67" s="58" t="n">
        <f aca="false">F67-H67</f>
        <v>260</v>
      </c>
      <c r="H67" s="59" t="n">
        <v>0</v>
      </c>
      <c r="I67" s="58"/>
      <c r="J67" s="55"/>
    </row>
    <row r="68" customFormat="false" ht="21.65" hidden="false" customHeight="true" outlineLevel="0" collapsed="false">
      <c r="A68" s="0" t="n">
        <v>31</v>
      </c>
      <c r="B68" s="34" t="n">
        <v>42948</v>
      </c>
      <c r="C68" s="9" t="n">
        <v>73273</v>
      </c>
      <c r="D68" s="260" t="s">
        <v>42</v>
      </c>
      <c r="E68" s="33" t="n">
        <f aca="false">IF(D68="totale",(C68/(A68*24))/F68,IF(D68="marché libre",(C68/(A68*24))/G68,"spécifier histo"))</f>
        <v>0.378789288668321</v>
      </c>
      <c r="F68" s="59" t="n">
        <v>260</v>
      </c>
      <c r="G68" s="58" t="n">
        <f aca="false">F68-H68</f>
        <v>260</v>
      </c>
      <c r="H68" s="59" t="n">
        <v>0</v>
      </c>
      <c r="I68" s="58"/>
      <c r="J68" s="55"/>
    </row>
    <row r="69" customFormat="false" ht="21.65" hidden="false" customHeight="true" outlineLevel="0" collapsed="false">
      <c r="A69" s="0" t="n">
        <v>30</v>
      </c>
      <c r="B69" s="31" t="n">
        <v>42979</v>
      </c>
      <c r="C69" s="9" t="n">
        <v>1147</v>
      </c>
      <c r="D69" s="260" t="s">
        <v>42</v>
      </c>
      <c r="E69" s="33" t="n">
        <f aca="false">IF(D69="totale",(C69/(A69*24))/F69,IF(D69="marché libre",(C69/(A69*24))/G69,"spécifier histo"))</f>
        <v>0.00612713675213675</v>
      </c>
      <c r="F69" s="59" t="n">
        <v>260</v>
      </c>
      <c r="G69" s="59" t="n">
        <f aca="false">F69-H69</f>
        <v>260</v>
      </c>
      <c r="H69" s="59" t="n">
        <v>0</v>
      </c>
      <c r="J69" s="55"/>
    </row>
    <row r="70" customFormat="false" ht="21.65" hidden="false" customHeight="true" outlineLevel="0" collapsed="false">
      <c r="A70" s="0" t="n">
        <v>31</v>
      </c>
      <c r="B70" s="34" t="n">
        <v>43009</v>
      </c>
      <c r="C70" s="9" t="n">
        <v>1</v>
      </c>
      <c r="D70" s="260" t="s">
        <v>42</v>
      </c>
      <c r="E70" s="33" t="n">
        <f aca="false">IF(D70="totale",(C70/(A70*24))/F70,IF(D70="marché libre",(C70/(A70*24))/G70,"spécifier histo"))</f>
        <v>5.16956162117453E-006</v>
      </c>
      <c r="F70" s="59" t="n">
        <v>260</v>
      </c>
      <c r="G70" s="59" t="n">
        <f aca="false">F70-H70</f>
        <v>260</v>
      </c>
      <c r="H70" s="59" t="n">
        <v>0</v>
      </c>
      <c r="J70" s="55"/>
    </row>
    <row r="71" customFormat="false" ht="21.65" hidden="false" customHeight="true" outlineLevel="0" collapsed="false">
      <c r="A71" s="0" t="n">
        <v>30</v>
      </c>
      <c r="B71" s="31" t="n">
        <v>43040</v>
      </c>
      <c r="C71" s="9" t="n">
        <v>0</v>
      </c>
      <c r="D71" s="260" t="s">
        <v>42</v>
      </c>
      <c r="E71" s="33" t="n">
        <f aca="false">IF(D71="totale",(C71/(A71*24))/F71,IF(D71="marché libre",(C71/(A71*24))/G71,"spécifier histo"))</f>
        <v>0</v>
      </c>
      <c r="F71" s="59" t="n">
        <v>260</v>
      </c>
      <c r="G71" s="59" t="n">
        <f aca="false">F71-H71</f>
        <v>260</v>
      </c>
      <c r="H71" s="59" t="n">
        <v>0</v>
      </c>
      <c r="J71" s="55"/>
    </row>
    <row r="72" customFormat="false" ht="21.65" hidden="false" customHeight="true" outlineLevel="0" collapsed="false">
      <c r="A72" s="0" t="n">
        <v>31</v>
      </c>
      <c r="B72" s="34" t="n">
        <v>43070</v>
      </c>
      <c r="C72" s="9" t="n">
        <v>0</v>
      </c>
      <c r="D72" s="260" t="s">
        <v>42</v>
      </c>
      <c r="E72" s="33" t="n">
        <f aca="false">IF(D72="totale",(C72/(A72*24))/F72,IF(D72="marché libre",(C72/(A72*24))/G72,"spécifier histo"))</f>
        <v>0</v>
      </c>
      <c r="F72" s="59" t="n">
        <v>260</v>
      </c>
      <c r="G72" s="59" t="n">
        <f aca="false">F72-H72</f>
        <v>260</v>
      </c>
      <c r="H72" s="59" t="n">
        <v>0</v>
      </c>
      <c r="J72" s="55"/>
    </row>
    <row r="73" customFormat="false" ht="28.35" hidden="false" customHeight="true" outlineLevel="0" collapsed="false">
      <c r="A73" s="0" t="n">
        <v>31</v>
      </c>
      <c r="B73" s="31" t="n">
        <v>43101</v>
      </c>
      <c r="C73" s="9" t="n">
        <v>82665</v>
      </c>
      <c r="D73" s="260" t="s">
        <v>42</v>
      </c>
      <c r="E73" s="33" t="n">
        <f aca="false">IF(D73="totale",(C73/(A73*24))/F73,IF(D73="marché libre",(C73/(A73*24))/G73,"spécifier histo"))</f>
        <v>0.427341811414392</v>
      </c>
      <c r="F73" s="59" t="n">
        <v>260</v>
      </c>
      <c r="G73" s="59" t="n">
        <f aca="false">F73-H73</f>
        <v>260</v>
      </c>
      <c r="H73" s="59" t="n">
        <v>0</v>
      </c>
      <c r="J73" s="30"/>
    </row>
    <row r="74" customFormat="false" ht="28.35" hidden="false" customHeight="true" outlineLevel="0" collapsed="false">
      <c r="A74" s="0" t="n">
        <v>28</v>
      </c>
      <c r="B74" s="34" t="n">
        <v>43132</v>
      </c>
      <c r="C74" s="1" t="n">
        <v>122750</v>
      </c>
      <c r="D74" s="260" t="s">
        <v>42</v>
      </c>
      <c r="E74" s="33" t="n">
        <f aca="false">IF(D74="totale",(C74/(A74*24))/F74,IF(D74="marché libre",(C74/(A74*24))/G74,"spécifier histo"))</f>
        <v>0.702552655677656</v>
      </c>
      <c r="F74" s="59" t="n">
        <v>260</v>
      </c>
      <c r="G74" s="59" t="n">
        <f aca="false">F74-H74</f>
        <v>260</v>
      </c>
      <c r="H74" s="59" t="n">
        <v>0</v>
      </c>
    </row>
    <row r="75" customFormat="false" ht="28.35" hidden="false" customHeight="true" outlineLevel="0" collapsed="false">
      <c r="A75" s="0" t="n">
        <v>31</v>
      </c>
      <c r="B75" s="31" t="n">
        <v>43160</v>
      </c>
      <c r="C75" s="1" t="n">
        <v>133324</v>
      </c>
      <c r="D75" s="260" t="s">
        <v>42</v>
      </c>
      <c r="E75" s="33" t="n">
        <f aca="false">IF(D75="totale",(C75/(A75*24))/F75,IF(D75="marché libre",(C75/(A75*24))/G75,"spécifier histo"))</f>
        <v>0.689226633581472</v>
      </c>
      <c r="F75" s="59" t="n">
        <v>260</v>
      </c>
      <c r="G75" s="59" t="n">
        <f aca="false">F75-H75</f>
        <v>260</v>
      </c>
      <c r="H75" s="59" t="n">
        <v>0</v>
      </c>
    </row>
    <row r="76" customFormat="false" ht="28.35" hidden="false" customHeight="true" outlineLevel="0" collapsed="false">
      <c r="A76" s="0" t="n">
        <v>30</v>
      </c>
      <c r="B76" s="34" t="n">
        <v>43191</v>
      </c>
      <c r="C76" s="1" t="n">
        <v>127224</v>
      </c>
      <c r="D76" s="260" t="s">
        <v>42</v>
      </c>
      <c r="E76" s="33" t="n">
        <f aca="false">IF(D76="totale",(C76/(A76*24))/F76,IF(D76="marché libre",(C76/(A76*24))/G76,"spécifier histo"))</f>
        <v>0.679615384615385</v>
      </c>
      <c r="F76" s="59" t="n">
        <v>260</v>
      </c>
      <c r="G76" s="59" t="n">
        <f aca="false">F76-H76</f>
        <v>260</v>
      </c>
      <c r="H76" s="59" t="n">
        <v>0</v>
      </c>
    </row>
    <row r="77" customFormat="false" ht="28.35" hidden="false" customHeight="true" outlineLevel="0" collapsed="false">
      <c r="A77" s="0" t="n">
        <v>31</v>
      </c>
      <c r="B77" s="31" t="n">
        <v>43221</v>
      </c>
      <c r="C77" s="1" t="n">
        <v>109558</v>
      </c>
      <c r="D77" s="260" t="s">
        <v>42</v>
      </c>
      <c r="E77" s="33" t="n">
        <f aca="false">IF(D77="totale",(C77/(A77*24))/F77,IF(D77="marché libre",(C77/(A77*24))/G77,"spécifier histo"))</f>
        <v>0.566366832092638</v>
      </c>
      <c r="F77" s="59" t="n">
        <v>260</v>
      </c>
      <c r="G77" s="59" t="n">
        <f aca="false">F77-H77</f>
        <v>260</v>
      </c>
      <c r="H77" s="59" t="n">
        <v>0</v>
      </c>
    </row>
    <row r="78" customFormat="false" ht="12.8" hidden="false" customHeight="false" outlineLevel="0" collapsed="false">
      <c r="A78" s="0"/>
    </row>
    <row r="79" customFormat="false" ht="12.8" hidden="false" customHeight="false" outlineLevel="0" collapsed="false">
      <c r="A79" s="0"/>
    </row>
    <row r="80" customFormat="false" ht="12.8" hidden="false" customHeight="false" outlineLevel="0" collapsed="false">
      <c r="A80" s="0"/>
    </row>
    <row r="81" customFormat="false" ht="12.8" hidden="false" customHeight="false" outlineLevel="0" collapsed="false">
      <c r="A81" s="0"/>
    </row>
    <row r="82" customFormat="false" ht="12.8" hidden="false" customHeight="false" outlineLevel="0" collapsed="false">
      <c r="A82" s="0"/>
    </row>
    <row r="83" customFormat="false" ht="12.8" hidden="false" customHeight="false" outlineLevel="0" collapsed="false">
      <c r="A83" s="0"/>
    </row>
    <row r="84" customFormat="false" ht="12.8" hidden="false" customHeight="false" outlineLevel="0" collapsed="false">
      <c r="A84" s="0"/>
    </row>
    <row r="85" customFormat="false" ht="12.8" hidden="false" customHeight="false" outlineLevel="0" collapsed="false">
      <c r="A85" s="0"/>
    </row>
    <row r="86" customFormat="false" ht="12.8" hidden="false" customHeight="false" outlineLevel="0" collapsed="false">
      <c r="A86" s="0"/>
    </row>
    <row r="87" customFormat="false" ht="12.8" hidden="false" customHeight="false" outlineLevel="0" collapsed="false">
      <c r="A87" s="0"/>
    </row>
    <row r="88" customFormat="false" ht="12.8" hidden="false" customHeight="false" outlineLevel="0" collapsed="false">
      <c r="A88" s="0"/>
    </row>
    <row r="89" customFormat="false" ht="12.8" hidden="false" customHeight="false" outlineLevel="0" collapsed="false">
      <c r="A89" s="0"/>
    </row>
    <row r="90" customFormat="false" ht="12.8" hidden="false" customHeight="false" outlineLevel="0" collapsed="false">
      <c r="A90" s="0"/>
    </row>
    <row r="91" customFormat="false" ht="12.8" hidden="false" customHeight="false" outlineLevel="0" collapsed="false">
      <c r="A91" s="0"/>
    </row>
    <row r="92" customFormat="false" ht="12.8" hidden="false" customHeight="false" outlineLevel="0" collapsed="false">
      <c r="A92" s="0"/>
    </row>
    <row r="93" customFormat="false" ht="12.8" hidden="false" customHeight="false" outlineLevel="0" collapsed="false">
      <c r="A93" s="0"/>
    </row>
    <row r="94" customFormat="false" ht="12.8" hidden="false" customHeight="false" outlineLevel="0" collapsed="false">
      <c r="A94" s="0"/>
    </row>
    <row r="95" customFormat="false" ht="12.8" hidden="false" customHeight="false" outlineLevel="0" collapsed="false">
      <c r="A95" s="0"/>
    </row>
    <row r="96" customFormat="false" ht="12.8" hidden="false" customHeight="false" outlineLevel="0" collapsed="false">
      <c r="A96" s="0"/>
    </row>
    <row r="97" customFormat="false" ht="12.8" hidden="false" customHeight="false" outlineLevel="0" collapsed="false">
      <c r="A97" s="0"/>
    </row>
    <row r="98" customFormat="false" ht="12.8" hidden="false" customHeight="false" outlineLevel="0" collapsed="false">
      <c r="A98" s="0"/>
    </row>
    <row r="99" customFormat="false" ht="12.8" hidden="false" customHeight="false" outlineLevel="0" collapsed="false">
      <c r="A99" s="0"/>
    </row>
    <row r="100" customFormat="false" ht="12.8" hidden="false" customHeight="false" outlineLevel="0" collapsed="false">
      <c r="A100" s="0"/>
    </row>
    <row r="101" customFormat="false" ht="12.8" hidden="false" customHeight="false" outlineLevel="0" collapsed="false">
      <c r="A101" s="0"/>
    </row>
    <row r="102" customFormat="false" ht="12.8" hidden="false" customHeight="false" outlineLevel="0" collapsed="false">
      <c r="A102" s="0"/>
    </row>
    <row r="103" customFormat="false" ht="12.8" hidden="false" customHeight="false" outlineLevel="0" collapsed="false">
      <c r="A103" s="0"/>
    </row>
    <row r="104" customFormat="false" ht="12.8" hidden="false" customHeight="false" outlineLevel="0" collapsed="false">
      <c r="A104" s="0"/>
    </row>
    <row r="105" customFormat="false" ht="12.8" hidden="false" customHeight="false" outlineLevel="0" collapsed="false">
      <c r="A105"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77">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1.xml><?xml version="1.0" encoding="utf-8"?>
<worksheet xmlns="http://schemas.openxmlformats.org/spreadsheetml/2006/main" xmlns:r="http://schemas.openxmlformats.org/officeDocument/2006/relationships">
  <sheetPr filterMode="false">
    <tabColor rgb="FF00CC33"/>
    <pageSetUpPr fitToPage="false"/>
  </sheetPr>
  <dimension ref="A1:AD14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8" topLeftCell="B9" activePane="bottomRight" state="frozen"/>
      <selection pane="topLeft" activeCell="A1" activeCellId="0" sqref="A1"/>
      <selection pane="topRight" activeCell="B1" activeCellId="0" sqref="B1"/>
      <selection pane="bottomLeft" activeCell="A9" activeCellId="0" sqref="A9"/>
      <selection pane="bottomRight" activeCell="I18" activeCellId="0" sqref="I1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52"/>
    <col collapsed="false" customWidth="true" hidden="false" outlineLevel="0" max="5" min="5" style="1" width="18.38"/>
    <col collapsed="false" customWidth="true" hidden="false" outlineLevel="0" max="6" min="6" style="1" width="16.07"/>
    <col collapsed="false" customWidth="true" hidden="false" outlineLevel="0" max="7" min="7" style="1" width="14.66"/>
    <col collapsed="false" customWidth="true" hidden="false" outlineLevel="0" max="8" min="8" style="1" width="16.67"/>
    <col collapsed="false" customWidth="true" hidden="false" outlineLevel="0" max="9" min="9" style="1" width="19.31"/>
    <col collapsed="false" customWidth="true" hidden="false" outlineLevel="0" max="10" min="10" style="29" width="23.46"/>
    <col collapsed="false" customWidth="true" hidden="false" outlineLevel="0" max="11" min="11" style="1" width="19.77"/>
    <col collapsed="false" customWidth="true" hidden="false" outlineLevel="0" max="12" min="12" style="1" width="24.54"/>
    <col collapsed="false" customWidth="false" hidden="false" outlineLevel="0" max="13" min="13" style="1" width="11.52"/>
    <col collapsed="false" customWidth="true" hidden="false" outlineLevel="0" max="14" min="14" style="1" width="9.4"/>
    <col collapsed="false" customWidth="true" hidden="false" outlineLevel="0" max="15" min="15" style="1" width="5.24"/>
    <col collapsed="false" customWidth="false" hidden="false" outlineLevel="0" max="16" min="16" style="1" width="11.52"/>
    <col collapsed="false" customWidth="true" hidden="false" outlineLevel="0" max="17" min="17" style="1" width="15.42"/>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197"/>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40" t="s">
        <v>3</v>
      </c>
      <c r="K2" s="340"/>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341" t="s">
        <v>17</v>
      </c>
      <c r="K3" s="10" t="s">
        <v>18</v>
      </c>
      <c r="L3" s="10" t="s">
        <v>19</v>
      </c>
      <c r="M3" s="10" t="s">
        <v>17</v>
      </c>
      <c r="N3" s="3"/>
      <c r="P3" s="12"/>
      <c r="Q3" s="5" t="s">
        <v>20</v>
      </c>
      <c r="S3" s="13"/>
      <c r="T3" s="7" t="s">
        <v>21</v>
      </c>
      <c r="U3" s="8"/>
      <c r="V3" s="9"/>
    </row>
    <row r="4" customFormat="false" ht="42.45" hidden="false" customHeight="true" outlineLevel="0" collapsed="false">
      <c r="A4" s="0"/>
      <c r="B4" s="5" t="s">
        <v>568</v>
      </c>
      <c r="C4" s="5" t="n">
        <v>61904</v>
      </c>
      <c r="D4" s="5" t="s">
        <v>569</v>
      </c>
      <c r="E4" s="14" t="s">
        <v>501</v>
      </c>
      <c r="F4" s="15" t="n">
        <v>1050</v>
      </c>
      <c r="G4" s="15" t="n">
        <v>1061</v>
      </c>
      <c r="H4" s="15" t="n">
        <v>750</v>
      </c>
      <c r="I4" s="16"/>
      <c r="J4" s="342" t="n">
        <v>750</v>
      </c>
      <c r="K4" s="16"/>
      <c r="L4" s="16" t="n">
        <v>300</v>
      </c>
      <c r="M4" s="16"/>
      <c r="N4" s="17"/>
      <c r="P4" s="17"/>
      <c r="Q4" s="16" t="s">
        <v>23</v>
      </c>
      <c r="S4" s="18"/>
      <c r="T4" s="19" t="s">
        <v>24</v>
      </c>
      <c r="U4" s="19"/>
      <c r="V4" s="19"/>
    </row>
    <row r="5" customFormat="false" ht="28.35" hidden="false" customHeight="true" outlineLevel="0" collapsed="false">
      <c r="A5" s="0"/>
      <c r="F5" s="9"/>
      <c r="G5" s="9"/>
      <c r="H5" s="9"/>
      <c r="J5" s="59"/>
      <c r="P5" s="9"/>
      <c r="Q5" s="9"/>
    </row>
    <row r="6" customFormat="false" ht="44.95" hidden="false" customHeight="true" outlineLevel="0" collapsed="false">
      <c r="A6" s="0"/>
      <c r="B6" s="0"/>
      <c r="C6" s="10" t="s">
        <v>25</v>
      </c>
      <c r="D6" s="10"/>
      <c r="F6" s="20" t="s">
        <v>26</v>
      </c>
      <c r="G6" s="19" t="s">
        <v>570</v>
      </c>
      <c r="H6" s="19"/>
      <c r="I6" s="19"/>
      <c r="J6" s="19"/>
      <c r="K6" s="19"/>
      <c r="L6" s="19"/>
      <c r="M6" s="19"/>
      <c r="N6" s="19"/>
      <c r="P6" s="21"/>
      <c r="Q6" s="19" t="s">
        <v>27</v>
      </c>
      <c r="R6" s="9"/>
      <c r="S6" s="22"/>
      <c r="T6" s="5" t="s">
        <v>28</v>
      </c>
    </row>
    <row r="7" customFormat="false" ht="66.9" hidden="false" customHeight="true" outlineLevel="0" collapsed="false">
      <c r="A7" s="0"/>
      <c r="B7" s="0"/>
      <c r="C7" s="126" t="s">
        <v>571</v>
      </c>
      <c r="D7" s="126"/>
      <c r="F7" s="20"/>
      <c r="G7" s="20"/>
      <c r="H7" s="19"/>
      <c r="I7" s="19"/>
      <c r="J7" s="19"/>
      <c r="K7" s="19"/>
      <c r="L7" s="19"/>
      <c r="M7" s="19"/>
      <c r="N7" s="19"/>
      <c r="P7" s="24"/>
      <c r="Q7" s="5" t="s">
        <v>29</v>
      </c>
      <c r="R7" s="9"/>
      <c r="S7" s="25"/>
      <c r="T7" s="5" t="s">
        <v>30</v>
      </c>
    </row>
    <row r="8" customFormat="false" ht="43.3" hidden="false" customHeight="true" outlineLevel="0" collapsed="false">
      <c r="C8" s="0"/>
      <c r="G8" s="9"/>
      <c r="H8" s="9"/>
      <c r="I8" s="9"/>
      <c r="K8" s="9"/>
      <c r="R8" s="9"/>
      <c r="S8" s="27"/>
      <c r="T8" s="16" t="s">
        <v>31</v>
      </c>
    </row>
    <row r="9" customFormat="false" ht="40.8" hidden="false" customHeight="true" outlineLevel="0" collapsed="false">
      <c r="B9" s="9" t="s">
        <v>32</v>
      </c>
      <c r="C9" s="1" t="s">
        <v>33</v>
      </c>
      <c r="D9" s="0"/>
      <c r="E9" s="1" t="s">
        <v>35</v>
      </c>
      <c r="F9" s="9" t="s">
        <v>97</v>
      </c>
      <c r="G9" s="9" t="s">
        <v>37</v>
      </c>
      <c r="H9" s="9" t="s">
        <v>38</v>
      </c>
      <c r="I9" s="9" t="s">
        <v>39</v>
      </c>
      <c r="J9" s="205" t="s">
        <v>40</v>
      </c>
    </row>
    <row r="10" customFormat="false" ht="19.85" hidden="false" customHeight="true" outlineLevel="0" collapsed="false">
      <c r="A10" s="1" t="n">
        <v>31</v>
      </c>
      <c r="B10" s="31" t="n">
        <v>39448</v>
      </c>
      <c r="C10" s="1" t="n">
        <v>402600</v>
      </c>
      <c r="D10" s="9" t="s">
        <v>41</v>
      </c>
      <c r="E10" s="33" t="n">
        <f aca="false">IF(D10="totale",(C10/(A10*24))/F10,IF(D10="marché libre",(C10/(A10*24))/G10,"spécifier histo"))</f>
        <v>0.515360983102919</v>
      </c>
      <c r="F10" s="59" t="n">
        <v>1050</v>
      </c>
      <c r="G10" s="59" t="n">
        <v>750</v>
      </c>
      <c r="H10" s="9" t="n">
        <v>300</v>
      </c>
      <c r="I10" s="9"/>
      <c r="J10" s="216"/>
      <c r="L10" s="0"/>
      <c r="M10" s="0"/>
      <c r="P10" s="0"/>
      <c r="S10" s="0"/>
      <c r="V10" s="0"/>
      <c r="X10" s="0"/>
      <c r="AD10" s="0"/>
    </row>
    <row r="11" customFormat="false" ht="19.85" hidden="false" customHeight="true" outlineLevel="0" collapsed="false">
      <c r="A11" s="1" t="n">
        <v>28</v>
      </c>
      <c r="B11" s="34" t="n">
        <v>39479</v>
      </c>
      <c r="C11" s="1" t="n">
        <v>273240</v>
      </c>
      <c r="D11" s="9" t="s">
        <v>41</v>
      </c>
      <c r="E11" s="33" t="n">
        <f aca="false">IF(D11="totale",(C11/(A11*24))/F11,IF(D11="marché libre",(C11/(A11*24))/G11,"spécifier histo"))</f>
        <v>0.387244897959184</v>
      </c>
      <c r="F11" s="59" t="n">
        <v>1050</v>
      </c>
      <c r="G11" s="59" t="n">
        <v>750</v>
      </c>
      <c r="H11" s="9" t="n">
        <v>300</v>
      </c>
      <c r="I11" s="9"/>
      <c r="J11" s="216"/>
      <c r="L11" s="0"/>
      <c r="M11" s="0"/>
      <c r="P11" s="0"/>
      <c r="S11" s="0"/>
      <c r="V11" s="0"/>
      <c r="X11" s="0"/>
      <c r="AD11" s="0"/>
    </row>
    <row r="12" customFormat="false" ht="19.85" hidden="false" customHeight="true" outlineLevel="0" collapsed="false">
      <c r="A12" s="1" t="n">
        <v>31</v>
      </c>
      <c r="B12" s="31" t="n">
        <v>39508</v>
      </c>
      <c r="C12" s="1" t="n">
        <v>479760</v>
      </c>
      <c r="D12" s="9" t="s">
        <v>41</v>
      </c>
      <c r="E12" s="33" t="n">
        <f aca="false">IF(D12="totale",(C12/(A12*24))/F12,IF(D12="marché libre",(C12/(A12*24))/G12,"spécifier histo"))</f>
        <v>0.614132104454685</v>
      </c>
      <c r="F12" s="59" t="n">
        <v>1050</v>
      </c>
      <c r="G12" s="59" t="n">
        <v>750</v>
      </c>
      <c r="H12" s="9" t="n">
        <v>300</v>
      </c>
      <c r="I12" s="9"/>
      <c r="J12" s="216"/>
      <c r="L12" s="0"/>
      <c r="M12" s="0"/>
      <c r="P12" s="0"/>
      <c r="S12" s="0"/>
      <c r="V12" s="0"/>
      <c r="X12" s="0"/>
      <c r="AD12" s="0"/>
    </row>
    <row r="13" customFormat="false" ht="19.85" hidden="false" customHeight="true" outlineLevel="0" collapsed="false">
      <c r="A13" s="1" t="n">
        <v>30</v>
      </c>
      <c r="B13" s="34" t="n">
        <v>39539</v>
      </c>
      <c r="C13" s="1" t="n">
        <v>503520</v>
      </c>
      <c r="D13" s="9" t="s">
        <v>41</v>
      </c>
      <c r="E13" s="33" t="n">
        <f aca="false">IF(D13="totale",(C13/(A13*24))/F13,IF(D13="marché libre",(C13/(A13*24))/G13,"spécifier histo"))</f>
        <v>0.666031746031746</v>
      </c>
      <c r="F13" s="59" t="n">
        <v>1050</v>
      </c>
      <c r="G13" s="59" t="n">
        <v>750</v>
      </c>
      <c r="H13" s="9" t="n">
        <v>300</v>
      </c>
      <c r="I13" s="9"/>
      <c r="J13" s="216"/>
      <c r="L13" s="0"/>
      <c r="M13" s="0"/>
      <c r="P13" s="0"/>
      <c r="S13" s="0"/>
      <c r="V13" s="0"/>
      <c r="X13" s="0"/>
      <c r="AD13" s="0"/>
    </row>
    <row r="14" customFormat="false" ht="19.85" hidden="false" customHeight="true" outlineLevel="0" collapsed="false">
      <c r="A14" s="1" t="n">
        <v>31</v>
      </c>
      <c r="B14" s="31" t="n">
        <v>39569</v>
      </c>
      <c r="C14" s="1" t="n">
        <v>489720</v>
      </c>
      <c r="D14" s="9" t="s">
        <v>41</v>
      </c>
      <c r="E14" s="33" t="n">
        <f aca="false">IF(D14="totale",(C14/(A14*24))/F14,IF(D14="marché libre",(C14/(A14*24))/G14,"spécifier histo"))</f>
        <v>0.626881720430108</v>
      </c>
      <c r="F14" s="59" t="n">
        <v>1050</v>
      </c>
      <c r="G14" s="59" t="n">
        <v>750</v>
      </c>
      <c r="H14" s="9" t="n">
        <v>300</v>
      </c>
      <c r="I14" s="9"/>
      <c r="J14" s="216"/>
      <c r="L14" s="0"/>
      <c r="M14" s="0"/>
      <c r="P14" s="0"/>
      <c r="S14" s="0"/>
      <c r="V14" s="0"/>
      <c r="X14" s="0"/>
    </row>
    <row r="15" customFormat="false" ht="19.85" hidden="false" customHeight="true" outlineLevel="0" collapsed="false">
      <c r="A15" s="1" t="n">
        <v>30</v>
      </c>
      <c r="B15" s="34" t="n">
        <v>39600</v>
      </c>
      <c r="C15" s="1" t="n">
        <v>462720</v>
      </c>
      <c r="D15" s="9" t="s">
        <v>41</v>
      </c>
      <c r="E15" s="33" t="n">
        <f aca="false">IF(D15="totale",(C15/(A15*24))/F15,IF(D15="marché libre",(C15/(A15*24))/G15,"spécifier histo"))</f>
        <v>0.612063492063492</v>
      </c>
      <c r="F15" s="59" t="n">
        <v>1050</v>
      </c>
      <c r="G15" s="59" t="n">
        <v>750</v>
      </c>
      <c r="H15" s="9" t="n">
        <v>300</v>
      </c>
      <c r="I15" s="9"/>
      <c r="J15" s="216"/>
      <c r="L15" s="0"/>
      <c r="M15" s="0"/>
      <c r="P15" s="0"/>
      <c r="S15" s="0"/>
      <c r="V15" s="0"/>
      <c r="X15" s="0"/>
    </row>
    <row r="16" customFormat="false" ht="19.85" hidden="false" customHeight="true" outlineLevel="0" collapsed="false">
      <c r="A16" s="1" t="n">
        <v>31</v>
      </c>
      <c r="B16" s="31" t="n">
        <v>39630</v>
      </c>
      <c r="C16" s="1" t="n">
        <v>151800</v>
      </c>
      <c r="D16" s="9" t="s">
        <v>41</v>
      </c>
      <c r="E16" s="33" t="n">
        <f aca="false">IF(D16="totale",(C16/(A16*24))/F16,IF(D16="marché libre",(C16/(A16*24))/G16,"spécifier histo"))</f>
        <v>0.19431643625192</v>
      </c>
      <c r="F16" s="59" t="n">
        <v>1050</v>
      </c>
      <c r="G16" s="59" t="n">
        <v>750</v>
      </c>
      <c r="H16" s="9" t="n">
        <v>300</v>
      </c>
      <c r="I16" s="9"/>
      <c r="J16" s="216"/>
      <c r="L16" s="0"/>
      <c r="M16" s="0"/>
      <c r="P16" s="0"/>
      <c r="S16" s="0"/>
      <c r="V16" s="0"/>
      <c r="X16" s="0"/>
    </row>
    <row r="17" customFormat="false" ht="19.85" hidden="false" customHeight="true" outlineLevel="0" collapsed="false">
      <c r="A17" s="1" t="n">
        <v>31</v>
      </c>
      <c r="B17" s="34" t="n">
        <v>39661</v>
      </c>
      <c r="C17" s="1" t="n">
        <v>58560</v>
      </c>
      <c r="D17" s="9" t="s">
        <v>41</v>
      </c>
      <c r="E17" s="33" t="n">
        <f aca="false">IF(D17="totale",(C17/(A17*24))/F17,IF(D17="marché libre",(C17/(A17*24))/G17,"spécifier histo"))</f>
        <v>0.0749615975422427</v>
      </c>
      <c r="F17" s="59" t="n">
        <v>1050</v>
      </c>
      <c r="G17" s="59" t="n">
        <v>750</v>
      </c>
      <c r="H17" s="9" t="n">
        <v>300</v>
      </c>
      <c r="I17" s="9"/>
      <c r="J17" s="216"/>
      <c r="L17" s="0"/>
      <c r="M17" s="0"/>
      <c r="P17" s="0"/>
      <c r="S17" s="0"/>
      <c r="V17" s="0"/>
      <c r="X17" s="0"/>
    </row>
    <row r="18" customFormat="false" ht="19.85" hidden="false" customHeight="true" outlineLevel="0" collapsed="false">
      <c r="A18" s="1" t="n">
        <v>30</v>
      </c>
      <c r="B18" s="31" t="n">
        <v>39692</v>
      </c>
      <c r="C18" s="1" t="n">
        <v>23640</v>
      </c>
      <c r="D18" s="9" t="s">
        <v>41</v>
      </c>
      <c r="E18" s="33" t="n">
        <f aca="false">IF(D18="totale",(C18/(A18*24))/F18,IF(D18="marché libre",(C18/(A18*24))/G18,"spécifier histo"))</f>
        <v>0.0312698412698413</v>
      </c>
      <c r="F18" s="59" t="n">
        <v>1050</v>
      </c>
      <c r="G18" s="59" t="n">
        <v>750</v>
      </c>
      <c r="H18" s="9" t="n">
        <v>300</v>
      </c>
      <c r="I18" s="9"/>
      <c r="J18" s="216"/>
      <c r="L18" s="0"/>
      <c r="M18" s="0"/>
      <c r="P18" s="0"/>
      <c r="S18" s="0"/>
      <c r="V18" s="0"/>
      <c r="X18" s="0"/>
    </row>
    <row r="19" customFormat="false" ht="19.85" hidden="false" customHeight="true" outlineLevel="0" collapsed="false">
      <c r="A19" s="1" t="n">
        <v>31</v>
      </c>
      <c r="B19" s="34" t="n">
        <v>39722</v>
      </c>
      <c r="C19" s="1" t="n">
        <v>18960</v>
      </c>
      <c r="D19" s="9" t="s">
        <v>41</v>
      </c>
      <c r="E19" s="33" t="n">
        <f aca="false">IF(D19="totale",(C19/(A19*24))/F19,IF(D19="marché libre",(C19/(A19*24))/G19,"spécifier histo"))</f>
        <v>0.0242703533026114</v>
      </c>
      <c r="F19" s="59" t="n">
        <v>1050</v>
      </c>
      <c r="G19" s="59" t="n">
        <v>750</v>
      </c>
      <c r="H19" s="9" t="n">
        <v>300</v>
      </c>
      <c r="I19" s="9"/>
      <c r="J19" s="216"/>
      <c r="L19" s="0"/>
      <c r="M19" s="0"/>
      <c r="P19" s="0"/>
      <c r="S19" s="0"/>
      <c r="V19" s="0"/>
      <c r="X19" s="0"/>
    </row>
    <row r="20" customFormat="false" ht="19.85" hidden="false" customHeight="true" outlineLevel="0" collapsed="false">
      <c r="A20" s="1" t="n">
        <v>30</v>
      </c>
      <c r="B20" s="31" t="n">
        <v>39753</v>
      </c>
      <c r="C20" s="1" t="n">
        <v>345120</v>
      </c>
      <c r="D20" s="9" t="s">
        <v>41</v>
      </c>
      <c r="E20" s="33" t="n">
        <f aca="false">IF(D20="totale",(C20/(A20*24))/F20,IF(D20="marché libre",(C20/(A20*24))/G20,"spécifier histo"))</f>
        <v>0.456507936507937</v>
      </c>
      <c r="F20" s="59" t="n">
        <v>1050</v>
      </c>
      <c r="G20" s="59" t="n">
        <v>750</v>
      </c>
      <c r="H20" s="9" t="n">
        <v>300</v>
      </c>
      <c r="I20" s="9"/>
      <c r="J20" s="216"/>
      <c r="L20" s="0"/>
      <c r="M20" s="0"/>
      <c r="P20" s="0"/>
      <c r="S20" s="0"/>
      <c r="V20" s="0"/>
      <c r="X20" s="0"/>
    </row>
    <row r="21" customFormat="false" ht="19.85" hidden="false" customHeight="true" outlineLevel="0" collapsed="false">
      <c r="A21" s="1" t="n">
        <v>31</v>
      </c>
      <c r="B21" s="34" t="n">
        <v>39783</v>
      </c>
      <c r="C21" s="1" t="n">
        <v>570000</v>
      </c>
      <c r="D21" s="9" t="s">
        <v>41</v>
      </c>
      <c r="E21" s="33" t="n">
        <f aca="false">IF(D21="totale",(C21/(A21*24))/F21,IF(D21="marché libre",(C21/(A21*24))/G21,"spécifier histo"))</f>
        <v>0.729646697388633</v>
      </c>
      <c r="F21" s="59" t="n">
        <v>1050</v>
      </c>
      <c r="G21" s="59" t="n">
        <v>750</v>
      </c>
      <c r="H21" s="9" t="n">
        <v>300</v>
      </c>
      <c r="I21" s="9"/>
      <c r="J21" s="216"/>
      <c r="L21" s="0"/>
      <c r="M21" s="0"/>
      <c r="P21" s="0"/>
      <c r="S21" s="0"/>
      <c r="V21" s="0"/>
      <c r="X21" s="0"/>
    </row>
    <row r="22" customFormat="false" ht="19.85" hidden="false" customHeight="true" outlineLevel="0" collapsed="false">
      <c r="A22" s="1" t="n">
        <v>31</v>
      </c>
      <c r="B22" s="31" t="n">
        <v>39814</v>
      </c>
      <c r="C22" s="1" t="n">
        <v>363840</v>
      </c>
      <c r="D22" s="9" t="s">
        <v>41</v>
      </c>
      <c r="E22" s="33" t="n">
        <f aca="false">IF(D22="totale",(C22/(A22*24))/F22,IF(D22="marché libre",(C22/(A22*24))/G22,"spécifier histo"))</f>
        <v>0.465745007680492</v>
      </c>
      <c r="F22" s="59" t="n">
        <v>1050</v>
      </c>
      <c r="G22" s="59" t="n">
        <v>750</v>
      </c>
      <c r="H22" s="9" t="n">
        <v>300</v>
      </c>
      <c r="I22" s="9"/>
      <c r="J22" s="216"/>
      <c r="L22" s="0"/>
      <c r="M22" s="0"/>
      <c r="P22" s="0"/>
      <c r="S22" s="0"/>
      <c r="V22" s="0"/>
      <c r="X22" s="0"/>
    </row>
    <row r="23" customFormat="false" ht="19.85" hidden="false" customHeight="true" outlineLevel="0" collapsed="false">
      <c r="A23" s="1" t="n">
        <v>28</v>
      </c>
      <c r="B23" s="34" t="n">
        <v>39845</v>
      </c>
      <c r="C23" s="1" t="n">
        <v>544800</v>
      </c>
      <c r="D23" s="9" t="s">
        <v>41</v>
      </c>
      <c r="E23" s="33" t="n">
        <f aca="false">IF(D23="totale",(C23/(A23*24))/F23,IF(D23="marché libre",(C23/(A23*24))/G23,"spécifier histo"))</f>
        <v>0.772108843537415</v>
      </c>
      <c r="F23" s="59" t="n">
        <v>1050</v>
      </c>
      <c r="G23" s="59" t="n">
        <v>750</v>
      </c>
      <c r="H23" s="9" t="n">
        <v>300</v>
      </c>
      <c r="I23" s="9"/>
      <c r="J23" s="216"/>
      <c r="L23" s="0"/>
      <c r="M23" s="0"/>
      <c r="P23" s="0"/>
      <c r="S23" s="0"/>
      <c r="V23" s="0"/>
      <c r="X23" s="0"/>
    </row>
    <row r="24" customFormat="false" ht="19.85" hidden="false" customHeight="true" outlineLevel="0" collapsed="false">
      <c r="A24" s="1" t="n">
        <v>31</v>
      </c>
      <c r="B24" s="31" t="n">
        <v>39873</v>
      </c>
      <c r="C24" s="1" t="n">
        <v>223005</v>
      </c>
      <c r="D24" s="9" t="s">
        <v>41</v>
      </c>
      <c r="E24" s="33" t="n">
        <f aca="false">IF(D24="totale",(C24/(A24*24))/F24,IF(D24="marché libre",(C24/(A24*24))/G24,"spécifier histo"))</f>
        <v>0.285464669738863</v>
      </c>
      <c r="F24" s="59" t="n">
        <v>1050</v>
      </c>
      <c r="G24" s="59" t="n">
        <v>750</v>
      </c>
      <c r="H24" s="9" t="n">
        <v>300</v>
      </c>
      <c r="I24" s="9"/>
      <c r="J24" s="216"/>
      <c r="L24" s="0"/>
      <c r="M24" s="0"/>
      <c r="P24" s="0"/>
      <c r="S24" s="0"/>
      <c r="V24" s="0"/>
      <c r="X24" s="0"/>
    </row>
    <row r="25" customFormat="false" ht="19.85" hidden="false" customHeight="true" outlineLevel="0" collapsed="false">
      <c r="A25" s="1" t="n">
        <v>30</v>
      </c>
      <c r="B25" s="34" t="n">
        <v>39904</v>
      </c>
      <c r="C25" s="1" t="n">
        <v>355308</v>
      </c>
      <c r="D25" s="9" t="s">
        <v>41</v>
      </c>
      <c r="E25" s="33" t="n">
        <f aca="false">IF(D25="totale",(C25/(A25*24))/F25,IF(D25="marché libre",(C25/(A25*24))/G25,"spécifier histo"))</f>
        <v>0.469984126984127</v>
      </c>
      <c r="F25" s="59" t="n">
        <v>1050</v>
      </c>
      <c r="G25" s="59" t="n">
        <v>750</v>
      </c>
      <c r="H25" s="9" t="n">
        <v>300</v>
      </c>
      <c r="I25" s="9"/>
      <c r="J25" s="216"/>
      <c r="L25" s="0"/>
      <c r="M25" s="0"/>
      <c r="P25" s="0"/>
      <c r="S25" s="0"/>
      <c r="V25" s="0"/>
      <c r="X25" s="0"/>
    </row>
    <row r="26" customFormat="false" ht="19.85" hidden="false" customHeight="true" outlineLevel="0" collapsed="false">
      <c r="A26" s="1" t="n">
        <v>31</v>
      </c>
      <c r="B26" s="31" t="n">
        <v>39934</v>
      </c>
      <c r="C26" s="1" t="n">
        <v>411884</v>
      </c>
      <c r="D26" s="9" t="s">
        <v>41</v>
      </c>
      <c r="E26" s="33" t="n">
        <f aca="false">IF(D26="totale",(C26/(A26*24))/F26,IF(D26="marché libre",(C26/(A26*24))/G26,"spécifier histo"))</f>
        <v>0.527245263696877</v>
      </c>
      <c r="F26" s="59" t="n">
        <v>1050</v>
      </c>
      <c r="G26" s="59" t="n">
        <v>750</v>
      </c>
      <c r="H26" s="9" t="n">
        <v>300</v>
      </c>
      <c r="I26" s="9"/>
      <c r="J26" s="216"/>
      <c r="L26" s="0"/>
      <c r="M26" s="0"/>
      <c r="P26" s="0"/>
      <c r="S26" s="0"/>
      <c r="V26" s="0"/>
      <c r="X26" s="0"/>
    </row>
    <row r="27" customFormat="false" ht="19.85" hidden="false" customHeight="true" outlineLevel="0" collapsed="false">
      <c r="A27" s="1" t="n">
        <v>30</v>
      </c>
      <c r="B27" s="34" t="n">
        <v>39965</v>
      </c>
      <c r="C27" s="1" t="n">
        <v>128134</v>
      </c>
      <c r="D27" s="9" t="s">
        <v>41</v>
      </c>
      <c r="E27" s="33" t="n">
        <f aca="false">IF(D27="totale",(C27/(A27*24))/F27,IF(D27="marché libre",(C27/(A27*24))/G27,"spécifier histo"))</f>
        <v>0.169489417989418</v>
      </c>
      <c r="F27" s="59" t="n">
        <v>1050</v>
      </c>
      <c r="G27" s="59" t="n">
        <v>750</v>
      </c>
      <c r="H27" s="9" t="n">
        <v>300</v>
      </c>
      <c r="I27" s="9"/>
      <c r="J27" s="216"/>
      <c r="L27" s="0"/>
      <c r="M27" s="0"/>
      <c r="P27" s="0"/>
      <c r="S27" s="0"/>
      <c r="V27" s="0"/>
      <c r="X27" s="0"/>
    </row>
    <row r="28" customFormat="false" ht="19.85" hidden="false" customHeight="true" outlineLevel="0" collapsed="false">
      <c r="A28" s="1" t="n">
        <v>31</v>
      </c>
      <c r="B28" s="31" t="n">
        <v>39995</v>
      </c>
      <c r="C28" s="1" t="n">
        <v>0</v>
      </c>
      <c r="D28" s="9" t="s">
        <v>41</v>
      </c>
      <c r="E28" s="33" t="n">
        <f aca="false">IF(D28="totale",(C28/(A28*24))/F28,IF(D28="marché libre",(C28/(A28*24))/G28,"spécifier histo"))</f>
        <v>0</v>
      </c>
      <c r="F28" s="59" t="n">
        <v>1050</v>
      </c>
      <c r="G28" s="59" t="n">
        <v>750</v>
      </c>
      <c r="H28" s="9" t="n">
        <v>300</v>
      </c>
      <c r="I28" s="9"/>
      <c r="J28" s="216"/>
      <c r="L28" s="0"/>
      <c r="M28" s="0"/>
      <c r="P28" s="0"/>
      <c r="S28" s="0"/>
      <c r="V28" s="0"/>
      <c r="X28" s="0"/>
    </row>
    <row r="29" customFormat="false" ht="19.85" hidden="false" customHeight="true" outlineLevel="0" collapsed="false">
      <c r="A29" s="1" t="n">
        <v>31</v>
      </c>
      <c r="B29" s="34" t="n">
        <v>40026</v>
      </c>
      <c r="C29" s="1" t="n">
        <v>0</v>
      </c>
      <c r="D29" s="9" t="s">
        <v>41</v>
      </c>
      <c r="E29" s="33" t="n">
        <f aca="false">IF(D29="totale",(C29/(A29*24))/F29,IF(D29="marché libre",(C29/(A29*24))/G29,"spécifier histo"))</f>
        <v>0</v>
      </c>
      <c r="F29" s="59" t="n">
        <v>1050</v>
      </c>
      <c r="G29" s="59" t="n">
        <v>750</v>
      </c>
      <c r="H29" s="9" t="n">
        <v>300</v>
      </c>
      <c r="I29" s="9"/>
      <c r="J29" s="216"/>
      <c r="L29" s="0"/>
      <c r="M29" s="0"/>
      <c r="P29" s="0"/>
      <c r="S29" s="0"/>
      <c r="V29" s="0"/>
      <c r="X29" s="0"/>
    </row>
    <row r="30" customFormat="false" ht="19.85" hidden="false" customHeight="true" outlineLevel="0" collapsed="false">
      <c r="A30" s="1" t="n">
        <v>30</v>
      </c>
      <c r="B30" s="31" t="n">
        <v>40057</v>
      </c>
      <c r="C30" s="1" t="n">
        <v>0</v>
      </c>
      <c r="D30" s="9" t="s">
        <v>41</v>
      </c>
      <c r="E30" s="33" t="n">
        <f aca="false">IF(D30="totale",(C30/(A30*24))/F30,IF(D30="marché libre",(C30/(A30*24))/G30,"spécifier histo"))</f>
        <v>0</v>
      </c>
      <c r="F30" s="59" t="n">
        <v>1050</v>
      </c>
      <c r="G30" s="59" t="n">
        <v>750</v>
      </c>
      <c r="H30" s="9" t="n">
        <v>300</v>
      </c>
      <c r="I30" s="9"/>
      <c r="J30" s="216"/>
      <c r="L30" s="0"/>
      <c r="M30" s="0"/>
      <c r="P30" s="0"/>
      <c r="S30" s="0"/>
      <c r="V30" s="0"/>
      <c r="X30" s="0"/>
    </row>
    <row r="31" customFormat="false" ht="19.85" hidden="false" customHeight="true" outlineLevel="0" collapsed="false">
      <c r="A31" s="1" t="n">
        <v>31</v>
      </c>
      <c r="B31" s="34" t="n">
        <v>40087</v>
      </c>
      <c r="C31" s="1" t="n">
        <v>0</v>
      </c>
      <c r="D31" s="9" t="s">
        <v>41</v>
      </c>
      <c r="E31" s="33" t="n">
        <f aca="false">IF(D31="totale",(C31/(A31*24))/F31,IF(D31="marché libre",(C31/(A31*24))/G31,"spécifier histo"))</f>
        <v>0</v>
      </c>
      <c r="F31" s="59" t="n">
        <v>1050</v>
      </c>
      <c r="G31" s="59" t="n">
        <v>750</v>
      </c>
      <c r="H31" s="9" t="n">
        <v>300</v>
      </c>
      <c r="I31" s="9"/>
      <c r="J31" s="216"/>
      <c r="L31" s="0"/>
      <c r="M31" s="0"/>
      <c r="P31" s="0"/>
      <c r="S31" s="0"/>
      <c r="V31" s="0"/>
      <c r="X31" s="0"/>
    </row>
    <row r="32" customFormat="false" ht="19.85" hidden="false" customHeight="true" outlineLevel="0" collapsed="false">
      <c r="A32" s="1" t="n">
        <v>30</v>
      </c>
      <c r="B32" s="31" t="n">
        <v>40118</v>
      </c>
      <c r="C32" s="1" t="n">
        <v>276513</v>
      </c>
      <c r="D32" s="9" t="s">
        <v>41</v>
      </c>
      <c r="E32" s="33" t="n">
        <f aca="false">IF(D32="totale",(C32/(A32*24))/F32,IF(D32="marché libre",(C32/(A32*24))/G32,"spécifier histo"))</f>
        <v>0.365757936507936</v>
      </c>
      <c r="F32" s="59" t="n">
        <v>1050</v>
      </c>
      <c r="G32" s="59" t="n">
        <v>750</v>
      </c>
      <c r="H32" s="9" t="n">
        <v>300</v>
      </c>
      <c r="I32" s="9"/>
      <c r="J32" s="216"/>
      <c r="L32" s="0"/>
      <c r="M32" s="0"/>
      <c r="P32" s="0"/>
      <c r="S32" s="0"/>
      <c r="V32" s="0"/>
      <c r="X32" s="0"/>
    </row>
    <row r="33" customFormat="false" ht="19.85" hidden="false" customHeight="true" outlineLevel="0" collapsed="false">
      <c r="A33" s="1" t="n">
        <v>31</v>
      </c>
      <c r="B33" s="34" t="n">
        <v>40148</v>
      </c>
      <c r="C33" s="1" t="n">
        <v>236918</v>
      </c>
      <c r="D33" s="9" t="s">
        <v>41</v>
      </c>
      <c r="E33" s="33" t="n">
        <f aca="false">IF(D33="totale",(C33/(A33*24))/F33,IF(D33="marché libre",(C33/(A33*24))/G33,"spécifier histo"))</f>
        <v>0.303274449564772</v>
      </c>
      <c r="F33" s="59" t="n">
        <v>1050</v>
      </c>
      <c r="G33" s="59" t="n">
        <v>750</v>
      </c>
      <c r="H33" s="9" t="n">
        <v>300</v>
      </c>
      <c r="I33" s="9"/>
      <c r="J33" s="216"/>
      <c r="L33" s="0"/>
      <c r="M33" s="0"/>
      <c r="P33" s="0"/>
      <c r="S33" s="0"/>
      <c r="V33" s="0"/>
      <c r="X33" s="0"/>
    </row>
    <row r="34" customFormat="false" ht="19.85" hidden="false" customHeight="true" outlineLevel="0" collapsed="false">
      <c r="A34" s="1" t="n">
        <v>31</v>
      </c>
      <c r="B34" s="31" t="n">
        <v>40179</v>
      </c>
      <c r="C34" s="1" t="n">
        <v>582956</v>
      </c>
      <c r="D34" s="9" t="s">
        <v>41</v>
      </c>
      <c r="E34" s="33" t="n">
        <f aca="false">IF(D34="totale",(C34/(A34*24))/F34,IF(D34="marché libre",(C34/(A34*24))/G34,"spécifier histo"))</f>
        <v>0.746231438812084</v>
      </c>
      <c r="F34" s="59" t="n">
        <v>1050</v>
      </c>
      <c r="G34" s="59" t="n">
        <v>750</v>
      </c>
      <c r="H34" s="9" t="n">
        <v>300</v>
      </c>
      <c r="I34" s="9"/>
      <c r="J34" s="216"/>
      <c r="L34" s="0"/>
      <c r="M34" s="0"/>
      <c r="P34" s="0"/>
      <c r="S34" s="0"/>
      <c r="V34" s="0"/>
      <c r="X34" s="0"/>
    </row>
    <row r="35" customFormat="false" ht="19.85" hidden="false" customHeight="true" outlineLevel="0" collapsed="false">
      <c r="A35" s="1" t="n">
        <v>28</v>
      </c>
      <c r="B35" s="34" t="n">
        <v>40210</v>
      </c>
      <c r="C35" s="1" t="n">
        <v>498496</v>
      </c>
      <c r="D35" s="9" t="s">
        <v>41</v>
      </c>
      <c r="E35" s="33" t="n">
        <f aca="false">IF(D35="totale",(C35/(A35*24))/F35,IF(D35="marché libre",(C35/(A35*24))/G35,"spécifier histo"))</f>
        <v>0.706485260770975</v>
      </c>
      <c r="F35" s="59" t="n">
        <v>1050</v>
      </c>
      <c r="G35" s="59" t="n">
        <v>750</v>
      </c>
      <c r="H35" s="9" t="n">
        <v>300</v>
      </c>
      <c r="I35" s="9"/>
      <c r="J35" s="216"/>
      <c r="L35" s="0"/>
      <c r="M35" s="0"/>
      <c r="P35" s="0"/>
      <c r="S35" s="0"/>
      <c r="V35" s="0"/>
      <c r="X35" s="0"/>
    </row>
    <row r="36" customFormat="false" ht="19.85" hidden="false" customHeight="true" outlineLevel="0" collapsed="false">
      <c r="A36" s="1" t="n">
        <v>31</v>
      </c>
      <c r="B36" s="31" t="n">
        <v>40238</v>
      </c>
      <c r="C36" s="1" t="n">
        <v>327085</v>
      </c>
      <c r="D36" s="9" t="s">
        <v>41</v>
      </c>
      <c r="E36" s="33" t="n">
        <f aca="false">IF(D36="totale",(C36/(A36*24))/F36,IF(D36="marché libre",(C36/(A36*24))/G36,"spécifier histo"))</f>
        <v>0.418695596518177</v>
      </c>
      <c r="F36" s="59" t="n">
        <v>1050</v>
      </c>
      <c r="G36" s="59" t="n">
        <v>750</v>
      </c>
      <c r="H36" s="9" t="n">
        <v>300</v>
      </c>
      <c r="I36" s="9"/>
      <c r="J36" s="216"/>
      <c r="L36" s="0"/>
      <c r="M36" s="0"/>
      <c r="P36" s="0"/>
      <c r="S36" s="0"/>
      <c r="V36" s="0"/>
      <c r="X36" s="0"/>
    </row>
    <row r="37" customFormat="false" ht="19.85" hidden="false" customHeight="true" outlineLevel="0" collapsed="false">
      <c r="A37" s="1" t="n">
        <v>30</v>
      </c>
      <c r="B37" s="34" t="n">
        <v>40269</v>
      </c>
      <c r="C37" s="1" t="n">
        <v>317577</v>
      </c>
      <c r="D37" s="9" t="s">
        <v>41</v>
      </c>
      <c r="E37" s="33" t="n">
        <f aca="false">IF(D37="totale",(C37/(A37*24))/F37,IF(D37="marché libre",(C37/(A37*24))/G37,"spécifier histo"))</f>
        <v>0.420075396825397</v>
      </c>
      <c r="F37" s="59" t="n">
        <v>1050</v>
      </c>
      <c r="G37" s="59" t="n">
        <v>750</v>
      </c>
      <c r="H37" s="9" t="n">
        <v>300</v>
      </c>
      <c r="I37" s="9"/>
      <c r="J37" s="216"/>
      <c r="L37" s="0"/>
      <c r="M37" s="0"/>
      <c r="P37" s="0"/>
      <c r="S37" s="0"/>
      <c r="V37" s="0"/>
      <c r="X37" s="0"/>
    </row>
    <row r="38" customFormat="false" ht="19.85" hidden="false" customHeight="true" outlineLevel="0" collapsed="false">
      <c r="A38" s="1" t="n">
        <v>31</v>
      </c>
      <c r="B38" s="31" t="n">
        <v>40299</v>
      </c>
      <c r="C38" s="1" t="n">
        <v>283018</v>
      </c>
      <c r="D38" s="9" t="s">
        <v>41</v>
      </c>
      <c r="E38" s="33" t="n">
        <f aca="false">IF(D38="totale",(C38/(A38*24))/F38,IF(D38="marché libre",(C38/(A38*24))/G38,"spécifier histo"))</f>
        <v>0.362286226318484</v>
      </c>
      <c r="F38" s="59" t="n">
        <v>1050</v>
      </c>
      <c r="G38" s="59" t="n">
        <v>750</v>
      </c>
      <c r="H38" s="9" t="n">
        <v>300</v>
      </c>
      <c r="I38" s="9"/>
      <c r="J38" s="216"/>
      <c r="L38" s="0"/>
      <c r="M38" s="0"/>
      <c r="P38" s="0"/>
      <c r="S38" s="0"/>
      <c r="V38" s="0"/>
    </row>
    <row r="39" customFormat="false" ht="19.85" hidden="false" customHeight="true" outlineLevel="0" collapsed="false">
      <c r="A39" s="1" t="n">
        <v>30</v>
      </c>
      <c r="B39" s="34" t="n">
        <v>40330</v>
      </c>
      <c r="C39" s="1" t="n">
        <v>169396</v>
      </c>
      <c r="D39" s="9" t="s">
        <v>41</v>
      </c>
      <c r="E39" s="33" t="n">
        <f aca="false">IF(D39="totale",(C39/(A39*24))/F39,IF(D39="marché libre",(C39/(A39*24))/G39,"spécifier histo"))</f>
        <v>0.224068783068783</v>
      </c>
      <c r="F39" s="59" t="n">
        <v>1050</v>
      </c>
      <c r="G39" s="59" t="n">
        <v>750</v>
      </c>
      <c r="H39" s="9" t="n">
        <v>300</v>
      </c>
      <c r="I39" s="9"/>
      <c r="J39" s="216"/>
      <c r="L39" s="0"/>
      <c r="M39" s="0"/>
      <c r="P39" s="0"/>
      <c r="S39" s="0"/>
      <c r="V39" s="0"/>
    </row>
    <row r="40" customFormat="false" ht="19.85" hidden="false" customHeight="true" outlineLevel="0" collapsed="false">
      <c r="A40" s="1" t="n">
        <v>31</v>
      </c>
      <c r="B40" s="31" t="n">
        <v>40360</v>
      </c>
      <c r="C40" s="1" t="n">
        <v>12969</v>
      </c>
      <c r="D40" s="9" t="s">
        <v>41</v>
      </c>
      <c r="E40" s="33" t="n">
        <f aca="false">IF(D40="totale",(C40/(A40*24))/F40,IF(D40="marché libre",(C40/(A40*24))/G40,"spécifier histo"))</f>
        <v>0.0166013824884793</v>
      </c>
      <c r="F40" s="59" t="n">
        <v>1050</v>
      </c>
      <c r="G40" s="59" t="n">
        <v>750</v>
      </c>
      <c r="H40" s="9" t="n">
        <v>300</v>
      </c>
      <c r="I40" s="9"/>
      <c r="J40" s="216"/>
      <c r="L40" s="0"/>
      <c r="M40" s="0"/>
      <c r="P40" s="0"/>
      <c r="S40" s="0"/>
      <c r="V40" s="0"/>
    </row>
    <row r="41" customFormat="false" ht="19.85" hidden="false" customHeight="true" outlineLevel="0" collapsed="false">
      <c r="A41" s="1" t="n">
        <v>31</v>
      </c>
      <c r="B41" s="34" t="n">
        <v>40391</v>
      </c>
      <c r="C41" s="1" t="n">
        <v>0.01</v>
      </c>
      <c r="D41" s="9" t="s">
        <v>41</v>
      </c>
      <c r="E41" s="33" t="n">
        <f aca="false">IF(D41="totale",(C41/(A41*24))/F41,IF(D41="marché libre",(C41/(A41*24))/G41,"spécifier histo"))</f>
        <v>1.28008192524322E-008</v>
      </c>
      <c r="F41" s="59" t="n">
        <v>1050</v>
      </c>
      <c r="G41" s="59" t="n">
        <v>750</v>
      </c>
      <c r="H41" s="9" t="n">
        <v>300</v>
      </c>
      <c r="I41" s="9"/>
      <c r="J41" s="216"/>
      <c r="L41" s="0"/>
      <c r="M41" s="0"/>
      <c r="P41" s="0"/>
      <c r="S41" s="0"/>
      <c r="V41" s="0"/>
    </row>
    <row r="42" customFormat="false" ht="19.85" hidden="false" customHeight="true" outlineLevel="0" collapsed="false">
      <c r="A42" s="1" t="n">
        <v>30</v>
      </c>
      <c r="B42" s="31" t="n">
        <v>40422</v>
      </c>
      <c r="C42" s="1" t="n">
        <v>0.01</v>
      </c>
      <c r="D42" s="9" t="s">
        <v>41</v>
      </c>
      <c r="E42" s="33" t="n">
        <f aca="false">IF(D42="totale",(C42/(A42*24))/F42,IF(D42="marché libre",(C42/(A42*24))/G42,"spécifier histo"))</f>
        <v>1.32275132275132E-008</v>
      </c>
      <c r="F42" s="59" t="n">
        <v>1050</v>
      </c>
      <c r="G42" s="59" t="n">
        <v>750</v>
      </c>
      <c r="H42" s="9" t="n">
        <v>300</v>
      </c>
      <c r="I42" s="9"/>
      <c r="J42" s="216"/>
      <c r="L42" s="0"/>
      <c r="M42" s="0"/>
      <c r="P42" s="0"/>
      <c r="S42" s="0"/>
      <c r="V42" s="0"/>
    </row>
    <row r="43" customFormat="false" ht="19.85" hidden="false" customHeight="true" outlineLevel="0" collapsed="false">
      <c r="A43" s="1" t="n">
        <v>31</v>
      </c>
      <c r="B43" s="34" t="n">
        <v>40452</v>
      </c>
      <c r="C43" s="1" t="n">
        <v>0.01</v>
      </c>
      <c r="D43" s="9" t="s">
        <v>41</v>
      </c>
      <c r="E43" s="33" t="n">
        <f aca="false">IF(D43="totale",(C43/(A43*24))/F43,IF(D43="marché libre",(C43/(A43*24))/G43,"spécifier histo"))</f>
        <v>1.28008192524322E-008</v>
      </c>
      <c r="F43" s="59" t="n">
        <v>1050</v>
      </c>
      <c r="G43" s="59" t="n">
        <v>750</v>
      </c>
      <c r="H43" s="9" t="n">
        <v>300</v>
      </c>
      <c r="I43" s="9"/>
      <c r="J43" s="216"/>
      <c r="L43" s="0"/>
      <c r="M43" s="0"/>
      <c r="P43" s="0"/>
      <c r="S43" s="0"/>
      <c r="V43" s="0"/>
    </row>
    <row r="44" customFormat="false" ht="19.85" hidden="false" customHeight="true" outlineLevel="0" collapsed="false">
      <c r="A44" s="1" t="n">
        <v>30</v>
      </c>
      <c r="B44" s="31" t="n">
        <v>40483</v>
      </c>
      <c r="C44" s="1" t="n">
        <v>201675</v>
      </c>
      <c r="D44" s="9" t="s">
        <v>41</v>
      </c>
      <c r="E44" s="33" t="n">
        <f aca="false">IF(D44="totale",(C44/(A44*24))/F44,IF(D44="marché libre",(C44/(A44*24))/G44,"spécifier histo"))</f>
        <v>0.266765873015873</v>
      </c>
      <c r="F44" s="59" t="n">
        <v>1050</v>
      </c>
      <c r="G44" s="59" t="n">
        <v>750</v>
      </c>
      <c r="H44" s="9" t="n">
        <v>300</v>
      </c>
      <c r="I44" s="9"/>
      <c r="J44" s="216"/>
      <c r="L44" s="0"/>
      <c r="M44" s="0"/>
      <c r="P44" s="0"/>
      <c r="S44" s="0"/>
      <c r="V44" s="0"/>
    </row>
    <row r="45" customFormat="false" ht="19.85" hidden="false" customHeight="true" outlineLevel="0" collapsed="false">
      <c r="A45" s="1" t="n">
        <v>31</v>
      </c>
      <c r="B45" s="34" t="n">
        <v>40513</v>
      </c>
      <c r="C45" s="1" t="n">
        <v>201329</v>
      </c>
      <c r="D45" s="9" t="s">
        <v>41</v>
      </c>
      <c r="E45" s="33" t="n">
        <f aca="false">IF(D45="totale",(C45/(A45*24))/F45,IF(D45="marché libre",(C45/(A45*24))/G45,"spécifier histo"))</f>
        <v>0.257717613927291</v>
      </c>
      <c r="F45" s="59" t="n">
        <v>1050</v>
      </c>
      <c r="G45" s="59" t="n">
        <v>750</v>
      </c>
      <c r="H45" s="9" t="n">
        <v>300</v>
      </c>
      <c r="I45" s="9"/>
      <c r="J45" s="216"/>
      <c r="L45" s="0"/>
      <c r="M45" s="0"/>
      <c r="P45" s="0"/>
      <c r="S45" s="0"/>
      <c r="V45" s="0"/>
    </row>
    <row r="46" customFormat="false" ht="19.85" hidden="false" customHeight="true" outlineLevel="0" collapsed="false">
      <c r="A46" s="1" t="n">
        <v>31</v>
      </c>
      <c r="B46" s="31" t="n">
        <v>40544</v>
      </c>
      <c r="C46" s="1" t="n">
        <v>519680</v>
      </c>
      <c r="D46" s="9" t="s">
        <v>41</v>
      </c>
      <c r="E46" s="33" t="n">
        <f aca="false">IF(D46="totale",(C46/(A46*24))/F46,IF(D46="marché libre",(C46/(A46*24))/G46,"spécifier histo"))</f>
        <v>0.665232974910394</v>
      </c>
      <c r="F46" s="59" t="n">
        <v>1050</v>
      </c>
      <c r="G46" s="59" t="n">
        <v>750</v>
      </c>
      <c r="H46" s="9" t="n">
        <v>300</v>
      </c>
      <c r="I46" s="9"/>
      <c r="J46" s="216"/>
      <c r="L46" s="0"/>
      <c r="M46" s="0"/>
      <c r="P46" s="0"/>
      <c r="S46" s="0"/>
      <c r="V46" s="0"/>
    </row>
    <row r="47" customFormat="false" ht="19.85" hidden="false" customHeight="true" outlineLevel="0" collapsed="false">
      <c r="A47" s="1" t="n">
        <v>28</v>
      </c>
      <c r="B47" s="34" t="n">
        <v>40575</v>
      </c>
      <c r="C47" s="1" t="n">
        <v>208496</v>
      </c>
      <c r="D47" s="9" t="s">
        <v>41</v>
      </c>
      <c r="E47" s="33" t="n">
        <f aca="false">IF(D47="totale",(C47/(A47*24))/F47,IF(D47="marché libre",(C47/(A47*24))/G47,"spécifier histo"))</f>
        <v>0.295487528344671</v>
      </c>
      <c r="F47" s="59" t="n">
        <v>1050</v>
      </c>
      <c r="G47" s="59" t="n">
        <v>750</v>
      </c>
      <c r="H47" s="9" t="n">
        <v>300</v>
      </c>
      <c r="I47" s="9"/>
      <c r="J47" s="216"/>
      <c r="L47" s="0"/>
      <c r="M47" s="0"/>
      <c r="P47" s="0"/>
      <c r="S47" s="0"/>
      <c r="V47" s="0"/>
    </row>
    <row r="48" customFormat="false" ht="19.85" hidden="false" customHeight="true" outlineLevel="0" collapsed="false">
      <c r="A48" s="1" t="n">
        <v>31</v>
      </c>
      <c r="B48" s="31" t="n">
        <v>40603</v>
      </c>
      <c r="C48" s="1" t="n">
        <v>402801</v>
      </c>
      <c r="D48" s="9" t="s">
        <v>41</v>
      </c>
      <c r="E48" s="33" t="n">
        <f aca="false">IF(D48="totale",(C48/(A48*24))/F48,IF(D48="marché libre",(C48/(A48*24))/G48,"spécifier histo"))</f>
        <v>0.515618279569893</v>
      </c>
      <c r="F48" s="59" t="n">
        <v>1050</v>
      </c>
      <c r="G48" s="59" t="n">
        <v>750</v>
      </c>
      <c r="H48" s="9" t="n">
        <v>300</v>
      </c>
      <c r="I48" s="9"/>
      <c r="J48" s="216"/>
      <c r="L48" s="0"/>
      <c r="M48" s="0"/>
      <c r="P48" s="0"/>
      <c r="S48" s="0"/>
      <c r="V48" s="0"/>
    </row>
    <row r="49" customFormat="false" ht="19.85" hidden="false" customHeight="true" outlineLevel="0" collapsed="false">
      <c r="A49" s="1" t="n">
        <v>30</v>
      </c>
      <c r="B49" s="34" t="n">
        <v>40634</v>
      </c>
      <c r="C49" s="1" t="n">
        <v>193338</v>
      </c>
      <c r="D49" s="9" t="s">
        <v>41</v>
      </c>
      <c r="E49" s="33" t="n">
        <f aca="false">IF(D49="totale",(C49/(A49*24))/F49,IF(D49="marché libre",(C49/(A49*24))/G49,"spécifier histo"))</f>
        <v>0.255738095238095</v>
      </c>
      <c r="F49" s="59" t="n">
        <v>1050</v>
      </c>
      <c r="G49" s="59" t="n">
        <v>750</v>
      </c>
      <c r="H49" s="9" t="n">
        <v>300</v>
      </c>
      <c r="I49" s="9"/>
      <c r="J49" s="216"/>
      <c r="L49" s="0"/>
      <c r="M49" s="0"/>
      <c r="P49" s="0"/>
      <c r="S49" s="0"/>
      <c r="V49" s="0"/>
    </row>
    <row r="50" customFormat="false" ht="19.85" hidden="false" customHeight="true" outlineLevel="0" collapsed="false">
      <c r="A50" s="1" t="n">
        <v>31</v>
      </c>
      <c r="B50" s="31" t="n">
        <v>40664</v>
      </c>
      <c r="C50" s="1" t="n">
        <v>61159</v>
      </c>
      <c r="D50" s="9" t="s">
        <v>41</v>
      </c>
      <c r="E50" s="33" t="n">
        <f aca="false">IF(D50="totale",(C50/(A50*24))/F50,IF(D50="marché libre",(C50/(A50*24))/G50,"spécifier histo"))</f>
        <v>0.0782885304659498</v>
      </c>
      <c r="F50" s="59" t="n">
        <v>1050</v>
      </c>
      <c r="G50" s="59" t="n">
        <v>750</v>
      </c>
      <c r="H50" s="9" t="n">
        <v>300</v>
      </c>
      <c r="I50" s="9"/>
      <c r="J50" s="216"/>
      <c r="L50" s="0"/>
      <c r="M50" s="0"/>
      <c r="P50" s="0"/>
      <c r="S50" s="0"/>
      <c r="V50" s="0"/>
    </row>
    <row r="51" customFormat="false" ht="19.85" hidden="false" customHeight="true" outlineLevel="0" collapsed="false">
      <c r="A51" s="1" t="n">
        <v>30</v>
      </c>
      <c r="B51" s="34" t="n">
        <v>40695</v>
      </c>
      <c r="C51" s="1" t="n">
        <v>0</v>
      </c>
      <c r="D51" s="9" t="s">
        <v>41</v>
      </c>
      <c r="E51" s="33" t="n">
        <f aca="false">IF(D51="totale",(C51/(A51*24))/F51,IF(D51="marché libre",(C51/(A51*24))/G51,"spécifier histo"))</f>
        <v>0</v>
      </c>
      <c r="F51" s="59" t="n">
        <v>1050</v>
      </c>
      <c r="G51" s="59" t="n">
        <v>750</v>
      </c>
      <c r="H51" s="9" t="n">
        <v>300</v>
      </c>
      <c r="I51" s="9"/>
      <c r="J51" s="216"/>
      <c r="L51" s="0"/>
      <c r="M51" s="0"/>
      <c r="P51" s="0"/>
      <c r="S51" s="0"/>
      <c r="V51" s="0"/>
    </row>
    <row r="52" customFormat="false" ht="19.85" hidden="false" customHeight="true" outlineLevel="0" collapsed="false">
      <c r="A52" s="1" t="n">
        <v>31</v>
      </c>
      <c r="B52" s="31" t="n">
        <v>40725</v>
      </c>
      <c r="C52" s="1" t="n">
        <v>29621</v>
      </c>
      <c r="D52" s="9" t="s">
        <v>41</v>
      </c>
      <c r="E52" s="33" t="n">
        <f aca="false">IF(D52="totale",(C52/(A52*24))/F52,IF(D52="marché libre",(C52/(A52*24))/G52,"spécifier histo"))</f>
        <v>0.0379173067076293</v>
      </c>
      <c r="F52" s="59" t="n">
        <v>1050</v>
      </c>
      <c r="G52" s="59" t="n">
        <v>750</v>
      </c>
      <c r="H52" s="9" t="n">
        <v>300</v>
      </c>
      <c r="I52" s="9"/>
      <c r="J52" s="216"/>
      <c r="L52" s="0"/>
      <c r="M52" s="0"/>
      <c r="P52" s="0"/>
      <c r="S52" s="0"/>
      <c r="V52" s="0"/>
    </row>
    <row r="53" customFormat="false" ht="19.85" hidden="false" customHeight="true" outlineLevel="0" collapsed="false">
      <c r="A53" s="1" t="n">
        <v>31</v>
      </c>
      <c r="B53" s="34" t="n">
        <v>40756</v>
      </c>
      <c r="C53" s="1" t="n">
        <v>0</v>
      </c>
      <c r="D53" s="9" t="s">
        <v>41</v>
      </c>
      <c r="E53" s="33" t="n">
        <f aca="false">IF(D53="totale",(C53/(A53*24))/F53,IF(D53="marché libre",(C53/(A53*24))/G53,"spécifier histo"))</f>
        <v>0</v>
      </c>
      <c r="F53" s="59" t="n">
        <v>1050</v>
      </c>
      <c r="G53" s="59" t="n">
        <v>750</v>
      </c>
      <c r="H53" s="9" t="n">
        <v>300</v>
      </c>
      <c r="I53" s="9"/>
      <c r="J53" s="216"/>
      <c r="L53" s="0"/>
      <c r="M53" s="0"/>
      <c r="P53" s="0"/>
      <c r="S53" s="0"/>
      <c r="V53" s="0"/>
    </row>
    <row r="54" customFormat="false" ht="19.85" hidden="false" customHeight="true" outlineLevel="0" collapsed="false">
      <c r="A54" s="1" t="n">
        <v>30</v>
      </c>
      <c r="B54" s="31" t="n">
        <v>40787</v>
      </c>
      <c r="C54" s="1" t="n">
        <v>0</v>
      </c>
      <c r="D54" s="9" t="s">
        <v>41</v>
      </c>
      <c r="E54" s="33" t="n">
        <f aca="false">IF(D54="totale",(C54/(A54*24))/F54,IF(D54="marché libre",(C54/(A54*24))/G54,"spécifier histo"))</f>
        <v>0</v>
      </c>
      <c r="F54" s="59" t="n">
        <v>1050</v>
      </c>
      <c r="G54" s="59" t="n">
        <v>750</v>
      </c>
      <c r="H54" s="9" t="n">
        <v>300</v>
      </c>
      <c r="I54" s="9"/>
      <c r="J54" s="216"/>
      <c r="L54" s="0"/>
      <c r="M54" s="0"/>
      <c r="P54" s="0"/>
      <c r="S54" s="0"/>
      <c r="V54" s="0"/>
    </row>
    <row r="55" customFormat="false" ht="19.85" hidden="false" customHeight="true" outlineLevel="0" collapsed="false">
      <c r="A55" s="1" t="n">
        <v>31</v>
      </c>
      <c r="B55" s="34" t="n">
        <v>40817</v>
      </c>
      <c r="C55" s="1" t="n">
        <v>0</v>
      </c>
      <c r="D55" s="9" t="s">
        <v>41</v>
      </c>
      <c r="E55" s="33" t="n">
        <f aca="false">IF(D55="totale",(C55/(A55*24))/F55,IF(D55="marché libre",(C55/(A55*24))/G55,"spécifier histo"))</f>
        <v>0</v>
      </c>
      <c r="F55" s="59" t="n">
        <v>1050</v>
      </c>
      <c r="G55" s="59" t="n">
        <v>750</v>
      </c>
      <c r="H55" s="9" t="n">
        <v>300</v>
      </c>
      <c r="I55" s="9"/>
      <c r="J55" s="216"/>
      <c r="L55" s="0"/>
      <c r="M55" s="0"/>
      <c r="P55" s="0"/>
      <c r="S55" s="0"/>
      <c r="V55" s="0"/>
    </row>
    <row r="56" customFormat="false" ht="19.85" hidden="false" customHeight="true" outlineLevel="0" collapsed="false">
      <c r="A56" s="1" t="n">
        <v>30</v>
      </c>
      <c r="B56" s="31" t="n">
        <v>40848</v>
      </c>
      <c r="C56" s="1" t="n">
        <v>34865</v>
      </c>
      <c r="D56" s="9" t="s">
        <v>41</v>
      </c>
      <c r="E56" s="33" t="n">
        <f aca="false">IF(D56="totale",(C56/(A56*24))/F56,IF(D56="marché libre",(C56/(A56*24))/G56,"spécifier histo"))</f>
        <v>0.0461177248677249</v>
      </c>
      <c r="F56" s="59" t="n">
        <v>1050</v>
      </c>
      <c r="G56" s="59" t="n">
        <v>750</v>
      </c>
      <c r="H56" s="9" t="n">
        <v>300</v>
      </c>
      <c r="I56" s="9"/>
      <c r="J56" s="216"/>
      <c r="L56" s="0"/>
      <c r="M56" s="0"/>
      <c r="P56" s="0"/>
      <c r="S56" s="0"/>
      <c r="V56" s="0"/>
    </row>
    <row r="57" customFormat="false" ht="19.85" hidden="false" customHeight="true" outlineLevel="0" collapsed="false">
      <c r="A57" s="1" t="n">
        <v>31</v>
      </c>
      <c r="B57" s="34" t="n">
        <v>40878</v>
      </c>
      <c r="C57" s="1" t="n">
        <v>226487</v>
      </c>
      <c r="D57" s="9" t="s">
        <v>41</v>
      </c>
      <c r="E57" s="33" t="n">
        <f aca="false">IF(D57="totale",(C57/(A57*24))/F57,IF(D57="marché libre",(C57/(A57*24))/G57,"spécifier histo"))</f>
        <v>0.28992191500256</v>
      </c>
      <c r="F57" s="59" t="n">
        <v>1050</v>
      </c>
      <c r="G57" s="59" t="n">
        <v>750</v>
      </c>
      <c r="H57" s="9" t="n">
        <v>300</v>
      </c>
      <c r="I57" s="9"/>
      <c r="J57" s="216"/>
      <c r="L57" s="0"/>
      <c r="M57" s="0"/>
      <c r="P57" s="0"/>
      <c r="S57" s="0"/>
      <c r="V57" s="0"/>
    </row>
    <row r="58" customFormat="false" ht="19.85" hidden="false" customHeight="true" outlineLevel="0" collapsed="false">
      <c r="A58" s="1" t="n">
        <v>31</v>
      </c>
      <c r="B58" s="31" t="n">
        <v>40909</v>
      </c>
      <c r="C58" s="1" t="n">
        <v>447935</v>
      </c>
      <c r="D58" s="9" t="s">
        <v>41</v>
      </c>
      <c r="E58" s="33" t="n">
        <f aca="false">IF(D58="totale",(C58/(A58*24))/F58,IF(D58="marché libre",(C58/(A58*24))/G58,"spécifier histo"))</f>
        <v>0.57339349718382</v>
      </c>
      <c r="F58" s="59" t="n">
        <v>1050</v>
      </c>
      <c r="G58" s="59" t="n">
        <v>750</v>
      </c>
      <c r="H58" s="9" t="n">
        <v>300</v>
      </c>
      <c r="I58" s="9"/>
      <c r="J58" s="216"/>
      <c r="L58" s="0"/>
      <c r="M58" s="0"/>
      <c r="P58" s="0"/>
      <c r="S58" s="0"/>
      <c r="V58" s="0"/>
    </row>
    <row r="59" customFormat="false" ht="19.85" hidden="false" customHeight="true" outlineLevel="0" collapsed="false">
      <c r="A59" s="1" t="n">
        <v>28</v>
      </c>
      <c r="B59" s="34" t="n">
        <v>40940</v>
      </c>
      <c r="C59" s="1" t="n">
        <v>195476</v>
      </c>
      <c r="D59" s="9" t="s">
        <v>41</v>
      </c>
      <c r="E59" s="33" t="n">
        <f aca="false">IF(D59="totale",(C59/(A59*24))/F59,IF(D59="marché libre",(C59/(A59*24))/G59,"spécifier histo"))</f>
        <v>0.27703514739229</v>
      </c>
      <c r="F59" s="59" t="n">
        <v>1050</v>
      </c>
      <c r="G59" s="59" t="n">
        <v>750</v>
      </c>
      <c r="H59" s="9" t="n">
        <v>300</v>
      </c>
      <c r="I59" s="9"/>
      <c r="J59" s="216"/>
      <c r="L59" s="0"/>
      <c r="M59" s="0"/>
      <c r="P59" s="0"/>
      <c r="S59" s="0"/>
      <c r="V59" s="0"/>
    </row>
    <row r="60" customFormat="false" ht="19.85" hidden="false" customHeight="true" outlineLevel="0" collapsed="false">
      <c r="A60" s="1" t="n">
        <v>31</v>
      </c>
      <c r="B60" s="31" t="n">
        <v>40969</v>
      </c>
      <c r="C60" s="1" t="n">
        <v>155768</v>
      </c>
      <c r="D60" s="9" t="s">
        <v>41</v>
      </c>
      <c r="E60" s="33" t="n">
        <f aca="false">IF(D60="totale",(C60/(A60*24))/F60,IF(D60="marché libre",(C60/(A60*24))/G60,"spécifier histo"))</f>
        <v>0.199395801331285</v>
      </c>
      <c r="F60" s="59" t="n">
        <v>1050</v>
      </c>
      <c r="G60" s="59" t="n">
        <v>750</v>
      </c>
      <c r="H60" s="9" t="n">
        <v>300</v>
      </c>
      <c r="I60" s="9"/>
      <c r="J60" s="216"/>
      <c r="L60" s="0"/>
      <c r="M60" s="0"/>
      <c r="P60" s="0"/>
      <c r="S60" s="0"/>
      <c r="V60" s="0"/>
    </row>
    <row r="61" customFormat="false" ht="19.85" hidden="false" customHeight="true" outlineLevel="0" collapsed="false">
      <c r="A61" s="1" t="n">
        <v>30</v>
      </c>
      <c r="B61" s="34" t="n">
        <v>41000</v>
      </c>
      <c r="C61" s="1" t="n">
        <v>293843</v>
      </c>
      <c r="D61" s="9" t="s">
        <v>41</v>
      </c>
      <c r="E61" s="33" t="n">
        <f aca="false">IF(D61="totale",(C61/(A61*24))/F61,IF(D61="marché libre",(C61/(A61*24))/G61,"spécifier histo"))</f>
        <v>0.388681216931217</v>
      </c>
      <c r="F61" s="59" t="n">
        <v>1050</v>
      </c>
      <c r="G61" s="59" t="n">
        <v>750</v>
      </c>
      <c r="H61" s="9" t="n">
        <v>300</v>
      </c>
      <c r="I61" s="9"/>
      <c r="J61" s="216"/>
      <c r="L61" s="0"/>
      <c r="M61" s="0"/>
      <c r="P61" s="0"/>
      <c r="S61" s="0"/>
      <c r="V61" s="0"/>
    </row>
    <row r="62" customFormat="false" ht="19.85" hidden="false" customHeight="true" outlineLevel="0" collapsed="false">
      <c r="A62" s="1" t="n">
        <v>31</v>
      </c>
      <c r="B62" s="31" t="n">
        <v>41030</v>
      </c>
      <c r="C62" s="1" t="n">
        <v>477719</v>
      </c>
      <c r="D62" s="9" t="s">
        <v>41</v>
      </c>
      <c r="E62" s="33" t="n">
        <f aca="false">IF(D62="totale",(C62/(A62*24))/F62,IF(D62="marché libre",(C62/(A62*24))/G62,"spécifier histo"))</f>
        <v>0.611519457245264</v>
      </c>
      <c r="F62" s="59" t="n">
        <v>1050</v>
      </c>
      <c r="G62" s="59" t="n">
        <v>750</v>
      </c>
      <c r="H62" s="9" t="n">
        <v>300</v>
      </c>
      <c r="I62" s="9"/>
      <c r="J62" s="216"/>
      <c r="L62" s="0"/>
      <c r="M62" s="0"/>
      <c r="P62" s="0"/>
      <c r="S62" s="0"/>
      <c r="V62" s="0"/>
    </row>
    <row r="63" customFormat="false" ht="19.85" hidden="false" customHeight="true" outlineLevel="0" collapsed="false">
      <c r="A63" s="1" t="n">
        <v>30</v>
      </c>
      <c r="B63" s="34" t="n">
        <v>41061</v>
      </c>
      <c r="C63" s="1" t="n">
        <v>216194</v>
      </c>
      <c r="D63" s="9" t="s">
        <v>41</v>
      </c>
      <c r="E63" s="33" t="n">
        <f aca="false">IF(D63="totale",(C63/(A63*24))/F63,IF(D63="marché libre",(C63/(A63*24))/G63,"spécifier histo"))</f>
        <v>0.285970899470899</v>
      </c>
      <c r="F63" s="59" t="n">
        <v>1050</v>
      </c>
      <c r="G63" s="59" t="n">
        <v>750</v>
      </c>
      <c r="H63" s="9" t="n">
        <v>300</v>
      </c>
      <c r="I63" s="9"/>
      <c r="J63" s="216"/>
      <c r="L63" s="0"/>
      <c r="M63" s="0"/>
      <c r="P63" s="0"/>
      <c r="S63" s="0"/>
      <c r="V63" s="0"/>
    </row>
    <row r="64" customFormat="false" ht="19.85" hidden="false" customHeight="true" outlineLevel="0" collapsed="false">
      <c r="A64" s="1" t="n">
        <v>31</v>
      </c>
      <c r="B64" s="31" t="n">
        <v>41091</v>
      </c>
      <c r="C64" s="1" t="n">
        <v>49506</v>
      </c>
      <c r="D64" s="9" t="s">
        <v>41</v>
      </c>
      <c r="E64" s="33" t="n">
        <f aca="false">IF(D64="totale",(C64/(A64*24))/F64,IF(D64="marché libre",(C64/(A64*24))/G64,"spécifier histo"))</f>
        <v>0.0633717357910906</v>
      </c>
      <c r="F64" s="59" t="n">
        <v>1050</v>
      </c>
      <c r="G64" s="59" t="n">
        <v>750</v>
      </c>
      <c r="H64" s="9" t="n">
        <v>300</v>
      </c>
      <c r="I64" s="9"/>
      <c r="J64" s="216"/>
      <c r="L64" s="0"/>
      <c r="M64" s="0"/>
      <c r="P64" s="0"/>
      <c r="S64" s="0"/>
      <c r="V64" s="0"/>
    </row>
    <row r="65" customFormat="false" ht="19.85" hidden="false" customHeight="true" outlineLevel="0" collapsed="false">
      <c r="A65" s="1" t="n">
        <v>31</v>
      </c>
      <c r="B65" s="34" t="n">
        <v>41122</v>
      </c>
      <c r="C65" s="1" t="n">
        <v>582</v>
      </c>
      <c r="D65" s="9" t="s">
        <v>41</v>
      </c>
      <c r="E65" s="33" t="n">
        <f aca="false">IF(D65="totale",(C65/(A65*24))/F65,IF(D65="marché libre",(C65/(A65*24))/G65,"spécifier histo"))</f>
        <v>0.000745007680491551</v>
      </c>
      <c r="F65" s="59" t="n">
        <v>1050</v>
      </c>
      <c r="G65" s="59" t="n">
        <v>750</v>
      </c>
      <c r="H65" s="9" t="n">
        <v>300</v>
      </c>
      <c r="I65" s="9"/>
      <c r="J65" s="216"/>
      <c r="L65" s="0"/>
      <c r="M65" s="0"/>
      <c r="P65" s="0"/>
      <c r="S65" s="0"/>
      <c r="V65" s="0"/>
    </row>
    <row r="66" customFormat="false" ht="19.85" hidden="false" customHeight="true" outlineLevel="0" collapsed="false">
      <c r="A66" s="1" t="n">
        <v>30</v>
      </c>
      <c r="B66" s="31" t="n">
        <v>41153</v>
      </c>
      <c r="C66" s="1" t="n">
        <v>0</v>
      </c>
      <c r="D66" s="9" t="s">
        <v>41</v>
      </c>
      <c r="E66" s="33" t="n">
        <f aca="false">IF(D66="totale",(C66/(A66*24))/F66,IF(D66="marché libre",(C66/(A66*24))/G66,"spécifier histo"))</f>
        <v>0</v>
      </c>
      <c r="F66" s="59" t="n">
        <v>1050</v>
      </c>
      <c r="G66" s="59" t="n">
        <v>750</v>
      </c>
      <c r="H66" s="9" t="n">
        <v>300</v>
      </c>
      <c r="I66" s="9"/>
      <c r="J66" s="216"/>
      <c r="L66" s="0"/>
      <c r="M66" s="0"/>
      <c r="P66" s="0"/>
      <c r="S66" s="0"/>
      <c r="V66" s="0"/>
    </row>
    <row r="67" customFormat="false" ht="19.85" hidden="false" customHeight="true" outlineLevel="0" collapsed="false">
      <c r="A67" s="1" t="n">
        <v>31</v>
      </c>
      <c r="B67" s="34" t="n">
        <v>41183</v>
      </c>
      <c r="C67" s="1" t="n">
        <v>0</v>
      </c>
      <c r="D67" s="9" t="s">
        <v>41</v>
      </c>
      <c r="E67" s="33" t="n">
        <f aca="false">IF(D67="totale",(C67/(A67*24))/F67,IF(D67="marché libre",(C67/(A67*24))/G67,"spécifier histo"))</f>
        <v>0</v>
      </c>
      <c r="F67" s="59" t="n">
        <v>1050</v>
      </c>
      <c r="G67" s="59" t="n">
        <v>750</v>
      </c>
      <c r="H67" s="9" t="n">
        <v>300</v>
      </c>
      <c r="I67" s="9"/>
      <c r="J67" s="216"/>
      <c r="L67" s="0"/>
      <c r="M67" s="0"/>
      <c r="P67" s="0"/>
      <c r="S67" s="0"/>
      <c r="V67" s="0"/>
    </row>
    <row r="68" customFormat="false" ht="19.85" hidden="false" customHeight="true" outlineLevel="0" collapsed="false">
      <c r="A68" s="1" t="n">
        <v>30</v>
      </c>
      <c r="B68" s="31" t="n">
        <v>41214</v>
      </c>
      <c r="C68" s="1" t="n">
        <v>32000</v>
      </c>
      <c r="D68" s="9" t="s">
        <v>41</v>
      </c>
      <c r="E68" s="33" t="n">
        <f aca="false">IF(D68="totale",(C68/(A68*24))/F68,IF(D68="marché libre",(C68/(A68*24))/G68,"spécifier histo"))</f>
        <v>0.0423280423280423</v>
      </c>
      <c r="F68" s="59" t="n">
        <v>1050</v>
      </c>
      <c r="G68" s="59" t="n">
        <v>750</v>
      </c>
      <c r="H68" s="9" t="n">
        <v>300</v>
      </c>
      <c r="I68" s="9"/>
      <c r="J68" s="216"/>
      <c r="L68" s="0"/>
      <c r="M68" s="0"/>
      <c r="P68" s="0"/>
      <c r="S68" s="0"/>
      <c r="V68" s="0"/>
    </row>
    <row r="69" customFormat="false" ht="19.85" hidden="false" customHeight="true" outlineLevel="0" collapsed="false">
      <c r="A69" s="1" t="n">
        <v>31</v>
      </c>
      <c r="B69" s="34" t="n">
        <v>41244</v>
      </c>
      <c r="C69" s="1" t="n">
        <v>274497</v>
      </c>
      <c r="D69" s="9" t="s">
        <v>41</v>
      </c>
      <c r="E69" s="33" t="n">
        <f aca="false">IF(D69="totale",(C69/(A69*24))/F69,IF(D69="marché libre",(C69/(A69*24))/G69,"spécifier histo"))</f>
        <v>0.351378648233487</v>
      </c>
      <c r="F69" s="59" t="n">
        <v>1050</v>
      </c>
      <c r="G69" s="59" t="n">
        <v>750</v>
      </c>
      <c r="H69" s="9" t="n">
        <v>300</v>
      </c>
      <c r="I69" s="9"/>
      <c r="J69" s="216"/>
      <c r="L69" s="0"/>
      <c r="M69" s="0"/>
      <c r="P69" s="0"/>
      <c r="S69" s="0"/>
      <c r="V69" s="0"/>
    </row>
    <row r="70" customFormat="false" ht="19.85" hidden="false" customHeight="true" outlineLevel="0" collapsed="false">
      <c r="A70" s="1" t="n">
        <v>31</v>
      </c>
      <c r="B70" s="31" t="n">
        <v>41275</v>
      </c>
      <c r="C70" s="1" t="n">
        <v>385267</v>
      </c>
      <c r="D70" s="9" t="s">
        <v>41</v>
      </c>
      <c r="E70" s="33" t="n">
        <f aca="false">IF(D70="totale",(C70/(A70*24))/F70,IF(D70="marché libre",(C70/(A70*24))/G70,"spécifier histo"))</f>
        <v>0.493173323092678</v>
      </c>
      <c r="F70" s="59" t="n">
        <v>1050</v>
      </c>
      <c r="G70" s="59" t="n">
        <v>750</v>
      </c>
      <c r="H70" s="9" t="n">
        <v>300</v>
      </c>
      <c r="I70" s="9"/>
      <c r="J70" s="216"/>
      <c r="L70" s="0"/>
      <c r="M70" s="0"/>
      <c r="P70" s="0"/>
      <c r="S70" s="0"/>
      <c r="V70" s="0"/>
    </row>
    <row r="71" customFormat="false" ht="19.85" hidden="false" customHeight="true" outlineLevel="0" collapsed="false">
      <c r="A71" s="1" t="n">
        <v>28</v>
      </c>
      <c r="B71" s="34" t="n">
        <v>41306</v>
      </c>
      <c r="C71" s="1" t="n">
        <v>505927</v>
      </c>
      <c r="D71" s="9" t="s">
        <v>41</v>
      </c>
      <c r="E71" s="33" t="n">
        <f aca="false">IF(D71="totale",(C71/(A71*24))/F71,IF(D71="marché libre",(C71/(A71*24))/G71,"spécifier histo"))</f>
        <v>0.717016723356009</v>
      </c>
      <c r="F71" s="59" t="n">
        <v>1050</v>
      </c>
      <c r="G71" s="59" t="n">
        <v>750</v>
      </c>
      <c r="H71" s="9" t="n">
        <v>300</v>
      </c>
      <c r="I71" s="9"/>
      <c r="J71" s="216"/>
      <c r="L71" s="0"/>
      <c r="M71" s="0"/>
      <c r="P71" s="0"/>
      <c r="S71" s="0"/>
      <c r="V71" s="0"/>
    </row>
    <row r="72" customFormat="false" ht="19.85" hidden="false" customHeight="true" outlineLevel="0" collapsed="false">
      <c r="A72" s="1" t="n">
        <v>31</v>
      </c>
      <c r="B72" s="31" t="n">
        <v>41334</v>
      </c>
      <c r="C72" s="1" t="n">
        <v>522709</v>
      </c>
      <c r="D72" s="9" t="s">
        <v>41</v>
      </c>
      <c r="E72" s="33" t="n">
        <f aca="false">IF(D72="totale",(C72/(A72*24))/F72,IF(D72="marché libre",(C72/(A72*24))/G72,"spécifier histo"))</f>
        <v>0.669110343061956</v>
      </c>
      <c r="F72" s="59" t="n">
        <v>1050</v>
      </c>
      <c r="G72" s="59" t="n">
        <v>750</v>
      </c>
      <c r="H72" s="9" t="n">
        <v>300</v>
      </c>
      <c r="I72" s="9"/>
      <c r="J72" s="216"/>
      <c r="L72" s="0"/>
      <c r="M72" s="0"/>
      <c r="P72" s="0"/>
      <c r="S72" s="0"/>
      <c r="V72" s="0"/>
    </row>
    <row r="73" customFormat="false" ht="19.85" hidden="false" customHeight="true" outlineLevel="0" collapsed="false">
      <c r="A73" s="1" t="n">
        <v>30</v>
      </c>
      <c r="B73" s="34" t="n">
        <v>41365</v>
      </c>
      <c r="C73" s="1" t="n">
        <v>523251</v>
      </c>
      <c r="D73" s="9" t="s">
        <v>41</v>
      </c>
      <c r="E73" s="33" t="n">
        <f aca="false">IF(D73="totale",(C73/(A73*24))/F73,IF(D73="marché libre",(C73/(A73*24))/G73,"spécifier histo"))</f>
        <v>0.692130952380952</v>
      </c>
      <c r="F73" s="59" t="n">
        <v>1050</v>
      </c>
      <c r="G73" s="59" t="n">
        <v>750</v>
      </c>
      <c r="H73" s="9" t="n">
        <v>300</v>
      </c>
      <c r="I73" s="9"/>
      <c r="J73" s="216"/>
      <c r="L73" s="0"/>
      <c r="M73" s="0"/>
      <c r="P73" s="0"/>
      <c r="S73" s="0"/>
      <c r="V73" s="0"/>
    </row>
    <row r="74" customFormat="false" ht="19.85" hidden="false" customHeight="true" outlineLevel="0" collapsed="false">
      <c r="A74" s="1" t="n">
        <v>31</v>
      </c>
      <c r="B74" s="31" t="n">
        <v>41395</v>
      </c>
      <c r="C74" s="1" t="n">
        <v>474920</v>
      </c>
      <c r="D74" s="9" t="s">
        <v>41</v>
      </c>
      <c r="E74" s="33" t="n">
        <f aca="false">IF(D74="totale",(C74/(A74*24))/F74,IF(D74="marché libre",(C74/(A74*24))/G74,"spécifier histo"))</f>
        <v>0.607936507936508</v>
      </c>
      <c r="F74" s="59" t="n">
        <v>1050</v>
      </c>
      <c r="G74" s="59" t="n">
        <v>750</v>
      </c>
      <c r="H74" s="9" t="n">
        <v>300</v>
      </c>
      <c r="I74" s="9"/>
      <c r="J74" s="216"/>
      <c r="L74" s="0"/>
      <c r="M74" s="0"/>
      <c r="P74" s="0"/>
      <c r="S74" s="0"/>
      <c r="V74" s="0"/>
    </row>
    <row r="75" customFormat="false" ht="19.85" hidden="false" customHeight="true" outlineLevel="0" collapsed="false">
      <c r="A75" s="1" t="n">
        <v>30</v>
      </c>
      <c r="B75" s="34" t="n">
        <v>41426</v>
      </c>
      <c r="C75" s="1" t="n">
        <v>328563</v>
      </c>
      <c r="D75" s="9" t="s">
        <v>41</v>
      </c>
      <c r="E75" s="33" t="n">
        <f aca="false">IF(D75="totale",(C75/(A75*24))/F75,IF(D75="marché libre",(C75/(A75*24))/G75,"spécifier histo"))</f>
        <v>0.434607142857143</v>
      </c>
      <c r="F75" s="59" t="n">
        <v>1050</v>
      </c>
      <c r="G75" s="59" t="n">
        <v>750</v>
      </c>
      <c r="H75" s="9" t="n">
        <v>300</v>
      </c>
      <c r="I75" s="9"/>
      <c r="J75" s="216"/>
      <c r="L75" s="0"/>
      <c r="M75" s="0"/>
      <c r="P75" s="0"/>
      <c r="S75" s="0"/>
      <c r="V75" s="0"/>
    </row>
    <row r="76" customFormat="false" ht="19.85" hidden="false" customHeight="true" outlineLevel="0" collapsed="false">
      <c r="A76" s="1" t="n">
        <v>31</v>
      </c>
      <c r="B76" s="31" t="n">
        <v>41456</v>
      </c>
      <c r="C76" s="1" t="n">
        <v>120579</v>
      </c>
      <c r="D76" s="9" t="s">
        <v>41</v>
      </c>
      <c r="E76" s="33" t="n">
        <f aca="false">IF(D76="totale",(C76/(A76*24))/F76,IF(D76="marché libre",(C76/(A76*24))/G76,"spécifier histo"))</f>
        <v>0.154350998463902</v>
      </c>
      <c r="F76" s="59" t="n">
        <v>1050</v>
      </c>
      <c r="G76" s="59" t="n">
        <v>750</v>
      </c>
      <c r="H76" s="9" t="n">
        <v>300</v>
      </c>
      <c r="I76" s="9"/>
      <c r="J76" s="216"/>
      <c r="L76" s="0"/>
      <c r="M76" s="0"/>
      <c r="P76" s="0"/>
      <c r="S76" s="0"/>
      <c r="V76" s="0"/>
    </row>
    <row r="77" customFormat="false" ht="19.85" hidden="false" customHeight="true" outlineLevel="0" collapsed="false">
      <c r="A77" s="1" t="n">
        <v>31</v>
      </c>
      <c r="B77" s="34" t="n">
        <v>41487</v>
      </c>
      <c r="C77" s="1" t="n">
        <v>35658</v>
      </c>
      <c r="D77" s="9" t="s">
        <v>41</v>
      </c>
      <c r="E77" s="33" t="n">
        <f aca="false">IF(D77="totale",(C77/(A77*24))/F77,IF(D77="marché libre",(C77/(A77*24))/G77,"spécifier histo"))</f>
        <v>0.0456451612903226</v>
      </c>
      <c r="F77" s="59" t="n">
        <v>1050</v>
      </c>
      <c r="G77" s="59" t="n">
        <v>750</v>
      </c>
      <c r="H77" s="9" t="n">
        <v>300</v>
      </c>
      <c r="I77" s="9"/>
      <c r="J77" s="216"/>
      <c r="L77" s="0"/>
      <c r="M77" s="0"/>
      <c r="P77" s="0"/>
      <c r="S77" s="0"/>
      <c r="V77" s="0"/>
    </row>
    <row r="78" customFormat="false" ht="19.85" hidden="false" customHeight="true" outlineLevel="0" collapsed="false">
      <c r="A78" s="1" t="n">
        <v>30</v>
      </c>
      <c r="B78" s="31" t="n">
        <v>41518</v>
      </c>
      <c r="C78" s="1" t="n">
        <v>55209</v>
      </c>
      <c r="D78" s="9" t="s">
        <v>41</v>
      </c>
      <c r="E78" s="33" t="n">
        <f aca="false">IF(D78="totale",(C78/(A78*24))/F78,IF(D78="marché libre",(C78/(A78*24))/G78,"spécifier histo"))</f>
        <v>0.0730277777777778</v>
      </c>
      <c r="F78" s="59" t="n">
        <v>1050</v>
      </c>
      <c r="G78" s="59" t="n">
        <v>750</v>
      </c>
      <c r="H78" s="9" t="n">
        <v>300</v>
      </c>
      <c r="I78" s="9"/>
      <c r="J78" s="216"/>
      <c r="L78" s="0"/>
      <c r="M78" s="0"/>
      <c r="P78" s="0"/>
      <c r="S78" s="0"/>
      <c r="V78" s="0"/>
    </row>
    <row r="79" customFormat="false" ht="19.85" hidden="false" customHeight="true" outlineLevel="0" collapsed="false">
      <c r="A79" s="1" t="n">
        <v>31</v>
      </c>
      <c r="B79" s="34" t="n">
        <v>41548</v>
      </c>
      <c r="C79" s="1" t="n">
        <v>115562</v>
      </c>
      <c r="D79" s="9" t="s">
        <v>41</v>
      </c>
      <c r="E79" s="33" t="n">
        <f aca="false">IF(D79="totale",(C79/(A79*24))/F79,IF(D79="marché libre",(C79/(A79*24))/G79,"spécifier histo"))</f>
        <v>0.147928827444956</v>
      </c>
      <c r="F79" s="59" t="n">
        <v>1050</v>
      </c>
      <c r="G79" s="59" t="n">
        <v>750</v>
      </c>
      <c r="H79" s="9" t="n">
        <v>300</v>
      </c>
      <c r="I79" s="9"/>
      <c r="J79" s="216"/>
      <c r="L79" s="0"/>
      <c r="M79" s="0"/>
      <c r="P79" s="0"/>
      <c r="S79" s="0"/>
      <c r="V79" s="0"/>
    </row>
    <row r="80" customFormat="false" ht="19.85" hidden="false" customHeight="true" outlineLevel="0" collapsed="false">
      <c r="A80" s="1" t="n">
        <v>30</v>
      </c>
      <c r="B80" s="31" t="n">
        <v>41579</v>
      </c>
      <c r="C80" s="1" t="n">
        <v>453073</v>
      </c>
      <c r="D80" s="9" t="s">
        <v>41</v>
      </c>
      <c r="E80" s="33" t="n">
        <f aca="false">IF(D80="totale",(C80/(A80*24))/F80,IF(D80="marché libre",(C80/(A80*24))/G80,"spécifier histo"))</f>
        <v>0.59930291005291</v>
      </c>
      <c r="F80" s="59" t="n">
        <v>1050</v>
      </c>
      <c r="G80" s="59" t="n">
        <v>750</v>
      </c>
      <c r="H80" s="9" t="n">
        <v>300</v>
      </c>
      <c r="I80" s="9"/>
      <c r="J80" s="216"/>
      <c r="L80" s="0"/>
      <c r="M80" s="0"/>
      <c r="P80" s="0"/>
      <c r="S80" s="0"/>
      <c r="V80" s="0"/>
    </row>
    <row r="81" customFormat="false" ht="19.85" hidden="false" customHeight="true" outlineLevel="0" collapsed="false">
      <c r="A81" s="1" t="n">
        <v>31</v>
      </c>
      <c r="B81" s="34" t="n">
        <v>41609</v>
      </c>
      <c r="C81" s="1" t="n">
        <v>281732</v>
      </c>
      <c r="D81" s="9" t="s">
        <v>41</v>
      </c>
      <c r="E81" s="33" t="n">
        <f aca="false">IF(D81="totale",(C81/(A81*24))/F81,IF(D81="marché libre",(C81/(A81*24))/G81,"spécifier histo"))</f>
        <v>0.360640040962622</v>
      </c>
      <c r="F81" s="59" t="n">
        <v>1050</v>
      </c>
      <c r="G81" s="59" t="n">
        <v>750</v>
      </c>
      <c r="H81" s="9" t="n">
        <v>300</v>
      </c>
      <c r="I81" s="9"/>
      <c r="J81" s="216"/>
      <c r="L81" s="0"/>
      <c r="M81" s="0"/>
      <c r="P81" s="0"/>
      <c r="S81" s="0"/>
      <c r="V81" s="0"/>
    </row>
    <row r="82" customFormat="false" ht="19.85" hidden="false" customHeight="true" outlineLevel="0" collapsed="false">
      <c r="A82" s="1" t="n">
        <v>31</v>
      </c>
      <c r="B82" s="31" t="n">
        <v>41640</v>
      </c>
      <c r="C82" s="1" t="n">
        <v>445736</v>
      </c>
      <c r="D82" s="9" t="s">
        <v>41</v>
      </c>
      <c r="E82" s="33" t="n">
        <f aca="false">IF(D82="totale",(C82/(A82*24))/F82,IF(D82="marché libre",(C82/(A82*24))/G82,"spécifier histo"))</f>
        <v>0.57057859703021</v>
      </c>
      <c r="F82" s="59" t="n">
        <v>1050</v>
      </c>
      <c r="G82" s="59" t="n">
        <v>750</v>
      </c>
      <c r="H82" s="9" t="n">
        <v>300</v>
      </c>
      <c r="I82" s="9"/>
      <c r="J82" s="216"/>
      <c r="L82" s="0"/>
      <c r="M82" s="0"/>
      <c r="P82" s="0"/>
      <c r="S82" s="0"/>
      <c r="V82" s="0"/>
    </row>
    <row r="83" customFormat="false" ht="19.85" hidden="false" customHeight="true" outlineLevel="0" collapsed="false">
      <c r="A83" s="1" t="n">
        <v>28</v>
      </c>
      <c r="B83" s="34" t="n">
        <v>41671</v>
      </c>
      <c r="C83" s="1" t="n">
        <v>692</v>
      </c>
      <c r="D83" s="9" t="s">
        <v>41</v>
      </c>
      <c r="E83" s="33" t="n">
        <f aca="false">IF(D83="totale",(C83/(A83*24))/F83,IF(D83="marché libre",(C83/(A83*24))/G83,"spécifier histo"))</f>
        <v>0.000980725623582767</v>
      </c>
      <c r="F83" s="59" t="n">
        <v>1050</v>
      </c>
      <c r="G83" s="59" t="n">
        <v>750</v>
      </c>
      <c r="H83" s="9" t="n">
        <v>300</v>
      </c>
      <c r="I83" s="9"/>
      <c r="J83" s="216"/>
      <c r="L83" s="0"/>
      <c r="M83" s="0"/>
      <c r="P83" s="0"/>
      <c r="S83" s="0"/>
      <c r="V83" s="0"/>
    </row>
    <row r="84" customFormat="false" ht="19.85" hidden="false" customHeight="true" outlineLevel="0" collapsed="false">
      <c r="A84" s="1" t="n">
        <v>31</v>
      </c>
      <c r="B84" s="31" t="n">
        <v>41699</v>
      </c>
      <c r="C84" s="1" t="n">
        <v>446102</v>
      </c>
      <c r="D84" s="9" t="s">
        <v>41</v>
      </c>
      <c r="E84" s="33" t="n">
        <f aca="false">IF(D84="totale",(C84/(A84*24))/F84,IF(D84="marché libre",(C84/(A84*24))/G84,"spécifier histo"))</f>
        <v>0.571047107014849</v>
      </c>
      <c r="F84" s="59" t="n">
        <v>1050</v>
      </c>
      <c r="G84" s="59" t="n">
        <v>750</v>
      </c>
      <c r="H84" s="9" t="n">
        <v>300</v>
      </c>
      <c r="I84" s="9"/>
      <c r="J84" s="216"/>
      <c r="L84" s="0"/>
      <c r="M84" s="0"/>
      <c r="P84" s="0"/>
      <c r="S84" s="0"/>
      <c r="V84" s="0"/>
    </row>
    <row r="85" customFormat="false" ht="19.85" hidden="false" customHeight="true" outlineLevel="0" collapsed="false">
      <c r="A85" s="1" t="n">
        <v>30</v>
      </c>
      <c r="B85" s="34" t="n">
        <v>41730</v>
      </c>
      <c r="C85" s="1" t="n">
        <v>304674</v>
      </c>
      <c r="D85" s="9" t="s">
        <v>41</v>
      </c>
      <c r="E85" s="33" t="n">
        <f aca="false">IF(D85="totale",(C85/(A85*24))/F85,IF(D85="marché libre",(C85/(A85*24))/G85,"spécifier histo"))</f>
        <v>0.403007936507937</v>
      </c>
      <c r="F85" s="59" t="n">
        <v>1050</v>
      </c>
      <c r="G85" s="59" t="n">
        <v>750</v>
      </c>
      <c r="H85" s="9" t="n">
        <v>300</v>
      </c>
      <c r="I85" s="9"/>
      <c r="J85" s="216"/>
      <c r="L85" s="0"/>
      <c r="M85" s="0"/>
      <c r="P85" s="0"/>
      <c r="S85" s="0"/>
      <c r="V85" s="0"/>
    </row>
    <row r="86" customFormat="false" ht="19.85" hidden="false" customHeight="true" outlineLevel="0" collapsed="false">
      <c r="A86" s="1" t="n">
        <v>31</v>
      </c>
      <c r="B86" s="31" t="n">
        <v>41760</v>
      </c>
      <c r="C86" s="1" t="n">
        <v>248351</v>
      </c>
      <c r="D86" s="9" t="s">
        <v>41</v>
      </c>
      <c r="E86" s="33" t="n">
        <f aca="false">IF(D86="totale",(C86/(A86*24))/F86,IF(D86="marché libre",(C86/(A86*24))/G86,"spécifier histo"))</f>
        <v>0.317909626216078</v>
      </c>
      <c r="F86" s="59" t="n">
        <v>1050</v>
      </c>
      <c r="G86" s="59" t="n">
        <v>750</v>
      </c>
      <c r="H86" s="9" t="n">
        <v>300</v>
      </c>
      <c r="I86" s="9"/>
      <c r="J86" s="216"/>
      <c r="L86" s="0"/>
      <c r="P86" s="0"/>
      <c r="S86" s="0"/>
      <c r="V86" s="0"/>
    </row>
    <row r="87" customFormat="false" ht="19.85" hidden="false" customHeight="true" outlineLevel="0" collapsed="false">
      <c r="A87" s="1" t="n">
        <v>30</v>
      </c>
      <c r="B87" s="34" t="n">
        <v>41791</v>
      </c>
      <c r="C87" s="1" t="n">
        <v>105131</v>
      </c>
      <c r="D87" s="9" t="s">
        <v>41</v>
      </c>
      <c r="E87" s="33" t="n">
        <f aca="false">IF(D87="totale",(C87/(A87*24))/F87,IF(D87="marché libre",(C87/(A87*24))/G87,"spécifier histo"))</f>
        <v>0.139062169312169</v>
      </c>
      <c r="F87" s="59" t="n">
        <v>1050</v>
      </c>
      <c r="G87" s="59" t="n">
        <v>750</v>
      </c>
      <c r="H87" s="9" t="n">
        <v>300</v>
      </c>
      <c r="I87" s="9"/>
      <c r="J87" s="216"/>
      <c r="L87" s="0"/>
      <c r="P87" s="0"/>
      <c r="S87" s="0"/>
      <c r="V87" s="0"/>
    </row>
    <row r="88" s="1" customFormat="true" ht="19.85" hidden="false" customHeight="true" outlineLevel="0" collapsed="false">
      <c r="A88" s="1" t="n">
        <v>31</v>
      </c>
      <c r="B88" s="31" t="n">
        <v>41821</v>
      </c>
      <c r="C88" s="1" t="n">
        <v>137082</v>
      </c>
      <c r="D88" s="9" t="s">
        <v>41</v>
      </c>
      <c r="E88" s="33" t="n">
        <f aca="false">IF(D88="totale",(C88/(A88*24))/F88,IF(D88="marché libre",(C88/(A88*24))/G88,"spécifier histo"))</f>
        <v>0.17547619047619</v>
      </c>
      <c r="F88" s="59" t="n">
        <v>1050</v>
      </c>
      <c r="G88" s="59" t="n">
        <v>750</v>
      </c>
      <c r="H88" s="9" t="n">
        <v>300</v>
      </c>
      <c r="K88" s="0"/>
      <c r="L88" s="29"/>
      <c r="S88" s="0"/>
      <c r="V88" s="0"/>
    </row>
    <row r="89" customFormat="false" ht="19.85" hidden="false" customHeight="true" outlineLevel="0" collapsed="false">
      <c r="A89" s="1" t="n">
        <v>31</v>
      </c>
      <c r="B89" s="34" t="n">
        <v>41852</v>
      </c>
      <c r="C89" s="1" t="n">
        <v>113278</v>
      </c>
      <c r="D89" s="9" t="s">
        <v>41</v>
      </c>
      <c r="E89" s="33" t="n">
        <f aca="false">IF(D89="totale",(C89/(A89*24))/F89,IF(D89="marché libre",(C89/(A89*24))/G89,"spécifier histo"))</f>
        <v>0.145005120327701</v>
      </c>
      <c r="F89" s="59" t="n">
        <v>1050</v>
      </c>
      <c r="G89" s="59" t="n">
        <v>750</v>
      </c>
      <c r="H89" s="9" t="n">
        <v>300</v>
      </c>
      <c r="J89" s="216"/>
      <c r="L89" s="0"/>
      <c r="P89" s="0"/>
      <c r="S89" s="0"/>
      <c r="V89" s="0"/>
    </row>
    <row r="90" s="1" customFormat="true" ht="19.85" hidden="false" customHeight="true" outlineLevel="0" collapsed="false">
      <c r="A90" s="1" t="n">
        <v>30</v>
      </c>
      <c r="B90" s="31" t="n">
        <v>41883</v>
      </c>
      <c r="C90" s="1" t="n">
        <v>39367</v>
      </c>
      <c r="D90" s="9" t="s">
        <v>41</v>
      </c>
      <c r="E90" s="33" t="n">
        <f aca="false">IF(D90="totale",(C90/(A90*24))/F90,IF(D90="marché libre",(C90/(A90*24))/G90,"spécifier histo"))</f>
        <v>0.0520727513227513</v>
      </c>
      <c r="F90" s="59" t="n">
        <v>1050</v>
      </c>
      <c r="G90" s="59" t="n">
        <v>750</v>
      </c>
      <c r="H90" s="9" t="n">
        <v>300</v>
      </c>
      <c r="K90" s="0"/>
      <c r="L90" s="29"/>
      <c r="S90" s="0"/>
      <c r="V90" s="0"/>
    </row>
    <row r="91" customFormat="false" ht="19.85" hidden="false" customHeight="true" outlineLevel="0" collapsed="false">
      <c r="A91" s="1" t="n">
        <v>31</v>
      </c>
      <c r="B91" s="34" t="n">
        <v>41913</v>
      </c>
      <c r="C91" s="1" t="n">
        <v>47142</v>
      </c>
      <c r="D91" s="9" t="s">
        <v>41</v>
      </c>
      <c r="E91" s="33" t="n">
        <f aca="false">IF(D91="totale",(C91/(A91*24))/F91,IF(D91="marché libre",(C91/(A91*24))/G91,"spécifier histo"))</f>
        <v>0.0603456221198157</v>
      </c>
      <c r="F91" s="59" t="n">
        <v>1050</v>
      </c>
      <c r="G91" s="59" t="n">
        <v>750</v>
      </c>
      <c r="H91" s="9" t="n">
        <v>300</v>
      </c>
      <c r="J91" s="216"/>
      <c r="L91" s="0"/>
      <c r="P91" s="0"/>
      <c r="S91" s="0"/>
      <c r="V91" s="0"/>
    </row>
    <row r="92" s="1" customFormat="true" ht="19.85" hidden="false" customHeight="true" outlineLevel="0" collapsed="false">
      <c r="A92" s="1" t="n">
        <v>30</v>
      </c>
      <c r="B92" s="31" t="n">
        <v>41944</v>
      </c>
      <c r="C92" s="1" t="n">
        <v>125063</v>
      </c>
      <c r="D92" s="9" t="s">
        <v>41</v>
      </c>
      <c r="E92" s="33" t="n">
        <f aca="false">IF(D92="totale",(C92/(A92*24))/F92,IF(D92="marché libre",(C92/(A92*24))/G92,"spécifier histo"))</f>
        <v>0.165427248677249</v>
      </c>
      <c r="F92" s="59" t="n">
        <v>1050</v>
      </c>
      <c r="G92" s="59" t="n">
        <v>750</v>
      </c>
      <c r="H92" s="9" t="n">
        <v>300</v>
      </c>
      <c r="K92" s="0"/>
      <c r="L92" s="29"/>
      <c r="S92" s="0"/>
      <c r="V92" s="0"/>
    </row>
    <row r="93" customFormat="false" ht="19.85" hidden="false" customHeight="true" outlineLevel="0" collapsed="false">
      <c r="A93" s="1" t="n">
        <v>31</v>
      </c>
      <c r="B93" s="34" t="n">
        <v>41974</v>
      </c>
      <c r="C93" s="1" t="n">
        <v>494545</v>
      </c>
      <c r="D93" s="9" t="s">
        <v>41</v>
      </c>
      <c r="E93" s="33" t="n">
        <f aca="false">IF(D93="totale",(C93/(A93*24))/F93,IF(D93="marché libre",(C93/(A93*24))/G93,"spécifier histo"))</f>
        <v>0.633058115719406</v>
      </c>
      <c r="F93" s="59" t="n">
        <v>1050</v>
      </c>
      <c r="G93" s="59" t="n">
        <v>750</v>
      </c>
      <c r="H93" s="9" t="n">
        <v>300</v>
      </c>
      <c r="J93" s="216"/>
      <c r="L93" s="0"/>
      <c r="P93" s="0"/>
      <c r="S93" s="0"/>
      <c r="V93" s="0"/>
    </row>
    <row r="94" s="1" customFormat="true" ht="19.85" hidden="false" customHeight="true" outlineLevel="0" collapsed="false">
      <c r="A94" s="1" t="n">
        <v>31</v>
      </c>
      <c r="B94" s="31" t="n">
        <v>42005</v>
      </c>
      <c r="C94" s="1" t="n">
        <v>311136</v>
      </c>
      <c r="D94" s="9" t="s">
        <v>41</v>
      </c>
      <c r="E94" s="33" t="n">
        <f aca="false">IF(D94="totale",(C94/(A94*24))/F94,IF(D94="marché libre",(C94/(A94*24))/G94,"spécifier histo"))</f>
        <v>0.398279569892473</v>
      </c>
      <c r="F94" s="59" t="n">
        <v>1050</v>
      </c>
      <c r="G94" s="59" t="n">
        <v>750</v>
      </c>
      <c r="H94" s="9" t="n">
        <v>300</v>
      </c>
      <c r="K94" s="0"/>
      <c r="L94" s="29"/>
      <c r="S94" s="0"/>
      <c r="V94" s="0"/>
    </row>
    <row r="95" customFormat="false" ht="19.85" hidden="false" customHeight="true" outlineLevel="0" collapsed="false">
      <c r="A95" s="1" t="n">
        <v>28</v>
      </c>
      <c r="B95" s="34" t="n">
        <v>42036</v>
      </c>
      <c r="C95" s="1" t="n">
        <v>444278</v>
      </c>
      <c r="D95" s="9" t="s">
        <v>41</v>
      </c>
      <c r="E95" s="33" t="n">
        <f aca="false">IF(D95="totale",(C95/(A95*24))/F95,IF(D95="marché libre",(C95/(A95*24))/G95,"spécifier histo"))</f>
        <v>0.629645691609977</v>
      </c>
      <c r="F95" s="59" t="n">
        <v>1050</v>
      </c>
      <c r="G95" s="59" t="n">
        <v>750</v>
      </c>
      <c r="H95" s="9" t="n">
        <v>300</v>
      </c>
      <c r="J95" s="216"/>
      <c r="L95" s="0"/>
      <c r="P95" s="0"/>
      <c r="S95" s="0"/>
      <c r="V95" s="0"/>
    </row>
    <row r="96" s="1" customFormat="true" ht="19.85" hidden="false" customHeight="true" outlineLevel="0" collapsed="false">
      <c r="A96" s="1" t="n">
        <v>31</v>
      </c>
      <c r="B96" s="31" t="n">
        <v>42064</v>
      </c>
      <c r="C96" s="1" t="n">
        <v>463445</v>
      </c>
      <c r="D96" s="9" t="s">
        <v>41</v>
      </c>
      <c r="E96" s="33" t="n">
        <f aca="false">IF(D96="totale",(C96/(A96*24))/F96,IF(D96="marché libre",(C96/(A96*24))/G96,"spécifier histo"))</f>
        <v>0.593247567844342</v>
      </c>
      <c r="F96" s="59" t="n">
        <v>1050</v>
      </c>
      <c r="G96" s="59" t="n">
        <v>750</v>
      </c>
      <c r="H96" s="9" t="n">
        <v>300</v>
      </c>
      <c r="K96" s="0"/>
      <c r="L96" s="29"/>
      <c r="S96" s="0"/>
      <c r="V96" s="0"/>
    </row>
    <row r="97" customFormat="false" ht="19.85" hidden="false" customHeight="true" outlineLevel="0" collapsed="false">
      <c r="A97" s="1" t="n">
        <v>30</v>
      </c>
      <c r="B97" s="34" t="n">
        <v>42095</v>
      </c>
      <c r="C97" s="1" t="n">
        <v>394675</v>
      </c>
      <c r="D97" s="9" t="s">
        <v>41</v>
      </c>
      <c r="E97" s="33" t="n">
        <f aca="false">IF(D97="totale",(C97/(A97*24))/F97,IF(D97="marché libre",(C97/(A97*24))/G97,"spécifier histo"))</f>
        <v>0.522056878306878</v>
      </c>
      <c r="F97" s="59" t="n">
        <v>1050</v>
      </c>
      <c r="G97" s="59" t="n">
        <v>750</v>
      </c>
      <c r="H97" s="9" t="n">
        <v>300</v>
      </c>
      <c r="J97" s="216"/>
      <c r="L97" s="0"/>
      <c r="P97" s="0"/>
      <c r="S97" s="0"/>
      <c r="V97" s="0"/>
    </row>
    <row r="98" s="1" customFormat="true" ht="19.85" hidden="false" customHeight="true" outlineLevel="0" collapsed="false">
      <c r="A98" s="1" t="n">
        <v>31</v>
      </c>
      <c r="B98" s="31" t="n">
        <v>42125</v>
      </c>
      <c r="C98" s="1" t="n">
        <v>306738</v>
      </c>
      <c r="D98" s="9" t="s">
        <v>41</v>
      </c>
      <c r="E98" s="33" t="n">
        <f aca="false">IF(D98="totale",(C98/(A98*24))/F98,IF(D98="marché libre",(C98/(A98*24))/G98,"spécifier histo"))</f>
        <v>0.392649769585253</v>
      </c>
      <c r="F98" s="59" t="n">
        <v>1050</v>
      </c>
      <c r="G98" s="59" t="n">
        <v>750</v>
      </c>
      <c r="H98" s="9" t="n">
        <v>300</v>
      </c>
      <c r="K98" s="0"/>
      <c r="L98" s="29"/>
      <c r="S98" s="0"/>
      <c r="V98" s="0"/>
    </row>
    <row r="99" customFormat="false" ht="19.85" hidden="false" customHeight="true" outlineLevel="0" collapsed="false">
      <c r="A99" s="1" t="n">
        <v>30</v>
      </c>
      <c r="B99" s="34" t="n">
        <v>42156</v>
      </c>
      <c r="C99" s="1" t="n">
        <v>115741</v>
      </c>
      <c r="D99" s="9" t="s">
        <v>41</v>
      </c>
      <c r="E99" s="33" t="n">
        <f aca="false">IF(D99="totale",(C99/(A99*24))/F99,IF(D99="marché libre",(C99/(A99*24))/G99,"spécifier histo"))</f>
        <v>0.153096560846561</v>
      </c>
      <c r="F99" s="59" t="n">
        <v>1050</v>
      </c>
      <c r="G99" s="59" t="n">
        <v>750</v>
      </c>
      <c r="H99" s="9" t="n">
        <v>300</v>
      </c>
      <c r="J99" s="216"/>
      <c r="L99" s="0"/>
      <c r="P99" s="0"/>
      <c r="S99" s="0"/>
      <c r="V99" s="0"/>
    </row>
    <row r="100" s="1" customFormat="true" ht="19.85" hidden="false" customHeight="true" outlineLevel="0" collapsed="false">
      <c r="A100" s="1" t="n">
        <v>31</v>
      </c>
      <c r="B100" s="31" t="n">
        <v>42186</v>
      </c>
      <c r="C100" s="1" t="n">
        <v>563</v>
      </c>
      <c r="D100" s="9" t="s">
        <v>41</v>
      </c>
      <c r="E100" s="33" t="n">
        <f aca="false">IF(D100="totale",(C100/(A100*24))/F100,IF(D100="marché libre",(C100/(A100*24))/G100,"spécifier histo"))</f>
        <v>0.00072068612391193</v>
      </c>
      <c r="F100" s="59" t="n">
        <v>1050</v>
      </c>
      <c r="G100" s="59" t="n">
        <v>750</v>
      </c>
      <c r="H100" s="9" t="n">
        <v>300</v>
      </c>
      <c r="K100" s="0"/>
      <c r="L100" s="29"/>
      <c r="S100" s="0"/>
      <c r="V100" s="0"/>
    </row>
    <row r="101" customFormat="false" ht="19.85" hidden="false" customHeight="true" outlineLevel="0" collapsed="false">
      <c r="A101" s="1" t="n">
        <v>31</v>
      </c>
      <c r="B101" s="34" t="n">
        <v>42217</v>
      </c>
      <c r="C101" s="1" t="n">
        <v>12229</v>
      </c>
      <c r="D101" s="9" t="s">
        <v>41</v>
      </c>
      <c r="E101" s="33" t="n">
        <f aca="false">IF(D101="totale",(C101/(A101*24))/F101,IF(D101="marché libre",(C101/(A101*24))/G101,"spécifier histo"))</f>
        <v>0.0156541218637993</v>
      </c>
      <c r="F101" s="59" t="n">
        <v>1050</v>
      </c>
      <c r="G101" s="59" t="n">
        <v>750</v>
      </c>
      <c r="H101" s="9" t="n">
        <v>300</v>
      </c>
      <c r="J101" s="216"/>
      <c r="L101" s="0"/>
      <c r="P101" s="0"/>
      <c r="S101" s="0"/>
      <c r="V101" s="0"/>
    </row>
    <row r="102" s="1" customFormat="true" ht="19.85" hidden="false" customHeight="true" outlineLevel="0" collapsed="false">
      <c r="A102" s="1" t="n">
        <v>30</v>
      </c>
      <c r="B102" s="31" t="n">
        <v>42248</v>
      </c>
      <c r="C102" s="1" t="n">
        <v>5820</v>
      </c>
      <c r="D102" s="9" t="s">
        <v>41</v>
      </c>
      <c r="E102" s="33" t="n">
        <f aca="false">IF(D102="totale",(C102/(A102*24))/F102,IF(D102="marché libre",(C102/(A102*24))/G102,"spécifier histo"))</f>
        <v>0.0076984126984127</v>
      </c>
      <c r="F102" s="59" t="n">
        <v>1050</v>
      </c>
      <c r="G102" s="59" t="n">
        <v>750</v>
      </c>
      <c r="H102" s="9" t="n">
        <v>300</v>
      </c>
      <c r="K102" s="0"/>
      <c r="L102" s="29"/>
      <c r="S102" s="0"/>
      <c r="V102" s="0"/>
    </row>
    <row r="103" customFormat="false" ht="19.85" hidden="false" customHeight="true" outlineLevel="0" collapsed="false">
      <c r="A103" s="1" t="n">
        <v>31</v>
      </c>
      <c r="B103" s="34" t="n">
        <v>42278</v>
      </c>
      <c r="C103" s="1" t="n">
        <v>480</v>
      </c>
      <c r="D103" s="9" t="s">
        <v>41</v>
      </c>
      <c r="E103" s="33" t="n">
        <f aca="false">IF(D103="totale",(C103/(A103*24))/F103,IF(D103="marché libre",(C103/(A103*24))/G103,"spécifier histo"))</f>
        <v>0.000614439324116743</v>
      </c>
      <c r="F103" s="59" t="n">
        <v>1050</v>
      </c>
      <c r="G103" s="59" t="n">
        <v>750</v>
      </c>
      <c r="H103" s="9" t="n">
        <v>300</v>
      </c>
      <c r="J103" s="216"/>
      <c r="L103" s="0"/>
      <c r="P103" s="0"/>
      <c r="S103" s="0"/>
      <c r="V103" s="0"/>
    </row>
    <row r="104" s="1" customFormat="true" ht="19.85" hidden="false" customHeight="true" outlineLevel="0" collapsed="false">
      <c r="A104" s="1" t="n">
        <v>30</v>
      </c>
      <c r="B104" s="31" t="n">
        <v>42309</v>
      </c>
      <c r="C104" s="1" t="n">
        <v>63803</v>
      </c>
      <c r="D104" s="9" t="s">
        <v>41</v>
      </c>
      <c r="E104" s="33" t="n">
        <f aca="false">IF(D104="totale",(C104/(A104*24))/F104,IF(D104="marché libre",(C104/(A104*24))/G104,"spécifier histo"))</f>
        <v>0.0843955026455027</v>
      </c>
      <c r="F104" s="59" t="n">
        <v>1050</v>
      </c>
      <c r="G104" s="59" t="n">
        <v>750</v>
      </c>
      <c r="H104" s="9" t="n">
        <v>300</v>
      </c>
      <c r="K104" s="0"/>
      <c r="L104" s="29"/>
      <c r="S104" s="0"/>
      <c r="V104" s="0"/>
    </row>
    <row r="105" customFormat="false" ht="19.85" hidden="false" customHeight="true" outlineLevel="0" collapsed="false">
      <c r="A105" s="1" t="n">
        <v>31</v>
      </c>
      <c r="B105" s="34" t="n">
        <v>42339</v>
      </c>
      <c r="C105" s="1" t="n">
        <v>44317</v>
      </c>
      <c r="D105" s="9" t="s">
        <v>41</v>
      </c>
      <c r="E105" s="33" t="n">
        <f aca="false">IF(D105="totale",(C105/(A105*24))/F105,IF(D105="marché libre",(C105/(A105*24))/G105,"spécifier histo"))</f>
        <v>0.0567293906810036</v>
      </c>
      <c r="F105" s="59" t="n">
        <v>1050</v>
      </c>
      <c r="G105" s="59" t="n">
        <v>750</v>
      </c>
      <c r="H105" s="9" t="n">
        <v>300</v>
      </c>
      <c r="J105" s="216"/>
      <c r="L105" s="0"/>
      <c r="P105" s="0"/>
      <c r="S105" s="0"/>
      <c r="V105" s="0"/>
    </row>
    <row r="106" s="1" customFormat="true" ht="19.85" hidden="false" customHeight="true" outlineLevel="0" collapsed="false">
      <c r="A106" s="1" t="n">
        <v>31</v>
      </c>
      <c r="B106" s="31" t="n">
        <v>42370</v>
      </c>
      <c r="C106" s="1" t="n">
        <v>453706</v>
      </c>
      <c r="D106" s="9" t="s">
        <v>41</v>
      </c>
      <c r="E106" s="33" t="n">
        <f aca="false">IF(D106="totale",(C106/(A106*24))/F106,IF(D106="marché libre",(C106/(A106*24))/G106,"spécifier histo"))</f>
        <v>0.580780849974398</v>
      </c>
      <c r="F106" s="59" t="n">
        <v>1050</v>
      </c>
      <c r="G106" s="59" t="n">
        <v>750</v>
      </c>
      <c r="H106" s="9" t="n">
        <v>300</v>
      </c>
      <c r="K106" s="0"/>
      <c r="L106" s="29"/>
      <c r="S106" s="0"/>
      <c r="V106" s="0"/>
    </row>
    <row r="107" customFormat="false" ht="19.85" hidden="false" customHeight="true" outlineLevel="0" collapsed="false">
      <c r="A107" s="1" t="n">
        <v>28</v>
      </c>
      <c r="B107" s="34" t="n">
        <v>42401</v>
      </c>
      <c r="C107" s="1" t="n">
        <v>437335</v>
      </c>
      <c r="D107" s="9" t="s">
        <v>41</v>
      </c>
      <c r="E107" s="33" t="n">
        <f aca="false">IF(D107="totale",(C107/(A107*24))/F107,IF(D107="marché libre",(C107/(A107*24))/G107,"spécifier histo"))</f>
        <v>0.619805839002268</v>
      </c>
      <c r="F107" s="59" t="n">
        <v>1050</v>
      </c>
      <c r="G107" s="59" t="n">
        <v>750</v>
      </c>
      <c r="H107" s="9" t="n">
        <v>300</v>
      </c>
      <c r="J107" s="216"/>
      <c r="L107" s="0"/>
      <c r="P107" s="0"/>
      <c r="S107" s="0"/>
      <c r="V107" s="0"/>
    </row>
    <row r="108" s="1" customFormat="true" ht="19.85" hidden="false" customHeight="true" outlineLevel="0" collapsed="false">
      <c r="A108" s="1" t="n">
        <v>31</v>
      </c>
      <c r="B108" s="31" t="n">
        <v>42430</v>
      </c>
      <c r="C108" s="1" t="n">
        <v>480042</v>
      </c>
      <c r="D108" s="9" t="s">
        <v>41</v>
      </c>
      <c r="E108" s="33" t="n">
        <f aca="false">IF(D108="totale",(C108/(A108*24))/F108,IF(D108="marché libre",(C108/(A108*24))/G108,"spécifier histo"))</f>
        <v>0.614493087557604</v>
      </c>
      <c r="F108" s="59" t="n">
        <v>1050</v>
      </c>
      <c r="G108" s="59" t="n">
        <v>750</v>
      </c>
      <c r="H108" s="9" t="n">
        <v>300</v>
      </c>
      <c r="K108" s="0"/>
      <c r="L108" s="29"/>
      <c r="S108" s="0"/>
      <c r="V108" s="0"/>
    </row>
    <row r="109" customFormat="false" ht="19.85" hidden="false" customHeight="true" outlineLevel="0" collapsed="false">
      <c r="A109" s="1" t="n">
        <v>30</v>
      </c>
      <c r="B109" s="34" t="n">
        <v>42461</v>
      </c>
      <c r="C109" s="1" t="n">
        <v>453434</v>
      </c>
      <c r="D109" s="9" t="s">
        <v>41</v>
      </c>
      <c r="E109" s="33" t="n">
        <f aca="false">IF(D109="totale",(C109/(A109*24))/F109,IF(D109="marché libre",(C109/(A109*24))/G109,"spécifier histo"))</f>
        <v>0.599780423280423</v>
      </c>
      <c r="F109" s="59" t="n">
        <v>1050</v>
      </c>
      <c r="G109" s="59" t="n">
        <v>750</v>
      </c>
      <c r="H109" s="9" t="n">
        <v>300</v>
      </c>
      <c r="J109" s="216"/>
      <c r="L109" s="0"/>
      <c r="P109" s="0"/>
      <c r="S109" s="0"/>
      <c r="V109" s="0"/>
    </row>
    <row r="110" s="1" customFormat="true" ht="19.85" hidden="false" customHeight="true" outlineLevel="0" collapsed="false">
      <c r="A110" s="1" t="n">
        <v>31</v>
      </c>
      <c r="B110" s="31" t="n">
        <v>42491</v>
      </c>
      <c r="C110" s="1" t="n">
        <v>280558</v>
      </c>
      <c r="D110" s="9" t="s">
        <v>41</v>
      </c>
      <c r="E110" s="33" t="n">
        <f aca="false">IF(D110="totale",(C110/(A110*24))/F110,IF(D110="marché libre",(C110/(A110*24))/G110,"spécifier histo"))</f>
        <v>0.359137224782386</v>
      </c>
      <c r="F110" s="59" t="n">
        <v>1050</v>
      </c>
      <c r="G110" s="59" t="n">
        <v>750</v>
      </c>
      <c r="H110" s="9" t="n">
        <v>300</v>
      </c>
      <c r="K110" s="0"/>
      <c r="L110" s="29"/>
      <c r="S110" s="0"/>
      <c r="V110" s="0"/>
    </row>
    <row r="111" customFormat="false" ht="19.85" hidden="false" customHeight="true" outlineLevel="0" collapsed="false">
      <c r="A111" s="1" t="n">
        <v>30</v>
      </c>
      <c r="B111" s="34" t="n">
        <v>42522</v>
      </c>
      <c r="C111" s="1" t="n">
        <v>373307</v>
      </c>
      <c r="D111" s="9" t="s">
        <v>41</v>
      </c>
      <c r="E111" s="33" t="n">
        <f aca="false">IF(D111="totale",(C111/(A111*24))/F111,IF(D111="marché libre",(C111/(A111*24))/G111,"spécifier histo"))</f>
        <v>0.493792328042328</v>
      </c>
      <c r="F111" s="59" t="n">
        <v>1050</v>
      </c>
      <c r="G111" s="59" t="n">
        <v>750</v>
      </c>
      <c r="H111" s="9" t="n">
        <v>300</v>
      </c>
      <c r="J111" s="216"/>
      <c r="L111" s="0"/>
      <c r="P111" s="0"/>
      <c r="S111" s="0"/>
      <c r="V111" s="0"/>
    </row>
    <row r="112" s="1" customFormat="true" ht="19.85" hidden="false" customHeight="true" outlineLevel="0" collapsed="false">
      <c r="A112" s="1" t="n">
        <v>31</v>
      </c>
      <c r="B112" s="31" t="n">
        <v>42552</v>
      </c>
      <c r="C112" s="1" t="n">
        <v>126868</v>
      </c>
      <c r="D112" s="9" t="s">
        <v>41</v>
      </c>
      <c r="E112" s="33" t="n">
        <f aca="false">IF(D112="totale",(C112/(A112*24))/F112,IF(D112="marché libre",(C112/(A112*24))/G112,"spécifier histo"))</f>
        <v>0.162401433691756</v>
      </c>
      <c r="F112" s="59" t="n">
        <v>1050</v>
      </c>
      <c r="G112" s="59" t="n">
        <v>750</v>
      </c>
      <c r="H112" s="9" t="n">
        <v>300</v>
      </c>
      <c r="K112" s="0"/>
      <c r="L112" s="29"/>
      <c r="S112" s="0"/>
      <c r="V112" s="0"/>
    </row>
    <row r="113" customFormat="false" ht="19.85" hidden="false" customHeight="true" outlineLevel="0" collapsed="false">
      <c r="A113" s="1" t="n">
        <v>31</v>
      </c>
      <c r="B113" s="34" t="n">
        <v>42583</v>
      </c>
      <c r="C113" s="1" t="n">
        <v>52483</v>
      </c>
      <c r="D113" s="9" t="s">
        <v>41</v>
      </c>
      <c r="E113" s="33" t="n">
        <f aca="false">IF(D113="totale",(C113/(A113*24))/F113,IF(D113="marché libre",(C113/(A113*24))/G113,"spécifier histo"))</f>
        <v>0.0671825396825397</v>
      </c>
      <c r="F113" s="59" t="n">
        <v>1050</v>
      </c>
      <c r="G113" s="59" t="n">
        <v>750</v>
      </c>
      <c r="H113" s="9" t="n">
        <v>300</v>
      </c>
      <c r="J113" s="216"/>
      <c r="L113" s="0"/>
      <c r="P113" s="0"/>
      <c r="S113" s="0"/>
      <c r="V113" s="0"/>
    </row>
    <row r="114" s="1" customFormat="true" ht="19.85" hidden="false" customHeight="true" outlineLevel="0" collapsed="false">
      <c r="A114" s="1" t="n">
        <v>30</v>
      </c>
      <c r="B114" s="31" t="n">
        <v>42614</v>
      </c>
      <c r="C114" s="1" t="n">
        <v>2039</v>
      </c>
      <c r="D114" s="9" t="s">
        <v>41</v>
      </c>
      <c r="E114" s="33" t="n">
        <f aca="false">IF(D114="totale",(C114/(A114*24))/F114,IF(D114="marché libre",(C114/(A114*24))/G114,"spécifier histo"))</f>
        <v>0.00269708994708995</v>
      </c>
      <c r="F114" s="59" t="n">
        <v>1050</v>
      </c>
      <c r="G114" s="59" t="n">
        <v>750</v>
      </c>
      <c r="H114" s="9" t="n">
        <v>300</v>
      </c>
      <c r="K114" s="0"/>
      <c r="L114" s="29"/>
      <c r="S114" s="0"/>
      <c r="V114" s="0"/>
    </row>
    <row r="115" customFormat="false" ht="19.85" hidden="false" customHeight="true" outlineLevel="0" collapsed="false">
      <c r="A115" s="1" t="n">
        <v>31</v>
      </c>
      <c r="B115" s="34" t="n">
        <v>42644</v>
      </c>
      <c r="C115" s="1" t="n">
        <v>45731</v>
      </c>
      <c r="D115" s="9" t="s">
        <v>41</v>
      </c>
      <c r="E115" s="33" t="n">
        <f aca="false">IF(D115="totale",(C115/(A115*24))/F115,IF(D115="marché libre",(C115/(A115*24))/G115,"spécifier histo"))</f>
        <v>0.0585394265232975</v>
      </c>
      <c r="F115" s="59" t="n">
        <v>1050</v>
      </c>
      <c r="G115" s="59" t="n">
        <v>750</v>
      </c>
      <c r="H115" s="9" t="n">
        <v>300</v>
      </c>
      <c r="J115" s="216"/>
      <c r="L115" s="0"/>
      <c r="P115" s="0"/>
      <c r="S115" s="0"/>
      <c r="V115" s="0"/>
    </row>
    <row r="116" s="1" customFormat="true" ht="19.85" hidden="false" customHeight="true" outlineLevel="0" collapsed="false">
      <c r="A116" s="1" t="n">
        <v>30</v>
      </c>
      <c r="B116" s="31" t="n">
        <v>42675</v>
      </c>
      <c r="C116" s="1" t="n">
        <v>175988</v>
      </c>
      <c r="D116" s="9" t="s">
        <v>41</v>
      </c>
      <c r="E116" s="33" t="n">
        <f aca="false">IF(D116="totale",(C116/(A116*24))/F116,IF(D116="marché libre",(C116/(A116*24))/G116,"spécifier histo"))</f>
        <v>0.23278835978836</v>
      </c>
      <c r="F116" s="59" t="n">
        <v>1050</v>
      </c>
      <c r="G116" s="59" t="n">
        <v>750</v>
      </c>
      <c r="H116" s="9" t="n">
        <v>300</v>
      </c>
      <c r="K116" s="0"/>
      <c r="L116" s="29"/>
      <c r="S116" s="0"/>
      <c r="V116" s="0"/>
    </row>
    <row r="117" customFormat="false" ht="19.85" hidden="false" customHeight="true" outlineLevel="0" collapsed="false">
      <c r="A117" s="1" t="n">
        <v>31</v>
      </c>
      <c r="B117" s="34" t="n">
        <v>42705</v>
      </c>
      <c r="C117" s="1" t="n">
        <v>162254</v>
      </c>
      <c r="D117" s="9" t="s">
        <v>41</v>
      </c>
      <c r="E117" s="33" t="n">
        <f aca="false">IF(D117="totale",(C117/(A117*24))/F117,IF(D117="marché libre",(C117/(A117*24))/G117,"spécifier histo"))</f>
        <v>0.207698412698413</v>
      </c>
      <c r="F117" s="59" t="n">
        <v>1050</v>
      </c>
      <c r="G117" s="59" t="n">
        <v>750</v>
      </c>
      <c r="H117" s="9" t="n">
        <v>300</v>
      </c>
      <c r="J117" s="216"/>
      <c r="L117" s="0"/>
      <c r="P117" s="0"/>
      <c r="S117" s="0"/>
      <c r="V117" s="0"/>
    </row>
    <row r="118" s="1" customFormat="true" ht="19.85" hidden="false" customHeight="true" outlineLevel="0" collapsed="false">
      <c r="A118" s="1" t="n">
        <v>31</v>
      </c>
      <c r="B118" s="31" t="n">
        <v>42736</v>
      </c>
      <c r="C118" s="1" t="n">
        <v>157252</v>
      </c>
      <c r="D118" s="9" t="s">
        <v>41</v>
      </c>
      <c r="E118" s="33" t="n">
        <f aca="false">IF(D118="totale",(C118/(A118*24))/F118,IF(D118="marché libre",(C118/(A118*24))/G118,"spécifier histo"))</f>
        <v>0.201295442908346</v>
      </c>
      <c r="F118" s="59" t="n">
        <v>1050</v>
      </c>
      <c r="G118" s="59" t="n">
        <v>750</v>
      </c>
      <c r="H118" s="9" t="n">
        <v>300</v>
      </c>
      <c r="K118" s="0"/>
      <c r="L118" s="29"/>
      <c r="S118" s="0"/>
      <c r="V118" s="0"/>
    </row>
    <row r="119" customFormat="false" ht="19.85" hidden="false" customHeight="true" outlineLevel="0" collapsed="false">
      <c r="A119" s="1" t="n">
        <v>28</v>
      </c>
      <c r="B119" s="34" t="n">
        <v>42767</v>
      </c>
      <c r="C119" s="1" t="n">
        <v>329815</v>
      </c>
      <c r="D119" s="9" t="s">
        <v>41</v>
      </c>
      <c r="E119" s="33" t="n">
        <f aca="false">IF(D119="totale",(C119/(A119*24))/F119,IF(D119="marché libre",(C119/(A119*24))/G119,"spécifier histo"))</f>
        <v>0.467424886621315</v>
      </c>
      <c r="F119" s="59" t="n">
        <v>1050</v>
      </c>
      <c r="G119" s="59" t="n">
        <v>750</v>
      </c>
      <c r="H119" s="9" t="n">
        <v>300</v>
      </c>
      <c r="J119" s="216"/>
      <c r="L119" s="0"/>
      <c r="P119" s="0"/>
      <c r="S119" s="0"/>
      <c r="V119" s="0"/>
    </row>
    <row r="120" s="1" customFormat="true" ht="19.85" hidden="false" customHeight="true" outlineLevel="0" collapsed="false">
      <c r="A120" s="1" t="n">
        <v>31</v>
      </c>
      <c r="B120" s="31" t="n">
        <v>42795</v>
      </c>
      <c r="C120" s="1" t="n">
        <v>447579</v>
      </c>
      <c r="D120" s="9" t="s">
        <v>41</v>
      </c>
      <c r="E120" s="33" t="n">
        <f aca="false">IF(D120="totale",(C120/(A120*24))/F120,IF(D120="marché libre",(C120/(A120*24))/G120,"spécifier histo"))</f>
        <v>0.572937788018433</v>
      </c>
      <c r="F120" s="59" t="n">
        <v>1050</v>
      </c>
      <c r="G120" s="59" t="n">
        <v>750</v>
      </c>
      <c r="H120" s="9" t="n">
        <v>300</v>
      </c>
      <c r="K120" s="0"/>
      <c r="L120" s="29"/>
      <c r="S120" s="0"/>
      <c r="V120" s="0"/>
    </row>
    <row r="121" customFormat="false" ht="19.85" hidden="false" customHeight="true" outlineLevel="0" collapsed="false">
      <c r="A121" s="1" t="n">
        <v>30</v>
      </c>
      <c r="B121" s="34" t="n">
        <v>42826</v>
      </c>
      <c r="C121" s="1" t="n">
        <v>280019</v>
      </c>
      <c r="D121" s="9" t="s">
        <v>41</v>
      </c>
      <c r="E121" s="33" t="n">
        <f aca="false">IF(D121="totale",(C121/(A121*24))/F121,IF(D121="marché libre",(C121/(A121*24))/G121,"spécifier histo"))</f>
        <v>0.370395502645503</v>
      </c>
      <c r="F121" s="59" t="n">
        <v>1050</v>
      </c>
      <c r="G121" s="59" t="n">
        <v>750</v>
      </c>
      <c r="H121" s="9" t="n">
        <v>300</v>
      </c>
      <c r="J121" s="216"/>
      <c r="L121" s="0"/>
      <c r="P121" s="0"/>
      <c r="S121" s="0"/>
      <c r="V121" s="0"/>
    </row>
    <row r="122" s="1" customFormat="true" ht="19.85" hidden="false" customHeight="true" outlineLevel="0" collapsed="false">
      <c r="A122" s="1" t="n">
        <v>31</v>
      </c>
      <c r="B122" s="31" t="n">
        <v>42856</v>
      </c>
      <c r="C122" s="1" t="n">
        <v>203199</v>
      </c>
      <c r="D122" s="9" t="s">
        <v>41</v>
      </c>
      <c r="E122" s="33" t="n">
        <f aca="false">IF(D122="totale",(C122/(A122*24))/F122,IF(D122="marché libre",(C122/(A122*24))/G122,"spécifier histo"))</f>
        <v>0.260111367127496</v>
      </c>
      <c r="F122" s="59" t="n">
        <v>1050</v>
      </c>
      <c r="G122" s="59" t="n">
        <v>750</v>
      </c>
      <c r="H122" s="9" t="n">
        <v>300</v>
      </c>
      <c r="K122" s="0"/>
      <c r="L122" s="29"/>
      <c r="S122" s="0"/>
      <c r="V122" s="0"/>
    </row>
    <row r="123" customFormat="false" ht="19.85" hidden="false" customHeight="true" outlineLevel="0" collapsed="false">
      <c r="A123" s="1" t="n">
        <v>30</v>
      </c>
      <c r="B123" s="34" t="n">
        <v>42887</v>
      </c>
      <c r="C123" s="1" t="n">
        <v>86727</v>
      </c>
      <c r="D123" s="9" t="s">
        <v>41</v>
      </c>
      <c r="E123" s="33" t="n">
        <f aca="false">IF(D123="totale",(C123/(A123*24))/F123,IF(D123="marché libre",(C123/(A123*24))/G123,"spécifier histo"))</f>
        <v>0.114718253968254</v>
      </c>
      <c r="F123" s="59" t="n">
        <v>1050</v>
      </c>
      <c r="G123" s="59" t="n">
        <v>750</v>
      </c>
      <c r="H123" s="9" t="n">
        <v>300</v>
      </c>
      <c r="J123" s="216"/>
      <c r="L123" s="0"/>
      <c r="P123" s="0"/>
      <c r="S123" s="0"/>
      <c r="V123" s="0"/>
    </row>
    <row r="124" s="1" customFormat="true" ht="19.85" hidden="false" customHeight="true" outlineLevel="0" collapsed="false">
      <c r="A124" s="1" t="n">
        <v>31</v>
      </c>
      <c r="B124" s="31" t="n">
        <v>42917</v>
      </c>
      <c r="C124" s="1" t="n">
        <v>55359</v>
      </c>
      <c r="D124" s="9" t="s">
        <v>41</v>
      </c>
      <c r="E124" s="33" t="n">
        <f aca="false">IF(D124="totale",(C124/(A124*24))/F124,IF(D124="marché libre",(C124/(A124*24))/G124,"spécifier histo"))</f>
        <v>0.0708640552995392</v>
      </c>
      <c r="F124" s="59" t="n">
        <v>1050</v>
      </c>
      <c r="G124" s="59" t="n">
        <v>750</v>
      </c>
      <c r="H124" s="9" t="n">
        <v>300</v>
      </c>
      <c r="K124" s="0"/>
      <c r="L124" s="29"/>
      <c r="S124" s="0"/>
      <c r="V124" s="0"/>
    </row>
    <row r="125" customFormat="false" ht="19.85" hidden="false" customHeight="true" outlineLevel="0" collapsed="false">
      <c r="A125" s="1" t="n">
        <v>31</v>
      </c>
      <c r="B125" s="34" t="n">
        <v>42948</v>
      </c>
      <c r="C125" s="1" t="n">
        <v>414</v>
      </c>
      <c r="D125" s="9" t="s">
        <v>41</v>
      </c>
      <c r="E125" s="33" t="n">
        <f aca="false">IF(D125="totale",(C125/(A125*24))/F125,IF(D125="marché libre",(C125/(A125*24))/G125,"spécifier histo"))</f>
        <v>0.000529953917050691</v>
      </c>
      <c r="F125" s="59" t="n">
        <v>1050</v>
      </c>
      <c r="G125" s="59" t="n">
        <v>750</v>
      </c>
      <c r="H125" s="9" t="n">
        <v>300</v>
      </c>
      <c r="J125" s="216"/>
      <c r="L125" s="0"/>
      <c r="P125" s="0"/>
      <c r="S125" s="0"/>
      <c r="V125" s="0"/>
    </row>
    <row r="126" s="1" customFormat="true" ht="19.85" hidden="false" customHeight="true" outlineLevel="0" collapsed="false">
      <c r="A126" s="1" t="n">
        <v>30</v>
      </c>
      <c r="B126" s="31" t="n">
        <v>42979</v>
      </c>
      <c r="C126" s="1" t="n">
        <v>4910</v>
      </c>
      <c r="D126" s="9" t="s">
        <v>41</v>
      </c>
      <c r="E126" s="33" t="n">
        <f aca="false">IF(D126="totale",(C126/(A126*24))/F126,IF(D126="marché libre",(C126/(A126*24))/G126,"spécifier histo"))</f>
        <v>0.00649470899470899</v>
      </c>
      <c r="F126" s="59" t="n">
        <v>1050</v>
      </c>
      <c r="G126" s="59" t="n">
        <v>750</v>
      </c>
      <c r="H126" s="9" t="n">
        <v>300</v>
      </c>
      <c r="K126" s="0"/>
      <c r="L126" s="29"/>
      <c r="S126" s="0"/>
      <c r="V126" s="0"/>
    </row>
    <row r="127" customFormat="false" ht="19.85" hidden="false" customHeight="true" outlineLevel="0" collapsed="false">
      <c r="A127" s="1" t="n">
        <v>31</v>
      </c>
      <c r="B127" s="34" t="n">
        <v>43009</v>
      </c>
      <c r="C127" s="1" t="n">
        <v>528</v>
      </c>
      <c r="D127" s="9" t="s">
        <v>41</v>
      </c>
      <c r="E127" s="33" t="n">
        <f aca="false">IF(D127="totale",(C127/(A127*24))/F127,IF(D127="marché libre",(C127/(A127*24))/G127,"spécifier histo"))</f>
        <v>0.000675883256528418</v>
      </c>
      <c r="F127" s="59" t="n">
        <v>1050</v>
      </c>
      <c r="G127" s="59" t="n">
        <v>750</v>
      </c>
      <c r="H127" s="9" t="n">
        <v>300</v>
      </c>
      <c r="J127" s="216"/>
      <c r="L127" s="0"/>
      <c r="P127" s="0"/>
      <c r="S127" s="0"/>
      <c r="V127" s="0"/>
    </row>
    <row r="128" s="1" customFormat="true" ht="19.85" hidden="false" customHeight="true" outlineLevel="0" collapsed="false">
      <c r="A128" s="1" t="n">
        <v>30</v>
      </c>
      <c r="B128" s="31" t="n">
        <v>43040</v>
      </c>
      <c r="C128" s="1" t="n">
        <v>15902</v>
      </c>
      <c r="D128" s="9" t="s">
        <v>41</v>
      </c>
      <c r="E128" s="33" t="n">
        <f aca="false">IF(D128="totale",(C128/(A128*24))/F128,IF(D128="marché libre",(C128/(A128*24))/G128,"spécifier histo"))</f>
        <v>0.0210343915343915</v>
      </c>
      <c r="F128" s="59" t="n">
        <v>1050</v>
      </c>
      <c r="G128" s="59" t="n">
        <v>750</v>
      </c>
      <c r="H128" s="9" t="n">
        <v>300</v>
      </c>
      <c r="K128" s="0"/>
      <c r="L128" s="29"/>
      <c r="S128" s="0"/>
      <c r="V128" s="0"/>
    </row>
    <row r="129" customFormat="false" ht="19.85" hidden="false" customHeight="true" outlineLevel="0" collapsed="false">
      <c r="A129" s="1" t="n">
        <v>31</v>
      </c>
      <c r="B129" s="34" t="n">
        <v>43070</v>
      </c>
      <c r="C129" s="1" t="n">
        <v>291473</v>
      </c>
      <c r="D129" s="9" t="s">
        <v>41</v>
      </c>
      <c r="E129" s="33" t="n">
        <f aca="false">IF(D129="totale",(C129/(A129*24))/F129,IF(D129="marché libre",(C129/(A129*24))/G129,"spécifier histo"))</f>
        <v>0.373109318996416</v>
      </c>
      <c r="F129" s="59" t="n">
        <v>1050</v>
      </c>
      <c r="G129" s="59" t="n">
        <v>750</v>
      </c>
      <c r="H129" s="9" t="n">
        <v>300</v>
      </c>
      <c r="J129" s="216"/>
      <c r="L129" s="0"/>
      <c r="P129" s="0"/>
      <c r="S129" s="0"/>
      <c r="V129" s="0"/>
    </row>
    <row r="130" s="1" customFormat="true" ht="19.85" hidden="false" customHeight="true" outlineLevel="0" collapsed="false">
      <c r="A130" s="1" t="n">
        <v>31</v>
      </c>
      <c r="B130" s="31" t="n">
        <v>43101</v>
      </c>
      <c r="C130" s="1" t="n">
        <v>307106</v>
      </c>
      <c r="D130" s="9" t="s">
        <v>41</v>
      </c>
      <c r="E130" s="33" t="n">
        <f aca="false">IF(D130="totale",(C130/(A130*24))/F130,IF(D130="marché libre",(C130/(A130*24))/G130,"spécifier histo"))</f>
        <v>0.393120839733743</v>
      </c>
      <c r="F130" s="59" t="n">
        <v>1050</v>
      </c>
      <c r="G130" s="59" t="n">
        <v>750</v>
      </c>
      <c r="H130" s="9" t="n">
        <v>300</v>
      </c>
      <c r="K130" s="0"/>
      <c r="L130" s="29"/>
      <c r="S130" s="0"/>
      <c r="V130" s="0"/>
    </row>
    <row r="131" customFormat="false" ht="19.85" hidden="false" customHeight="true" outlineLevel="0" collapsed="false">
      <c r="A131" s="1" t="n">
        <v>28</v>
      </c>
      <c r="B131" s="34" t="n">
        <v>43132</v>
      </c>
      <c r="C131" s="1" t="n">
        <v>555362</v>
      </c>
      <c r="D131" s="9" t="s">
        <v>41</v>
      </c>
      <c r="E131" s="33" t="n">
        <f aca="false">IF(D131="totale",(C131/(A131*24))/F131,IF(D131="marché libre",(C131/(A131*24))/G131,"spécifier histo"))</f>
        <v>0.787077664399093</v>
      </c>
      <c r="F131" s="59" t="n">
        <v>1050</v>
      </c>
      <c r="G131" s="59" t="n">
        <v>750</v>
      </c>
      <c r="H131" s="9" t="n">
        <v>300</v>
      </c>
      <c r="J131" s="216"/>
      <c r="L131" s="0"/>
      <c r="P131" s="0"/>
      <c r="S131" s="0"/>
      <c r="V131" s="0"/>
    </row>
    <row r="132" s="1" customFormat="true" ht="19.85" hidden="false" customHeight="true" outlineLevel="0" collapsed="false">
      <c r="A132" s="1" t="n">
        <v>31</v>
      </c>
      <c r="B132" s="31" t="n">
        <v>43160</v>
      </c>
      <c r="C132" s="1" t="n">
        <v>598898</v>
      </c>
      <c r="D132" s="9" t="s">
        <v>41</v>
      </c>
      <c r="E132" s="33" t="n">
        <f aca="false">IF(D132="totale",(C132/(A132*24))/F132,IF(D132="marché libre",(C132/(A132*24))/G132,"spécifier histo"))</f>
        <v>0.766638504864311</v>
      </c>
      <c r="F132" s="59" t="n">
        <v>1050</v>
      </c>
      <c r="G132" s="59" t="n">
        <v>750</v>
      </c>
      <c r="H132" s="9" t="n">
        <v>300</v>
      </c>
      <c r="K132" s="0"/>
      <c r="L132" s="29"/>
      <c r="S132" s="0"/>
      <c r="V132" s="0"/>
    </row>
    <row r="133" customFormat="false" ht="19.85" hidden="false" customHeight="true" outlineLevel="0" collapsed="false">
      <c r="A133" s="1" t="n">
        <v>30</v>
      </c>
      <c r="B133" s="34" t="n">
        <v>43191</v>
      </c>
      <c r="C133" s="1" t="n">
        <v>429751</v>
      </c>
      <c r="D133" s="9" t="s">
        <v>41</v>
      </c>
      <c r="E133" s="33" t="n">
        <f aca="false">IF(D133="totale",(C133/(A133*24))/F133,IF(D133="marché libre",(C133/(A133*24))/G133,"spécifier histo"))</f>
        <v>0.568453703703704</v>
      </c>
      <c r="F133" s="59" t="n">
        <v>1050</v>
      </c>
      <c r="G133" s="59" t="n">
        <v>750</v>
      </c>
      <c r="H133" s="9" t="n">
        <v>300</v>
      </c>
      <c r="J133" s="216"/>
      <c r="L133" s="0"/>
      <c r="P133" s="0"/>
      <c r="S133" s="0"/>
      <c r="V133" s="0"/>
    </row>
    <row r="134" s="1" customFormat="true" ht="19.85" hidden="false" customHeight="true" outlineLevel="0" collapsed="false">
      <c r="A134" s="1" t="n">
        <v>31</v>
      </c>
      <c r="B134" s="31" t="n">
        <v>43221</v>
      </c>
      <c r="C134" s="1" t="n">
        <v>374858</v>
      </c>
      <c r="D134" s="9" t="s">
        <v>41</v>
      </c>
      <c r="E134" s="33" t="n">
        <f aca="false">IF(D134="totale",(C134/(A134*24))/F134,IF(D134="marché libre",(C134/(A134*24))/G134,"spécifier histo"))</f>
        <v>0.479848950332821</v>
      </c>
      <c r="F134" s="59" t="n">
        <v>1050</v>
      </c>
      <c r="G134" s="59" t="n">
        <v>750</v>
      </c>
      <c r="H134" s="9" t="n">
        <v>300</v>
      </c>
      <c r="K134" s="0"/>
      <c r="L134" s="29"/>
      <c r="S134" s="0"/>
      <c r="V134" s="0"/>
    </row>
    <row r="135" customFormat="false" ht="19.85" hidden="false" customHeight="true" outlineLevel="0" collapsed="false">
      <c r="A135" s="1" t="n">
        <v>30</v>
      </c>
      <c r="B135" s="34" t="n">
        <v>43252</v>
      </c>
      <c r="C135" s="1" t="n">
        <v>417721</v>
      </c>
      <c r="D135" s="9" t="s">
        <v>41</v>
      </c>
      <c r="E135" s="33" t="n">
        <f aca="false">IF(D135="totale",(C135/(A135*24))/F135,IF(D135="marché libre",(C135/(A135*24))/G135,"spécifier histo"))</f>
        <v>0.552541005291005</v>
      </c>
      <c r="F135" s="59" t="n">
        <v>1050</v>
      </c>
      <c r="G135" s="59" t="n">
        <v>750</v>
      </c>
      <c r="H135" s="9" t="n">
        <v>300</v>
      </c>
      <c r="J135" s="216"/>
      <c r="L135" s="0"/>
      <c r="P135" s="0"/>
      <c r="S135" s="0"/>
      <c r="V135" s="0"/>
    </row>
    <row r="136" s="1" customFormat="true" ht="19.85" hidden="false" customHeight="true" outlineLevel="0" collapsed="false">
      <c r="A136" s="1" t="n">
        <v>31</v>
      </c>
      <c r="B136" s="31" t="n">
        <v>43282</v>
      </c>
      <c r="C136" s="1" t="n">
        <v>97881</v>
      </c>
      <c r="D136" s="9" t="s">
        <v>41</v>
      </c>
      <c r="E136" s="33" t="n">
        <f aca="false">IF(D136="totale",(C136/(A136*24))/F136,IF(D136="marché libre",(C136/(A136*24))/G136,"spécifier histo"))</f>
        <v>0.125295698924731</v>
      </c>
      <c r="F136" s="59" t="n">
        <v>1050</v>
      </c>
      <c r="G136" s="59" t="n">
        <v>750</v>
      </c>
      <c r="H136" s="9" t="n">
        <v>300</v>
      </c>
      <c r="K136" s="0"/>
      <c r="L136" s="29"/>
      <c r="S136" s="0"/>
      <c r="V136" s="0"/>
    </row>
    <row r="137" customFormat="false" ht="19.85" hidden="false" customHeight="true" outlineLevel="0" collapsed="false">
      <c r="A137" s="1" t="n">
        <v>31</v>
      </c>
      <c r="B137" s="34" t="n">
        <v>43313</v>
      </c>
      <c r="C137" s="1" t="n">
        <v>39024</v>
      </c>
      <c r="D137" s="9" t="s">
        <v>41</v>
      </c>
      <c r="E137" s="33" t="n">
        <f aca="false">IF(D137="totale",(C137/(A137*24))/F137,IF(D137="marché libre",(C137/(A137*24))/G137,"spécifier histo"))</f>
        <v>0.0499539170506912</v>
      </c>
      <c r="F137" s="59" t="n">
        <v>1050</v>
      </c>
      <c r="G137" s="59" t="n">
        <v>750</v>
      </c>
      <c r="H137" s="9" t="n">
        <v>300</v>
      </c>
      <c r="J137" s="216"/>
      <c r="L137" s="0"/>
      <c r="P137" s="0"/>
      <c r="S137" s="0"/>
      <c r="V137" s="0"/>
    </row>
    <row r="138" s="1" customFormat="true" ht="19.85" hidden="false" customHeight="true" outlineLevel="0" collapsed="false">
      <c r="A138" s="1" t="n">
        <v>30</v>
      </c>
      <c r="B138" s="31" t="n">
        <v>43344</v>
      </c>
      <c r="C138" s="1" t="n">
        <v>708</v>
      </c>
      <c r="D138" s="9" t="s">
        <v>41</v>
      </c>
      <c r="E138" s="33" t="n">
        <f aca="false">IF(D138="totale",(C138/(A138*24))/F138,IF(D138="marché libre",(C138/(A138*24))/G138,"spécifier histo"))</f>
        <v>0.000936507936507936</v>
      </c>
      <c r="F138" s="59" t="n">
        <v>1050</v>
      </c>
      <c r="G138" s="59" t="n">
        <v>750</v>
      </c>
      <c r="H138" s="9" t="n">
        <v>300</v>
      </c>
      <c r="K138" s="0"/>
      <c r="L138" s="29"/>
      <c r="S138" s="0"/>
      <c r="V138" s="0"/>
    </row>
    <row r="139" customFormat="false" ht="19.85" hidden="false" customHeight="true" outlineLevel="0" collapsed="false">
      <c r="A139" s="1" t="n">
        <v>31</v>
      </c>
      <c r="B139" s="34" t="n">
        <v>43374</v>
      </c>
      <c r="C139" s="1" t="n">
        <v>25644</v>
      </c>
      <c r="D139" s="9" t="s">
        <v>41</v>
      </c>
      <c r="E139" s="33" t="n">
        <f aca="false">IF(D139="totale",(C139/(A139*24))/F139,IF(D139="marché libre",(C139/(A139*24))/G139,"spécifier histo"))</f>
        <v>0.032826420890937</v>
      </c>
      <c r="F139" s="59" t="n">
        <v>1050</v>
      </c>
      <c r="G139" s="59" t="n">
        <v>750</v>
      </c>
      <c r="H139" s="9" t="n">
        <v>300</v>
      </c>
      <c r="J139" s="216"/>
      <c r="L139" s="0"/>
      <c r="P139" s="0"/>
      <c r="S139" s="0"/>
      <c r="V139" s="0"/>
    </row>
    <row r="140" s="1" customFormat="true" ht="19.85" hidden="false" customHeight="true" outlineLevel="0" collapsed="false">
      <c r="A140" s="1" t="n">
        <v>30</v>
      </c>
      <c r="B140" s="31" t="n">
        <v>43405</v>
      </c>
      <c r="C140" s="1" t="n">
        <v>62527</v>
      </c>
      <c r="D140" s="9" t="s">
        <v>41</v>
      </c>
      <c r="E140" s="33" t="n">
        <f aca="false">IF(D140="totale",(C140/(A140*24))/F140,IF(D140="marché libre",(C140/(A140*24))/G140,"spécifier histo"))</f>
        <v>0.082707671957672</v>
      </c>
      <c r="F140" s="59" t="n">
        <v>1050</v>
      </c>
      <c r="G140" s="59" t="n">
        <v>750</v>
      </c>
      <c r="H140" s="9" t="n">
        <v>300</v>
      </c>
      <c r="K140" s="0"/>
      <c r="L140" s="29"/>
      <c r="S140" s="0"/>
      <c r="V140" s="0"/>
    </row>
    <row r="141" customFormat="false" ht="19.85" hidden="false" customHeight="true" outlineLevel="0" collapsed="false">
      <c r="A141" s="1" t="n">
        <v>31</v>
      </c>
      <c r="B141" s="34" t="n">
        <v>43435</v>
      </c>
      <c r="C141" s="1" t="n">
        <v>311338</v>
      </c>
      <c r="D141" s="9" t="s">
        <v>41</v>
      </c>
      <c r="E141" s="33" t="n">
        <f aca="false">IF(D141="totale",(C141/(A141*24))/F141,IF(D141="marché libre",(C141/(A141*24))/G141,"spécifier histo"))</f>
        <v>0.398538146441372</v>
      </c>
      <c r="F141" s="59" t="n">
        <v>1050</v>
      </c>
      <c r="G141" s="59" t="n">
        <v>750</v>
      </c>
      <c r="H141" s="9" t="n">
        <v>300</v>
      </c>
      <c r="J141" s="216"/>
      <c r="L141" s="0"/>
      <c r="P141" s="0"/>
      <c r="S141" s="0"/>
      <c r="V14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41">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2.xml><?xml version="1.0" encoding="utf-8"?>
<worksheet xmlns="http://schemas.openxmlformats.org/spreadsheetml/2006/main" xmlns:r="http://schemas.openxmlformats.org/officeDocument/2006/relationships">
  <sheetPr filterMode="false">
    <tabColor rgb="FF00CC33"/>
    <pageSetUpPr fitToPage="false"/>
  </sheetPr>
  <dimension ref="A1:BI53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K433" activeCellId="0" sqref="K433"/>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22.55"/>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22" t="s">
        <v>108</v>
      </c>
      <c r="B1" s="2" t="s">
        <v>0</v>
      </c>
      <c r="C1" s="2"/>
      <c r="D1" s="2"/>
      <c r="E1" s="2"/>
      <c r="F1" s="3" t="s">
        <v>1</v>
      </c>
      <c r="G1" s="3"/>
      <c r="H1" s="3"/>
      <c r="I1" s="3"/>
      <c r="J1" s="3"/>
      <c r="K1" s="3"/>
      <c r="L1" s="3"/>
      <c r="M1" s="3"/>
      <c r="N1" s="3"/>
    </row>
    <row r="2" customFormat="false" ht="30.8" hidden="false" customHeight="true" outlineLevel="0" collapsed="false">
      <c r="A2" s="0" t="n">
        <v>2</v>
      </c>
      <c r="B2" s="2"/>
      <c r="C2" s="2"/>
      <c r="D2" s="2"/>
      <c r="E2" s="2"/>
      <c r="F2" s="3" t="s">
        <v>572</v>
      </c>
      <c r="G2" s="3"/>
      <c r="H2" s="3"/>
      <c r="I2" s="3"/>
      <c r="J2" s="3" t="s">
        <v>3</v>
      </c>
      <c r="K2" s="3"/>
      <c r="L2" s="3" t="s">
        <v>4</v>
      </c>
      <c r="M2" s="3"/>
      <c r="N2" s="3" t="s">
        <v>573</v>
      </c>
      <c r="P2" s="4"/>
      <c r="Q2" s="5" t="s">
        <v>6</v>
      </c>
      <c r="S2" s="6"/>
      <c r="T2" s="7" t="s">
        <v>7</v>
      </c>
      <c r="U2" s="8" t="s">
        <v>8</v>
      </c>
      <c r="V2" s="9"/>
    </row>
    <row r="3" customFormat="false" ht="53.95" hidden="false" customHeight="true" outlineLevel="0" collapsed="false">
      <c r="A3" s="0"/>
      <c r="B3" s="10" t="s">
        <v>9</v>
      </c>
      <c r="C3" s="10" t="s">
        <v>10</v>
      </c>
      <c r="D3" s="10" t="s">
        <v>11</v>
      </c>
      <c r="E3" s="11" t="s">
        <v>12</v>
      </c>
      <c r="F3" s="10" t="s">
        <v>574</v>
      </c>
      <c r="G3" s="10" t="s">
        <v>575</v>
      </c>
      <c r="H3" s="10" t="s">
        <v>576</v>
      </c>
      <c r="I3" s="10" t="s">
        <v>16</v>
      </c>
      <c r="J3" s="10" t="s">
        <v>577</v>
      </c>
      <c r="K3" s="10" t="s">
        <v>18</v>
      </c>
      <c r="L3" s="10" t="s">
        <v>19</v>
      </c>
      <c r="M3" s="10" t="s">
        <v>17</v>
      </c>
      <c r="N3" s="3"/>
      <c r="P3" s="12"/>
      <c r="Q3" s="5" t="s">
        <v>20</v>
      </c>
      <c r="S3" s="13"/>
      <c r="T3" s="7" t="s">
        <v>21</v>
      </c>
      <c r="U3" s="8"/>
      <c r="V3" s="9"/>
    </row>
    <row r="4" customFormat="false" ht="36.65" hidden="false" customHeight="true" outlineLevel="0" collapsed="false">
      <c r="A4" s="0"/>
      <c r="B4" s="16" t="s">
        <v>578</v>
      </c>
      <c r="C4" s="16" t="n">
        <v>61967</v>
      </c>
      <c r="D4" s="5" t="s">
        <v>579</v>
      </c>
      <c r="E4" s="14" t="s">
        <v>580</v>
      </c>
      <c r="F4" s="15" t="n">
        <v>4894</v>
      </c>
      <c r="G4" s="15" t="n">
        <v>4390</v>
      </c>
      <c r="H4" s="15" t="n">
        <v>2200</v>
      </c>
      <c r="I4" s="16" t="s">
        <v>581</v>
      </c>
      <c r="J4" s="15" t="s">
        <v>582</v>
      </c>
      <c r="K4" s="383" t="s">
        <v>583</v>
      </c>
      <c r="L4" s="16" t="s">
        <v>48</v>
      </c>
      <c r="M4" s="16" t="n">
        <v>2400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584</v>
      </c>
      <c r="H6" s="19"/>
      <c r="I6" s="19"/>
      <c r="J6" s="19"/>
      <c r="K6" s="19"/>
      <c r="L6" s="19"/>
      <c r="M6" s="19"/>
      <c r="N6" s="19"/>
      <c r="P6" s="21" t="n">
        <v>42736</v>
      </c>
      <c r="Q6" s="19" t="s">
        <v>27</v>
      </c>
      <c r="R6" s="9"/>
      <c r="S6" s="22"/>
      <c r="T6" s="5" t="s">
        <v>28</v>
      </c>
    </row>
    <row r="7" customFormat="false" ht="66.9" hidden="false" customHeight="true" outlineLevel="0" collapsed="false">
      <c r="A7" s="0"/>
      <c r="B7" s="0"/>
      <c r="C7" s="23" t="s">
        <v>585</v>
      </c>
      <c r="D7" s="23" t="s">
        <v>585</v>
      </c>
      <c r="F7" s="20"/>
      <c r="G7" s="20"/>
      <c r="H7" s="19"/>
      <c r="I7" s="19"/>
      <c r="J7" s="19"/>
      <c r="K7" s="19"/>
      <c r="L7" s="19"/>
      <c r="M7" s="19"/>
      <c r="N7" s="19"/>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19.95" hidden="false" customHeight="true" outlineLevel="0" collapsed="false">
      <c r="A10" s="0" t="n">
        <v>31</v>
      </c>
      <c r="B10" s="31" t="n">
        <v>28491</v>
      </c>
      <c r="C10" s="56" t="n">
        <v>665600</v>
      </c>
      <c r="D10" s="29" t="s">
        <v>41</v>
      </c>
      <c r="E10" s="33" t="n">
        <f aca="false">IF(D10="totale",(C10/(A10*24))/F10,IF(D10="marché libre",(C10/(A10*24))/G10,"spécifier histo"))</f>
        <v>0.203786709775394</v>
      </c>
      <c r="F10" s="59" t="n">
        <f aca="false">G4</f>
        <v>4390</v>
      </c>
      <c r="G10" s="59" t="n">
        <f aca="false">F10-H10</f>
        <v>4390</v>
      </c>
      <c r="H10" s="9" t="n">
        <f aca="false">0</f>
        <v>0</v>
      </c>
      <c r="I10" s="9"/>
      <c r="J10" s="384" t="s">
        <v>586</v>
      </c>
      <c r="K10" s="30"/>
    </row>
    <row r="11" customFormat="false" ht="19.95" hidden="false" customHeight="true" outlineLevel="0" collapsed="false">
      <c r="A11" s="0" t="n">
        <v>28</v>
      </c>
      <c r="B11" s="34" t="n">
        <v>28522</v>
      </c>
      <c r="C11" s="56" t="n">
        <v>810100</v>
      </c>
      <c r="D11" s="29" t="s">
        <v>41</v>
      </c>
      <c r="E11" s="33" t="n">
        <f aca="false">IF(D11="totale",(C11/(A11*24))/F11,IF(D11="marché libre",(C11/(A11*24))/G11,"spécifier histo"))</f>
        <v>0.27460272263803</v>
      </c>
      <c r="F11" s="59" t="n">
        <v>4390</v>
      </c>
      <c r="G11" s="59" t="n">
        <f aca="false">F11-H11</f>
        <v>4390</v>
      </c>
      <c r="H11" s="9" t="n">
        <f aca="false">0</f>
        <v>0</v>
      </c>
      <c r="I11" s="9"/>
      <c r="J11" s="322" t="s">
        <v>587</v>
      </c>
      <c r="K11" s="183"/>
      <c r="L11" s="117"/>
      <c r="M11" s="117"/>
      <c r="N11" s="117"/>
      <c r="O11" s="117"/>
      <c r="P11" s="256"/>
      <c r="Q11" s="117"/>
    </row>
    <row r="12" customFormat="false" ht="19.95" hidden="false" customHeight="true" outlineLevel="0" collapsed="false">
      <c r="A12" s="0" t="n">
        <v>31</v>
      </c>
      <c r="B12" s="31" t="n">
        <v>28550</v>
      </c>
      <c r="C12" s="56" t="n">
        <v>922400</v>
      </c>
      <c r="D12" s="29" t="s">
        <v>41</v>
      </c>
      <c r="E12" s="33" t="n">
        <f aca="false">IF(D12="totale",(C12/(A12*24))/F12,IF(D12="marché libre",(C12/(A12*24))/G12,"spécifier histo"))</f>
        <v>0.28241114948441</v>
      </c>
      <c r="F12" s="59" t="n">
        <v>4390</v>
      </c>
      <c r="G12" s="59" t="n">
        <f aca="false">F12-H12</f>
        <v>4390</v>
      </c>
      <c r="H12" s="9" t="n">
        <f aca="false">0</f>
        <v>0</v>
      </c>
      <c r="I12" s="9"/>
      <c r="J12" s="322" t="s">
        <v>588</v>
      </c>
      <c r="K12" s="30"/>
      <c r="P12" s="0"/>
    </row>
    <row r="13" customFormat="false" ht="19.95" hidden="false" customHeight="true" outlineLevel="0" collapsed="false">
      <c r="A13" s="0" t="n">
        <v>30</v>
      </c>
      <c r="B13" s="34" t="n">
        <v>28581</v>
      </c>
      <c r="C13" s="56" t="n">
        <v>896200</v>
      </c>
      <c r="D13" s="29" t="s">
        <v>41</v>
      </c>
      <c r="E13" s="33" t="n">
        <f aca="false">IF(D13="totale",(C13/(A13*24))/F13,IF(D13="marché libre",(C13/(A13*24))/G13,"spécifier histo"))</f>
        <v>0.283535813718046</v>
      </c>
      <c r="F13" s="59" t="n">
        <v>4390</v>
      </c>
      <c r="G13" s="59" t="n">
        <f aca="false">F13-H13</f>
        <v>4390</v>
      </c>
      <c r="H13" s="9" t="n">
        <f aca="false">0</f>
        <v>0</v>
      </c>
      <c r="I13" s="9"/>
      <c r="J13" s="322" t="s">
        <v>589</v>
      </c>
      <c r="K13" s="30"/>
      <c r="P13" s="0"/>
    </row>
    <row r="14" customFormat="false" ht="19.95" hidden="false" customHeight="true" outlineLevel="0" collapsed="false">
      <c r="A14" s="0" t="n">
        <v>31</v>
      </c>
      <c r="B14" s="31" t="n">
        <v>28611</v>
      </c>
      <c r="C14" s="56" t="n">
        <v>1068100</v>
      </c>
      <c r="D14" s="29" t="s">
        <v>41</v>
      </c>
      <c r="E14" s="33" t="n">
        <f aca="false">IF(D14="totale",(C14/(A14*24))/F14,IF(D14="marché libre",(C14/(A14*24))/G14,"spécifier histo"))</f>
        <v>0.327020109241433</v>
      </c>
      <c r="F14" s="59" t="n">
        <v>4390</v>
      </c>
      <c r="G14" s="59" t="n">
        <f aca="false">F14-H14</f>
        <v>4390</v>
      </c>
      <c r="H14" s="9" t="n">
        <f aca="false">0</f>
        <v>0</v>
      </c>
      <c r="I14" s="9"/>
      <c r="J14" s="322" t="s">
        <v>590</v>
      </c>
      <c r="K14" s="30"/>
      <c r="P14" s="0"/>
    </row>
    <row r="15" customFormat="false" ht="19.95" hidden="false" customHeight="true" outlineLevel="0" collapsed="false">
      <c r="A15" s="0" t="n">
        <v>30</v>
      </c>
      <c r="B15" s="34" t="n">
        <v>28642</v>
      </c>
      <c r="C15" s="56" t="n">
        <v>922300</v>
      </c>
      <c r="D15" s="29" t="s">
        <v>41</v>
      </c>
      <c r="E15" s="33" t="n">
        <f aca="false">IF(D15="totale",(C15/(A15*24))/F15,IF(D15="marché libre",(C15/(A15*24))/G15,"spécifier histo"))</f>
        <v>0.291793216907112</v>
      </c>
      <c r="F15" s="59" t="n">
        <v>4390</v>
      </c>
      <c r="G15" s="59" t="n">
        <f aca="false">F15-H15</f>
        <v>4390</v>
      </c>
      <c r="H15" s="9" t="n">
        <f aca="false">0</f>
        <v>0</v>
      </c>
      <c r="I15" s="9"/>
      <c r="J15" s="322" t="s">
        <v>591</v>
      </c>
      <c r="K15" s="30"/>
      <c r="P15" s="0"/>
    </row>
    <row r="16" customFormat="false" ht="19.95" hidden="false" customHeight="true" outlineLevel="0" collapsed="false">
      <c r="A16" s="0" t="n">
        <v>31</v>
      </c>
      <c r="B16" s="31" t="n">
        <v>28672</v>
      </c>
      <c r="C16" s="56" t="n">
        <v>863500</v>
      </c>
      <c r="D16" s="29" t="s">
        <v>41</v>
      </c>
      <c r="E16" s="33" t="n">
        <f aca="false">IF(D16="totale",(C16/(A16*24))/F16,IF(D16="marché libre",(C16/(A16*24))/G16,"spécifier histo"))</f>
        <v>0.264377740220932</v>
      </c>
      <c r="F16" s="59" t="n">
        <v>4390</v>
      </c>
      <c r="G16" s="59" t="n">
        <f aca="false">F16-H16</f>
        <v>4390</v>
      </c>
      <c r="H16" s="9" t="n">
        <f aca="false">0</f>
        <v>0</v>
      </c>
      <c r="I16" s="9"/>
      <c r="J16" s="30"/>
    </row>
    <row r="17" customFormat="false" ht="19.95" hidden="false" customHeight="true" outlineLevel="0" collapsed="false">
      <c r="A17" s="0" t="n">
        <v>31</v>
      </c>
      <c r="B17" s="34" t="n">
        <v>28703</v>
      </c>
      <c r="C17" s="56" t="n">
        <v>665000</v>
      </c>
      <c r="D17" s="29" t="s">
        <v>41</v>
      </c>
      <c r="E17" s="33" t="n">
        <f aca="false">IF(D17="totale",(C17/(A17*24))/F17,IF(D17="marché libre",(C17/(A17*24))/G17,"spécifier histo"))</f>
        <v>0.203603007813457</v>
      </c>
      <c r="F17" s="59" t="n">
        <v>4390</v>
      </c>
      <c r="G17" s="59" t="n">
        <f aca="false">F17-H17</f>
        <v>4390</v>
      </c>
      <c r="H17" s="9" t="n">
        <f aca="false">0</f>
        <v>0</v>
      </c>
      <c r="I17" s="9"/>
      <c r="J17" s="0"/>
      <c r="K17" s="0"/>
      <c r="L17" s="0"/>
    </row>
    <row r="18" customFormat="false" ht="19.95" hidden="false" customHeight="true" outlineLevel="0" collapsed="false">
      <c r="A18" s="0" t="n">
        <v>30</v>
      </c>
      <c r="B18" s="31" t="n">
        <v>28734</v>
      </c>
      <c r="C18" s="56" t="n">
        <v>248200</v>
      </c>
      <c r="D18" s="29" t="s">
        <v>41</v>
      </c>
      <c r="E18" s="33" t="n">
        <f aca="false">IF(D18="totale",(C18/(A18*24))/F18,IF(D18="marché libre",(C18/(A18*24))/G18,"spécifier histo"))</f>
        <v>0.078524424196406</v>
      </c>
      <c r="F18" s="59" t="n">
        <v>4390</v>
      </c>
      <c r="G18" s="59" t="n">
        <f aca="false">F18-H18</f>
        <v>4390</v>
      </c>
      <c r="H18" s="9" t="n">
        <f aca="false">0</f>
        <v>0</v>
      </c>
      <c r="I18" s="9"/>
      <c r="J18" s="0"/>
      <c r="K18" s="0"/>
      <c r="L18" s="0"/>
    </row>
    <row r="19" customFormat="false" ht="19.95" hidden="false" customHeight="true" outlineLevel="0" collapsed="false">
      <c r="A19" s="0" t="n">
        <v>31</v>
      </c>
      <c r="B19" s="34" t="n">
        <v>28764</v>
      </c>
      <c r="C19" s="56" t="n">
        <v>692700</v>
      </c>
      <c r="D19" s="29" t="s">
        <v>41</v>
      </c>
      <c r="E19" s="33" t="n">
        <f aca="false">IF(D19="totale",(C19/(A19*24))/F19,IF(D19="marché libre",(C19/(A19*24))/G19,"spécifier histo"))</f>
        <v>0.212083915056213</v>
      </c>
      <c r="F19" s="59" t="n">
        <v>4390</v>
      </c>
      <c r="G19" s="59" t="n">
        <f aca="false">F19-H19</f>
        <v>4390</v>
      </c>
      <c r="H19" s="9" t="n">
        <f aca="false">0</f>
        <v>0</v>
      </c>
      <c r="I19" s="9"/>
      <c r="J19" s="0"/>
      <c r="K19" s="0"/>
      <c r="L19" s="0"/>
    </row>
    <row r="20" customFormat="false" ht="19.95" hidden="false" customHeight="true" outlineLevel="0" collapsed="false">
      <c r="A20" s="0" t="n">
        <v>30</v>
      </c>
      <c r="B20" s="31" t="n">
        <v>28795</v>
      </c>
      <c r="C20" s="56" t="n">
        <v>355800</v>
      </c>
      <c r="D20" s="29" t="s">
        <v>41</v>
      </c>
      <c r="E20" s="33" t="n">
        <f aca="false">IF(D20="totale",(C20/(A20*24))/F20,IF(D20="marché libre",(C20/(A20*24))/G20,"spécifier histo"))</f>
        <v>0.112566438876234</v>
      </c>
      <c r="F20" s="59" t="n">
        <v>4390</v>
      </c>
      <c r="G20" s="59" t="n">
        <f aca="false">F20-H20</f>
        <v>4390</v>
      </c>
      <c r="H20" s="9" t="n">
        <f aca="false">0</f>
        <v>0</v>
      </c>
      <c r="I20" s="9"/>
      <c r="J20" s="30"/>
    </row>
    <row r="21" customFormat="false" ht="19.95" hidden="false" customHeight="true" outlineLevel="0" collapsed="false">
      <c r="A21" s="0" t="n">
        <v>31</v>
      </c>
      <c r="B21" s="34" t="n">
        <v>28825</v>
      </c>
      <c r="C21" s="56" t="n">
        <v>577800</v>
      </c>
      <c r="D21" s="29" t="s">
        <v>41</v>
      </c>
      <c r="E21" s="33" t="n">
        <f aca="false">IF(D21="totale",(C21/(A21*24))/F21,IF(D21="marché libre",(C21/(A21*24))/G21,"spécifier histo"))</f>
        <v>0.176904989345286</v>
      </c>
      <c r="F21" s="59" t="n">
        <v>4390</v>
      </c>
      <c r="G21" s="59" t="n">
        <f aca="false">F21-H21</f>
        <v>4390</v>
      </c>
      <c r="H21" s="9" t="n">
        <f aca="false">0</f>
        <v>0</v>
      </c>
      <c r="I21" s="9"/>
      <c r="J21" s="0"/>
      <c r="K21" s="0"/>
    </row>
    <row r="22" customFormat="false" ht="19.95" hidden="false" customHeight="true" outlineLevel="0" collapsed="false">
      <c r="A22" s="0" t="n">
        <v>31</v>
      </c>
      <c r="B22" s="31" t="n">
        <v>28856</v>
      </c>
      <c r="C22" s="56" t="n">
        <v>828200</v>
      </c>
      <c r="D22" s="29" t="s">
        <v>41</v>
      </c>
      <c r="E22" s="33" t="n">
        <f aca="false">IF(D22="totale",(C22/(A22*24))/F22,IF(D22="marché libre",(C22/(A22*24))/G22,"spécifier histo"))</f>
        <v>0.253569941460308</v>
      </c>
      <c r="F22" s="59" t="n">
        <v>4390</v>
      </c>
      <c r="G22" s="59" t="n">
        <f aca="false">F22-H22</f>
        <v>4390</v>
      </c>
      <c r="H22" s="9" t="n">
        <f aca="false">0</f>
        <v>0</v>
      </c>
      <c r="I22" s="9"/>
      <c r="J22" s="30"/>
    </row>
    <row r="23" customFormat="false" ht="19.95" hidden="false" customHeight="true" outlineLevel="0" collapsed="false">
      <c r="A23" s="0" t="n">
        <v>28</v>
      </c>
      <c r="B23" s="34" t="n">
        <v>28887</v>
      </c>
      <c r="C23" s="56" t="n">
        <v>949500</v>
      </c>
      <c r="D23" s="29" t="s">
        <v>41</v>
      </c>
      <c r="E23" s="33" t="n">
        <f aca="false">IF(D23="totale",(C23/(A23*24))/F23,IF(D23="marché libre",(C23/(A23*24))/G23,"spécifier histo"))</f>
        <v>0.321855678490075</v>
      </c>
      <c r="F23" s="59" t="n">
        <v>4390</v>
      </c>
      <c r="G23" s="59" t="n">
        <f aca="false">F23-H23</f>
        <v>4390</v>
      </c>
      <c r="H23" s="9" t="n">
        <f aca="false">0</f>
        <v>0</v>
      </c>
      <c r="I23" s="9"/>
      <c r="J23" s="30"/>
    </row>
    <row r="24" customFormat="false" ht="19.95" hidden="false" customHeight="true" outlineLevel="0" collapsed="false">
      <c r="A24" s="0" t="n">
        <v>31</v>
      </c>
      <c r="B24" s="31" t="n">
        <v>28915</v>
      </c>
      <c r="C24" s="56" t="n">
        <v>951100</v>
      </c>
      <c r="D24" s="29" t="s">
        <v>41</v>
      </c>
      <c r="E24" s="33" t="n">
        <f aca="false">IF(D24="totale",(C24/(A24*24))/F24,IF(D24="marché libre",(C24/(A24*24))/G24,"spécifier histo"))</f>
        <v>0.291198226663727</v>
      </c>
      <c r="F24" s="59" t="n">
        <v>4390</v>
      </c>
      <c r="G24" s="59" t="n">
        <f aca="false">F24-H24</f>
        <v>4390</v>
      </c>
      <c r="H24" s="9" t="n">
        <f aca="false">0</f>
        <v>0</v>
      </c>
      <c r="I24" s="9"/>
      <c r="J24" s="30"/>
    </row>
    <row r="25" customFormat="false" ht="19.95" hidden="false" customHeight="true" outlineLevel="0" collapsed="false">
      <c r="A25" s="0" t="n">
        <v>30</v>
      </c>
      <c r="B25" s="34" t="n">
        <v>28946</v>
      </c>
      <c r="C25" s="56" t="n">
        <v>1137500</v>
      </c>
      <c r="D25" s="29" t="s">
        <v>41</v>
      </c>
      <c r="E25" s="33" t="n">
        <f aca="false">IF(D25="totale",(C25/(A25*24))/F25,IF(D25="marché libre",(C25/(A25*24))/G25,"spécifier histo"))</f>
        <v>0.359877246266768</v>
      </c>
      <c r="F25" s="59" t="n">
        <v>4390</v>
      </c>
      <c r="G25" s="59" t="n">
        <f aca="false">F25-H25</f>
        <v>4390</v>
      </c>
      <c r="H25" s="9" t="n">
        <f aca="false">0</f>
        <v>0</v>
      </c>
      <c r="I25" s="9"/>
      <c r="J25" s="30"/>
    </row>
    <row r="26" customFormat="false" ht="19.95" hidden="false" customHeight="true" outlineLevel="0" collapsed="false">
      <c r="A26" s="0" t="n">
        <v>31</v>
      </c>
      <c r="B26" s="31" t="n">
        <v>28976</v>
      </c>
      <c r="C26" s="56" t="n">
        <v>1039800</v>
      </c>
      <c r="D26" s="29" t="s">
        <v>41</v>
      </c>
      <c r="E26" s="33" t="n">
        <f aca="false">IF(D26="totale",(C26/(A26*24))/F26,IF(D26="marché libre",(C26/(A26*24))/G26,"spécifier histo"))</f>
        <v>0.31835550003674</v>
      </c>
      <c r="F26" s="59" t="n">
        <v>4390</v>
      </c>
      <c r="G26" s="59" t="n">
        <f aca="false">F26-H26</f>
        <v>4390</v>
      </c>
      <c r="H26" s="9" t="n">
        <f aca="false">0</f>
        <v>0</v>
      </c>
      <c r="I26" s="9"/>
      <c r="J26" s="30"/>
    </row>
    <row r="27" customFormat="false" ht="19.95" hidden="false" customHeight="true" outlineLevel="0" collapsed="false">
      <c r="A27" s="0" t="n">
        <v>30</v>
      </c>
      <c r="B27" s="34" t="n">
        <v>29007</v>
      </c>
      <c r="C27" s="56" t="n">
        <v>1116900</v>
      </c>
      <c r="D27" s="29" t="s">
        <v>41</v>
      </c>
      <c r="E27" s="33" t="n">
        <f aca="false">IF(D27="totale",(C27/(A27*24))/F27,IF(D27="marché libre",(C27/(A27*24))/G27,"spécifier histo"))</f>
        <v>0.353359908883827</v>
      </c>
      <c r="F27" s="59" t="n">
        <v>4390</v>
      </c>
      <c r="G27" s="59" t="n">
        <f aca="false">F27-H27</f>
        <v>4390</v>
      </c>
      <c r="H27" s="9" t="n">
        <f aca="false">0</f>
        <v>0</v>
      </c>
      <c r="I27" s="9"/>
      <c r="J27" s="30"/>
    </row>
    <row r="28" customFormat="false" ht="19.95" hidden="false" customHeight="true" outlineLevel="0" collapsed="false">
      <c r="A28" s="0" t="n">
        <v>31</v>
      </c>
      <c r="B28" s="31" t="n">
        <v>29037</v>
      </c>
      <c r="C28" s="56" t="n">
        <v>796400</v>
      </c>
      <c r="D28" s="29" t="s">
        <v>41</v>
      </c>
      <c r="E28" s="33" t="n">
        <f aca="false">IF(D28="totale",(C28/(A28*24))/F28,IF(D28="marché libre",(C28/(A28*24))/G28,"spécifier histo"))</f>
        <v>0.24383373747765</v>
      </c>
      <c r="F28" s="59" t="n">
        <v>4390</v>
      </c>
      <c r="G28" s="59" t="n">
        <f aca="false">F28-H28</f>
        <v>4390</v>
      </c>
      <c r="H28" s="9" t="n">
        <f aca="false">0</f>
        <v>0</v>
      </c>
      <c r="I28" s="9"/>
      <c r="J28" s="30"/>
    </row>
    <row r="29" customFormat="false" ht="19.95" hidden="false" customHeight="true" outlineLevel="0" collapsed="false">
      <c r="A29" s="0" t="n">
        <v>31</v>
      </c>
      <c r="B29" s="34" t="n">
        <v>29068</v>
      </c>
      <c r="C29" s="56" t="n">
        <v>701500</v>
      </c>
      <c r="D29" s="29" t="s">
        <v>41</v>
      </c>
      <c r="E29" s="33" t="n">
        <f aca="false">IF(D29="totale",(C29/(A29*24))/F29,IF(D29="marché libre",(C29/(A29*24))/G29,"spécifier histo"))</f>
        <v>0.214778210497955</v>
      </c>
      <c r="F29" s="59" t="n">
        <v>4390</v>
      </c>
      <c r="G29" s="59" t="n">
        <f aca="false">F29-H29</f>
        <v>4390</v>
      </c>
      <c r="H29" s="9" t="n">
        <f aca="false">0</f>
        <v>0</v>
      </c>
      <c r="I29" s="9"/>
      <c r="J29" s="30"/>
    </row>
    <row r="30" customFormat="false" ht="19.95" hidden="false" customHeight="true" outlineLevel="0" collapsed="false">
      <c r="A30" s="0" t="n">
        <v>30</v>
      </c>
      <c r="B30" s="31" t="n">
        <v>29099</v>
      </c>
      <c r="C30" s="56" t="n">
        <v>380000</v>
      </c>
      <c r="D30" s="29" t="s">
        <v>41</v>
      </c>
      <c r="E30" s="33" t="n">
        <f aca="false">IF(D30="totale",(C30/(A30*24))/F30,IF(D30="marché libre",(C30/(A30*24))/G30,"spécifier histo"))</f>
        <v>0.120222728423184</v>
      </c>
      <c r="F30" s="59" t="n">
        <v>4390</v>
      </c>
      <c r="G30" s="59" t="n">
        <f aca="false">F30-H30</f>
        <v>4390</v>
      </c>
      <c r="H30" s="9" t="n">
        <f aca="false">0</f>
        <v>0</v>
      </c>
      <c r="I30" s="9"/>
      <c r="J30" s="30"/>
    </row>
    <row r="31" customFormat="false" ht="19.95" hidden="false" customHeight="true" outlineLevel="0" collapsed="false">
      <c r="A31" s="0" t="n">
        <v>31</v>
      </c>
      <c r="B31" s="34" t="n">
        <v>29129</v>
      </c>
      <c r="C31" s="56" t="n">
        <v>727200</v>
      </c>
      <c r="D31" s="29" t="s">
        <v>41</v>
      </c>
      <c r="E31" s="33" t="n">
        <f aca="false">IF(D31="totale",(C31/(A31*24))/F31,IF(D31="marché libre",(C31/(A31*24))/G31,"spécifier histo"))</f>
        <v>0.222646777867588</v>
      </c>
      <c r="F31" s="59" t="n">
        <v>4390</v>
      </c>
      <c r="G31" s="59" t="n">
        <f aca="false">F31-H31</f>
        <v>4390</v>
      </c>
      <c r="H31" s="9" t="n">
        <f aca="false">0</f>
        <v>0</v>
      </c>
      <c r="I31" s="9"/>
      <c r="J31" s="30"/>
    </row>
    <row r="32" customFormat="false" ht="19.95" hidden="false" customHeight="true" outlineLevel="0" collapsed="false">
      <c r="A32" s="0" t="n">
        <v>30</v>
      </c>
      <c r="B32" s="31" t="n">
        <v>29160</v>
      </c>
      <c r="C32" s="56" t="n">
        <v>996100</v>
      </c>
      <c r="D32" s="29" t="s">
        <v>41</v>
      </c>
      <c r="E32" s="33" t="n">
        <f aca="false">IF(D32="totale",(C32/(A32*24))/F32,IF(D32="marché libre",(C32/(A32*24))/G32,"spécifier histo"))</f>
        <v>0.315141736269299</v>
      </c>
      <c r="F32" s="59" t="n">
        <v>4390</v>
      </c>
      <c r="G32" s="59" t="n">
        <f aca="false">F32-H32</f>
        <v>4390</v>
      </c>
      <c r="H32" s="9" t="n">
        <f aca="false">0</f>
        <v>0</v>
      </c>
      <c r="I32" s="9"/>
      <c r="J32" s="30"/>
    </row>
    <row r="33" customFormat="false" ht="19.95" hidden="false" customHeight="true" outlineLevel="0" collapsed="false">
      <c r="A33" s="0" t="n">
        <v>31</v>
      </c>
      <c r="B33" s="34" t="n">
        <v>29190</v>
      </c>
      <c r="C33" s="56" t="n">
        <v>926000</v>
      </c>
      <c r="D33" s="29" t="s">
        <v>41</v>
      </c>
      <c r="E33" s="33" t="n">
        <f aca="false">IF(D33="totale",(C33/(A33*24))/F33,IF(D33="marché libre",(C33/(A33*24))/G33,"spécifier histo"))</f>
        <v>0.283513361256032</v>
      </c>
      <c r="F33" s="59" t="n">
        <v>4390</v>
      </c>
      <c r="G33" s="59" t="n">
        <f aca="false">F33-H33</f>
        <v>4390</v>
      </c>
      <c r="H33" s="9" t="n">
        <f aca="false">0</f>
        <v>0</v>
      </c>
      <c r="I33" s="9"/>
      <c r="J33" s="30"/>
    </row>
    <row r="34" customFormat="false" ht="19.95" hidden="false" customHeight="true" outlineLevel="0" collapsed="false">
      <c r="A34" s="0" t="n">
        <v>31</v>
      </c>
      <c r="B34" s="31" t="n">
        <v>29221</v>
      </c>
      <c r="C34" s="56" t="n">
        <v>947200</v>
      </c>
      <c r="D34" s="29" t="s">
        <v>41</v>
      </c>
      <c r="E34" s="33" t="n">
        <f aca="false">IF(D34="totale",(C34/(A34*24))/F34,IF(D34="marché libre",(C34/(A34*24))/G34,"spécifier histo"))</f>
        <v>0.290004163911137</v>
      </c>
      <c r="F34" s="59" t="n">
        <v>4390</v>
      </c>
      <c r="G34" s="59" t="n">
        <f aca="false">F34-H34</f>
        <v>4390</v>
      </c>
      <c r="H34" s="9" t="n">
        <f aca="false">0</f>
        <v>0</v>
      </c>
      <c r="I34" s="9"/>
      <c r="J34" s="30"/>
    </row>
    <row r="35" customFormat="false" ht="19.95" hidden="false" customHeight="true" outlineLevel="0" collapsed="false">
      <c r="A35" s="0" t="n">
        <v>28</v>
      </c>
      <c r="B35" s="34" t="n">
        <v>29252</v>
      </c>
      <c r="C35" s="56" t="n">
        <v>924900</v>
      </c>
      <c r="D35" s="29" t="s">
        <v>41</v>
      </c>
      <c r="E35" s="33" t="n">
        <f aca="false">IF(D35="totale",(C35/(A35*24))/F35,IF(D35="marché libre",(C35/(A35*24))/G35,"spécifier histo"))</f>
        <v>0.313516921575008</v>
      </c>
      <c r="F35" s="59" t="n">
        <v>4390</v>
      </c>
      <c r="G35" s="59" t="n">
        <f aca="false">F35-H35</f>
        <v>4390</v>
      </c>
      <c r="H35" s="9" t="n">
        <f aca="false">0</f>
        <v>0</v>
      </c>
      <c r="I35" s="9"/>
      <c r="J35" s="30"/>
    </row>
    <row r="36" customFormat="false" ht="19.95" hidden="false" customHeight="true" outlineLevel="0" collapsed="false">
      <c r="A36" s="0" t="n">
        <v>31</v>
      </c>
      <c r="B36" s="31" t="n">
        <v>29281</v>
      </c>
      <c r="C36" s="56" t="n">
        <v>1037700</v>
      </c>
      <c r="D36" s="29" t="s">
        <v>41</v>
      </c>
      <c r="E36" s="33" t="n">
        <f aca="false">IF(D36="totale",(C36/(A36*24))/F36,IF(D36="marché libre",(C36/(A36*24))/G36,"spécifier histo"))</f>
        <v>0.317712543169961</v>
      </c>
      <c r="F36" s="59" t="n">
        <v>4390</v>
      </c>
      <c r="G36" s="59" t="n">
        <f aca="false">F36-H36</f>
        <v>4390</v>
      </c>
      <c r="H36" s="9" t="n">
        <f aca="false">0</f>
        <v>0</v>
      </c>
      <c r="I36" s="9"/>
      <c r="J36" s="30"/>
    </row>
    <row r="37" customFormat="false" ht="19.95" hidden="false" customHeight="true" outlineLevel="0" collapsed="false">
      <c r="A37" s="0" t="n">
        <v>30</v>
      </c>
      <c r="B37" s="34" t="n">
        <v>29312</v>
      </c>
      <c r="C37" s="56" t="n">
        <v>1058800</v>
      </c>
      <c r="D37" s="29" t="s">
        <v>41</v>
      </c>
      <c r="E37" s="33" t="n">
        <f aca="false">IF(D37="totale",(C37/(A37*24))/F37,IF(D37="marché libre",(C37/(A37*24))/G37,"spécifier histo"))</f>
        <v>0.334978486459124</v>
      </c>
      <c r="F37" s="59" t="n">
        <v>4390</v>
      </c>
      <c r="G37" s="59" t="n">
        <f aca="false">F37-H37</f>
        <v>4390</v>
      </c>
      <c r="H37" s="9" t="n">
        <f aca="false">0</f>
        <v>0</v>
      </c>
      <c r="I37" s="9"/>
      <c r="J37" s="30"/>
    </row>
    <row r="38" customFormat="false" ht="19.95" hidden="false" customHeight="true" outlineLevel="0" collapsed="false">
      <c r="A38" s="0" t="n">
        <v>31</v>
      </c>
      <c r="B38" s="31" t="n">
        <v>29342</v>
      </c>
      <c r="C38" s="56" t="n">
        <v>1060200</v>
      </c>
      <c r="D38" s="29" t="s">
        <v>41</v>
      </c>
      <c r="E38" s="33" t="n">
        <f aca="false">IF(D38="totale",(C38/(A38*24))/F38,IF(D38="marché libre",(C38/(A38*24))/G38,"spécifier histo"))</f>
        <v>0.324601366742597</v>
      </c>
      <c r="F38" s="59" t="n">
        <v>4390</v>
      </c>
      <c r="G38" s="59" t="n">
        <f aca="false">F38-H38</f>
        <v>4390</v>
      </c>
      <c r="H38" s="9" t="n">
        <f aca="false">0</f>
        <v>0</v>
      </c>
      <c r="I38" s="9"/>
      <c r="J38" s="30"/>
    </row>
    <row r="39" customFormat="false" ht="19.95" hidden="false" customHeight="true" outlineLevel="0" collapsed="false">
      <c r="A39" s="0" t="n">
        <v>30</v>
      </c>
      <c r="B39" s="34" t="n">
        <v>29373</v>
      </c>
      <c r="C39" s="56" t="n">
        <v>1142500</v>
      </c>
      <c r="D39" s="29" t="s">
        <v>41</v>
      </c>
      <c r="E39" s="33" t="n">
        <f aca="false">IF(D39="totale",(C39/(A39*24))/F39,IF(D39="marché libre",(C39/(A39*24))/G39,"spécifier histo"))</f>
        <v>0.361459124272336</v>
      </c>
      <c r="F39" s="59" t="n">
        <v>4390</v>
      </c>
      <c r="G39" s="59" t="n">
        <f aca="false">F39-H39</f>
        <v>4390</v>
      </c>
      <c r="H39" s="9" t="n">
        <f aca="false">0</f>
        <v>0</v>
      </c>
      <c r="I39" s="9"/>
      <c r="J39" s="30"/>
    </row>
    <row r="40" customFormat="false" ht="19.95" hidden="false" customHeight="true" outlineLevel="0" collapsed="false">
      <c r="A40" s="0" t="n">
        <v>31</v>
      </c>
      <c r="B40" s="31" t="n">
        <v>29403</v>
      </c>
      <c r="C40" s="56" t="n">
        <v>541400</v>
      </c>
      <c r="D40" s="29" t="s">
        <v>41</v>
      </c>
      <c r="E40" s="33" t="n">
        <f aca="false">IF(D40="totale",(C40/(A40*24))/F40,IF(D40="marché libre",(C40/(A40*24))/G40,"spécifier histo"))</f>
        <v>0.165760403654444</v>
      </c>
      <c r="F40" s="59" t="n">
        <v>4390</v>
      </c>
      <c r="G40" s="59" t="n">
        <f aca="false">F40-H40</f>
        <v>4390</v>
      </c>
      <c r="H40" s="9" t="n">
        <f aca="false">0</f>
        <v>0</v>
      </c>
      <c r="I40" s="9"/>
      <c r="J40" s="30"/>
    </row>
    <row r="41" customFormat="false" ht="19.95" hidden="false" customHeight="true" outlineLevel="0" collapsed="false">
      <c r="A41" s="0" t="n">
        <v>31</v>
      </c>
      <c r="B41" s="34" t="n">
        <v>29434</v>
      </c>
      <c r="C41" s="56" t="n">
        <v>0</v>
      </c>
      <c r="D41" s="29" t="s">
        <v>41</v>
      </c>
      <c r="E41" s="33" t="n">
        <f aca="false">IF(D41="totale",(C41/(A41*24))/F41,IF(D41="marché libre",(C41/(A41*24))/G41,"spécifier histo"))</f>
        <v>0</v>
      </c>
      <c r="F41" s="59" t="n">
        <v>4390</v>
      </c>
      <c r="G41" s="59" t="n">
        <f aca="false">F41-H41</f>
        <v>4390</v>
      </c>
      <c r="H41" s="9" t="n">
        <f aca="false">0</f>
        <v>0</v>
      </c>
      <c r="I41" s="9"/>
      <c r="J41" s="30"/>
    </row>
    <row r="42" customFormat="false" ht="19.95" hidden="false" customHeight="true" outlineLevel="0" collapsed="false">
      <c r="A42" s="0" t="n">
        <v>30</v>
      </c>
      <c r="B42" s="31" t="n">
        <v>29465</v>
      </c>
      <c r="C42" s="56" t="n">
        <v>0</v>
      </c>
      <c r="D42" s="29" t="s">
        <v>41</v>
      </c>
      <c r="E42" s="33" t="n">
        <f aca="false">IF(D42="totale",(C42/(A42*24))/F42,IF(D42="marché libre",(C42/(A42*24))/G42,"spécifier histo"))</f>
        <v>0</v>
      </c>
      <c r="F42" s="59" t="n">
        <v>4390</v>
      </c>
      <c r="G42" s="59" t="n">
        <f aca="false">F42-H42</f>
        <v>4390</v>
      </c>
      <c r="H42" s="9" t="n">
        <f aca="false">0</f>
        <v>0</v>
      </c>
      <c r="I42" s="9"/>
      <c r="J42" s="30"/>
    </row>
    <row r="43" customFormat="false" ht="19.95" hidden="false" customHeight="true" outlineLevel="0" collapsed="false">
      <c r="A43" s="0" t="n">
        <v>31</v>
      </c>
      <c r="B43" s="34" t="n">
        <v>29495</v>
      </c>
      <c r="C43" s="56" t="n">
        <v>0</v>
      </c>
      <c r="D43" s="29" t="s">
        <v>41</v>
      </c>
      <c r="E43" s="33" t="n">
        <f aca="false">IF(D43="totale",(C43/(A43*24))/F43,IF(D43="marché libre",(C43/(A43*24))/G43,"spécifier histo"))</f>
        <v>0</v>
      </c>
      <c r="F43" s="59" t="n">
        <v>4390</v>
      </c>
      <c r="G43" s="59" t="n">
        <f aca="false">F43-H43</f>
        <v>4390</v>
      </c>
      <c r="H43" s="9" t="n">
        <f aca="false">0</f>
        <v>0</v>
      </c>
      <c r="I43" s="9"/>
      <c r="J43" s="30"/>
    </row>
    <row r="44" customFormat="false" ht="19.95" hidden="false" customHeight="true" outlineLevel="0" collapsed="false">
      <c r="A44" s="0" t="n">
        <v>30</v>
      </c>
      <c r="B44" s="31" t="n">
        <v>29526</v>
      </c>
      <c r="C44" s="56" t="n">
        <v>0</v>
      </c>
      <c r="D44" s="29" t="s">
        <v>41</v>
      </c>
      <c r="E44" s="33" t="n">
        <f aca="false">IF(D44="totale",(C44/(A44*24))/F44,IF(D44="marché libre",(C44/(A44*24))/G44,"spécifier histo"))</f>
        <v>0</v>
      </c>
      <c r="F44" s="59" t="n">
        <v>4390</v>
      </c>
      <c r="G44" s="59" t="n">
        <f aca="false">F44-H44</f>
        <v>4390</v>
      </c>
      <c r="H44" s="9" t="n">
        <f aca="false">0</f>
        <v>0</v>
      </c>
      <c r="I44" s="9"/>
      <c r="J44" s="30"/>
    </row>
    <row r="45" customFormat="false" ht="19.95" hidden="false" customHeight="true" outlineLevel="0" collapsed="false">
      <c r="A45" s="0" t="n">
        <v>31</v>
      </c>
      <c r="B45" s="34" t="n">
        <v>29556</v>
      </c>
      <c r="C45" s="56" t="n">
        <v>6200</v>
      </c>
      <c r="D45" s="29" t="s">
        <v>41</v>
      </c>
      <c r="E45" s="33" t="n">
        <f aca="false">IF(D45="totale",(C45/(A45*24))/F45,IF(D45="marché libre",(C45/(A45*24))/G45,"spécifier histo"))</f>
        <v>0.00189825360668185</v>
      </c>
      <c r="F45" s="59" t="n">
        <v>4390</v>
      </c>
      <c r="G45" s="59" t="n">
        <f aca="false">F45-H45</f>
        <v>4390</v>
      </c>
      <c r="H45" s="9" t="n">
        <f aca="false">0</f>
        <v>0</v>
      </c>
      <c r="I45" s="9"/>
      <c r="J45" s="30"/>
    </row>
    <row r="46" customFormat="false" ht="19.95" hidden="false" customHeight="true" outlineLevel="0" collapsed="false">
      <c r="A46" s="0" t="n">
        <v>31</v>
      </c>
      <c r="B46" s="31" t="n">
        <v>29587</v>
      </c>
      <c r="C46" s="56" t="n">
        <v>1144100</v>
      </c>
      <c r="D46" s="29" t="s">
        <v>41</v>
      </c>
      <c r="E46" s="33" t="n">
        <f aca="false">IF(D46="totale",(C46/(A46*24))/F46,IF(D46="marché libre",(C46/(A46*24))/G46,"spécifier histo"))</f>
        <v>0.350289024420114</v>
      </c>
      <c r="F46" s="59" t="n">
        <v>4390</v>
      </c>
      <c r="G46" s="59" t="n">
        <f aca="false">F46-H46</f>
        <v>4390</v>
      </c>
      <c r="H46" s="9" t="n">
        <f aca="false">0</f>
        <v>0</v>
      </c>
      <c r="I46" s="9"/>
      <c r="J46" s="30"/>
    </row>
    <row r="47" customFormat="false" ht="19.95" hidden="false" customHeight="true" outlineLevel="0" collapsed="false">
      <c r="A47" s="0" t="n">
        <v>28</v>
      </c>
      <c r="B47" s="34" t="n">
        <v>29618</v>
      </c>
      <c r="C47" s="56" t="n">
        <v>1285700</v>
      </c>
      <c r="D47" s="29" t="s">
        <v>41</v>
      </c>
      <c r="E47" s="33" t="n">
        <f aca="false">IF(D47="totale",(C47/(A47*24))/F47,IF(D47="marché libre",(C47/(A47*24))/G47,"spécifier histo"))</f>
        <v>0.435818689662653</v>
      </c>
      <c r="F47" s="59" t="n">
        <v>4390</v>
      </c>
      <c r="G47" s="59" t="n">
        <f aca="false">F47-H47</f>
        <v>4390</v>
      </c>
      <c r="H47" s="9" t="n">
        <f aca="false">0</f>
        <v>0</v>
      </c>
      <c r="I47" s="9"/>
      <c r="J47" s="30"/>
    </row>
    <row r="48" customFormat="false" ht="19.95" hidden="false" customHeight="true" outlineLevel="0" collapsed="false">
      <c r="A48" s="0" t="n">
        <v>31</v>
      </c>
      <c r="B48" s="31" t="n">
        <v>29646</v>
      </c>
      <c r="C48" s="56" t="n">
        <v>1355100</v>
      </c>
      <c r="D48" s="29" t="s">
        <v>41</v>
      </c>
      <c r="E48" s="33" t="n">
        <f aca="false">IF(D48="totale",(C48/(A48*24))/F48,IF(D48="marché libre",(C48/(A48*24))/G48,"spécifier histo"))</f>
        <v>0.414890881034609</v>
      </c>
      <c r="F48" s="59" t="n">
        <v>4390</v>
      </c>
      <c r="G48" s="59" t="n">
        <f aca="false">F48-H48</f>
        <v>4390</v>
      </c>
      <c r="H48" s="9" t="n">
        <f aca="false">0</f>
        <v>0</v>
      </c>
      <c r="I48" s="9"/>
      <c r="J48" s="30"/>
    </row>
    <row r="49" customFormat="false" ht="19.95" hidden="false" customHeight="true" outlineLevel="0" collapsed="false">
      <c r="A49" s="0" t="n">
        <v>30</v>
      </c>
      <c r="B49" s="34" t="n">
        <v>29677</v>
      </c>
      <c r="C49" s="56" t="n">
        <v>1448600</v>
      </c>
      <c r="D49" s="29" t="s">
        <v>41</v>
      </c>
      <c r="E49" s="33" t="n">
        <f aca="false">IF(D49="totale",(C49/(A49*24))/F49,IF(D49="marché libre",(C49/(A49*24))/G49,"spécifier histo"))</f>
        <v>0.458301695773222</v>
      </c>
      <c r="F49" s="59" t="n">
        <v>4390</v>
      </c>
      <c r="G49" s="59" t="n">
        <f aca="false">F49-H49</f>
        <v>4390</v>
      </c>
      <c r="H49" s="9" t="n">
        <f aca="false">0</f>
        <v>0</v>
      </c>
      <c r="I49" s="9"/>
      <c r="J49" s="30"/>
    </row>
    <row r="50" customFormat="false" ht="19.95" hidden="false" customHeight="true" outlineLevel="0" collapsed="false">
      <c r="A50" s="0" t="n">
        <v>31</v>
      </c>
      <c r="B50" s="31" t="n">
        <v>29707</v>
      </c>
      <c r="C50" s="56" t="n">
        <v>1378400</v>
      </c>
      <c r="D50" s="29" t="s">
        <v>41</v>
      </c>
      <c r="E50" s="33" t="n">
        <f aca="false">IF(D50="totale",(C50/(A50*24))/F50,IF(D50="marché libre",(C50/(A50*24))/G50,"spécifier histo"))</f>
        <v>0.422024640556495</v>
      </c>
      <c r="F50" s="59" t="n">
        <v>4390</v>
      </c>
      <c r="G50" s="59" t="n">
        <f aca="false">F50-H50</f>
        <v>4390</v>
      </c>
      <c r="H50" s="9" t="n">
        <f aca="false">0</f>
        <v>0</v>
      </c>
      <c r="I50" s="9"/>
      <c r="J50" s="30"/>
    </row>
    <row r="51" customFormat="false" ht="19.95" hidden="false" customHeight="true" outlineLevel="0" collapsed="false">
      <c r="A51" s="0" t="n">
        <v>30</v>
      </c>
      <c r="B51" s="34" t="n">
        <v>29738</v>
      </c>
      <c r="C51" s="56" t="n">
        <v>1451300</v>
      </c>
      <c r="D51" s="29" t="s">
        <v>41</v>
      </c>
      <c r="E51" s="33" t="n">
        <f aca="false">IF(D51="totale",(C51/(A51*24))/F51,IF(D51="marché libre",(C51/(A51*24))/G51,"spécifier histo"))</f>
        <v>0.459155909896229</v>
      </c>
      <c r="F51" s="59" t="n">
        <v>4390</v>
      </c>
      <c r="G51" s="59" t="n">
        <f aca="false">F51-H51</f>
        <v>4390</v>
      </c>
      <c r="H51" s="9" t="n">
        <f aca="false">0</f>
        <v>0</v>
      </c>
      <c r="I51" s="9"/>
      <c r="J51" s="30"/>
    </row>
    <row r="52" customFormat="false" ht="19.95" hidden="false" customHeight="true" outlineLevel="0" collapsed="false">
      <c r="A52" s="0" t="n">
        <v>31</v>
      </c>
      <c r="B52" s="31" t="n">
        <v>29768</v>
      </c>
      <c r="C52" s="56" t="n">
        <v>1378200</v>
      </c>
      <c r="D52" s="29" t="s">
        <v>41</v>
      </c>
      <c r="E52" s="33" t="n">
        <f aca="false">IF(D52="totale",(C52/(A52*24))/F52,IF(D52="marché libre",(C52/(A52*24))/G52,"spécifier histo"))</f>
        <v>0.421963406569182</v>
      </c>
      <c r="F52" s="59" t="n">
        <v>4390</v>
      </c>
      <c r="G52" s="59" t="n">
        <f aca="false">F52-H52</f>
        <v>4390</v>
      </c>
      <c r="H52" s="9" t="n">
        <f aca="false">0</f>
        <v>0</v>
      </c>
      <c r="I52" s="9"/>
      <c r="J52" s="30"/>
    </row>
    <row r="53" customFormat="false" ht="19.95" hidden="false" customHeight="true" outlineLevel="0" collapsed="false">
      <c r="A53" s="0" t="n">
        <v>31</v>
      </c>
      <c r="B53" s="34" t="n">
        <v>29799</v>
      </c>
      <c r="C53" s="56" t="n">
        <v>848600</v>
      </c>
      <c r="D53" s="29" t="s">
        <v>41</v>
      </c>
      <c r="E53" s="33" t="n">
        <f aca="false">IF(D53="totale",(C53/(A53*24))/F53,IF(D53="marché libre",(C53/(A53*24))/G53,"spécifier histo"))</f>
        <v>0.259815808166164</v>
      </c>
      <c r="F53" s="59" t="n">
        <v>4390</v>
      </c>
      <c r="G53" s="59" t="n">
        <f aca="false">F53-H53</f>
        <v>4390</v>
      </c>
      <c r="H53" s="9" t="n">
        <f aca="false">0</f>
        <v>0</v>
      </c>
      <c r="I53" s="9"/>
      <c r="J53" s="30"/>
    </row>
    <row r="54" customFormat="false" ht="19.95" hidden="false" customHeight="true" outlineLevel="0" collapsed="false">
      <c r="A54" s="0" t="n">
        <v>30</v>
      </c>
      <c r="B54" s="31" t="n">
        <v>29830</v>
      </c>
      <c r="C54" s="56" t="n">
        <v>268100</v>
      </c>
      <c r="D54" s="29" t="s">
        <v>41</v>
      </c>
      <c r="E54" s="33" t="n">
        <f aca="false">IF(D54="totale",(C54/(A54*24))/F54,IF(D54="marché libre",(C54/(A54*24))/G54,"spécifier histo"))</f>
        <v>0.0848202986585674</v>
      </c>
      <c r="F54" s="59" t="n">
        <v>4390</v>
      </c>
      <c r="G54" s="59" t="n">
        <f aca="false">F54-H54</f>
        <v>4390</v>
      </c>
      <c r="H54" s="9" t="n">
        <f aca="false">0</f>
        <v>0</v>
      </c>
      <c r="I54" s="9"/>
      <c r="J54" s="30"/>
    </row>
    <row r="55" customFormat="false" ht="19.95" hidden="false" customHeight="true" outlineLevel="0" collapsed="false">
      <c r="A55" s="0" t="n">
        <v>31</v>
      </c>
      <c r="B55" s="34" t="n">
        <v>29860</v>
      </c>
      <c r="C55" s="56" t="n">
        <v>831900</v>
      </c>
      <c r="D55" s="29" t="s">
        <v>41</v>
      </c>
      <c r="E55" s="33" t="n">
        <f aca="false">IF(D55="totale",(C55/(A55*24))/F55,IF(D55="marché libre",(C55/(A55*24))/G55,"spécifier histo"))</f>
        <v>0.254702770225586</v>
      </c>
      <c r="F55" s="59" t="n">
        <v>4390</v>
      </c>
      <c r="G55" s="59" t="n">
        <f aca="false">F55-H55</f>
        <v>4390</v>
      </c>
      <c r="H55" s="9" t="n">
        <f aca="false">0</f>
        <v>0</v>
      </c>
      <c r="I55" s="9"/>
      <c r="J55" s="30"/>
    </row>
    <row r="56" customFormat="false" ht="19.95" hidden="false" customHeight="true" outlineLevel="0" collapsed="false">
      <c r="A56" s="0" t="n">
        <v>30</v>
      </c>
      <c r="B56" s="31" t="n">
        <v>29891</v>
      </c>
      <c r="C56" s="56" t="n">
        <v>659700</v>
      </c>
      <c r="D56" s="29" t="s">
        <v>41</v>
      </c>
      <c r="E56" s="33" t="n">
        <f aca="false">IF(D56="totale",(C56/(A56*24))/F56,IF(D56="marché libre",(C56/(A56*24))/G56,"spécifier histo"))</f>
        <v>0.20871298405467</v>
      </c>
      <c r="F56" s="59" t="n">
        <v>4390</v>
      </c>
      <c r="G56" s="59" t="n">
        <f aca="false">F56-H56</f>
        <v>4390</v>
      </c>
      <c r="H56" s="9" t="n">
        <f aca="false">0</f>
        <v>0</v>
      </c>
      <c r="I56" s="9"/>
      <c r="J56" s="30"/>
    </row>
    <row r="57" customFormat="false" ht="19.95" hidden="false" customHeight="true" outlineLevel="0" collapsed="false">
      <c r="A57" s="0" t="n">
        <v>31</v>
      </c>
      <c r="B57" s="34" t="n">
        <v>29921</v>
      </c>
      <c r="C57" s="56" t="n">
        <v>1201300</v>
      </c>
      <c r="D57" s="29" t="s">
        <v>41</v>
      </c>
      <c r="E57" s="33" t="n">
        <f aca="false">IF(D57="totale",(C57/(A57*24))/F57,IF(D57="marché libre",(C57/(A57*24))/G57,"spécifier histo"))</f>
        <v>0.367801944791437</v>
      </c>
      <c r="F57" s="59" t="n">
        <v>4390</v>
      </c>
      <c r="G57" s="59" t="n">
        <f aca="false">F57-H57</f>
        <v>4390</v>
      </c>
      <c r="H57" s="9" t="n">
        <f aca="false">0</f>
        <v>0</v>
      </c>
      <c r="I57" s="9"/>
      <c r="J57" s="30"/>
    </row>
    <row r="58" customFormat="false" ht="19.95" hidden="false" customHeight="true" outlineLevel="0" collapsed="false">
      <c r="A58" s="0" t="n">
        <v>31</v>
      </c>
      <c r="B58" s="31" t="n">
        <v>29952</v>
      </c>
      <c r="C58" s="56" t="n">
        <v>1255700</v>
      </c>
      <c r="D58" s="29" t="s">
        <v>41</v>
      </c>
      <c r="E58" s="33" t="n">
        <f aca="false">IF(D58="totale",(C58/(A58*24))/F58,IF(D58="marché libre",(C58/(A58*24))/G58,"spécifier histo"))</f>
        <v>0.384457589340387</v>
      </c>
      <c r="F58" s="59" t="n">
        <v>4390</v>
      </c>
      <c r="G58" s="59" t="n">
        <f aca="false">F58-H58</f>
        <v>4390</v>
      </c>
      <c r="H58" s="9" t="n">
        <f aca="false">0</f>
        <v>0</v>
      </c>
      <c r="I58" s="9"/>
      <c r="J58" s="30"/>
    </row>
    <row r="59" customFormat="false" ht="19.95" hidden="false" customHeight="true" outlineLevel="0" collapsed="false">
      <c r="A59" s="0" t="n">
        <v>28</v>
      </c>
      <c r="B59" s="34" t="n">
        <v>29983</v>
      </c>
      <c r="C59" s="56" t="n">
        <v>1322400</v>
      </c>
      <c r="D59" s="29" t="s">
        <v>41</v>
      </c>
      <c r="E59" s="33" t="n">
        <f aca="false">IF(D59="totale",(C59/(A59*24))/F59,IF(D59="marché libre",(C59/(A59*24))/G59,"spécifier histo"))</f>
        <v>0.448259030263586</v>
      </c>
      <c r="F59" s="59" t="n">
        <v>4390</v>
      </c>
      <c r="G59" s="59" t="n">
        <f aca="false">F59-H59</f>
        <v>4390</v>
      </c>
      <c r="H59" s="9" t="n">
        <f aca="false">0</f>
        <v>0</v>
      </c>
      <c r="I59" s="9"/>
      <c r="J59" s="30"/>
    </row>
    <row r="60" customFormat="false" ht="19.95" hidden="false" customHeight="true" outlineLevel="0" collapsed="false">
      <c r="A60" s="0" t="n">
        <v>31</v>
      </c>
      <c r="B60" s="31" t="n">
        <v>30011</v>
      </c>
      <c r="C60" s="56" t="n">
        <v>1843500</v>
      </c>
      <c r="D60" s="29" t="s">
        <v>41</v>
      </c>
      <c r="E60" s="33" t="n">
        <f aca="false">IF(D60="totale",(C60/(A60*24))/F60,IF(D60="marché libre",(C60/(A60*24))/G60,"spécifier histo"))</f>
        <v>0.56442427805129</v>
      </c>
      <c r="F60" s="59" t="n">
        <v>4390</v>
      </c>
      <c r="G60" s="59" t="n">
        <f aca="false">F60-H60</f>
        <v>4390</v>
      </c>
      <c r="H60" s="9" t="n">
        <f aca="false">0</f>
        <v>0</v>
      </c>
      <c r="I60" s="9"/>
      <c r="J60" s="30"/>
    </row>
    <row r="61" customFormat="false" ht="19.95" hidden="false" customHeight="true" outlineLevel="0" collapsed="false">
      <c r="A61" s="0" t="n">
        <v>30</v>
      </c>
      <c r="B61" s="34" t="n">
        <v>30042</v>
      </c>
      <c r="C61" s="56" t="n">
        <v>1915400</v>
      </c>
      <c r="D61" s="29" t="s">
        <v>41</v>
      </c>
      <c r="E61" s="33" t="n">
        <f aca="false">IF(D61="totale",(C61/(A61*24))/F61,IF(D61="marché libre",(C61/(A61*24))/G61,"spécifier histo"))</f>
        <v>0.60598582637307</v>
      </c>
      <c r="F61" s="59" t="n">
        <v>4390</v>
      </c>
      <c r="G61" s="59" t="n">
        <f aca="false">F61-H61</f>
        <v>4390</v>
      </c>
      <c r="H61" s="9" t="n">
        <f aca="false">0</f>
        <v>0</v>
      </c>
      <c r="I61" s="9"/>
      <c r="J61" s="30"/>
    </row>
    <row r="62" customFormat="false" ht="19.95" hidden="false" customHeight="true" outlineLevel="0" collapsed="false">
      <c r="A62" s="0" t="n">
        <v>31</v>
      </c>
      <c r="B62" s="31" t="n">
        <v>30072</v>
      </c>
      <c r="C62" s="56" t="n">
        <v>1938400</v>
      </c>
      <c r="D62" s="29" t="s">
        <v>41</v>
      </c>
      <c r="E62" s="33" t="n">
        <f aca="false">IF(D62="totale",(C62/(A62*24))/F62,IF(D62="marché libre",(C62/(A62*24))/G62,"spécifier histo"))</f>
        <v>0.593479805030984</v>
      </c>
      <c r="F62" s="59" t="n">
        <v>4390</v>
      </c>
      <c r="G62" s="59" t="n">
        <f aca="false">F62-H62</f>
        <v>4390</v>
      </c>
      <c r="H62" s="9" t="n">
        <f aca="false">0</f>
        <v>0</v>
      </c>
      <c r="I62" s="9"/>
      <c r="J62" s="30"/>
    </row>
    <row r="63" customFormat="false" ht="19.95" hidden="false" customHeight="true" outlineLevel="0" collapsed="false">
      <c r="A63" s="0" t="n">
        <v>30</v>
      </c>
      <c r="B63" s="34" t="n">
        <v>30103</v>
      </c>
      <c r="C63" s="56" t="n">
        <v>1577600</v>
      </c>
      <c r="D63" s="29" t="s">
        <v>41</v>
      </c>
      <c r="E63" s="33" t="n">
        <f aca="false">IF(D63="totale",(C63/(A63*24))/F63,IF(D63="marché libre",(C63/(A63*24))/G63,"spécifier histo"))</f>
        <v>0.499114148316882</v>
      </c>
      <c r="F63" s="59" t="n">
        <v>4390</v>
      </c>
      <c r="G63" s="59" t="n">
        <f aca="false">F63-H63</f>
        <v>4390</v>
      </c>
      <c r="H63" s="9" t="n">
        <f aca="false">0</f>
        <v>0</v>
      </c>
      <c r="I63" s="9"/>
      <c r="J63" s="30"/>
    </row>
    <row r="64" customFormat="false" ht="19.95" hidden="false" customHeight="true" outlineLevel="0" collapsed="false">
      <c r="A64" s="0" t="n">
        <v>31</v>
      </c>
      <c r="B64" s="31" t="n">
        <v>30133</v>
      </c>
      <c r="C64" s="56" t="n">
        <v>735600</v>
      </c>
      <c r="D64" s="29" t="s">
        <v>41</v>
      </c>
      <c r="E64" s="33" t="n">
        <f aca="false">IF(D64="totale",(C64/(A64*24))/F64,IF(D64="marché libre",(C64/(A64*24))/G64,"spécifier histo"))</f>
        <v>0.225218605334705</v>
      </c>
      <c r="F64" s="59" t="n">
        <v>4390</v>
      </c>
      <c r="G64" s="59" t="n">
        <f aca="false">F64-H64</f>
        <v>4390</v>
      </c>
      <c r="H64" s="9" t="n">
        <f aca="false">0</f>
        <v>0</v>
      </c>
      <c r="I64" s="9"/>
      <c r="J64" s="30"/>
    </row>
    <row r="65" customFormat="false" ht="19.95" hidden="false" customHeight="true" outlineLevel="0" collapsed="false">
      <c r="A65" s="0" t="n">
        <v>31</v>
      </c>
      <c r="B65" s="34" t="n">
        <v>30164</v>
      </c>
      <c r="C65" s="56" t="n">
        <v>873500</v>
      </c>
      <c r="D65" s="29" t="s">
        <v>41</v>
      </c>
      <c r="E65" s="33" t="n">
        <f aca="false">IF(D65="totale",(C65/(A65*24))/F65,IF(D65="marché libre",(C65/(A65*24))/G65,"spécifier histo"))</f>
        <v>0.267439439586548</v>
      </c>
      <c r="F65" s="59" t="n">
        <v>4390</v>
      </c>
      <c r="G65" s="59" t="n">
        <f aca="false">F65-H65</f>
        <v>4390</v>
      </c>
      <c r="H65" s="9" t="n">
        <f aca="false">0</f>
        <v>0</v>
      </c>
      <c r="I65" s="9"/>
      <c r="J65" s="30"/>
    </row>
    <row r="66" customFormat="false" ht="19.95" hidden="false" customHeight="true" outlineLevel="0" collapsed="false">
      <c r="A66" s="0" t="n">
        <v>30</v>
      </c>
      <c r="B66" s="31" t="n">
        <v>30195</v>
      </c>
      <c r="C66" s="56" t="n">
        <v>37500</v>
      </c>
      <c r="D66" s="29" t="s">
        <v>41</v>
      </c>
      <c r="E66" s="33" t="n">
        <f aca="false">IF(D66="totale",(C66/(A66*24))/F66,IF(D66="marché libre",(C66/(A66*24))/G66,"spécifier histo"))</f>
        <v>0.0118640850417616</v>
      </c>
      <c r="F66" s="59" t="n">
        <v>4390</v>
      </c>
      <c r="G66" s="59" t="n">
        <f aca="false">F66-H66</f>
        <v>4390</v>
      </c>
      <c r="H66" s="9" t="n">
        <f aca="false">0</f>
        <v>0</v>
      </c>
      <c r="I66" s="9"/>
      <c r="J66" s="30"/>
    </row>
    <row r="67" customFormat="false" ht="19.95" hidden="false" customHeight="true" outlineLevel="0" collapsed="false">
      <c r="A67" s="0" t="n">
        <v>31</v>
      </c>
      <c r="B67" s="34" t="n">
        <v>30225</v>
      </c>
      <c r="C67" s="56" t="n">
        <v>1670300</v>
      </c>
      <c r="D67" s="29" t="s">
        <v>41</v>
      </c>
      <c r="E67" s="33" t="n">
        <f aca="false">IF(D67="totale",(C67/(A67*24))/F67,IF(D67="marché libre",(C67/(A67*24))/G67,"spécifier histo"))</f>
        <v>0.511395645038822</v>
      </c>
      <c r="F67" s="59" t="n">
        <v>4390</v>
      </c>
      <c r="G67" s="59" t="n">
        <f aca="false">F67-H67</f>
        <v>4390</v>
      </c>
      <c r="H67" s="9" t="n">
        <f aca="false">0</f>
        <v>0</v>
      </c>
      <c r="I67" s="9"/>
      <c r="J67" s="30"/>
    </row>
    <row r="68" customFormat="false" ht="19.95" hidden="false" customHeight="true" outlineLevel="0" collapsed="false">
      <c r="A68" s="0" t="n">
        <v>30</v>
      </c>
      <c r="B68" s="31" t="n">
        <v>30256</v>
      </c>
      <c r="C68" s="56" t="n">
        <v>1589700</v>
      </c>
      <c r="D68" s="29" t="s">
        <v>41</v>
      </c>
      <c r="E68" s="33" t="n">
        <f aca="false">IF(D68="totale",(C68/(A68*24))/F68,IF(D68="marché libre",(C68/(A68*24))/G68,"spécifier histo"))</f>
        <v>0.502942293090357</v>
      </c>
      <c r="F68" s="59" t="n">
        <v>4390</v>
      </c>
      <c r="G68" s="59" t="n">
        <f aca="false">F68-H68</f>
        <v>4390</v>
      </c>
      <c r="H68" s="9" t="n">
        <f aca="false">0</f>
        <v>0</v>
      </c>
      <c r="I68" s="9"/>
      <c r="J68" s="30"/>
    </row>
    <row r="69" customFormat="false" ht="19.95" hidden="false" customHeight="true" outlineLevel="0" collapsed="false">
      <c r="A69" s="0" t="n">
        <v>31</v>
      </c>
      <c r="B69" s="34" t="n">
        <v>30286</v>
      </c>
      <c r="C69" s="56" t="n">
        <v>1557100</v>
      </c>
      <c r="D69" s="29" t="s">
        <v>41</v>
      </c>
      <c r="E69" s="33" t="n">
        <f aca="false">IF(D69="totale",(C69/(A69*24))/F69,IF(D69="marché libre",(C69/(A69*24))/G69,"spécifier histo"))</f>
        <v>0.476737208220051</v>
      </c>
      <c r="F69" s="59" t="n">
        <v>4390</v>
      </c>
      <c r="G69" s="59" t="n">
        <f aca="false">F69-H69</f>
        <v>4390</v>
      </c>
      <c r="H69" s="9" t="n">
        <f aca="false">0</f>
        <v>0</v>
      </c>
      <c r="I69" s="9"/>
      <c r="J69" s="30"/>
    </row>
    <row r="70" customFormat="false" ht="17.7" hidden="false" customHeight="true" outlineLevel="0" collapsed="false">
      <c r="A70" s="0" t="n">
        <v>31</v>
      </c>
      <c r="B70" s="31" t="n">
        <v>30317</v>
      </c>
      <c r="C70" s="56" t="n">
        <v>1403200</v>
      </c>
      <c r="D70" s="29" t="s">
        <v>41</v>
      </c>
      <c r="E70" s="33" t="n">
        <f aca="false">IF(D70="totale",(C70/(A70*24))/F70,IF(D70="marché libre",(C70/(A70*24))/G70,"spécifier histo"))</f>
        <v>0.429617654983222</v>
      </c>
      <c r="F70" s="59" t="n">
        <v>4390</v>
      </c>
      <c r="G70" s="59" t="n">
        <f aca="false">F70-H70</f>
        <v>4390</v>
      </c>
      <c r="H70" s="9" t="n">
        <f aca="false">0</f>
        <v>0</v>
      </c>
      <c r="I70" s="9"/>
      <c r="J70" s="30"/>
    </row>
    <row r="71" customFormat="false" ht="17.7" hidden="false" customHeight="true" outlineLevel="0" collapsed="false">
      <c r="A71" s="0" t="n">
        <v>28</v>
      </c>
      <c r="B71" s="34" t="n">
        <v>30348</v>
      </c>
      <c r="C71" s="56" t="n">
        <v>1276300</v>
      </c>
      <c r="D71" s="29" t="s">
        <v>41</v>
      </c>
      <c r="E71" s="33" t="n">
        <f aca="false">IF(D71="totale",(C71/(A71*24))/F71,IF(D71="marché libre",(C71/(A71*24))/G71,"spécifier histo"))</f>
        <v>0.432632335394294</v>
      </c>
      <c r="F71" s="59" t="n">
        <v>4390</v>
      </c>
      <c r="G71" s="59" t="n">
        <f aca="false">F71-H71</f>
        <v>4390</v>
      </c>
      <c r="H71" s="9" t="n">
        <f aca="false">0</f>
        <v>0</v>
      </c>
      <c r="I71" s="9"/>
      <c r="J71" s="30"/>
    </row>
    <row r="72" customFormat="false" ht="17.7" hidden="false" customHeight="true" outlineLevel="0" collapsed="false">
      <c r="A72" s="0" t="n">
        <v>31</v>
      </c>
      <c r="B72" s="31" t="n">
        <v>30376</v>
      </c>
      <c r="C72" s="56" t="n">
        <v>1861400</v>
      </c>
      <c r="D72" s="29" t="s">
        <v>41</v>
      </c>
      <c r="E72" s="33" t="n">
        <f aca="false">IF(D72="totale",(C72/(A72*24))/F72,IF(D72="marché libre",(C72/(A72*24))/G72,"spécifier histo"))</f>
        <v>0.569904719915742</v>
      </c>
      <c r="F72" s="59" t="n">
        <v>4390</v>
      </c>
      <c r="G72" s="59" t="n">
        <f aca="false">F72-H72</f>
        <v>4390</v>
      </c>
      <c r="H72" s="9" t="n">
        <f aca="false">0</f>
        <v>0</v>
      </c>
      <c r="I72" s="9"/>
      <c r="J72" s="30"/>
    </row>
    <row r="73" customFormat="false" ht="17.7" hidden="false" customHeight="true" outlineLevel="0" collapsed="false">
      <c r="A73" s="0" t="n">
        <v>30</v>
      </c>
      <c r="B73" s="34" t="n">
        <v>30407</v>
      </c>
      <c r="C73" s="56" t="n">
        <v>1857400</v>
      </c>
      <c r="D73" s="29" t="s">
        <v>41</v>
      </c>
      <c r="E73" s="33" t="n">
        <f aca="false">IF(D73="totale",(C73/(A73*24))/F73,IF(D73="marché libre",(C73/(A73*24))/G73,"spécifier histo"))</f>
        <v>0.587636041508479</v>
      </c>
      <c r="F73" s="59" t="n">
        <v>4390</v>
      </c>
      <c r="G73" s="59" t="n">
        <f aca="false">F73-H73</f>
        <v>4390</v>
      </c>
      <c r="H73" s="9" t="n">
        <f aca="false">0</f>
        <v>0</v>
      </c>
      <c r="I73" s="9"/>
      <c r="J73" s="30"/>
    </row>
    <row r="74" customFormat="false" ht="17.7" hidden="false" customHeight="true" outlineLevel="0" collapsed="false">
      <c r="A74" s="0" t="n">
        <v>31</v>
      </c>
      <c r="B74" s="31" t="n">
        <v>30437</v>
      </c>
      <c r="C74" s="56" t="n">
        <v>2001100</v>
      </c>
      <c r="D74" s="29" t="s">
        <v>41</v>
      </c>
      <c r="E74" s="33" t="n">
        <f aca="false">IF(D74="totale",(C74/(A74*24))/F74,IF(D74="marché libre",(C74/(A74*24))/G74,"spécifier histo"))</f>
        <v>0.612676660053396</v>
      </c>
      <c r="F74" s="59" t="n">
        <v>4390</v>
      </c>
      <c r="G74" s="59" t="n">
        <f aca="false">F74-H74</f>
        <v>4390</v>
      </c>
      <c r="H74" s="9" t="n">
        <f aca="false">0</f>
        <v>0</v>
      </c>
      <c r="I74" s="9"/>
      <c r="J74" s="30"/>
    </row>
    <row r="75" customFormat="false" ht="17.7" hidden="false" customHeight="true" outlineLevel="0" collapsed="false">
      <c r="A75" s="0" t="n">
        <v>30</v>
      </c>
      <c r="B75" s="34" t="n">
        <v>30468</v>
      </c>
      <c r="C75" s="56" t="n">
        <v>1472900</v>
      </c>
      <c r="D75" s="29" t="s">
        <v>41</v>
      </c>
      <c r="E75" s="33" t="n">
        <f aca="false">IF(D75="totale",(C75/(A75*24))/F75,IF(D75="marché libre",(C75/(A75*24))/G75,"spécifier histo"))</f>
        <v>0.465989622880283</v>
      </c>
      <c r="F75" s="59" t="n">
        <v>4390</v>
      </c>
      <c r="G75" s="59" t="n">
        <f aca="false">F75-H75</f>
        <v>4390</v>
      </c>
      <c r="H75" s="9" t="n">
        <f aca="false">0</f>
        <v>0</v>
      </c>
      <c r="I75" s="9"/>
      <c r="J75" s="30"/>
    </row>
    <row r="76" customFormat="false" ht="17.7" hidden="false" customHeight="true" outlineLevel="0" collapsed="false">
      <c r="A76" s="0" t="n">
        <v>31</v>
      </c>
      <c r="B76" s="31" t="n">
        <v>30498</v>
      </c>
      <c r="C76" s="56" t="n">
        <v>863100</v>
      </c>
      <c r="D76" s="29" t="s">
        <v>41</v>
      </c>
      <c r="E76" s="33" t="n">
        <f aca="false">IF(D76="totale",(C76/(A76*24))/F76,IF(D76="marché libre",(C76/(A76*24))/G76,"spécifier histo"))</f>
        <v>0.264255272246308</v>
      </c>
      <c r="F76" s="59" t="n">
        <v>4390</v>
      </c>
      <c r="G76" s="59" t="n">
        <f aca="false">F76-H76</f>
        <v>4390</v>
      </c>
      <c r="H76" s="9" t="n">
        <f aca="false">0</f>
        <v>0</v>
      </c>
      <c r="I76" s="9"/>
      <c r="J76" s="30"/>
    </row>
    <row r="77" customFormat="false" ht="17.7" hidden="false" customHeight="true" outlineLevel="0" collapsed="false">
      <c r="A77" s="0" t="n">
        <v>31</v>
      </c>
      <c r="B77" s="34" t="n">
        <v>30529</v>
      </c>
      <c r="C77" s="56" t="n">
        <v>167300</v>
      </c>
      <c r="D77" s="29" t="s">
        <v>41</v>
      </c>
      <c r="E77" s="33" t="n">
        <f aca="false">IF(D77="totale",(C77/(A77*24))/F77,IF(D77="marché libre",(C77/(A77*24))/G77,"spécifier histo"))</f>
        <v>0.0512222303867539</v>
      </c>
      <c r="F77" s="59" t="n">
        <v>4390</v>
      </c>
      <c r="G77" s="59" t="n">
        <f aca="false">F77-H77</f>
        <v>4390</v>
      </c>
      <c r="H77" s="9" t="n">
        <f aca="false">0</f>
        <v>0</v>
      </c>
      <c r="I77" s="9"/>
      <c r="J77" s="30"/>
    </row>
    <row r="78" customFormat="false" ht="17.7" hidden="false" customHeight="true" outlineLevel="0" collapsed="false">
      <c r="A78" s="0" t="n">
        <v>30</v>
      </c>
      <c r="B78" s="31" t="n">
        <v>30560</v>
      </c>
      <c r="C78" s="56" t="n">
        <v>188200</v>
      </c>
      <c r="D78" s="29" t="s">
        <v>41</v>
      </c>
      <c r="E78" s="33" t="n">
        <f aca="false">IF(D78="totale",(C78/(A78*24))/F78,IF(D78="marché libre",(C78/(A78*24))/G78,"spécifier histo"))</f>
        <v>0.0595418881295875</v>
      </c>
      <c r="F78" s="59" t="n">
        <v>4390</v>
      </c>
      <c r="G78" s="59" t="n">
        <f aca="false">F78-H78</f>
        <v>4390</v>
      </c>
      <c r="H78" s="9" t="n">
        <f aca="false">0</f>
        <v>0</v>
      </c>
      <c r="I78" s="9"/>
      <c r="J78" s="30"/>
    </row>
    <row r="79" customFormat="false" ht="17.7" hidden="false" customHeight="true" outlineLevel="0" collapsed="false">
      <c r="A79" s="0" t="n">
        <v>31</v>
      </c>
      <c r="B79" s="34" t="n">
        <v>30590</v>
      </c>
      <c r="C79" s="56" t="n">
        <v>429700</v>
      </c>
      <c r="D79" s="29" t="s">
        <v>41</v>
      </c>
      <c r="E79" s="33" t="n">
        <f aca="false">IF(D79="totale",(C79/(A79*24))/F79,IF(D79="marché libre",(C79/(A79*24))/G79,"spécifier histo"))</f>
        <v>0.131561221740515</v>
      </c>
      <c r="F79" s="59" t="n">
        <v>4390</v>
      </c>
      <c r="G79" s="59" t="n">
        <f aca="false">F79-H79</f>
        <v>4390</v>
      </c>
      <c r="H79" s="9" t="n">
        <f aca="false">0</f>
        <v>0</v>
      </c>
      <c r="I79" s="9"/>
      <c r="J79" s="30"/>
    </row>
    <row r="80" customFormat="false" ht="17.7" hidden="false" customHeight="true" outlineLevel="0" collapsed="false">
      <c r="A80" s="0" t="n">
        <v>30</v>
      </c>
      <c r="B80" s="31" t="n">
        <v>30621</v>
      </c>
      <c r="C80" s="56" t="n">
        <v>593100</v>
      </c>
      <c r="D80" s="29" t="s">
        <v>41</v>
      </c>
      <c r="E80" s="33" t="n">
        <f aca="false">IF(D80="totale",(C80/(A80*24))/F80,IF(D80="marché libre",(C80/(A80*24))/G80,"spécifier histo"))</f>
        <v>0.187642369020501</v>
      </c>
      <c r="F80" s="59" t="n">
        <v>4390</v>
      </c>
      <c r="G80" s="59" t="n">
        <f aca="false">F80-H80</f>
        <v>4390</v>
      </c>
      <c r="H80" s="9" t="n">
        <f aca="false">0</f>
        <v>0</v>
      </c>
      <c r="I80" s="9"/>
      <c r="J80" s="30"/>
    </row>
    <row r="81" customFormat="false" ht="17.7" hidden="false" customHeight="true" outlineLevel="0" collapsed="false">
      <c r="A81" s="0" t="n">
        <v>31</v>
      </c>
      <c r="B81" s="34" t="n">
        <v>30651</v>
      </c>
      <c r="C81" s="56" t="n">
        <v>960700</v>
      </c>
      <c r="D81" s="29" t="s">
        <v>41</v>
      </c>
      <c r="E81" s="33" t="n">
        <f aca="false">IF(D81="totale",(C81/(A81*24))/F81,IF(D81="marché libre",(C81/(A81*24))/G81,"spécifier histo"))</f>
        <v>0.294137458054719</v>
      </c>
      <c r="F81" s="59" t="n">
        <v>4390</v>
      </c>
      <c r="G81" s="59" t="n">
        <f aca="false">F81-H81</f>
        <v>4390</v>
      </c>
      <c r="H81" s="9" t="n">
        <f aca="false">0</f>
        <v>0</v>
      </c>
      <c r="I81" s="9"/>
      <c r="J81" s="30"/>
    </row>
    <row r="82" customFormat="false" ht="17.7" hidden="false" customHeight="true" outlineLevel="0" collapsed="false">
      <c r="A82" s="0" t="n">
        <v>31</v>
      </c>
      <c r="B82" s="31" t="n">
        <v>30682</v>
      </c>
      <c r="C82" s="56" t="n">
        <v>1808400</v>
      </c>
      <c r="D82" s="29" t="s">
        <v>41</v>
      </c>
      <c r="E82" s="33" t="n">
        <f aca="false">IF(D82="totale",(C82/(A82*24))/F82,IF(D82="marché libre",(C82/(A82*24))/G82,"spécifier histo"))</f>
        <v>0.553677713277978</v>
      </c>
      <c r="F82" s="59" t="n">
        <v>4390</v>
      </c>
      <c r="G82" s="59" t="n">
        <f aca="false">F82-H82</f>
        <v>4390</v>
      </c>
      <c r="H82" s="9" t="n">
        <f aca="false">0</f>
        <v>0</v>
      </c>
      <c r="I82" s="9"/>
      <c r="J82" s="30"/>
    </row>
    <row r="83" customFormat="false" ht="17.7" hidden="false" customHeight="true" outlineLevel="0" collapsed="false">
      <c r="A83" s="0" t="n">
        <v>28</v>
      </c>
      <c r="B83" s="34" t="n">
        <v>30713</v>
      </c>
      <c r="C83" s="56" t="n">
        <v>1759900</v>
      </c>
      <c r="D83" s="29" t="s">
        <v>41</v>
      </c>
      <c r="E83" s="33" t="n">
        <f aca="false">IF(D83="totale",(C83/(A83*24))/F83,IF(D83="marché libre",(C83/(A83*24))/G83,"spécifier histo"))</f>
        <v>0.596560093285606</v>
      </c>
      <c r="F83" s="59" t="n">
        <v>4390</v>
      </c>
      <c r="G83" s="59" t="n">
        <f aca="false">F83-H83</f>
        <v>4390</v>
      </c>
      <c r="H83" s="9" t="n">
        <f aca="false">0</f>
        <v>0</v>
      </c>
      <c r="I83" s="9"/>
      <c r="J83" s="30"/>
    </row>
    <row r="84" customFormat="false" ht="17.7" hidden="false" customHeight="true" outlineLevel="0" collapsed="false">
      <c r="A84" s="0" t="n">
        <v>31</v>
      </c>
      <c r="B84" s="31" t="n">
        <v>30742</v>
      </c>
      <c r="C84" s="56" t="n">
        <v>1285200</v>
      </c>
      <c r="D84" s="29" t="s">
        <v>41</v>
      </c>
      <c r="E84" s="33" t="n">
        <f aca="false">IF(D84="totale",(C84/(A84*24))/F84,IF(D84="marché libre",(C84/(A84*24))/G84,"spécifier histo"))</f>
        <v>0.393489602468954</v>
      </c>
      <c r="F84" s="59" t="n">
        <v>4390</v>
      </c>
      <c r="G84" s="59" t="n">
        <f aca="false">F84-H84</f>
        <v>4390</v>
      </c>
      <c r="H84" s="9" t="n">
        <f aca="false">0</f>
        <v>0</v>
      </c>
      <c r="I84" s="9"/>
      <c r="J84" s="30"/>
    </row>
    <row r="85" customFormat="false" ht="17.7" hidden="false" customHeight="true" outlineLevel="0" collapsed="false">
      <c r="A85" s="0" t="n">
        <v>30</v>
      </c>
      <c r="B85" s="34" t="n">
        <v>30773</v>
      </c>
      <c r="C85" s="56" t="n">
        <v>1821400</v>
      </c>
      <c r="D85" s="29" t="s">
        <v>41</v>
      </c>
      <c r="E85" s="33" t="n">
        <f aca="false">IF(D85="totale",(C85/(A85*24))/F85,IF(D85="marché libre",(C85/(A85*24))/G85,"spécifier histo"))</f>
        <v>0.576246519868388</v>
      </c>
      <c r="F85" s="59" t="n">
        <v>4390</v>
      </c>
      <c r="G85" s="59" t="n">
        <f aca="false">F85-H85</f>
        <v>4390</v>
      </c>
      <c r="H85" s="9" t="n">
        <f aca="false">0</f>
        <v>0</v>
      </c>
      <c r="I85" s="9"/>
      <c r="J85" s="30"/>
    </row>
    <row r="86" customFormat="false" ht="17.7" hidden="false" customHeight="true" outlineLevel="0" collapsed="false">
      <c r="A86" s="0" t="n">
        <v>31</v>
      </c>
      <c r="B86" s="31" t="n">
        <v>30803</v>
      </c>
      <c r="C86" s="56" t="n">
        <v>1707000</v>
      </c>
      <c r="D86" s="29" t="s">
        <v>41</v>
      </c>
      <c r="E86" s="33" t="n">
        <f aca="false">IF(D86="totale",(C86/(A86*24))/F86,IF(D86="marché libre",(C86/(A86*24))/G86,"spécifier histo"))</f>
        <v>0.522632081710633</v>
      </c>
      <c r="F86" s="59" t="n">
        <v>4390</v>
      </c>
      <c r="G86" s="59" t="n">
        <f aca="false">F86-H86</f>
        <v>4390</v>
      </c>
      <c r="H86" s="9" t="n">
        <f aca="false">0</f>
        <v>0</v>
      </c>
      <c r="I86" s="9"/>
      <c r="J86" s="30"/>
    </row>
    <row r="87" customFormat="false" ht="17.7" hidden="false" customHeight="true" outlineLevel="0" collapsed="false">
      <c r="A87" s="0" t="n">
        <v>30</v>
      </c>
      <c r="B87" s="34" t="n">
        <v>30834</v>
      </c>
      <c r="C87" s="56" t="n">
        <v>1517600</v>
      </c>
      <c r="D87" s="29" t="s">
        <v>41</v>
      </c>
      <c r="E87" s="33" t="n">
        <f aca="false">IF(D87="totale",(C87/(A87*24))/F87,IF(D87="marché libre",(C87/(A87*24))/G87,"spécifier histo"))</f>
        <v>0.480131612250063</v>
      </c>
      <c r="F87" s="59" t="n">
        <v>4390</v>
      </c>
      <c r="G87" s="59" t="n">
        <f aca="false">F87-H87</f>
        <v>4390</v>
      </c>
      <c r="H87" s="9" t="n">
        <f aca="false">0</f>
        <v>0</v>
      </c>
      <c r="I87" s="9"/>
      <c r="J87" s="30"/>
    </row>
    <row r="88" customFormat="false" ht="17.7" hidden="false" customHeight="true" outlineLevel="0" collapsed="false">
      <c r="A88" s="0" t="n">
        <v>31</v>
      </c>
      <c r="B88" s="31" t="n">
        <v>30864</v>
      </c>
      <c r="C88" s="56" t="n">
        <v>1318600</v>
      </c>
      <c r="D88" s="29" t="s">
        <v>41</v>
      </c>
      <c r="E88" s="33" t="n">
        <f aca="false">IF(D88="totale",(C88/(A88*24))/F88,IF(D88="marché libre",(C88/(A88*24))/G88,"spécifier histo"))</f>
        <v>0.403715678350111</v>
      </c>
      <c r="F88" s="59" t="n">
        <v>4390</v>
      </c>
      <c r="G88" s="59" t="n">
        <f aca="false">F88-H88</f>
        <v>4390</v>
      </c>
      <c r="H88" s="9" t="n">
        <f aca="false">0</f>
        <v>0</v>
      </c>
      <c r="I88" s="9"/>
      <c r="J88" s="30"/>
    </row>
    <row r="89" customFormat="false" ht="17.7" hidden="false" customHeight="true" outlineLevel="0" collapsed="false">
      <c r="A89" s="0" t="n">
        <v>31</v>
      </c>
      <c r="B89" s="34" t="n">
        <v>30895</v>
      </c>
      <c r="C89" s="56" t="n">
        <v>959200</v>
      </c>
      <c r="D89" s="29" t="s">
        <v>41</v>
      </c>
      <c r="E89" s="33" t="n">
        <f aca="false">IF(D89="totale",(C89/(A89*24))/F89,IF(D89="marché libre",(C89/(A89*24))/G89,"spécifier histo"))</f>
        <v>0.293678203149876</v>
      </c>
      <c r="F89" s="59" t="n">
        <v>4390</v>
      </c>
      <c r="G89" s="59" t="n">
        <f aca="false">F89-H89</f>
        <v>4390</v>
      </c>
      <c r="H89" s="9" t="n">
        <f aca="false">0</f>
        <v>0</v>
      </c>
      <c r="I89" s="9"/>
      <c r="J89" s="30"/>
    </row>
    <row r="90" customFormat="false" ht="17.7" hidden="false" customHeight="true" outlineLevel="0" collapsed="false">
      <c r="A90" s="0" t="n">
        <v>30</v>
      </c>
      <c r="B90" s="31" t="n">
        <v>30926</v>
      </c>
      <c r="C90" s="56" t="n">
        <v>1017900</v>
      </c>
      <c r="D90" s="29" t="s">
        <v>41</v>
      </c>
      <c r="E90" s="33" t="n">
        <f aca="false">IF(D90="totale",(C90/(A90*24))/F90,IF(D90="marché libre",(C90/(A90*24))/G90,"spécifier histo"))</f>
        <v>0.322038724373576</v>
      </c>
      <c r="F90" s="59" t="n">
        <v>4390</v>
      </c>
      <c r="G90" s="59" t="n">
        <f aca="false">F90-H90</f>
        <v>4390</v>
      </c>
      <c r="H90" s="9" t="n">
        <f aca="false">0</f>
        <v>0</v>
      </c>
      <c r="I90" s="9"/>
      <c r="J90" s="30"/>
    </row>
    <row r="91" customFormat="false" ht="17.7" hidden="false" customHeight="true" outlineLevel="0" collapsed="false">
      <c r="A91" s="0" t="n">
        <v>31</v>
      </c>
      <c r="B91" s="34" t="n">
        <v>30956</v>
      </c>
      <c r="C91" s="56" t="n">
        <v>1440700</v>
      </c>
      <c r="D91" s="29" t="s">
        <v>41</v>
      </c>
      <c r="E91" s="33" t="n">
        <f aca="false">IF(D91="totale",(C91/(A91*24))/F91,IF(D91="marché libre",(C91/(A91*24))/G91,"spécifier histo"))</f>
        <v>0.441099027604281</v>
      </c>
      <c r="F91" s="59" t="n">
        <v>4390</v>
      </c>
      <c r="G91" s="59" t="n">
        <f aca="false">F91-H91</f>
        <v>4390</v>
      </c>
      <c r="H91" s="9" t="n">
        <f aca="false">0</f>
        <v>0</v>
      </c>
      <c r="I91" s="9"/>
      <c r="J91" s="30"/>
    </row>
    <row r="92" customFormat="false" ht="17.7" hidden="false" customHeight="true" outlineLevel="0" collapsed="false">
      <c r="A92" s="0" t="n">
        <v>30</v>
      </c>
      <c r="B92" s="31" t="n">
        <v>30987</v>
      </c>
      <c r="C92" s="56" t="n">
        <v>1448000</v>
      </c>
      <c r="D92" s="29" t="s">
        <v>41</v>
      </c>
      <c r="E92" s="33" t="n">
        <f aca="false">IF(D92="totale",(C92/(A92*24))/F92,IF(D92="marché libre",(C92/(A92*24))/G92,"spécifier histo"))</f>
        <v>0.458111870412554</v>
      </c>
      <c r="F92" s="59" t="n">
        <v>4390</v>
      </c>
      <c r="G92" s="59" t="n">
        <f aca="false">F92-H92</f>
        <v>4390</v>
      </c>
      <c r="H92" s="9" t="n">
        <f aca="false">0</f>
        <v>0</v>
      </c>
      <c r="I92" s="9"/>
      <c r="J92" s="30"/>
    </row>
    <row r="93" customFormat="false" ht="17.7" hidden="false" customHeight="true" outlineLevel="0" collapsed="false">
      <c r="A93" s="0" t="n">
        <v>31</v>
      </c>
      <c r="B93" s="34" t="n">
        <v>31017</v>
      </c>
      <c r="C93" s="56" t="n">
        <v>1034000</v>
      </c>
      <c r="D93" s="29" t="s">
        <v>41</v>
      </c>
      <c r="E93" s="33" t="n">
        <f aca="false">IF(D93="totale",(C93/(A93*24))/F93,IF(D93="marché libre",(C93/(A93*24))/G93,"spécifier histo"))</f>
        <v>0.316579714404683</v>
      </c>
      <c r="F93" s="59" t="n">
        <v>4390</v>
      </c>
      <c r="G93" s="59" t="n">
        <f aca="false">F93-H93</f>
        <v>4390</v>
      </c>
      <c r="H93" s="9" t="n">
        <f aca="false">0</f>
        <v>0</v>
      </c>
      <c r="I93" s="9"/>
      <c r="J93" s="30"/>
    </row>
    <row r="94" customFormat="false" ht="17.7" hidden="false" customHeight="true" outlineLevel="0" collapsed="false">
      <c r="A94" s="0" t="n">
        <v>31</v>
      </c>
      <c r="B94" s="31" t="n">
        <v>31048</v>
      </c>
      <c r="C94" s="56" t="n">
        <v>1286700</v>
      </c>
      <c r="D94" s="29" t="s">
        <v>41</v>
      </c>
      <c r="E94" s="33" t="n">
        <f aca="false">IF(D94="totale",(C94/(A94*24))/F94,IF(D94="marché libre",(C94/(A94*24))/G94,"spécifier histo"))</f>
        <v>0.393948857373797</v>
      </c>
      <c r="F94" s="59" t="n">
        <v>4390</v>
      </c>
      <c r="G94" s="59" t="n">
        <f aca="false">F94-H94</f>
        <v>4390</v>
      </c>
      <c r="H94" s="9" t="n">
        <f aca="false">0</f>
        <v>0</v>
      </c>
      <c r="I94" s="9"/>
      <c r="J94" s="30"/>
    </row>
    <row r="95" customFormat="false" ht="17.7" hidden="false" customHeight="true" outlineLevel="0" collapsed="false">
      <c r="A95" s="0" t="n">
        <v>28</v>
      </c>
      <c r="B95" s="34" t="n">
        <v>31079</v>
      </c>
      <c r="C95" s="56" t="n">
        <v>1379000</v>
      </c>
      <c r="D95" s="29" t="s">
        <v>41</v>
      </c>
      <c r="E95" s="33" t="n">
        <f aca="false">IF(D95="totale",(C95/(A95*24))/F95,IF(D95="marché libre",(C95/(A95*24))/G95,"spécifier histo"))</f>
        <v>0.467444950645406</v>
      </c>
      <c r="F95" s="59" t="n">
        <v>4390</v>
      </c>
      <c r="G95" s="59" t="n">
        <f aca="false">F95-H95</f>
        <v>4390</v>
      </c>
      <c r="H95" s="9" t="n">
        <f aca="false">0</f>
        <v>0</v>
      </c>
      <c r="I95" s="9"/>
      <c r="J95" s="30"/>
    </row>
    <row r="96" customFormat="false" ht="17.7" hidden="false" customHeight="true" outlineLevel="0" collapsed="false">
      <c r="A96" s="0" t="n">
        <v>31</v>
      </c>
      <c r="B96" s="31" t="n">
        <v>31107</v>
      </c>
      <c r="C96" s="56" t="n">
        <v>1516200</v>
      </c>
      <c r="D96" s="29" t="s">
        <v>41</v>
      </c>
      <c r="E96" s="33" t="n">
        <f aca="false">IF(D96="totale",(C96/(A96*24))/F96,IF(D96="marché libre",(C96/(A96*24))/G96,"spécifier histo"))</f>
        <v>0.464214857814681</v>
      </c>
      <c r="F96" s="59" t="n">
        <v>4390</v>
      </c>
      <c r="G96" s="59" t="n">
        <f aca="false">F96-H96</f>
        <v>4390</v>
      </c>
      <c r="H96" s="9" t="n">
        <f aca="false">0</f>
        <v>0</v>
      </c>
      <c r="I96" s="9"/>
      <c r="J96" s="30"/>
    </row>
    <row r="97" customFormat="false" ht="17.7" hidden="false" customHeight="true" outlineLevel="0" collapsed="false">
      <c r="A97" s="0" t="n">
        <v>30</v>
      </c>
      <c r="B97" s="34" t="n">
        <v>31138</v>
      </c>
      <c r="C97" s="56" t="n">
        <v>1592100</v>
      </c>
      <c r="D97" s="29" t="s">
        <v>41</v>
      </c>
      <c r="E97" s="33" t="n">
        <f aca="false">IF(D97="totale",(C97/(A97*24))/F97,IF(D97="marché libre",(C97/(A97*24))/G97,"spécifier histo"))</f>
        <v>0.50370159453303</v>
      </c>
      <c r="F97" s="59" t="n">
        <v>4390</v>
      </c>
      <c r="G97" s="59" t="n">
        <f aca="false">F97-H97</f>
        <v>4390</v>
      </c>
      <c r="H97" s="9" t="n">
        <f aca="false">0</f>
        <v>0</v>
      </c>
      <c r="I97" s="9"/>
      <c r="J97" s="30"/>
    </row>
    <row r="98" customFormat="false" ht="17.7" hidden="false" customHeight="true" outlineLevel="0" collapsed="false">
      <c r="A98" s="0" t="n">
        <v>31</v>
      </c>
      <c r="B98" s="31" t="n">
        <v>31168</v>
      </c>
      <c r="C98" s="56" t="n">
        <v>1335700</v>
      </c>
      <c r="D98" s="29" t="s">
        <v>41</v>
      </c>
      <c r="E98" s="33" t="n">
        <f aca="false">IF(D98="totale",(C98/(A98*24))/F98,IF(D98="marché libre",(C98/(A98*24))/G98,"spécifier histo"))</f>
        <v>0.408951184265315</v>
      </c>
      <c r="F98" s="59" t="n">
        <v>4390</v>
      </c>
      <c r="G98" s="59" t="n">
        <f aca="false">F98-H98</f>
        <v>4390</v>
      </c>
      <c r="H98" s="9" t="n">
        <f aca="false">0</f>
        <v>0</v>
      </c>
      <c r="I98" s="9"/>
      <c r="J98" s="30"/>
    </row>
    <row r="99" customFormat="false" ht="17.7" hidden="false" customHeight="true" outlineLevel="0" collapsed="false">
      <c r="A99" s="0" t="n">
        <v>30</v>
      </c>
      <c r="B99" s="34" t="n">
        <v>31199</v>
      </c>
      <c r="C99" s="56" t="n">
        <v>1591200</v>
      </c>
      <c r="D99" s="29" t="s">
        <v>41</v>
      </c>
      <c r="E99" s="33" t="n">
        <f aca="false">IF(D99="totale",(C99/(A99*24))/F99,IF(D99="marché libre",(C99/(A99*24))/G99,"spécifier histo"))</f>
        <v>0.503416856492027</v>
      </c>
      <c r="F99" s="59" t="n">
        <v>4390</v>
      </c>
      <c r="G99" s="59" t="n">
        <f aca="false">F99-H99</f>
        <v>4390</v>
      </c>
      <c r="H99" s="9" t="n">
        <f aca="false">0</f>
        <v>0</v>
      </c>
      <c r="I99" s="9"/>
      <c r="J99" s="30"/>
    </row>
    <row r="100" customFormat="false" ht="17.7" hidden="false" customHeight="true" outlineLevel="0" collapsed="false">
      <c r="A100" s="0" t="n">
        <v>31</v>
      </c>
      <c r="B100" s="31" t="n">
        <v>31229</v>
      </c>
      <c r="C100" s="56" t="n">
        <v>946800</v>
      </c>
      <c r="D100" s="29" t="s">
        <v>41</v>
      </c>
      <c r="E100" s="33" t="n">
        <f aca="false">IF(D100="totale",(C100/(A100*24))/F100,IF(D100="marché libre",(C100/(A100*24))/G100,"spécifier histo"))</f>
        <v>0.289881695936513</v>
      </c>
      <c r="F100" s="59" t="n">
        <v>4390</v>
      </c>
      <c r="G100" s="59" t="n">
        <f aca="false">F100-H100</f>
        <v>4390</v>
      </c>
      <c r="H100" s="9" t="n">
        <f aca="false">0</f>
        <v>0</v>
      </c>
      <c r="I100" s="9"/>
      <c r="J100" s="30"/>
    </row>
    <row r="101" customFormat="false" ht="17.7" hidden="false" customHeight="true" outlineLevel="0" collapsed="false">
      <c r="A101" s="0" t="n">
        <v>31</v>
      </c>
      <c r="B101" s="34" t="n">
        <v>31260</v>
      </c>
      <c r="C101" s="56" t="n">
        <v>660300</v>
      </c>
      <c r="D101" s="29" t="s">
        <v>41</v>
      </c>
      <c r="E101" s="33" t="n">
        <f aca="false">IF(D101="totale",(C101/(A101*24))/F101,IF(D101="marché libre",(C101/(A101*24))/G101,"spécifier histo"))</f>
        <v>0.202164009111617</v>
      </c>
      <c r="F101" s="59" t="n">
        <v>4390</v>
      </c>
      <c r="G101" s="59" t="n">
        <f aca="false">F101-H101</f>
        <v>4390</v>
      </c>
      <c r="H101" s="9" t="n">
        <f aca="false">0</f>
        <v>0</v>
      </c>
      <c r="I101" s="9"/>
      <c r="J101" s="30"/>
    </row>
    <row r="102" customFormat="false" ht="17.7" hidden="false" customHeight="true" outlineLevel="0" collapsed="false">
      <c r="A102" s="0" t="n">
        <v>30</v>
      </c>
      <c r="B102" s="31" t="n">
        <v>31291</v>
      </c>
      <c r="C102" s="56" t="n">
        <v>277400</v>
      </c>
      <c r="D102" s="29" t="s">
        <v>41</v>
      </c>
      <c r="E102" s="33" t="n">
        <f aca="false">IF(D102="totale",(C102/(A102*24))/F102,IF(D102="marché libre",(C102/(A102*24))/G102,"spécifier histo"))</f>
        <v>0.0877625917489243</v>
      </c>
      <c r="F102" s="59" t="n">
        <v>4390</v>
      </c>
      <c r="G102" s="59" t="n">
        <f aca="false">F102-H102</f>
        <v>4390</v>
      </c>
      <c r="H102" s="9" t="n">
        <f aca="false">0</f>
        <v>0</v>
      </c>
      <c r="I102" s="9"/>
      <c r="J102" s="30"/>
    </row>
    <row r="103" customFormat="false" ht="17.7" hidden="false" customHeight="true" outlineLevel="0" collapsed="false">
      <c r="A103" s="0" t="n">
        <v>31</v>
      </c>
      <c r="B103" s="34" t="n">
        <v>31321</v>
      </c>
      <c r="C103" s="56" t="n">
        <v>234000</v>
      </c>
      <c r="D103" s="29" t="s">
        <v>41</v>
      </c>
      <c r="E103" s="33" t="n">
        <f aca="false">IF(D103="totale",(C103/(A103*24))/F103,IF(D103="marché libre",(C103/(A103*24))/G103,"spécifier histo"))</f>
        <v>0.0716437651554119</v>
      </c>
      <c r="F103" s="59" t="n">
        <v>4390</v>
      </c>
      <c r="G103" s="59" t="n">
        <f aca="false">F103-H103</f>
        <v>4390</v>
      </c>
      <c r="H103" s="9" t="n">
        <f aca="false">0</f>
        <v>0</v>
      </c>
      <c r="I103" s="9"/>
      <c r="J103" s="30"/>
    </row>
    <row r="104" customFormat="false" ht="17.7" hidden="false" customHeight="true" outlineLevel="0" collapsed="false">
      <c r="A104" s="0" t="n">
        <v>30</v>
      </c>
      <c r="B104" s="31" t="n">
        <v>31352</v>
      </c>
      <c r="C104" s="56" t="n">
        <v>616400</v>
      </c>
      <c r="D104" s="29" t="s">
        <v>41</v>
      </c>
      <c r="E104" s="33" t="n">
        <f aca="false">IF(D104="totale",(C104/(A104*24))/F104,IF(D104="marché libre",(C104/(A104*24))/G104,"spécifier histo"))</f>
        <v>0.195013920526449</v>
      </c>
      <c r="F104" s="59" t="n">
        <v>4390</v>
      </c>
      <c r="G104" s="59" t="n">
        <f aca="false">F104-H104</f>
        <v>4390</v>
      </c>
      <c r="H104" s="9" t="n">
        <f aca="false">0</f>
        <v>0</v>
      </c>
      <c r="I104" s="9"/>
      <c r="J104" s="30"/>
    </row>
    <row r="105" customFormat="false" ht="17.7" hidden="false" customHeight="true" outlineLevel="0" collapsed="false">
      <c r="A105" s="0" t="n">
        <v>31</v>
      </c>
      <c r="B105" s="34" t="n">
        <v>31382</v>
      </c>
      <c r="C105" s="56" t="n">
        <v>712200</v>
      </c>
      <c r="D105" s="29" t="s">
        <v>41</v>
      </c>
      <c r="E105" s="33" t="n">
        <f aca="false">IF(D105="totale",(C105/(A105*24))/F105,IF(D105="marché libre",(C105/(A105*24))/G105,"spécifier histo"))</f>
        <v>0.218054228819164</v>
      </c>
      <c r="F105" s="59" t="n">
        <v>4390</v>
      </c>
      <c r="G105" s="59" t="n">
        <f aca="false">F105-H105</f>
        <v>4390</v>
      </c>
      <c r="H105" s="9" t="n">
        <f aca="false">0</f>
        <v>0</v>
      </c>
      <c r="I105" s="9"/>
      <c r="J105" s="30"/>
    </row>
    <row r="106" customFormat="false" ht="17.7" hidden="false" customHeight="true" outlineLevel="0" collapsed="false">
      <c r="A106" s="0" t="n">
        <v>31</v>
      </c>
      <c r="B106" s="31" t="n">
        <v>31413</v>
      </c>
      <c r="C106" s="56" t="n">
        <v>1600900</v>
      </c>
      <c r="D106" s="29" t="s">
        <v>41</v>
      </c>
      <c r="E106" s="33" t="n">
        <f aca="false">IF(D106="totale",(C106/(A106*24))/F106,IF(D106="marché libre",(C106/(A106*24))/G106,"spécifier histo"))</f>
        <v>0.490147451441448</v>
      </c>
      <c r="F106" s="59" t="n">
        <v>4390</v>
      </c>
      <c r="G106" s="59" t="n">
        <f aca="false">F106-H106</f>
        <v>4390</v>
      </c>
      <c r="H106" s="9" t="n">
        <f aca="false">0</f>
        <v>0</v>
      </c>
      <c r="I106" s="9"/>
      <c r="J106" s="30"/>
    </row>
    <row r="107" customFormat="false" ht="17.7" hidden="false" customHeight="true" outlineLevel="0" collapsed="false">
      <c r="A107" s="0" t="n">
        <v>28</v>
      </c>
      <c r="B107" s="34" t="n">
        <v>31444</v>
      </c>
      <c r="C107" s="56" t="n">
        <v>1253500</v>
      </c>
      <c r="D107" s="29" t="s">
        <v>41</v>
      </c>
      <c r="E107" s="33" t="n">
        <f aca="false">IF(D107="totale",(C107/(A107*24))/F107,IF(D107="marché libre",(C107/(A107*24))/G107,"spécifier histo"))</f>
        <v>0.424903731424233</v>
      </c>
      <c r="F107" s="59" t="n">
        <v>4390</v>
      </c>
      <c r="G107" s="59" t="n">
        <f aca="false">F107-H107</f>
        <v>4390</v>
      </c>
      <c r="H107" s="9" t="n">
        <f aca="false">0</f>
        <v>0</v>
      </c>
      <c r="I107" s="9"/>
      <c r="J107" s="30"/>
    </row>
    <row r="108" customFormat="false" ht="17.7" hidden="false" customHeight="true" outlineLevel="0" collapsed="false">
      <c r="A108" s="0" t="n">
        <v>31</v>
      </c>
      <c r="B108" s="31" t="n">
        <v>31472</v>
      </c>
      <c r="C108" s="56" t="n">
        <v>1251600</v>
      </c>
      <c r="D108" s="29" t="s">
        <v>41</v>
      </c>
      <c r="E108" s="33" t="n">
        <f aca="false">IF(D108="totale",(C108/(A108*24))/F108,IF(D108="marché libre",(C108/(A108*24))/G108,"spécifier histo"))</f>
        <v>0.383202292600485</v>
      </c>
      <c r="F108" s="59" t="n">
        <v>4390</v>
      </c>
      <c r="G108" s="59" t="n">
        <f aca="false">F108-H108</f>
        <v>4390</v>
      </c>
      <c r="H108" s="9" t="n">
        <f aca="false">0</f>
        <v>0</v>
      </c>
      <c r="I108" s="9"/>
      <c r="J108" s="30"/>
    </row>
    <row r="109" customFormat="false" ht="17.7" hidden="false" customHeight="true" outlineLevel="0" collapsed="false">
      <c r="A109" s="0" t="n">
        <v>30</v>
      </c>
      <c r="B109" s="34" t="n">
        <v>31503</v>
      </c>
      <c r="C109" s="56" t="n">
        <v>1779700</v>
      </c>
      <c r="D109" s="29" t="s">
        <v>41</v>
      </c>
      <c r="E109" s="33" t="n">
        <f aca="false">IF(D109="totale",(C109/(A109*24))/F109,IF(D109="marché libre",(C109/(A109*24))/G109,"spécifier histo"))</f>
        <v>0.563053657301949</v>
      </c>
      <c r="F109" s="59" t="n">
        <v>4390</v>
      </c>
      <c r="G109" s="59" t="n">
        <f aca="false">F109-H109</f>
        <v>4390</v>
      </c>
      <c r="H109" s="9" t="n">
        <f aca="false">0</f>
        <v>0</v>
      </c>
      <c r="I109" s="9"/>
      <c r="J109" s="30"/>
    </row>
    <row r="110" customFormat="false" ht="17.7" hidden="false" customHeight="true" outlineLevel="0" collapsed="false">
      <c r="A110" s="0" t="n">
        <v>31</v>
      </c>
      <c r="B110" s="31" t="n">
        <v>31533</v>
      </c>
      <c r="C110" s="56" t="n">
        <v>1550600</v>
      </c>
      <c r="D110" s="29" t="s">
        <v>41</v>
      </c>
      <c r="E110" s="33" t="n">
        <f aca="false">IF(D110="totale",(C110/(A110*24))/F110,IF(D110="marché libre",(C110/(A110*24))/G110,"spécifier histo"))</f>
        <v>0.4747471036324</v>
      </c>
      <c r="F110" s="59" t="n">
        <v>4390</v>
      </c>
      <c r="G110" s="59" t="n">
        <f aca="false">F110-H110</f>
        <v>4390</v>
      </c>
      <c r="H110" s="9" t="n">
        <f aca="false">0</f>
        <v>0</v>
      </c>
      <c r="I110" s="9"/>
      <c r="J110" s="30"/>
    </row>
    <row r="111" customFormat="false" ht="17.7" hidden="false" customHeight="true" outlineLevel="0" collapsed="false">
      <c r="A111" s="0" t="n">
        <v>30</v>
      </c>
      <c r="B111" s="34" t="n">
        <v>31564</v>
      </c>
      <c r="C111" s="56" t="n">
        <v>1314700</v>
      </c>
      <c r="D111" s="29" t="s">
        <v>41</v>
      </c>
      <c r="E111" s="33" t="n">
        <f aca="false">IF(D111="totale",(C111/(A111*24))/F111,IF(D111="marché libre",(C111/(A111*24))/G111,"spécifier histo"))</f>
        <v>0.415939002784105</v>
      </c>
      <c r="F111" s="59" t="n">
        <v>4390</v>
      </c>
      <c r="G111" s="59" t="n">
        <f aca="false">F111-H111</f>
        <v>4390</v>
      </c>
      <c r="H111" s="9" t="n">
        <f aca="false">0</f>
        <v>0</v>
      </c>
      <c r="I111" s="9"/>
      <c r="J111" s="30"/>
    </row>
    <row r="112" customFormat="false" ht="17.7" hidden="false" customHeight="true" outlineLevel="0" collapsed="false">
      <c r="A112" s="0" t="n">
        <v>31</v>
      </c>
      <c r="B112" s="31" t="n">
        <v>31594</v>
      </c>
      <c r="C112" s="56" t="n">
        <v>627500</v>
      </c>
      <c r="D112" s="29" t="s">
        <v>41</v>
      </c>
      <c r="E112" s="33" t="n">
        <f aca="false">IF(D112="totale",(C112/(A112*24))/F112,IF(D112="marché libre",(C112/(A112*24))/G112,"spécifier histo"))</f>
        <v>0.192121635192397</v>
      </c>
      <c r="F112" s="59" t="n">
        <v>4390</v>
      </c>
      <c r="G112" s="59" t="n">
        <f aca="false">F112-H112</f>
        <v>4390</v>
      </c>
      <c r="H112" s="9" t="n">
        <f aca="false">0</f>
        <v>0</v>
      </c>
      <c r="I112" s="9"/>
      <c r="J112" s="30"/>
    </row>
    <row r="113" customFormat="false" ht="17.7" hidden="false" customHeight="true" outlineLevel="0" collapsed="false">
      <c r="A113" s="0" t="n">
        <v>31</v>
      </c>
      <c r="B113" s="34" t="n">
        <v>31625</v>
      </c>
      <c r="C113" s="56" t="n">
        <v>202300</v>
      </c>
      <c r="D113" s="29" t="s">
        <v>41</v>
      </c>
      <c r="E113" s="33" t="n">
        <f aca="false">IF(D113="totale",(C113/(A113*24))/F113,IF(D113="marché libre",(C113/(A113*24))/G113,"spécifier histo"))</f>
        <v>0.0619381781664095</v>
      </c>
      <c r="F113" s="59" t="n">
        <v>4390</v>
      </c>
      <c r="G113" s="59" t="n">
        <f aca="false">F113-H113</f>
        <v>4390</v>
      </c>
      <c r="H113" s="9" t="n">
        <f aca="false">0</f>
        <v>0</v>
      </c>
      <c r="I113" s="9"/>
      <c r="J113" s="30"/>
    </row>
    <row r="114" customFormat="false" ht="17.7" hidden="false" customHeight="true" outlineLevel="0" collapsed="false">
      <c r="A114" s="0" t="n">
        <v>30</v>
      </c>
      <c r="B114" s="31" t="n">
        <v>31656</v>
      </c>
      <c r="C114" s="56" t="n">
        <v>438500</v>
      </c>
      <c r="D114" s="29" t="s">
        <v>41</v>
      </c>
      <c r="E114" s="33" t="n">
        <f aca="false">IF(D114="totale",(C114/(A114*24))/F114,IF(D114="marché libre",(C114/(A114*24))/G114,"spécifier histo"))</f>
        <v>0.138730701088332</v>
      </c>
      <c r="F114" s="59" t="n">
        <v>4390</v>
      </c>
      <c r="G114" s="59" t="n">
        <f aca="false">F114-H114</f>
        <v>4390</v>
      </c>
      <c r="H114" s="9" t="n">
        <f aca="false">0</f>
        <v>0</v>
      </c>
      <c r="I114" s="9"/>
      <c r="J114" s="30"/>
    </row>
    <row r="115" customFormat="false" ht="17.7" hidden="false" customHeight="true" outlineLevel="0" collapsed="false">
      <c r="A115" s="0" t="n">
        <v>31</v>
      </c>
      <c r="B115" s="34" t="n">
        <v>31686</v>
      </c>
      <c r="C115" s="56" t="n">
        <v>430000</v>
      </c>
      <c r="D115" s="29" t="s">
        <v>41</v>
      </c>
      <c r="E115" s="33" t="n">
        <f aca="false">IF(D115="totale",(C115/(A115*24))/F115,IF(D115="marché libre",(C115/(A115*24))/G115,"spécifier histo"))</f>
        <v>0.131653072721483</v>
      </c>
      <c r="F115" s="59" t="n">
        <v>4390</v>
      </c>
      <c r="G115" s="59" t="n">
        <f aca="false">F115-H115</f>
        <v>4390</v>
      </c>
      <c r="H115" s="9" t="n">
        <f aca="false">0</f>
        <v>0</v>
      </c>
      <c r="I115" s="9"/>
      <c r="J115" s="30"/>
    </row>
    <row r="116" customFormat="false" ht="17.7" hidden="false" customHeight="true" outlineLevel="0" collapsed="false">
      <c r="A116" s="0" t="n">
        <v>30</v>
      </c>
      <c r="B116" s="31" t="n">
        <v>31717</v>
      </c>
      <c r="C116" s="56" t="n">
        <v>691100</v>
      </c>
      <c r="D116" s="29" t="s">
        <v>41</v>
      </c>
      <c r="E116" s="33" t="n">
        <f aca="false">IF(D116="totale",(C116/(A116*24))/F116,IF(D116="marché libre",(C116/(A116*24))/G116,"spécifier histo"))</f>
        <v>0.218647177929638</v>
      </c>
      <c r="F116" s="59" t="n">
        <v>4390</v>
      </c>
      <c r="G116" s="59" t="n">
        <f aca="false">F116-H116</f>
        <v>4390</v>
      </c>
      <c r="H116" s="9" t="n">
        <f aca="false">0</f>
        <v>0</v>
      </c>
      <c r="I116" s="9"/>
      <c r="J116" s="30"/>
    </row>
    <row r="117" customFormat="false" ht="17.7" hidden="false" customHeight="true" outlineLevel="0" collapsed="false">
      <c r="A117" s="0" t="n">
        <v>31</v>
      </c>
      <c r="B117" s="34" t="n">
        <v>31747</v>
      </c>
      <c r="C117" s="56" t="n">
        <v>944000</v>
      </c>
      <c r="D117" s="29" t="s">
        <v>41</v>
      </c>
      <c r="E117" s="33" t="n">
        <f aca="false">IF(D117="totale",(C117/(A117*24))/F117,IF(D117="marché libre",(C117/(A117*24))/G117,"spécifier histo"))</f>
        <v>0.28902442011414</v>
      </c>
      <c r="F117" s="59" t="n">
        <v>4390</v>
      </c>
      <c r="G117" s="59" t="n">
        <f aca="false">F117-H117</f>
        <v>4390</v>
      </c>
      <c r="H117" s="9" t="n">
        <f aca="false">0</f>
        <v>0</v>
      </c>
      <c r="I117" s="9"/>
      <c r="J117" s="30"/>
    </row>
    <row r="118" customFormat="false" ht="17.7" hidden="false" customHeight="true" outlineLevel="0" collapsed="false">
      <c r="A118" s="0" t="n">
        <v>31</v>
      </c>
      <c r="B118" s="31" t="n">
        <v>31778</v>
      </c>
      <c r="C118" s="56" t="n">
        <v>1816000</v>
      </c>
      <c r="D118" s="29" t="s">
        <v>41</v>
      </c>
      <c r="E118" s="33" t="n">
        <f aca="false">IF(D118="totale",(C118/(A118*24))/F118,IF(D118="marché libre",(C118/(A118*24))/G118,"spécifier histo"))</f>
        <v>0.556004604795846</v>
      </c>
      <c r="F118" s="59" t="n">
        <v>4390</v>
      </c>
      <c r="G118" s="59" t="n">
        <f aca="false">F118-H118</f>
        <v>4390</v>
      </c>
      <c r="H118" s="9" t="n">
        <f aca="false">0</f>
        <v>0</v>
      </c>
      <c r="I118" s="9"/>
      <c r="J118" s="30"/>
    </row>
    <row r="119" customFormat="false" ht="17.7" hidden="false" customHeight="true" outlineLevel="0" collapsed="false">
      <c r="A119" s="0" t="n">
        <v>28</v>
      </c>
      <c r="B119" s="34" t="n">
        <v>31809</v>
      </c>
      <c r="C119" s="56" t="n">
        <v>1850000</v>
      </c>
      <c r="D119" s="29" t="s">
        <v>41</v>
      </c>
      <c r="E119" s="33" t="n">
        <f aca="false">IF(D119="totale",(C119/(A119*24))/F119,IF(D119="marché libre",(C119/(A119*24))/G119,"spécifier histo"))</f>
        <v>0.627101637921683</v>
      </c>
      <c r="F119" s="59" t="n">
        <v>4390</v>
      </c>
      <c r="G119" s="59" t="n">
        <f aca="false">F119-H119</f>
        <v>4390</v>
      </c>
      <c r="H119" s="9" t="n">
        <f aca="false">0</f>
        <v>0</v>
      </c>
      <c r="I119" s="9"/>
      <c r="J119" s="30"/>
    </row>
    <row r="120" customFormat="false" ht="17.7" hidden="false" customHeight="true" outlineLevel="0" collapsed="false">
      <c r="A120" s="0" t="n">
        <v>31</v>
      </c>
      <c r="B120" s="31" t="n">
        <v>31837</v>
      </c>
      <c r="C120" s="56" t="n">
        <v>1880800</v>
      </c>
      <c r="D120" s="29" t="s">
        <v>41</v>
      </c>
      <c r="E120" s="33" t="n">
        <f aca="false">IF(D120="totale",(C120/(A120*24))/F120,IF(D120="marché libre",(C120/(A120*24))/G120,"spécifier histo"))</f>
        <v>0.575844416685037</v>
      </c>
      <c r="F120" s="59" t="n">
        <v>4390</v>
      </c>
      <c r="G120" s="59" t="n">
        <f aca="false">F120-H120</f>
        <v>4390</v>
      </c>
      <c r="H120" s="9" t="n">
        <f aca="false">0</f>
        <v>0</v>
      </c>
      <c r="I120" s="9"/>
      <c r="J120" s="30"/>
    </row>
    <row r="121" customFormat="false" ht="17.7" hidden="false" customHeight="true" outlineLevel="0" collapsed="false">
      <c r="A121" s="0" t="n">
        <v>30</v>
      </c>
      <c r="B121" s="34" t="n">
        <v>31868</v>
      </c>
      <c r="C121" s="56" t="n">
        <v>2415600</v>
      </c>
      <c r="D121" s="29" t="s">
        <v>41</v>
      </c>
      <c r="E121" s="33" t="n">
        <f aca="false">IF(D121="totale",(C121/(A121*24))/F121,IF(D121="marché libre",(C121/(A121*24))/G121,"spécifier histo"))</f>
        <v>0.764236902050114</v>
      </c>
      <c r="F121" s="59" t="n">
        <v>4390</v>
      </c>
      <c r="G121" s="59" t="n">
        <f aca="false">F121-H121</f>
        <v>4390</v>
      </c>
      <c r="H121" s="9" t="n">
        <f aca="false">0</f>
        <v>0</v>
      </c>
      <c r="I121" s="9"/>
      <c r="J121" s="30"/>
    </row>
    <row r="122" customFormat="false" ht="17.7" hidden="false" customHeight="true" outlineLevel="0" collapsed="false">
      <c r="A122" s="0" t="n">
        <v>31</v>
      </c>
      <c r="B122" s="31" t="n">
        <v>31898</v>
      </c>
      <c r="C122" s="56" t="n">
        <v>1877000</v>
      </c>
      <c r="D122" s="29" t="s">
        <v>41</v>
      </c>
      <c r="E122" s="33" t="n">
        <f aca="false">IF(D122="totale",(C122/(A122*24))/F122,IF(D122="marché libre",(C122/(A122*24))/G122,"spécifier histo"))</f>
        <v>0.574680970926103</v>
      </c>
      <c r="F122" s="59" t="n">
        <v>4390</v>
      </c>
      <c r="G122" s="59" t="n">
        <f aca="false">F122-H122</f>
        <v>4390</v>
      </c>
      <c r="H122" s="9" t="n">
        <f aca="false">0</f>
        <v>0</v>
      </c>
      <c r="I122" s="9"/>
      <c r="J122" s="30"/>
    </row>
    <row r="123" customFormat="false" ht="17.7" hidden="false" customHeight="true" outlineLevel="0" collapsed="false">
      <c r="A123" s="0" t="n">
        <v>30</v>
      </c>
      <c r="B123" s="34" t="n">
        <v>31929</v>
      </c>
      <c r="C123" s="56" t="n">
        <v>1918200</v>
      </c>
      <c r="D123" s="29" t="s">
        <v>41</v>
      </c>
      <c r="E123" s="33" t="n">
        <f aca="false">IF(D123="totale",(C123/(A123*24))/F123,IF(D123="marché libre",(C123/(A123*24))/G123,"spécifier histo"))</f>
        <v>0.606871678056188</v>
      </c>
      <c r="F123" s="59" t="n">
        <v>4390</v>
      </c>
      <c r="G123" s="59" t="n">
        <f aca="false">F123-H123</f>
        <v>4390</v>
      </c>
      <c r="H123" s="9" t="n">
        <f aca="false">0</f>
        <v>0</v>
      </c>
      <c r="I123" s="9"/>
      <c r="J123" s="30"/>
    </row>
    <row r="124" customFormat="false" ht="17.7" hidden="false" customHeight="true" outlineLevel="0" collapsed="false">
      <c r="A124" s="0" t="n">
        <v>31</v>
      </c>
      <c r="B124" s="31" t="n">
        <v>31959</v>
      </c>
      <c r="C124" s="56" t="n">
        <v>1583400</v>
      </c>
      <c r="D124" s="29" t="s">
        <v>41</v>
      </c>
      <c r="E124" s="33" t="n">
        <f aca="false">IF(D124="totale",(C124/(A124*24))/F124,IF(D124="marché libre",(C124/(A124*24))/G124,"spécifier histo"))</f>
        <v>0.48478947755162</v>
      </c>
      <c r="F124" s="59" t="n">
        <v>4390</v>
      </c>
      <c r="G124" s="59" t="n">
        <f aca="false">F124-H124</f>
        <v>4390</v>
      </c>
      <c r="H124" s="9" t="n">
        <f aca="false">0</f>
        <v>0</v>
      </c>
      <c r="I124" s="9"/>
      <c r="J124" s="30"/>
    </row>
    <row r="125" customFormat="false" ht="17.7" hidden="false" customHeight="true" outlineLevel="0" collapsed="false">
      <c r="A125" s="0" t="n">
        <v>31</v>
      </c>
      <c r="B125" s="34" t="n">
        <v>31990</v>
      </c>
      <c r="C125" s="56" t="n">
        <v>430400</v>
      </c>
      <c r="D125" s="29" t="s">
        <v>41</v>
      </c>
      <c r="E125" s="33" t="n">
        <f aca="false">IF(D125="totale",(C125/(A125*24))/F125,IF(D125="marché libre",(C125/(A125*24))/G125,"spécifier histo"))</f>
        <v>0.131775540696108</v>
      </c>
      <c r="F125" s="59" t="n">
        <v>4390</v>
      </c>
      <c r="G125" s="59" t="n">
        <f aca="false">F125-H125</f>
        <v>4390</v>
      </c>
      <c r="H125" s="9" t="n">
        <f aca="false">0</f>
        <v>0</v>
      </c>
      <c r="I125" s="9"/>
      <c r="J125" s="30"/>
    </row>
    <row r="126" customFormat="false" ht="17.7" hidden="false" customHeight="true" outlineLevel="0" collapsed="false">
      <c r="A126" s="0" t="n">
        <v>30</v>
      </c>
      <c r="B126" s="31" t="n">
        <v>32021</v>
      </c>
      <c r="C126" s="56" t="n">
        <v>120800</v>
      </c>
      <c r="D126" s="29" t="s">
        <v>41</v>
      </c>
      <c r="E126" s="33" t="n">
        <f aca="false">IF(D126="totale",(C126/(A126*24))/F126,IF(D126="marché libre",(C126/(A126*24))/G126,"spécifier histo"))</f>
        <v>0.038218172614528</v>
      </c>
      <c r="F126" s="59" t="n">
        <v>4390</v>
      </c>
      <c r="G126" s="59" t="n">
        <f aca="false">F126-H126</f>
        <v>4390</v>
      </c>
      <c r="H126" s="9" t="n">
        <f aca="false">0</f>
        <v>0</v>
      </c>
      <c r="I126" s="9"/>
      <c r="J126" s="30"/>
    </row>
    <row r="127" customFormat="false" ht="17.7" hidden="false" customHeight="true" outlineLevel="0" collapsed="false">
      <c r="A127" s="0" t="n">
        <v>31</v>
      </c>
      <c r="B127" s="34" t="n">
        <v>32051</v>
      </c>
      <c r="C127" s="56" t="n">
        <v>489600</v>
      </c>
      <c r="D127" s="29" t="s">
        <v>41</v>
      </c>
      <c r="E127" s="33" t="n">
        <f aca="false">IF(D127="totale",(C127/(A127*24))/F127,IF(D127="marché libre",(C127/(A127*24))/G127,"spécifier histo"))</f>
        <v>0.149900800940554</v>
      </c>
      <c r="F127" s="59" t="n">
        <v>4390</v>
      </c>
      <c r="G127" s="59" t="n">
        <f aca="false">F127-H127</f>
        <v>4390</v>
      </c>
      <c r="H127" s="9" t="n">
        <f aca="false">0</f>
        <v>0</v>
      </c>
      <c r="I127" s="9"/>
      <c r="J127" s="30"/>
    </row>
    <row r="128" customFormat="false" ht="17.7" hidden="false" customHeight="true" outlineLevel="0" collapsed="false">
      <c r="A128" s="0" t="n">
        <v>30</v>
      </c>
      <c r="B128" s="31" t="n">
        <v>32082</v>
      </c>
      <c r="C128" s="56" t="n">
        <v>424800</v>
      </c>
      <c r="D128" s="29" t="s">
        <v>41</v>
      </c>
      <c r="E128" s="33" t="n">
        <f aca="false">IF(D128="totale",(C128/(A128*24))/F128,IF(D128="marché libre",(C128/(A128*24))/G128,"spécifier histo"))</f>
        <v>0.134396355353075</v>
      </c>
      <c r="F128" s="59" t="n">
        <v>4390</v>
      </c>
      <c r="G128" s="59" t="n">
        <f aca="false">F128-H128</f>
        <v>4390</v>
      </c>
      <c r="H128" s="9" t="n">
        <f aca="false">0</f>
        <v>0</v>
      </c>
      <c r="I128" s="9"/>
      <c r="J128" s="30"/>
    </row>
    <row r="129" customFormat="false" ht="17.7" hidden="false" customHeight="true" outlineLevel="0" collapsed="false">
      <c r="A129" s="0" t="n">
        <v>31</v>
      </c>
      <c r="B129" s="34" t="n">
        <v>32112</v>
      </c>
      <c r="C129" s="56" t="n">
        <v>719600</v>
      </c>
      <c r="D129" s="29" t="s">
        <v>41</v>
      </c>
      <c r="E129" s="33" t="n">
        <f aca="false">IF(D129="totale",(C129/(A129*24))/F129,IF(D129="marché libre",(C129/(A129*24))/G129,"spécifier histo"))</f>
        <v>0.22031988634972</v>
      </c>
      <c r="F129" s="59" t="n">
        <v>4390</v>
      </c>
      <c r="G129" s="59" t="n">
        <f aca="false">F129-H129</f>
        <v>4390</v>
      </c>
      <c r="H129" s="9" t="n">
        <f aca="false">0</f>
        <v>0</v>
      </c>
      <c r="I129" s="9"/>
      <c r="J129" s="30"/>
    </row>
    <row r="130" customFormat="false" ht="17.7" hidden="false" customHeight="true" outlineLevel="0" collapsed="false">
      <c r="A130" s="0" t="n">
        <v>31</v>
      </c>
      <c r="B130" s="31" t="n">
        <v>32143</v>
      </c>
      <c r="C130" s="56" t="n">
        <v>1294000</v>
      </c>
      <c r="D130" s="29" t="s">
        <v>41</v>
      </c>
      <c r="E130" s="33" t="n">
        <f aca="false">IF(D130="totale",(C130/(A130*24))/F130,IF(D130="marché libre",(C130/(A130*24))/G130,"spécifier histo"))</f>
        <v>0.396183897910696</v>
      </c>
      <c r="F130" s="59" t="n">
        <v>4390</v>
      </c>
      <c r="G130" s="59" t="n">
        <f aca="false">F130-H130</f>
        <v>4390</v>
      </c>
      <c r="H130" s="9" t="n">
        <f aca="false">0</f>
        <v>0</v>
      </c>
      <c r="I130" s="9"/>
      <c r="J130" s="30"/>
    </row>
    <row r="131" customFormat="false" ht="17.7" hidden="false" customHeight="true" outlineLevel="0" collapsed="false">
      <c r="A131" s="0" t="n">
        <v>28</v>
      </c>
      <c r="B131" s="34" t="n">
        <v>32174</v>
      </c>
      <c r="C131" s="56" t="n">
        <v>1724000</v>
      </c>
      <c r="D131" s="29" t="s">
        <v>41</v>
      </c>
      <c r="E131" s="33" t="n">
        <f aca="false">IF(D131="totale",(C131/(A131*24))/F131,IF(D131="marché libre",(C131/(A131*24))/G131,"spécifier histo"))</f>
        <v>0.584390931771342</v>
      </c>
      <c r="F131" s="59" t="n">
        <v>4390</v>
      </c>
      <c r="G131" s="59" t="n">
        <f aca="false">F131-H131</f>
        <v>4390</v>
      </c>
      <c r="H131" s="9" t="n">
        <f aca="false">0</f>
        <v>0</v>
      </c>
      <c r="I131" s="9"/>
      <c r="J131" s="30"/>
    </row>
    <row r="132" customFormat="false" ht="17.7" hidden="false" customHeight="true" outlineLevel="0" collapsed="false">
      <c r="A132" s="0" t="n">
        <v>31</v>
      </c>
      <c r="B132" s="31" t="n">
        <v>32203</v>
      </c>
      <c r="C132" s="56" t="n">
        <v>2176400</v>
      </c>
      <c r="D132" s="29" t="s">
        <v>41</v>
      </c>
      <c r="E132" s="33" t="n">
        <f aca="false">IF(D132="totale",(C132/(A132*24))/F132,IF(D132="marché libre",(C132/(A132*24))/G132,"spécifier histo"))</f>
        <v>0.666348249932643</v>
      </c>
      <c r="F132" s="59" t="n">
        <v>4390</v>
      </c>
      <c r="G132" s="59" t="n">
        <f aca="false">F132-H132</f>
        <v>4390</v>
      </c>
      <c r="H132" s="9" t="n">
        <f aca="false">0</f>
        <v>0</v>
      </c>
      <c r="I132" s="9"/>
      <c r="J132" s="30"/>
    </row>
    <row r="133" customFormat="false" ht="17.7" hidden="false" customHeight="true" outlineLevel="0" collapsed="false">
      <c r="A133" s="0" t="n">
        <v>30</v>
      </c>
      <c r="B133" s="34" t="n">
        <v>32234</v>
      </c>
      <c r="C133" s="56" t="n">
        <v>2241800</v>
      </c>
      <c r="D133" s="29" t="s">
        <v>41</v>
      </c>
      <c r="E133" s="33" t="n">
        <f aca="false">IF(D133="totale",(C133/(A133*24))/F133,IF(D133="marché libre",(C133/(A133*24))/G133,"spécifier histo"))</f>
        <v>0.709250822576563</v>
      </c>
      <c r="F133" s="59" t="n">
        <v>4390</v>
      </c>
      <c r="G133" s="59" t="n">
        <f aca="false">F133-H133</f>
        <v>4390</v>
      </c>
      <c r="H133" s="9" t="n">
        <f aca="false">0</f>
        <v>0</v>
      </c>
      <c r="I133" s="9"/>
      <c r="J133" s="30"/>
    </row>
    <row r="134" customFormat="false" ht="17.7" hidden="false" customHeight="true" outlineLevel="0" collapsed="false">
      <c r="A134" s="0" t="n">
        <v>31</v>
      </c>
      <c r="B134" s="31" t="n">
        <v>32264</v>
      </c>
      <c r="C134" s="56" t="n">
        <v>2634200</v>
      </c>
      <c r="D134" s="29" t="s">
        <v>41</v>
      </c>
      <c r="E134" s="33" t="n">
        <f aca="false">IF(D134="totale",(C134/(A134*24))/F134,IF(D134="marché libre",(C134/(A134*24))/G134,"spécifier histo"))</f>
        <v>0.806512846890538</v>
      </c>
      <c r="F134" s="59" t="n">
        <v>4390</v>
      </c>
      <c r="G134" s="59" t="n">
        <f aca="false">F134-H134</f>
        <v>4390</v>
      </c>
      <c r="H134" s="9" t="n">
        <f aca="false">0</f>
        <v>0</v>
      </c>
      <c r="I134" s="9"/>
      <c r="J134" s="30"/>
    </row>
    <row r="135" customFormat="false" ht="17.7" hidden="false" customHeight="true" outlineLevel="0" collapsed="false">
      <c r="A135" s="0" t="n">
        <v>30</v>
      </c>
      <c r="B135" s="34" t="n">
        <v>32295</v>
      </c>
      <c r="C135" s="56" t="n">
        <v>2228800</v>
      </c>
      <c r="D135" s="29" t="s">
        <v>41</v>
      </c>
      <c r="E135" s="33" t="n">
        <f aca="false">IF(D135="totale",(C135/(A135*24))/F135,IF(D135="marché libre",(C135/(A135*24))/G135,"spécifier histo"))</f>
        <v>0.705137939762086</v>
      </c>
      <c r="F135" s="59" t="n">
        <v>4390</v>
      </c>
      <c r="G135" s="59" t="n">
        <f aca="false">F135-H135</f>
        <v>4390</v>
      </c>
      <c r="H135" s="9" t="n">
        <f aca="false">0</f>
        <v>0</v>
      </c>
      <c r="I135" s="9"/>
      <c r="J135" s="30"/>
    </row>
    <row r="136" customFormat="false" ht="17.7" hidden="false" customHeight="true" outlineLevel="0" collapsed="false">
      <c r="A136" s="0" t="n">
        <v>31</v>
      </c>
      <c r="B136" s="31" t="n">
        <v>32325</v>
      </c>
      <c r="C136" s="56" t="n">
        <v>1351400</v>
      </c>
      <c r="D136" s="29" t="s">
        <v>41</v>
      </c>
      <c r="E136" s="33" t="n">
        <f aca="false">IF(D136="totale",(C136/(A136*24))/F136,IF(D136="marché libre",(C136/(A136*24))/G136,"spécifier histo"))</f>
        <v>0.413758052269332</v>
      </c>
      <c r="F136" s="59" t="n">
        <v>4390</v>
      </c>
      <c r="G136" s="59" t="n">
        <f aca="false">F136-H136</f>
        <v>4390</v>
      </c>
      <c r="H136" s="9" t="n">
        <f aca="false">0</f>
        <v>0</v>
      </c>
      <c r="I136" s="9"/>
      <c r="J136" s="30"/>
    </row>
    <row r="137" customFormat="false" ht="17.7" hidden="false" customHeight="true" outlineLevel="0" collapsed="false">
      <c r="A137" s="0" t="n">
        <v>31</v>
      </c>
      <c r="B137" s="34" t="n">
        <v>32356</v>
      </c>
      <c r="C137" s="56" t="n">
        <v>0</v>
      </c>
      <c r="D137" s="29" t="s">
        <v>41</v>
      </c>
      <c r="E137" s="33" t="n">
        <f aca="false">IF(D137="totale",(C137/(A137*24))/F137,IF(D137="marché libre",(C137/(A137*24))/G137,"spécifier histo"))</f>
        <v>0</v>
      </c>
      <c r="F137" s="59" t="n">
        <v>4390</v>
      </c>
      <c r="G137" s="59" t="n">
        <f aca="false">F137-H137</f>
        <v>4390</v>
      </c>
      <c r="H137" s="9" t="n">
        <f aca="false">0</f>
        <v>0</v>
      </c>
      <c r="I137" s="9"/>
      <c r="J137" s="30"/>
    </row>
    <row r="138" customFormat="false" ht="17.7" hidden="false" customHeight="true" outlineLevel="0" collapsed="false">
      <c r="A138" s="0" t="n">
        <v>30</v>
      </c>
      <c r="B138" s="31" t="n">
        <v>32387</v>
      </c>
      <c r="C138" s="56" t="n">
        <v>0</v>
      </c>
      <c r="D138" s="29" t="s">
        <v>41</v>
      </c>
      <c r="E138" s="33" t="n">
        <f aca="false">IF(D138="totale",(C138/(A138*24))/F138,IF(D138="marché libre",(C138/(A138*24))/G138,"spécifier histo"))</f>
        <v>0</v>
      </c>
      <c r="F138" s="59" t="n">
        <v>4390</v>
      </c>
      <c r="G138" s="59" t="n">
        <f aca="false">F138-H138</f>
        <v>4390</v>
      </c>
      <c r="H138" s="9" t="n">
        <f aca="false">0</f>
        <v>0</v>
      </c>
      <c r="I138" s="9"/>
      <c r="J138" s="30"/>
    </row>
    <row r="139" customFormat="false" ht="17.7" hidden="false" customHeight="true" outlineLevel="0" collapsed="false">
      <c r="A139" s="0" t="n">
        <v>31</v>
      </c>
      <c r="B139" s="34" t="n">
        <v>32417</v>
      </c>
      <c r="C139" s="56" t="n">
        <v>435000</v>
      </c>
      <c r="D139" s="29" t="s">
        <v>41</v>
      </c>
      <c r="E139" s="33" t="n">
        <f aca="false">IF(D139="totale",(C139/(A139*24))/F139,IF(D139="marché libre",(C139/(A139*24))/G139,"spécifier histo"))</f>
        <v>0.133183922404291</v>
      </c>
      <c r="F139" s="59" t="n">
        <v>4390</v>
      </c>
      <c r="G139" s="59" t="n">
        <f aca="false">F139-H139</f>
        <v>4390</v>
      </c>
      <c r="H139" s="9" t="n">
        <f aca="false">0</f>
        <v>0</v>
      </c>
      <c r="I139" s="9"/>
      <c r="J139" s="30"/>
    </row>
    <row r="140" customFormat="false" ht="17.7" hidden="false" customHeight="true" outlineLevel="0" collapsed="false">
      <c r="A140" s="0" t="n">
        <v>30</v>
      </c>
      <c r="B140" s="31" t="n">
        <v>32448</v>
      </c>
      <c r="C140" s="56" t="n">
        <v>32472</v>
      </c>
      <c r="D140" s="29" t="s">
        <v>41</v>
      </c>
      <c r="E140" s="33" t="n">
        <f aca="false">IF(D140="totale",(C140/(A140*24))/F140,IF(D140="marché libre",(C140/(A140*24))/G140,"spécifier histo"))</f>
        <v>0.0102733485193622</v>
      </c>
      <c r="F140" s="59" t="n">
        <v>4390</v>
      </c>
      <c r="G140" s="59" t="n">
        <f aca="false">F140-H140</f>
        <v>4390</v>
      </c>
      <c r="H140" s="9" t="n">
        <f aca="false">0</f>
        <v>0</v>
      </c>
      <c r="I140" s="9"/>
      <c r="J140" s="30"/>
    </row>
    <row r="141" customFormat="false" ht="17.7" hidden="false" customHeight="true" outlineLevel="0" collapsed="false">
      <c r="A141" s="0" t="n">
        <v>31</v>
      </c>
      <c r="B141" s="34" t="n">
        <v>32478</v>
      </c>
      <c r="C141" s="56" t="n">
        <v>554004</v>
      </c>
      <c r="D141" s="29" t="s">
        <v>41</v>
      </c>
      <c r="E141" s="33" t="n">
        <f aca="false">IF(D141="totale",(C141/(A141*24))/F141,IF(D141="marché libre",(C141/(A141*24))/G141,"spécifier histo"))</f>
        <v>0.169619369534867</v>
      </c>
      <c r="F141" s="59" t="n">
        <v>4390</v>
      </c>
      <c r="G141" s="59" t="n">
        <f aca="false">F141-H141</f>
        <v>4390</v>
      </c>
      <c r="H141" s="9" t="n">
        <f aca="false">0</f>
        <v>0</v>
      </c>
      <c r="I141" s="9"/>
      <c r="J141" s="30"/>
    </row>
    <row r="142" customFormat="false" ht="17.7" hidden="false" customHeight="true" outlineLevel="0" collapsed="false">
      <c r="A142" s="0" t="n">
        <v>31</v>
      </c>
      <c r="B142" s="31" t="n">
        <v>32509</v>
      </c>
      <c r="C142" s="56" t="n">
        <v>478962</v>
      </c>
      <c r="D142" s="29" t="s">
        <v>41</v>
      </c>
      <c r="E142" s="33" t="n">
        <f aca="false">IF(D142="totale",(C142/(A142*24))/F142,IF(D142="marché libre",(C142/(A142*24))/G142,"spécifier histo"))</f>
        <v>0.146643765155412</v>
      </c>
      <c r="F142" s="59" t="n">
        <v>4390</v>
      </c>
      <c r="G142" s="59" t="n">
        <f aca="false">F142-H142</f>
        <v>4390</v>
      </c>
      <c r="H142" s="9" t="n">
        <f aca="false">0</f>
        <v>0</v>
      </c>
      <c r="I142" s="9"/>
      <c r="J142" s="30"/>
    </row>
    <row r="143" customFormat="false" ht="17.7" hidden="false" customHeight="true" outlineLevel="0" collapsed="false">
      <c r="A143" s="0" t="n">
        <v>28</v>
      </c>
      <c r="B143" s="34" t="n">
        <v>32540</v>
      </c>
      <c r="C143" s="56" t="n">
        <v>315612</v>
      </c>
      <c r="D143" s="29" t="s">
        <v>41</v>
      </c>
      <c r="E143" s="33" t="n">
        <f aca="false">IF(D143="totale",(C143/(A143*24))/F143,IF(D143="marché libre",(C143/(A143*24))/G143,"spécifier histo"))</f>
        <v>0.106984217377156</v>
      </c>
      <c r="F143" s="59" t="n">
        <v>4390</v>
      </c>
      <c r="G143" s="59" t="n">
        <f aca="false">F143-H143</f>
        <v>4390</v>
      </c>
      <c r="H143" s="9" t="n">
        <f aca="false">0</f>
        <v>0</v>
      </c>
      <c r="I143" s="9"/>
      <c r="J143" s="30"/>
    </row>
    <row r="144" customFormat="false" ht="17.7" hidden="false" customHeight="true" outlineLevel="0" collapsed="false">
      <c r="A144" s="0" t="n">
        <v>31</v>
      </c>
      <c r="B144" s="31" t="n">
        <v>32568</v>
      </c>
      <c r="C144" s="56" t="n">
        <v>1295118</v>
      </c>
      <c r="D144" s="29" t="s">
        <v>41</v>
      </c>
      <c r="E144" s="33" t="n">
        <f aca="false">IF(D144="totale",(C144/(A144*24))/F144,IF(D144="marché libre",(C144/(A144*24))/G144,"spécifier histo"))</f>
        <v>0.396526195899772</v>
      </c>
      <c r="F144" s="59" t="n">
        <v>4390</v>
      </c>
      <c r="G144" s="59" t="n">
        <f aca="false">F144-H144</f>
        <v>4390</v>
      </c>
      <c r="H144" s="9" t="n">
        <f aca="false">0</f>
        <v>0</v>
      </c>
      <c r="I144" s="9"/>
      <c r="J144" s="30"/>
    </row>
    <row r="145" customFormat="false" ht="17.7" hidden="false" customHeight="true" outlineLevel="0" collapsed="false">
      <c r="A145" s="0" t="n">
        <v>30</v>
      </c>
      <c r="B145" s="34" t="n">
        <v>32599</v>
      </c>
      <c r="C145" s="56" t="n">
        <v>1816650</v>
      </c>
      <c r="D145" s="29" t="s">
        <v>41</v>
      </c>
      <c r="E145" s="33" t="n">
        <f aca="false">IF(D145="totale",(C145/(A145*24))/F145,IF(D145="marché libre",(C145/(A145*24))/G145,"spécifier histo"))</f>
        <v>0.574743735763098</v>
      </c>
      <c r="F145" s="59" t="n">
        <v>4390</v>
      </c>
      <c r="G145" s="59" t="n">
        <f aca="false">F145-H145</f>
        <v>4390</v>
      </c>
      <c r="H145" s="9" t="n">
        <f aca="false">0</f>
        <v>0</v>
      </c>
      <c r="I145" s="9"/>
      <c r="J145" s="30"/>
    </row>
    <row r="146" customFormat="false" ht="17.7" hidden="false" customHeight="true" outlineLevel="0" collapsed="false">
      <c r="A146" s="0" t="n">
        <v>31</v>
      </c>
      <c r="B146" s="31" t="n">
        <v>32629</v>
      </c>
      <c r="C146" s="56" t="n">
        <v>2424114</v>
      </c>
      <c r="D146" s="29" t="s">
        <v>41</v>
      </c>
      <c r="E146" s="33" t="n">
        <f aca="false">IF(D146="totale",(C146/(A146*24))/F146,IF(D146="marché libre",(C146/(A146*24))/G146,"spécifier histo"))</f>
        <v>0.74219082959806</v>
      </c>
      <c r="F146" s="59" t="n">
        <v>4390</v>
      </c>
      <c r="G146" s="59" t="n">
        <f aca="false">F146-H146</f>
        <v>4390</v>
      </c>
      <c r="H146" s="9" t="n">
        <f aca="false">0</f>
        <v>0</v>
      </c>
      <c r="I146" s="9"/>
      <c r="J146" s="30"/>
    </row>
    <row r="147" customFormat="false" ht="17.7" hidden="false" customHeight="true" outlineLevel="0" collapsed="false">
      <c r="A147" s="0" t="n">
        <v>30</v>
      </c>
      <c r="B147" s="34" t="n">
        <v>32660</v>
      </c>
      <c r="C147" s="56" t="n">
        <v>1194138</v>
      </c>
      <c r="D147" s="29" t="s">
        <v>41</v>
      </c>
      <c r="E147" s="33" t="n">
        <f aca="false">IF(D147="totale",(C147/(A147*24))/F147,IF(D147="marché libre",(C147/(A147*24))/G147,"spécifier histo"))</f>
        <v>0.377796127562642</v>
      </c>
      <c r="F147" s="59" t="n">
        <v>4390</v>
      </c>
      <c r="G147" s="59" t="n">
        <f aca="false">F147-H147</f>
        <v>4390</v>
      </c>
      <c r="H147" s="9" t="n">
        <f aca="false">0</f>
        <v>0</v>
      </c>
      <c r="I147" s="9"/>
      <c r="J147" s="30"/>
    </row>
    <row r="148" customFormat="false" ht="17.7" hidden="false" customHeight="true" outlineLevel="0" collapsed="false">
      <c r="A148" s="0" t="n">
        <v>31</v>
      </c>
      <c r="B148" s="31" t="n">
        <v>32690</v>
      </c>
      <c r="C148" s="56" t="n">
        <v>260766</v>
      </c>
      <c r="D148" s="29" t="s">
        <v>41</v>
      </c>
      <c r="E148" s="33" t="n">
        <f aca="false">IF(D148="totale",(C148/(A148*24))/F148,IF(D148="marché libre",(C148/(A148*24))/G148,"spécifier histo"))</f>
        <v>0.0798387096774194</v>
      </c>
      <c r="F148" s="59" t="n">
        <v>4390</v>
      </c>
      <c r="G148" s="59" t="n">
        <f aca="false">F148-H148</f>
        <v>4390</v>
      </c>
      <c r="H148" s="9" t="n">
        <f aca="false">0</f>
        <v>0</v>
      </c>
      <c r="I148" s="9"/>
      <c r="J148" s="30"/>
    </row>
    <row r="149" customFormat="false" ht="17.7" hidden="false" customHeight="true" outlineLevel="0" collapsed="false">
      <c r="A149" s="0" t="n">
        <v>31</v>
      </c>
      <c r="B149" s="34" t="n">
        <v>32721</v>
      </c>
      <c r="C149" s="56" t="n">
        <v>0</v>
      </c>
      <c r="D149" s="29" t="s">
        <v>41</v>
      </c>
      <c r="E149" s="33" t="n">
        <f aca="false">IF(D149="totale",(C149/(A149*24))/F149,IF(D149="marché libre",(C149/(A149*24))/G149,"spécifier histo"))</f>
        <v>0</v>
      </c>
      <c r="F149" s="59" t="n">
        <v>4390</v>
      </c>
      <c r="G149" s="59" t="n">
        <f aca="false">F149-H149</f>
        <v>4390</v>
      </c>
      <c r="H149" s="9" t="n">
        <f aca="false">0</f>
        <v>0</v>
      </c>
      <c r="I149" s="9"/>
      <c r="J149" s="30"/>
    </row>
    <row r="150" customFormat="false" ht="17.7" hidden="false" customHeight="true" outlineLevel="0" collapsed="false">
      <c r="A150" s="0" t="n">
        <v>30</v>
      </c>
      <c r="B150" s="31" t="n">
        <v>32752</v>
      </c>
      <c r="C150" s="56" t="n">
        <v>130482</v>
      </c>
      <c r="D150" s="29" t="s">
        <v>41</v>
      </c>
      <c r="E150" s="33" t="n">
        <f aca="false">IF(D150="totale",(C150/(A150*24))/F150,IF(D150="marché libre",(C150/(A150*24))/G150,"spécifier histo"))</f>
        <v>0.0412813211845103</v>
      </c>
      <c r="F150" s="59" t="n">
        <v>4390</v>
      </c>
      <c r="G150" s="59" t="n">
        <f aca="false">F150-H150</f>
        <v>4390</v>
      </c>
      <c r="H150" s="9" t="n">
        <f aca="false">0</f>
        <v>0</v>
      </c>
      <c r="I150" s="9"/>
      <c r="J150" s="30"/>
    </row>
    <row r="151" customFormat="false" ht="17.7" hidden="false" customHeight="true" outlineLevel="0" collapsed="false">
      <c r="A151" s="0" t="n">
        <v>31</v>
      </c>
      <c r="B151" s="34" t="n">
        <v>32782</v>
      </c>
      <c r="C151" s="56" t="n">
        <v>508662</v>
      </c>
      <c r="D151" s="29" t="s">
        <v>41</v>
      </c>
      <c r="E151" s="33" t="n">
        <f aca="false">IF(D151="totale",(C151/(A151*24))/F151,IF(D151="marché libre",(C151/(A151*24))/G151,"spécifier histo"))</f>
        <v>0.155737012271291</v>
      </c>
      <c r="F151" s="59" t="n">
        <v>4390</v>
      </c>
      <c r="G151" s="59" t="n">
        <f aca="false">F151-H151</f>
        <v>4390</v>
      </c>
      <c r="H151" s="9" t="n">
        <f aca="false">0</f>
        <v>0</v>
      </c>
      <c r="I151" s="9"/>
      <c r="J151" s="30"/>
    </row>
    <row r="152" customFormat="false" ht="17.7" hidden="false" customHeight="true" outlineLevel="0" collapsed="false">
      <c r="A152" s="0" t="n">
        <v>30</v>
      </c>
      <c r="B152" s="31" t="n">
        <v>32813</v>
      </c>
      <c r="C152" s="56" t="n">
        <v>619146</v>
      </c>
      <c r="D152" s="29" t="s">
        <v>41</v>
      </c>
      <c r="E152" s="33" t="n">
        <f aca="false">IF(D152="totale",(C152/(A152*24))/F152,IF(D152="marché libre",(C152/(A152*24))/G152,"spécifier histo"))</f>
        <v>0.195882687927107</v>
      </c>
      <c r="F152" s="59" t="n">
        <v>4390</v>
      </c>
      <c r="G152" s="59" t="n">
        <f aca="false">F152-H152</f>
        <v>4390</v>
      </c>
      <c r="H152" s="9" t="n">
        <f aca="false">0</f>
        <v>0</v>
      </c>
      <c r="I152" s="9"/>
      <c r="J152" s="30"/>
    </row>
    <row r="153" customFormat="false" ht="17.7" hidden="false" customHeight="true" outlineLevel="0" collapsed="false">
      <c r="A153" s="0" t="n">
        <v>31</v>
      </c>
      <c r="B153" s="34" t="n">
        <v>32843</v>
      </c>
      <c r="C153" s="56" t="n">
        <v>398376</v>
      </c>
      <c r="D153" s="29" t="s">
        <v>41</v>
      </c>
      <c r="E153" s="33" t="n">
        <f aca="false">IF(D153="totale",(C153/(A153*24))/F153,IF(D153="marché libre",(C153/(A153*24))/G153,"spécifier histo"))</f>
        <v>0.12197075464766</v>
      </c>
      <c r="F153" s="59" t="n">
        <v>4390</v>
      </c>
      <c r="G153" s="59" t="n">
        <f aca="false">F153-H153</f>
        <v>4390</v>
      </c>
      <c r="H153" s="9" t="n">
        <f aca="false">0</f>
        <v>0</v>
      </c>
      <c r="I153" s="9"/>
      <c r="J153" s="30"/>
    </row>
    <row r="154" customFormat="false" ht="17.7" hidden="false" customHeight="true" outlineLevel="0" collapsed="false">
      <c r="A154" s="0" t="n">
        <v>31</v>
      </c>
      <c r="B154" s="31" t="n">
        <v>32874</v>
      </c>
      <c r="C154" s="56" t="n">
        <v>232452</v>
      </c>
      <c r="D154" s="29" t="s">
        <v>41</v>
      </c>
      <c r="E154" s="33" t="n">
        <f aca="false">IF(D154="totale",(C154/(A154*24))/F154,IF(D154="marché libre",(C154/(A154*24))/G154,"spécifier histo"))</f>
        <v>0.0711698140936145</v>
      </c>
      <c r="F154" s="59" t="n">
        <v>4390</v>
      </c>
      <c r="G154" s="59" t="n">
        <f aca="false">F154-H154</f>
        <v>4390</v>
      </c>
      <c r="H154" s="9" t="n">
        <f aca="false">0</f>
        <v>0</v>
      </c>
      <c r="I154" s="9"/>
      <c r="J154" s="30"/>
    </row>
    <row r="155" customFormat="false" ht="17.7" hidden="false" customHeight="true" outlineLevel="0" collapsed="false">
      <c r="A155" s="0" t="n">
        <v>28</v>
      </c>
      <c r="B155" s="34" t="n">
        <v>32905</v>
      </c>
      <c r="C155" s="56" t="n">
        <v>739332</v>
      </c>
      <c r="D155" s="29" t="s">
        <v>41</v>
      </c>
      <c r="E155" s="33" t="n">
        <f aca="false">IF(D155="totale",(C155/(A155*24))/F155,IF(D155="marché libre",(C155/(A155*24))/G155,"spécifier histo"))</f>
        <v>0.250614220631305</v>
      </c>
      <c r="F155" s="59" t="n">
        <v>4390</v>
      </c>
      <c r="G155" s="59" t="n">
        <f aca="false">F155-H155</f>
        <v>4390</v>
      </c>
      <c r="H155" s="9" t="n">
        <f aca="false">0</f>
        <v>0</v>
      </c>
      <c r="I155" s="9"/>
      <c r="J155" s="30"/>
    </row>
    <row r="156" customFormat="false" ht="17.7" hidden="false" customHeight="true" outlineLevel="0" collapsed="false">
      <c r="A156" s="0" t="n">
        <v>31</v>
      </c>
      <c r="B156" s="31" t="n">
        <v>32933</v>
      </c>
      <c r="C156" s="56" t="n">
        <v>566874</v>
      </c>
      <c r="D156" s="29" t="s">
        <v>41</v>
      </c>
      <c r="E156" s="33" t="n">
        <f aca="false">IF(D156="totale",(C156/(A156*24))/F156,IF(D156="marché libre",(C156/(A156*24))/G156,"spécifier histo"))</f>
        <v>0.173559776618414</v>
      </c>
      <c r="F156" s="59" t="n">
        <v>4390</v>
      </c>
      <c r="G156" s="59" t="n">
        <f aca="false">F156-H156</f>
        <v>4390</v>
      </c>
      <c r="H156" s="9" t="n">
        <f aca="false">0</f>
        <v>0</v>
      </c>
      <c r="I156" s="9"/>
      <c r="J156" s="30"/>
    </row>
    <row r="157" customFormat="false" ht="17.7" hidden="false" customHeight="true" outlineLevel="0" collapsed="false">
      <c r="A157" s="0" t="n">
        <v>30</v>
      </c>
      <c r="B157" s="34" t="n">
        <v>32964</v>
      </c>
      <c r="C157" s="56" t="n">
        <v>1811106</v>
      </c>
      <c r="D157" s="29" t="s">
        <v>41</v>
      </c>
      <c r="E157" s="33" t="n">
        <f aca="false">IF(D157="totale",(C157/(A157*24))/F157,IF(D157="marché libre",(C157/(A157*24))/G157,"spécifier histo"))</f>
        <v>0.572989749430524</v>
      </c>
      <c r="F157" s="59" t="n">
        <v>4390</v>
      </c>
      <c r="G157" s="59" t="n">
        <f aca="false">F157-H157</f>
        <v>4390</v>
      </c>
      <c r="H157" s="9" t="n">
        <f aca="false">0</f>
        <v>0</v>
      </c>
      <c r="I157" s="9"/>
      <c r="J157" s="30"/>
    </row>
    <row r="158" customFormat="false" ht="17.7" hidden="false" customHeight="true" outlineLevel="0" collapsed="false">
      <c r="A158" s="0" t="n">
        <v>31</v>
      </c>
      <c r="B158" s="31" t="n">
        <v>32994</v>
      </c>
      <c r="C158" s="56" t="n">
        <v>2196414</v>
      </c>
      <c r="D158" s="29" t="s">
        <v>41</v>
      </c>
      <c r="E158" s="33" t="n">
        <f aca="false">IF(D158="totale",(C158/(A158*24))/F158,IF(D158="marché libre",(C158/(A158*24))/G158,"spécifier histo"))</f>
        <v>0.672475935042986</v>
      </c>
      <c r="F158" s="59" t="n">
        <v>4390</v>
      </c>
      <c r="G158" s="59" t="n">
        <f aca="false">F158-H158</f>
        <v>4390</v>
      </c>
      <c r="H158" s="9" t="n">
        <f aca="false">0</f>
        <v>0</v>
      </c>
      <c r="I158" s="9"/>
      <c r="J158" s="30"/>
    </row>
    <row r="159" customFormat="false" ht="17.7" hidden="false" customHeight="true" outlineLevel="0" collapsed="false">
      <c r="A159" s="0" t="n">
        <v>30</v>
      </c>
      <c r="B159" s="34" t="n">
        <v>33025</v>
      </c>
      <c r="C159" s="56" t="n">
        <v>1777446</v>
      </c>
      <c r="D159" s="29" t="s">
        <v>41</v>
      </c>
      <c r="E159" s="33" t="n">
        <f aca="false">IF(D159="totale",(C159/(A159*24))/F159,IF(D159="marché libre",(C159/(A159*24))/G159,"spécifier histo"))</f>
        <v>0.562340546697039</v>
      </c>
      <c r="F159" s="59" t="n">
        <v>4390</v>
      </c>
      <c r="G159" s="59" t="n">
        <f aca="false">F159-H159</f>
        <v>4390</v>
      </c>
      <c r="H159" s="9" t="n">
        <f aca="false">0</f>
        <v>0</v>
      </c>
      <c r="I159" s="9"/>
      <c r="J159" s="30"/>
    </row>
    <row r="160" customFormat="false" ht="17.7" hidden="false" customHeight="true" outlineLevel="0" collapsed="false">
      <c r="A160" s="0" t="n">
        <v>31</v>
      </c>
      <c r="B160" s="31" t="n">
        <v>33055</v>
      </c>
      <c r="C160" s="56" t="n">
        <v>747252</v>
      </c>
      <c r="D160" s="29" t="s">
        <v>41</v>
      </c>
      <c r="E160" s="33" t="n">
        <f aca="false">IF(D160="totale",(C160/(A160*24))/F160,IF(D160="marché libre",(C160/(A160*24))/G160,"spécifier histo"))</f>
        <v>0.228786097435521</v>
      </c>
      <c r="F160" s="59" t="n">
        <v>4390</v>
      </c>
      <c r="G160" s="59" t="n">
        <f aca="false">F160-H160</f>
        <v>4390</v>
      </c>
      <c r="H160" s="9" t="n">
        <f aca="false">0</f>
        <v>0</v>
      </c>
      <c r="I160" s="9"/>
      <c r="J160" s="30"/>
    </row>
    <row r="161" customFormat="false" ht="17.7" hidden="false" customHeight="true" outlineLevel="0" collapsed="false">
      <c r="A161" s="0" t="n">
        <v>31</v>
      </c>
      <c r="B161" s="34" t="n">
        <v>33086</v>
      </c>
      <c r="C161" s="56" t="n">
        <v>93654</v>
      </c>
      <c r="D161" s="29" t="s">
        <v>41</v>
      </c>
      <c r="E161" s="33" t="n">
        <f aca="false">IF(D161="totale",(C161/(A161*24))/F161,IF(D161="marché libre",(C161/(A161*24))/G161,"spécifier histo"))</f>
        <v>0.0286740392387391</v>
      </c>
      <c r="F161" s="59" t="n">
        <v>4390</v>
      </c>
      <c r="G161" s="59" t="n">
        <f aca="false">F161-H161</f>
        <v>4390</v>
      </c>
      <c r="H161" s="9" t="n">
        <f aca="false">0</f>
        <v>0</v>
      </c>
      <c r="I161" s="9"/>
      <c r="J161" s="30"/>
    </row>
    <row r="162" customFormat="false" ht="17.7" hidden="false" customHeight="true" outlineLevel="0" collapsed="false">
      <c r="A162" s="0" t="n">
        <v>30</v>
      </c>
      <c r="B162" s="31" t="n">
        <v>33117</v>
      </c>
      <c r="C162" s="56" t="n">
        <v>102564</v>
      </c>
      <c r="D162" s="29" t="s">
        <v>41</v>
      </c>
      <c r="E162" s="33" t="n">
        <f aca="false">IF(D162="totale",(C162/(A162*24))/F162,IF(D162="marché libre",(C162/(A162*24))/G162,"spécifier histo"))</f>
        <v>0.0324487471526196</v>
      </c>
      <c r="F162" s="59" t="n">
        <v>4390</v>
      </c>
      <c r="G162" s="59" t="n">
        <f aca="false">F162-H162</f>
        <v>4390</v>
      </c>
      <c r="H162" s="9" t="n">
        <f aca="false">0</f>
        <v>0</v>
      </c>
      <c r="I162" s="9"/>
      <c r="J162" s="30"/>
    </row>
    <row r="163" customFormat="false" ht="17.7" hidden="false" customHeight="true" outlineLevel="0" collapsed="false">
      <c r="A163" s="0" t="n">
        <v>31</v>
      </c>
      <c r="B163" s="34" t="n">
        <v>33147</v>
      </c>
      <c r="C163" s="56" t="n">
        <v>551826</v>
      </c>
      <c r="D163" s="29" t="s">
        <v>41</v>
      </c>
      <c r="E163" s="33" t="n">
        <f aca="false">IF(D163="totale",(C163/(A163*24))/F163,IF(D163="marché libre",(C163/(A163*24))/G163,"spécifier histo"))</f>
        <v>0.168952531413036</v>
      </c>
      <c r="F163" s="59" t="n">
        <v>4390</v>
      </c>
      <c r="G163" s="59" t="n">
        <f aca="false">F163-H163</f>
        <v>4390</v>
      </c>
      <c r="H163" s="9" t="n">
        <f aca="false">0</f>
        <v>0</v>
      </c>
      <c r="I163" s="9"/>
      <c r="J163" s="30"/>
    </row>
    <row r="164" customFormat="false" ht="17.7" hidden="false" customHeight="true" outlineLevel="0" collapsed="false">
      <c r="A164" s="0" t="n">
        <v>30</v>
      </c>
      <c r="B164" s="31" t="n">
        <v>33178</v>
      </c>
      <c r="C164" s="56" t="n">
        <v>819720</v>
      </c>
      <c r="D164" s="29" t="s">
        <v>41</v>
      </c>
      <c r="E164" s="33" t="n">
        <f aca="false">IF(D164="totale",(C164/(A164*24))/F164,IF(D164="marché libre",(C164/(A164*24))/G164,"spécifier histo"))</f>
        <v>0.259339407744875</v>
      </c>
      <c r="F164" s="59" t="n">
        <v>4390</v>
      </c>
      <c r="G164" s="59" t="n">
        <f aca="false">F164-H164</f>
        <v>4390</v>
      </c>
      <c r="H164" s="9" t="n">
        <f aca="false">0</f>
        <v>0</v>
      </c>
      <c r="I164" s="9"/>
      <c r="J164" s="30"/>
    </row>
    <row r="165" customFormat="false" ht="17.7" hidden="false" customHeight="true" outlineLevel="0" collapsed="false">
      <c r="A165" s="0" t="n">
        <v>31</v>
      </c>
      <c r="B165" s="34" t="n">
        <v>33208</v>
      </c>
      <c r="C165" s="56" t="n">
        <v>1022472</v>
      </c>
      <c r="D165" s="29" t="s">
        <v>41</v>
      </c>
      <c r="E165" s="33" t="n">
        <f aca="false">IF(D165="totale",(C165/(A165*24))/F165,IF(D165="marché libre",(C165/(A165*24))/G165,"spécifier histo"))</f>
        <v>0.313050187376001</v>
      </c>
      <c r="F165" s="59" t="n">
        <v>4390</v>
      </c>
      <c r="G165" s="59" t="n">
        <f aca="false">F165-H165</f>
        <v>4390</v>
      </c>
      <c r="H165" s="9" t="n">
        <f aca="false">0</f>
        <v>0</v>
      </c>
      <c r="I165" s="9"/>
      <c r="J165" s="30"/>
    </row>
    <row r="166" customFormat="false" ht="17.7" hidden="false" customHeight="true" outlineLevel="0" collapsed="false">
      <c r="A166" s="0" t="n">
        <v>31</v>
      </c>
      <c r="B166" s="31" t="n">
        <v>33239</v>
      </c>
      <c r="C166" s="56" t="n">
        <v>1635282</v>
      </c>
      <c r="D166" s="29" t="s">
        <v>41</v>
      </c>
      <c r="E166" s="33" t="n">
        <f aca="false">IF(D166="totale",(C166/(A166*24))/F166,IF(D166="marché libre",(C166/(A166*24))/G166,"spécifier histo"))</f>
        <v>0.500674186200309</v>
      </c>
      <c r="F166" s="59" t="n">
        <v>4390</v>
      </c>
      <c r="G166" s="59" t="n">
        <f aca="false">F166-H166</f>
        <v>4390</v>
      </c>
      <c r="H166" s="9" t="n">
        <f aca="false">0</f>
        <v>0</v>
      </c>
      <c r="I166" s="9"/>
      <c r="J166" s="30"/>
    </row>
    <row r="167" customFormat="false" ht="17.7" hidden="false" customHeight="true" outlineLevel="0" collapsed="false">
      <c r="A167" s="0" t="n">
        <v>28</v>
      </c>
      <c r="B167" s="34" t="n">
        <v>33270</v>
      </c>
      <c r="C167" s="56" t="n">
        <v>888624</v>
      </c>
      <c r="D167" s="29" t="s">
        <v>41</v>
      </c>
      <c r="E167" s="33" t="n">
        <f aca="false">IF(D167="totale",(C167/(A167*24))/F167,IF(D167="marché libre",(C167/(A167*24))/G167,"spécifier histo"))</f>
        <v>0.30122030589001</v>
      </c>
      <c r="F167" s="59" t="n">
        <v>4390</v>
      </c>
      <c r="G167" s="59" t="n">
        <f aca="false">F167-H167</f>
        <v>4390</v>
      </c>
      <c r="H167" s="9" t="n">
        <f aca="false">0</f>
        <v>0</v>
      </c>
      <c r="I167" s="9"/>
      <c r="J167" s="30"/>
    </row>
    <row r="168" customFormat="false" ht="17.7" hidden="false" customHeight="true" outlineLevel="0" collapsed="false">
      <c r="A168" s="0" t="n">
        <v>31</v>
      </c>
      <c r="B168" s="31" t="n">
        <v>33298</v>
      </c>
      <c r="C168" s="56" t="n">
        <v>2049300</v>
      </c>
      <c r="D168" s="29" t="s">
        <v>41</v>
      </c>
      <c r="E168" s="33" t="n">
        <f aca="false">IF(D168="totale",(C168/(A168*24))/F168,IF(D168="marché libre",(C168/(A168*24))/G168,"spécifier histo"))</f>
        <v>0.627434050995665</v>
      </c>
      <c r="F168" s="59" t="n">
        <v>4390</v>
      </c>
      <c r="G168" s="59" t="n">
        <f aca="false">F168-H168</f>
        <v>4390</v>
      </c>
      <c r="H168" s="9" t="n">
        <f aca="false">0</f>
        <v>0</v>
      </c>
      <c r="I168" s="9"/>
      <c r="J168" s="30"/>
    </row>
    <row r="169" customFormat="false" ht="17.7" hidden="false" customHeight="true" outlineLevel="0" collapsed="false">
      <c r="A169" s="0" t="n">
        <v>30</v>
      </c>
      <c r="B169" s="34" t="n">
        <v>33329</v>
      </c>
      <c r="C169" s="56" t="n">
        <v>2030490</v>
      </c>
      <c r="D169" s="29" t="s">
        <v>41</v>
      </c>
      <c r="E169" s="33" t="n">
        <f aca="false">IF(D169="totale",(C169/(A169*24))/F169,IF(D169="marché libre",(C169/(A169*24))/G169,"spécifier histo"))</f>
        <v>0.642397494305239</v>
      </c>
      <c r="F169" s="59" t="n">
        <v>4390</v>
      </c>
      <c r="G169" s="59" t="n">
        <f aca="false">F169-H169</f>
        <v>4390</v>
      </c>
      <c r="H169" s="9" t="n">
        <f aca="false">0</f>
        <v>0</v>
      </c>
      <c r="I169" s="9"/>
      <c r="J169" s="30"/>
    </row>
    <row r="170" customFormat="false" ht="17.7" hidden="false" customHeight="true" outlineLevel="0" collapsed="false">
      <c r="A170" s="0" t="n">
        <v>31</v>
      </c>
      <c r="B170" s="31" t="n">
        <v>33359</v>
      </c>
      <c r="C170" s="56" t="n">
        <v>2770812</v>
      </c>
      <c r="D170" s="29" t="s">
        <v>41</v>
      </c>
      <c r="E170" s="33" t="n">
        <f aca="false">IF(D170="totale",(C170/(A170*24))/F170,IF(D170="marché libre",(C170/(A170*24))/G170,"spécifier histo"))</f>
        <v>0.84833933426409</v>
      </c>
      <c r="F170" s="59" t="n">
        <v>4390</v>
      </c>
      <c r="G170" s="59" t="n">
        <f aca="false">F170-H170</f>
        <v>4390</v>
      </c>
      <c r="H170" s="9" t="n">
        <f aca="false">0</f>
        <v>0</v>
      </c>
      <c r="I170" s="9"/>
      <c r="J170" s="30"/>
    </row>
    <row r="171" customFormat="false" ht="17.7" hidden="false" customHeight="true" outlineLevel="0" collapsed="false">
      <c r="A171" s="0" t="n">
        <v>30</v>
      </c>
      <c r="B171" s="34" t="n">
        <v>33390</v>
      </c>
      <c r="C171" s="56" t="n">
        <v>2173248</v>
      </c>
      <c r="D171" s="29" t="s">
        <v>41</v>
      </c>
      <c r="E171" s="33" t="n">
        <f aca="false">IF(D171="totale",(C171/(A171*24))/F171,IF(D171="marché libre",(C171/(A171*24))/G171,"spécifier histo"))</f>
        <v>0.687562642369021</v>
      </c>
      <c r="F171" s="59" t="n">
        <v>4390</v>
      </c>
      <c r="G171" s="59" t="n">
        <f aca="false">F171-H171</f>
        <v>4390</v>
      </c>
      <c r="H171" s="9" t="n">
        <f aca="false">0</f>
        <v>0</v>
      </c>
      <c r="I171" s="9"/>
      <c r="J171" s="30"/>
    </row>
    <row r="172" customFormat="false" ht="17.7" hidden="false" customHeight="true" outlineLevel="0" collapsed="false">
      <c r="A172" s="0" t="n">
        <v>31</v>
      </c>
      <c r="B172" s="31" t="n">
        <v>33420</v>
      </c>
      <c r="C172" s="56" t="n">
        <v>1218888</v>
      </c>
      <c r="D172" s="29" t="s">
        <v>41</v>
      </c>
      <c r="E172" s="33" t="n">
        <f aca="false">IF(D172="totale",(C172/(A172*24))/F172,IF(D172="marché libre",(C172/(A172*24))/G172,"spécifier histo"))</f>
        <v>0.373186861635682</v>
      </c>
      <c r="F172" s="59" t="n">
        <v>4390</v>
      </c>
      <c r="G172" s="59" t="n">
        <f aca="false">F172-H172</f>
        <v>4390</v>
      </c>
      <c r="H172" s="9" t="n">
        <f aca="false">0</f>
        <v>0</v>
      </c>
      <c r="I172" s="9"/>
      <c r="J172" s="30"/>
    </row>
    <row r="173" customFormat="false" ht="17.7" hidden="false" customHeight="true" outlineLevel="0" collapsed="false">
      <c r="A173" s="0" t="n">
        <v>31</v>
      </c>
      <c r="B173" s="34" t="n">
        <v>33451</v>
      </c>
      <c r="C173" s="56" t="n">
        <v>812592</v>
      </c>
      <c r="D173" s="29" t="s">
        <v>41</v>
      </c>
      <c r="E173" s="33" t="n">
        <f aca="false">IF(D173="totale",(C173/(A173*24))/F173,IF(D173="marché libre",(C173/(A173*24))/G173,"spécifier histo"))</f>
        <v>0.248791241090455</v>
      </c>
      <c r="F173" s="59" t="n">
        <v>4390</v>
      </c>
      <c r="G173" s="59" t="n">
        <f aca="false">F173-H173</f>
        <v>4390</v>
      </c>
      <c r="H173" s="9" t="n">
        <f aca="false">0</f>
        <v>0</v>
      </c>
      <c r="I173" s="9"/>
      <c r="J173" s="30"/>
    </row>
    <row r="174" customFormat="false" ht="17.7" hidden="false" customHeight="true" outlineLevel="0" collapsed="false">
      <c r="A174" s="0" t="n">
        <v>30</v>
      </c>
      <c r="B174" s="31" t="n">
        <v>33482</v>
      </c>
      <c r="C174" s="56" t="n">
        <v>461340</v>
      </c>
      <c r="D174" s="29" t="s">
        <v>41</v>
      </c>
      <c r="E174" s="33" t="n">
        <f aca="false">IF(D174="totale",(C174/(A174*24))/F174,IF(D174="marché libre",(C174/(A174*24))/G174,"spécifier histo"))</f>
        <v>0.145956719817768</v>
      </c>
      <c r="F174" s="59" t="n">
        <v>4390</v>
      </c>
      <c r="G174" s="59" t="n">
        <f aca="false">F174-H174</f>
        <v>4390</v>
      </c>
      <c r="H174" s="9" t="n">
        <f aca="false">0</f>
        <v>0</v>
      </c>
      <c r="I174" s="9"/>
      <c r="J174" s="30"/>
    </row>
    <row r="175" customFormat="false" ht="17.7" hidden="false" customHeight="true" outlineLevel="0" collapsed="false">
      <c r="A175" s="0" t="n">
        <v>31</v>
      </c>
      <c r="B175" s="34" t="n">
        <v>33512</v>
      </c>
      <c r="C175" s="56" t="n">
        <v>759528</v>
      </c>
      <c r="D175" s="29" t="s">
        <v>41</v>
      </c>
      <c r="E175" s="33" t="n">
        <f aca="false">IF(D175="totale",(C175/(A175*24))/F175,IF(D175="marché libre",(C175/(A175*24))/G175,"spécifier histo"))</f>
        <v>0.232544639576751</v>
      </c>
      <c r="F175" s="59" t="n">
        <v>4390</v>
      </c>
      <c r="G175" s="59" t="n">
        <f aca="false">F175-H175</f>
        <v>4390</v>
      </c>
      <c r="H175" s="9" t="n">
        <f aca="false">0</f>
        <v>0</v>
      </c>
      <c r="I175" s="9"/>
      <c r="J175" s="30"/>
    </row>
    <row r="176" customFormat="false" ht="17.7" hidden="false" customHeight="true" outlineLevel="0" collapsed="false">
      <c r="A176" s="0" t="n">
        <v>30</v>
      </c>
      <c r="B176" s="31" t="n">
        <v>33543</v>
      </c>
      <c r="C176" s="56" t="n">
        <v>1314918</v>
      </c>
      <c r="D176" s="29" t="s">
        <v>41</v>
      </c>
      <c r="E176" s="33" t="n">
        <f aca="false">IF(D176="totale",(C176/(A176*24))/F176,IF(D176="marché libre",(C176/(A176*24))/G176,"spécifier histo"))</f>
        <v>0.416007972665148</v>
      </c>
      <c r="F176" s="59" t="n">
        <v>4390</v>
      </c>
      <c r="G176" s="59" t="n">
        <f aca="false">F176-H176</f>
        <v>4390</v>
      </c>
      <c r="H176" s="9" t="n">
        <f aca="false">0</f>
        <v>0</v>
      </c>
      <c r="I176" s="9"/>
      <c r="J176" s="30"/>
    </row>
    <row r="177" customFormat="false" ht="17.7" hidden="false" customHeight="true" outlineLevel="0" collapsed="false">
      <c r="A177" s="0" t="n">
        <v>31</v>
      </c>
      <c r="B177" s="34" t="n">
        <v>33573</v>
      </c>
      <c r="C177" s="56" t="n">
        <v>866844</v>
      </c>
      <c r="D177" s="29" t="s">
        <v>41</v>
      </c>
      <c r="E177" s="33" t="n">
        <f aca="false">IF(D177="totale",(C177/(A177*24))/F177,IF(D177="marché libre",(C177/(A177*24))/G177,"spécifier histo"))</f>
        <v>0.265401572488794</v>
      </c>
      <c r="F177" s="59" t="n">
        <v>4390</v>
      </c>
      <c r="G177" s="59" t="n">
        <f aca="false">F177-H177</f>
        <v>4390</v>
      </c>
      <c r="H177" s="9" t="n">
        <f aca="false">0</f>
        <v>0</v>
      </c>
      <c r="I177" s="9"/>
      <c r="J177" s="30"/>
    </row>
    <row r="178" customFormat="false" ht="17.7" hidden="false" customHeight="true" outlineLevel="0" collapsed="false">
      <c r="A178" s="0" t="n">
        <v>31</v>
      </c>
      <c r="B178" s="31" t="n">
        <v>33604</v>
      </c>
      <c r="C178" s="56" t="n">
        <v>487476</v>
      </c>
      <c r="D178" s="29" t="s">
        <v>41</v>
      </c>
      <c r="E178" s="33" t="n">
        <f aca="false">IF(D178="totale",(C178/(A178*24))/F178,IF(D178="marché libre",(C178/(A178*24))/G178,"spécifier histo"))</f>
        <v>0.149250495995297</v>
      </c>
      <c r="F178" s="59" t="n">
        <v>4390</v>
      </c>
      <c r="G178" s="59" t="n">
        <f aca="false">F178-H178</f>
        <v>4390</v>
      </c>
      <c r="H178" s="9" t="n">
        <f aca="false">0</f>
        <v>0</v>
      </c>
      <c r="I178" s="9"/>
      <c r="J178" s="30"/>
    </row>
    <row r="179" customFormat="false" ht="17.7" hidden="false" customHeight="true" outlineLevel="0" collapsed="false">
      <c r="A179" s="0" t="n">
        <v>28</v>
      </c>
      <c r="B179" s="34" t="n">
        <v>33635</v>
      </c>
      <c r="C179" s="56" t="n">
        <v>466686</v>
      </c>
      <c r="D179" s="29" t="s">
        <v>41</v>
      </c>
      <c r="E179" s="33" t="n">
        <f aca="false">IF(D179="totale",(C179/(A179*24))/F179,IF(D179="marché libre",(C179/(A179*24))/G179,"spécifier histo"))</f>
        <v>0.158194354051416</v>
      </c>
      <c r="F179" s="59" t="n">
        <v>4390</v>
      </c>
      <c r="G179" s="59" t="n">
        <f aca="false">F179-H179</f>
        <v>4390</v>
      </c>
      <c r="H179" s="9" t="n">
        <f aca="false">0</f>
        <v>0</v>
      </c>
      <c r="I179" s="9"/>
      <c r="J179" s="30"/>
    </row>
    <row r="180" customFormat="false" ht="17.7" hidden="false" customHeight="true" outlineLevel="0" collapsed="false">
      <c r="A180" s="0" t="n">
        <v>31</v>
      </c>
      <c r="B180" s="31" t="n">
        <v>33664</v>
      </c>
      <c r="C180" s="56" t="n">
        <v>649044</v>
      </c>
      <c r="D180" s="29" t="s">
        <v>41</v>
      </c>
      <c r="E180" s="33" t="n">
        <f aca="false">IF(D180="totale",(C180/(A180*24))/F180,IF(D180="marché libre",(C180/(A180*24))/G180,"spécifier histo"))</f>
        <v>0.19871776030568</v>
      </c>
      <c r="F180" s="59" t="n">
        <v>4390</v>
      </c>
      <c r="G180" s="59" t="n">
        <f aca="false">F180-H180</f>
        <v>4390</v>
      </c>
      <c r="H180" s="9" t="n">
        <f aca="false">0</f>
        <v>0</v>
      </c>
      <c r="I180" s="9"/>
      <c r="J180" s="30"/>
    </row>
    <row r="181" customFormat="false" ht="17.7" hidden="false" customHeight="true" outlineLevel="0" collapsed="false">
      <c r="A181" s="0" t="n">
        <v>30</v>
      </c>
      <c r="B181" s="34" t="n">
        <v>33695</v>
      </c>
      <c r="C181" s="56" t="n">
        <v>2256210</v>
      </c>
      <c r="D181" s="29" t="s">
        <v>41</v>
      </c>
      <c r="E181" s="33" t="n">
        <f aca="false">IF(D181="totale",(C181/(A181*24))/F181,IF(D181="marché libre",(C181/(A181*24))/G181,"spécifier histo"))</f>
        <v>0.713809794988611</v>
      </c>
      <c r="F181" s="59" t="n">
        <v>4390</v>
      </c>
      <c r="G181" s="59" t="n">
        <f aca="false">F181-H181</f>
        <v>4390</v>
      </c>
      <c r="H181" s="9" t="n">
        <f aca="false">0</f>
        <v>0</v>
      </c>
      <c r="I181" s="9"/>
      <c r="J181" s="30"/>
    </row>
    <row r="182" customFormat="false" ht="17.7" hidden="false" customHeight="true" outlineLevel="0" collapsed="false">
      <c r="A182" s="0" t="n">
        <v>31</v>
      </c>
      <c r="B182" s="31" t="n">
        <v>33725</v>
      </c>
      <c r="C182" s="56" t="n">
        <v>2199186</v>
      </c>
      <c r="D182" s="29" t="s">
        <v>41</v>
      </c>
      <c r="E182" s="33" t="n">
        <f aca="false">IF(D182="totale",(C182/(A182*24))/F182,IF(D182="marché libre",(C182/(A182*24))/G182,"spécifier histo"))</f>
        <v>0.673324638107135</v>
      </c>
      <c r="F182" s="59" t="n">
        <v>4390</v>
      </c>
      <c r="G182" s="59" t="n">
        <f aca="false">F182-H182</f>
        <v>4390</v>
      </c>
      <c r="H182" s="9" t="n">
        <f aca="false">0</f>
        <v>0</v>
      </c>
      <c r="I182" s="9"/>
      <c r="J182" s="30"/>
    </row>
    <row r="183" customFormat="false" ht="17.7" hidden="false" customHeight="true" outlineLevel="0" collapsed="false">
      <c r="A183" s="0" t="n">
        <v>30</v>
      </c>
      <c r="B183" s="34" t="n">
        <v>33756</v>
      </c>
      <c r="C183" s="56" t="n">
        <v>2548854</v>
      </c>
      <c r="D183" s="29" t="s">
        <v>41</v>
      </c>
      <c r="E183" s="33" t="n">
        <f aca="false">IF(D183="totale",(C183/(A183*24))/F183,IF(D183="marché libre",(C183/(A183*24))/G183,"spécifier histo"))</f>
        <v>0.806395216400911</v>
      </c>
      <c r="F183" s="59" t="n">
        <v>4390</v>
      </c>
      <c r="G183" s="59" t="n">
        <f aca="false">F183-H183</f>
        <v>4390</v>
      </c>
      <c r="H183" s="9" t="n">
        <f aca="false">0</f>
        <v>0</v>
      </c>
      <c r="I183" s="9"/>
      <c r="J183" s="30"/>
    </row>
    <row r="184" customFormat="false" ht="17.7" hidden="false" customHeight="true" outlineLevel="0" collapsed="false">
      <c r="A184" s="0" t="n">
        <v>31</v>
      </c>
      <c r="B184" s="31" t="n">
        <v>33786</v>
      </c>
      <c r="C184" s="56" t="n">
        <v>1866150</v>
      </c>
      <c r="D184" s="29" t="s">
        <v>41</v>
      </c>
      <c r="E184" s="33" t="n">
        <f aca="false">IF(D184="totale",(C184/(A184*24))/F184,IF(D184="marché libre",(C184/(A184*24))/G184,"spécifier histo"))</f>
        <v>0.57135902711441</v>
      </c>
      <c r="F184" s="59" t="n">
        <v>4390</v>
      </c>
      <c r="G184" s="59" t="n">
        <f aca="false">F184-H184</f>
        <v>4390</v>
      </c>
      <c r="H184" s="9" t="n">
        <f aca="false">0</f>
        <v>0</v>
      </c>
      <c r="I184" s="9"/>
      <c r="J184" s="30"/>
    </row>
    <row r="185" customFormat="false" ht="17.7" hidden="false" customHeight="true" outlineLevel="0" collapsed="false">
      <c r="A185" s="0" t="n">
        <v>31</v>
      </c>
      <c r="B185" s="34" t="n">
        <v>33817</v>
      </c>
      <c r="C185" s="56" t="n">
        <v>643104</v>
      </c>
      <c r="D185" s="29" t="s">
        <v>41</v>
      </c>
      <c r="E185" s="33" t="n">
        <f aca="false">IF(D185="totale",(C185/(A185*24))/F185,IF(D185="marché libre",(C185/(A185*24))/G185,"spécifier histo"))</f>
        <v>0.196899110882504</v>
      </c>
      <c r="F185" s="59" t="n">
        <v>4390</v>
      </c>
      <c r="G185" s="59" t="n">
        <f aca="false">F185-H185</f>
        <v>4390</v>
      </c>
      <c r="H185" s="9" t="n">
        <f aca="false">0</f>
        <v>0</v>
      </c>
      <c r="I185" s="9"/>
      <c r="J185" s="30"/>
    </row>
    <row r="186" customFormat="false" ht="17.7" hidden="false" customHeight="true" outlineLevel="0" collapsed="false">
      <c r="A186" s="0" t="n">
        <v>30</v>
      </c>
      <c r="B186" s="31" t="n">
        <v>33848</v>
      </c>
      <c r="C186" s="56" t="n">
        <v>566676</v>
      </c>
      <c r="D186" s="29" t="s">
        <v>41</v>
      </c>
      <c r="E186" s="33" t="n">
        <f aca="false">IF(D186="totale",(C186/(A186*24))/F186,IF(D186="marché libre",(C186/(A186*24))/G186,"spécifier histo"))</f>
        <v>0.179282460136674</v>
      </c>
      <c r="F186" s="59" t="n">
        <v>4390</v>
      </c>
      <c r="G186" s="59" t="n">
        <f aca="false">F186-H186</f>
        <v>4390</v>
      </c>
      <c r="H186" s="9" t="n">
        <f aca="false">0</f>
        <v>0</v>
      </c>
      <c r="I186" s="9"/>
      <c r="J186" s="30"/>
    </row>
    <row r="187" customFormat="false" ht="17.7" hidden="false" customHeight="true" outlineLevel="0" collapsed="false">
      <c r="A187" s="0" t="n">
        <v>31</v>
      </c>
      <c r="B187" s="34" t="n">
        <v>33878</v>
      </c>
      <c r="C187" s="56" t="n">
        <v>1609542</v>
      </c>
      <c r="D187" s="29" t="s">
        <v>41</v>
      </c>
      <c r="E187" s="33" t="n">
        <f aca="false">IF(D187="totale",(C187/(A187*24))/F187,IF(D187="marché libre",(C187/(A187*24))/G187,"spécifier histo"))</f>
        <v>0.492793372033213</v>
      </c>
      <c r="F187" s="59" t="n">
        <v>4390</v>
      </c>
      <c r="G187" s="59" t="n">
        <f aca="false">F187-H187</f>
        <v>4390</v>
      </c>
      <c r="H187" s="9" t="n">
        <f aca="false">0</f>
        <v>0</v>
      </c>
      <c r="I187" s="9"/>
      <c r="J187" s="30"/>
    </row>
    <row r="188" customFormat="false" ht="17.7" hidden="false" customHeight="true" outlineLevel="0" collapsed="false">
      <c r="A188" s="0" t="n">
        <v>30</v>
      </c>
      <c r="B188" s="31" t="n">
        <v>33909</v>
      </c>
      <c r="C188" s="56" t="n">
        <v>2236014</v>
      </c>
      <c r="D188" s="29" t="s">
        <v>41</v>
      </c>
      <c r="E188" s="33" t="n">
        <f aca="false">IF(D188="totale",(C188/(A188*24))/F188,IF(D188="marché libre",(C188/(A188*24))/G188,"spécifier histo"))</f>
        <v>0.707420273348519</v>
      </c>
      <c r="F188" s="59" t="n">
        <v>4390</v>
      </c>
      <c r="G188" s="59" t="n">
        <f aca="false">F188-H188</f>
        <v>4390</v>
      </c>
      <c r="H188" s="9" t="n">
        <f aca="false">0</f>
        <v>0</v>
      </c>
      <c r="I188" s="9"/>
      <c r="J188" s="30"/>
    </row>
    <row r="189" customFormat="false" ht="17.7" hidden="false" customHeight="true" outlineLevel="0" collapsed="false">
      <c r="A189" s="0" t="n">
        <v>31</v>
      </c>
      <c r="B189" s="34" t="n">
        <v>33939</v>
      </c>
      <c r="C189" s="56" t="n">
        <v>1664783</v>
      </c>
      <c r="D189" s="29" t="s">
        <v>41</v>
      </c>
      <c r="E189" s="33" t="n">
        <f aca="false">IF(D189="totale",(C189/(A189*24))/F189,IF(D189="marché libre",(C189/(A189*24))/G189,"spécifier histo"))</f>
        <v>0.509706505498812</v>
      </c>
      <c r="F189" s="59" t="n">
        <v>4390</v>
      </c>
      <c r="G189" s="59" t="n">
        <f aca="false">F189-H189</f>
        <v>4390</v>
      </c>
      <c r="H189" s="9" t="n">
        <f aca="false">0</f>
        <v>0</v>
      </c>
      <c r="I189" s="9"/>
      <c r="J189" s="30"/>
    </row>
    <row r="190" customFormat="false" ht="17.7" hidden="false" customHeight="true" outlineLevel="0" collapsed="false">
      <c r="A190" s="0" t="n">
        <v>31</v>
      </c>
      <c r="B190" s="31" t="n">
        <v>33970</v>
      </c>
      <c r="C190" s="56" t="n">
        <v>763884</v>
      </c>
      <c r="D190" s="29" t="s">
        <v>41</v>
      </c>
      <c r="E190" s="33" t="n">
        <f aca="false">IF(D190="totale",(C190/(A190*24))/F190,IF(D190="marché libre",(C190/(A190*24))/G190,"spécifier histo"))</f>
        <v>0.233878315820413</v>
      </c>
      <c r="F190" s="59" t="n">
        <v>4390</v>
      </c>
      <c r="G190" s="59" t="n">
        <f aca="false">F190-H190</f>
        <v>4390</v>
      </c>
      <c r="H190" s="9" t="n">
        <f aca="false">0</f>
        <v>0</v>
      </c>
      <c r="I190" s="9"/>
      <c r="J190" s="30"/>
    </row>
    <row r="191" customFormat="false" ht="17.7" hidden="false" customHeight="true" outlineLevel="0" collapsed="false">
      <c r="A191" s="0" t="n">
        <v>28</v>
      </c>
      <c r="B191" s="34" t="n">
        <v>34001</v>
      </c>
      <c r="C191" s="56" t="n">
        <v>401544</v>
      </c>
      <c r="D191" s="29" t="s">
        <v>41</v>
      </c>
      <c r="E191" s="33" t="n">
        <f aca="false">IF(D191="totale",(C191/(A191*24))/F191,IF(D191="marché libre",(C191/(A191*24))/G191,"spécifier histo"))</f>
        <v>0.136112918971689</v>
      </c>
      <c r="F191" s="59" t="n">
        <v>4390</v>
      </c>
      <c r="G191" s="59" t="n">
        <f aca="false">F191-H191</f>
        <v>4390</v>
      </c>
      <c r="H191" s="9" t="n">
        <f aca="false">0</f>
        <v>0</v>
      </c>
      <c r="I191" s="9"/>
      <c r="J191" s="30"/>
    </row>
    <row r="192" customFormat="false" ht="17.7" hidden="false" customHeight="true" outlineLevel="0" collapsed="false">
      <c r="A192" s="0" t="n">
        <v>31</v>
      </c>
      <c r="B192" s="31" t="n">
        <v>34029</v>
      </c>
      <c r="C192" s="56" t="n">
        <v>802296</v>
      </c>
      <c r="D192" s="29" t="s">
        <v>41</v>
      </c>
      <c r="E192" s="33" t="n">
        <f aca="false">IF(D192="totale",(C192/(A192*24))/F192,IF(D192="marché libre",(C192/(A192*24))/G192,"spécifier histo"))</f>
        <v>0.245638915423617</v>
      </c>
      <c r="F192" s="59" t="n">
        <v>4390</v>
      </c>
      <c r="G192" s="59" t="n">
        <f aca="false">F192-H192</f>
        <v>4390</v>
      </c>
      <c r="H192" s="9" t="n">
        <f aca="false">0</f>
        <v>0</v>
      </c>
      <c r="I192" s="9"/>
      <c r="J192" s="30"/>
    </row>
    <row r="193" customFormat="false" ht="17.7" hidden="false" customHeight="true" outlineLevel="0" collapsed="false">
      <c r="A193" s="0" t="n">
        <v>30</v>
      </c>
      <c r="B193" s="34" t="n">
        <v>34060</v>
      </c>
      <c r="C193" s="56" t="n">
        <v>2087118</v>
      </c>
      <c r="D193" s="29" t="s">
        <v>41</v>
      </c>
      <c r="E193" s="33" t="n">
        <f aca="false">IF(D193="totale",(C193/(A193*24))/F193,IF(D193="marché libre",(C193/(A193*24))/G193,"spécifier histo"))</f>
        <v>0.660313211845102</v>
      </c>
      <c r="F193" s="59" t="n">
        <v>4390</v>
      </c>
      <c r="G193" s="59" t="n">
        <f aca="false">F193-H193</f>
        <v>4390</v>
      </c>
      <c r="H193" s="9" t="n">
        <f aca="false">0</f>
        <v>0</v>
      </c>
      <c r="I193" s="9"/>
      <c r="J193" s="30"/>
    </row>
    <row r="194" customFormat="false" ht="17.7" hidden="false" customHeight="true" outlineLevel="0" collapsed="false">
      <c r="A194" s="0" t="n">
        <v>31</v>
      </c>
      <c r="B194" s="31" t="n">
        <v>34090</v>
      </c>
      <c r="C194" s="56" t="n">
        <v>2177208</v>
      </c>
      <c r="D194" s="29" t="s">
        <v>41</v>
      </c>
      <c r="E194" s="33" t="n">
        <f aca="false">IF(D194="totale",(C194/(A194*24))/F194,IF(D194="marché libre",(C194/(A194*24))/G194,"spécifier histo"))</f>
        <v>0.666595635241384</v>
      </c>
      <c r="F194" s="59" t="n">
        <v>4390</v>
      </c>
      <c r="G194" s="59" t="n">
        <f aca="false">F194-H194</f>
        <v>4390</v>
      </c>
      <c r="H194" s="9" t="n">
        <f aca="false">0</f>
        <v>0</v>
      </c>
      <c r="I194" s="9"/>
      <c r="J194" s="30"/>
    </row>
    <row r="195" customFormat="false" ht="17.7" hidden="false" customHeight="true" outlineLevel="0" collapsed="false">
      <c r="A195" s="0" t="n">
        <v>30</v>
      </c>
      <c r="B195" s="34" t="n">
        <v>34121</v>
      </c>
      <c r="C195" s="56" t="n">
        <v>1524798</v>
      </c>
      <c r="D195" s="29" t="s">
        <v>41</v>
      </c>
      <c r="E195" s="33" t="n">
        <f aca="false">IF(D195="totale",(C195/(A195*24))/F195,IF(D195="marché libre",(C195/(A195*24))/G195,"spécifier histo"))</f>
        <v>0.482408883826879</v>
      </c>
      <c r="F195" s="59" t="n">
        <v>4390</v>
      </c>
      <c r="G195" s="59" t="n">
        <f aca="false">F195-H195</f>
        <v>4390</v>
      </c>
      <c r="H195" s="9" t="n">
        <f aca="false">0</f>
        <v>0</v>
      </c>
      <c r="I195" s="9"/>
      <c r="J195" s="30"/>
    </row>
    <row r="196" customFormat="false" ht="17.7" hidden="false" customHeight="true" outlineLevel="0" collapsed="false">
      <c r="A196" s="0" t="n">
        <v>31</v>
      </c>
      <c r="B196" s="31" t="n">
        <v>34151</v>
      </c>
      <c r="C196" s="56" t="n">
        <v>924660</v>
      </c>
      <c r="D196" s="29" t="s">
        <v>41</v>
      </c>
      <c r="E196" s="33" t="n">
        <f aca="false">IF(D196="totale",(C196/(A196*24))/F196,IF(D196="marché libre",(C196/(A196*24))/G196,"spécifier histo"))</f>
        <v>0.283103093541039</v>
      </c>
      <c r="F196" s="59" t="n">
        <v>4390</v>
      </c>
      <c r="G196" s="59" t="n">
        <f aca="false">F196-H196</f>
        <v>4390</v>
      </c>
      <c r="H196" s="9" t="n">
        <f aca="false">0</f>
        <v>0</v>
      </c>
      <c r="I196" s="9"/>
      <c r="J196" s="30"/>
    </row>
    <row r="197" customFormat="false" ht="17.7" hidden="false" customHeight="true" outlineLevel="0" collapsed="false">
      <c r="A197" s="0" t="n">
        <v>31</v>
      </c>
      <c r="B197" s="34" t="n">
        <v>34182</v>
      </c>
      <c r="C197" s="56" t="n">
        <v>371249</v>
      </c>
      <c r="D197" s="29" t="s">
        <v>41</v>
      </c>
      <c r="E197" s="33" t="n">
        <f aca="false">IF(D197="totale",(C197/(A197*24))/F197,IF(D197="marché libre",(C197/(A197*24))/G197,"spécifier histo"))</f>
        <v>0.113665282778553</v>
      </c>
      <c r="F197" s="59" t="n">
        <v>4390</v>
      </c>
      <c r="G197" s="59" t="n">
        <f aca="false">F197-H197</f>
        <v>4390</v>
      </c>
      <c r="H197" s="9" t="n">
        <f aca="false">0</f>
        <v>0</v>
      </c>
      <c r="I197" s="9"/>
      <c r="J197" s="30"/>
    </row>
    <row r="198" customFormat="false" ht="17.7" hidden="false" customHeight="true" outlineLevel="0" collapsed="false">
      <c r="A198" s="0" t="n">
        <v>30</v>
      </c>
      <c r="B198" s="31" t="n">
        <v>34213</v>
      </c>
      <c r="C198" s="56" t="n">
        <v>454607</v>
      </c>
      <c r="D198" s="29" t="s">
        <v>41</v>
      </c>
      <c r="E198" s="33" t="n">
        <f aca="false">IF(D198="totale",(C198/(A198*24))/F198,IF(D198="marché libre",(C198/(A198*24))/G198,"spécifier histo"))</f>
        <v>0.14382656289547</v>
      </c>
      <c r="F198" s="59" t="n">
        <v>4390</v>
      </c>
      <c r="G198" s="59" t="n">
        <f aca="false">F198-H198</f>
        <v>4390</v>
      </c>
      <c r="H198" s="9" t="n">
        <f aca="false">0</f>
        <v>0</v>
      </c>
      <c r="I198" s="9"/>
      <c r="J198" s="30"/>
    </row>
    <row r="199" customFormat="false" ht="17.7" hidden="false" customHeight="true" outlineLevel="0" collapsed="false">
      <c r="A199" s="0" t="n">
        <v>31</v>
      </c>
      <c r="B199" s="34" t="n">
        <v>34243</v>
      </c>
      <c r="C199" s="56" t="n">
        <v>1609344</v>
      </c>
      <c r="D199" s="29" t="s">
        <v>41</v>
      </c>
      <c r="E199" s="33" t="n">
        <f aca="false">IF(D199="totale",(C199/(A199*24))/F199,IF(D199="marché libre",(C199/(A199*24))/G199,"spécifier histo"))</f>
        <v>0.492732750385774</v>
      </c>
      <c r="F199" s="59" t="n">
        <v>4390</v>
      </c>
      <c r="G199" s="59" t="n">
        <f aca="false">F199-H199</f>
        <v>4390</v>
      </c>
      <c r="H199" s="9" t="n">
        <f aca="false">0</f>
        <v>0</v>
      </c>
      <c r="I199" s="9"/>
      <c r="J199" s="30"/>
    </row>
    <row r="200" customFormat="false" ht="17.7" hidden="false" customHeight="true" outlineLevel="0" collapsed="false">
      <c r="A200" s="0" t="n">
        <v>30</v>
      </c>
      <c r="B200" s="31" t="n">
        <v>34274</v>
      </c>
      <c r="C200" s="56" t="n">
        <v>1620828</v>
      </c>
      <c r="D200" s="29" t="s">
        <v>41</v>
      </c>
      <c r="E200" s="33" t="n">
        <f aca="false">IF(D200="totale",(C200/(A200*24))/F200,IF(D200="marché libre",(C200/(A200*24))/G200,"spécifier histo"))</f>
        <v>0.512790432801822</v>
      </c>
      <c r="F200" s="59" t="n">
        <v>4390</v>
      </c>
      <c r="G200" s="59" t="n">
        <f aca="false">F200-H200</f>
        <v>4390</v>
      </c>
      <c r="H200" s="9" t="n">
        <f aca="false">0</f>
        <v>0</v>
      </c>
      <c r="I200" s="9"/>
      <c r="J200" s="30"/>
    </row>
    <row r="201" customFormat="false" ht="17.7" hidden="false" customHeight="true" outlineLevel="0" collapsed="false">
      <c r="A201" s="0" t="n">
        <v>31</v>
      </c>
      <c r="B201" s="34" t="n">
        <v>34304</v>
      </c>
      <c r="C201" s="56" t="n">
        <v>1293733</v>
      </c>
      <c r="D201" s="29" t="s">
        <v>41</v>
      </c>
      <c r="E201" s="33" t="n">
        <f aca="false">IF(D201="totale",(C201/(A201*24))/F201,IF(D201="marché libre",(C201/(A201*24))/G201,"spécifier histo"))</f>
        <v>0.396102150537634</v>
      </c>
      <c r="F201" s="59" t="n">
        <v>4390</v>
      </c>
      <c r="G201" s="59" t="n">
        <f aca="false">F201-H201</f>
        <v>4390</v>
      </c>
      <c r="H201" s="9" t="n">
        <f aca="false">0</f>
        <v>0</v>
      </c>
      <c r="I201" s="9"/>
      <c r="J201" s="30"/>
    </row>
    <row r="202" customFormat="false" ht="17.7" hidden="false" customHeight="true" outlineLevel="0" collapsed="false">
      <c r="A202" s="0" t="n">
        <v>31</v>
      </c>
      <c r="B202" s="31" t="n">
        <v>34335</v>
      </c>
      <c r="C202" s="56" t="n">
        <v>2653002</v>
      </c>
      <c r="D202" s="29" t="s">
        <v>41</v>
      </c>
      <c r="E202" s="33" t="n">
        <f aca="false">IF(D202="totale",(C202/(A202*24))/F202,IF(D202="marché libre",(C202/(A202*24))/G202,"spécifier histo"))</f>
        <v>0.812269454037769</v>
      </c>
      <c r="F202" s="59" t="n">
        <v>4390</v>
      </c>
      <c r="G202" s="59" t="n">
        <f aca="false">F202-H202</f>
        <v>4390</v>
      </c>
      <c r="H202" s="9" t="n">
        <f aca="false">0</f>
        <v>0</v>
      </c>
      <c r="I202" s="9"/>
      <c r="J202" s="30"/>
    </row>
    <row r="203" customFormat="false" ht="17.7" hidden="false" customHeight="true" outlineLevel="0" collapsed="false">
      <c r="A203" s="0" t="n">
        <v>28</v>
      </c>
      <c r="B203" s="34" t="n">
        <v>34366</v>
      </c>
      <c r="C203" s="56" t="n">
        <v>2415996</v>
      </c>
      <c r="D203" s="29" t="s">
        <v>41</v>
      </c>
      <c r="E203" s="33" t="n">
        <f aca="false">IF(D203="totale",(C203/(A203*24))/F203,IF(D203="marché libre",(C203/(A203*24))/G203,"spécifier histo"))</f>
        <v>0.818959485844452</v>
      </c>
      <c r="F203" s="59" t="n">
        <v>4390</v>
      </c>
      <c r="G203" s="59" t="n">
        <f aca="false">F203-H203</f>
        <v>4390</v>
      </c>
      <c r="H203" s="9" t="n">
        <f aca="false">0</f>
        <v>0</v>
      </c>
      <c r="I203" s="9"/>
      <c r="J203" s="30"/>
    </row>
    <row r="204" customFormat="false" ht="17.7" hidden="false" customHeight="true" outlineLevel="0" collapsed="false">
      <c r="A204" s="0" t="n">
        <v>31</v>
      </c>
      <c r="B204" s="31" t="n">
        <v>34394</v>
      </c>
      <c r="C204" s="56" t="n">
        <v>2514600</v>
      </c>
      <c r="D204" s="29" t="s">
        <v>41</v>
      </c>
      <c r="E204" s="33" t="n">
        <f aca="false">IF(D204="totale",(C204/(A204*24))/F204,IF(D204="marché libre",(C204/(A204*24))/G204,"spécifier histo"))</f>
        <v>0.769894922477772</v>
      </c>
      <c r="F204" s="59" t="n">
        <v>4390</v>
      </c>
      <c r="G204" s="59" t="n">
        <f aca="false">F204-H204</f>
        <v>4390</v>
      </c>
      <c r="H204" s="9" t="n">
        <f aca="false">0</f>
        <v>0</v>
      </c>
      <c r="I204" s="9"/>
      <c r="J204" s="30"/>
    </row>
    <row r="205" customFormat="false" ht="17.7" hidden="false" customHeight="true" outlineLevel="0" collapsed="false">
      <c r="A205" s="0" t="n">
        <v>30</v>
      </c>
      <c r="B205" s="34" t="n">
        <v>34425</v>
      </c>
      <c r="C205" s="56" t="n">
        <v>2723292</v>
      </c>
      <c r="D205" s="29" t="s">
        <v>41</v>
      </c>
      <c r="E205" s="33" t="n">
        <f aca="false">IF(D205="totale",(C205/(A205*24))/F205,IF(D205="marché libre",(C205/(A205*24))/G205,"spécifier histo"))</f>
        <v>0.861583143507973</v>
      </c>
      <c r="F205" s="59" t="n">
        <v>4390</v>
      </c>
      <c r="G205" s="59" t="n">
        <f aca="false">F205-H205</f>
        <v>4390</v>
      </c>
      <c r="H205" s="9" t="n">
        <f aca="false">0</f>
        <v>0</v>
      </c>
      <c r="I205" s="9"/>
      <c r="J205" s="30"/>
    </row>
    <row r="206" customFormat="false" ht="17.7" hidden="false" customHeight="true" outlineLevel="0" collapsed="false">
      <c r="A206" s="0" t="n">
        <v>31</v>
      </c>
      <c r="B206" s="31" t="n">
        <v>34455</v>
      </c>
      <c r="C206" s="56" t="n">
        <v>3016531</v>
      </c>
      <c r="D206" s="29" t="s">
        <v>41</v>
      </c>
      <c r="E206" s="33" t="n">
        <f aca="false">IF(D206="totale",(C206/(A206*24))/F206,IF(D206="marché libre",(C206/(A206*24))/G206,"spécifier histo"))</f>
        <v>0.923571104906067</v>
      </c>
      <c r="F206" s="59" t="n">
        <v>4390</v>
      </c>
      <c r="G206" s="59" t="n">
        <f aca="false">F206-H206</f>
        <v>4390</v>
      </c>
      <c r="H206" s="9" t="n">
        <f aca="false">0</f>
        <v>0</v>
      </c>
      <c r="I206" s="9"/>
      <c r="J206" s="30"/>
    </row>
    <row r="207" customFormat="false" ht="17.7" hidden="false" customHeight="true" outlineLevel="0" collapsed="false">
      <c r="A207" s="0" t="n">
        <v>30</v>
      </c>
      <c r="B207" s="34" t="n">
        <v>34486</v>
      </c>
      <c r="C207" s="56" t="n">
        <v>2006928</v>
      </c>
      <c r="D207" s="29" t="s">
        <v>41</v>
      </c>
      <c r="E207" s="33" t="n">
        <f aca="false">IF(D207="totale",(C207/(A207*24))/F207,IF(D207="marché libre",(C207/(A207*24))/G207,"spécifier histo"))</f>
        <v>0.6349430523918</v>
      </c>
      <c r="F207" s="59" t="n">
        <v>4390</v>
      </c>
      <c r="G207" s="59" t="n">
        <f aca="false">F207-H207</f>
        <v>4390</v>
      </c>
      <c r="H207" s="9" t="n">
        <f aca="false">0</f>
        <v>0</v>
      </c>
      <c r="I207" s="9"/>
      <c r="J207" s="30"/>
    </row>
    <row r="208" customFormat="false" ht="17.7" hidden="false" customHeight="true" outlineLevel="0" collapsed="false">
      <c r="A208" s="0" t="n">
        <v>31</v>
      </c>
      <c r="B208" s="31" t="n">
        <v>34516</v>
      </c>
      <c r="C208" s="56" t="n">
        <v>1027620</v>
      </c>
      <c r="D208" s="29" t="s">
        <v>41</v>
      </c>
      <c r="E208" s="33" t="n">
        <f aca="false">IF(D208="totale",(C208/(A208*24))/F208,IF(D208="marché libre",(C208/(A208*24))/G208,"spécifier histo"))</f>
        <v>0.31462635020942</v>
      </c>
      <c r="F208" s="59" t="n">
        <v>4390</v>
      </c>
      <c r="G208" s="59" t="n">
        <f aca="false">F208-H208</f>
        <v>4390</v>
      </c>
      <c r="H208" s="9" t="n">
        <f aca="false">0</f>
        <v>0</v>
      </c>
      <c r="I208" s="9"/>
      <c r="J208" s="30"/>
    </row>
    <row r="209" customFormat="false" ht="17.7" hidden="false" customHeight="true" outlineLevel="0" collapsed="false">
      <c r="A209" s="0" t="n">
        <v>31</v>
      </c>
      <c r="B209" s="34" t="n">
        <v>34547</v>
      </c>
      <c r="C209" s="56" t="n">
        <v>279378</v>
      </c>
      <c r="D209" s="29" t="s">
        <v>41</v>
      </c>
      <c r="E209" s="33" t="n">
        <f aca="false">IF(D209="totale",(C209/(A209*24))/F209,IF(D209="marché libre",(C209/(A209*24))/G209,"spécifier histo"))</f>
        <v>0.0855371445367036</v>
      </c>
      <c r="F209" s="59" t="n">
        <v>4390</v>
      </c>
      <c r="G209" s="59" t="n">
        <f aca="false">F209-H209</f>
        <v>4390</v>
      </c>
      <c r="H209" s="9" t="n">
        <f aca="false">0</f>
        <v>0</v>
      </c>
      <c r="I209" s="9"/>
      <c r="J209" s="30"/>
    </row>
    <row r="210" customFormat="false" ht="17.7" hidden="false" customHeight="true" outlineLevel="0" collapsed="false">
      <c r="A210" s="0" t="n">
        <v>30</v>
      </c>
      <c r="B210" s="31" t="n">
        <v>34578</v>
      </c>
      <c r="C210" s="56" t="n">
        <v>540738</v>
      </c>
      <c r="D210" s="29" t="s">
        <v>41</v>
      </c>
      <c r="E210" s="33" t="n">
        <f aca="false">IF(D210="totale",(C210/(A210*24))/F210,IF(D210="marché libre",(C210/(A210*24))/G210,"spécifier histo"))</f>
        <v>0.171076309794989</v>
      </c>
      <c r="F210" s="59" t="n">
        <v>4390</v>
      </c>
      <c r="G210" s="59" t="n">
        <f aca="false">F210-H210</f>
        <v>4390</v>
      </c>
      <c r="H210" s="9" t="n">
        <f aca="false">0</f>
        <v>0</v>
      </c>
      <c r="I210" s="9"/>
      <c r="J210" s="30"/>
    </row>
    <row r="211" customFormat="false" ht="17.7" hidden="false" customHeight="true" outlineLevel="0" collapsed="false">
      <c r="A211" s="0" t="n">
        <v>31</v>
      </c>
      <c r="B211" s="34" t="n">
        <v>34608</v>
      </c>
      <c r="C211" s="56" t="n">
        <v>325116</v>
      </c>
      <c r="D211" s="29" t="s">
        <v>41</v>
      </c>
      <c r="E211" s="33" t="n">
        <f aca="false">IF(D211="totale",(C211/(A211*24))/F211,IF(D211="marché libre",(C211/(A211*24))/G211,"spécifier histo"))</f>
        <v>0.0995407450951576</v>
      </c>
      <c r="F211" s="59" t="n">
        <v>4390</v>
      </c>
      <c r="G211" s="59" t="n">
        <f aca="false">F211-H211</f>
        <v>4390</v>
      </c>
      <c r="H211" s="9" t="n">
        <f aca="false">0</f>
        <v>0</v>
      </c>
      <c r="I211" s="9"/>
      <c r="J211" s="30"/>
    </row>
    <row r="212" customFormat="false" ht="17.7" hidden="false" customHeight="true" outlineLevel="0" collapsed="false">
      <c r="A212" s="0" t="n">
        <v>30</v>
      </c>
      <c r="B212" s="31" t="n">
        <v>34639</v>
      </c>
      <c r="C212" s="56" t="n">
        <v>1168794</v>
      </c>
      <c r="D212" s="29" t="s">
        <v>41</v>
      </c>
      <c r="E212" s="33" t="n">
        <f aca="false">IF(D212="totale",(C212/(A212*24))/F212,IF(D212="marché libre",(C212/(A212*24))/G212,"spécifier histo"))</f>
        <v>0.369777904328018</v>
      </c>
      <c r="F212" s="59" t="n">
        <v>4390</v>
      </c>
      <c r="G212" s="59" t="n">
        <f aca="false">F212-H212</f>
        <v>4390</v>
      </c>
      <c r="H212" s="9" t="n">
        <f aca="false">0</f>
        <v>0</v>
      </c>
      <c r="I212" s="9"/>
      <c r="J212" s="30"/>
    </row>
    <row r="213" customFormat="false" ht="17.7" hidden="false" customHeight="true" outlineLevel="0" collapsed="false">
      <c r="A213" s="0" t="n">
        <v>31</v>
      </c>
      <c r="B213" s="34" t="n">
        <v>34669</v>
      </c>
      <c r="C213" s="56" t="n">
        <v>533016</v>
      </c>
      <c r="D213" s="29" t="s">
        <v>41</v>
      </c>
      <c r="E213" s="33" t="n">
        <f aca="false">IF(D213="totale",(C213/(A213*24))/F213,IF(D213="marché libre",(C213/(A213*24))/G213,"spécifier histo"))</f>
        <v>0.163193474906312</v>
      </c>
      <c r="F213" s="59" t="n">
        <v>4390</v>
      </c>
      <c r="G213" s="59" t="n">
        <f aca="false">F213-H213</f>
        <v>4390</v>
      </c>
      <c r="H213" s="9" t="n">
        <f aca="false">0</f>
        <v>0</v>
      </c>
      <c r="I213" s="9"/>
      <c r="J213" s="30"/>
    </row>
    <row r="214" customFormat="false" ht="17.7" hidden="false" customHeight="true" outlineLevel="0" collapsed="false">
      <c r="A214" s="0" t="n">
        <v>31</v>
      </c>
      <c r="B214" s="31" t="n">
        <v>34700</v>
      </c>
      <c r="C214" s="56" t="n">
        <v>2185326</v>
      </c>
      <c r="D214" s="29" t="s">
        <v>41</v>
      </c>
      <c r="E214" s="33" t="n">
        <f aca="false">IF(D214="totale",(C214/(A214*24))/F214,IF(D214="marché libre",(C214/(A214*24))/G214,"spécifier histo"))</f>
        <v>0.669081122786391</v>
      </c>
      <c r="F214" s="59" t="n">
        <v>4390</v>
      </c>
      <c r="G214" s="59" t="n">
        <f aca="false">F214-H214</f>
        <v>4390</v>
      </c>
      <c r="H214" s="9" t="n">
        <f aca="false">0</f>
        <v>0</v>
      </c>
      <c r="I214" s="9"/>
      <c r="J214" s="30"/>
    </row>
    <row r="215" customFormat="false" ht="17.7" hidden="false" customHeight="true" outlineLevel="0" collapsed="false">
      <c r="A215" s="0" t="n">
        <v>28</v>
      </c>
      <c r="B215" s="34" t="n">
        <v>34731</v>
      </c>
      <c r="C215" s="56" t="n">
        <v>2527866</v>
      </c>
      <c r="D215" s="29" t="s">
        <v>41</v>
      </c>
      <c r="E215" s="33" t="n">
        <f aca="false">IF(D215="totale",(C215/(A215*24))/F215,IF(D215="marché libre",(C215/(A215*24))/G215,"spécifier histo"))</f>
        <v>0.856880491376505</v>
      </c>
      <c r="F215" s="59" t="n">
        <v>4390</v>
      </c>
      <c r="G215" s="59" t="n">
        <f aca="false">F215-H215</f>
        <v>4390</v>
      </c>
      <c r="H215" s="9" t="n">
        <f aca="false">0</f>
        <v>0</v>
      </c>
      <c r="I215" s="9"/>
      <c r="J215" s="30"/>
    </row>
    <row r="216" customFormat="false" ht="17.7" hidden="false" customHeight="true" outlineLevel="0" collapsed="false">
      <c r="A216" s="0" t="n">
        <v>31</v>
      </c>
      <c r="B216" s="31" t="n">
        <v>34759</v>
      </c>
      <c r="C216" s="56" t="n">
        <v>2407481</v>
      </c>
      <c r="D216" s="29" t="s">
        <v>41</v>
      </c>
      <c r="E216" s="33" t="n">
        <f aca="false">IF(D216="totale",(C216/(A216*24))/F216,IF(D216="marché libre",(C216/(A216*24))/G216,"spécifier histo"))</f>
        <v>0.737098305043231</v>
      </c>
      <c r="F216" s="59" t="n">
        <v>4390</v>
      </c>
      <c r="G216" s="59" t="n">
        <f aca="false">F216-H216</f>
        <v>4390</v>
      </c>
      <c r="H216" s="9" t="n">
        <f aca="false">0</f>
        <v>0</v>
      </c>
      <c r="I216" s="9"/>
      <c r="J216" s="30"/>
    </row>
    <row r="217" customFormat="false" ht="17.7" hidden="false" customHeight="true" outlineLevel="0" collapsed="false">
      <c r="A217" s="0" t="n">
        <v>30</v>
      </c>
      <c r="B217" s="34" t="n">
        <v>34790</v>
      </c>
      <c r="C217" s="56" t="n">
        <v>1619046</v>
      </c>
      <c r="D217" s="29" t="s">
        <v>41</v>
      </c>
      <c r="E217" s="33" t="n">
        <f aca="false">IF(D217="totale",(C217/(A217*24))/F217,IF(D217="marché libre",(C217/(A217*24))/G217,"spécifier histo"))</f>
        <v>0.512226651480638</v>
      </c>
      <c r="F217" s="59" t="n">
        <v>4390</v>
      </c>
      <c r="G217" s="59" t="n">
        <f aca="false">F217-H217</f>
        <v>4390</v>
      </c>
      <c r="H217" s="9" t="n">
        <f aca="false">0</f>
        <v>0</v>
      </c>
      <c r="I217" s="9"/>
      <c r="J217" s="30"/>
    </row>
    <row r="218" customFormat="false" ht="17.7" hidden="false" customHeight="true" outlineLevel="0" collapsed="false">
      <c r="A218" s="0" t="n">
        <v>31</v>
      </c>
      <c r="B218" s="31" t="n">
        <v>34820</v>
      </c>
      <c r="C218" s="56" t="n">
        <v>2713392</v>
      </c>
      <c r="D218" s="29" t="s">
        <v>41</v>
      </c>
      <c r="E218" s="33" t="n">
        <f aca="false">IF(D218="totale",(C218/(A218*24))/F218,IF(D218="marché libre",(C218/(A218*24))/G218,"spécifier histo"))</f>
        <v>0.830759056506723</v>
      </c>
      <c r="F218" s="59" t="n">
        <v>4390</v>
      </c>
      <c r="G218" s="59" t="n">
        <f aca="false">F218-H218</f>
        <v>4390</v>
      </c>
      <c r="H218" s="9" t="n">
        <f aca="false">0</f>
        <v>0</v>
      </c>
      <c r="I218" s="9"/>
      <c r="J218" s="30"/>
    </row>
    <row r="219" customFormat="false" ht="17.7" hidden="false" customHeight="true" outlineLevel="0" collapsed="false">
      <c r="A219" s="0" t="n">
        <v>30</v>
      </c>
      <c r="B219" s="34" t="n">
        <v>34851</v>
      </c>
      <c r="C219" s="56" t="n">
        <v>2349665</v>
      </c>
      <c r="D219" s="29" t="s">
        <v>41</v>
      </c>
      <c r="E219" s="33" t="n">
        <f aca="false">IF(D219="totale",(C219/(A219*24))/F219,IF(D219="marché libre",(C219/(A219*24))/G219,"spécifier histo"))</f>
        <v>0.743376676790686</v>
      </c>
      <c r="F219" s="59" t="n">
        <v>4390</v>
      </c>
      <c r="G219" s="59" t="n">
        <f aca="false">F219-H219</f>
        <v>4390</v>
      </c>
      <c r="H219" s="9" t="n">
        <f aca="false">0</f>
        <v>0</v>
      </c>
      <c r="I219" s="9"/>
      <c r="J219" s="30"/>
    </row>
    <row r="220" customFormat="false" ht="17.7" hidden="false" customHeight="true" outlineLevel="0" collapsed="false">
      <c r="A220" s="0" t="n">
        <v>31</v>
      </c>
      <c r="B220" s="31" t="n">
        <v>34881</v>
      </c>
      <c r="C220" s="56" t="n">
        <v>981487</v>
      </c>
      <c r="D220" s="29" t="s">
        <v>41</v>
      </c>
      <c r="E220" s="33" t="n">
        <f aca="false">IF(D220="totale",(C220/(A220*24))/F220,IF(D220="marché libre",(C220/(A220*24))/G220,"spécifier histo"))</f>
        <v>0.300501812526024</v>
      </c>
      <c r="F220" s="59" t="n">
        <v>4390</v>
      </c>
      <c r="G220" s="59" t="n">
        <f aca="false">F220-H220</f>
        <v>4390</v>
      </c>
      <c r="H220" s="9" t="n">
        <f aca="false">0</f>
        <v>0</v>
      </c>
      <c r="I220" s="9"/>
      <c r="J220" s="30"/>
    </row>
    <row r="221" customFormat="false" ht="17.7" hidden="false" customHeight="true" outlineLevel="0" collapsed="false">
      <c r="A221" s="0" t="n">
        <v>31</v>
      </c>
      <c r="B221" s="34" t="n">
        <v>34912</v>
      </c>
      <c r="C221" s="56" t="n">
        <v>292645</v>
      </c>
      <c r="D221" s="29" t="s">
        <v>41</v>
      </c>
      <c r="E221" s="33" t="n">
        <f aca="false">IF(D221="totale",(C221/(A221*24))/F221,IF(D221="marché libre",(C221/(A221*24))/G221,"spécifier histo"))</f>
        <v>0.0895991010850663</v>
      </c>
      <c r="F221" s="59" t="n">
        <v>4390</v>
      </c>
      <c r="G221" s="59" t="n">
        <f aca="false">F221-H221</f>
        <v>4390</v>
      </c>
      <c r="H221" s="9" t="n">
        <f aca="false">0</f>
        <v>0</v>
      </c>
      <c r="I221" s="9"/>
      <c r="J221" s="30"/>
    </row>
    <row r="222" customFormat="false" ht="17.7" hidden="false" customHeight="true" outlineLevel="0" collapsed="false">
      <c r="A222" s="0" t="n">
        <v>30</v>
      </c>
      <c r="B222" s="31" t="n">
        <v>34943</v>
      </c>
      <c r="C222" s="56" t="n">
        <v>918324</v>
      </c>
      <c r="D222" s="29" t="s">
        <v>41</v>
      </c>
      <c r="E222" s="33" t="n">
        <f aca="false">IF(D222="totale",(C222/(A222*24))/F222,IF(D222="marché libre",(C222/(A222*24))/G222,"spécifier histo"))</f>
        <v>0.290535307517084</v>
      </c>
      <c r="F222" s="59" t="n">
        <v>4390</v>
      </c>
      <c r="G222" s="59" t="n">
        <f aca="false">F222-H222</f>
        <v>4390</v>
      </c>
      <c r="H222" s="9" t="n">
        <f aca="false">0</f>
        <v>0</v>
      </c>
      <c r="I222" s="9"/>
      <c r="J222" s="30"/>
    </row>
    <row r="223" customFormat="false" ht="17.7" hidden="false" customHeight="true" outlineLevel="0" collapsed="false">
      <c r="A223" s="0" t="n">
        <v>31</v>
      </c>
      <c r="B223" s="34" t="n">
        <v>34973</v>
      </c>
      <c r="C223" s="56" t="n">
        <v>851598</v>
      </c>
      <c r="D223" s="29" t="s">
        <v>41</v>
      </c>
      <c r="E223" s="33" t="n">
        <f aca="false">IF(D223="totale",(C223/(A223*24))/F223,IF(D223="marché libre",(C223/(A223*24))/G223,"spécifier histo"))</f>
        <v>0.260733705635976</v>
      </c>
      <c r="F223" s="59" t="n">
        <v>4390</v>
      </c>
      <c r="G223" s="59" t="n">
        <f aca="false">F223-H223</f>
        <v>4390</v>
      </c>
      <c r="H223" s="9" t="n">
        <f aca="false">0</f>
        <v>0</v>
      </c>
      <c r="I223" s="9"/>
      <c r="J223" s="30"/>
    </row>
    <row r="224" customFormat="false" ht="17.7" hidden="false" customHeight="true" outlineLevel="0" collapsed="false">
      <c r="A224" s="0" t="n">
        <v>30</v>
      </c>
      <c r="B224" s="31" t="n">
        <v>35004</v>
      </c>
      <c r="C224" s="56" t="n">
        <v>481734</v>
      </c>
      <c r="D224" s="29" t="s">
        <v>41</v>
      </c>
      <c r="E224" s="33" t="n">
        <f aca="false">IF(D224="totale",(C224/(A224*24))/F224,IF(D224="marché libre",(C224/(A224*24))/G224,"spécifier histo"))</f>
        <v>0.152408883826879</v>
      </c>
      <c r="F224" s="59" t="n">
        <v>4390</v>
      </c>
      <c r="G224" s="59" t="n">
        <f aca="false">F224-H224</f>
        <v>4390</v>
      </c>
      <c r="H224" s="9" t="n">
        <f aca="false">0</f>
        <v>0</v>
      </c>
      <c r="I224" s="9"/>
      <c r="J224" s="30"/>
    </row>
    <row r="225" customFormat="false" ht="17.7" hidden="false" customHeight="true" outlineLevel="0" collapsed="false">
      <c r="A225" s="0" t="n">
        <v>31</v>
      </c>
      <c r="B225" s="34" t="n">
        <v>35034</v>
      </c>
      <c r="C225" s="56" t="n">
        <v>1388178</v>
      </c>
      <c r="D225" s="29" t="s">
        <v>41</v>
      </c>
      <c r="E225" s="33" t="n">
        <f aca="false">IF(D225="totale",(C225/(A225*24))/F225,IF(D225="marché libre",(C225/(A225*24))/G225,"spécifier histo"))</f>
        <v>0.425018370196194</v>
      </c>
      <c r="F225" s="59" t="n">
        <v>4390</v>
      </c>
      <c r="G225" s="59" t="n">
        <f aca="false">F225-H225</f>
        <v>4390</v>
      </c>
      <c r="H225" s="9" t="n">
        <f aca="false">0</f>
        <v>0</v>
      </c>
      <c r="I225" s="9"/>
      <c r="J225" s="30"/>
    </row>
    <row r="226" customFormat="false" ht="17.7" hidden="false" customHeight="true" outlineLevel="0" collapsed="false">
      <c r="A226" s="0" t="n">
        <v>31</v>
      </c>
      <c r="B226" s="31" t="n">
        <v>35065</v>
      </c>
      <c r="C226" s="56" t="n">
        <v>1826352</v>
      </c>
      <c r="D226" s="29" t="s">
        <v>41</v>
      </c>
      <c r="E226" s="33" t="n">
        <f aca="false">IF(D226="totale",(C226/(A226*24))/F226,IF(D226="marché libre",(C226/(A226*24))/G226,"spécifier histo"))</f>
        <v>0.559174075979132</v>
      </c>
      <c r="F226" s="59" t="n">
        <v>4390</v>
      </c>
      <c r="G226" s="59" t="n">
        <f aca="false">F226-H226</f>
        <v>4390</v>
      </c>
      <c r="H226" s="9" t="n">
        <f aca="false">0</f>
        <v>0</v>
      </c>
      <c r="I226" s="9"/>
      <c r="J226" s="30"/>
    </row>
    <row r="227" customFormat="false" ht="17.7" hidden="false" customHeight="true" outlineLevel="0" collapsed="false">
      <c r="A227" s="0" t="n">
        <v>28</v>
      </c>
      <c r="B227" s="34" t="n">
        <v>35096</v>
      </c>
      <c r="C227" s="56" t="n">
        <v>1924164</v>
      </c>
      <c r="D227" s="29" t="s">
        <v>41</v>
      </c>
      <c r="E227" s="33" t="n">
        <f aca="false">IF(D227="totale",(C227/(A227*24))/F227,IF(D227="marché libre",(C227/(A227*24))/G227,"spécifier histo"))</f>
        <v>0.652241295151318</v>
      </c>
      <c r="F227" s="59" t="n">
        <v>4390</v>
      </c>
      <c r="G227" s="59" t="n">
        <f aca="false">F227-H227</f>
        <v>4390</v>
      </c>
      <c r="H227" s="9" t="n">
        <f aca="false">0</f>
        <v>0</v>
      </c>
      <c r="I227" s="9"/>
      <c r="J227" s="30"/>
    </row>
    <row r="228" customFormat="false" ht="17.7" hidden="false" customHeight="true" outlineLevel="0" collapsed="false">
      <c r="A228" s="0" t="n">
        <v>31</v>
      </c>
      <c r="B228" s="31" t="n">
        <v>35125</v>
      </c>
      <c r="C228" s="56" t="n">
        <v>2184336</v>
      </c>
      <c r="D228" s="29" t="s">
        <v>41</v>
      </c>
      <c r="E228" s="33" t="n">
        <f aca="false">IF(D228="totale",(C228/(A228*24))/F228,IF(D228="marché libre",(C228/(A228*24))/G228,"spécifier histo"))</f>
        <v>0.668778014549195</v>
      </c>
      <c r="F228" s="59" t="n">
        <v>4390</v>
      </c>
      <c r="G228" s="59" t="n">
        <f aca="false">F228-H228</f>
        <v>4390</v>
      </c>
      <c r="H228" s="9" t="n">
        <f aca="false">0</f>
        <v>0</v>
      </c>
      <c r="I228" s="9"/>
      <c r="J228" s="30"/>
    </row>
    <row r="229" customFormat="false" ht="17.7" hidden="false" customHeight="true" outlineLevel="0" collapsed="false">
      <c r="A229" s="0" t="n">
        <v>30</v>
      </c>
      <c r="B229" s="34" t="n">
        <v>35156</v>
      </c>
      <c r="C229" s="56" t="n">
        <v>2473416</v>
      </c>
      <c r="D229" s="29" t="s">
        <v>41</v>
      </c>
      <c r="E229" s="33" t="n">
        <f aca="false">IF(D229="totale",(C229/(A229*24))/F229,IF(D229="marché libre",(C229/(A229*24))/G229,"spécifier histo"))</f>
        <v>0.7825284738041</v>
      </c>
      <c r="F229" s="59" t="n">
        <v>4390</v>
      </c>
      <c r="G229" s="59" t="n">
        <f aca="false">F229-H229</f>
        <v>4390</v>
      </c>
      <c r="H229" s="9" t="n">
        <f aca="false">0</f>
        <v>0</v>
      </c>
      <c r="I229" s="9"/>
      <c r="J229" s="30"/>
    </row>
    <row r="230" customFormat="false" ht="17.7" hidden="false" customHeight="true" outlineLevel="0" collapsed="false">
      <c r="A230" s="0" t="n">
        <v>31</v>
      </c>
      <c r="B230" s="31" t="n">
        <v>35186</v>
      </c>
      <c r="C230" s="56" t="n">
        <v>2602908</v>
      </c>
      <c r="D230" s="29" t="s">
        <v>41</v>
      </c>
      <c r="E230" s="33" t="n">
        <f aca="false">IF(D230="totale",(C230/(A230*24))/F230,IF(D230="marché libre",(C230/(A230*24))/G230,"spécifier histo"))</f>
        <v>0.796932177235653</v>
      </c>
      <c r="F230" s="59" t="n">
        <v>4390</v>
      </c>
      <c r="G230" s="59" t="n">
        <f aca="false">F230-H230</f>
        <v>4390</v>
      </c>
      <c r="H230" s="9" t="n">
        <f aca="false">0</f>
        <v>0</v>
      </c>
      <c r="I230" s="9"/>
      <c r="J230" s="30"/>
    </row>
    <row r="231" customFormat="false" ht="17.7" hidden="false" customHeight="true" outlineLevel="0" collapsed="false">
      <c r="A231" s="0" t="n">
        <v>30</v>
      </c>
      <c r="B231" s="34" t="n">
        <v>35217</v>
      </c>
      <c r="C231" s="56" t="n">
        <v>1673496</v>
      </c>
      <c r="D231" s="29" t="s">
        <v>41</v>
      </c>
      <c r="E231" s="33" t="n">
        <f aca="false">IF(D231="totale",(C231/(A231*24))/F231,IF(D231="marché libre",(C231/(A231*24))/G231,"spécifier histo"))</f>
        <v>0.529453302961276</v>
      </c>
      <c r="F231" s="59" t="n">
        <v>4390</v>
      </c>
      <c r="G231" s="59" t="n">
        <f aca="false">F231-H231</f>
        <v>4390</v>
      </c>
      <c r="H231" s="9" t="n">
        <f aca="false">0</f>
        <v>0</v>
      </c>
      <c r="I231" s="9"/>
      <c r="J231" s="30"/>
    </row>
    <row r="232" customFormat="false" ht="17.7" hidden="false" customHeight="true" outlineLevel="0" collapsed="false">
      <c r="A232" s="0" t="n">
        <v>31</v>
      </c>
      <c r="B232" s="31" t="n">
        <v>35247</v>
      </c>
      <c r="C232" s="56" t="n">
        <v>1008613</v>
      </c>
      <c r="D232" s="29" t="s">
        <v>41</v>
      </c>
      <c r="E232" s="33" t="n">
        <f aca="false">IF(D232="totale",(C232/(A232*24))/F232,IF(D232="marché libre",(C232/(A232*24))/G232,"spécifier histo"))</f>
        <v>0.308806978225194</v>
      </c>
      <c r="F232" s="59" t="n">
        <v>4390</v>
      </c>
      <c r="G232" s="59" t="n">
        <f aca="false">F232-H232</f>
        <v>4390</v>
      </c>
      <c r="H232" s="9" t="n">
        <f aca="false">0</f>
        <v>0</v>
      </c>
      <c r="I232" s="9"/>
      <c r="J232" s="30"/>
    </row>
    <row r="233" customFormat="false" ht="17.7" hidden="false" customHeight="true" outlineLevel="0" collapsed="false">
      <c r="A233" s="0" t="n">
        <v>31</v>
      </c>
      <c r="B233" s="34" t="n">
        <v>35278</v>
      </c>
      <c r="C233" s="56" t="n">
        <v>0</v>
      </c>
      <c r="D233" s="29" t="s">
        <v>41</v>
      </c>
      <c r="E233" s="33" t="n">
        <f aca="false">IF(D233="totale",(C233/(A233*24))/F233,IF(D233="marché libre",(C233/(A233*24))/G233,"spécifier histo"))</f>
        <v>0</v>
      </c>
      <c r="F233" s="59" t="n">
        <v>4390</v>
      </c>
      <c r="G233" s="59" t="n">
        <f aca="false">F233-H233</f>
        <v>4390</v>
      </c>
      <c r="H233" s="9" t="n">
        <f aca="false">0</f>
        <v>0</v>
      </c>
      <c r="I233" s="9"/>
      <c r="J233" s="30"/>
    </row>
    <row r="234" customFormat="false" ht="17.7" hidden="false" customHeight="true" outlineLevel="0" collapsed="false">
      <c r="A234" s="0" t="n">
        <v>30</v>
      </c>
      <c r="B234" s="31" t="n">
        <v>35309</v>
      </c>
      <c r="C234" s="56" t="n">
        <v>219083</v>
      </c>
      <c r="D234" s="29" t="s">
        <v>41</v>
      </c>
      <c r="E234" s="33" t="n">
        <f aca="false">IF(D234="totale",(C234/(A234*24))/F234,IF(D234="marché libre",(C234/(A234*24))/G234,"spécifier histo"))</f>
        <v>0.0693125158187801</v>
      </c>
      <c r="F234" s="59" t="n">
        <v>4390</v>
      </c>
      <c r="G234" s="59" t="n">
        <f aca="false">F234-H234</f>
        <v>4390</v>
      </c>
      <c r="H234" s="9" t="n">
        <f aca="false">0</f>
        <v>0</v>
      </c>
      <c r="I234" s="9"/>
      <c r="J234" s="30"/>
    </row>
    <row r="235" customFormat="false" ht="17.7" hidden="false" customHeight="true" outlineLevel="0" collapsed="false">
      <c r="A235" s="0" t="n">
        <v>31</v>
      </c>
      <c r="B235" s="34" t="n">
        <v>35339</v>
      </c>
      <c r="C235" s="56" t="n">
        <v>1180376</v>
      </c>
      <c r="D235" s="29" t="s">
        <v>41</v>
      </c>
      <c r="E235" s="33" t="n">
        <f aca="false">IF(D235="totale",(C235/(A235*24))/F235,IF(D235="marché libre",(C235/(A235*24))/G235,"spécifier histo"))</f>
        <v>0.361395645038822</v>
      </c>
      <c r="F235" s="59" t="n">
        <v>4390</v>
      </c>
      <c r="G235" s="59" t="n">
        <f aca="false">F235-H235</f>
        <v>4390</v>
      </c>
      <c r="H235" s="9" t="n">
        <f aca="false">0</f>
        <v>0</v>
      </c>
      <c r="I235" s="9"/>
      <c r="J235" s="30"/>
    </row>
    <row r="236" customFormat="false" ht="17.7" hidden="false" customHeight="true" outlineLevel="0" collapsed="false">
      <c r="A236" s="0" t="n">
        <v>30</v>
      </c>
      <c r="B236" s="31" t="n">
        <v>35370</v>
      </c>
      <c r="C236" s="56" t="n">
        <v>1185605</v>
      </c>
      <c r="D236" s="29" t="s">
        <v>41</v>
      </c>
      <c r="E236" s="33" t="n">
        <f aca="false">IF(D236="totale",(C236/(A236*24))/F236,IF(D236="marché libre",(C236/(A236*24))/G236,"spécifier histo"))</f>
        <v>0.37509649455834</v>
      </c>
      <c r="F236" s="59" t="n">
        <v>4390</v>
      </c>
      <c r="G236" s="59" t="n">
        <f aca="false">F236-H236</f>
        <v>4390</v>
      </c>
      <c r="H236" s="9" t="n">
        <f aca="false">0</f>
        <v>0</v>
      </c>
      <c r="I236" s="9"/>
      <c r="J236" s="30"/>
    </row>
    <row r="237" customFormat="false" ht="17.7" hidden="false" customHeight="true" outlineLevel="0" collapsed="false">
      <c r="A237" s="0" t="n">
        <v>31</v>
      </c>
      <c r="B237" s="34" t="n">
        <v>35400</v>
      </c>
      <c r="C237" s="56" t="n">
        <v>2696968</v>
      </c>
      <c r="D237" s="29" t="s">
        <v>41</v>
      </c>
      <c r="E237" s="33" t="n">
        <f aca="false">IF(D237="totale",(C237/(A237*24))/F237,IF(D237="marché libre",(C237/(A237*24))/G237,"spécifier histo"))</f>
        <v>0.825730521468636</v>
      </c>
      <c r="F237" s="59" t="n">
        <v>4390</v>
      </c>
      <c r="G237" s="59" t="n">
        <f aca="false">F237-H237</f>
        <v>4390</v>
      </c>
      <c r="H237" s="9" t="n">
        <f aca="false">0</f>
        <v>0</v>
      </c>
      <c r="I237" s="9"/>
      <c r="J237" s="30"/>
    </row>
    <row r="238" customFormat="false" ht="17.7" hidden="false" customHeight="true" outlineLevel="0" collapsed="false">
      <c r="A238" s="0" t="n">
        <v>31</v>
      </c>
      <c r="B238" s="31" t="n">
        <v>35431</v>
      </c>
      <c r="C238" s="56" t="n">
        <v>2083309</v>
      </c>
      <c r="D238" s="29" t="s">
        <v>41</v>
      </c>
      <c r="E238" s="33" t="n">
        <f aca="false">IF(D238="totale",(C238/(A238*24))/F238,IF(D238="marché libre",(C238/(A238*24))/G238,"spécifier histo"))</f>
        <v>0.637846584368188</v>
      </c>
      <c r="F238" s="59" t="n">
        <v>4390</v>
      </c>
      <c r="G238" s="59" t="n">
        <f aca="false">F238-H238</f>
        <v>4390</v>
      </c>
      <c r="H238" s="9" t="n">
        <f aca="false">0</f>
        <v>0</v>
      </c>
      <c r="I238" s="9"/>
      <c r="J238" s="30"/>
    </row>
    <row r="239" customFormat="false" ht="17.7" hidden="false" customHeight="true" outlineLevel="0" collapsed="false">
      <c r="A239" s="0" t="n">
        <v>28</v>
      </c>
      <c r="B239" s="34" t="n">
        <v>35462</v>
      </c>
      <c r="C239" s="56" t="n">
        <v>1393618</v>
      </c>
      <c r="D239" s="29" t="s">
        <v>41</v>
      </c>
      <c r="E239" s="33" t="n">
        <f aca="false">IF(D239="totale",(C239/(A239*24))/F239,IF(D239="marché libre",(C239/(A239*24))/G239,"spécifier histo"))</f>
        <v>0.472400070506563</v>
      </c>
      <c r="F239" s="59" t="n">
        <v>4390</v>
      </c>
      <c r="G239" s="59" t="n">
        <f aca="false">F239-H239</f>
        <v>4390</v>
      </c>
      <c r="H239" s="9" t="n">
        <f aca="false">0</f>
        <v>0</v>
      </c>
      <c r="I239" s="9"/>
      <c r="J239" s="30"/>
    </row>
    <row r="240" customFormat="false" ht="17.7" hidden="false" customHeight="true" outlineLevel="0" collapsed="false">
      <c r="A240" s="0" t="n">
        <v>31</v>
      </c>
      <c r="B240" s="31" t="n">
        <v>35490</v>
      </c>
      <c r="C240" s="56" t="n">
        <v>951174</v>
      </c>
      <c r="D240" s="29" t="s">
        <v>41</v>
      </c>
      <c r="E240" s="33" t="n">
        <f aca="false">IF(D240="totale",(C240/(A240*24))/F240,IF(D240="marché libre",(C240/(A240*24))/G240,"spécifier histo"))</f>
        <v>0.291220883239033</v>
      </c>
      <c r="F240" s="59" t="n">
        <v>4390</v>
      </c>
      <c r="G240" s="59" t="n">
        <f aca="false">F240-H240</f>
        <v>4390</v>
      </c>
      <c r="H240" s="9" t="n">
        <f aca="false">0</f>
        <v>0</v>
      </c>
      <c r="I240" s="9"/>
      <c r="J240" s="30"/>
    </row>
    <row r="241" customFormat="false" ht="17.7" hidden="false" customHeight="true" outlineLevel="0" collapsed="false">
      <c r="A241" s="0" t="n">
        <v>30</v>
      </c>
      <c r="B241" s="34" t="n">
        <v>35521</v>
      </c>
      <c r="C241" s="56" t="n">
        <v>860851</v>
      </c>
      <c r="D241" s="29" t="s">
        <v>41</v>
      </c>
      <c r="E241" s="33" t="n">
        <f aca="false">IF(D241="totale",(C241/(A241*24))/F241,IF(D241="marché libre",(C241/(A241*24))/G241,"spécifier histo"))</f>
        <v>0.27235225259428</v>
      </c>
      <c r="F241" s="59" t="n">
        <v>4390</v>
      </c>
      <c r="G241" s="59" t="n">
        <f aca="false">F241-H241</f>
        <v>4390</v>
      </c>
      <c r="H241" s="9" t="n">
        <f aca="false">0</f>
        <v>0</v>
      </c>
      <c r="I241" s="9"/>
      <c r="J241" s="30"/>
    </row>
    <row r="242" customFormat="false" ht="17.7" hidden="false" customHeight="true" outlineLevel="0" collapsed="false">
      <c r="A242" s="0" t="n">
        <v>31</v>
      </c>
      <c r="B242" s="31" t="n">
        <v>35551</v>
      </c>
      <c r="C242" s="56" t="n">
        <v>1604704</v>
      </c>
      <c r="D242" s="29" t="s">
        <v>41</v>
      </c>
      <c r="E242" s="33" t="n">
        <f aca="false">IF(D242="totale",(C242/(A242*24))/F242,IF(D242="marché libre",(C242/(A242*24))/G242,"spécifier histo"))</f>
        <v>0.491312121880128</v>
      </c>
      <c r="F242" s="59" t="n">
        <v>4390</v>
      </c>
      <c r="G242" s="59" t="n">
        <f aca="false">F242-H242</f>
        <v>4390</v>
      </c>
      <c r="H242" s="9" t="n">
        <f aca="false">0</f>
        <v>0</v>
      </c>
      <c r="I242" s="9"/>
      <c r="J242" s="30"/>
    </row>
    <row r="243" customFormat="false" ht="17.7" hidden="false" customHeight="true" outlineLevel="0" collapsed="false">
      <c r="A243" s="0" t="n">
        <v>30</v>
      </c>
      <c r="B243" s="34" t="n">
        <v>35582</v>
      </c>
      <c r="C243" s="56" t="n">
        <v>1091084</v>
      </c>
      <c r="D243" s="29" t="s">
        <v>41</v>
      </c>
      <c r="E243" s="33" t="n">
        <f aca="false">IF(D243="totale",(C243/(A243*24))/F243,IF(D243="marché libre",(C243/(A243*24))/G243,"spécifier histo"))</f>
        <v>0.345192356365477</v>
      </c>
      <c r="F243" s="59" t="n">
        <v>4390</v>
      </c>
      <c r="G243" s="59" t="n">
        <f aca="false">F243-H243</f>
        <v>4390</v>
      </c>
      <c r="H243" s="9" t="n">
        <f aca="false">0</f>
        <v>0</v>
      </c>
      <c r="I243" s="9"/>
      <c r="J243" s="30"/>
    </row>
    <row r="244" customFormat="false" ht="17.7" hidden="false" customHeight="true" outlineLevel="0" collapsed="false">
      <c r="A244" s="0" t="n">
        <v>31</v>
      </c>
      <c r="B244" s="31" t="n">
        <v>35612</v>
      </c>
      <c r="C244" s="56" t="n">
        <v>1054602</v>
      </c>
      <c r="D244" s="29" t="s">
        <v>41</v>
      </c>
      <c r="E244" s="33" t="n">
        <f aca="false">IF(D244="totale",(C244/(A244*24))/F244,IF(D244="marché libre",(C244/(A244*24))/G244,"spécifier histo"))</f>
        <v>0.322887427437725</v>
      </c>
      <c r="F244" s="59" t="n">
        <v>4390</v>
      </c>
      <c r="G244" s="59" t="n">
        <f aca="false">F244-H244</f>
        <v>4390</v>
      </c>
      <c r="H244" s="9" t="n">
        <f aca="false">0</f>
        <v>0</v>
      </c>
      <c r="I244" s="9"/>
      <c r="J244" s="30"/>
    </row>
    <row r="245" customFormat="false" ht="17.7" hidden="false" customHeight="true" outlineLevel="0" collapsed="false">
      <c r="A245" s="0" t="n">
        <v>31</v>
      </c>
      <c r="B245" s="34" t="n">
        <v>35643</v>
      </c>
      <c r="C245" s="56" t="n">
        <v>1146475</v>
      </c>
      <c r="D245" s="29" t="s">
        <v>41</v>
      </c>
      <c r="E245" s="33" t="n">
        <f aca="false">IF(D245="totale",(C245/(A245*24))/F245,IF(D245="marché libre",(C245/(A245*24))/G245,"spécifier histo"))</f>
        <v>0.351016178019448</v>
      </c>
      <c r="F245" s="59" t="n">
        <v>4390</v>
      </c>
      <c r="G245" s="59" t="n">
        <f aca="false">F245-H245</f>
        <v>4390</v>
      </c>
      <c r="H245" s="9" t="n">
        <f aca="false">0</f>
        <v>0</v>
      </c>
      <c r="I245" s="9"/>
      <c r="J245" s="30"/>
    </row>
    <row r="246" customFormat="false" ht="17.7" hidden="false" customHeight="true" outlineLevel="0" collapsed="false">
      <c r="A246" s="0" t="n">
        <v>30</v>
      </c>
      <c r="B246" s="31" t="n">
        <v>35674</v>
      </c>
      <c r="C246" s="56" t="n">
        <v>411885</v>
      </c>
      <c r="D246" s="29" t="s">
        <v>41</v>
      </c>
      <c r="E246" s="33" t="n">
        <f aca="false">IF(D246="totale",(C246/(A246*24))/F246,IF(D246="marché libre",(C246/(A246*24))/G246,"spécifier histo"))</f>
        <v>0.130310364464692</v>
      </c>
      <c r="F246" s="59" t="n">
        <v>4390</v>
      </c>
      <c r="G246" s="59" t="n">
        <f aca="false">F246-H246</f>
        <v>4390</v>
      </c>
      <c r="H246" s="9" t="n">
        <f aca="false">0</f>
        <v>0</v>
      </c>
      <c r="I246" s="9"/>
      <c r="J246" s="30"/>
    </row>
    <row r="247" customFormat="false" ht="17.7" hidden="false" customHeight="true" outlineLevel="0" collapsed="false">
      <c r="A247" s="0" t="n">
        <v>31</v>
      </c>
      <c r="B247" s="34" t="n">
        <v>35704</v>
      </c>
      <c r="C247" s="56" t="n">
        <v>228347</v>
      </c>
      <c r="D247" s="29" t="s">
        <v>41</v>
      </c>
      <c r="E247" s="33" t="n">
        <f aca="false">IF(D247="totale",(C247/(A247*24))/F247,IF(D247="marché libre",(C247/(A247*24))/G247,"spécifier histo"))</f>
        <v>0.0699129865040292</v>
      </c>
      <c r="F247" s="59" t="n">
        <v>4390</v>
      </c>
      <c r="G247" s="59" t="n">
        <f aca="false">F247-H247</f>
        <v>4390</v>
      </c>
      <c r="H247" s="9" t="n">
        <f aca="false">0</f>
        <v>0</v>
      </c>
      <c r="I247" s="9"/>
      <c r="J247" s="30"/>
    </row>
    <row r="248" customFormat="false" ht="17.7" hidden="false" customHeight="true" outlineLevel="0" collapsed="false">
      <c r="A248" s="0" t="n">
        <v>30</v>
      </c>
      <c r="B248" s="31" t="n">
        <v>35735</v>
      </c>
      <c r="C248" s="56" t="n">
        <v>386312</v>
      </c>
      <c r="D248" s="29" t="s">
        <v>41</v>
      </c>
      <c r="E248" s="33" t="n">
        <f aca="false">IF(D248="totale",(C248/(A248*24))/F248,IF(D248="marché libre",(C248/(A248*24))/G248,"spécifier histo"))</f>
        <v>0.122219691217413</v>
      </c>
      <c r="F248" s="59" t="n">
        <v>4390</v>
      </c>
      <c r="G248" s="59" t="n">
        <f aca="false">F248-H248</f>
        <v>4390</v>
      </c>
      <c r="H248" s="9" t="n">
        <f aca="false">0</f>
        <v>0</v>
      </c>
      <c r="I248" s="9"/>
      <c r="J248" s="30"/>
    </row>
    <row r="249" customFormat="false" ht="17.7" hidden="false" customHeight="true" outlineLevel="0" collapsed="false">
      <c r="A249" s="0" t="n">
        <v>31</v>
      </c>
      <c r="B249" s="34" t="n">
        <v>35765</v>
      </c>
      <c r="C249" s="56" t="n">
        <v>1574308</v>
      </c>
      <c r="D249" s="29" t="s">
        <v>41</v>
      </c>
      <c r="E249" s="33" t="n">
        <f aca="false">IF(D249="totale",(C249/(A249*24))/F249,IF(D249="marché libre",(C249/(A249*24))/G249,"spécifier histo"))</f>
        <v>0.482005780488402</v>
      </c>
      <c r="F249" s="59" t="n">
        <v>4390</v>
      </c>
      <c r="G249" s="59" t="n">
        <f aca="false">F249-H249</f>
        <v>4390</v>
      </c>
      <c r="H249" s="9" t="n">
        <f aca="false">0</f>
        <v>0</v>
      </c>
      <c r="I249" s="9"/>
      <c r="J249" s="30"/>
    </row>
    <row r="250" customFormat="false" ht="17.7" hidden="false" customHeight="true" outlineLevel="0" collapsed="false">
      <c r="A250" s="0" t="n">
        <v>31</v>
      </c>
      <c r="B250" s="31" t="n">
        <v>35796</v>
      </c>
      <c r="C250" s="56" t="n">
        <v>1783934</v>
      </c>
      <c r="D250" s="29" t="s">
        <v>41</v>
      </c>
      <c r="E250" s="33" t="n">
        <f aca="false">IF(D250="totale",(C250/(A250*24))/F250,IF(D250="marché libre",(C250/(A250*24))/G250,"spécifier histo"))</f>
        <v>0.546186959610062</v>
      </c>
      <c r="F250" s="59" t="n">
        <v>4390</v>
      </c>
      <c r="G250" s="59" t="n">
        <f aca="false">F250-H250</f>
        <v>4390</v>
      </c>
      <c r="H250" s="9" t="n">
        <f aca="false">0</f>
        <v>0</v>
      </c>
      <c r="I250" s="9"/>
      <c r="J250" s="30"/>
    </row>
    <row r="251" customFormat="false" ht="17.7" hidden="false" customHeight="true" outlineLevel="0" collapsed="false">
      <c r="A251" s="0" t="n">
        <v>28</v>
      </c>
      <c r="B251" s="34" t="n">
        <v>35827</v>
      </c>
      <c r="C251" s="56" t="n">
        <v>500801</v>
      </c>
      <c r="D251" s="29" t="s">
        <v>41</v>
      </c>
      <c r="E251" s="33" t="n">
        <f aca="false">IF(D251="totale",(C251/(A251*24))/F251,IF(D251="marché libre",(C251/(A251*24))/G251,"spécifier histo"))</f>
        <v>0.16975844722855</v>
      </c>
      <c r="F251" s="59" t="n">
        <v>4390</v>
      </c>
      <c r="G251" s="59" t="n">
        <f aca="false">F251-H251</f>
        <v>4390</v>
      </c>
      <c r="H251" s="9" t="n">
        <f aca="false">0</f>
        <v>0</v>
      </c>
      <c r="I251" s="9"/>
      <c r="J251" s="30"/>
    </row>
    <row r="252" customFormat="false" ht="17.7" hidden="false" customHeight="true" outlineLevel="0" collapsed="false">
      <c r="A252" s="0" t="n">
        <v>31</v>
      </c>
      <c r="B252" s="31" t="n">
        <v>35855</v>
      </c>
      <c r="C252" s="56" t="n">
        <v>1730286</v>
      </c>
      <c r="D252" s="29" t="s">
        <v>41</v>
      </c>
      <c r="E252" s="33" t="n">
        <f aca="false">IF(D252="totale",(C252/(A252*24))/F252,IF(D252="marché libre",(C252/(A252*24))/G252,"spécifier histo"))</f>
        <v>0.529761554853406</v>
      </c>
      <c r="F252" s="59" t="n">
        <v>4390</v>
      </c>
      <c r="G252" s="59" t="n">
        <f aca="false">F252-H252</f>
        <v>4390</v>
      </c>
      <c r="H252" s="9" t="n">
        <f aca="false">0</f>
        <v>0</v>
      </c>
      <c r="I252" s="9"/>
      <c r="J252" s="30"/>
    </row>
    <row r="253" customFormat="false" ht="17.7" hidden="false" customHeight="true" outlineLevel="0" collapsed="false">
      <c r="A253" s="0" t="n">
        <v>30</v>
      </c>
      <c r="B253" s="34" t="n">
        <v>35886</v>
      </c>
      <c r="C253" s="56" t="n">
        <v>2203917</v>
      </c>
      <c r="D253" s="29" t="s">
        <v>41</v>
      </c>
      <c r="E253" s="33" t="n">
        <f aca="false">IF(D253="totale",(C253/(A253*24))/F253,IF(D253="marché libre",(C253/(A253*24))/G253,"spécifier histo"))</f>
        <v>0.697265565679575</v>
      </c>
      <c r="F253" s="59" t="n">
        <v>4390</v>
      </c>
      <c r="G253" s="59" t="n">
        <f aca="false">F253-H253</f>
        <v>4390</v>
      </c>
      <c r="H253" s="9" t="n">
        <f aca="false">0</f>
        <v>0</v>
      </c>
      <c r="I253" s="9"/>
      <c r="J253" s="30"/>
    </row>
    <row r="254" customFormat="false" ht="17.7" hidden="false" customHeight="true" outlineLevel="0" collapsed="false">
      <c r="A254" s="0" t="n">
        <v>31</v>
      </c>
      <c r="B254" s="31" t="n">
        <v>35916</v>
      </c>
      <c r="C254" s="56" t="n">
        <v>2728450</v>
      </c>
      <c r="D254" s="29" t="s">
        <v>41</v>
      </c>
      <c r="E254" s="33" t="n">
        <f aca="false">IF(D254="totale",(C254/(A254*24))/F254,IF(D254="marché libre",(C254/(A254*24))/G254,"spécifier histo"))</f>
        <v>0.835369363411468</v>
      </c>
      <c r="F254" s="59" t="n">
        <v>4390</v>
      </c>
      <c r="G254" s="59" t="n">
        <f aca="false">F254-H254</f>
        <v>4390</v>
      </c>
      <c r="H254" s="9" t="n">
        <f aca="false">0</f>
        <v>0</v>
      </c>
      <c r="I254" s="9"/>
      <c r="J254" s="30"/>
    </row>
    <row r="255" customFormat="false" ht="17.7" hidden="false" customHeight="true" outlineLevel="0" collapsed="false">
      <c r="A255" s="0" t="n">
        <v>30</v>
      </c>
      <c r="B255" s="34" t="n">
        <v>35947</v>
      </c>
      <c r="C255" s="56" t="n">
        <v>1648601</v>
      </c>
      <c r="D255" s="29" t="s">
        <v>41</v>
      </c>
      <c r="E255" s="33" t="n">
        <f aca="false">IF(D255="totale",(C255/(A255*24))/F255,IF(D255="marché libre",(C255/(A255*24))/G255,"spécifier histo"))</f>
        <v>0.521577132371551</v>
      </c>
      <c r="F255" s="59" t="n">
        <v>4390</v>
      </c>
      <c r="G255" s="59" t="n">
        <f aca="false">F255-H255</f>
        <v>4390</v>
      </c>
      <c r="H255" s="9" t="n">
        <f aca="false">0</f>
        <v>0</v>
      </c>
      <c r="I255" s="9"/>
      <c r="J255" s="30"/>
    </row>
    <row r="256" customFormat="false" ht="17.7" hidden="false" customHeight="true" outlineLevel="0" collapsed="false">
      <c r="A256" s="0" t="n">
        <v>31</v>
      </c>
      <c r="B256" s="31" t="n">
        <v>35977</v>
      </c>
      <c r="C256" s="56" t="n">
        <v>407802</v>
      </c>
      <c r="D256" s="29" t="s">
        <v>41</v>
      </c>
      <c r="E256" s="33" t="n">
        <f aca="false">IF(D256="totale",(C256/(A256*24))/F256,IF(D256="marché libre",(C256/(A256*24))/G256,"spécifier histo"))</f>
        <v>0.124856712469689</v>
      </c>
      <c r="F256" s="59" t="n">
        <v>4390</v>
      </c>
      <c r="G256" s="59" t="n">
        <f aca="false">F256-H256</f>
        <v>4390</v>
      </c>
      <c r="H256" s="9" t="n">
        <f aca="false">0</f>
        <v>0</v>
      </c>
      <c r="I256" s="9"/>
      <c r="J256" s="30"/>
    </row>
    <row r="257" customFormat="false" ht="17.7" hidden="false" customHeight="true" outlineLevel="0" collapsed="false">
      <c r="A257" s="0" t="n">
        <v>31</v>
      </c>
      <c r="B257" s="34" t="n">
        <v>36008</v>
      </c>
      <c r="C257" s="56" t="n">
        <v>550609</v>
      </c>
      <c r="D257" s="29" t="s">
        <v>41</v>
      </c>
      <c r="E257" s="33" t="n">
        <f aca="false">IF(D257="totale",(C257/(A257*24))/F257,IF(D257="marché libre",(C257/(A257*24))/G257,"spécifier histo"))</f>
        <v>0.16857992260024</v>
      </c>
      <c r="F257" s="59" t="n">
        <v>4390</v>
      </c>
      <c r="G257" s="59" t="n">
        <f aca="false">F257-H257</f>
        <v>4390</v>
      </c>
      <c r="H257" s="9" t="n">
        <f aca="false">0</f>
        <v>0</v>
      </c>
      <c r="I257" s="9"/>
      <c r="J257" s="30"/>
    </row>
    <row r="258" customFormat="false" ht="17.7" hidden="false" customHeight="true" outlineLevel="0" collapsed="false">
      <c r="A258" s="0" t="n">
        <v>30</v>
      </c>
      <c r="B258" s="31" t="n">
        <v>36039</v>
      </c>
      <c r="C258" s="56" t="n">
        <v>853917</v>
      </c>
      <c r="D258" s="29" t="s">
        <v>41</v>
      </c>
      <c r="E258" s="33" t="n">
        <f aca="false">IF(D258="totale",(C258/(A258*24))/F258,IF(D258="marché libre",(C258/(A258*24))/G258,"spécifier histo"))</f>
        <v>0.270158504176158</v>
      </c>
      <c r="F258" s="59" t="n">
        <v>4390</v>
      </c>
      <c r="G258" s="59" t="n">
        <f aca="false">F258-H258</f>
        <v>4390</v>
      </c>
      <c r="H258" s="9" t="n">
        <f aca="false">0</f>
        <v>0</v>
      </c>
      <c r="I258" s="9"/>
      <c r="J258" s="30"/>
    </row>
    <row r="259" customFormat="false" ht="17.7" hidden="false" customHeight="true" outlineLevel="0" collapsed="false">
      <c r="A259" s="0" t="n">
        <v>31</v>
      </c>
      <c r="B259" s="34" t="n">
        <v>36069</v>
      </c>
      <c r="C259" s="56" t="n">
        <v>1408440</v>
      </c>
      <c r="D259" s="29" t="s">
        <v>41</v>
      </c>
      <c r="E259" s="33" t="n">
        <f aca="false">IF(D259="totale",(C259/(A259*24))/F259,IF(D259="marché libre",(C259/(A259*24))/G259,"spécifier histo"))</f>
        <v>0.431221985450805</v>
      </c>
      <c r="F259" s="59" t="n">
        <v>4390</v>
      </c>
      <c r="G259" s="59" t="n">
        <f aca="false">F259-H259</f>
        <v>4390</v>
      </c>
      <c r="H259" s="9" t="n">
        <f aca="false">0</f>
        <v>0</v>
      </c>
      <c r="I259" s="9"/>
      <c r="J259" s="30"/>
    </row>
    <row r="260" customFormat="false" ht="17.7" hidden="false" customHeight="true" outlineLevel="0" collapsed="false">
      <c r="A260" s="0" t="n">
        <v>30</v>
      </c>
      <c r="B260" s="31" t="n">
        <v>36100</v>
      </c>
      <c r="C260" s="56" t="n">
        <v>1275381</v>
      </c>
      <c r="D260" s="29" t="s">
        <v>41</v>
      </c>
      <c r="E260" s="33" t="n">
        <f aca="false">IF(D260="totale",(C260/(A260*24))/F260,IF(D260="marché libre",(C260/(A260*24))/G260,"spécifier histo"))</f>
        <v>0.403499430523918</v>
      </c>
      <c r="F260" s="59" t="n">
        <v>4390</v>
      </c>
      <c r="G260" s="59" t="n">
        <f aca="false">F260-H260</f>
        <v>4390</v>
      </c>
      <c r="H260" s="9" t="n">
        <f aca="false">0</f>
        <v>0</v>
      </c>
      <c r="I260" s="9"/>
      <c r="J260" s="30"/>
    </row>
    <row r="261" customFormat="false" ht="17.7" hidden="false" customHeight="true" outlineLevel="0" collapsed="false">
      <c r="A261" s="0" t="n">
        <v>31</v>
      </c>
      <c r="B261" s="34" t="n">
        <v>36130</v>
      </c>
      <c r="C261" s="56" t="n">
        <v>2074145</v>
      </c>
      <c r="D261" s="29" t="s">
        <v>41</v>
      </c>
      <c r="E261" s="33" t="n">
        <f aca="false">IF(D261="totale",(C261/(A261*24))/F261,IF(D261="marché libre",(C261/(A261*24))/G261,"spécifier histo"))</f>
        <v>0.635040843069537</v>
      </c>
      <c r="F261" s="59" t="n">
        <v>4390</v>
      </c>
      <c r="G261" s="59" t="n">
        <f aca="false">F261-H261</f>
        <v>4390</v>
      </c>
      <c r="H261" s="9" t="n">
        <f aca="false">0</f>
        <v>0</v>
      </c>
      <c r="I261" s="9"/>
      <c r="J261" s="30"/>
    </row>
    <row r="262" customFormat="false" ht="17.7" hidden="false" customHeight="true" outlineLevel="0" collapsed="false">
      <c r="A262" s="0" t="n">
        <v>31</v>
      </c>
      <c r="B262" s="31" t="n">
        <v>36161</v>
      </c>
      <c r="C262" s="56" t="n">
        <v>1952774</v>
      </c>
      <c r="D262" s="29" t="s">
        <v>41</v>
      </c>
      <c r="E262" s="33" t="n">
        <f aca="false">IF(D262="totale",(C262/(A262*24))/F262,IF(D262="marché libre",(C262/(A262*24))/G262,"spécifier histo"))</f>
        <v>0.597880691699121</v>
      </c>
      <c r="F262" s="59" t="n">
        <v>4390</v>
      </c>
      <c r="G262" s="59" t="n">
        <f aca="false">F262-H262</f>
        <v>4390</v>
      </c>
      <c r="H262" s="9" t="n">
        <f aca="false">0</f>
        <v>0</v>
      </c>
      <c r="I262" s="9"/>
      <c r="J262" s="30"/>
    </row>
    <row r="263" customFormat="false" ht="17.7" hidden="false" customHeight="true" outlineLevel="0" collapsed="false">
      <c r="A263" s="0" t="n">
        <v>28</v>
      </c>
      <c r="B263" s="34" t="n">
        <v>36192</v>
      </c>
      <c r="C263" s="56" t="n">
        <v>1930319</v>
      </c>
      <c r="D263" s="29" t="s">
        <v>41</v>
      </c>
      <c r="E263" s="33" t="n">
        <f aca="false">IF(D263="totale",(C263/(A263*24))/F263,IF(D263="marché libre",(C263/(A263*24))/G263,"spécifier histo"))</f>
        <v>0.654327679249376</v>
      </c>
      <c r="F263" s="59" t="n">
        <v>4390</v>
      </c>
      <c r="G263" s="59" t="n">
        <f aca="false">F263-H263</f>
        <v>4390</v>
      </c>
      <c r="H263" s="9" t="n">
        <f aca="false">0</f>
        <v>0</v>
      </c>
      <c r="I263" s="9"/>
      <c r="J263" s="30"/>
    </row>
    <row r="264" customFormat="false" ht="17.7" hidden="false" customHeight="true" outlineLevel="0" collapsed="false">
      <c r="A264" s="0" t="n">
        <v>31</v>
      </c>
      <c r="B264" s="31" t="n">
        <v>36220</v>
      </c>
      <c r="C264" s="56" t="n">
        <v>2000039</v>
      </c>
      <c r="D264" s="29" t="s">
        <v>41</v>
      </c>
      <c r="E264" s="33" t="n">
        <f aca="false">IF(D264="totale",(C264/(A264*24))/F264,IF(D264="marché libre",(C264/(A264*24))/G264,"spécifier histo"))</f>
        <v>0.612351813750704</v>
      </c>
      <c r="F264" s="59" t="n">
        <v>4390</v>
      </c>
      <c r="G264" s="59" t="n">
        <f aca="false">F264-H264</f>
        <v>4390</v>
      </c>
      <c r="H264" s="9" t="n">
        <f aca="false">0</f>
        <v>0</v>
      </c>
      <c r="I264" s="9"/>
      <c r="J264" s="30"/>
    </row>
    <row r="265" customFormat="false" ht="17.7" hidden="false" customHeight="true" outlineLevel="0" collapsed="false">
      <c r="A265" s="0" t="n">
        <v>30</v>
      </c>
      <c r="B265" s="34" t="n">
        <v>36251</v>
      </c>
      <c r="C265" s="56" t="n">
        <v>2434598</v>
      </c>
      <c r="D265" s="29" t="s">
        <v>41</v>
      </c>
      <c r="E265" s="33" t="n">
        <f aca="false">IF(D265="totale",(C265/(A265*24))/F265,IF(D265="marché libre",(C265/(A265*24))/G265,"spécifier histo"))</f>
        <v>0.770247405720071</v>
      </c>
      <c r="F265" s="59" t="n">
        <v>4390</v>
      </c>
      <c r="G265" s="59" t="n">
        <f aca="false">F265-H265</f>
        <v>4390</v>
      </c>
      <c r="H265" s="9" t="n">
        <f aca="false">0</f>
        <v>0</v>
      </c>
      <c r="I265" s="9"/>
      <c r="J265" s="30"/>
    </row>
    <row r="266" customFormat="false" ht="17.7" hidden="false" customHeight="true" outlineLevel="0" collapsed="false">
      <c r="A266" s="0" t="n">
        <v>31</v>
      </c>
      <c r="B266" s="31" t="n">
        <v>36281</v>
      </c>
      <c r="C266" s="56" t="n">
        <v>2910032</v>
      </c>
      <c r="D266" s="29" t="s">
        <v>41</v>
      </c>
      <c r="E266" s="33" t="n">
        <f aca="false">IF(D266="totale",(C266/(A266*24))/F266,IF(D266="marché libre",(C266/(A266*24))/G266,"spécifier histo"))</f>
        <v>0.890964312832194</v>
      </c>
      <c r="F266" s="59" t="n">
        <v>4390</v>
      </c>
      <c r="G266" s="59" t="n">
        <f aca="false">F266-H266</f>
        <v>4390</v>
      </c>
      <c r="H266" s="9" t="n">
        <f aca="false">0</f>
        <v>0</v>
      </c>
      <c r="I266" s="9"/>
      <c r="J266" s="30"/>
    </row>
    <row r="267" customFormat="false" ht="17.7" hidden="false" customHeight="true" outlineLevel="0" collapsed="false">
      <c r="A267" s="0" t="n">
        <v>30</v>
      </c>
      <c r="B267" s="34" t="n">
        <v>36312</v>
      </c>
      <c r="C267" s="56" t="n">
        <v>1753375</v>
      </c>
      <c r="D267" s="29" t="s">
        <v>41</v>
      </c>
      <c r="E267" s="33" t="n">
        <f aca="false">IF(D267="totale",(C267/(A267*24))/F267,IF(D267="marché libre",(C267/(A267*24))/G267,"spécifier histo"))</f>
        <v>0.554725069602632</v>
      </c>
      <c r="F267" s="59" t="n">
        <v>4390</v>
      </c>
      <c r="G267" s="59" t="n">
        <f aca="false">F267-H267</f>
        <v>4390</v>
      </c>
      <c r="H267" s="9" t="n">
        <f aca="false">0</f>
        <v>0</v>
      </c>
      <c r="I267" s="9"/>
      <c r="J267" s="30"/>
    </row>
    <row r="268" customFormat="false" ht="17.7" hidden="false" customHeight="true" outlineLevel="0" collapsed="false">
      <c r="A268" s="0" t="n">
        <v>31</v>
      </c>
      <c r="B268" s="31" t="n">
        <v>36342</v>
      </c>
      <c r="C268" s="56" t="n">
        <v>708122</v>
      </c>
      <c r="D268" s="29" t="s">
        <v>41</v>
      </c>
      <c r="E268" s="33" t="n">
        <f aca="false">IF(D268="totale",(C268/(A268*24))/F268,IF(D268="marché libre",(C268/(A268*24))/G268,"spécifier histo"))</f>
        <v>0.216805667817866</v>
      </c>
      <c r="F268" s="59" t="n">
        <v>4390</v>
      </c>
      <c r="G268" s="59" t="n">
        <f aca="false">F268-H268</f>
        <v>4390</v>
      </c>
      <c r="H268" s="9" t="n">
        <f aca="false">0</f>
        <v>0</v>
      </c>
      <c r="I268" s="9"/>
      <c r="J268" s="30"/>
    </row>
    <row r="269" customFormat="false" ht="17.7" hidden="false" customHeight="true" outlineLevel="0" collapsed="false">
      <c r="A269" s="0" t="n">
        <v>31</v>
      </c>
      <c r="B269" s="34" t="n">
        <v>36373</v>
      </c>
      <c r="C269" s="56" t="n">
        <v>432076</v>
      </c>
      <c r="D269" s="29" t="s">
        <v>41</v>
      </c>
      <c r="E269" s="33" t="n">
        <f aca="false">IF(D269="totale",(C269/(A269*24))/F269,IF(D269="marché libre",(C269/(A269*24))/G269,"spécifier histo"))</f>
        <v>0.132288681509785</v>
      </c>
      <c r="F269" s="59" t="n">
        <v>4390</v>
      </c>
      <c r="G269" s="59" t="n">
        <f aca="false">F269-H269</f>
        <v>4390</v>
      </c>
      <c r="H269" s="9" t="n">
        <f aca="false">0</f>
        <v>0</v>
      </c>
      <c r="I269" s="9"/>
      <c r="J269" s="30"/>
    </row>
    <row r="270" customFormat="false" ht="17.7" hidden="false" customHeight="true" outlineLevel="0" collapsed="false">
      <c r="A270" s="0" t="n">
        <v>30</v>
      </c>
      <c r="B270" s="31" t="n">
        <v>36404</v>
      </c>
      <c r="C270" s="56" t="n">
        <v>128921</v>
      </c>
      <c r="D270" s="29" t="s">
        <v>41</v>
      </c>
      <c r="E270" s="33" t="n">
        <f aca="false">IF(D270="totale",(C270/(A270*24))/F270,IF(D270="marché libre",(C270/(A270*24))/G270,"spécifier histo"))</f>
        <v>0.0407874588711719</v>
      </c>
      <c r="F270" s="59" t="n">
        <v>4390</v>
      </c>
      <c r="G270" s="59" t="n">
        <f aca="false">F270-H270</f>
        <v>4390</v>
      </c>
      <c r="H270" s="9" t="n">
        <f aca="false">0</f>
        <v>0</v>
      </c>
      <c r="I270" s="9"/>
      <c r="J270" s="30"/>
    </row>
    <row r="271" customFormat="false" ht="17.7" hidden="false" customHeight="true" outlineLevel="0" collapsed="false">
      <c r="A271" s="0" t="n">
        <v>31</v>
      </c>
      <c r="B271" s="34" t="n">
        <v>36434</v>
      </c>
      <c r="C271" s="56" t="n">
        <v>184653</v>
      </c>
      <c r="D271" s="29" t="s">
        <v>41</v>
      </c>
      <c r="E271" s="33" t="n">
        <f aca="false">IF(D271="totale",(C271/(A271*24))/F271,IF(D271="marché libre",(C271/(A271*24))/G271,"spécifier histo"))</f>
        <v>0.0565351972959071</v>
      </c>
      <c r="F271" s="59" t="n">
        <v>4390</v>
      </c>
      <c r="G271" s="59" t="n">
        <f aca="false">F271-H271</f>
        <v>4390</v>
      </c>
      <c r="H271" s="9" t="n">
        <f aca="false">0</f>
        <v>0</v>
      </c>
      <c r="I271" s="9"/>
      <c r="J271" s="30"/>
    </row>
    <row r="272" customFormat="false" ht="17.7" hidden="false" customHeight="true" outlineLevel="0" collapsed="false">
      <c r="A272" s="0" t="n">
        <v>30</v>
      </c>
      <c r="B272" s="31" t="n">
        <v>36465</v>
      </c>
      <c r="C272" s="56" t="n">
        <v>731120</v>
      </c>
      <c r="D272" s="29" t="s">
        <v>41</v>
      </c>
      <c r="E272" s="33" t="n">
        <f aca="false">IF(D272="totale",(C272/(A272*24))/F272,IF(D272="marché libre",(C272/(A272*24))/G272,"spécifier histo"))</f>
        <v>0.231308529486206</v>
      </c>
      <c r="F272" s="59" t="n">
        <v>4390</v>
      </c>
      <c r="G272" s="59" t="n">
        <f aca="false">F272-H272</f>
        <v>4390</v>
      </c>
      <c r="H272" s="9" t="n">
        <f aca="false">0</f>
        <v>0</v>
      </c>
      <c r="I272" s="9"/>
      <c r="J272" s="30"/>
    </row>
    <row r="273" customFormat="false" ht="17.7" hidden="false" customHeight="true" outlineLevel="0" collapsed="false">
      <c r="A273" s="0" t="n">
        <v>31</v>
      </c>
      <c r="B273" s="34" t="n">
        <v>36495</v>
      </c>
      <c r="C273" s="56" t="n">
        <v>1515261</v>
      </c>
      <c r="D273" s="29" t="s">
        <v>41</v>
      </c>
      <c r="E273" s="33" t="n">
        <f aca="false">IF(D273="totale",(C273/(A273*24))/F273,IF(D273="marché libre",(C273/(A273*24))/G273,"spécifier histo"))</f>
        <v>0.46392736424425</v>
      </c>
      <c r="F273" s="59" t="n">
        <v>4390</v>
      </c>
      <c r="G273" s="59" t="n">
        <f aca="false">F273-H273</f>
        <v>4390</v>
      </c>
      <c r="H273" s="9" t="n">
        <f aca="false">0</f>
        <v>0</v>
      </c>
      <c r="I273" s="9"/>
      <c r="J273" s="30"/>
    </row>
    <row r="274" customFormat="false" ht="17.7" hidden="false" customHeight="true" outlineLevel="0" collapsed="false">
      <c r="A274" s="0" t="n">
        <v>31</v>
      </c>
      <c r="B274" s="31" t="n">
        <v>36526</v>
      </c>
      <c r="C274" s="56" t="n">
        <v>819222</v>
      </c>
      <c r="D274" s="29" t="s">
        <v>41</v>
      </c>
      <c r="E274" s="33" t="n">
        <f aca="false">IF(D274="totale",(C274/(A274*24))/F274,IF(D274="marché libre",(C274/(A274*24))/G274,"spécifier histo"))</f>
        <v>0.250821147769858</v>
      </c>
      <c r="F274" s="59" t="n">
        <v>4390</v>
      </c>
      <c r="G274" s="59" t="n">
        <f aca="false">F274-H274</f>
        <v>4390</v>
      </c>
      <c r="H274" s="9" t="n">
        <f aca="false">0</f>
        <v>0</v>
      </c>
      <c r="I274" s="9"/>
      <c r="J274" s="30"/>
    </row>
    <row r="275" customFormat="false" ht="17.7" hidden="false" customHeight="true" outlineLevel="0" collapsed="false">
      <c r="A275" s="0" t="n">
        <v>28</v>
      </c>
      <c r="B275" s="34" t="n">
        <v>36557</v>
      </c>
      <c r="C275" s="56" t="n">
        <v>1682190</v>
      </c>
      <c r="D275" s="29" t="s">
        <v>41</v>
      </c>
      <c r="E275" s="33" t="n">
        <f aca="false">IF(D275="totale",(C275/(A275*24))/F275,IF(D275="marché libre",(C275/(A275*24))/G275,"spécifier histo"))</f>
        <v>0.570218434754312</v>
      </c>
      <c r="F275" s="59" t="n">
        <v>4390</v>
      </c>
      <c r="G275" s="59" t="n">
        <f aca="false">F275-H275</f>
        <v>4390</v>
      </c>
      <c r="H275" s="9" t="n">
        <f aca="false">0</f>
        <v>0</v>
      </c>
      <c r="I275" s="9"/>
      <c r="J275" s="30"/>
    </row>
    <row r="276" customFormat="false" ht="17.7" hidden="false" customHeight="true" outlineLevel="0" collapsed="false">
      <c r="A276" s="0" t="n">
        <v>31</v>
      </c>
      <c r="B276" s="31" t="n">
        <v>36586</v>
      </c>
      <c r="C276" s="56" t="n">
        <v>1116203</v>
      </c>
      <c r="D276" s="29" t="s">
        <v>41</v>
      </c>
      <c r="E276" s="33" t="n">
        <f aca="false">IF(D276="totale",(C276/(A276*24))/F276,IF(D276="marché libre",(C276/(A276*24))/G276,"spécifier histo"))</f>
        <v>0.341747801699855</v>
      </c>
      <c r="F276" s="59" t="n">
        <v>4390</v>
      </c>
      <c r="G276" s="59" t="n">
        <f aca="false">F276-H276</f>
        <v>4390</v>
      </c>
      <c r="H276" s="9" t="n">
        <f aca="false">0</f>
        <v>0</v>
      </c>
      <c r="I276" s="9"/>
      <c r="J276" s="30"/>
    </row>
    <row r="277" customFormat="false" ht="17.7" hidden="false" customHeight="true" outlineLevel="0" collapsed="false">
      <c r="A277" s="0" t="n">
        <v>30</v>
      </c>
      <c r="B277" s="34" t="n">
        <v>36617</v>
      </c>
      <c r="C277" s="56" t="n">
        <v>1940822</v>
      </c>
      <c r="D277" s="29" t="s">
        <v>41</v>
      </c>
      <c r="E277" s="33" t="n">
        <f aca="false">IF(D277="totale",(C277/(A277*24))/F277,IF(D277="marché libre",(C277/(A277*24))/G277,"spécifier histo"))</f>
        <v>0.614028726904581</v>
      </c>
      <c r="F277" s="59" t="n">
        <v>4390</v>
      </c>
      <c r="G277" s="59" t="n">
        <f aca="false">F277-H277</f>
        <v>4390</v>
      </c>
      <c r="H277" s="9" t="n">
        <f aca="false">0</f>
        <v>0</v>
      </c>
      <c r="I277" s="9"/>
      <c r="J277" s="30"/>
    </row>
    <row r="278" customFormat="false" ht="17.7" hidden="false" customHeight="true" outlineLevel="0" collapsed="false">
      <c r="A278" s="0" t="n">
        <v>31</v>
      </c>
      <c r="B278" s="31" t="n">
        <v>36647</v>
      </c>
      <c r="C278" s="56" t="n">
        <v>2370074</v>
      </c>
      <c r="D278" s="29" t="s">
        <v>41</v>
      </c>
      <c r="E278" s="33" t="n">
        <f aca="false">IF(D278="totale",(C278/(A278*24))/F278,IF(D278="marché libre",(C278/(A278*24))/G278,"spécifier histo"))</f>
        <v>0.725645406226272</v>
      </c>
      <c r="F278" s="59" t="n">
        <v>4390</v>
      </c>
      <c r="G278" s="59" t="n">
        <f aca="false">F278-H278</f>
        <v>4390</v>
      </c>
      <c r="H278" s="9" t="n">
        <f aca="false">0</f>
        <v>0</v>
      </c>
      <c r="I278" s="9"/>
      <c r="J278" s="30"/>
    </row>
    <row r="279" customFormat="false" ht="17.7" hidden="false" customHeight="true" outlineLevel="0" collapsed="false">
      <c r="A279" s="0" t="n">
        <v>30</v>
      </c>
      <c r="B279" s="34" t="n">
        <v>36678</v>
      </c>
      <c r="C279" s="56" t="n">
        <v>2071781</v>
      </c>
      <c r="D279" s="29" t="s">
        <v>41</v>
      </c>
      <c r="E279" s="33" t="n">
        <f aca="false">IF(D279="totale",(C279/(A279*24))/F279,IF(D279="marché libre",(C279/(A279*24))/G279,"spécifier histo"))</f>
        <v>0.655460959250823</v>
      </c>
      <c r="F279" s="59" t="n">
        <v>4390</v>
      </c>
      <c r="G279" s="59" t="n">
        <f aca="false">F279-H279</f>
        <v>4390</v>
      </c>
      <c r="H279" s="9" t="n">
        <f aca="false">0</f>
        <v>0</v>
      </c>
      <c r="I279" s="9"/>
      <c r="J279" s="30"/>
    </row>
    <row r="280" customFormat="false" ht="17.7" hidden="false" customHeight="true" outlineLevel="0" collapsed="false">
      <c r="A280" s="0" t="n">
        <v>31</v>
      </c>
      <c r="B280" s="31" t="n">
        <v>36708</v>
      </c>
      <c r="C280" s="56" t="n">
        <v>996563</v>
      </c>
      <c r="D280" s="29" t="s">
        <v>41</v>
      </c>
      <c r="E280" s="33" t="n">
        <f aca="false">IF(D280="totale",(C280/(A280*24))/F280,IF(D280="marché libre",(C280/(A280*24))/G280,"spécifier histo"))</f>
        <v>0.305117630489627</v>
      </c>
      <c r="F280" s="59" t="n">
        <v>4390</v>
      </c>
      <c r="G280" s="59" t="n">
        <f aca="false">F280-H280</f>
        <v>4390</v>
      </c>
      <c r="H280" s="9" t="n">
        <f aca="false">0</f>
        <v>0</v>
      </c>
      <c r="I280" s="9"/>
      <c r="J280" s="30"/>
    </row>
    <row r="281" customFormat="false" ht="17.7" hidden="false" customHeight="true" outlineLevel="0" collapsed="false">
      <c r="A281" s="0" t="n">
        <v>31</v>
      </c>
      <c r="B281" s="34" t="n">
        <v>36739</v>
      </c>
      <c r="C281" s="56" t="n">
        <v>525150</v>
      </c>
      <c r="D281" s="29" t="s">
        <v>41</v>
      </c>
      <c r="E281" s="33" t="n">
        <f aca="false">IF(D281="totale",(C281/(A281*24))/F281,IF(D281="marché libre",(C281/(A281*24))/G281,"spécifier histo"))</f>
        <v>0.160785142185319</v>
      </c>
      <c r="F281" s="59" t="n">
        <v>4390</v>
      </c>
      <c r="G281" s="59" t="n">
        <f aca="false">F281-H281</f>
        <v>4390</v>
      </c>
      <c r="H281" s="9" t="n">
        <f aca="false">0</f>
        <v>0</v>
      </c>
      <c r="I281" s="9"/>
      <c r="J281" s="30"/>
    </row>
    <row r="282" customFormat="false" ht="17.7" hidden="false" customHeight="true" outlineLevel="0" collapsed="false">
      <c r="A282" s="0" t="n">
        <v>30</v>
      </c>
      <c r="B282" s="31" t="n">
        <v>36770</v>
      </c>
      <c r="C282" s="56" t="n">
        <v>0</v>
      </c>
      <c r="D282" s="29" t="s">
        <v>41</v>
      </c>
      <c r="E282" s="33" t="n">
        <f aca="false">IF(D282="totale",(C282/(A282*24))/F282,IF(D282="marché libre",(C282/(A282*24))/G282,"spécifier histo"))</f>
        <v>0</v>
      </c>
      <c r="F282" s="59" t="n">
        <v>4390</v>
      </c>
      <c r="G282" s="59" t="n">
        <f aca="false">F282-H282</f>
        <v>4390</v>
      </c>
      <c r="H282" s="9" t="n">
        <f aca="false">0</f>
        <v>0</v>
      </c>
      <c r="I282" s="9"/>
      <c r="J282" s="30"/>
    </row>
    <row r="283" customFormat="false" ht="17.7" hidden="false" customHeight="true" outlineLevel="0" collapsed="false">
      <c r="A283" s="0" t="n">
        <v>31</v>
      </c>
      <c r="B283" s="34" t="n">
        <v>36800</v>
      </c>
      <c r="C283" s="56" t="n">
        <v>914349</v>
      </c>
      <c r="D283" s="29" t="s">
        <v>41</v>
      </c>
      <c r="E283" s="33" t="n">
        <f aca="false">IF(D283="totale",(C283/(A283*24))/F283,IF(D283="marché libre",(C283/(A283*24))/G283,"spécifier histo"))</f>
        <v>0.279946175325152</v>
      </c>
      <c r="F283" s="59" t="n">
        <v>4390</v>
      </c>
      <c r="G283" s="59" t="n">
        <f aca="false">F283-H283</f>
        <v>4390</v>
      </c>
      <c r="H283" s="9" t="n">
        <f aca="false">0</f>
        <v>0</v>
      </c>
      <c r="I283" s="9"/>
      <c r="J283" s="30"/>
    </row>
    <row r="284" customFormat="false" ht="17.7" hidden="false" customHeight="true" outlineLevel="0" collapsed="false">
      <c r="A284" s="0" t="n">
        <v>30</v>
      </c>
      <c r="B284" s="31" t="n">
        <v>36831</v>
      </c>
      <c r="C284" s="56" t="n">
        <v>842889</v>
      </c>
      <c r="D284" s="29" t="s">
        <v>41</v>
      </c>
      <c r="E284" s="33" t="n">
        <f aca="false">IF(D284="totale",(C284/(A284*24))/F284,IF(D284="marché libre",(C284/(A284*24))/G284,"spécifier histo"))</f>
        <v>0.266669514047077</v>
      </c>
      <c r="F284" s="59" t="n">
        <v>4390</v>
      </c>
      <c r="G284" s="59" t="n">
        <f aca="false">F284-H284</f>
        <v>4390</v>
      </c>
      <c r="H284" s="9" t="n">
        <f aca="false">0</f>
        <v>0</v>
      </c>
      <c r="I284" s="9"/>
      <c r="J284" s="30"/>
    </row>
    <row r="285" customFormat="false" ht="17.7" hidden="false" customHeight="true" outlineLevel="0" collapsed="false">
      <c r="A285" s="0" t="n">
        <v>31</v>
      </c>
      <c r="B285" s="34" t="n">
        <v>36861</v>
      </c>
      <c r="C285" s="56" t="n">
        <v>782424</v>
      </c>
      <c r="D285" s="29" t="s">
        <v>41</v>
      </c>
      <c r="E285" s="33" t="n">
        <f aca="false">IF(D285="totale",(C285/(A285*24))/F285,IF(D285="marché libre",(C285/(A285*24))/G285,"spécifier histo"))</f>
        <v>0.239554706444265</v>
      </c>
      <c r="F285" s="59" t="n">
        <v>4390</v>
      </c>
      <c r="G285" s="59" t="n">
        <f aca="false">F285-H285</f>
        <v>4390</v>
      </c>
      <c r="H285" s="9" t="n">
        <f aca="false">0</f>
        <v>0</v>
      </c>
      <c r="I285" s="9"/>
      <c r="J285" s="30"/>
    </row>
    <row r="286" customFormat="false" ht="17.7" hidden="false" customHeight="true" outlineLevel="0" collapsed="false">
      <c r="A286" s="0" t="n">
        <v>31</v>
      </c>
      <c r="B286" s="31" t="n">
        <v>36892</v>
      </c>
      <c r="C286" s="56" t="n">
        <v>1650472</v>
      </c>
      <c r="D286" s="29" t="s">
        <v>41</v>
      </c>
      <c r="E286" s="33" t="n">
        <f aca="false">IF(D286="totale",(C286/(A286*24))/F286,IF(D286="marché libre",(C286/(A286*24))/G286,"spécifier histo"))</f>
        <v>0.505324907536679</v>
      </c>
      <c r="F286" s="59" t="n">
        <v>4390</v>
      </c>
      <c r="G286" s="59" t="n">
        <f aca="false">F286-H286</f>
        <v>4390</v>
      </c>
      <c r="H286" s="9" t="n">
        <f aca="false">0</f>
        <v>0</v>
      </c>
      <c r="I286" s="9"/>
      <c r="J286" s="30"/>
    </row>
    <row r="287" customFormat="false" ht="17.7" hidden="false" customHeight="true" outlineLevel="0" collapsed="false">
      <c r="A287" s="0" t="n">
        <v>28</v>
      </c>
      <c r="B287" s="34" t="n">
        <v>36923</v>
      </c>
      <c r="C287" s="56" t="n">
        <v>1859563</v>
      </c>
      <c r="D287" s="29" t="s">
        <v>41</v>
      </c>
      <c r="E287" s="33" t="n">
        <f aca="false">IF(D287="totale",(C287/(A287*24))/F287,IF(D287="marché libre",(C287/(A287*24))/G287,"spécifier histo"))</f>
        <v>0.630343244928951</v>
      </c>
      <c r="F287" s="59" t="n">
        <v>4390</v>
      </c>
      <c r="G287" s="59" t="n">
        <f aca="false">F287-H287</f>
        <v>4390</v>
      </c>
      <c r="H287" s="9" t="n">
        <f aca="false">0</f>
        <v>0</v>
      </c>
      <c r="I287" s="9"/>
      <c r="J287" s="30"/>
    </row>
    <row r="288" customFormat="false" ht="17.7" hidden="false" customHeight="true" outlineLevel="0" collapsed="false">
      <c r="A288" s="0" t="n">
        <v>31</v>
      </c>
      <c r="B288" s="31" t="n">
        <v>36951</v>
      </c>
      <c r="C288" s="56" t="n">
        <v>2403049</v>
      </c>
      <c r="D288" s="29" t="s">
        <v>41</v>
      </c>
      <c r="E288" s="33" t="n">
        <f aca="false">IF(D288="totale",(C288/(A288*24))/F288,IF(D288="marché libre",(C288/(A288*24))/G288,"spécifier histo"))</f>
        <v>0.73574135988439</v>
      </c>
      <c r="F288" s="59" t="n">
        <v>4390</v>
      </c>
      <c r="G288" s="59" t="n">
        <f aca="false">F288-H288</f>
        <v>4390</v>
      </c>
      <c r="H288" s="9" t="n">
        <f aca="false">0</f>
        <v>0</v>
      </c>
      <c r="I288" s="9"/>
      <c r="J288" s="30"/>
    </row>
    <row r="289" customFormat="false" ht="17.7" hidden="false" customHeight="true" outlineLevel="0" collapsed="false">
      <c r="A289" s="0" t="n">
        <v>30</v>
      </c>
      <c r="B289" s="34" t="n">
        <v>36982</v>
      </c>
      <c r="C289" s="56" t="n">
        <v>2551573</v>
      </c>
      <c r="D289" s="29" t="s">
        <v>41</v>
      </c>
      <c r="E289" s="33" t="n">
        <f aca="false">IF(D289="totale",(C289/(A289*24))/F289,IF(D289="marché libre",(C289/(A289*24))/G289,"spécifier histo"))</f>
        <v>0.807255441660339</v>
      </c>
      <c r="F289" s="59" t="n">
        <v>4390</v>
      </c>
      <c r="G289" s="59" t="n">
        <f aca="false">F289-H289</f>
        <v>4390</v>
      </c>
      <c r="H289" s="9" t="n">
        <f aca="false">0</f>
        <v>0</v>
      </c>
      <c r="I289" s="9"/>
      <c r="J289" s="30"/>
    </row>
    <row r="290" customFormat="false" ht="17.7" hidden="false" customHeight="true" outlineLevel="0" collapsed="false">
      <c r="A290" s="0" t="n">
        <v>31</v>
      </c>
      <c r="B290" s="31" t="n">
        <v>37012</v>
      </c>
      <c r="C290" s="56" t="n">
        <v>2791695</v>
      </c>
      <c r="D290" s="29" t="s">
        <v>41</v>
      </c>
      <c r="E290" s="33" t="n">
        <f aca="false">IF(D290="totale",(C290/(A290*24))/F290,IF(D290="marché libre",(C290/(A290*24))/G290,"spécifier histo"))</f>
        <v>0.854733081049306</v>
      </c>
      <c r="F290" s="59" t="n">
        <v>4390</v>
      </c>
      <c r="G290" s="59" t="n">
        <f aca="false">F290-H290</f>
        <v>4390</v>
      </c>
      <c r="H290" s="9" t="n">
        <f aca="false">0</f>
        <v>0</v>
      </c>
      <c r="I290" s="9"/>
      <c r="J290" s="30"/>
    </row>
    <row r="291" customFormat="false" ht="17.7" hidden="false" customHeight="true" outlineLevel="0" collapsed="false">
      <c r="A291" s="0" t="n">
        <v>30</v>
      </c>
      <c r="B291" s="34" t="n">
        <v>37043</v>
      </c>
      <c r="C291" s="56" t="n">
        <v>1401406</v>
      </c>
      <c r="D291" s="29" t="s">
        <v>41</v>
      </c>
      <c r="E291" s="33" t="n">
        <f aca="false">IF(D291="totale",(C291/(A291*24))/F291,IF(D291="marché libre",(C291/(A291*24))/G291,"spécifier histo"))</f>
        <v>0.443370665654265</v>
      </c>
      <c r="F291" s="59" t="n">
        <v>4390</v>
      </c>
      <c r="G291" s="59" t="n">
        <f aca="false">F291-H291</f>
        <v>4390</v>
      </c>
      <c r="H291" s="9" t="n">
        <f aca="false">0</f>
        <v>0</v>
      </c>
      <c r="I291" s="9"/>
      <c r="J291" s="30"/>
    </row>
    <row r="292" customFormat="false" ht="17.7" hidden="false" customHeight="true" outlineLevel="0" collapsed="false">
      <c r="A292" s="0" t="n">
        <v>31</v>
      </c>
      <c r="B292" s="31" t="n">
        <v>37073</v>
      </c>
      <c r="C292" s="56" t="n">
        <v>972843</v>
      </c>
      <c r="D292" s="29" t="s">
        <v>41</v>
      </c>
      <c r="E292" s="33" t="n">
        <f aca="false">IF(D292="totale",(C292/(A292*24))/F292,IF(D292="marché libre",(C292/(A292*24))/G292,"spécifier histo"))</f>
        <v>0.297855279594386</v>
      </c>
      <c r="F292" s="59" t="n">
        <v>4390</v>
      </c>
      <c r="G292" s="59" t="n">
        <f aca="false">F292-H292</f>
        <v>4390</v>
      </c>
      <c r="H292" s="9" t="n">
        <f aca="false">0</f>
        <v>0</v>
      </c>
      <c r="I292" s="9"/>
      <c r="J292" s="30"/>
    </row>
    <row r="293" customFormat="false" ht="17.7" hidden="false" customHeight="true" outlineLevel="0" collapsed="false">
      <c r="A293" s="0" t="n">
        <v>31</v>
      </c>
      <c r="B293" s="34" t="n">
        <v>37104</v>
      </c>
      <c r="C293" s="56" t="n">
        <v>302013</v>
      </c>
      <c r="D293" s="29" t="s">
        <v>41</v>
      </c>
      <c r="E293" s="33" t="n">
        <f aca="false">IF(D293="totale",(C293/(A293*24))/F293,IF(D293="marché libre",(C293/(A293*24))/G293,"spécifier histo"))</f>
        <v>0.0924673010507752</v>
      </c>
      <c r="F293" s="59" t="n">
        <v>4390</v>
      </c>
      <c r="G293" s="59" t="n">
        <f aca="false">F293-H293</f>
        <v>4390</v>
      </c>
      <c r="H293" s="9" t="n">
        <f aca="false">0</f>
        <v>0</v>
      </c>
      <c r="I293" s="9"/>
      <c r="J293" s="30"/>
    </row>
    <row r="294" customFormat="false" ht="17.7" hidden="false" customHeight="true" outlineLevel="0" collapsed="false">
      <c r="A294" s="0" t="n">
        <v>30</v>
      </c>
      <c r="B294" s="31" t="n">
        <v>37135</v>
      </c>
      <c r="C294" s="56" t="n">
        <v>194713</v>
      </c>
      <c r="D294" s="29" t="s">
        <v>41</v>
      </c>
      <c r="E294" s="33" t="n">
        <f aca="false">IF(D294="totale",(C294/(A294*24))/F294,IF(D294="marché libre",(C294/(A294*24))/G294,"spécifier histo"))</f>
        <v>0.0616024424196406</v>
      </c>
      <c r="F294" s="59" t="n">
        <v>4390</v>
      </c>
      <c r="G294" s="59" t="n">
        <f aca="false">F294-H294</f>
        <v>4390</v>
      </c>
      <c r="H294" s="9" t="n">
        <f aca="false">0</f>
        <v>0</v>
      </c>
      <c r="I294" s="9"/>
      <c r="J294" s="30"/>
    </row>
    <row r="295" customFormat="false" ht="17.7" hidden="false" customHeight="true" outlineLevel="0" collapsed="false">
      <c r="A295" s="0" t="n">
        <v>31</v>
      </c>
      <c r="B295" s="34" t="n">
        <v>37165</v>
      </c>
      <c r="C295" s="56" t="n">
        <v>104331</v>
      </c>
      <c r="D295" s="29" t="s">
        <v>41</v>
      </c>
      <c r="E295" s="33" t="n">
        <f aca="false">IF(D295="totale",(C295/(A295*24))/F295,IF(D295="marché libre",(C295/(A295*24))/G295,"spécifier histo"))</f>
        <v>0.0319430156514072</v>
      </c>
      <c r="F295" s="59" t="n">
        <v>4390</v>
      </c>
      <c r="G295" s="59" t="n">
        <f aca="false">F295-H295</f>
        <v>4390</v>
      </c>
      <c r="H295" s="9" t="n">
        <f aca="false">0</f>
        <v>0</v>
      </c>
      <c r="I295" s="9"/>
      <c r="J295" s="30"/>
    </row>
    <row r="296" customFormat="false" ht="17.7" hidden="false" customHeight="true" outlineLevel="0" collapsed="false">
      <c r="A296" s="0" t="n">
        <v>30</v>
      </c>
      <c r="B296" s="31" t="n">
        <v>37196</v>
      </c>
      <c r="C296" s="56" t="n">
        <v>575885</v>
      </c>
      <c r="D296" s="29" t="s">
        <v>41</v>
      </c>
      <c r="E296" s="33" t="n">
        <f aca="false">IF(D296="totale",(C296/(A296*24))/F296,IF(D296="marché libre",(C296/(A296*24))/G296,"spécifier histo"))</f>
        <v>0.18219596304733</v>
      </c>
      <c r="F296" s="59" t="n">
        <v>4390</v>
      </c>
      <c r="G296" s="59" t="n">
        <f aca="false">F296-H296</f>
        <v>4390</v>
      </c>
      <c r="H296" s="9" t="n">
        <f aca="false">0</f>
        <v>0</v>
      </c>
      <c r="I296" s="9"/>
      <c r="J296" s="30"/>
    </row>
    <row r="297" customFormat="false" ht="17.7" hidden="false" customHeight="true" outlineLevel="0" collapsed="false">
      <c r="A297" s="0" t="n">
        <v>31</v>
      </c>
      <c r="B297" s="34" t="n">
        <v>37226</v>
      </c>
      <c r="C297" s="56" t="n">
        <v>354168</v>
      </c>
      <c r="D297" s="29" t="s">
        <v>41</v>
      </c>
      <c r="E297" s="33" t="n">
        <f aca="false">IF(D297="totale",(C297/(A297*24))/F297,IF(D297="marché libre",(C297/(A297*24))/G297,"spécifier histo"))</f>
        <v>0.108435594092145</v>
      </c>
      <c r="F297" s="59" t="n">
        <v>4390</v>
      </c>
      <c r="G297" s="59" t="n">
        <f aca="false">F297-H297</f>
        <v>4390</v>
      </c>
      <c r="H297" s="9" t="n">
        <f aca="false">0</f>
        <v>0</v>
      </c>
      <c r="I297" s="9"/>
      <c r="J297" s="30"/>
    </row>
    <row r="298" customFormat="false" ht="17.7" hidden="false" customHeight="true" outlineLevel="0" collapsed="false">
      <c r="A298" s="0" t="n">
        <v>31</v>
      </c>
      <c r="B298" s="31" t="n">
        <v>37257</v>
      </c>
      <c r="C298" s="56" t="n">
        <v>535198</v>
      </c>
      <c r="D298" s="29" t="s">
        <v>41</v>
      </c>
      <c r="E298" s="33" t="n">
        <f aca="false">IF(D298="totale",(C298/(A298*24))/F298,IF(D298="marché libre",(C298/(A298*24))/G298,"spécifier histo"))</f>
        <v>0.163861537707889</v>
      </c>
      <c r="F298" s="59" t="n">
        <v>4390</v>
      </c>
      <c r="G298" s="59" t="n">
        <f aca="false">F298-H298</f>
        <v>4390</v>
      </c>
      <c r="H298" s="9" t="n">
        <f aca="false">0</f>
        <v>0</v>
      </c>
      <c r="I298" s="9"/>
      <c r="J298" s="30"/>
    </row>
    <row r="299" customFormat="false" ht="17.7" hidden="false" customHeight="true" outlineLevel="0" collapsed="false">
      <c r="A299" s="0" t="n">
        <v>28</v>
      </c>
      <c r="B299" s="34" t="n">
        <v>37288</v>
      </c>
      <c r="C299" s="56" t="n">
        <v>1177848</v>
      </c>
      <c r="D299" s="29" t="s">
        <v>41</v>
      </c>
      <c r="E299" s="33" t="n">
        <f aca="false">IF(D299="totale",(C299/(A299*24))/F299,IF(D299="marché libre",(C299/(A299*24))/G299,"spécifier histo"))</f>
        <v>0.399259681093394</v>
      </c>
      <c r="F299" s="59" t="n">
        <v>4390</v>
      </c>
      <c r="G299" s="59" t="n">
        <f aca="false">F299-H299</f>
        <v>4390</v>
      </c>
      <c r="H299" s="9" t="n">
        <f aca="false">0</f>
        <v>0</v>
      </c>
      <c r="I299" s="9"/>
      <c r="J299" s="30"/>
    </row>
    <row r="300" customFormat="false" ht="17.7" hidden="false" customHeight="true" outlineLevel="0" collapsed="false">
      <c r="A300" s="0" t="n">
        <v>31</v>
      </c>
      <c r="B300" s="31" t="n">
        <v>37316</v>
      </c>
      <c r="C300" s="56" t="n">
        <v>1879404</v>
      </c>
      <c r="D300" s="29" t="s">
        <v>41</v>
      </c>
      <c r="E300" s="33" t="n">
        <f aca="false">IF(D300="totale",(C300/(A300*24))/F300,IF(D300="marché libre",(C300/(A300*24))/G300,"spécifier histo"))</f>
        <v>0.575417003453597</v>
      </c>
      <c r="F300" s="59" t="n">
        <v>4390</v>
      </c>
      <c r="G300" s="59" t="n">
        <f aca="false">F300-H300</f>
        <v>4390</v>
      </c>
      <c r="H300" s="9" t="n">
        <f aca="false">0</f>
        <v>0</v>
      </c>
      <c r="I300" s="9"/>
      <c r="J300" s="30"/>
    </row>
    <row r="301" customFormat="false" ht="17.7" hidden="false" customHeight="true" outlineLevel="0" collapsed="false">
      <c r="A301" s="0" t="n">
        <v>30</v>
      </c>
      <c r="B301" s="34" t="n">
        <v>37347</v>
      </c>
      <c r="C301" s="56" t="n">
        <v>2119250</v>
      </c>
      <c r="D301" s="29" t="s">
        <v>41</v>
      </c>
      <c r="E301" s="33" t="n">
        <f aca="false">IF(D301="totale",(C301/(A301*24))/F301,IF(D301="marché libre",(C301/(A301*24))/G301,"spécifier histo"))</f>
        <v>0.670478992660086</v>
      </c>
      <c r="F301" s="59" t="n">
        <v>4390</v>
      </c>
      <c r="G301" s="59" t="n">
        <f aca="false">F301-H301</f>
        <v>4390</v>
      </c>
      <c r="H301" s="9" t="n">
        <f aca="false">0</f>
        <v>0</v>
      </c>
      <c r="I301" s="9"/>
      <c r="J301" s="30"/>
    </row>
    <row r="302" customFormat="false" ht="17.7" hidden="false" customHeight="true" outlineLevel="0" collapsed="false">
      <c r="A302" s="0" t="n">
        <v>31</v>
      </c>
      <c r="B302" s="31" t="n">
        <v>37377</v>
      </c>
      <c r="C302" s="56" t="n">
        <v>2574038</v>
      </c>
      <c r="D302" s="29" t="s">
        <v>41</v>
      </c>
      <c r="E302" s="33" t="n">
        <f aca="false">IF(D302="totale",(C302/(A302*24))/F302,IF(D302="marché libre",(C302/(A302*24))/G302,"spécifier histo"))</f>
        <v>0.78809305116712</v>
      </c>
      <c r="F302" s="59" t="n">
        <v>4390</v>
      </c>
      <c r="G302" s="59" t="n">
        <f aca="false">F302-H302</f>
        <v>4390</v>
      </c>
      <c r="H302" s="9" t="n">
        <f aca="false">0</f>
        <v>0</v>
      </c>
      <c r="I302" s="9"/>
      <c r="J302" s="30"/>
    </row>
    <row r="303" customFormat="false" ht="17.7" hidden="false" customHeight="true" outlineLevel="0" collapsed="false">
      <c r="A303" s="0" t="n">
        <v>30</v>
      </c>
      <c r="B303" s="34" t="n">
        <v>37408</v>
      </c>
      <c r="C303" s="56" t="n">
        <v>2241186</v>
      </c>
      <c r="D303" s="29" t="s">
        <v>41</v>
      </c>
      <c r="E303" s="33" t="n">
        <f aca="false">IF(D303="totale",(C303/(A303*24))/F303,IF(D303="marché libre",(C303/(A303*24))/G303,"spécifier histo"))</f>
        <v>0.709056567957479</v>
      </c>
      <c r="F303" s="59" t="n">
        <v>4390</v>
      </c>
      <c r="G303" s="59" t="n">
        <f aca="false">F303-H303</f>
        <v>4390</v>
      </c>
      <c r="H303" s="9" t="n">
        <f aca="false">0</f>
        <v>0</v>
      </c>
      <c r="I303" s="9"/>
      <c r="J303" s="30"/>
    </row>
    <row r="304" customFormat="false" ht="17.7" hidden="false" customHeight="true" outlineLevel="0" collapsed="false">
      <c r="A304" s="0" t="n">
        <v>31</v>
      </c>
      <c r="B304" s="31" t="n">
        <v>37438</v>
      </c>
      <c r="C304" s="56" t="n">
        <v>1526009</v>
      </c>
      <c r="D304" s="29" t="s">
        <v>41</v>
      </c>
      <c r="E304" s="33" t="n">
        <f aca="false">IF(D304="totale",(C304/(A304*24))/F304,IF(D304="marché libre",(C304/(A304*24))/G304,"spécifier histo"))</f>
        <v>0.467218078722414</v>
      </c>
      <c r="F304" s="59" t="n">
        <v>4390</v>
      </c>
      <c r="G304" s="59" t="n">
        <f aca="false">F304-H304</f>
        <v>4390</v>
      </c>
      <c r="H304" s="9" t="n">
        <f aca="false">0</f>
        <v>0</v>
      </c>
      <c r="I304" s="9"/>
      <c r="J304" s="30"/>
    </row>
    <row r="305" customFormat="false" ht="17.7" hidden="false" customHeight="true" outlineLevel="0" collapsed="false">
      <c r="A305" s="0" t="n">
        <v>31</v>
      </c>
      <c r="B305" s="34" t="n">
        <v>37469</v>
      </c>
      <c r="C305" s="56" t="n">
        <v>1613311</v>
      </c>
      <c r="D305" s="29" t="s">
        <v>41</v>
      </c>
      <c r="E305" s="33" t="n">
        <f aca="false">IF(D305="totale",(C305/(A305*24))/F305,IF(D305="marché libre",(C305/(A305*24))/G305,"spécifier histo"))</f>
        <v>0.493947326524114</v>
      </c>
      <c r="F305" s="59" t="n">
        <v>4390</v>
      </c>
      <c r="G305" s="59" t="n">
        <f aca="false">F305-H305</f>
        <v>4390</v>
      </c>
      <c r="H305" s="9" t="n">
        <f aca="false">0</f>
        <v>0</v>
      </c>
      <c r="I305" s="9"/>
      <c r="J305" s="30"/>
    </row>
    <row r="306" customFormat="false" ht="17.7" hidden="false" customHeight="true" outlineLevel="0" collapsed="false">
      <c r="A306" s="0" t="n">
        <v>30</v>
      </c>
      <c r="B306" s="31" t="n">
        <v>37500</v>
      </c>
      <c r="C306" s="56" t="n">
        <v>75865</v>
      </c>
      <c r="D306" s="29" t="s">
        <v>41</v>
      </c>
      <c r="E306" s="33" t="n">
        <f aca="false">IF(D306="totale",(C306/(A306*24))/F306,IF(D306="marché libre",(C306/(A306*24))/G306,"spécifier histo"))</f>
        <v>0.0240018349784865</v>
      </c>
      <c r="F306" s="59" t="n">
        <v>4390</v>
      </c>
      <c r="G306" s="59" t="n">
        <f aca="false">F306-H306</f>
        <v>4390</v>
      </c>
      <c r="H306" s="9" t="n">
        <f aca="false">0</f>
        <v>0</v>
      </c>
      <c r="I306" s="9"/>
      <c r="J306" s="30"/>
    </row>
    <row r="307" customFormat="false" ht="17.7" hidden="false" customHeight="true" outlineLevel="0" collapsed="false">
      <c r="A307" s="0" t="n">
        <v>31</v>
      </c>
      <c r="B307" s="34" t="n">
        <v>37530</v>
      </c>
      <c r="C307" s="56" t="n">
        <v>859137</v>
      </c>
      <c r="D307" s="29" t="s">
        <v>41</v>
      </c>
      <c r="E307" s="33" t="n">
        <f aca="false">IF(D307="totale",(C307/(A307*24))/F307,IF(D307="marché libre",(C307/(A307*24))/G307,"spécifier histo"))</f>
        <v>0.263041920787714</v>
      </c>
      <c r="F307" s="59" t="n">
        <v>4390</v>
      </c>
      <c r="G307" s="59" t="n">
        <f aca="false">F307-H307</f>
        <v>4390</v>
      </c>
      <c r="H307" s="9" t="n">
        <f aca="false">0</f>
        <v>0</v>
      </c>
      <c r="I307" s="9"/>
      <c r="J307" s="30"/>
    </row>
    <row r="308" customFormat="false" ht="23.15" hidden="false" customHeight="true" outlineLevel="0" collapsed="false">
      <c r="A308" s="0" t="n">
        <v>30</v>
      </c>
      <c r="B308" s="31" t="n">
        <v>37561</v>
      </c>
      <c r="C308" s="56" t="n">
        <v>1857266</v>
      </c>
      <c r="D308" s="29" t="s">
        <v>41</v>
      </c>
      <c r="E308" s="33" t="n">
        <f aca="false">IF(D308="totale",(C308/(A308*24))/F308,IF(D308="marché libre",(C308/(A308*24))/G308,"spécifier histo"))</f>
        <v>0.58759364717793</v>
      </c>
      <c r="F308" s="59" t="n">
        <v>4390</v>
      </c>
      <c r="G308" s="59" t="n">
        <f aca="false">F308-H308</f>
        <v>4390</v>
      </c>
      <c r="H308" s="9" t="n">
        <f aca="false">0</f>
        <v>0</v>
      </c>
      <c r="I308" s="9"/>
      <c r="J308" s="30"/>
    </row>
    <row r="309" customFormat="false" ht="17.7" hidden="false" customHeight="true" outlineLevel="0" collapsed="false">
      <c r="A309" s="0" t="n">
        <v>31</v>
      </c>
      <c r="B309" s="34" t="n">
        <v>37591</v>
      </c>
      <c r="C309" s="56" t="n">
        <v>2429485</v>
      </c>
      <c r="D309" s="29" t="s">
        <v>41</v>
      </c>
      <c r="E309" s="33" t="n">
        <f aca="false">IF(D309="totale",(C309/(A309*24))/F309,IF(D309="marché libre",(C309/(A309*24))/G309,"spécifier histo"))</f>
        <v>0.743835268327332</v>
      </c>
      <c r="F309" s="59" t="n">
        <v>4390</v>
      </c>
      <c r="G309" s="59" t="n">
        <f aca="false">F309-H309</f>
        <v>4390</v>
      </c>
      <c r="H309" s="9" t="n">
        <f aca="false">0</f>
        <v>0</v>
      </c>
      <c r="I309" s="9"/>
      <c r="J309" s="30"/>
    </row>
    <row r="310" customFormat="false" ht="23.15" hidden="false" customHeight="true" outlineLevel="0" collapsed="false">
      <c r="A310" s="0" t="n">
        <v>31</v>
      </c>
      <c r="B310" s="31" t="n">
        <v>37622</v>
      </c>
      <c r="C310" s="56" t="n">
        <v>2138662</v>
      </c>
      <c r="D310" s="29" t="s">
        <v>41</v>
      </c>
      <c r="E310" s="33" t="n">
        <f aca="false">IF(D310="totale",(C310/(A310*24))/F310,IF(D310="marché libre",(C310/(A310*24))/G310,"spécifier histo"))</f>
        <v>0.654794008866681</v>
      </c>
      <c r="F310" s="59" t="n">
        <v>4390</v>
      </c>
      <c r="G310" s="59" t="n">
        <f aca="false">F310-H310</f>
        <v>4390</v>
      </c>
      <c r="H310" s="9" t="n">
        <f aca="false">0</f>
        <v>0</v>
      </c>
      <c r="I310" s="9"/>
      <c r="J310" s="30"/>
    </row>
    <row r="311" customFormat="false" ht="14.2" hidden="false" customHeight="true" outlineLevel="0" collapsed="false">
      <c r="A311" s="0" t="n">
        <v>28</v>
      </c>
      <c r="B311" s="34" t="n">
        <v>37653</v>
      </c>
      <c r="C311" s="56" t="n">
        <v>2238391</v>
      </c>
      <c r="D311" s="29" t="s">
        <v>41</v>
      </c>
      <c r="E311" s="33" t="n">
        <f aca="false">IF(D311="totale",(C311/(A311*24))/F311,IF(D311="marché libre",(C311/(A311*24))/G311,"spécifier histo"))</f>
        <v>0.758756033734678</v>
      </c>
      <c r="F311" s="59" t="n">
        <v>4390</v>
      </c>
      <c r="G311" s="59" t="n">
        <f aca="false">F311-H311</f>
        <v>4390</v>
      </c>
      <c r="H311" s="9" t="n">
        <f aca="false">0</f>
        <v>0</v>
      </c>
      <c r="I311" s="9"/>
      <c r="J311" s="30"/>
    </row>
    <row r="312" customFormat="false" ht="14.2" hidden="false" customHeight="true" outlineLevel="0" collapsed="false">
      <c r="A312" s="0" t="n">
        <v>31</v>
      </c>
      <c r="B312" s="31" t="n">
        <v>37681</v>
      </c>
      <c r="C312" s="56" t="n">
        <v>2484147</v>
      </c>
      <c r="D312" s="29" t="s">
        <v>41</v>
      </c>
      <c r="E312" s="33" t="n">
        <f aca="false">IF(D312="totale",(C312/(A312*24))/F312,IF(D312="marché libre",(C312/(A312*24))/G312,"spécifier histo"))</f>
        <v>0.760571129399662</v>
      </c>
      <c r="F312" s="59" t="n">
        <v>4390</v>
      </c>
      <c r="G312" s="59" t="n">
        <f aca="false">F312-H312</f>
        <v>4390</v>
      </c>
      <c r="H312" s="9" t="n">
        <f aca="false">0</f>
        <v>0</v>
      </c>
      <c r="I312" s="9"/>
      <c r="J312" s="30"/>
    </row>
    <row r="313" customFormat="false" ht="14.2" hidden="false" customHeight="true" outlineLevel="0" collapsed="false">
      <c r="A313" s="0" t="n">
        <v>30</v>
      </c>
      <c r="B313" s="34" t="n">
        <v>37712</v>
      </c>
      <c r="C313" s="56" t="n">
        <v>2251412</v>
      </c>
      <c r="D313" s="29" t="s">
        <v>41</v>
      </c>
      <c r="E313" s="33" t="n">
        <f aca="false">IF(D313="totale",(C313/(A313*24))/F313,IF(D313="marché libre",(C313/(A313*24))/G313,"spécifier histo"))</f>
        <v>0.712291824854467</v>
      </c>
      <c r="F313" s="59" t="n">
        <v>4390</v>
      </c>
      <c r="G313" s="59" t="n">
        <f aca="false">F313-H313</f>
        <v>4390</v>
      </c>
      <c r="H313" s="9" t="n">
        <f aca="false">0</f>
        <v>0</v>
      </c>
      <c r="I313" s="9"/>
      <c r="J313" s="30"/>
    </row>
    <row r="314" customFormat="false" ht="14.2" hidden="false" customHeight="true" outlineLevel="0" collapsed="false">
      <c r="A314" s="0" t="n">
        <v>31</v>
      </c>
      <c r="B314" s="31" t="n">
        <v>37742</v>
      </c>
      <c r="C314" s="56" t="n">
        <v>2497270</v>
      </c>
      <c r="D314" s="29" t="s">
        <v>41</v>
      </c>
      <c r="E314" s="33" t="n">
        <f aca="false">IF(D314="totale",(C314/(A314*24))/F314,IF(D314="marché libre",(C314/(A314*24))/G314,"spécifier histo"))</f>
        <v>0.76458899747716</v>
      </c>
      <c r="F314" s="59" t="n">
        <v>4390</v>
      </c>
      <c r="G314" s="59" t="n">
        <f aca="false">F314-H314</f>
        <v>4390</v>
      </c>
      <c r="H314" s="9" t="n">
        <f aca="false">0</f>
        <v>0</v>
      </c>
      <c r="I314" s="9"/>
      <c r="J314" s="30"/>
    </row>
    <row r="315" customFormat="false" ht="14.2" hidden="false" customHeight="true" outlineLevel="0" collapsed="false">
      <c r="A315" s="0" t="n">
        <v>30</v>
      </c>
      <c r="B315" s="34" t="n">
        <v>37773</v>
      </c>
      <c r="C315" s="56" t="n">
        <v>1656614</v>
      </c>
      <c r="D315" s="29" t="s">
        <v>41</v>
      </c>
      <c r="E315" s="33" t="n">
        <f aca="false">IF(D315="totale",(C315/(A315*24))/F315,IF(D315="marché libre",(C315/(A315*24))/G315,"spécifier histo"))</f>
        <v>0.524112250063275</v>
      </c>
      <c r="F315" s="59" t="n">
        <v>4390</v>
      </c>
      <c r="G315" s="59" t="n">
        <f aca="false">F315-H315</f>
        <v>4390</v>
      </c>
      <c r="H315" s="9" t="n">
        <f aca="false">0</f>
        <v>0</v>
      </c>
      <c r="I315" s="9"/>
      <c r="J315" s="30"/>
    </row>
    <row r="316" customFormat="false" ht="14.2" hidden="false" customHeight="true" outlineLevel="0" collapsed="false">
      <c r="A316" s="0" t="n">
        <v>31</v>
      </c>
      <c r="B316" s="31" t="n">
        <v>37803</v>
      </c>
      <c r="C316" s="56" t="n">
        <v>348750</v>
      </c>
      <c r="D316" s="29" t="s">
        <v>41</v>
      </c>
      <c r="E316" s="33" t="n">
        <f aca="false">IF(D316="totale",(C316/(A316*24))/F316,IF(D316="marché libre",(C316/(A316*24))/G316,"spécifier histo"))</f>
        <v>0.106776765375854</v>
      </c>
      <c r="F316" s="59" t="n">
        <v>4390</v>
      </c>
      <c r="G316" s="59" t="n">
        <f aca="false">F316-H316</f>
        <v>4390</v>
      </c>
      <c r="H316" s="9" t="n">
        <f aca="false">0</f>
        <v>0</v>
      </c>
      <c r="I316" s="9"/>
      <c r="J316" s="30"/>
    </row>
    <row r="317" customFormat="false" ht="14.2" hidden="false" customHeight="true" outlineLevel="0" collapsed="false">
      <c r="A317" s="0" t="n">
        <v>31</v>
      </c>
      <c r="B317" s="34" t="n">
        <v>37834</v>
      </c>
      <c r="C317" s="56" t="n">
        <v>91195</v>
      </c>
      <c r="D317" s="29" t="s">
        <v>41</v>
      </c>
      <c r="E317" s="33" t="n">
        <f aca="false">IF(D317="totale",(C317/(A317*24))/F317,IF(D317="marché libre",(C317/(A317*24))/G317,"spécifier histo"))</f>
        <v>0.0279211673647341</v>
      </c>
      <c r="F317" s="59" t="n">
        <v>4390</v>
      </c>
      <c r="G317" s="59" t="n">
        <f aca="false">F317-H317</f>
        <v>4390</v>
      </c>
      <c r="H317" s="9" t="n">
        <f aca="false">0</f>
        <v>0</v>
      </c>
      <c r="I317" s="9"/>
      <c r="J317" s="30"/>
    </row>
    <row r="318" customFormat="false" ht="14.2" hidden="false" customHeight="true" outlineLevel="0" collapsed="false">
      <c r="A318" s="0" t="n">
        <v>30</v>
      </c>
      <c r="B318" s="31" t="n">
        <v>37865</v>
      </c>
      <c r="C318" s="56" t="n">
        <v>470019</v>
      </c>
      <c r="D318" s="29" t="s">
        <v>41</v>
      </c>
      <c r="E318" s="33" t="n">
        <f aca="false">IF(D318="totale",(C318/(A318*24))/F318,IF(D318="marché libre",(C318/(A318*24))/G318,"spécifier histo"))</f>
        <v>0.148702543659833</v>
      </c>
      <c r="F318" s="59" t="n">
        <v>4390</v>
      </c>
      <c r="G318" s="59" t="n">
        <f aca="false">F318-H318</f>
        <v>4390</v>
      </c>
      <c r="H318" s="9" t="n">
        <f aca="false">0</f>
        <v>0</v>
      </c>
      <c r="I318" s="9"/>
      <c r="J318" s="30"/>
    </row>
    <row r="319" customFormat="false" ht="14.2" hidden="false" customHeight="true" outlineLevel="0" collapsed="false">
      <c r="A319" s="0" t="n">
        <v>31</v>
      </c>
      <c r="B319" s="34" t="n">
        <v>37895</v>
      </c>
      <c r="C319" s="56" t="n">
        <v>830829</v>
      </c>
      <c r="D319" s="29" t="s">
        <v>41</v>
      </c>
      <c r="E319" s="33" t="n">
        <f aca="false">IF(D319="totale",(C319/(A319*24))/F319,IF(D319="marché libre",(C319/(A319*24))/G319,"spécifier histo"))</f>
        <v>0.254374862223528</v>
      </c>
      <c r="F319" s="59" t="n">
        <v>4390</v>
      </c>
      <c r="G319" s="59" t="n">
        <f aca="false">F319-H319</f>
        <v>4390</v>
      </c>
      <c r="H319" s="9" t="n">
        <f aca="false">0</f>
        <v>0</v>
      </c>
      <c r="I319" s="9"/>
      <c r="J319" s="30"/>
    </row>
    <row r="320" customFormat="false" ht="14.2" hidden="false" customHeight="true" outlineLevel="0" collapsed="false">
      <c r="A320" s="0" t="n">
        <v>30</v>
      </c>
      <c r="B320" s="31" t="n">
        <v>37926</v>
      </c>
      <c r="C320" s="56" t="n">
        <v>830919</v>
      </c>
      <c r="D320" s="29" t="s">
        <v>41</v>
      </c>
      <c r="E320" s="33" t="n">
        <f aca="false">IF(D320="totale",(C320/(A320*24))/F320,IF(D320="marché libre",(C320/(A320*24))/G320,"spécifier histo"))</f>
        <v>0.262882498101746</v>
      </c>
      <c r="F320" s="59" t="n">
        <v>4390</v>
      </c>
      <c r="G320" s="59" t="n">
        <f aca="false">F320-H320</f>
        <v>4390</v>
      </c>
      <c r="H320" s="9" t="n">
        <f aca="false">0</f>
        <v>0</v>
      </c>
      <c r="I320" s="9"/>
      <c r="J320" s="30"/>
    </row>
    <row r="321" customFormat="false" ht="14.2" hidden="false" customHeight="true" outlineLevel="0" collapsed="false">
      <c r="A321" s="0" t="n">
        <v>31</v>
      </c>
      <c r="B321" s="34" t="n">
        <v>37956</v>
      </c>
      <c r="C321" s="56" t="n">
        <v>1875649</v>
      </c>
      <c r="D321" s="29" t="s">
        <v>41</v>
      </c>
      <c r="E321" s="33" t="n">
        <f aca="false">IF(D321="totale",(C321/(A321*24))/F321,IF(D321="marché libre",(C321/(A321*24))/G321,"spécifier histo"))</f>
        <v>0.574267335341808</v>
      </c>
      <c r="F321" s="59" t="n">
        <v>4390</v>
      </c>
      <c r="G321" s="59" t="n">
        <f aca="false">F321-H321</f>
        <v>4390</v>
      </c>
      <c r="H321" s="9" t="n">
        <f aca="false">0</f>
        <v>0</v>
      </c>
      <c r="I321" s="9"/>
      <c r="J321" s="30"/>
    </row>
    <row r="322" customFormat="false" ht="18.15" hidden="false" customHeight="true" outlineLevel="0" collapsed="false">
      <c r="A322" s="0" t="n">
        <v>31</v>
      </c>
      <c r="B322" s="31" t="n">
        <v>37987</v>
      </c>
      <c r="C322" s="56" t="n">
        <v>2729643</v>
      </c>
      <c r="D322" s="29" t="s">
        <v>41</v>
      </c>
      <c r="E322" s="33" t="n">
        <f aca="false">IF(D322="totale",(C322/(A322*24))/F322,IF(D322="marché libre",(C322/(A322*24))/G322,"spécifier histo"))</f>
        <v>0.835734624145786</v>
      </c>
      <c r="F322" s="59" t="n">
        <v>4390</v>
      </c>
      <c r="G322" s="59" t="n">
        <f aca="false">F322-H322</f>
        <v>4390</v>
      </c>
      <c r="H322" s="9" t="n">
        <f aca="false">0</f>
        <v>0</v>
      </c>
      <c r="I322" s="9"/>
      <c r="J322" s="30"/>
    </row>
    <row r="323" customFormat="false" ht="18.15" hidden="false" customHeight="true" outlineLevel="0" collapsed="false">
      <c r="A323" s="0" t="n">
        <v>28</v>
      </c>
      <c r="B323" s="34" t="n">
        <v>38018</v>
      </c>
      <c r="C323" s="56" t="n">
        <v>1543904</v>
      </c>
      <c r="D323" s="29" t="s">
        <v>41</v>
      </c>
      <c r="E323" s="33" t="n">
        <f aca="false">IF(D323="totale",(C323/(A323*24))/F323,IF(D323="marché libre",(C323/(A323*24))/G323,"spécifier histo"))</f>
        <v>0.523343095780453</v>
      </c>
      <c r="F323" s="59" t="n">
        <v>4390</v>
      </c>
      <c r="G323" s="59" t="n">
        <f aca="false">F323-H323</f>
        <v>4390</v>
      </c>
      <c r="H323" s="9" t="n">
        <f aca="false">0</f>
        <v>0</v>
      </c>
      <c r="I323" s="9"/>
      <c r="J323" s="30"/>
    </row>
    <row r="324" customFormat="false" ht="18.15" hidden="false" customHeight="true" outlineLevel="0" collapsed="false">
      <c r="A324" s="0" t="n">
        <v>31</v>
      </c>
      <c r="B324" s="31" t="n">
        <v>38047</v>
      </c>
      <c r="C324" s="56" t="n">
        <v>2176599</v>
      </c>
      <c r="D324" s="29" t="s">
        <v>41</v>
      </c>
      <c r="E324" s="33" t="n">
        <f aca="false">IF(D324="totale",(C324/(A324*24))/F324,IF(D324="marché libre",(C324/(A324*24))/G324,"spécifier histo"))</f>
        <v>0.666409177750018</v>
      </c>
      <c r="F324" s="59" t="n">
        <v>4390</v>
      </c>
      <c r="G324" s="59" t="n">
        <f aca="false">F324-H324</f>
        <v>4390</v>
      </c>
      <c r="H324" s="9" t="n">
        <f aca="false">0</f>
        <v>0</v>
      </c>
      <c r="I324" s="9"/>
      <c r="J324" s="30"/>
    </row>
    <row r="325" customFormat="false" ht="18.15" hidden="false" customHeight="true" outlineLevel="0" collapsed="false">
      <c r="A325" s="0" t="n">
        <v>30</v>
      </c>
      <c r="B325" s="34" t="n">
        <v>38078</v>
      </c>
      <c r="C325" s="56" t="n">
        <v>2424015</v>
      </c>
      <c r="D325" s="29" t="s">
        <v>41</v>
      </c>
      <c r="E325" s="33" t="n">
        <f aca="false">IF(D325="totale",(C325/(A325*24))/F325,IF(D325="marché libre",(C325/(A325*24))/G325,"spécifier histo"))</f>
        <v>0.766899202733485</v>
      </c>
      <c r="F325" s="59" t="n">
        <v>4390</v>
      </c>
      <c r="G325" s="59" t="n">
        <f aca="false">F325-H325</f>
        <v>4390</v>
      </c>
      <c r="H325" s="9" t="n">
        <f aca="false">0</f>
        <v>0</v>
      </c>
      <c r="I325" s="9"/>
      <c r="J325" s="30"/>
    </row>
    <row r="326" customFormat="false" ht="18.15" hidden="false" customHeight="true" outlineLevel="0" collapsed="false">
      <c r="A326" s="0" t="n">
        <v>31</v>
      </c>
      <c r="B326" s="31" t="n">
        <v>38108</v>
      </c>
      <c r="C326" s="56" t="n">
        <v>306997</v>
      </c>
      <c r="D326" s="29" t="s">
        <v>41</v>
      </c>
      <c r="E326" s="33" t="n">
        <f aca="false">IF(D326="totale",(C326/(A326*24))/F326,IF(D326="marché libre",(C326/(A326*24))/G326,"spécifier histo"))</f>
        <v>0.0939932520145982</v>
      </c>
      <c r="F326" s="59" t="n">
        <v>4390</v>
      </c>
      <c r="G326" s="59" t="n">
        <f aca="false">F326-H326</f>
        <v>4390</v>
      </c>
      <c r="H326" s="9" t="n">
        <f aca="false">0</f>
        <v>0</v>
      </c>
      <c r="I326" s="9"/>
      <c r="J326" s="30"/>
    </row>
    <row r="327" customFormat="false" ht="18.15" hidden="false" customHeight="true" outlineLevel="0" collapsed="false">
      <c r="A327" s="0" t="n">
        <v>30</v>
      </c>
      <c r="B327" s="34" t="n">
        <v>38139</v>
      </c>
      <c r="C327" s="56" t="n">
        <v>2339977</v>
      </c>
      <c r="D327" s="29" t="s">
        <v>41</v>
      </c>
      <c r="E327" s="33" t="n">
        <f aca="false">IF(D327="totale",(C327/(A327*24))/F327,IF(D327="marché libre",(C327/(A327*24))/G327,"spécifier histo"))</f>
        <v>0.740311629967097</v>
      </c>
      <c r="F327" s="59" t="n">
        <v>4390</v>
      </c>
      <c r="G327" s="59" t="n">
        <f aca="false">F327-H327</f>
        <v>4390</v>
      </c>
      <c r="H327" s="9" t="n">
        <f aca="false">0</f>
        <v>0</v>
      </c>
      <c r="I327" s="9"/>
      <c r="J327" s="30"/>
    </row>
    <row r="328" customFormat="false" ht="18.15" hidden="false" customHeight="true" outlineLevel="0" collapsed="false">
      <c r="A328" s="0" t="n">
        <v>31</v>
      </c>
      <c r="B328" s="31" t="n">
        <v>38169</v>
      </c>
      <c r="C328" s="56" t="n">
        <v>831534</v>
      </c>
      <c r="D328" s="29" t="s">
        <v>41</v>
      </c>
      <c r="E328" s="33" t="n">
        <f aca="false">IF(D328="totale",(C328/(A328*24))/F328,IF(D328="marché libre",(C328/(A328*24))/G328,"spécifier histo"))</f>
        <v>0.254590712028804</v>
      </c>
      <c r="F328" s="59" t="n">
        <v>4390</v>
      </c>
      <c r="G328" s="59" t="n">
        <f aca="false">F328-H328</f>
        <v>4390</v>
      </c>
      <c r="H328" s="9" t="n">
        <f aca="false">0</f>
        <v>0</v>
      </c>
      <c r="I328" s="9"/>
      <c r="J328" s="30"/>
    </row>
    <row r="329" customFormat="false" ht="18.15" hidden="false" customHeight="true" outlineLevel="0" collapsed="false">
      <c r="A329" s="0" t="n">
        <v>31</v>
      </c>
      <c r="B329" s="34" t="n">
        <v>38200</v>
      </c>
      <c r="C329" s="56" t="n">
        <v>210938</v>
      </c>
      <c r="D329" s="29" t="s">
        <v>41</v>
      </c>
      <c r="E329" s="33" t="n">
        <f aca="false">IF(D329="totale",(C329/(A329*24))/F329,IF(D329="marché libre",(C329/(A329*24))/G329,"spécifier histo"))</f>
        <v>0.0645828740784285</v>
      </c>
      <c r="F329" s="59" t="n">
        <v>4390</v>
      </c>
      <c r="G329" s="59" t="n">
        <f aca="false">F329-H329</f>
        <v>4390</v>
      </c>
      <c r="H329" s="9" t="n">
        <f aca="false">0</f>
        <v>0</v>
      </c>
      <c r="I329" s="9"/>
      <c r="J329" s="30"/>
    </row>
    <row r="330" customFormat="false" ht="18.15" hidden="false" customHeight="true" outlineLevel="0" collapsed="false">
      <c r="A330" s="0" t="n">
        <v>30</v>
      </c>
      <c r="B330" s="31" t="n">
        <v>38231</v>
      </c>
      <c r="C330" s="56" t="n">
        <v>81494</v>
      </c>
      <c r="D330" s="29" t="s">
        <v>41</v>
      </c>
      <c r="E330" s="33" t="n">
        <f aca="false">IF(D330="totale",(C330/(A330*24))/F330,IF(D330="marché libre",(C330/(A330*24))/G330,"spécifier histo"))</f>
        <v>0.0257827132371552</v>
      </c>
      <c r="F330" s="59" t="n">
        <v>4390</v>
      </c>
      <c r="G330" s="59" t="n">
        <f aca="false">F330-H330</f>
        <v>4390</v>
      </c>
      <c r="H330" s="9" t="n">
        <f aca="false">0</f>
        <v>0</v>
      </c>
      <c r="I330" s="9"/>
      <c r="J330" s="30"/>
    </row>
    <row r="331" customFormat="false" ht="18.15" hidden="false" customHeight="true" outlineLevel="0" collapsed="false">
      <c r="A331" s="0" t="n">
        <v>31</v>
      </c>
      <c r="B331" s="34" t="n">
        <v>38261</v>
      </c>
      <c r="C331" s="56" t="n">
        <v>34904</v>
      </c>
      <c r="D331" s="29" t="s">
        <v>41</v>
      </c>
      <c r="E331" s="33" t="n">
        <f aca="false">IF(D331="totale",(C331/(A331*24))/F331,IF(D331="marché libre",(C331/(A331*24))/G331,"spécifier histo"))</f>
        <v>0.0106865554657457</v>
      </c>
      <c r="F331" s="59" t="n">
        <v>4390</v>
      </c>
      <c r="G331" s="59" t="n">
        <f aca="false">F331-H331</f>
        <v>4390</v>
      </c>
      <c r="H331" s="9" t="n">
        <f aca="false">0</f>
        <v>0</v>
      </c>
      <c r="I331" s="9"/>
      <c r="J331" s="30"/>
    </row>
    <row r="332" customFormat="false" ht="18.15" hidden="false" customHeight="true" outlineLevel="0" collapsed="false">
      <c r="A332" s="0" t="n">
        <v>30</v>
      </c>
      <c r="B332" s="31" t="n">
        <v>38292</v>
      </c>
      <c r="C332" s="56" t="n">
        <v>732887</v>
      </c>
      <c r="D332" s="29" t="s">
        <v>41</v>
      </c>
      <c r="E332" s="33" t="n">
        <f aca="false">IF(D332="totale",(C332/(A332*24))/F332,IF(D332="marché libre",(C332/(A332*24))/G332,"spécifier histo"))</f>
        <v>0.231867565173374</v>
      </c>
      <c r="F332" s="59" t="n">
        <v>4390</v>
      </c>
      <c r="G332" s="59" t="n">
        <f aca="false">F332-H332</f>
        <v>4390</v>
      </c>
      <c r="H332" s="9" t="n">
        <f aca="false">0</f>
        <v>0</v>
      </c>
      <c r="I332" s="9"/>
      <c r="J332" s="30"/>
    </row>
    <row r="333" customFormat="false" ht="18.15" hidden="false" customHeight="true" outlineLevel="0" collapsed="false">
      <c r="A333" s="0" t="n">
        <v>31</v>
      </c>
      <c r="B333" s="34" t="n">
        <v>38322</v>
      </c>
      <c r="C333" s="56" t="n">
        <v>1177318</v>
      </c>
      <c r="D333" s="29" t="s">
        <v>41</v>
      </c>
      <c r="E333" s="33" t="n">
        <f aca="false">IF(D333="totale",(C333/(A333*24))/F333,IF(D333="marché libre",(C333/(A333*24))/G333,"spécifier histo"))</f>
        <v>0.360459377372817</v>
      </c>
      <c r="F333" s="59" t="n">
        <v>4390</v>
      </c>
      <c r="G333" s="59" t="n">
        <f aca="false">F333-H333</f>
        <v>4390</v>
      </c>
      <c r="H333" s="9" t="n">
        <f aca="false">0</f>
        <v>0</v>
      </c>
      <c r="I333" s="9"/>
      <c r="J333" s="30"/>
    </row>
    <row r="334" customFormat="false" ht="19.85" hidden="false" customHeight="true" outlineLevel="0" collapsed="false">
      <c r="A334" s="0" t="n">
        <v>31</v>
      </c>
      <c r="B334" s="31" t="n">
        <v>38353</v>
      </c>
      <c r="C334" s="56" t="n">
        <v>1668329</v>
      </c>
      <c r="D334" s="29" t="s">
        <v>41</v>
      </c>
      <c r="E334" s="33" t="n">
        <f aca="false">IF(D334="totale",(C334/(A334*24))/F334,IF(D334="marché libre",(C334/(A334*24))/G334,"spécifier histo"))</f>
        <v>0.510792184093859</v>
      </c>
      <c r="F334" s="59" t="n">
        <v>4390</v>
      </c>
      <c r="G334" s="59" t="n">
        <f aca="false">F334-H334</f>
        <v>4390</v>
      </c>
      <c r="H334" s="9" t="n">
        <f aca="false">0</f>
        <v>0</v>
      </c>
      <c r="J334" s="70" t="s">
        <v>592</v>
      </c>
      <c r="L334" s="1" t="s">
        <v>593</v>
      </c>
    </row>
    <row r="335" customFormat="false" ht="19.85" hidden="false" customHeight="true" outlineLevel="0" collapsed="false">
      <c r="A335" s="0" t="n">
        <v>28</v>
      </c>
      <c r="B335" s="34" t="n">
        <v>38384</v>
      </c>
      <c r="C335" s="56" t="n">
        <v>1319579</v>
      </c>
      <c r="D335" s="29" t="s">
        <v>41</v>
      </c>
      <c r="E335" s="33" t="n">
        <f aca="false">IF(D335="totale",(C335/(A335*24))/F335,IF(D335="marché libre",(C335/(A335*24))/G335,"spécifier histo"))</f>
        <v>0.44730278500922</v>
      </c>
      <c r="F335" s="59" t="n">
        <v>4390</v>
      </c>
      <c r="G335" s="59" t="n">
        <f aca="false">F335-H335</f>
        <v>4390</v>
      </c>
      <c r="H335" s="9" t="n">
        <f aca="false">0</f>
        <v>0</v>
      </c>
      <c r="J335" s="237" t="s">
        <v>594</v>
      </c>
      <c r="L335" s="128" t="s">
        <v>595</v>
      </c>
      <c r="M335" s="360" t="s">
        <v>596</v>
      </c>
      <c r="N335" s="289"/>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0"/>
      <c r="AU335" s="0"/>
      <c r="AV335" s="0"/>
      <c r="AW335" s="0"/>
      <c r="AX335" s="0"/>
      <c r="AY335" s="0"/>
      <c r="AZ335" s="0"/>
      <c r="BA335" s="0"/>
      <c r="BB335" s="0"/>
      <c r="BC335" s="0"/>
      <c r="BD335" s="0"/>
      <c r="BE335" s="0"/>
      <c r="BF335" s="0"/>
      <c r="BG335" s="0"/>
      <c r="BH335" s="0"/>
      <c r="BI335" s="0"/>
    </row>
    <row r="336" customFormat="false" ht="19.85" hidden="false" customHeight="true" outlineLevel="0" collapsed="false">
      <c r="A336" s="0" t="n">
        <v>31</v>
      </c>
      <c r="B336" s="31" t="n">
        <v>38412</v>
      </c>
      <c r="C336" s="56" t="n">
        <v>2138434</v>
      </c>
      <c r="D336" s="29" t="s">
        <v>41</v>
      </c>
      <c r="E336" s="33" t="n">
        <f aca="false">IF(D336="totale",(C336/(A336*24))/F336,IF(D336="marché libre",(C336/(A336*24))/G336,"spécifier histo"))</f>
        <v>0.654724202121145</v>
      </c>
      <c r="F336" s="59" t="n">
        <v>4390</v>
      </c>
      <c r="G336" s="59" t="n">
        <f aca="false">F336-H336</f>
        <v>4390</v>
      </c>
      <c r="H336" s="9" t="n">
        <f aca="false">0</f>
        <v>0</v>
      </c>
      <c r="J336" s="237" t="s">
        <v>597</v>
      </c>
      <c r="L336" s="128" t="n">
        <f aca="false">4200-400</f>
        <v>3800</v>
      </c>
      <c r="M336" s="360" t="s">
        <v>598</v>
      </c>
      <c r="N336" s="289"/>
      <c r="U336" s="38"/>
      <c r="V336" s="0"/>
      <c r="W336" s="0"/>
      <c r="X336" s="0"/>
      <c r="Y336" s="0"/>
      <c r="Z336" s="0"/>
      <c r="AA336" s="0"/>
      <c r="AB336" s="0"/>
      <c r="AC336" s="0"/>
      <c r="AD336" s="0"/>
      <c r="AE336" s="0"/>
      <c r="AF336" s="0"/>
      <c r="AT336" s="0"/>
      <c r="AU336" s="0"/>
      <c r="AV336" s="0"/>
      <c r="AW336" s="0"/>
      <c r="AX336" s="0"/>
      <c r="AY336" s="0"/>
      <c r="AZ336" s="0"/>
      <c r="BA336" s="0"/>
      <c r="BB336" s="0"/>
      <c r="BC336" s="0"/>
      <c r="BD336" s="0"/>
      <c r="BE336" s="0"/>
      <c r="BF336" s="0"/>
      <c r="BG336" s="0"/>
      <c r="BH336" s="0"/>
      <c r="BI336" s="0"/>
    </row>
    <row r="337" customFormat="false" ht="19.85" hidden="false" customHeight="true" outlineLevel="0" collapsed="false">
      <c r="A337" s="0" t="n">
        <v>30</v>
      </c>
      <c r="B337" s="34" t="n">
        <v>38443</v>
      </c>
      <c r="C337" s="56" t="n">
        <v>2868719</v>
      </c>
      <c r="D337" s="29" t="s">
        <v>41</v>
      </c>
      <c r="E337" s="33" t="n">
        <f aca="false">IF(D337="totale",(C337/(A337*24))/F337,IF(D337="marché libre",(C337/(A337*24))/G337,"spécifier histo"))</f>
        <v>0.907592698051126</v>
      </c>
      <c r="F337" s="59" t="n">
        <v>4390</v>
      </c>
      <c r="G337" s="59" t="n">
        <f aca="false">F337-H337</f>
        <v>4390</v>
      </c>
      <c r="H337" s="9" t="n">
        <f aca="false">0</f>
        <v>0</v>
      </c>
      <c r="J337" s="70"/>
      <c r="U337" s="38"/>
      <c r="V337" s="0"/>
      <c r="W337" s="0"/>
      <c r="X337" s="0"/>
      <c r="Y337" s="0"/>
      <c r="Z337" s="0"/>
      <c r="AA337" s="0"/>
      <c r="AB337" s="0"/>
      <c r="AC337" s="0"/>
      <c r="AD337" s="0"/>
      <c r="AE337" s="0"/>
      <c r="AF337" s="0"/>
      <c r="AT337" s="0"/>
      <c r="AU337" s="0"/>
      <c r="AV337" s="0"/>
      <c r="AW337" s="0"/>
      <c r="AX337" s="0"/>
      <c r="AY337" s="0"/>
      <c r="AZ337" s="0"/>
      <c r="BA337" s="0"/>
      <c r="BB337" s="0"/>
      <c r="BC337" s="0"/>
      <c r="BD337" s="0"/>
      <c r="BE337" s="0"/>
      <c r="BF337" s="0"/>
      <c r="BG337" s="0"/>
      <c r="BH337" s="0"/>
      <c r="BI337" s="0"/>
    </row>
    <row r="338" customFormat="false" ht="19.85" hidden="false" customHeight="true" outlineLevel="0" collapsed="false">
      <c r="A338" s="0" t="n">
        <v>31</v>
      </c>
      <c r="B338" s="31" t="n">
        <v>38473</v>
      </c>
      <c r="C338" s="56" t="n">
        <v>3014827</v>
      </c>
      <c r="D338" s="29" t="s">
        <v>41</v>
      </c>
      <c r="E338" s="33" t="n">
        <f aca="false">IF(D338="totale",(C338/(A338*24))/F338,IF(D338="marché libre",(C338/(A338*24))/G338,"spécifier histo"))</f>
        <v>0.923049391334166</v>
      </c>
      <c r="F338" s="59" t="n">
        <v>4390</v>
      </c>
      <c r="G338" s="59" t="n">
        <f aca="false">F338-H338</f>
        <v>4390</v>
      </c>
      <c r="H338" s="9" t="n">
        <f aca="false">0</f>
        <v>0</v>
      </c>
      <c r="J338" s="70" t="s">
        <v>599</v>
      </c>
      <c r="U338" s="38"/>
      <c r="V338" s="0"/>
      <c r="W338" s="0"/>
      <c r="X338" s="0"/>
      <c r="Y338" s="0"/>
      <c r="Z338" s="0"/>
      <c r="AA338" s="0"/>
      <c r="AB338" s="0"/>
      <c r="AC338" s="0"/>
      <c r="AD338" s="0"/>
      <c r="AE338" s="0"/>
      <c r="AF338" s="0"/>
      <c r="AT338" s="0"/>
      <c r="AU338" s="0"/>
      <c r="AV338" s="0"/>
      <c r="AW338" s="0"/>
      <c r="AX338" s="0"/>
      <c r="AY338" s="0"/>
      <c r="AZ338" s="0"/>
      <c r="BA338" s="0"/>
      <c r="BB338" s="0"/>
      <c r="BC338" s="0"/>
      <c r="BD338" s="0"/>
      <c r="BE338" s="0"/>
      <c r="BF338" s="0"/>
      <c r="BG338" s="0"/>
      <c r="BH338" s="0"/>
      <c r="BI338" s="0"/>
    </row>
    <row r="339" customFormat="false" ht="19.85" hidden="false" customHeight="true" outlineLevel="0" collapsed="false">
      <c r="A339" s="0" t="n">
        <v>30</v>
      </c>
      <c r="B339" s="34" t="n">
        <v>38504</v>
      </c>
      <c r="C339" s="56" t="n">
        <v>1903012</v>
      </c>
      <c r="D339" s="29" t="s">
        <v>41</v>
      </c>
      <c r="E339" s="33" t="n">
        <f aca="false">IF(D339="totale",(C339/(A339*24))/F339,IF(D339="marché libre",(C339/(A339*24))/G339,"spécifier histo"))</f>
        <v>0.602066565426474</v>
      </c>
      <c r="F339" s="59" t="n">
        <v>4390</v>
      </c>
      <c r="G339" s="59" t="n">
        <f aca="false">F339-H339</f>
        <v>4390</v>
      </c>
      <c r="H339" s="9" t="n">
        <f aca="false">0</f>
        <v>0</v>
      </c>
      <c r="J339" s="70"/>
      <c r="U339" s="38"/>
      <c r="V339" s="0"/>
      <c r="W339" s="0"/>
      <c r="X339" s="0"/>
      <c r="Y339" s="0"/>
      <c r="Z339" s="0"/>
      <c r="AA339" s="0"/>
      <c r="AB339" s="0"/>
      <c r="AC339" s="0"/>
      <c r="AD339" s="0"/>
      <c r="AE339" s="0"/>
      <c r="AF339" s="0"/>
      <c r="AT339" s="0"/>
      <c r="AU339" s="0"/>
      <c r="AV339" s="0"/>
      <c r="AW339" s="0"/>
      <c r="AX339" s="0"/>
      <c r="AY339" s="0"/>
      <c r="AZ339" s="0"/>
      <c r="BA339" s="0"/>
      <c r="BB339" s="0"/>
      <c r="BC339" s="0"/>
      <c r="BD339" s="0"/>
      <c r="BE339" s="0"/>
      <c r="BF339" s="0"/>
      <c r="BG339" s="0"/>
      <c r="BH339" s="0"/>
      <c r="BI339" s="0"/>
    </row>
    <row r="340" customFormat="false" ht="19.85" hidden="false" customHeight="true" outlineLevel="0" collapsed="false">
      <c r="A340" s="0" t="n">
        <v>31</v>
      </c>
      <c r="B340" s="31" t="n">
        <v>38534</v>
      </c>
      <c r="C340" s="56" t="n">
        <v>644651</v>
      </c>
      <c r="D340" s="29" t="s">
        <v>41</v>
      </c>
      <c r="E340" s="33" t="n">
        <f aca="false">IF(D340="totale",(C340/(A340*24))/F340,IF(D340="marché libre",(C340/(A340*24))/G340,"spécifier histo"))</f>
        <v>0.197372755774365</v>
      </c>
      <c r="F340" s="59" t="n">
        <v>4390</v>
      </c>
      <c r="G340" s="59" t="n">
        <f aca="false">F340-H340</f>
        <v>4390</v>
      </c>
      <c r="H340" s="9" t="n">
        <f aca="false">0</f>
        <v>0</v>
      </c>
      <c r="J340" s="70"/>
      <c r="U340" s="38"/>
      <c r="V340" s="0"/>
      <c r="W340" s="0"/>
      <c r="X340" s="0"/>
      <c r="Y340" s="0"/>
      <c r="Z340" s="0"/>
      <c r="AA340" s="0"/>
      <c r="AB340" s="0"/>
      <c r="AC340" s="0"/>
      <c r="AD340" s="0"/>
      <c r="AE340" s="0"/>
      <c r="AF340" s="0"/>
      <c r="AT340" s="0"/>
      <c r="AU340" s="0"/>
      <c r="AV340" s="0"/>
      <c r="AW340" s="0"/>
      <c r="AX340" s="0"/>
      <c r="AY340" s="0"/>
      <c r="AZ340" s="0"/>
      <c r="BA340" s="0"/>
      <c r="BB340" s="0"/>
      <c r="BC340" s="0"/>
      <c r="BD340" s="0"/>
      <c r="BE340" s="0"/>
      <c r="BF340" s="0"/>
      <c r="BG340" s="0"/>
      <c r="BH340" s="0"/>
      <c r="BI340" s="0"/>
    </row>
    <row r="341" customFormat="false" ht="19.85" hidden="false" customHeight="true" outlineLevel="0" collapsed="false">
      <c r="A341" s="0" t="n">
        <v>31</v>
      </c>
      <c r="B341" s="34" t="n">
        <v>38565</v>
      </c>
      <c r="C341" s="56" t="n">
        <v>482408</v>
      </c>
      <c r="D341" s="29" t="s">
        <v>41</v>
      </c>
      <c r="E341" s="33" t="n">
        <f aca="false">IF(D341="totale",(C341/(A341*24))/F341,IF(D341="marché libre",(C341/(A341*24))/G341,"spécifier histo"))</f>
        <v>0.147698826756803</v>
      </c>
      <c r="F341" s="59" t="n">
        <v>4390</v>
      </c>
      <c r="G341" s="59" t="n">
        <f aca="false">F341-H341</f>
        <v>4390</v>
      </c>
      <c r="H341" s="9" t="n">
        <f aca="false">0</f>
        <v>0</v>
      </c>
      <c r="J341" s="70"/>
      <c r="U341" s="38"/>
      <c r="V341" s="0"/>
      <c r="W341" s="0"/>
      <c r="X341" s="0"/>
      <c r="Y341" s="0"/>
      <c r="Z341" s="0"/>
      <c r="AA341" s="0"/>
      <c r="AB341" s="0"/>
      <c r="AC341" s="0"/>
      <c r="AD341" s="0"/>
      <c r="AE341" s="0"/>
      <c r="AF341" s="0"/>
      <c r="AT341" s="0"/>
      <c r="AU341" s="0"/>
      <c r="AV341" s="0"/>
      <c r="AW341" s="0"/>
      <c r="AX341" s="0"/>
      <c r="AY341" s="0"/>
      <c r="AZ341" s="0"/>
      <c r="BA341" s="0"/>
      <c r="BB341" s="0"/>
      <c r="BC341" s="0"/>
      <c r="BD341" s="0"/>
      <c r="BE341" s="0"/>
      <c r="BF341" s="0"/>
      <c r="BG341" s="0"/>
      <c r="BH341" s="0"/>
      <c r="BI341" s="0"/>
    </row>
    <row r="342" customFormat="false" ht="19.85" hidden="false" customHeight="true" outlineLevel="0" collapsed="false">
      <c r="A342" s="0" t="n">
        <v>30</v>
      </c>
      <c r="B342" s="31" t="n">
        <v>38596</v>
      </c>
      <c r="C342" s="56" t="n">
        <v>196252</v>
      </c>
      <c r="D342" s="29" t="s">
        <v>41</v>
      </c>
      <c r="E342" s="33" t="n">
        <f aca="false">IF(D342="totale",(C342/(A342*24))/F342,IF(D342="marché libre",(C342/(A342*24))/G342,"spécifier histo"))</f>
        <v>0.0620893444697545</v>
      </c>
      <c r="F342" s="59" t="n">
        <v>4390</v>
      </c>
      <c r="G342" s="59" t="n">
        <f aca="false">F342-H342</f>
        <v>4390</v>
      </c>
      <c r="H342" s="9" t="n">
        <f aca="false">0</f>
        <v>0</v>
      </c>
      <c r="J342" s="70"/>
      <c r="U342" s="38"/>
      <c r="V342" s="0"/>
      <c r="W342" s="0"/>
      <c r="X342" s="0"/>
      <c r="Y342" s="0"/>
      <c r="Z342" s="0"/>
      <c r="AA342" s="0"/>
      <c r="AB342" s="0"/>
      <c r="AC342" s="0"/>
      <c r="AD342" s="0"/>
      <c r="AE342" s="0"/>
      <c r="AF342" s="0"/>
      <c r="AT342" s="0"/>
      <c r="AU342" s="0"/>
      <c r="AV342" s="0"/>
      <c r="AW342" s="0"/>
      <c r="AX342" s="0"/>
      <c r="AY342" s="0"/>
      <c r="AZ342" s="0"/>
      <c r="BA342" s="0"/>
      <c r="BB342" s="0"/>
      <c r="BC342" s="0"/>
      <c r="BD342" s="0"/>
      <c r="BE342" s="0"/>
      <c r="BF342" s="0"/>
      <c r="BG342" s="0"/>
      <c r="BH342" s="0"/>
      <c r="BI342" s="0"/>
    </row>
    <row r="343" customFormat="false" ht="19.85" hidden="false" customHeight="true" outlineLevel="0" collapsed="false">
      <c r="A343" s="0" t="n">
        <v>31</v>
      </c>
      <c r="B343" s="34" t="n">
        <v>38626</v>
      </c>
      <c r="C343" s="56" t="n">
        <v>649803</v>
      </c>
      <c r="D343" s="29" t="s">
        <v>41</v>
      </c>
      <c r="E343" s="33" t="n">
        <f aca="false">IF(D343="totale",(C343/(A343*24))/F343,IF(D343="marché libre",(C343/(A343*24))/G343,"spécifier histo"))</f>
        <v>0.19895014328753</v>
      </c>
      <c r="F343" s="59" t="n">
        <v>4390</v>
      </c>
      <c r="G343" s="59" t="n">
        <f aca="false">F343-H343</f>
        <v>4390</v>
      </c>
      <c r="H343" s="9" t="n">
        <f aca="false">0</f>
        <v>0</v>
      </c>
      <c r="J343" s="70"/>
      <c r="U343" s="38"/>
      <c r="V343" s="0"/>
      <c r="W343" s="0"/>
      <c r="X343" s="0"/>
      <c r="Y343" s="0"/>
      <c r="Z343" s="0"/>
      <c r="AA343" s="0"/>
      <c r="AB343" s="0"/>
      <c r="AC343" s="0"/>
      <c r="AD343" s="0"/>
      <c r="AE343" s="0"/>
      <c r="AF343" s="0"/>
      <c r="AT343" s="0"/>
      <c r="AU343" s="0"/>
      <c r="AV343" s="0"/>
      <c r="AW343" s="0"/>
      <c r="AX343" s="0"/>
      <c r="AY343" s="0"/>
      <c r="AZ343" s="0"/>
      <c r="BA343" s="0"/>
      <c r="BB343" s="0"/>
      <c r="BC343" s="0"/>
      <c r="BD343" s="0"/>
      <c r="BE343" s="0"/>
      <c r="BF343" s="0"/>
      <c r="BG343" s="0"/>
      <c r="BH343" s="0"/>
      <c r="BI343" s="0"/>
    </row>
    <row r="344" customFormat="false" ht="19.85" hidden="false" customHeight="true" outlineLevel="0" collapsed="false">
      <c r="A344" s="0" t="n">
        <v>30</v>
      </c>
      <c r="B344" s="31" t="n">
        <v>38657</v>
      </c>
      <c r="C344" s="56" t="n">
        <v>737210</v>
      </c>
      <c r="D344" s="29" t="s">
        <v>41</v>
      </c>
      <c r="E344" s="33" t="n">
        <f aca="false">IF(D344="totale",(C344/(A344*24))/F344,IF(D344="marché libre",(C344/(A344*24))/G344,"spécifier histo"))</f>
        <v>0.233235256896988</v>
      </c>
      <c r="F344" s="59" t="n">
        <v>4390</v>
      </c>
      <c r="G344" s="59" t="n">
        <f aca="false">F344-H344</f>
        <v>4390</v>
      </c>
      <c r="H344" s="9" t="n">
        <f aca="false">0</f>
        <v>0</v>
      </c>
      <c r="J344" s="70"/>
      <c r="U344" s="38"/>
      <c r="V344" s="0"/>
      <c r="W344" s="0"/>
      <c r="X344" s="0"/>
      <c r="Y344" s="0"/>
      <c r="Z344" s="0"/>
      <c r="AA344" s="0"/>
      <c r="AB344" s="0"/>
      <c r="AC344" s="0"/>
      <c r="AD344" s="0"/>
      <c r="AE344" s="0"/>
      <c r="AF344" s="0"/>
      <c r="AT344" s="0"/>
      <c r="AU344" s="0"/>
      <c r="AV344" s="0"/>
      <c r="AW344" s="0"/>
      <c r="AX344" s="0"/>
      <c r="AY344" s="0"/>
      <c r="AZ344" s="0"/>
      <c r="BA344" s="0"/>
      <c r="BB344" s="0"/>
      <c r="BC344" s="0"/>
      <c r="BD344" s="0"/>
      <c r="BE344" s="0"/>
      <c r="BF344" s="0"/>
      <c r="BG344" s="0"/>
      <c r="BH344" s="0"/>
      <c r="BI344" s="0"/>
    </row>
    <row r="345" customFormat="false" ht="19.85" hidden="false" customHeight="true" outlineLevel="0" collapsed="false">
      <c r="A345" s="0" t="n">
        <v>31</v>
      </c>
      <c r="B345" s="34" t="n">
        <v>38687</v>
      </c>
      <c r="C345" s="56" t="n">
        <v>876025</v>
      </c>
      <c r="D345" s="29" t="s">
        <v>41</v>
      </c>
      <c r="E345" s="33" t="n">
        <f aca="false">IF(D345="totale",(C345/(A345*24))/F345,IF(D345="marché libre",(C345/(A345*24))/G345,"spécifier histo"))</f>
        <v>0.268212518676366</v>
      </c>
      <c r="F345" s="59" t="n">
        <v>4390</v>
      </c>
      <c r="G345" s="59" t="n">
        <f aca="false">F345-H345</f>
        <v>4390</v>
      </c>
      <c r="H345" s="9" t="n">
        <f aca="false">0</f>
        <v>0</v>
      </c>
      <c r="J345" s="70"/>
      <c r="U345" s="38"/>
      <c r="V345" s="0"/>
      <c r="W345" s="0"/>
      <c r="X345" s="0"/>
      <c r="Y345" s="0"/>
      <c r="Z345" s="0"/>
      <c r="AA345" s="0"/>
      <c r="AB345" s="0"/>
      <c r="AC345" s="0"/>
      <c r="AD345" s="0"/>
      <c r="AE345" s="0"/>
      <c r="AF345" s="0"/>
      <c r="AT345" s="0"/>
      <c r="AU345" s="0"/>
      <c r="AV345" s="0"/>
      <c r="AW345" s="0"/>
      <c r="AX345" s="0"/>
      <c r="AY345" s="0"/>
      <c r="AZ345" s="0"/>
      <c r="BA345" s="0"/>
      <c r="BB345" s="0"/>
      <c r="BC345" s="0"/>
      <c r="BD345" s="0"/>
      <c r="BE345" s="0"/>
      <c r="BF345" s="0"/>
      <c r="BG345" s="0"/>
      <c r="BH345" s="0"/>
      <c r="BI345" s="0"/>
    </row>
    <row r="346" customFormat="false" ht="19.85" hidden="false" customHeight="true" outlineLevel="0" collapsed="false">
      <c r="A346" s="0" t="n">
        <v>31</v>
      </c>
      <c r="B346" s="31" t="n">
        <v>38718</v>
      </c>
      <c r="C346" s="56" t="n">
        <v>951044</v>
      </c>
      <c r="D346" s="29" t="s">
        <v>41</v>
      </c>
      <c r="E346" s="33" t="n">
        <f aca="false">IF(D346="totale",(C346/(A346*24))/F346,IF(D346="marché libre",(C346/(A346*24))/G346,"spécifier histo"))</f>
        <v>0.29118108114728</v>
      </c>
      <c r="F346" s="59" t="n">
        <v>4390</v>
      </c>
      <c r="G346" s="59" t="n">
        <f aca="false">F346-H346</f>
        <v>4390</v>
      </c>
      <c r="H346" s="9" t="n">
        <f aca="false">0</f>
        <v>0</v>
      </c>
      <c r="J346" s="55"/>
      <c r="U346" s="38"/>
      <c r="V346" s="0"/>
      <c r="W346" s="0"/>
      <c r="X346" s="0"/>
      <c r="Y346" s="0"/>
      <c r="Z346" s="0"/>
      <c r="AA346" s="0"/>
      <c r="AB346" s="0"/>
      <c r="AC346" s="0"/>
      <c r="AD346" s="0"/>
      <c r="AE346" s="0"/>
      <c r="AF346" s="0"/>
      <c r="AT346" s="0"/>
      <c r="AU346" s="0"/>
      <c r="AV346" s="0"/>
      <c r="AW346" s="0"/>
      <c r="AX346" s="0"/>
      <c r="AY346" s="0"/>
      <c r="AZ346" s="0"/>
      <c r="BA346" s="0"/>
      <c r="BB346" s="0"/>
      <c r="BC346" s="0"/>
      <c r="BD346" s="0"/>
      <c r="BE346" s="0"/>
      <c r="BF346" s="0"/>
      <c r="BG346" s="0"/>
      <c r="BH346" s="0"/>
      <c r="BI346" s="0"/>
    </row>
    <row r="347" customFormat="false" ht="19.85" hidden="false" customHeight="true" outlineLevel="0" collapsed="false">
      <c r="A347" s="0" t="n">
        <v>28</v>
      </c>
      <c r="B347" s="34" t="n">
        <v>38749</v>
      </c>
      <c r="C347" s="56" t="n">
        <v>750235</v>
      </c>
      <c r="D347" s="29" t="s">
        <v>41</v>
      </c>
      <c r="E347" s="33" t="n">
        <f aca="false">IF(D347="totale",(C347/(A347*24))/F347,IF(D347="marché libre",(C347/(A347*24))/G347,"spécifier histo"))</f>
        <v>0.254310052608743</v>
      </c>
      <c r="F347" s="59" t="n">
        <v>4390</v>
      </c>
      <c r="G347" s="59" t="n">
        <f aca="false">F347-H347</f>
        <v>4390</v>
      </c>
      <c r="H347" s="9" t="n">
        <f aca="false">0</f>
        <v>0</v>
      </c>
      <c r="J347" s="55"/>
      <c r="U347" s="38"/>
      <c r="V347" s="0"/>
      <c r="W347" s="0"/>
      <c r="X347" s="0"/>
      <c r="Y347" s="0"/>
      <c r="Z347" s="0"/>
      <c r="AA347" s="0"/>
      <c r="AB347" s="0"/>
      <c r="AC347" s="0"/>
      <c r="AD347" s="0"/>
      <c r="AE347" s="0"/>
      <c r="AF347" s="0"/>
      <c r="AT347" s="0"/>
      <c r="AU347" s="0"/>
      <c r="AV347" s="0"/>
      <c r="AW347" s="0"/>
      <c r="AX347" s="0"/>
      <c r="AY347" s="0"/>
      <c r="AZ347" s="0"/>
      <c r="BA347" s="0"/>
      <c r="BB347" s="0"/>
      <c r="BC347" s="0"/>
      <c r="BD347" s="0"/>
      <c r="BE347" s="0"/>
      <c r="BF347" s="0"/>
      <c r="BG347" s="0"/>
      <c r="BH347" s="0"/>
      <c r="BI347" s="0"/>
    </row>
    <row r="348" customFormat="false" ht="19.85" hidden="false" customHeight="true" outlineLevel="0" collapsed="false">
      <c r="A348" s="0" t="n">
        <v>31</v>
      </c>
      <c r="B348" s="31" t="n">
        <v>38777</v>
      </c>
      <c r="C348" s="56" t="n">
        <v>2198401</v>
      </c>
      <c r="D348" s="29" t="s">
        <v>41</v>
      </c>
      <c r="E348" s="33" t="n">
        <f aca="false">IF(D348="totale",(C348/(A348*24))/F348,IF(D348="marché libre",(C348/(A348*24))/G348,"spécifier histo"))</f>
        <v>0.673084294706934</v>
      </c>
      <c r="F348" s="59" t="n">
        <v>4390</v>
      </c>
      <c r="G348" s="59" t="n">
        <f aca="false">F348-H348</f>
        <v>4390</v>
      </c>
      <c r="H348" s="9" t="n">
        <f aca="false">0</f>
        <v>0</v>
      </c>
      <c r="J348" s="55"/>
      <c r="V348" s="0"/>
      <c r="AT348" s="0"/>
      <c r="AU348" s="0"/>
      <c r="AV348" s="0"/>
      <c r="AW348" s="0"/>
      <c r="AX348" s="0"/>
      <c r="AY348" s="0"/>
      <c r="AZ348" s="0"/>
      <c r="BA348" s="0"/>
      <c r="BB348" s="0"/>
      <c r="BC348" s="0"/>
      <c r="BD348" s="0"/>
      <c r="BE348" s="0"/>
      <c r="BF348" s="0"/>
      <c r="BG348" s="0"/>
      <c r="BH348" s="0"/>
      <c r="BI348" s="0"/>
    </row>
    <row r="349" customFormat="false" ht="19.85" hidden="false" customHeight="true" outlineLevel="0" collapsed="false">
      <c r="A349" s="0" t="n">
        <v>30</v>
      </c>
      <c r="B349" s="34" t="n">
        <v>38808</v>
      </c>
      <c r="C349" s="56" t="n">
        <v>1975524</v>
      </c>
      <c r="D349" s="29" t="s">
        <v>41</v>
      </c>
      <c r="E349" s="33" t="n">
        <f aca="false">IF(D349="totale",(C349/(A349*24))/F349,IF(D349="marché libre",(C349/(A349*24))/G349,"spécifier histo"))</f>
        <v>0.625007593014427</v>
      </c>
      <c r="F349" s="59" t="n">
        <v>4390</v>
      </c>
      <c r="G349" s="59" t="n">
        <f aca="false">F349-H349</f>
        <v>4390</v>
      </c>
      <c r="H349" s="9" t="n">
        <f aca="false">0</f>
        <v>0</v>
      </c>
      <c r="J349" s="55"/>
      <c r="V349" s="0"/>
      <c r="Z349" s="0"/>
      <c r="AE349" s="0"/>
    </row>
    <row r="350" customFormat="false" ht="19.85" hidden="false" customHeight="true" outlineLevel="0" collapsed="false">
      <c r="A350" s="0" t="n">
        <v>31</v>
      </c>
      <c r="B350" s="31" t="n">
        <v>38838</v>
      </c>
      <c r="C350" s="56" t="n">
        <v>1774291</v>
      </c>
      <c r="D350" s="29" t="s">
        <v>41</v>
      </c>
      <c r="E350" s="33" t="n">
        <f aca="false">IF(D350="totale",(C350/(A350*24))/F350,IF(D350="marché libre",(C350/(A350*24))/G350,"spécifier histo"))</f>
        <v>0.543234562911799</v>
      </c>
      <c r="F350" s="59" t="n">
        <v>4390</v>
      </c>
      <c r="G350" s="59" t="n">
        <f aca="false">F350-H350</f>
        <v>4390</v>
      </c>
      <c r="H350" s="9" t="n">
        <f aca="false">0</f>
        <v>0</v>
      </c>
      <c r="J350" s="55"/>
      <c r="V350" s="0"/>
      <c r="Z350" s="0"/>
      <c r="AE350" s="0"/>
    </row>
    <row r="351" customFormat="false" ht="19.85" hidden="false" customHeight="true" outlineLevel="0" collapsed="false">
      <c r="A351" s="0" t="n">
        <v>30</v>
      </c>
      <c r="B351" s="34" t="n">
        <v>38869</v>
      </c>
      <c r="C351" s="56" t="n">
        <v>478896</v>
      </c>
      <c r="D351" s="29" t="s">
        <v>41</v>
      </c>
      <c r="E351" s="33" t="n">
        <f aca="false">IF(D351="totale",(C351/(A351*24))/F351,IF(D351="marché libre",(C351/(A351*24))/G351,"spécifier histo"))</f>
        <v>0.151511009870919</v>
      </c>
      <c r="F351" s="59" t="n">
        <v>4390</v>
      </c>
      <c r="G351" s="59" t="n">
        <f aca="false">F351-H351</f>
        <v>4390</v>
      </c>
      <c r="H351" s="9" t="n">
        <f aca="false">0</f>
        <v>0</v>
      </c>
      <c r="J351" s="55"/>
      <c r="V351" s="0"/>
      <c r="Z351" s="0"/>
      <c r="AE351" s="0"/>
    </row>
    <row r="352" customFormat="false" ht="19.85" hidden="false" customHeight="true" outlineLevel="0" collapsed="false">
      <c r="A352" s="0" t="n">
        <v>31</v>
      </c>
      <c r="B352" s="31" t="n">
        <v>38899</v>
      </c>
      <c r="C352" s="56" t="n">
        <v>156724</v>
      </c>
      <c r="D352" s="29" t="s">
        <v>41</v>
      </c>
      <c r="E352" s="33" t="n">
        <f aca="false">IF(D352="totale",(C352/(A352*24))/F352,IF(D352="marché libre",(C352/(A352*24))/G352,"spécifier histo"))</f>
        <v>0.0479841771376785</v>
      </c>
      <c r="F352" s="59" t="n">
        <v>4390</v>
      </c>
      <c r="G352" s="59" t="n">
        <f aca="false">F352-H352</f>
        <v>4390</v>
      </c>
      <c r="H352" s="9" t="n">
        <f aca="false">0</f>
        <v>0</v>
      </c>
      <c r="J352" s="55"/>
      <c r="V352" s="0"/>
      <c r="Z352" s="0"/>
      <c r="AE352" s="0"/>
    </row>
    <row r="353" customFormat="false" ht="19.85" hidden="false" customHeight="true" outlineLevel="0" collapsed="false">
      <c r="A353" s="0" t="n">
        <v>31</v>
      </c>
      <c r="B353" s="34" t="n">
        <v>38930</v>
      </c>
      <c r="C353" s="56" t="n">
        <v>142972</v>
      </c>
      <c r="D353" s="29" t="s">
        <v>41</v>
      </c>
      <c r="E353" s="33" t="n">
        <f aca="false">IF(D353="totale",(C353/(A353*24))/F353,IF(D353="marché libre",(C353/(A353*24))/G353,"spécifier histo"))</f>
        <v>0.0437737281700835</v>
      </c>
      <c r="F353" s="59" t="n">
        <v>4390</v>
      </c>
      <c r="G353" s="59" t="n">
        <f aca="false">F353-H353</f>
        <v>4390</v>
      </c>
      <c r="H353" s="9" t="n">
        <f aca="false">0</f>
        <v>0</v>
      </c>
      <c r="J353" s="55"/>
      <c r="V353" s="0"/>
      <c r="Z353" s="0"/>
      <c r="AE353" s="0"/>
    </row>
    <row r="354" customFormat="false" ht="19.85" hidden="false" customHeight="true" outlineLevel="0" collapsed="false">
      <c r="A354" s="0" t="n">
        <v>30</v>
      </c>
      <c r="B354" s="31" t="n">
        <v>38961</v>
      </c>
      <c r="C354" s="56" t="n">
        <v>533543</v>
      </c>
      <c r="D354" s="29" t="s">
        <v>41</v>
      </c>
      <c r="E354" s="33" t="n">
        <f aca="false">IF(D354="totale",(C354/(A354*24))/F354,IF(D354="marché libre",(C354/(A354*24))/G354,"spécifier histo"))</f>
        <v>0.168799987344976</v>
      </c>
      <c r="F354" s="59" t="n">
        <v>4390</v>
      </c>
      <c r="G354" s="59" t="n">
        <f aca="false">F354-H354</f>
        <v>4390</v>
      </c>
      <c r="H354" s="9" t="n">
        <f aca="false">0</f>
        <v>0</v>
      </c>
      <c r="J354" s="55"/>
      <c r="V354" s="0"/>
      <c r="Z354" s="0"/>
      <c r="AE354" s="0"/>
    </row>
    <row r="355" customFormat="false" ht="19.85" hidden="false" customHeight="true" outlineLevel="0" collapsed="false">
      <c r="A355" s="0" t="n">
        <v>31</v>
      </c>
      <c r="B355" s="34" t="n">
        <v>38991</v>
      </c>
      <c r="C355" s="56" t="n">
        <v>537927</v>
      </c>
      <c r="D355" s="29" t="s">
        <v>41</v>
      </c>
      <c r="E355" s="33" t="n">
        <f aca="false">IF(D355="totale",(C355/(A355*24))/F355,IF(D355="marché libre",(C355/(A355*24))/G355,"spécifier histo"))</f>
        <v>0.164697075464766</v>
      </c>
      <c r="F355" s="59" t="n">
        <v>4390</v>
      </c>
      <c r="G355" s="59" t="n">
        <f aca="false">F355-H355</f>
        <v>4390</v>
      </c>
      <c r="H355" s="9" t="n">
        <f aca="false">0</f>
        <v>0</v>
      </c>
      <c r="J355" s="55"/>
      <c r="V355" s="0"/>
      <c r="Z355" s="0"/>
      <c r="AE355" s="0"/>
    </row>
    <row r="356" customFormat="false" ht="19.85" hidden="false" customHeight="true" outlineLevel="0" collapsed="false">
      <c r="A356" s="0" t="n">
        <v>30</v>
      </c>
      <c r="B356" s="31" t="n">
        <v>39022</v>
      </c>
      <c r="C356" s="56" t="n">
        <v>463648</v>
      </c>
      <c r="D356" s="29" t="s">
        <v>41</v>
      </c>
      <c r="E356" s="33" t="n">
        <f aca="false">IF(D356="totale",(C356/(A356*24))/F356,IF(D356="marché libre",(C356/(A356*24))/G356,"spécifier histo"))</f>
        <v>0.146686914705138</v>
      </c>
      <c r="F356" s="59" t="n">
        <v>4390</v>
      </c>
      <c r="G356" s="59" t="n">
        <f aca="false">F356-H356</f>
        <v>4390</v>
      </c>
      <c r="H356" s="9" t="n">
        <f aca="false">0</f>
        <v>0</v>
      </c>
      <c r="J356" s="55"/>
      <c r="V356" s="0"/>
      <c r="Z356" s="0"/>
      <c r="AE356" s="0"/>
    </row>
    <row r="357" customFormat="false" ht="19.85" hidden="false" customHeight="true" outlineLevel="0" collapsed="false">
      <c r="A357" s="0" t="n">
        <v>31</v>
      </c>
      <c r="B357" s="34" t="n">
        <v>39052</v>
      </c>
      <c r="C357" s="56" t="n">
        <v>413003</v>
      </c>
      <c r="D357" s="29" t="s">
        <v>41</v>
      </c>
      <c r="E357" s="33" t="n">
        <f aca="false">IF(D357="totale",(C357/(A357*24))/F357,IF(D357="marché libre",(C357/(A357*24))/G357,"spécifier histo"))</f>
        <v>0.126449102309746</v>
      </c>
      <c r="F357" s="59" t="n">
        <v>4390</v>
      </c>
      <c r="G357" s="59" t="n">
        <f aca="false">F357-H357</f>
        <v>4390</v>
      </c>
      <c r="H357" s="9" t="n">
        <f aca="false">0</f>
        <v>0</v>
      </c>
      <c r="J357" s="55"/>
      <c r="V357" s="0"/>
      <c r="Z357" s="0"/>
      <c r="AE357" s="0"/>
    </row>
    <row r="358" customFormat="false" ht="19.85" hidden="false" customHeight="true" outlineLevel="0" collapsed="false">
      <c r="A358" s="0" t="n">
        <v>31</v>
      </c>
      <c r="B358" s="31" t="n">
        <v>39083</v>
      </c>
      <c r="C358" s="56" t="n">
        <v>101655</v>
      </c>
      <c r="D358" s="29" t="s">
        <v>41</v>
      </c>
      <c r="E358" s="33" t="n">
        <f aca="false">IF(D358="totale",(C358/(A358*24))/F358,IF(D358="marché libre",(C358/(A358*24))/G358,"spécifier histo"))</f>
        <v>0.0311237049011683</v>
      </c>
      <c r="F358" s="59" t="n">
        <v>4390</v>
      </c>
      <c r="G358" s="59" t="n">
        <f aca="false">F358-H358</f>
        <v>4390</v>
      </c>
      <c r="H358" s="9" t="n">
        <f aca="false">0</f>
        <v>0</v>
      </c>
      <c r="J358" s="55"/>
      <c r="V358" s="0"/>
      <c r="Z358" s="0"/>
      <c r="AE358" s="0"/>
    </row>
    <row r="359" customFormat="false" ht="19.85" hidden="false" customHeight="true" outlineLevel="0" collapsed="false">
      <c r="A359" s="0" t="n">
        <v>28</v>
      </c>
      <c r="B359" s="34" t="n">
        <v>39114</v>
      </c>
      <c r="C359" s="56" t="n">
        <v>529125</v>
      </c>
      <c r="D359" s="29" t="s">
        <v>41</v>
      </c>
      <c r="E359" s="33" t="n">
        <f aca="false">IF(D359="totale",(C359/(A359*24))/F359,IF(D359="marché libre",(C359/(A359*24))/G359,"spécifier histo"))</f>
        <v>0.17935954279206</v>
      </c>
      <c r="F359" s="59" t="n">
        <v>4390</v>
      </c>
      <c r="G359" s="59" t="n">
        <f aca="false">F359-H359</f>
        <v>4390</v>
      </c>
      <c r="H359" s="9" t="n">
        <f aca="false">0</f>
        <v>0</v>
      </c>
      <c r="J359" s="55"/>
      <c r="V359" s="0"/>
      <c r="Z359" s="0"/>
      <c r="AE359" s="0"/>
    </row>
    <row r="360" customFormat="false" ht="19.85" hidden="false" customHeight="true" outlineLevel="0" collapsed="false">
      <c r="A360" s="0" t="n">
        <v>31</v>
      </c>
      <c r="B360" s="31" t="n">
        <v>39142</v>
      </c>
      <c r="C360" s="56" t="n">
        <v>1810252</v>
      </c>
      <c r="D360" s="29" t="s">
        <v>41</v>
      </c>
      <c r="E360" s="33" t="n">
        <f aca="false">IF(D360="totale",(C360/(A360*24))/F360,IF(D360="marché libre",(C360/(A360*24))/G360,"spécifier histo"))</f>
        <v>0.55424474000049</v>
      </c>
      <c r="F360" s="59" t="n">
        <v>4390</v>
      </c>
      <c r="G360" s="59" t="n">
        <f aca="false">F360-H360</f>
        <v>4390</v>
      </c>
      <c r="H360" s="9" t="n">
        <f aca="false">0</f>
        <v>0</v>
      </c>
      <c r="J360" s="55"/>
      <c r="V360" s="0"/>
      <c r="Z360" s="0"/>
      <c r="AE360" s="0"/>
    </row>
    <row r="361" customFormat="false" ht="19.85" hidden="false" customHeight="true" outlineLevel="0" collapsed="false">
      <c r="A361" s="0" t="n">
        <v>30</v>
      </c>
      <c r="B361" s="34" t="n">
        <v>39173</v>
      </c>
      <c r="C361" s="56" t="n">
        <v>2880040</v>
      </c>
      <c r="D361" s="29" t="s">
        <v>41</v>
      </c>
      <c r="E361" s="33" t="n">
        <f aca="false">IF(D361="totale",(C361/(A361*24))/F361,IF(D361="marché libre",(C361/(A361*24))/G361,"spécifier histo"))</f>
        <v>0.911174386231334</v>
      </c>
      <c r="F361" s="59" t="n">
        <v>4390</v>
      </c>
      <c r="G361" s="59" t="n">
        <f aca="false">F361-H361</f>
        <v>4390</v>
      </c>
      <c r="H361" s="9" t="n">
        <f aca="false">0</f>
        <v>0</v>
      </c>
      <c r="J361" s="55"/>
      <c r="V361" s="0"/>
      <c r="Z361" s="0"/>
      <c r="AE361" s="0"/>
    </row>
    <row r="362" customFormat="false" ht="19.85" hidden="false" customHeight="true" outlineLevel="0" collapsed="false">
      <c r="A362" s="0" t="n">
        <v>31</v>
      </c>
      <c r="B362" s="31" t="n">
        <v>39203</v>
      </c>
      <c r="C362" s="56" t="n">
        <v>2911534</v>
      </c>
      <c r="D362" s="29" t="s">
        <v>41</v>
      </c>
      <c r="E362" s="33" t="n">
        <f aca="false">IF(D362="totale",(C362/(A362*24))/F362,IF(D362="marché libre",(C362/(A362*24))/G362,"spécifier histo"))</f>
        <v>0.89142418007691</v>
      </c>
      <c r="F362" s="59" t="n">
        <v>4390</v>
      </c>
      <c r="G362" s="59" t="n">
        <f aca="false">F362-H362</f>
        <v>4390</v>
      </c>
      <c r="H362" s="9" t="n">
        <f aca="false">0</f>
        <v>0</v>
      </c>
      <c r="J362" s="55"/>
      <c r="V362" s="0"/>
      <c r="Z362" s="0"/>
      <c r="AE362" s="0"/>
    </row>
    <row r="363" customFormat="false" ht="19.85" hidden="false" customHeight="true" outlineLevel="0" collapsed="false">
      <c r="A363" s="0" t="n">
        <v>30</v>
      </c>
      <c r="B363" s="34" t="n">
        <v>39234</v>
      </c>
      <c r="C363" s="56" t="n">
        <v>1768525</v>
      </c>
      <c r="D363" s="29" t="s">
        <v>41</v>
      </c>
      <c r="E363" s="33" t="n">
        <f aca="false">IF(D363="totale",(C363/(A363*24))/F363,IF(D363="marché libre",(C363/(A363*24))/G363,"spécifier histo"))</f>
        <v>0.559518159959504</v>
      </c>
      <c r="F363" s="59" t="n">
        <v>4390</v>
      </c>
      <c r="G363" s="59" t="n">
        <f aca="false">F363-H363</f>
        <v>4390</v>
      </c>
      <c r="H363" s="9" t="n">
        <f aca="false">0</f>
        <v>0</v>
      </c>
      <c r="J363" s="55"/>
      <c r="V363" s="0"/>
      <c r="Z363" s="0"/>
      <c r="AE363" s="0"/>
    </row>
    <row r="364" customFormat="false" ht="19.85" hidden="false" customHeight="true" outlineLevel="0" collapsed="false">
      <c r="A364" s="0" t="n">
        <v>31</v>
      </c>
      <c r="B364" s="31" t="n">
        <v>39264</v>
      </c>
      <c r="C364" s="56" t="n">
        <v>522831</v>
      </c>
      <c r="D364" s="29" t="s">
        <v>41</v>
      </c>
      <c r="E364" s="33" t="n">
        <f aca="false">IF(D364="totale",(C364/(A364*24))/F364,IF(D364="marché libre",(C364/(A364*24))/G364,"spécifier histo"))</f>
        <v>0.160075134102432</v>
      </c>
      <c r="F364" s="59" t="n">
        <v>4390</v>
      </c>
      <c r="G364" s="59" t="n">
        <f aca="false">F364-H364</f>
        <v>4390</v>
      </c>
      <c r="H364" s="9" t="n">
        <f aca="false">0</f>
        <v>0</v>
      </c>
      <c r="J364" s="55"/>
      <c r="V364" s="0"/>
      <c r="Z364" s="0"/>
      <c r="AE364" s="0"/>
    </row>
    <row r="365" customFormat="false" ht="19.85" hidden="false" customHeight="true" outlineLevel="0" collapsed="false">
      <c r="A365" s="0" t="n">
        <v>31</v>
      </c>
      <c r="B365" s="34" t="n">
        <v>39295</v>
      </c>
      <c r="C365" s="56" t="n">
        <v>626906</v>
      </c>
      <c r="D365" s="29" t="s">
        <v>41</v>
      </c>
      <c r="E365" s="33" t="n">
        <f aca="false">IF(D365="totale",(C365/(A365*24))/F365,IF(D365="marché libre",(C365/(A365*24))/G365,"spécifier histo"))</f>
        <v>0.19193977025008</v>
      </c>
      <c r="F365" s="59" t="n">
        <v>4390</v>
      </c>
      <c r="G365" s="59" t="n">
        <f aca="false">F365-H365</f>
        <v>4390</v>
      </c>
      <c r="H365" s="9" t="n">
        <f aca="false">0</f>
        <v>0</v>
      </c>
      <c r="J365" s="55"/>
      <c r="V365" s="0"/>
      <c r="Z365" s="0"/>
      <c r="AE365" s="0"/>
    </row>
    <row r="366" customFormat="false" ht="19.85" hidden="false" customHeight="true" outlineLevel="0" collapsed="false">
      <c r="A366" s="0" t="n">
        <v>30</v>
      </c>
      <c r="B366" s="31" t="n">
        <v>39326</v>
      </c>
      <c r="C366" s="56" t="n">
        <v>173962</v>
      </c>
      <c r="D366" s="29" t="s">
        <v>41</v>
      </c>
      <c r="E366" s="33" t="n">
        <f aca="false">IF(D366="totale",(C366/(A366*24))/F366,IF(D366="marché libre",(C366/(A366*24))/G366,"spécifier histo"))</f>
        <v>0.0550373323209314</v>
      </c>
      <c r="F366" s="59" t="n">
        <v>4390</v>
      </c>
      <c r="G366" s="59" t="n">
        <f aca="false">F366-H366</f>
        <v>4390</v>
      </c>
      <c r="H366" s="9" t="n">
        <f aca="false">0</f>
        <v>0</v>
      </c>
      <c r="J366" s="55"/>
      <c r="V366" s="0"/>
      <c r="Z366" s="0"/>
      <c r="AE366" s="0"/>
    </row>
    <row r="367" customFormat="false" ht="19.85" hidden="false" customHeight="true" outlineLevel="0" collapsed="false">
      <c r="A367" s="0" t="n">
        <v>31</v>
      </c>
      <c r="B367" s="34" t="n">
        <v>39356</v>
      </c>
      <c r="C367" s="56" t="n">
        <v>702163</v>
      </c>
      <c r="D367" s="29" t="s">
        <v>41</v>
      </c>
      <c r="E367" s="33" t="n">
        <f aca="false">IF(D367="totale",(C367/(A367*24))/F367,IF(D367="marché libre",(C367/(A367*24))/G367,"spécifier histo"))</f>
        <v>0.214981201165895</v>
      </c>
      <c r="F367" s="59" t="n">
        <v>4390</v>
      </c>
      <c r="G367" s="59" t="n">
        <f aca="false">F367-H367</f>
        <v>4390</v>
      </c>
      <c r="H367" s="9" t="n">
        <f aca="false">0</f>
        <v>0</v>
      </c>
      <c r="J367" s="55"/>
      <c r="V367" s="0"/>
      <c r="Z367" s="0"/>
      <c r="AE367" s="0"/>
    </row>
    <row r="368" customFormat="false" ht="19.85" hidden="false" customHeight="true" outlineLevel="0" collapsed="false">
      <c r="A368" s="0" t="n">
        <v>30</v>
      </c>
      <c r="B368" s="31" t="n">
        <v>39387</v>
      </c>
      <c r="C368" s="56" t="n">
        <v>311249</v>
      </c>
      <c r="D368" s="29" t="s">
        <v>41</v>
      </c>
      <c r="E368" s="33" t="n">
        <f aca="false">IF(D368="totale",(C368/(A368*24))/F368,IF(D368="marché libre",(C368/(A368*24))/G368,"spécifier histo"))</f>
        <v>0.09847158947102</v>
      </c>
      <c r="F368" s="59" t="n">
        <v>4390</v>
      </c>
      <c r="G368" s="59" t="n">
        <f aca="false">F368-H368</f>
        <v>4390</v>
      </c>
      <c r="H368" s="9" t="n">
        <f aca="false">0</f>
        <v>0</v>
      </c>
      <c r="J368" s="55"/>
      <c r="V368" s="0"/>
      <c r="Z368" s="0"/>
      <c r="AE368" s="0"/>
    </row>
    <row r="369" customFormat="false" ht="19.85" hidden="false" customHeight="true" outlineLevel="0" collapsed="false">
      <c r="A369" s="0" t="n">
        <v>31</v>
      </c>
      <c r="B369" s="34" t="n">
        <v>39417</v>
      </c>
      <c r="C369" s="56" t="n">
        <v>1014505</v>
      </c>
      <c r="D369" s="29" t="s">
        <v>41</v>
      </c>
      <c r="E369" s="33" t="n">
        <f aca="false">IF(D369="totale",(C369/(A369*24))/F369,IF(D369="marché libre",(C369/(A369*24))/G369,"spécifier histo"))</f>
        <v>0.310610931491415</v>
      </c>
      <c r="F369" s="59" t="n">
        <v>4390</v>
      </c>
      <c r="G369" s="59" t="n">
        <f aca="false">F369-H369</f>
        <v>4390</v>
      </c>
      <c r="H369" s="9" t="n">
        <f aca="false">0</f>
        <v>0</v>
      </c>
      <c r="J369" s="55"/>
      <c r="V369" s="0"/>
      <c r="Z369" s="0"/>
      <c r="AE369" s="0"/>
    </row>
    <row r="370" customFormat="false" ht="19.85" hidden="false" customHeight="true" outlineLevel="0" collapsed="false">
      <c r="A370" s="0" t="n">
        <v>31</v>
      </c>
      <c r="B370" s="31" t="n">
        <v>39448</v>
      </c>
      <c r="C370" s="56" t="n">
        <v>1279207</v>
      </c>
      <c r="D370" s="29" t="s">
        <v>41</v>
      </c>
      <c r="E370" s="33" t="n">
        <f aca="false">IF(D370="totale",(C370/(A370*24))/F370,IF(D370="marché libre",(C370/(A370*24))/G370,"spécifier histo"))</f>
        <v>0.391654726039141</v>
      </c>
      <c r="F370" s="59" t="n">
        <v>4390</v>
      </c>
      <c r="G370" s="59" t="n">
        <f aca="false">F370-H370</f>
        <v>4390</v>
      </c>
      <c r="H370" s="9" t="n">
        <f aca="false">0</f>
        <v>0</v>
      </c>
      <c r="J370" s="55"/>
      <c r="V370" s="0"/>
      <c r="Z370" s="0"/>
      <c r="AE370" s="0"/>
    </row>
    <row r="371" customFormat="false" ht="19.85" hidden="false" customHeight="true" outlineLevel="0" collapsed="false">
      <c r="A371" s="0" t="n">
        <v>28</v>
      </c>
      <c r="B371" s="34" t="n">
        <v>39479</v>
      </c>
      <c r="C371" s="56" t="n">
        <v>413804</v>
      </c>
      <c r="D371" s="29" t="s">
        <v>41</v>
      </c>
      <c r="E371" s="33" t="n">
        <f aca="false">IF(D371="totale",(C371/(A371*24))/F371,IF(D371="marché libre",(C371/(A371*24))/G371,"spécifier histo"))</f>
        <v>0.140268738474889</v>
      </c>
      <c r="F371" s="59" t="n">
        <v>4390</v>
      </c>
      <c r="G371" s="59" t="n">
        <f aca="false">F371-H371</f>
        <v>4390</v>
      </c>
      <c r="H371" s="9" t="n">
        <f aca="false">0</f>
        <v>0</v>
      </c>
      <c r="J371" s="55"/>
      <c r="V371" s="0"/>
      <c r="Z371" s="0"/>
      <c r="AE371" s="0"/>
    </row>
    <row r="372" customFormat="false" ht="19.85" hidden="false" customHeight="true" outlineLevel="0" collapsed="false">
      <c r="A372" s="0" t="n">
        <v>31</v>
      </c>
      <c r="B372" s="31" t="n">
        <v>39508</v>
      </c>
      <c r="C372" s="56" t="n">
        <v>1265095</v>
      </c>
      <c r="D372" s="29" t="s">
        <v>41</v>
      </c>
      <c r="E372" s="33" t="n">
        <f aca="false">IF(D372="totale",(C372/(A372*24))/F372,IF(D372="marché libre",(C372/(A372*24))/G372,"spécifier histo"))</f>
        <v>0.387334055894384</v>
      </c>
      <c r="F372" s="59" t="n">
        <v>4390</v>
      </c>
      <c r="G372" s="59" t="n">
        <f aca="false">F372-H372</f>
        <v>4390</v>
      </c>
      <c r="H372" s="9" t="n">
        <f aca="false">0</f>
        <v>0</v>
      </c>
      <c r="J372" s="55"/>
      <c r="V372" s="0"/>
      <c r="Z372" s="0"/>
      <c r="AE372" s="0"/>
    </row>
    <row r="373" customFormat="false" ht="19.85" hidden="false" customHeight="true" outlineLevel="0" collapsed="false">
      <c r="A373" s="0" t="n">
        <v>30</v>
      </c>
      <c r="B373" s="34" t="n">
        <v>39539</v>
      </c>
      <c r="C373" s="56" t="n">
        <v>2618306</v>
      </c>
      <c r="D373" s="29" t="s">
        <v>41</v>
      </c>
      <c r="E373" s="33" t="n">
        <f aca="false">IF(D373="totale",(C373/(A373*24))/F373,IF(D373="marché libre",(C373/(A373*24))/G373,"spécifier histo"))</f>
        <v>0.828368134649456</v>
      </c>
      <c r="F373" s="59" t="n">
        <v>4390</v>
      </c>
      <c r="G373" s="59" t="n">
        <f aca="false">F373-H373</f>
        <v>4390</v>
      </c>
      <c r="H373" s="9" t="n">
        <f aca="false">0</f>
        <v>0</v>
      </c>
      <c r="J373" s="55"/>
      <c r="V373" s="0"/>
      <c r="Z373" s="0"/>
      <c r="AE373" s="0"/>
    </row>
    <row r="374" customFormat="false" ht="19.85" hidden="false" customHeight="true" outlineLevel="0" collapsed="false">
      <c r="A374" s="0" t="n">
        <v>31</v>
      </c>
      <c r="B374" s="31" t="n">
        <v>39569</v>
      </c>
      <c r="C374" s="56" t="n">
        <v>2272255</v>
      </c>
      <c r="D374" s="29" t="s">
        <v>41</v>
      </c>
      <c r="E374" s="33" t="n">
        <f aca="false">IF(D374="totale",(C374/(A374*24))/F374,IF(D374="marché libre",(C374/(A374*24))/G374,"spécifier histo"))</f>
        <v>0.695696169201754</v>
      </c>
      <c r="F374" s="59" t="n">
        <v>4390</v>
      </c>
      <c r="G374" s="59" t="n">
        <f aca="false">F374-H374</f>
        <v>4390</v>
      </c>
      <c r="H374" s="9" t="n">
        <f aca="false">0</f>
        <v>0</v>
      </c>
      <c r="J374" s="55"/>
      <c r="V374" s="0"/>
      <c r="Z374" s="0"/>
      <c r="AE374" s="0"/>
    </row>
    <row r="375" customFormat="false" ht="19.85" hidden="false" customHeight="true" outlineLevel="0" collapsed="false">
      <c r="A375" s="0" t="n">
        <v>30</v>
      </c>
      <c r="B375" s="34" t="n">
        <v>39600</v>
      </c>
      <c r="C375" s="56" t="n">
        <v>2430518</v>
      </c>
      <c r="D375" s="29" t="s">
        <v>41</v>
      </c>
      <c r="E375" s="33" t="n">
        <f aca="false">IF(D375="totale",(C375/(A375*24))/F375,IF(D375="marché libre",(C375/(A375*24))/G375,"spécifier histo"))</f>
        <v>0.768956593267527</v>
      </c>
      <c r="F375" s="59" t="n">
        <v>4390</v>
      </c>
      <c r="G375" s="59" t="n">
        <f aca="false">F375-H375</f>
        <v>4390</v>
      </c>
      <c r="H375" s="9" t="n">
        <f aca="false">0</f>
        <v>0</v>
      </c>
      <c r="J375" s="55"/>
      <c r="V375" s="0"/>
      <c r="Z375" s="0"/>
      <c r="AE375" s="0"/>
    </row>
    <row r="376" customFormat="false" ht="19.85" hidden="false" customHeight="true" outlineLevel="0" collapsed="false">
      <c r="A376" s="0" t="n">
        <v>31</v>
      </c>
      <c r="B376" s="31" t="n">
        <v>39630</v>
      </c>
      <c r="C376" s="56" t="n">
        <v>1304881</v>
      </c>
      <c r="D376" s="29" t="s">
        <v>41</v>
      </c>
      <c r="E376" s="33" t="n">
        <f aca="false">IF(D376="totale",(C376/(A376*24))/F376,IF(D376="marché libre",(C376/(A376*24))/G376,"spécifier histo"))</f>
        <v>0.399515332990423</v>
      </c>
      <c r="F376" s="59" t="n">
        <v>4390</v>
      </c>
      <c r="G376" s="59" t="n">
        <f aca="false">F376-H376</f>
        <v>4390</v>
      </c>
      <c r="H376" s="9" t="n">
        <f aca="false">0</f>
        <v>0</v>
      </c>
      <c r="J376" s="55"/>
      <c r="V376" s="0"/>
      <c r="Z376" s="0"/>
      <c r="AE376" s="0"/>
    </row>
    <row r="377" customFormat="false" ht="19.85" hidden="false" customHeight="true" outlineLevel="0" collapsed="false">
      <c r="A377" s="0" t="n">
        <v>31</v>
      </c>
      <c r="B377" s="34" t="n">
        <v>39661</v>
      </c>
      <c r="C377" s="56" t="n">
        <v>392095</v>
      </c>
      <c r="D377" s="29" t="s">
        <v>41</v>
      </c>
      <c r="E377" s="33" t="n">
        <f aca="false">IF(D377="totale",(C377/(A377*24))/F377,IF(D377="marché libre",(C377/(A377*24))/G377,"spécifier histo"))</f>
        <v>0.120047701276116</v>
      </c>
      <c r="F377" s="59" t="n">
        <v>4390</v>
      </c>
      <c r="G377" s="59" t="n">
        <f aca="false">F377-H377</f>
        <v>4390</v>
      </c>
      <c r="H377" s="9" t="n">
        <f aca="false">0</f>
        <v>0</v>
      </c>
      <c r="J377" s="55"/>
      <c r="V377" s="0"/>
      <c r="Z377" s="0"/>
      <c r="AE377" s="0"/>
    </row>
    <row r="378" customFormat="false" ht="19.85" hidden="false" customHeight="true" outlineLevel="0" collapsed="false">
      <c r="A378" s="0" t="n">
        <v>30</v>
      </c>
      <c r="B378" s="31" t="n">
        <v>39692</v>
      </c>
      <c r="C378" s="56" t="n">
        <v>384460</v>
      </c>
      <c r="D378" s="29" t="s">
        <v>41</v>
      </c>
      <c r="E378" s="33" t="n">
        <f aca="false">IF(D378="totale",(C378/(A378*24))/F378,IF(D378="marché libre",(C378/(A378*24))/G378,"spécifier histo"))</f>
        <v>0.121633763604151</v>
      </c>
      <c r="F378" s="59" t="n">
        <v>4390</v>
      </c>
      <c r="G378" s="59" t="n">
        <f aca="false">F378-H378</f>
        <v>4390</v>
      </c>
      <c r="H378" s="9" t="n">
        <f aca="false">0</f>
        <v>0</v>
      </c>
      <c r="J378" s="55"/>
      <c r="V378" s="0"/>
      <c r="Z378" s="0"/>
      <c r="AE378" s="0"/>
    </row>
    <row r="379" customFormat="false" ht="19.85" hidden="false" customHeight="true" outlineLevel="0" collapsed="false">
      <c r="A379" s="0" t="n">
        <v>31</v>
      </c>
      <c r="B379" s="34" t="n">
        <v>39722</v>
      </c>
      <c r="C379" s="56" t="n">
        <v>305261</v>
      </c>
      <c r="D379" s="29" t="s">
        <v>41</v>
      </c>
      <c r="E379" s="33" t="n">
        <f aca="false">IF(D379="totale",(C379/(A379*24))/F379,IF(D379="marché libre",(C379/(A379*24))/G379,"spécifier histo"))</f>
        <v>0.0934617410047273</v>
      </c>
      <c r="F379" s="59" t="n">
        <v>4390</v>
      </c>
      <c r="G379" s="59" t="n">
        <f aca="false">F379-H379</f>
        <v>4390</v>
      </c>
      <c r="H379" s="9" t="n">
        <f aca="false">0</f>
        <v>0</v>
      </c>
      <c r="J379" s="55"/>
      <c r="V379" s="0"/>
      <c r="Z379" s="0"/>
      <c r="AE379" s="0"/>
    </row>
    <row r="380" customFormat="false" ht="19.85" hidden="false" customHeight="true" outlineLevel="0" collapsed="false">
      <c r="A380" s="0" t="n">
        <v>30</v>
      </c>
      <c r="B380" s="31" t="n">
        <v>39753</v>
      </c>
      <c r="C380" s="56" t="n">
        <v>1965442</v>
      </c>
      <c r="D380" s="29" t="s">
        <v>41</v>
      </c>
      <c r="E380" s="33" t="n">
        <f aca="false">IF(D380="totale",(C380/(A380*24))/F380,IF(D380="marché libre",(C380/(A380*24))/G380,"spécifier histo"))</f>
        <v>0.621817894203999</v>
      </c>
      <c r="F380" s="59" t="n">
        <v>4390</v>
      </c>
      <c r="G380" s="59" t="n">
        <f aca="false">F380-H380</f>
        <v>4390</v>
      </c>
      <c r="H380" s="9" t="n">
        <f aca="false">0</f>
        <v>0</v>
      </c>
      <c r="J380" s="55"/>
      <c r="V380" s="0"/>
      <c r="Z380" s="0"/>
      <c r="AE380" s="0"/>
    </row>
    <row r="381" customFormat="false" ht="19.85" hidden="false" customHeight="true" outlineLevel="0" collapsed="false">
      <c r="A381" s="0" t="n">
        <v>31</v>
      </c>
      <c r="B381" s="34" t="n">
        <v>39783</v>
      </c>
      <c r="C381" s="56" t="n">
        <v>2008098</v>
      </c>
      <c r="D381" s="29" t="s">
        <v>41</v>
      </c>
      <c r="E381" s="33" t="n">
        <f aca="false">IF(D381="totale",(C381/(A381*24))/F381,IF(D381="marché libre",(C381/(A381*24))/G381,"spécifier histo"))</f>
        <v>0.614819237269454</v>
      </c>
      <c r="F381" s="59" t="n">
        <v>4390</v>
      </c>
      <c r="G381" s="59" t="n">
        <f aca="false">F381-H381</f>
        <v>4390</v>
      </c>
      <c r="H381" s="9" t="n">
        <f aca="false">0</f>
        <v>0</v>
      </c>
      <c r="J381" s="55"/>
      <c r="V381" s="0"/>
      <c r="Z381" s="0"/>
      <c r="AE381" s="0"/>
    </row>
    <row r="382" customFormat="false" ht="19.85" hidden="false" customHeight="true" outlineLevel="0" collapsed="false">
      <c r="A382" s="0" t="n">
        <v>31</v>
      </c>
      <c r="B382" s="31" t="n">
        <v>39814</v>
      </c>
      <c r="C382" s="56" t="n">
        <v>1584866</v>
      </c>
      <c r="D382" s="29" t="s">
        <v>41</v>
      </c>
      <c r="E382" s="33" t="n">
        <f aca="false">IF(D382="totale",(C382/(A382*24))/F382,IF(D382="marché libre",(C382/(A382*24))/G382,"spécifier histo"))</f>
        <v>0.48523832267862</v>
      </c>
      <c r="F382" s="59" t="n">
        <v>4390</v>
      </c>
      <c r="G382" s="59" t="n">
        <f aca="false">F382-H382</f>
        <v>4390</v>
      </c>
      <c r="H382" s="9" t="n">
        <f aca="false">0</f>
        <v>0</v>
      </c>
      <c r="J382" s="55"/>
      <c r="V382" s="0"/>
      <c r="Z382" s="0"/>
      <c r="AE382" s="0"/>
    </row>
    <row r="383" customFormat="false" ht="19.85" hidden="false" customHeight="true" outlineLevel="0" collapsed="false">
      <c r="A383" s="0" t="n">
        <v>28</v>
      </c>
      <c r="B383" s="34" t="n">
        <v>39845</v>
      </c>
      <c r="C383" s="56" t="n">
        <v>1977258</v>
      </c>
      <c r="D383" s="29" t="s">
        <v>41</v>
      </c>
      <c r="E383" s="33" t="n">
        <f aca="false">IF(D383="totale",(C383/(A383*24))/F383,IF(D383="marché libre",(C383/(A383*24))/G383,"spécifier histo"))</f>
        <v>0.670238773185812</v>
      </c>
      <c r="F383" s="59" t="n">
        <v>4390</v>
      </c>
      <c r="G383" s="59" t="n">
        <f aca="false">F383-H383</f>
        <v>4390</v>
      </c>
      <c r="H383" s="9" t="n">
        <f aca="false">0</f>
        <v>0</v>
      </c>
      <c r="J383" s="55"/>
      <c r="V383" s="0"/>
      <c r="Z383" s="0"/>
      <c r="AE383" s="0"/>
    </row>
    <row r="384" customFormat="false" ht="19.85" hidden="false" customHeight="true" outlineLevel="0" collapsed="false">
      <c r="A384" s="0" t="n">
        <v>31</v>
      </c>
      <c r="B384" s="31" t="n">
        <v>39873</v>
      </c>
      <c r="C384" s="56" t="n">
        <v>1873324</v>
      </c>
      <c r="D384" s="29" t="s">
        <v>41</v>
      </c>
      <c r="E384" s="33" t="n">
        <f aca="false">IF(D384="totale",(C384/(A384*24))/F384,IF(D384="marché libre",(C384/(A384*24))/G384,"spécifier histo"))</f>
        <v>0.573555490239302</v>
      </c>
      <c r="F384" s="59" t="n">
        <v>4390</v>
      </c>
      <c r="G384" s="59" t="n">
        <f aca="false">F384-H384</f>
        <v>4390</v>
      </c>
      <c r="H384" s="9" t="n">
        <f aca="false">0</f>
        <v>0</v>
      </c>
      <c r="J384" s="55"/>
      <c r="V384" s="0"/>
      <c r="Z384" s="0"/>
      <c r="AE384" s="0"/>
    </row>
    <row r="385" customFormat="false" ht="19.85" hidden="false" customHeight="true" outlineLevel="0" collapsed="false">
      <c r="A385" s="0" t="n">
        <v>30</v>
      </c>
      <c r="B385" s="34" t="n">
        <v>39904</v>
      </c>
      <c r="C385" s="56" t="n">
        <v>2285040</v>
      </c>
      <c r="D385" s="29" t="s">
        <v>41</v>
      </c>
      <c r="E385" s="33" t="n">
        <f aca="false">IF(D385="totale",(C385/(A385*24))/F385,IF(D385="marché libre",(C385/(A385*24))/G385,"spécifier histo"))</f>
        <v>0.722930903568717</v>
      </c>
      <c r="F385" s="59" t="n">
        <v>4390</v>
      </c>
      <c r="G385" s="59" t="n">
        <f aca="false">F385-H385</f>
        <v>4390</v>
      </c>
      <c r="H385" s="9" t="n">
        <f aca="false">0</f>
        <v>0</v>
      </c>
      <c r="J385" s="55"/>
      <c r="V385" s="0"/>
      <c r="Z385" s="0"/>
      <c r="AE385" s="0"/>
    </row>
    <row r="386" customFormat="false" ht="19.85" hidden="false" customHeight="true" outlineLevel="0" collapsed="false">
      <c r="A386" s="0" t="n">
        <v>31</v>
      </c>
      <c r="B386" s="31" t="n">
        <v>39934</v>
      </c>
      <c r="C386" s="56" t="n">
        <v>1969251</v>
      </c>
      <c r="D386" s="29" t="s">
        <v>41</v>
      </c>
      <c r="E386" s="33" t="n">
        <f aca="false">IF(D386="totale",(C386/(A386*24))/F386,IF(D386="marché libre",(C386/(A386*24))/G386,"spécifier histo"))</f>
        <v>0.602925453743846</v>
      </c>
      <c r="F386" s="59" t="n">
        <v>4390</v>
      </c>
      <c r="G386" s="59" t="n">
        <f aca="false">F386-H386</f>
        <v>4390</v>
      </c>
      <c r="H386" s="9" t="n">
        <f aca="false">0</f>
        <v>0</v>
      </c>
      <c r="J386" s="55"/>
      <c r="V386" s="0"/>
      <c r="Z386" s="0"/>
      <c r="AE386" s="0"/>
    </row>
    <row r="387" customFormat="false" ht="19.85" hidden="false" customHeight="true" outlineLevel="0" collapsed="false">
      <c r="A387" s="0" t="n">
        <v>30</v>
      </c>
      <c r="B387" s="34" t="n">
        <v>39965</v>
      </c>
      <c r="C387" s="56" t="n">
        <v>1347259</v>
      </c>
      <c r="D387" s="29" t="s">
        <v>41</v>
      </c>
      <c r="E387" s="33" t="n">
        <f aca="false">IF(D387="totale",(C387/(A387*24))/F387,IF(D387="marché libre",(C387/(A387*24))/G387,"spécifier histo"))</f>
        <v>0.426239875980764</v>
      </c>
      <c r="F387" s="59" t="n">
        <v>4390</v>
      </c>
      <c r="G387" s="59" t="n">
        <f aca="false">F387-H387</f>
        <v>4390</v>
      </c>
      <c r="H387" s="9" t="n">
        <f aca="false">0</f>
        <v>0</v>
      </c>
      <c r="J387" s="55"/>
      <c r="V387" s="0"/>
      <c r="Z387" s="0"/>
      <c r="AE387" s="0"/>
    </row>
    <row r="388" customFormat="false" ht="19.85" hidden="false" customHeight="true" outlineLevel="0" collapsed="false">
      <c r="A388" s="0" t="n">
        <v>31</v>
      </c>
      <c r="B388" s="31" t="n">
        <v>39995</v>
      </c>
      <c r="C388" s="56" t="n">
        <v>822650</v>
      </c>
      <c r="D388" s="29" t="s">
        <v>41</v>
      </c>
      <c r="E388" s="33" t="n">
        <f aca="false">IF(D388="totale",(C388/(A388*24))/F388,IF(D388="marché libre",(C388/(A388*24))/G388,"spécifier histo"))</f>
        <v>0.251870698312391</v>
      </c>
      <c r="F388" s="59" t="n">
        <v>4390</v>
      </c>
      <c r="G388" s="59" t="n">
        <f aca="false">F388-H388</f>
        <v>4390</v>
      </c>
      <c r="H388" s="9" t="n">
        <f aca="false">0</f>
        <v>0</v>
      </c>
      <c r="J388" s="55"/>
      <c r="V388" s="0"/>
      <c r="Z388" s="0"/>
      <c r="AE388" s="0"/>
    </row>
    <row r="389" customFormat="false" ht="19.85" hidden="false" customHeight="true" outlineLevel="0" collapsed="false">
      <c r="A389" s="0" t="n">
        <v>31</v>
      </c>
      <c r="B389" s="34" t="n">
        <v>40026</v>
      </c>
      <c r="C389" s="56" t="n">
        <v>310781</v>
      </c>
      <c r="D389" s="29" t="s">
        <v>41</v>
      </c>
      <c r="E389" s="33" t="n">
        <f aca="false">IF(D389="totale",(C389/(A389*24))/F389,IF(D389="marché libre",(C389/(A389*24))/G389,"spécifier histo"))</f>
        <v>0.0951517990545472</v>
      </c>
      <c r="F389" s="59" t="n">
        <v>4390</v>
      </c>
      <c r="G389" s="59" t="n">
        <f aca="false">F389-H389</f>
        <v>4390</v>
      </c>
      <c r="H389" s="9" t="n">
        <f aca="false">0</f>
        <v>0</v>
      </c>
      <c r="J389" s="55"/>
      <c r="V389" s="0"/>
      <c r="Z389" s="0"/>
      <c r="AE389" s="0"/>
    </row>
    <row r="390" customFormat="false" ht="19.85" hidden="false" customHeight="true" outlineLevel="0" collapsed="false">
      <c r="A390" s="0" t="n">
        <v>30</v>
      </c>
      <c r="B390" s="31" t="n">
        <v>40057</v>
      </c>
      <c r="C390" s="56" t="n">
        <v>328702</v>
      </c>
      <c r="D390" s="29" t="s">
        <v>41</v>
      </c>
      <c r="E390" s="33" t="n">
        <f aca="false">IF(D390="totale",(C390/(A390*24))/F390,IF(D390="marché libre",(C390/(A390*24))/G390,"spécifier histo"))</f>
        <v>0.103993292837256</v>
      </c>
      <c r="F390" s="59" t="n">
        <v>4390</v>
      </c>
      <c r="G390" s="59" t="n">
        <f aca="false">F390-H390</f>
        <v>4390</v>
      </c>
      <c r="H390" s="9" t="n">
        <f aca="false">0</f>
        <v>0</v>
      </c>
      <c r="J390" s="55"/>
      <c r="V390" s="0"/>
      <c r="Z390" s="0"/>
      <c r="AE390" s="0"/>
    </row>
    <row r="391" customFormat="false" ht="19.85" hidden="false" customHeight="true" outlineLevel="0" collapsed="false">
      <c r="A391" s="0" t="n">
        <v>31</v>
      </c>
      <c r="B391" s="34" t="n">
        <v>40087</v>
      </c>
      <c r="C391" s="56" t="n">
        <v>481991</v>
      </c>
      <c r="D391" s="29" t="s">
        <v>41</v>
      </c>
      <c r="E391" s="33" t="n">
        <f aca="false">IF(D391="totale",(C391/(A391*24))/F391,IF(D391="marché libre",(C391/(A391*24))/G391,"spécifier histo"))</f>
        <v>0.147571153893257</v>
      </c>
      <c r="F391" s="59" t="n">
        <v>4390</v>
      </c>
      <c r="G391" s="59" t="n">
        <f aca="false">F391-H391</f>
        <v>4390</v>
      </c>
      <c r="H391" s="9" t="n">
        <f aca="false">0</f>
        <v>0</v>
      </c>
      <c r="J391" s="55"/>
      <c r="V391" s="0"/>
      <c r="Z391" s="0"/>
      <c r="AE391" s="0"/>
    </row>
    <row r="392" customFormat="false" ht="19.85" hidden="false" customHeight="true" outlineLevel="0" collapsed="false">
      <c r="A392" s="0" t="n">
        <v>30</v>
      </c>
      <c r="B392" s="31" t="n">
        <v>40118</v>
      </c>
      <c r="C392" s="56" t="n">
        <v>1178534</v>
      </c>
      <c r="D392" s="29" t="s">
        <v>41</v>
      </c>
      <c r="E392" s="33" t="n">
        <f aca="false">IF(D392="totale",(C392/(A392*24))/F392,IF(D392="marché libre",(C392/(A392*24))/G392,"spécifier histo"))</f>
        <v>0.372859402682865</v>
      </c>
      <c r="F392" s="59" t="n">
        <v>4390</v>
      </c>
      <c r="G392" s="59" t="n">
        <f aca="false">F392-H392</f>
        <v>4390</v>
      </c>
      <c r="H392" s="9" t="n">
        <f aca="false">0</f>
        <v>0</v>
      </c>
      <c r="J392" s="55"/>
      <c r="V392" s="0"/>
      <c r="Z392" s="0"/>
      <c r="AE392" s="0"/>
    </row>
    <row r="393" customFormat="false" ht="19.85" hidden="false" customHeight="true" outlineLevel="0" collapsed="false">
      <c r="A393" s="0" t="n">
        <v>31</v>
      </c>
      <c r="B393" s="34" t="n">
        <v>40148</v>
      </c>
      <c r="C393" s="56" t="n">
        <v>1224564</v>
      </c>
      <c r="D393" s="29" t="s">
        <v>41</v>
      </c>
      <c r="E393" s="33" t="n">
        <f aca="false">IF(D393="totale",(C393/(A393*24))/F393,IF(D393="marché libre",(C393/(A393*24))/G393,"spécifier histo"))</f>
        <v>0.374924682195606</v>
      </c>
      <c r="F393" s="59" t="n">
        <v>4390</v>
      </c>
      <c r="G393" s="59" t="n">
        <f aca="false">F393-H393</f>
        <v>4390</v>
      </c>
      <c r="H393" s="9" t="n">
        <f aca="false">0</f>
        <v>0</v>
      </c>
      <c r="J393" s="55"/>
      <c r="V393" s="0"/>
      <c r="Z393" s="0"/>
      <c r="AE393" s="0"/>
    </row>
    <row r="394" customFormat="false" ht="19.85" hidden="false" customHeight="true" outlineLevel="0" collapsed="false">
      <c r="A394" s="0" t="n">
        <v>31</v>
      </c>
      <c r="B394" s="31" t="n">
        <v>40179</v>
      </c>
      <c r="C394" s="56" t="n">
        <v>1661759</v>
      </c>
      <c r="D394" s="29" t="s">
        <v>41</v>
      </c>
      <c r="E394" s="33" t="n">
        <f aca="false">IF(D394="totale",(C394/(A394*24))/F394,IF(D394="marché libre",(C394/(A394*24))/G394,"spécifier histo"))</f>
        <v>0.50878064761065</v>
      </c>
      <c r="F394" s="59" t="n">
        <v>4390</v>
      </c>
      <c r="G394" s="59" t="n">
        <f aca="false">F394-H394</f>
        <v>4390</v>
      </c>
      <c r="H394" s="9" t="n">
        <f aca="false">0</f>
        <v>0</v>
      </c>
      <c r="J394" s="55"/>
      <c r="V394" s="0"/>
      <c r="Z394" s="0"/>
      <c r="AE394" s="0"/>
    </row>
    <row r="395" customFormat="false" ht="19.85" hidden="false" customHeight="true" outlineLevel="0" collapsed="false">
      <c r="A395" s="0" t="n">
        <v>28</v>
      </c>
      <c r="B395" s="34" t="n">
        <v>40210</v>
      </c>
      <c r="C395" s="56" t="n">
        <v>1397378</v>
      </c>
      <c r="D395" s="29" t="s">
        <v>41</v>
      </c>
      <c r="E395" s="33" t="n">
        <f aca="false">IF(D395="totale",(C395/(A395*24))/F395,IF(D395="marché libre",(C395/(A395*24))/G395,"spécifier histo"))</f>
        <v>0.473674612213906</v>
      </c>
      <c r="F395" s="59" t="n">
        <v>4390</v>
      </c>
      <c r="G395" s="59" t="n">
        <f aca="false">F395-H395</f>
        <v>4390</v>
      </c>
      <c r="H395" s="9" t="n">
        <f aca="false">0</f>
        <v>0</v>
      </c>
      <c r="J395" s="55"/>
      <c r="V395" s="0"/>
      <c r="Z395" s="0"/>
      <c r="AE395" s="0"/>
    </row>
    <row r="396" customFormat="false" ht="19.85" hidden="false" customHeight="true" outlineLevel="0" collapsed="false">
      <c r="A396" s="0" t="n">
        <v>31</v>
      </c>
      <c r="B396" s="31" t="n">
        <v>40238</v>
      </c>
      <c r="C396" s="56" t="n">
        <v>1658783</v>
      </c>
      <c r="D396" s="29" t="s">
        <v>41</v>
      </c>
      <c r="E396" s="33" t="n">
        <f aca="false">IF(D396="totale",(C396/(A396*24))/F396,IF(D396="marché libre",(C396/(A396*24))/G396,"spécifier histo"))</f>
        <v>0.507869485879442</v>
      </c>
      <c r="F396" s="59" t="n">
        <v>4390</v>
      </c>
      <c r="G396" s="59" t="n">
        <f aca="false">F396-H396</f>
        <v>4390</v>
      </c>
      <c r="H396" s="9" t="n">
        <f aca="false">0</f>
        <v>0</v>
      </c>
      <c r="J396" s="55"/>
      <c r="V396" s="0"/>
      <c r="AE396" s="0"/>
    </row>
    <row r="397" customFormat="false" ht="19.85" hidden="false" customHeight="true" outlineLevel="0" collapsed="false">
      <c r="A397" s="0" t="n">
        <v>30</v>
      </c>
      <c r="B397" s="34" t="n">
        <v>40269</v>
      </c>
      <c r="C397" s="56" t="n">
        <v>1945266</v>
      </c>
      <c r="D397" s="29" t="s">
        <v>41</v>
      </c>
      <c r="E397" s="33" t="n">
        <f aca="false">IF(D397="totale",(C397/(A397*24))/F397,IF(D397="marché libre",(C397/(A397*24))/G397,"spécifier histo"))</f>
        <v>0.61543470007593</v>
      </c>
      <c r="F397" s="59" t="n">
        <v>4390</v>
      </c>
      <c r="G397" s="59" t="n">
        <f aca="false">F397-H397</f>
        <v>4390</v>
      </c>
      <c r="H397" s="9" t="n">
        <f aca="false">0</f>
        <v>0</v>
      </c>
      <c r="J397" s="55"/>
      <c r="V397" s="0"/>
      <c r="AE397" s="0"/>
    </row>
    <row r="398" customFormat="false" ht="19.85" hidden="false" customHeight="true" outlineLevel="0" collapsed="false">
      <c r="A398" s="0" t="n">
        <v>31</v>
      </c>
      <c r="B398" s="31" t="n">
        <v>40299</v>
      </c>
      <c r="C398" s="56" t="n">
        <v>3033914</v>
      </c>
      <c r="D398" s="29" t="s">
        <v>41</v>
      </c>
      <c r="E398" s="33" t="n">
        <f aca="false">IF(D398="totale",(C398/(A398*24))/F398,IF(D398="marché libre",(C398/(A398*24))/G398,"spécifier histo"))</f>
        <v>0.928893256913317</v>
      </c>
      <c r="F398" s="59" t="n">
        <v>4390</v>
      </c>
      <c r="G398" s="59" t="n">
        <f aca="false">F398-H398</f>
        <v>4390</v>
      </c>
      <c r="H398" s="9" t="n">
        <f aca="false">0</f>
        <v>0</v>
      </c>
      <c r="J398" s="55"/>
      <c r="V398" s="0"/>
      <c r="AE398" s="0"/>
    </row>
    <row r="399" customFormat="false" ht="19.85" hidden="false" customHeight="true" outlineLevel="0" collapsed="false">
      <c r="A399" s="0" t="n">
        <v>30</v>
      </c>
      <c r="B399" s="34" t="n">
        <v>40330</v>
      </c>
      <c r="C399" s="56" t="n">
        <v>2566581</v>
      </c>
      <c r="D399" s="29" t="s">
        <v>41</v>
      </c>
      <c r="E399" s="33" t="n">
        <f aca="false">IF(D399="totale",(C399/(A399*24))/F399,IF(D399="marché libre",(C399/(A399*24))/G399,"spécifier histo"))</f>
        <v>0.812003606681853</v>
      </c>
      <c r="F399" s="59" t="n">
        <v>4390</v>
      </c>
      <c r="G399" s="59" t="n">
        <f aca="false">F399-H399</f>
        <v>4390</v>
      </c>
      <c r="H399" s="9" t="n">
        <f aca="false">0</f>
        <v>0</v>
      </c>
      <c r="J399" s="55"/>
      <c r="V399" s="0"/>
      <c r="AE399" s="0"/>
    </row>
    <row r="400" customFormat="false" ht="19.85" hidden="false" customHeight="true" outlineLevel="0" collapsed="false">
      <c r="A400" s="0" t="n">
        <v>31</v>
      </c>
      <c r="B400" s="31" t="n">
        <v>40360</v>
      </c>
      <c r="C400" s="56" t="n">
        <v>1104255</v>
      </c>
      <c r="D400" s="29" t="s">
        <v>41</v>
      </c>
      <c r="E400" s="33" t="n">
        <f aca="false">IF(D400="totale",(C400/(A400*24))/F400,IF(D400="marché libre",(C400/(A400*24))/G400,"spécifier histo"))</f>
        <v>0.338089683297818</v>
      </c>
      <c r="F400" s="59" t="n">
        <v>4390</v>
      </c>
      <c r="G400" s="59" t="n">
        <f aca="false">F400-H400</f>
        <v>4390</v>
      </c>
      <c r="H400" s="9" t="n">
        <f aca="false">0</f>
        <v>0</v>
      </c>
      <c r="J400" s="55"/>
      <c r="V400" s="0"/>
      <c r="AE400" s="0"/>
    </row>
    <row r="401" customFormat="false" ht="19.85" hidden="false" customHeight="true" outlineLevel="0" collapsed="false">
      <c r="A401" s="0" t="n">
        <v>31</v>
      </c>
      <c r="B401" s="34" t="n">
        <v>40391</v>
      </c>
      <c r="C401" s="56" t="n">
        <v>569582</v>
      </c>
      <c r="D401" s="29" t="s">
        <v>41</v>
      </c>
      <c r="E401" s="33" t="n">
        <f aca="false">IF(D401="totale",(C401/(A401*24))/F401,IF(D401="marché libre",(C401/(A401*24))/G401,"spécifier histo"))</f>
        <v>0.174388884806623</v>
      </c>
      <c r="F401" s="59" t="n">
        <v>4390</v>
      </c>
      <c r="G401" s="59" t="n">
        <f aca="false">F401-H401</f>
        <v>4390</v>
      </c>
      <c r="H401" s="9" t="n">
        <f aca="false">0</f>
        <v>0</v>
      </c>
      <c r="J401" s="55"/>
      <c r="V401" s="0"/>
      <c r="AE401" s="0"/>
    </row>
    <row r="402" customFormat="false" ht="19.85" hidden="false" customHeight="true" outlineLevel="0" collapsed="false">
      <c r="A402" s="0" t="n">
        <v>30</v>
      </c>
      <c r="B402" s="31" t="n">
        <v>40422</v>
      </c>
      <c r="C402" s="56" t="n">
        <v>300940</v>
      </c>
      <c r="D402" s="29" t="s">
        <v>41</v>
      </c>
      <c r="E402" s="33" t="n">
        <f aca="false">IF(D402="totale",(C402/(A402*24))/F402,IF(D402="marché libre",(C402/(A402*24))/G402,"spécifier histo"))</f>
        <v>0.0952100733991395</v>
      </c>
      <c r="F402" s="59" t="n">
        <v>4390</v>
      </c>
      <c r="G402" s="59" t="n">
        <f aca="false">F402-H402</f>
        <v>4390</v>
      </c>
      <c r="H402" s="9" t="n">
        <f aca="false">0</f>
        <v>0</v>
      </c>
      <c r="J402" s="55"/>
      <c r="V402" s="0"/>
      <c r="AE402" s="0"/>
    </row>
    <row r="403" customFormat="false" ht="19.85" hidden="false" customHeight="true" outlineLevel="0" collapsed="false">
      <c r="A403" s="0" t="n">
        <v>31</v>
      </c>
      <c r="B403" s="34" t="n">
        <v>40452</v>
      </c>
      <c r="C403" s="56" t="n">
        <v>583972</v>
      </c>
      <c r="D403" s="29" t="s">
        <v>41</v>
      </c>
      <c r="E403" s="33" t="n">
        <f aca="false">IF(D403="totale",(C403/(A403*24))/F403,IF(D403="marché libre",(C403/(A403*24))/G403,"spécifier histo"))</f>
        <v>0.178794670193744</v>
      </c>
      <c r="F403" s="59" t="n">
        <v>4390</v>
      </c>
      <c r="G403" s="59" t="n">
        <f aca="false">F403-H403</f>
        <v>4390</v>
      </c>
      <c r="H403" s="9" t="n">
        <f aca="false">0</f>
        <v>0</v>
      </c>
      <c r="J403" s="55"/>
      <c r="V403" s="0"/>
      <c r="AE403" s="0"/>
    </row>
    <row r="404" customFormat="false" ht="19.85" hidden="false" customHeight="true" outlineLevel="0" collapsed="false">
      <c r="A404" s="0" t="n">
        <v>30</v>
      </c>
      <c r="B404" s="31" t="n">
        <v>40483</v>
      </c>
      <c r="C404" s="56" t="n">
        <v>1762589</v>
      </c>
      <c r="D404" s="29" t="s">
        <v>41</v>
      </c>
      <c r="E404" s="33" t="n">
        <f aca="false">IF(D404="totale",(C404/(A404*24))/F404,IF(D404="marché libre",(C404/(A404*24))/G404,"spécifier histo"))</f>
        <v>0.557640154391293</v>
      </c>
      <c r="F404" s="59" t="n">
        <v>4390</v>
      </c>
      <c r="G404" s="59" t="n">
        <f aca="false">F404-H404</f>
        <v>4390</v>
      </c>
      <c r="H404" s="9" t="n">
        <f aca="false">0</f>
        <v>0</v>
      </c>
      <c r="J404" s="55"/>
      <c r="V404" s="0"/>
      <c r="AE404" s="0"/>
    </row>
    <row r="405" customFormat="false" ht="19.85" hidden="false" customHeight="true" outlineLevel="0" collapsed="false">
      <c r="A405" s="0" t="n">
        <v>31</v>
      </c>
      <c r="B405" s="34" t="n">
        <v>40513</v>
      </c>
      <c r="C405" s="56" t="n">
        <v>1068030</v>
      </c>
      <c r="D405" s="29" t="s">
        <v>41</v>
      </c>
      <c r="E405" s="33" t="n">
        <f aca="false">IF(D405="totale",(C405/(A405*24))/F405,IF(D405="marché libre",(C405/(A405*24))/G405,"spécifier histo"))</f>
        <v>0.326998677345874</v>
      </c>
      <c r="F405" s="59" t="n">
        <v>4390</v>
      </c>
      <c r="G405" s="59" t="n">
        <f aca="false">F405-H405</f>
        <v>4390</v>
      </c>
      <c r="H405" s="9" t="n">
        <f aca="false">0</f>
        <v>0</v>
      </c>
      <c r="J405" s="55"/>
      <c r="V405" s="0"/>
      <c r="AE405" s="0"/>
    </row>
    <row r="406" customFormat="false" ht="19.85" hidden="false" customHeight="true" outlineLevel="0" collapsed="false">
      <c r="A406" s="0" t="n">
        <v>31</v>
      </c>
      <c r="B406" s="31" t="n">
        <v>40544</v>
      </c>
      <c r="C406" s="56" t="n">
        <v>737854</v>
      </c>
      <c r="D406" s="29" t="s">
        <v>41</v>
      </c>
      <c r="E406" s="33" t="n">
        <f aca="false">IF(D406="totale",(C406/(A406*24))/F406,IF(D406="marché libre",(C406/(A406*24))/G406,"spécifier histo"))</f>
        <v>0.225908712371715</v>
      </c>
      <c r="F406" s="59" t="n">
        <v>4390</v>
      </c>
      <c r="G406" s="59" t="n">
        <f aca="false">F406-H406</f>
        <v>4390</v>
      </c>
      <c r="H406" s="9" t="n">
        <f aca="false">0</f>
        <v>0</v>
      </c>
      <c r="J406" s="55"/>
      <c r="V406" s="0"/>
      <c r="AE406" s="0"/>
    </row>
    <row r="407" customFormat="false" ht="19.85" hidden="false" customHeight="true" outlineLevel="0" collapsed="false">
      <c r="A407" s="0" t="n">
        <v>28</v>
      </c>
      <c r="B407" s="34" t="n">
        <v>40575</v>
      </c>
      <c r="C407" s="56" t="n">
        <v>950507</v>
      </c>
      <c r="D407" s="29" t="s">
        <v>41</v>
      </c>
      <c r="E407" s="33" t="n">
        <f aca="false">IF(D407="totale",(C407/(A407*24))/F407,IF(D407="marché libre",(C407/(A407*24))/G407,"spécifier histo"))</f>
        <v>0.322197025165419</v>
      </c>
      <c r="F407" s="59" t="n">
        <v>4390</v>
      </c>
      <c r="G407" s="59" t="n">
        <f aca="false">F407-H407</f>
        <v>4390</v>
      </c>
      <c r="H407" s="9" t="n">
        <f aca="false">0</f>
        <v>0</v>
      </c>
      <c r="J407" s="55"/>
      <c r="V407" s="0"/>
      <c r="AE407" s="0"/>
    </row>
    <row r="408" customFormat="false" ht="19.85" hidden="false" customHeight="true" outlineLevel="0" collapsed="false">
      <c r="A408" s="0" t="n">
        <v>31</v>
      </c>
      <c r="B408" s="31" t="n">
        <v>40603</v>
      </c>
      <c r="C408" s="56" t="n">
        <v>2096593</v>
      </c>
      <c r="D408" s="29" t="s">
        <v>41</v>
      </c>
      <c r="E408" s="33" t="n">
        <f aca="false">IF(D408="totale",(C408/(A408*24))/F408,IF(D408="marché libre",(C408/(A408*24))/G408,"spécifier histo"))</f>
        <v>0.641913745805472</v>
      </c>
      <c r="F408" s="59" t="n">
        <v>4390</v>
      </c>
      <c r="G408" s="59" t="n">
        <f aca="false">F408-H408</f>
        <v>4390</v>
      </c>
      <c r="H408" s="9" t="n">
        <f aca="false">0</f>
        <v>0</v>
      </c>
      <c r="J408" s="55"/>
      <c r="V408" s="0"/>
      <c r="AE408" s="0"/>
    </row>
    <row r="409" customFormat="false" ht="19.85" hidden="false" customHeight="true" outlineLevel="0" collapsed="false">
      <c r="A409" s="0" t="n">
        <v>30</v>
      </c>
      <c r="B409" s="34" t="n">
        <v>40634</v>
      </c>
      <c r="C409" s="56" t="n">
        <v>2081491</v>
      </c>
      <c r="D409" s="29" t="s">
        <v>41</v>
      </c>
      <c r="E409" s="33" t="n">
        <f aca="false">IF(D409="totale",(C409/(A409*24))/F409,IF(D409="marché libre",(C409/(A409*24))/G409,"spécifier histo"))</f>
        <v>0.658532966337636</v>
      </c>
      <c r="F409" s="59" t="n">
        <v>4390</v>
      </c>
      <c r="G409" s="59" t="n">
        <f aca="false">F409-H409</f>
        <v>4390</v>
      </c>
      <c r="H409" s="9" t="n">
        <f aca="false">0</f>
        <v>0</v>
      </c>
      <c r="J409" s="55"/>
      <c r="V409" s="0"/>
      <c r="AE409" s="0"/>
    </row>
    <row r="410" customFormat="false" ht="19.85" hidden="false" customHeight="true" outlineLevel="0" collapsed="false">
      <c r="A410" s="0" t="n">
        <v>31</v>
      </c>
      <c r="B410" s="31" t="n">
        <v>40664</v>
      </c>
      <c r="C410" s="56" t="n">
        <v>1739326</v>
      </c>
      <c r="D410" s="29" t="s">
        <v>41</v>
      </c>
      <c r="E410" s="33" t="n">
        <f aca="false">IF(D410="totale",(C410/(A410*24))/F410,IF(D410="marché libre",(C410/(A410*24))/G410,"spécifier histo"))</f>
        <v>0.532529331079923</v>
      </c>
      <c r="F410" s="59" t="n">
        <v>4390</v>
      </c>
      <c r="G410" s="59" t="n">
        <f aca="false">F410-H410</f>
        <v>4390</v>
      </c>
      <c r="H410" s="9" t="n">
        <f aca="false">0</f>
        <v>0</v>
      </c>
      <c r="J410" s="55"/>
      <c r="V410" s="0"/>
      <c r="AE410" s="0"/>
    </row>
    <row r="411" customFormat="false" ht="19.85" hidden="false" customHeight="true" outlineLevel="0" collapsed="false">
      <c r="A411" s="0" t="n">
        <v>30</v>
      </c>
      <c r="B411" s="34" t="n">
        <v>40695</v>
      </c>
      <c r="C411" s="56" t="n">
        <v>2065303</v>
      </c>
      <c r="D411" s="29" t="s">
        <v>41</v>
      </c>
      <c r="E411" s="33" t="n">
        <f aca="false">IF(D411="totale",(C411/(A411*24))/F411,IF(D411="marché libre",(C411/(A411*24))/G411,"spécifier histo"))</f>
        <v>0.653411478106808</v>
      </c>
      <c r="F411" s="59" t="n">
        <v>4390</v>
      </c>
      <c r="G411" s="59" t="n">
        <f aca="false">F411-H411</f>
        <v>4390</v>
      </c>
      <c r="H411" s="9" t="n">
        <f aca="false">0</f>
        <v>0</v>
      </c>
      <c r="J411" s="55"/>
      <c r="V411" s="0"/>
      <c r="AE411" s="0"/>
    </row>
    <row r="412" customFormat="false" ht="19.85" hidden="false" customHeight="true" outlineLevel="0" collapsed="false">
      <c r="A412" s="0" t="n">
        <v>31</v>
      </c>
      <c r="B412" s="31" t="n">
        <v>40725</v>
      </c>
      <c r="C412" s="56" t="n">
        <v>1532010</v>
      </c>
      <c r="D412" s="29" t="s">
        <v>41</v>
      </c>
      <c r="E412" s="33" t="n">
        <f aca="false">IF(D412="totale",(C412/(A412*24))/F412,IF(D412="marché libre",(C412/(A412*24))/G412,"spécifier histo"))</f>
        <v>0.46905540451172</v>
      </c>
      <c r="F412" s="59" t="n">
        <v>4390</v>
      </c>
      <c r="G412" s="59" t="n">
        <f aca="false">F412-H412</f>
        <v>4390</v>
      </c>
      <c r="H412" s="9" t="n">
        <f aca="false">0</f>
        <v>0</v>
      </c>
      <c r="V412" s="0"/>
      <c r="AE412" s="0"/>
    </row>
    <row r="413" customFormat="false" ht="19.85" hidden="false" customHeight="true" outlineLevel="0" collapsed="false">
      <c r="A413" s="0" t="n">
        <v>31</v>
      </c>
      <c r="B413" s="34" t="n">
        <v>40756</v>
      </c>
      <c r="C413" s="56" t="n">
        <v>15091</v>
      </c>
      <c r="D413" s="29" t="s">
        <v>41</v>
      </c>
      <c r="E413" s="33" t="n">
        <f aca="false">IF(D413="totale",(C413/(A413*24))/F413,IF(D413="marché libre",(C413/(A413*24))/G413,"spécifier histo"))</f>
        <v>0.00462041051265094</v>
      </c>
      <c r="F413" s="59" t="n">
        <v>4390</v>
      </c>
      <c r="G413" s="59" t="n">
        <f aca="false">F413-H413</f>
        <v>4390</v>
      </c>
      <c r="H413" s="9" t="n">
        <f aca="false">0</f>
        <v>0</v>
      </c>
      <c r="V413" s="0"/>
      <c r="AE413" s="0"/>
    </row>
    <row r="414" customFormat="false" ht="19.85" hidden="false" customHeight="true" outlineLevel="0" collapsed="false">
      <c r="A414" s="0" t="n">
        <v>30</v>
      </c>
      <c r="B414" s="31" t="n">
        <v>40787</v>
      </c>
      <c r="C414" s="57" t="n">
        <v>32020</v>
      </c>
      <c r="D414" s="29" t="s">
        <v>41</v>
      </c>
      <c r="E414" s="33" t="n">
        <f aca="false">IF(D414="totale",(C414/(A414*24))/F414,IF(D414="marché libre",(C414/(A414*24))/G414,"spécifier histo"))</f>
        <v>0.0101303467476588</v>
      </c>
      <c r="F414" s="59" t="n">
        <v>4390</v>
      </c>
      <c r="G414" s="59" t="n">
        <f aca="false">F414-H414</f>
        <v>4390</v>
      </c>
      <c r="H414" s="9" t="n">
        <f aca="false">0</f>
        <v>0</v>
      </c>
      <c r="V414" s="0"/>
      <c r="AE414" s="0"/>
    </row>
    <row r="415" customFormat="false" ht="19.85" hidden="false" customHeight="true" outlineLevel="0" collapsed="false">
      <c r="A415" s="0" t="n">
        <v>31</v>
      </c>
      <c r="B415" s="34" t="n">
        <v>40817</v>
      </c>
      <c r="C415" s="56" t="n">
        <v>145478</v>
      </c>
      <c r="D415" s="29" t="s">
        <v>41</v>
      </c>
      <c r="E415" s="33" t="n">
        <f aca="false">IF(D415="totale",(C415/(A415*24))/F415,IF(D415="marché libre",(C415/(A415*24))/G415,"spécifier histo"))</f>
        <v>0.0445409900311069</v>
      </c>
      <c r="F415" s="59" t="n">
        <v>4390</v>
      </c>
      <c r="G415" s="59" t="n">
        <f aca="false">F415-H415</f>
        <v>4390</v>
      </c>
      <c r="H415" s="9" t="n">
        <f aca="false">0</f>
        <v>0</v>
      </c>
      <c r="V415" s="0"/>
      <c r="AE415" s="0"/>
    </row>
    <row r="416" customFormat="false" ht="19.85" hidden="false" customHeight="true" outlineLevel="0" collapsed="false">
      <c r="A416" s="0" t="n">
        <v>30</v>
      </c>
      <c r="B416" s="31" t="n">
        <v>40848</v>
      </c>
      <c r="C416" s="56" t="n">
        <v>1033108</v>
      </c>
      <c r="D416" s="29" t="s">
        <v>41</v>
      </c>
      <c r="E416" s="33" t="n">
        <f aca="false">IF(D416="totale",(C416/(A416*24))/F416,IF(D416="marché libre",(C416/(A416*24))/G416,"spécifier histo"))</f>
        <v>0.326850164515313</v>
      </c>
      <c r="F416" s="59" t="n">
        <v>4390</v>
      </c>
      <c r="G416" s="59" t="n">
        <f aca="false">F416-H416</f>
        <v>4390</v>
      </c>
      <c r="H416" s="9" t="n">
        <f aca="false">0</f>
        <v>0</v>
      </c>
      <c r="J416" s="55"/>
      <c r="V416" s="0"/>
      <c r="AE416" s="0"/>
    </row>
    <row r="417" customFormat="false" ht="19.85" hidden="false" customHeight="true" outlineLevel="0" collapsed="false">
      <c r="A417" s="0" t="n">
        <v>31</v>
      </c>
      <c r="B417" s="34" t="n">
        <v>40878</v>
      </c>
      <c r="C417" s="56" t="n">
        <v>1174438</v>
      </c>
      <c r="D417" s="29" t="s">
        <v>41</v>
      </c>
      <c r="E417" s="33" t="n">
        <f aca="false">IF(D417="totale",(C417/(A417*24))/F417,IF(D417="marché libre",(C417/(A417*24))/G417,"spécifier histo"))</f>
        <v>0.35957760795552</v>
      </c>
      <c r="F417" s="59" t="n">
        <v>4390</v>
      </c>
      <c r="G417" s="59" t="n">
        <f aca="false">F417-H417</f>
        <v>4390</v>
      </c>
      <c r="H417" s="9" t="n">
        <f aca="false">0</f>
        <v>0</v>
      </c>
      <c r="J417" s="55"/>
      <c r="V417" s="0"/>
      <c r="AE417" s="0"/>
    </row>
    <row r="418" customFormat="false" ht="19.85" hidden="false" customHeight="true" outlineLevel="0" collapsed="false">
      <c r="A418" s="0" t="n">
        <v>31</v>
      </c>
      <c r="B418" s="31" t="n">
        <v>40909</v>
      </c>
      <c r="C418" s="56" t="n">
        <v>1553939</v>
      </c>
      <c r="D418" s="29" t="s">
        <v>41</v>
      </c>
      <c r="E418" s="33" t="n">
        <f aca="false">IF(D418="totale",(C418/(A418*24))/F418,IF(D418="marché libre",(C418/(A418*24))/G418,"spécifier histo"))</f>
        <v>0.475769405050579</v>
      </c>
      <c r="F418" s="59" t="n">
        <v>4390</v>
      </c>
      <c r="G418" s="59" t="n">
        <f aca="false">F418-H418</f>
        <v>4390</v>
      </c>
      <c r="H418" s="9" t="n">
        <f aca="false">0</f>
        <v>0</v>
      </c>
      <c r="J418" s="55"/>
      <c r="V418" s="0"/>
      <c r="AE418" s="0"/>
    </row>
    <row r="419" customFormat="false" ht="19.85" hidden="false" customHeight="true" outlineLevel="0" collapsed="false">
      <c r="A419" s="0" t="n">
        <v>28</v>
      </c>
      <c r="B419" s="34" t="n">
        <v>40940</v>
      </c>
      <c r="C419" s="56" t="n">
        <v>938566</v>
      </c>
      <c r="D419" s="29" t="s">
        <v>41</v>
      </c>
      <c r="E419" s="33" t="n">
        <f aca="false">IF(D419="totale",(C419/(A419*24))/F419,IF(D419="marché libre",(C419/(A419*24))/G419,"spécifier histo"))</f>
        <v>0.318149338323028</v>
      </c>
      <c r="F419" s="59" t="n">
        <v>4390</v>
      </c>
      <c r="G419" s="59" t="n">
        <f aca="false">F419-H419</f>
        <v>4390</v>
      </c>
      <c r="H419" s="9" t="n">
        <f aca="false">0</f>
        <v>0</v>
      </c>
      <c r="J419" s="55"/>
      <c r="V419" s="0"/>
      <c r="AE419" s="0"/>
    </row>
    <row r="420" customFormat="false" ht="19.85" hidden="false" customHeight="true" outlineLevel="0" collapsed="false">
      <c r="A420" s="0" t="n">
        <v>31</v>
      </c>
      <c r="B420" s="31" t="n">
        <v>40969</v>
      </c>
      <c r="C420" s="56" t="n">
        <v>1705101</v>
      </c>
      <c r="D420" s="29" t="s">
        <v>41</v>
      </c>
      <c r="E420" s="33" t="n">
        <f aca="false">IF(D420="totale",(C420/(A420*24))/F420,IF(D420="marché libre",(C420/(A420*24))/G420,"spécifier histo"))</f>
        <v>0.522050665001102</v>
      </c>
      <c r="F420" s="59" t="n">
        <v>4390</v>
      </c>
      <c r="G420" s="59" t="n">
        <f aca="false">F420-H420</f>
        <v>4390</v>
      </c>
      <c r="H420" s="9" t="n">
        <f aca="false">0</f>
        <v>0</v>
      </c>
      <c r="J420" s="55"/>
      <c r="V420" s="0"/>
    </row>
    <row r="421" customFormat="false" ht="19.85" hidden="false" customHeight="true" outlineLevel="0" collapsed="false">
      <c r="A421" s="0" t="n">
        <v>30</v>
      </c>
      <c r="B421" s="34" t="n">
        <v>41000</v>
      </c>
      <c r="C421" s="56" t="n">
        <v>2340879</v>
      </c>
      <c r="D421" s="29" t="s">
        <v>41</v>
      </c>
      <c r="E421" s="33" t="n">
        <f aca="false">IF(D421="totale",(C421/(A421*24))/F421,IF(D421="marché libre",(C421/(A421*24))/G421,"spécifier histo"))</f>
        <v>0.740597000759301</v>
      </c>
      <c r="F421" s="59" t="n">
        <v>4390</v>
      </c>
      <c r="G421" s="59" t="n">
        <f aca="false">F421-H421</f>
        <v>4390</v>
      </c>
      <c r="H421" s="9" t="n">
        <f aca="false">0</f>
        <v>0</v>
      </c>
      <c r="J421" s="55"/>
      <c r="V421" s="0"/>
    </row>
    <row r="422" customFormat="false" ht="19.85" hidden="false" customHeight="true" outlineLevel="0" collapsed="false">
      <c r="A422" s="0" t="n">
        <v>31</v>
      </c>
      <c r="B422" s="31" t="n">
        <v>41030</v>
      </c>
      <c r="C422" s="56" t="n">
        <v>2881443</v>
      </c>
      <c r="D422" s="29" t="s">
        <v>41</v>
      </c>
      <c r="E422" s="33" t="n">
        <f aca="false">IF(D422="totale",(C422/(A422*24))/F422,IF(D422="marché libre",(C422/(A422*24))/G422,"spécifier histo"))</f>
        <v>0.882211220515835</v>
      </c>
      <c r="F422" s="59" t="n">
        <v>4390</v>
      </c>
      <c r="G422" s="59" t="n">
        <f aca="false">F422-H422</f>
        <v>4390</v>
      </c>
      <c r="H422" s="9" t="n">
        <f aca="false">0</f>
        <v>0</v>
      </c>
      <c r="J422" s="55"/>
      <c r="V422" s="0"/>
    </row>
    <row r="423" customFormat="false" ht="19.85" hidden="false" customHeight="true" outlineLevel="0" collapsed="false">
      <c r="A423" s="0" t="n">
        <v>30</v>
      </c>
      <c r="B423" s="34" t="n">
        <v>41061</v>
      </c>
      <c r="C423" s="56" t="n">
        <v>1845809</v>
      </c>
      <c r="D423" s="29" t="s">
        <v>41</v>
      </c>
      <c r="E423" s="33" t="n">
        <f aca="false">IF(D423="totale",(C423/(A423*24))/F423,IF(D423="marché libre",(C423/(A423*24))/G423,"spécifier histo"))</f>
        <v>0.583968931915971</v>
      </c>
      <c r="F423" s="59" t="n">
        <v>4390</v>
      </c>
      <c r="G423" s="59" t="n">
        <f aca="false">F423-H423</f>
        <v>4390</v>
      </c>
      <c r="H423" s="9" t="n">
        <f aca="false">0</f>
        <v>0</v>
      </c>
      <c r="J423" s="55"/>
      <c r="V423" s="0"/>
    </row>
    <row r="424" customFormat="false" ht="19.85" hidden="false" customHeight="true" outlineLevel="0" collapsed="false">
      <c r="A424" s="0" t="n">
        <v>31</v>
      </c>
      <c r="B424" s="31" t="n">
        <v>41091</v>
      </c>
      <c r="C424" s="56" t="n">
        <v>746940</v>
      </c>
      <c r="D424" s="29" t="s">
        <v>41</v>
      </c>
      <c r="E424" s="33" t="n">
        <f aca="false">IF(D424="totale",(C424/(A424*24))/F424,IF(D424="marché libre",(C424/(A424*24))/G424,"spécifier histo"))</f>
        <v>0.228690572415313</v>
      </c>
      <c r="F424" s="59" t="n">
        <v>4390</v>
      </c>
      <c r="G424" s="59" t="n">
        <f aca="false">F424-H424</f>
        <v>4390</v>
      </c>
      <c r="H424" s="9" t="n">
        <f aca="false">0</f>
        <v>0</v>
      </c>
      <c r="J424" s="55"/>
      <c r="V424" s="0"/>
    </row>
    <row r="425" customFormat="false" ht="19.85" hidden="false" customHeight="true" outlineLevel="0" collapsed="false">
      <c r="A425" s="0" t="n">
        <v>31</v>
      </c>
      <c r="B425" s="34" t="n">
        <v>41122</v>
      </c>
      <c r="C425" s="56" t="n">
        <v>298771</v>
      </c>
      <c r="D425" s="29" t="s">
        <v>41</v>
      </c>
      <c r="E425" s="33" t="n">
        <f aca="false">IF(D425="totale",(C425/(A425*24))/F425,IF(D425="marché libre",(C425/(A425*24))/G425,"spécifier histo"))</f>
        <v>0.0914746981164426</v>
      </c>
      <c r="F425" s="59" t="n">
        <v>4390</v>
      </c>
      <c r="G425" s="59" t="n">
        <f aca="false">F425-H425</f>
        <v>4390</v>
      </c>
      <c r="H425" s="9" t="n">
        <f aca="false">0</f>
        <v>0</v>
      </c>
      <c r="J425" s="55"/>
      <c r="V425" s="0"/>
    </row>
    <row r="426" customFormat="false" ht="19.85" hidden="false" customHeight="true" outlineLevel="0" collapsed="false">
      <c r="A426" s="0" t="n">
        <v>30</v>
      </c>
      <c r="B426" s="31" t="n">
        <v>41153</v>
      </c>
      <c r="C426" s="56" t="n">
        <v>239961</v>
      </c>
      <c r="D426" s="29" t="s">
        <v>41</v>
      </c>
      <c r="E426" s="33" t="n">
        <f aca="false">IF(D426="totale",(C426/(A426*24))/F426,IF(D426="marché libre",(C426/(A426*24))/G426,"spécifier histo"))</f>
        <v>0.0759178056188307</v>
      </c>
      <c r="F426" s="59" t="n">
        <v>4390</v>
      </c>
      <c r="G426" s="59" t="n">
        <f aca="false">F426-H426</f>
        <v>4390</v>
      </c>
      <c r="H426" s="9" t="n">
        <f aca="false">0</f>
        <v>0</v>
      </c>
      <c r="J426" s="55"/>
      <c r="V426" s="0"/>
    </row>
    <row r="427" customFormat="false" ht="19.85" hidden="false" customHeight="true" outlineLevel="0" collapsed="false">
      <c r="A427" s="0" t="n">
        <v>31</v>
      </c>
      <c r="B427" s="34" t="n">
        <v>41183</v>
      </c>
      <c r="C427" s="56" t="n">
        <v>746973</v>
      </c>
      <c r="D427" s="29" t="s">
        <v>41</v>
      </c>
      <c r="E427" s="33" t="n">
        <f aca="false">IF(D427="totale",(C427/(A427*24))/F427,IF(D427="marché libre",(C427/(A427*24))/G427,"spécifier histo"))</f>
        <v>0.22870067602322</v>
      </c>
      <c r="F427" s="59" t="n">
        <v>4390</v>
      </c>
      <c r="G427" s="59" t="n">
        <f aca="false">F427-H427</f>
        <v>4390</v>
      </c>
      <c r="H427" s="9" t="n">
        <f aca="false">0</f>
        <v>0</v>
      </c>
      <c r="J427" s="55"/>
      <c r="V427" s="0"/>
    </row>
    <row r="428" customFormat="false" ht="19.85" hidden="false" customHeight="true" outlineLevel="0" collapsed="false">
      <c r="A428" s="0" t="n">
        <v>30</v>
      </c>
      <c r="B428" s="31" t="n">
        <v>41214</v>
      </c>
      <c r="C428" s="56" t="n">
        <v>908864</v>
      </c>
      <c r="D428" s="29" t="s">
        <v>41</v>
      </c>
      <c r="E428" s="33" t="n">
        <f aca="false">IF(D428="totale",(C428/(A428*24))/F428,IF(D428="marché libre",(C428/(A428*24))/G428,"spécifier histo"))</f>
        <v>0.287542394330549</v>
      </c>
      <c r="F428" s="59" t="n">
        <v>4390</v>
      </c>
      <c r="G428" s="59" t="n">
        <f aca="false">F428-H428</f>
        <v>4390</v>
      </c>
      <c r="H428" s="9" t="n">
        <f aca="false">0</f>
        <v>0</v>
      </c>
      <c r="J428" s="55"/>
      <c r="V428" s="0"/>
    </row>
    <row r="429" customFormat="false" ht="19.85" hidden="false" customHeight="true" outlineLevel="0" collapsed="false">
      <c r="A429" s="0" t="n">
        <v>31</v>
      </c>
      <c r="B429" s="34" t="n">
        <v>41244</v>
      </c>
      <c r="C429" s="56" t="n">
        <v>1973552</v>
      </c>
      <c r="D429" s="29" t="s">
        <v>41</v>
      </c>
      <c r="E429" s="33" t="n">
        <f aca="false">IF(D429="totale",(C429/(A429*24))/F429,IF(D429="marché libre",(C429/(A429*24))/G429,"spécifier histo"))</f>
        <v>0.604242290640997</v>
      </c>
      <c r="F429" s="59" t="n">
        <v>4390</v>
      </c>
      <c r="G429" s="59" t="n">
        <f aca="false">F429-H429</f>
        <v>4390</v>
      </c>
      <c r="H429" s="9" t="n">
        <f aca="false">0</f>
        <v>0</v>
      </c>
      <c r="J429" s="55"/>
      <c r="V429" s="0"/>
    </row>
    <row r="430" customFormat="false" ht="19.85" hidden="false" customHeight="true" outlineLevel="0" collapsed="false">
      <c r="A430" s="0" t="n">
        <v>31</v>
      </c>
      <c r="B430" s="31" t="n">
        <v>41275</v>
      </c>
      <c r="C430" s="56" t="n">
        <v>2276065</v>
      </c>
      <c r="D430" s="29" t="s">
        <v>41</v>
      </c>
      <c r="E430" s="33" t="n">
        <f aca="false">IF(D430="totale",(C430/(A430*24))/F430,IF(D430="marché libre",(C430/(A430*24))/G430,"spécifier histo"))</f>
        <v>0.696862676660053</v>
      </c>
      <c r="F430" s="59" t="n">
        <v>4390</v>
      </c>
      <c r="G430" s="59" t="n">
        <f aca="false">F430-H430</f>
        <v>4390</v>
      </c>
      <c r="H430" s="9" t="n">
        <f aca="false">0</f>
        <v>0</v>
      </c>
      <c r="J430" s="55"/>
      <c r="V430" s="0"/>
    </row>
    <row r="431" customFormat="false" ht="19.85" hidden="false" customHeight="true" outlineLevel="0" collapsed="false">
      <c r="A431" s="0" t="n">
        <v>28</v>
      </c>
      <c r="B431" s="34" t="n">
        <v>41306</v>
      </c>
      <c r="C431" s="56" t="n">
        <v>2756404</v>
      </c>
      <c r="D431" s="29" t="s">
        <v>41</v>
      </c>
      <c r="E431" s="33" t="n">
        <f aca="false">IF(D431="totale",(C431/(A431*24))/F431,IF(D431="marché libre",(C431/(A431*24))/G431,"spécifier histo"))</f>
        <v>0.934348899012908</v>
      </c>
      <c r="F431" s="59" t="n">
        <v>4390</v>
      </c>
      <c r="G431" s="59" t="n">
        <f aca="false">F431-H431</f>
        <v>4390</v>
      </c>
      <c r="H431" s="9" t="n">
        <f aca="false">0</f>
        <v>0</v>
      </c>
      <c r="J431" s="55"/>
      <c r="V431" s="0"/>
    </row>
    <row r="432" customFormat="false" ht="19.85" hidden="false" customHeight="true" outlineLevel="0" collapsed="false">
      <c r="A432" s="0" t="n">
        <v>31</v>
      </c>
      <c r="B432" s="31" t="n">
        <v>41334</v>
      </c>
      <c r="C432" s="56" t="n">
        <v>2879941</v>
      </c>
      <c r="D432" s="29" t="s">
        <v>41</v>
      </c>
      <c r="E432" s="33" t="n">
        <f aca="false">IF(D432="totale",(C432/(A432*24))/F432,IF(D432="marché libre",(C432/(A432*24))/G432,"spécifier histo"))</f>
        <v>0.88175135327112</v>
      </c>
      <c r="F432" s="59" t="n">
        <v>4390</v>
      </c>
      <c r="G432" s="59" t="n">
        <f aca="false">F432-H432</f>
        <v>4390</v>
      </c>
      <c r="H432" s="9" t="n">
        <f aca="false">0</f>
        <v>0</v>
      </c>
      <c r="J432" s="55"/>
      <c r="V432" s="0"/>
    </row>
    <row r="433" customFormat="false" ht="19.85" hidden="false" customHeight="true" outlineLevel="0" collapsed="false">
      <c r="A433" s="0" t="n">
        <v>30</v>
      </c>
      <c r="B433" s="34" t="n">
        <v>41365</v>
      </c>
      <c r="C433" s="56" t="n">
        <v>3062791</v>
      </c>
      <c r="D433" s="29" t="s">
        <v>41</v>
      </c>
      <c r="E433" s="33" t="n">
        <f aca="false">IF(D433="totale",(C433/(A433*24))/F433,IF(D433="marché libre",(C433/(A433*24))/G433,"spécifier histo"))</f>
        <v>0.968992343710453</v>
      </c>
      <c r="F433" s="59" t="n">
        <v>4390</v>
      </c>
      <c r="G433" s="59" t="n">
        <f aca="false">F433-H433</f>
        <v>4390</v>
      </c>
      <c r="H433" s="9" t="n">
        <f aca="false">0</f>
        <v>0</v>
      </c>
      <c r="J433" s="55"/>
      <c r="V433" s="0"/>
    </row>
    <row r="434" customFormat="false" ht="19.85" hidden="false" customHeight="true" outlineLevel="0" collapsed="false">
      <c r="A434" s="0" t="n">
        <v>31</v>
      </c>
      <c r="B434" s="31" t="n">
        <v>41395</v>
      </c>
      <c r="C434" s="56" t="n">
        <v>3190233</v>
      </c>
      <c r="D434" s="29" t="s">
        <v>41</v>
      </c>
      <c r="E434" s="33" t="n">
        <f aca="false">IF(D434="totale",(C434/(A434*24))/F434,IF(D434="marché libre",(C434/(A434*24))/G434,"spécifier histo"))</f>
        <v>0.976753435226688</v>
      </c>
      <c r="F434" s="59" t="n">
        <v>4390</v>
      </c>
      <c r="G434" s="59" t="n">
        <f aca="false">F434-H434</f>
        <v>4390</v>
      </c>
      <c r="H434" s="9" t="n">
        <f aca="false">0</f>
        <v>0</v>
      </c>
      <c r="J434" s="55"/>
      <c r="V434" s="0"/>
    </row>
    <row r="435" customFormat="false" ht="19.85" hidden="false" customHeight="true" outlineLevel="0" collapsed="false">
      <c r="A435" s="0" t="n">
        <v>30</v>
      </c>
      <c r="B435" s="34" t="n">
        <v>41426</v>
      </c>
      <c r="C435" s="56" t="n">
        <v>2655321</v>
      </c>
      <c r="D435" s="29" t="s">
        <v>41</v>
      </c>
      <c r="E435" s="33" t="n">
        <f aca="false">IF(D435="totale",(C435/(A435*24))/F435,IF(D435="marché libre",(C435/(A435*24))/G435,"spécifier histo"))</f>
        <v>0.840078777524677</v>
      </c>
      <c r="F435" s="59" t="n">
        <v>4390</v>
      </c>
      <c r="G435" s="59" t="n">
        <f aca="false">F435-H435</f>
        <v>4390</v>
      </c>
      <c r="H435" s="9" t="n">
        <f aca="false">0</f>
        <v>0</v>
      </c>
      <c r="J435" s="55"/>
      <c r="V435" s="0"/>
    </row>
    <row r="436" customFormat="false" ht="19.85" hidden="false" customHeight="true" outlineLevel="0" collapsed="false">
      <c r="A436" s="0" t="n">
        <v>31</v>
      </c>
      <c r="B436" s="31" t="n">
        <v>41456</v>
      </c>
      <c r="C436" s="56" t="n">
        <v>2323202</v>
      </c>
      <c r="D436" s="29" t="s">
        <v>41</v>
      </c>
      <c r="E436" s="33" t="n">
        <f aca="false">IF(D436="totale",(C436/(A436*24))/F436,IF(D436="marché libre",(C436/(A436*24))/G436,"spécifier histo"))</f>
        <v>0.711294608959757</v>
      </c>
      <c r="F436" s="59" t="n">
        <v>4390</v>
      </c>
      <c r="G436" s="59" t="n">
        <f aca="false">F436-H436</f>
        <v>4390</v>
      </c>
      <c r="H436" s="9" t="n">
        <f aca="false">0</f>
        <v>0</v>
      </c>
      <c r="J436" s="55"/>
      <c r="V436" s="0"/>
    </row>
    <row r="437" customFormat="false" ht="19.85" hidden="false" customHeight="true" outlineLevel="0" collapsed="false">
      <c r="A437" s="0" t="n">
        <v>31</v>
      </c>
      <c r="B437" s="34" t="n">
        <v>41487</v>
      </c>
      <c r="C437" s="56" t="n">
        <v>892877</v>
      </c>
      <c r="D437" s="29" t="s">
        <v>41</v>
      </c>
      <c r="E437" s="33" t="n">
        <f aca="false">IF(D437="totale",(C437/(A437*24))/F437,IF(D437="marché libre",(C437/(A437*24))/G437,"spécifier histo"))</f>
        <v>0.273372094447302</v>
      </c>
      <c r="F437" s="59" t="n">
        <v>4390</v>
      </c>
      <c r="G437" s="59" t="n">
        <f aca="false">F437-H437</f>
        <v>4390</v>
      </c>
      <c r="H437" s="9" t="n">
        <f aca="false">0</f>
        <v>0</v>
      </c>
      <c r="J437" s="385" t="s">
        <v>600</v>
      </c>
      <c r="V437" s="0"/>
    </row>
    <row r="438" customFormat="false" ht="19.85" hidden="false" customHeight="true" outlineLevel="0" collapsed="false">
      <c r="A438" s="0" t="n">
        <v>30</v>
      </c>
      <c r="B438" s="31" t="n">
        <v>41518</v>
      </c>
      <c r="C438" s="56" t="n">
        <v>668595</v>
      </c>
      <c r="D438" s="29" t="s">
        <v>41</v>
      </c>
      <c r="E438" s="33" t="n">
        <f aca="false">IF(D438="totale",(C438/(A438*24))/F438,IF(D438="marché libre",(C438/(A438*24))/G438,"spécifier histo"))</f>
        <v>0.211527145026576</v>
      </c>
      <c r="F438" s="59" t="n">
        <v>4390</v>
      </c>
      <c r="G438" s="59" t="n">
        <f aca="false">F438-H438</f>
        <v>4390</v>
      </c>
      <c r="H438" s="9" t="n">
        <f aca="false">0</f>
        <v>0</v>
      </c>
      <c r="I438" s="199"/>
      <c r="J438" s="385" t="s">
        <v>601</v>
      </c>
      <c r="V438" s="0"/>
    </row>
    <row r="439" customFormat="false" ht="19.85" hidden="false" customHeight="true" outlineLevel="0" collapsed="false">
      <c r="A439" s="0" t="n">
        <v>31</v>
      </c>
      <c r="B439" s="34" t="n">
        <v>41548</v>
      </c>
      <c r="C439" s="56" t="n">
        <v>558078</v>
      </c>
      <c r="D439" s="29" t="s">
        <v>41</v>
      </c>
      <c r="E439" s="33" t="n">
        <f aca="false">IF(D439="totale",(C439/(A439*24))/F439,IF(D439="marché libre",(C439/(A439*24))/G439,"spécifier histo"))</f>
        <v>0.170866705856419</v>
      </c>
      <c r="F439" s="59" t="n">
        <v>4390</v>
      </c>
      <c r="G439" s="59" t="n">
        <f aca="false">F439-H439</f>
        <v>3990</v>
      </c>
      <c r="H439" s="59" t="n">
        <v>400</v>
      </c>
      <c r="J439" s="385" t="s">
        <v>189</v>
      </c>
      <c r="V439" s="0"/>
    </row>
    <row r="440" customFormat="false" ht="19.85" hidden="false" customHeight="true" outlineLevel="0" collapsed="false">
      <c r="A440" s="0" t="n">
        <v>30</v>
      </c>
      <c r="B440" s="31" t="n">
        <v>41579</v>
      </c>
      <c r="C440" s="56" t="n">
        <v>2941289</v>
      </c>
      <c r="D440" s="29" t="s">
        <v>41</v>
      </c>
      <c r="E440" s="33" t="n">
        <f aca="false">IF(D440="totale",(C440/(A440*24))/F440,IF(D440="marché libre",(C440/(A440*24))/G440,"spécifier histo"))</f>
        <v>0.930552075423943</v>
      </c>
      <c r="F440" s="59" t="n">
        <v>4390</v>
      </c>
      <c r="G440" s="59" t="n">
        <f aca="false">F440-H440</f>
        <v>3990</v>
      </c>
      <c r="H440" s="59" t="n">
        <v>400</v>
      </c>
      <c r="J440" s="0"/>
      <c r="V440" s="0"/>
    </row>
    <row r="441" customFormat="false" ht="19.85" hidden="false" customHeight="true" outlineLevel="0" collapsed="false">
      <c r="A441" s="0" t="n">
        <v>31</v>
      </c>
      <c r="B441" s="34" t="n">
        <v>41609</v>
      </c>
      <c r="C441" s="56" t="n">
        <v>2345266</v>
      </c>
      <c r="D441" s="29" t="s">
        <v>41</v>
      </c>
      <c r="E441" s="33" t="n">
        <f aca="false">IF(D441="totale",(C441/(A441*24))/F441,IF(D441="marché libre",(C441/(A441*24))/G441,"spécifier histo"))</f>
        <v>0.718049942440052</v>
      </c>
      <c r="F441" s="59" t="n">
        <v>4390</v>
      </c>
      <c r="G441" s="59" t="n">
        <f aca="false">F441-H441</f>
        <v>3990</v>
      </c>
      <c r="H441" s="59" t="n">
        <v>400</v>
      </c>
      <c r="J441" s="0"/>
      <c r="V441" s="0"/>
    </row>
    <row r="442" customFormat="false" ht="19.85" hidden="false" customHeight="true" outlineLevel="0" collapsed="false">
      <c r="A442" s="0" t="n">
        <v>31</v>
      </c>
      <c r="B442" s="31" t="n">
        <v>41640</v>
      </c>
      <c r="C442" s="56" t="n">
        <v>2471259</v>
      </c>
      <c r="D442" s="29" t="s">
        <v>41</v>
      </c>
      <c r="E442" s="33" t="n">
        <f aca="false">IF(D442="totale",(C442/(A442*24))/F442,IF(D442="marché libre",(C442/(A442*24))/G442,"spécifier histo"))</f>
        <v>0.756625211257256</v>
      </c>
      <c r="F442" s="59" t="n">
        <v>4390</v>
      </c>
      <c r="G442" s="59" t="n">
        <f aca="false">F442-H442</f>
        <v>3990</v>
      </c>
      <c r="H442" s="59" t="n">
        <v>400</v>
      </c>
      <c r="J442" s="385"/>
      <c r="V442" s="0"/>
    </row>
    <row r="443" customFormat="false" ht="19.85" hidden="false" customHeight="true" outlineLevel="0" collapsed="false">
      <c r="A443" s="0" t="n">
        <v>28</v>
      </c>
      <c r="B443" s="34" t="n">
        <v>41671</v>
      </c>
      <c r="C443" s="56" t="n">
        <v>2473656</v>
      </c>
      <c r="D443" s="29" t="s">
        <v>41</v>
      </c>
      <c r="E443" s="33" t="n">
        <f aca="false">IF(D443="totale",(C443/(A443*24))/F443,IF(D443="marché libre",(C443/(A443*24))/G443,"spécifier histo"))</f>
        <v>0.838504718516108</v>
      </c>
      <c r="F443" s="59" t="n">
        <v>4390</v>
      </c>
      <c r="G443" s="59" t="n">
        <f aca="false">F443-H443</f>
        <v>3990</v>
      </c>
      <c r="H443" s="59" t="n">
        <v>400</v>
      </c>
      <c r="J443" s="385" t="s">
        <v>189</v>
      </c>
      <c r="V443" s="0"/>
    </row>
    <row r="444" customFormat="false" ht="19.85" hidden="false" customHeight="true" outlineLevel="0" collapsed="false">
      <c r="A444" s="0" t="n">
        <v>31</v>
      </c>
      <c r="B444" s="31" t="n">
        <v>41699</v>
      </c>
      <c r="C444" s="56" t="n">
        <v>2789095</v>
      </c>
      <c r="D444" s="29" t="s">
        <v>41</v>
      </c>
      <c r="E444" s="33" t="n">
        <f aca="false">IF(D444="totale",(C444/(A444*24))/F444,IF(D444="marché libre",(C444/(A444*24))/G444,"spécifier histo"))</f>
        <v>0.853937039214245</v>
      </c>
      <c r="F444" s="59" t="n">
        <v>4390</v>
      </c>
      <c r="G444" s="59" t="n">
        <f aca="false">F444-H444</f>
        <v>3990</v>
      </c>
      <c r="H444" s="59" t="n">
        <v>400</v>
      </c>
      <c r="J444" s="0"/>
      <c r="V444" s="0"/>
    </row>
    <row r="445" customFormat="false" ht="19.85" hidden="false" customHeight="true" outlineLevel="0" collapsed="false">
      <c r="A445" s="0" t="n">
        <v>30</v>
      </c>
      <c r="B445" s="34" t="n">
        <v>41730</v>
      </c>
      <c r="C445" s="56" t="n">
        <v>2908781</v>
      </c>
      <c r="D445" s="29" t="s">
        <v>41</v>
      </c>
      <c r="E445" s="33" t="n">
        <f aca="false">IF(D445="totale",(C445/(A445*24))/F445,IF(D445="marché libre",(C445/(A445*24))/G445,"spécifier histo"))</f>
        <v>0.920267337382941</v>
      </c>
      <c r="F445" s="59" t="n">
        <v>4390</v>
      </c>
      <c r="G445" s="59" t="n">
        <f aca="false">F445-H445</f>
        <v>3990</v>
      </c>
      <c r="H445" s="59" t="n">
        <v>400</v>
      </c>
      <c r="J445" s="55"/>
      <c r="V445" s="0"/>
    </row>
    <row r="446" customFormat="false" ht="19.85" hidden="false" customHeight="true" outlineLevel="0" collapsed="false">
      <c r="A446" s="0" t="n">
        <v>31</v>
      </c>
      <c r="B446" s="31" t="n">
        <v>41760</v>
      </c>
      <c r="C446" s="56" t="n">
        <v>2841611</v>
      </c>
      <c r="D446" s="29" t="s">
        <v>41</v>
      </c>
      <c r="E446" s="33" t="n">
        <f aca="false">IF(D446="totale",(C446/(A446*24))/F446,IF(D446="marché libre",(C446/(A446*24))/G446,"spécifier histo"))</f>
        <v>0.870015859602714</v>
      </c>
      <c r="F446" s="59" t="n">
        <v>4390</v>
      </c>
      <c r="G446" s="59" t="n">
        <f aca="false">F446-H446</f>
        <v>3990</v>
      </c>
      <c r="H446" s="59" t="n">
        <v>400</v>
      </c>
      <c r="J446" s="55"/>
      <c r="V446" s="0"/>
    </row>
    <row r="447" customFormat="false" ht="19.85" hidden="false" customHeight="true" outlineLevel="0" collapsed="false">
      <c r="A447" s="0" t="n">
        <v>30</v>
      </c>
      <c r="B447" s="34" t="n">
        <v>41791</v>
      </c>
      <c r="C447" s="56" t="n">
        <v>2584043</v>
      </c>
      <c r="D447" s="29" t="s">
        <v>41</v>
      </c>
      <c r="E447" s="33" t="n">
        <f aca="false">IF(D447="totale",(C447/(A447*24))/F447,IF(D447="marché libre",(C447/(A447*24))/G447,"spécifier histo"))</f>
        <v>0.817528157428499</v>
      </c>
      <c r="F447" s="59" t="n">
        <v>4390</v>
      </c>
      <c r="G447" s="59" t="n">
        <f aca="false">F447-H447</f>
        <v>3990</v>
      </c>
      <c r="H447" s="59" t="n">
        <v>400</v>
      </c>
      <c r="J447" s="322"/>
      <c r="V447" s="0"/>
    </row>
    <row r="448" customFormat="false" ht="19.85" hidden="false" customHeight="true" outlineLevel="0" collapsed="false">
      <c r="A448" s="0" t="n">
        <v>31</v>
      </c>
      <c r="B448" s="31" t="n">
        <v>41821</v>
      </c>
      <c r="C448" s="56" t="n">
        <v>2117247</v>
      </c>
      <c r="D448" s="29" t="s">
        <v>41</v>
      </c>
      <c r="E448" s="33" t="n">
        <f aca="false">IF(D448="totale",(C448/(A448*24))/F448,IF(D448="marché libre",(C448/(A448*24))/G448,"spécifier histo"))</f>
        <v>0.648237379675215</v>
      </c>
      <c r="F448" s="59" t="n">
        <v>4390</v>
      </c>
      <c r="G448" s="59" t="n">
        <f aca="false">F448-H448</f>
        <v>3990</v>
      </c>
      <c r="H448" s="59" t="n">
        <v>400</v>
      </c>
      <c r="J448" s="55"/>
      <c r="V448" s="0"/>
    </row>
    <row r="449" customFormat="false" ht="19.85" hidden="false" customHeight="true" outlineLevel="0" collapsed="false">
      <c r="A449" s="0" t="n">
        <v>31</v>
      </c>
      <c r="B449" s="34" t="n">
        <v>41852</v>
      </c>
      <c r="C449" s="56" t="n">
        <v>1326856</v>
      </c>
      <c r="D449" s="29" t="s">
        <v>41</v>
      </c>
      <c r="E449" s="33" t="n">
        <f aca="false">IF(D449="totale",(C449/(A449*24))/F449,IF(D449="marché libre",(C449/(A449*24))/G449,"spécifier histo"))</f>
        <v>0.406243417346364</v>
      </c>
      <c r="F449" s="59" t="n">
        <v>4390</v>
      </c>
      <c r="G449" s="59" t="n">
        <f aca="false">F449-H449</f>
        <v>3990</v>
      </c>
      <c r="H449" s="59" t="n">
        <v>400</v>
      </c>
      <c r="J449" s="55"/>
      <c r="V449" s="0"/>
    </row>
    <row r="450" customFormat="false" ht="19.85" hidden="false" customHeight="true" outlineLevel="0" collapsed="false">
      <c r="A450" s="0" t="n">
        <v>30</v>
      </c>
      <c r="B450" s="31" t="n">
        <v>41883</v>
      </c>
      <c r="C450" s="56" t="n">
        <v>436873</v>
      </c>
      <c r="D450" s="29" t="s">
        <v>41</v>
      </c>
      <c r="E450" s="33" t="n">
        <f aca="false">IF(D450="totale",(C450/(A450*24))/F450,IF(D450="marché libre",(C450/(A450*24))/G450,"spécifier histo"))</f>
        <v>0.13821595798532</v>
      </c>
      <c r="F450" s="59" t="n">
        <v>4390</v>
      </c>
      <c r="G450" s="59" t="n">
        <f aca="false">F450-H450</f>
        <v>3990</v>
      </c>
      <c r="H450" s="59" t="n">
        <v>400</v>
      </c>
      <c r="J450" s="55"/>
      <c r="V450" s="0"/>
    </row>
    <row r="451" customFormat="false" ht="19.85" hidden="false" customHeight="true" outlineLevel="0" collapsed="false">
      <c r="A451" s="0" t="n">
        <v>31</v>
      </c>
      <c r="B451" s="34" t="n">
        <v>41913</v>
      </c>
      <c r="C451" s="56" t="n">
        <v>261118</v>
      </c>
      <c r="D451" s="29" t="s">
        <v>41</v>
      </c>
      <c r="E451" s="33" t="n">
        <f aca="false">IF(D451="totale",(C451/(A451*24))/F451,IF(D451="marché libre",(C451/(A451*24))/G451,"spécifier histo"))</f>
        <v>0.079946481495089</v>
      </c>
      <c r="F451" s="59" t="n">
        <v>4390</v>
      </c>
      <c r="G451" s="59" t="n">
        <f aca="false">F451-H451</f>
        <v>3990</v>
      </c>
      <c r="H451" s="59" t="n">
        <v>400</v>
      </c>
      <c r="J451" s="55"/>
      <c r="V451" s="0"/>
    </row>
    <row r="452" customFormat="false" ht="19.85" hidden="false" customHeight="true" outlineLevel="0" collapsed="false">
      <c r="A452" s="0" t="n">
        <v>30</v>
      </c>
      <c r="B452" s="31" t="n">
        <v>41944</v>
      </c>
      <c r="C452" s="56" t="n">
        <v>270765</v>
      </c>
      <c r="D452" s="29" t="s">
        <v>41</v>
      </c>
      <c r="E452" s="33" t="n">
        <f aca="false">IF(D452="totale",(C452/(A452*24))/F452,IF(D452="marché libre",(C452/(A452*24))/G452,"spécifier histo"))</f>
        <v>0.0856634396355353</v>
      </c>
      <c r="F452" s="59" t="n">
        <v>4390</v>
      </c>
      <c r="G452" s="59" t="n">
        <f aca="false">F452-H452</f>
        <v>3280</v>
      </c>
      <c r="H452" s="59" t="n">
        <v>1110</v>
      </c>
      <c r="I452" s="0"/>
      <c r="J452" s="386" t="s">
        <v>602</v>
      </c>
      <c r="V452" s="0"/>
    </row>
    <row r="453" customFormat="false" ht="19.95" hidden="false" customHeight="true" outlineLevel="0" collapsed="false">
      <c r="A453" s="0" t="n">
        <v>31</v>
      </c>
      <c r="B453" s="34" t="n">
        <v>41974</v>
      </c>
      <c r="C453" s="56" t="n">
        <v>1514658</v>
      </c>
      <c r="D453" s="29" t="s">
        <v>41</v>
      </c>
      <c r="E453" s="33" t="n">
        <f aca="false">IF(D453="totale",(C453/(A453*24))/F453,IF(D453="marché libre",(C453/(A453*24))/G453,"spécifier histo"))</f>
        <v>0.463742743772503</v>
      </c>
      <c r="F453" s="59" t="n">
        <v>4390</v>
      </c>
      <c r="G453" s="59" t="n">
        <f aca="false">F453-H453</f>
        <v>3280</v>
      </c>
      <c r="H453" s="59" t="n">
        <v>1110</v>
      </c>
      <c r="I453" s="0"/>
      <c r="V453" s="0"/>
    </row>
    <row r="454" customFormat="false" ht="19.85" hidden="false" customHeight="true" outlineLevel="0" collapsed="false">
      <c r="A454" s="0" t="n">
        <v>31</v>
      </c>
      <c r="B454" s="31" t="n">
        <v>42005</v>
      </c>
      <c r="C454" s="56" t="n">
        <v>1069627</v>
      </c>
      <c r="D454" s="29" t="s">
        <v>41</v>
      </c>
      <c r="E454" s="33" t="n">
        <f aca="false">IF(D454="totale",(C454/(A454*24))/F454,IF(D454="marché libre",(C454/(A454*24))/G454,"spécifier histo"))</f>
        <v>0.327487630734563</v>
      </c>
      <c r="F454" s="59" t="n">
        <v>4390</v>
      </c>
      <c r="G454" s="59" t="n">
        <f aca="false">F454-H454</f>
        <v>3280</v>
      </c>
      <c r="H454" s="59" t="n">
        <v>1110</v>
      </c>
      <c r="J454" s="55"/>
      <c r="V454" s="0"/>
    </row>
    <row r="455" customFormat="false" ht="19.85" hidden="false" customHeight="true" outlineLevel="0" collapsed="false">
      <c r="A455" s="0" t="n">
        <v>28</v>
      </c>
      <c r="B455" s="34" t="n">
        <v>42036</v>
      </c>
      <c r="C455" s="56" t="n">
        <v>1924704</v>
      </c>
      <c r="D455" s="29" t="s">
        <v>41</v>
      </c>
      <c r="E455" s="33" t="n">
        <f aca="false">IF(D455="totale",(C455/(A455*24))/F455,IF(D455="marché libre",(C455/(A455*24))/G455,"spécifier histo"))</f>
        <v>0.652424341034819</v>
      </c>
      <c r="F455" s="59" t="n">
        <v>4390</v>
      </c>
      <c r="G455" s="59" t="n">
        <f aca="false">F455-H455</f>
        <v>3280</v>
      </c>
      <c r="H455" s="59" t="n">
        <v>1110</v>
      </c>
      <c r="J455" s="55"/>
      <c r="V455" s="0"/>
    </row>
    <row r="456" customFormat="false" ht="19.85" hidden="false" customHeight="true" outlineLevel="0" collapsed="false">
      <c r="A456" s="0" t="n">
        <v>31</v>
      </c>
      <c r="B456" s="31" t="n">
        <v>42064</v>
      </c>
      <c r="C456" s="56" t="n">
        <v>2799174</v>
      </c>
      <c r="D456" s="29" t="s">
        <v>41</v>
      </c>
      <c r="E456" s="33" t="n">
        <f aca="false">IF(D456="totale",(C456/(A456*24))/F456,IF(D456="marché libre",(C456/(A456*24))/G456,"spécifier histo"))</f>
        <v>0.85702292600485</v>
      </c>
      <c r="F456" s="59" t="n">
        <v>4390</v>
      </c>
      <c r="G456" s="59" t="n">
        <f aca="false">F456-H456</f>
        <v>3280</v>
      </c>
      <c r="H456" s="59" t="n">
        <v>1110</v>
      </c>
      <c r="J456" s="55"/>
      <c r="V456" s="0"/>
    </row>
    <row r="457" customFormat="false" ht="19.85" hidden="false" customHeight="true" outlineLevel="0" collapsed="false">
      <c r="A457" s="0" t="n">
        <v>30</v>
      </c>
      <c r="B457" s="34" t="n">
        <v>42095</v>
      </c>
      <c r="C457" s="56" t="n">
        <v>2701693</v>
      </c>
      <c r="D457" s="29" t="s">
        <v>41</v>
      </c>
      <c r="E457" s="33" t="n">
        <f aca="false">IF(D457="totale",(C457/(A457*24))/F457,IF(D457="marché libre",(C457/(A457*24))/G457,"spécifier histo"))</f>
        <v>0.854749746899519</v>
      </c>
      <c r="F457" s="59" t="n">
        <v>4390</v>
      </c>
      <c r="G457" s="59" t="n">
        <f aca="false">F457-H457</f>
        <v>3280</v>
      </c>
      <c r="H457" s="59" t="n">
        <v>1110</v>
      </c>
      <c r="J457" s="55"/>
      <c r="K457" s="0"/>
      <c r="V457" s="0"/>
    </row>
    <row r="458" customFormat="false" ht="19.85" hidden="false" customHeight="true" outlineLevel="0" collapsed="false">
      <c r="A458" s="0" t="n">
        <v>31</v>
      </c>
      <c r="B458" s="31" t="n">
        <v>42125</v>
      </c>
      <c r="C458" s="56" t="n">
        <v>2495263</v>
      </c>
      <c r="D458" s="29" t="s">
        <v>41</v>
      </c>
      <c r="E458" s="33" t="n">
        <f aca="false">IF(D458="totale",(C458/(A458*24))/F458,IF(D458="marché libre",(C458/(A458*24))/G458,"spécifier histo"))</f>
        <v>0.763974514414481</v>
      </c>
      <c r="F458" s="59" t="n">
        <v>4390</v>
      </c>
      <c r="G458" s="59" t="n">
        <f aca="false">F458-H458</f>
        <v>3280</v>
      </c>
      <c r="H458" s="59" t="n">
        <v>1110</v>
      </c>
      <c r="J458" s="55"/>
      <c r="K458" s="0"/>
      <c r="V458" s="0"/>
    </row>
    <row r="459" customFormat="false" ht="19.85" hidden="false" customHeight="true" outlineLevel="0" collapsed="false">
      <c r="A459" s="0" t="n">
        <v>30</v>
      </c>
      <c r="B459" s="34" t="n">
        <v>42156</v>
      </c>
      <c r="C459" s="56" t="n">
        <v>1842597</v>
      </c>
      <c r="D459" s="29" t="s">
        <v>41</v>
      </c>
      <c r="E459" s="33" t="n">
        <f aca="false">IF(D459="totale",(C459/(A459*24))/F459,IF(D459="marché libre",(C459/(A459*24))/G459,"spécifier histo"))</f>
        <v>0.582952733485194</v>
      </c>
      <c r="F459" s="59" t="n">
        <v>4390</v>
      </c>
      <c r="G459" s="59" t="n">
        <f aca="false">F459-H459</f>
        <v>3280</v>
      </c>
      <c r="H459" s="59" t="n">
        <v>1110</v>
      </c>
      <c r="J459" s="55"/>
      <c r="K459" s="0"/>
      <c r="V459" s="0"/>
    </row>
    <row r="460" customFormat="false" ht="19.85" hidden="false" customHeight="true" outlineLevel="0" collapsed="false">
      <c r="A460" s="0" t="n">
        <v>31</v>
      </c>
      <c r="B460" s="31" t="n">
        <v>42186</v>
      </c>
      <c r="C460" s="56" t="n">
        <v>650473</v>
      </c>
      <c r="D460" s="29" t="s">
        <v>41</v>
      </c>
      <c r="E460" s="33" t="n">
        <f aca="false">IF(D460="totale",(C460/(A460*24))/F460,IF(D460="marché libre",(C460/(A460*24))/G460,"spécifier histo"))</f>
        <v>0.199155277145027</v>
      </c>
      <c r="F460" s="59" t="n">
        <v>4390</v>
      </c>
      <c r="G460" s="59" t="n">
        <f aca="false">F460-H460</f>
        <v>3280</v>
      </c>
      <c r="H460" s="59" t="n">
        <v>1110</v>
      </c>
      <c r="J460" s="55"/>
      <c r="K460" s="0"/>
      <c r="V460" s="0"/>
    </row>
    <row r="461" customFormat="false" ht="19.85" hidden="false" customHeight="true" outlineLevel="0" collapsed="false">
      <c r="A461" s="0" t="n">
        <v>31</v>
      </c>
      <c r="B461" s="34" t="n">
        <v>42217</v>
      </c>
      <c r="C461" s="56" t="n">
        <v>786929</v>
      </c>
      <c r="D461" s="29" t="s">
        <v>41</v>
      </c>
      <c r="E461" s="33" t="n">
        <f aca="false">IF(D461="totale",(C461/(A461*24))/F461,IF(D461="marché libre",(C461/(A461*24))/G461,"spécifier histo"))</f>
        <v>0.240934002008475</v>
      </c>
      <c r="F461" s="59" t="n">
        <v>4390</v>
      </c>
      <c r="G461" s="59" t="n">
        <f aca="false">F461-H461</f>
        <v>3280</v>
      </c>
      <c r="H461" s="59" t="n">
        <v>1110</v>
      </c>
      <c r="J461" s="55"/>
      <c r="K461" s="0"/>
      <c r="V461" s="0"/>
    </row>
    <row r="462" customFormat="false" ht="19.85" hidden="false" customHeight="true" outlineLevel="0" collapsed="false">
      <c r="A462" s="0" t="n">
        <v>30</v>
      </c>
      <c r="B462" s="31" t="n">
        <v>42248</v>
      </c>
      <c r="C462" s="56" t="n">
        <v>484278</v>
      </c>
      <c r="D462" s="29" t="s">
        <v>41</v>
      </c>
      <c r="E462" s="33" t="n">
        <f aca="false">IF(D462="totale",(C462/(A462*24))/F462,IF(D462="marché libre",(C462/(A462*24))/G462,"spécifier histo"))</f>
        <v>0.153213743356112</v>
      </c>
      <c r="F462" s="59" t="n">
        <v>4390</v>
      </c>
      <c r="G462" s="59" t="n">
        <f aca="false">F462-H462</f>
        <v>3280</v>
      </c>
      <c r="H462" s="59" t="n">
        <v>1110</v>
      </c>
      <c r="J462" s="55"/>
      <c r="K462" s="0"/>
      <c r="V462" s="0"/>
    </row>
    <row r="463" customFormat="false" ht="19.85" hidden="false" customHeight="true" outlineLevel="0" collapsed="false">
      <c r="A463" s="0" t="n">
        <v>31</v>
      </c>
      <c r="B463" s="34" t="n">
        <v>42278</v>
      </c>
      <c r="C463" s="56" t="n">
        <v>574993</v>
      </c>
      <c r="D463" s="29" t="s">
        <v>41</v>
      </c>
      <c r="E463" s="33" t="n">
        <f aca="false">IF(D463="totale",(C463/(A463*24))/F463,IF(D463="marché libre",(C463/(A463*24))/G463,"spécifier histo"))</f>
        <v>0.176045570333358</v>
      </c>
      <c r="F463" s="59" t="n">
        <v>4390</v>
      </c>
      <c r="G463" s="59" t="n">
        <f aca="false">F463-H463</f>
        <v>3280</v>
      </c>
      <c r="H463" s="59" t="n">
        <v>1110</v>
      </c>
      <c r="J463" s="55"/>
      <c r="K463" s="0"/>
      <c r="V463" s="0"/>
    </row>
    <row r="464" customFormat="false" ht="19.85" hidden="false" customHeight="true" outlineLevel="0" collapsed="false">
      <c r="A464" s="0" t="n">
        <v>30</v>
      </c>
      <c r="B464" s="31" t="n">
        <v>42309</v>
      </c>
      <c r="C464" s="56" t="n">
        <v>797472</v>
      </c>
      <c r="D464" s="29" t="s">
        <v>41</v>
      </c>
      <c r="E464" s="33" t="n">
        <f aca="false">IF(D464="totale",(C464/(A464*24))/F464,IF(D464="marché libre",(C464/(A464*24))/G464,"spécifier histo"))</f>
        <v>0.252300683371298</v>
      </c>
      <c r="F464" s="59" t="n">
        <v>4390</v>
      </c>
      <c r="G464" s="59" t="n">
        <f aca="false">F464-H464</f>
        <v>3280</v>
      </c>
      <c r="H464" s="59" t="n">
        <v>1110</v>
      </c>
      <c r="J464" s="55"/>
      <c r="K464" s="0"/>
      <c r="V464" s="0"/>
    </row>
    <row r="465" customFormat="false" ht="19.85" hidden="false" customHeight="true" outlineLevel="0" collapsed="false">
      <c r="A465" s="0" t="n">
        <v>31</v>
      </c>
      <c r="B465" s="34" t="n">
        <v>42339</v>
      </c>
      <c r="C465" s="56" t="n">
        <v>919389</v>
      </c>
      <c r="D465" s="29" t="s">
        <v>41</v>
      </c>
      <c r="E465" s="33" t="n">
        <f aca="false">IF(D465="totale",(C465/(A465*24))/F465,IF(D465="marché libre",(C465/(A465*24))/G465,"spécifier histo"))</f>
        <v>0.281489271805423</v>
      </c>
      <c r="F465" s="59" t="n">
        <v>4390</v>
      </c>
      <c r="G465" s="59" t="n">
        <f aca="false">F465-H465</f>
        <v>3280</v>
      </c>
      <c r="H465" s="59" t="n">
        <v>1110</v>
      </c>
      <c r="J465" s="55"/>
      <c r="K465" s="0"/>
      <c r="V465" s="0"/>
    </row>
    <row r="466" customFormat="false" ht="19.85" hidden="false" customHeight="true" outlineLevel="0" collapsed="false">
      <c r="A466" s="0" t="n">
        <v>31</v>
      </c>
      <c r="B466" s="31" t="n">
        <v>42370</v>
      </c>
      <c r="C466" s="56" t="n">
        <v>1520230</v>
      </c>
      <c r="D466" s="29" t="s">
        <v>41</v>
      </c>
      <c r="E466" s="33" t="n">
        <f aca="false">IF(D466="totale",(C466/(A466*24))/F466,IF(D466="marché libre",(C466/(A466*24))/G466,"spécifier histo"))</f>
        <v>0.465448722659025</v>
      </c>
      <c r="F466" s="59" t="n">
        <v>4390</v>
      </c>
      <c r="G466" s="59" t="n">
        <f aca="false">F466-H466</f>
        <v>3280</v>
      </c>
      <c r="H466" s="59" t="n">
        <v>1110</v>
      </c>
      <c r="J466" s="55"/>
      <c r="K466" s="0"/>
      <c r="V466" s="0"/>
    </row>
    <row r="467" customFormat="false" ht="19.85" hidden="false" customHeight="true" outlineLevel="0" collapsed="false">
      <c r="A467" s="0" t="n">
        <v>28</v>
      </c>
      <c r="B467" s="34" t="n">
        <v>42401</v>
      </c>
      <c r="C467" s="56" t="n">
        <v>2036626</v>
      </c>
      <c r="D467" s="29" t="s">
        <v>41</v>
      </c>
      <c r="E467" s="33" t="n">
        <f aca="false">IF(D467="totale",(C467/(A467*24))/F467,IF(D467="marché libre",(C467/(A467*24))/G467,"spécifier histo"))</f>
        <v>0.690362973207506</v>
      </c>
      <c r="F467" s="59" t="n">
        <v>4390</v>
      </c>
      <c r="G467" s="59" t="n">
        <f aca="false">F467-H467</f>
        <v>3280</v>
      </c>
      <c r="H467" s="59" t="n">
        <v>1110</v>
      </c>
      <c r="J467" s="387"/>
      <c r="K467" s="0"/>
      <c r="V467" s="0"/>
    </row>
    <row r="468" customFormat="false" ht="19.85" hidden="false" customHeight="true" outlineLevel="0" collapsed="false">
      <c r="A468" s="0" t="n">
        <v>31</v>
      </c>
      <c r="B468" s="31" t="n">
        <v>42430</v>
      </c>
      <c r="C468" s="56" t="n">
        <v>2284987</v>
      </c>
      <c r="D468" s="29" t="s">
        <v>41</v>
      </c>
      <c r="E468" s="33" t="n">
        <f aca="false">IF(D468="totale",(C468/(A468*24))/F468,IF(D468="marché libre",(C468/(A468*24))/G468,"spécifier histo"))</f>
        <v>0.699594324834056</v>
      </c>
      <c r="F468" s="59" t="n">
        <v>4390</v>
      </c>
      <c r="G468" s="59" t="n">
        <f aca="false">F468-H468</f>
        <v>3280</v>
      </c>
      <c r="H468" s="59" t="n">
        <v>1110</v>
      </c>
      <c r="I468" s="0"/>
      <c r="K468" s="0"/>
    </row>
    <row r="469" customFormat="false" ht="19.85" hidden="false" customHeight="true" outlineLevel="0" collapsed="false">
      <c r="A469" s="0" t="n">
        <v>30</v>
      </c>
      <c r="B469" s="34" t="n">
        <v>42461</v>
      </c>
      <c r="C469" s="56" t="n">
        <v>2434003</v>
      </c>
      <c r="D469" s="29" t="s">
        <v>41</v>
      </c>
      <c r="E469" s="33" t="n">
        <f aca="false">IF(D469="totale",(C469/(A469*24))/F469,IF(D469="marché libre",(C469/(A469*24))/G469,"spécifier histo"))</f>
        <v>0.770059162237408</v>
      </c>
      <c r="F469" s="59" t="n">
        <v>4390</v>
      </c>
      <c r="G469" s="59" t="n">
        <f aca="false">F469-H469</f>
        <v>3280</v>
      </c>
      <c r="H469" s="59" t="n">
        <v>1110</v>
      </c>
      <c r="I469" s="0"/>
    </row>
    <row r="470" customFormat="false" ht="19.85" hidden="false" customHeight="true" outlineLevel="0" collapsed="false">
      <c r="A470" s="0" t="n">
        <v>31</v>
      </c>
      <c r="B470" s="31" t="n">
        <v>42491</v>
      </c>
      <c r="C470" s="56" t="n">
        <v>2400898</v>
      </c>
      <c r="D470" s="29" t="s">
        <v>41</v>
      </c>
      <c r="E470" s="33" t="n">
        <f aca="false">IF(D470="totale",(C470/(A470*24))/F470,IF(D470="marché libre",(C470/(A470*24))/G470,"spécifier histo"))</f>
        <v>0.735082788350846</v>
      </c>
      <c r="F470" s="59" t="n">
        <v>4390</v>
      </c>
      <c r="G470" s="59" t="n">
        <f aca="false">F470-H470</f>
        <v>3280</v>
      </c>
      <c r="H470" s="59" t="n">
        <v>1110</v>
      </c>
      <c r="J470" s="55"/>
      <c r="K470" s="63"/>
    </row>
    <row r="471" customFormat="false" ht="19.85" hidden="false" customHeight="true" outlineLevel="0" collapsed="false">
      <c r="A471" s="0" t="n">
        <v>30</v>
      </c>
      <c r="B471" s="34" t="n">
        <v>42522</v>
      </c>
      <c r="C471" s="56" t="n">
        <v>1964669</v>
      </c>
      <c r="D471" s="29" t="s">
        <v>41</v>
      </c>
      <c r="E471" s="33" t="n">
        <f aca="false">IF(D471="totale",(C471/(A471*24))/F471,IF(D471="marché libre",(C471/(A471*24))/G471,"spécifier histo"))</f>
        <v>0.621573335864338</v>
      </c>
      <c r="F471" s="59" t="n">
        <v>4390</v>
      </c>
      <c r="G471" s="59" t="n">
        <f aca="false">F471-H471</f>
        <v>3280</v>
      </c>
      <c r="H471" s="59" t="n">
        <v>1110</v>
      </c>
      <c r="J471" s="55"/>
      <c r="K471" s="63"/>
    </row>
    <row r="472" customFormat="false" ht="19.85" hidden="false" customHeight="true" outlineLevel="0" collapsed="false">
      <c r="A472" s="0" t="n">
        <v>31</v>
      </c>
      <c r="B472" s="31" t="n">
        <v>42552</v>
      </c>
      <c r="C472" s="56" t="n">
        <v>1304378</v>
      </c>
      <c r="D472" s="29" t="s">
        <v>41</v>
      </c>
      <c r="E472" s="33" t="n">
        <f aca="false">IF(D472="totale",(C472/(A472*24))/F472,IF(D472="marché libre",(C472/(A472*24))/G472,"spécifier histo"))</f>
        <v>0.399361329512333</v>
      </c>
      <c r="F472" s="59" t="n">
        <v>4390</v>
      </c>
      <c r="G472" s="59" t="n">
        <f aca="false">F472-H472</f>
        <v>3280</v>
      </c>
      <c r="H472" s="59" t="n">
        <v>1110</v>
      </c>
      <c r="J472" s="55"/>
      <c r="K472" s="63"/>
    </row>
    <row r="473" customFormat="false" ht="19.85" hidden="false" customHeight="true" outlineLevel="0" collapsed="false">
      <c r="A473" s="0" t="n">
        <v>31</v>
      </c>
      <c r="B473" s="34" t="n">
        <v>42583</v>
      </c>
      <c r="C473" s="56" t="n">
        <v>447748</v>
      </c>
      <c r="D473" s="29" t="s">
        <v>41</v>
      </c>
      <c r="E473" s="33" t="n">
        <f aca="false">IF(D473="totale",(C473/(A473*24))/F473,IF(D473="marché libre",(C473/(A473*24))/G473,"spécifier histo"))</f>
        <v>0.137086976755578</v>
      </c>
      <c r="F473" s="59" t="n">
        <v>4390</v>
      </c>
      <c r="G473" s="59" t="n">
        <f aca="false">F473-H473</f>
        <v>3280</v>
      </c>
      <c r="H473" s="59" t="n">
        <v>1110</v>
      </c>
      <c r="J473" s="55"/>
    </row>
    <row r="474" customFormat="false" ht="19.85" hidden="false" customHeight="true" outlineLevel="0" collapsed="false">
      <c r="A474" s="0" t="n">
        <v>30</v>
      </c>
      <c r="B474" s="31" t="n">
        <v>42614</v>
      </c>
      <c r="C474" s="56" t="n">
        <v>338881</v>
      </c>
      <c r="D474" s="29" t="s">
        <v>41</v>
      </c>
      <c r="E474" s="33" t="n">
        <f aca="false">IF(D474="totale",(C474/(A474*24))/F474,IF(D474="marché libre",(C474/(A474*24))/G474,"spécifier histo"))</f>
        <v>0.107213680080992</v>
      </c>
      <c r="F474" s="59" t="n">
        <v>4390</v>
      </c>
      <c r="G474" s="59" t="n">
        <f aca="false">F474-H474</f>
        <v>3280</v>
      </c>
      <c r="H474" s="59" t="n">
        <v>1110</v>
      </c>
      <c r="J474" s="55"/>
    </row>
    <row r="475" customFormat="false" ht="19.85" hidden="false" customHeight="true" outlineLevel="0" collapsed="false">
      <c r="A475" s="0" t="n">
        <v>31</v>
      </c>
      <c r="B475" s="34" t="n">
        <v>42644</v>
      </c>
      <c r="C475" s="56" t="n">
        <v>280396</v>
      </c>
      <c r="D475" s="29" t="s">
        <v>41</v>
      </c>
      <c r="E475" s="33" t="n">
        <f aca="false">IF(D475="totale",(C475/(A475*24))/F475,IF(D475="marché libre",(C475/(A475*24))/G475,"spécifier histo"))</f>
        <v>0.0858488255321234</v>
      </c>
      <c r="F475" s="59" t="n">
        <v>4390</v>
      </c>
      <c r="G475" s="59" t="n">
        <f aca="false">F475-H475</f>
        <v>3280</v>
      </c>
      <c r="H475" s="59" t="n">
        <v>1110</v>
      </c>
      <c r="J475" s="55"/>
    </row>
    <row r="476" customFormat="false" ht="19.85" hidden="false" customHeight="true" outlineLevel="0" collapsed="false">
      <c r="A476" s="0" t="n">
        <v>30</v>
      </c>
      <c r="B476" s="31" t="n">
        <v>42675</v>
      </c>
      <c r="C476" s="56" t="n">
        <v>1053185</v>
      </c>
      <c r="D476" s="29" t="s">
        <v>41</v>
      </c>
      <c r="E476" s="33" t="n">
        <f aca="false">IF(D476="totale",(C476/(A476*24))/F476,IF(D476="marché libre",(C476/(A476*24))/G476,"spécifier histo"))</f>
        <v>0.333202037458871</v>
      </c>
      <c r="F476" s="59" t="n">
        <v>4390</v>
      </c>
      <c r="G476" s="59" t="n">
        <f aca="false">F476-H476</f>
        <v>3280</v>
      </c>
      <c r="H476" s="59" t="n">
        <v>1110</v>
      </c>
      <c r="J476" s="55"/>
    </row>
    <row r="477" customFormat="false" ht="19.85" hidden="false" customHeight="true" outlineLevel="0" collapsed="false">
      <c r="A477" s="0" t="n">
        <v>31</v>
      </c>
      <c r="B477" s="34" t="n">
        <v>42705</v>
      </c>
      <c r="C477" s="56" t="n">
        <v>298255</v>
      </c>
      <c r="D477" s="29" t="s">
        <v>41</v>
      </c>
      <c r="E477" s="33" t="n">
        <f aca="false">IF(D477="totale",(C477/(A477*24))/F477,IF(D477="marché libre",(C477/(A477*24))/G477,"spécifier histo"))</f>
        <v>0.0913167144291768</v>
      </c>
      <c r="F477" s="59" t="n">
        <v>4390</v>
      </c>
      <c r="G477" s="59" t="n">
        <f aca="false">F477-H477</f>
        <v>3280</v>
      </c>
      <c r="H477" s="59" t="n">
        <v>1110</v>
      </c>
      <c r="J477" s="55"/>
    </row>
    <row r="478" customFormat="false" ht="19.85" hidden="false" customHeight="true" outlineLevel="0" collapsed="false">
      <c r="A478" s="0" t="n">
        <v>31</v>
      </c>
      <c r="B478" s="31" t="n">
        <v>42736</v>
      </c>
      <c r="C478" s="56" t="n">
        <v>206490</v>
      </c>
      <c r="D478" s="388" t="s">
        <v>42</v>
      </c>
      <c r="E478" s="188" t="n">
        <f aca="false">IF(D478="totale",(C478/(A478*24))/F478,IF(D478="marché libre",(C478/(A478*24))/G478,"spécifier histo"))</f>
        <v>0.0846159520062943</v>
      </c>
      <c r="F478" s="189" t="n">
        <v>4390</v>
      </c>
      <c r="G478" s="189" t="n">
        <f aca="false">F478-H478</f>
        <v>3280</v>
      </c>
      <c r="H478" s="189" t="n">
        <v>1110</v>
      </c>
      <c r="J478" s="30"/>
    </row>
    <row r="479" customFormat="false" ht="19.85" hidden="false" customHeight="true" outlineLevel="0" collapsed="false">
      <c r="A479" s="0" t="n">
        <v>28</v>
      </c>
      <c r="B479" s="34" t="n">
        <v>42767</v>
      </c>
      <c r="C479" s="56" t="n">
        <v>954496</v>
      </c>
      <c r="D479" s="250" t="s">
        <v>42</v>
      </c>
      <c r="E479" s="33" t="n">
        <f aca="false">IF(D479="totale",(C479/(A479*24))/F479,IF(D479="marché libre",(C479/(A479*24))/G479,"spécifier histo"))</f>
        <v>0.433042973286876</v>
      </c>
      <c r="F479" s="59" t="n">
        <v>4390</v>
      </c>
      <c r="G479" s="59" t="n">
        <f aca="false">F479-H479</f>
        <v>3280</v>
      </c>
      <c r="H479" s="59" t="n">
        <v>1110</v>
      </c>
      <c r="J479" s="55"/>
    </row>
    <row r="480" customFormat="false" ht="19.85" hidden="false" customHeight="true" outlineLevel="0" collapsed="false">
      <c r="A480" s="0" t="n">
        <v>31</v>
      </c>
      <c r="B480" s="31" t="n">
        <v>42795</v>
      </c>
      <c r="C480" s="56" t="n">
        <v>1081189</v>
      </c>
      <c r="D480" s="250" t="s">
        <v>42</v>
      </c>
      <c r="E480" s="33" t="n">
        <f aca="false">IF(D480="totale",(C480/(A480*24))/F480,IF(D480="marché libre",(C480/(A480*24))/G480,"spécifier histo"))</f>
        <v>0.443052140702859</v>
      </c>
      <c r="F480" s="59" t="n">
        <v>4390</v>
      </c>
      <c r="G480" s="59" t="n">
        <f aca="false">F480-H480</f>
        <v>3280</v>
      </c>
      <c r="H480" s="59" t="n">
        <v>1110</v>
      </c>
      <c r="I480" s="0"/>
      <c r="J480" s="0"/>
    </row>
    <row r="481" customFormat="false" ht="19.85" hidden="false" customHeight="true" outlineLevel="0" collapsed="false">
      <c r="A481" s="0" t="n">
        <v>30</v>
      </c>
      <c r="B481" s="34" t="n">
        <v>42826</v>
      </c>
      <c r="C481" s="56" t="n">
        <v>848776</v>
      </c>
      <c r="D481" s="250" t="s">
        <v>42</v>
      </c>
      <c r="E481" s="33" t="n">
        <f aca="false">IF(D481="totale",(C481/(A481*24))/F481,IF(D481="marché libre",(C481/(A481*24))/G481,"spécifier histo"))</f>
        <v>0.359407181571816</v>
      </c>
      <c r="F481" s="59" t="n">
        <v>4390</v>
      </c>
      <c r="G481" s="59" t="n">
        <f aca="false">F481-H481</f>
        <v>3280</v>
      </c>
      <c r="H481" s="59" t="n">
        <v>1110</v>
      </c>
      <c r="I481" s="0"/>
      <c r="J481" s="0"/>
    </row>
    <row r="482" customFormat="false" ht="19.85" hidden="false" customHeight="true" outlineLevel="0" collapsed="false">
      <c r="A482" s="0" t="n">
        <v>31</v>
      </c>
      <c r="B482" s="31" t="n">
        <v>42856</v>
      </c>
      <c r="C482" s="56" t="n">
        <v>1140249</v>
      </c>
      <c r="D482" s="250" t="s">
        <v>42</v>
      </c>
      <c r="E482" s="33" t="n">
        <f aca="false">IF(D482="totale",(C482/(A482*24))/F482,IF(D482="marché libre",(C482/(A482*24))/G482,"spécifier histo"))</f>
        <v>0.467253884736428</v>
      </c>
      <c r="F482" s="59" t="n">
        <v>4390</v>
      </c>
      <c r="G482" s="59" t="n">
        <f aca="false">F482-H482</f>
        <v>3280</v>
      </c>
      <c r="H482" s="59" t="n">
        <v>1110</v>
      </c>
      <c r="I482" s="0"/>
      <c r="J482" s="0"/>
    </row>
    <row r="483" customFormat="false" ht="22.45" hidden="false" customHeight="true" outlineLevel="0" collapsed="false">
      <c r="A483" s="0" t="n">
        <v>30</v>
      </c>
      <c r="B483" s="34" t="n">
        <v>42887</v>
      </c>
      <c r="C483" s="56" t="n">
        <v>787488</v>
      </c>
      <c r="D483" s="250" t="s">
        <v>42</v>
      </c>
      <c r="E483" s="33" t="n">
        <f aca="false">IF(D483="totale",(C483/(A483*24))/F483,IF(D483="marché libre",(C483/(A483*24))/G483,"spécifier histo"))</f>
        <v>0.333455284552845</v>
      </c>
      <c r="F483" s="59" t="n">
        <v>4390</v>
      </c>
      <c r="G483" s="59" t="n">
        <f aca="false">F483-H483</f>
        <v>3280</v>
      </c>
      <c r="H483" s="59" t="n">
        <v>1110</v>
      </c>
      <c r="I483" s="0"/>
      <c r="J483" s="0"/>
    </row>
    <row r="484" customFormat="false" ht="21.65" hidden="false" customHeight="true" outlineLevel="0" collapsed="false">
      <c r="A484" s="0" t="n">
        <v>31</v>
      </c>
      <c r="B484" s="31" t="n">
        <v>42917</v>
      </c>
      <c r="C484" s="56" t="n">
        <v>128977</v>
      </c>
      <c r="D484" s="250" t="s">
        <v>42</v>
      </c>
      <c r="E484" s="33" t="n">
        <f aca="false">IF(D484="totale",(C484/(A484*24))/F484,IF(D484="marché libre",(C484/(A484*24))/G484,"spécifier histo"))</f>
        <v>0.0528524947547863</v>
      </c>
      <c r="F484" s="59" t="n">
        <v>4390</v>
      </c>
      <c r="G484" s="59" t="n">
        <f aca="false">F484-H484</f>
        <v>3280</v>
      </c>
      <c r="H484" s="59" t="n">
        <v>1110</v>
      </c>
      <c r="I484" s="0"/>
      <c r="J484" s="0"/>
    </row>
    <row r="485" customFormat="false" ht="21.65" hidden="false" customHeight="true" outlineLevel="0" collapsed="false">
      <c r="A485" s="0" t="n">
        <v>31</v>
      </c>
      <c r="B485" s="34" t="n">
        <v>42948</v>
      </c>
      <c r="C485" s="56" t="n">
        <v>0</v>
      </c>
      <c r="D485" s="250" t="s">
        <v>42</v>
      </c>
      <c r="E485" s="33" t="n">
        <f aca="false">IF(D485="totale",(C485/(A485*24))/F485,IF(D485="marché libre",(C485/(A485*24))/G485,"spécifier histo"))</f>
        <v>0</v>
      </c>
      <c r="F485" s="59" t="n">
        <v>4390</v>
      </c>
      <c r="G485" s="59" t="n">
        <f aca="false">F485-H485</f>
        <v>3280</v>
      </c>
      <c r="H485" s="59" t="n">
        <v>1110</v>
      </c>
      <c r="I485" s="0"/>
      <c r="J485" s="0"/>
    </row>
    <row r="486" customFormat="false" ht="21.65" hidden="false" customHeight="true" outlineLevel="0" collapsed="false">
      <c r="A486" s="0" t="n">
        <v>30</v>
      </c>
      <c r="B486" s="31" t="n">
        <v>42979</v>
      </c>
      <c r="C486" s="56" t="n">
        <v>0</v>
      </c>
      <c r="D486" s="250" t="s">
        <v>42</v>
      </c>
      <c r="E486" s="33" t="n">
        <f aca="false">IF(D486="totale",(C486/(A486*24))/F486,IF(D486="marché libre",(C486/(A486*24))/G486,"spécifier histo"))</f>
        <v>0</v>
      </c>
      <c r="F486" s="59" t="n">
        <v>4390</v>
      </c>
      <c r="G486" s="59" t="n">
        <f aca="false">F486-H486</f>
        <v>2230</v>
      </c>
      <c r="H486" s="58" t="n">
        <v>2160</v>
      </c>
      <c r="I486" s="0"/>
      <c r="J486" s="389" t="s">
        <v>603</v>
      </c>
      <c r="K486" s="55"/>
    </row>
    <row r="487" customFormat="false" ht="21.65" hidden="false" customHeight="true" outlineLevel="0" collapsed="false">
      <c r="A487" s="0" t="n">
        <v>31</v>
      </c>
      <c r="B487" s="34" t="n">
        <v>43009</v>
      </c>
      <c r="C487" s="56" t="n">
        <v>0</v>
      </c>
      <c r="D487" s="250" t="s">
        <v>42</v>
      </c>
      <c r="E487" s="33" t="n">
        <f aca="false">IF(D487="totale",(C487/(A487*24))/F487,IF(D487="marché libre",(C487/(A487*24))/G487,"spécifier histo"))</f>
        <v>0</v>
      </c>
      <c r="F487" s="59" t="n">
        <v>4390</v>
      </c>
      <c r="G487" s="59" t="n">
        <f aca="false">F487-H487</f>
        <v>2230</v>
      </c>
      <c r="H487" s="58" t="n">
        <v>2160</v>
      </c>
      <c r="J487" s="55"/>
    </row>
    <row r="488" customFormat="false" ht="21.65" hidden="false" customHeight="true" outlineLevel="0" collapsed="false">
      <c r="A488" s="0" t="n">
        <v>30</v>
      </c>
      <c r="B488" s="31" t="n">
        <v>43040</v>
      </c>
      <c r="C488" s="56" t="n">
        <v>143345</v>
      </c>
      <c r="D488" s="250" t="s">
        <v>42</v>
      </c>
      <c r="E488" s="33" t="n">
        <f aca="false">IF(D488="totale",(C488/(A488*24))/F488,IF(D488="marché libre",(C488/(A488*24))/G488,"spécifier histo"))</f>
        <v>0.0892781514698555</v>
      </c>
      <c r="F488" s="59" t="n">
        <v>4390</v>
      </c>
      <c r="G488" s="59" t="n">
        <f aca="false">F488-H488</f>
        <v>2230</v>
      </c>
      <c r="H488" s="58" t="n">
        <v>2160</v>
      </c>
      <c r="J488" s="55"/>
    </row>
    <row r="489" customFormat="false" ht="21.65" hidden="false" customHeight="true" outlineLevel="0" collapsed="false">
      <c r="A489" s="0" t="n">
        <v>31</v>
      </c>
      <c r="B489" s="34" t="n">
        <v>43070</v>
      </c>
      <c r="C489" s="56" t="n">
        <v>396125</v>
      </c>
      <c r="D489" s="250" t="s">
        <v>42</v>
      </c>
      <c r="E489" s="33" t="n">
        <f aca="false">IF(D489="totale",(C489/(A489*24))/F489,IF(D489="marché libre",(C489/(A489*24))/G489,"spécifier histo"))</f>
        <v>0.238756087564492</v>
      </c>
      <c r="F489" s="59" t="n">
        <v>4390</v>
      </c>
      <c r="G489" s="59" t="n">
        <f aca="false">F489-H489</f>
        <v>2230</v>
      </c>
      <c r="H489" s="58" t="n">
        <v>2160</v>
      </c>
      <c r="J489" s="55"/>
    </row>
    <row r="490" customFormat="false" ht="28.35" hidden="false" customHeight="true" outlineLevel="0" collapsed="false">
      <c r="A490" s="0" t="n">
        <v>31</v>
      </c>
      <c r="B490" s="31" t="n">
        <v>43101</v>
      </c>
      <c r="C490" s="56" t="n">
        <v>961516</v>
      </c>
      <c r="D490" s="250" t="s">
        <v>42</v>
      </c>
      <c r="E490" s="33" t="n">
        <f aca="false">IF(D490="totale",(C490/(A490*24))/F490,IF(D490="marché libre",(C490/(A490*24))/G490,"spécifier histo"))</f>
        <v>0.579533728723661</v>
      </c>
      <c r="F490" s="59" t="n">
        <v>4390</v>
      </c>
      <c r="G490" s="59" t="n">
        <f aca="false">F490-H490</f>
        <v>2230</v>
      </c>
      <c r="H490" s="58" t="n">
        <v>2160</v>
      </c>
      <c r="J490" s="30"/>
    </row>
    <row r="491" customFormat="false" ht="28.35" hidden="false" customHeight="true" outlineLevel="0" collapsed="false">
      <c r="A491" s="0"/>
    </row>
    <row r="492" customFormat="false" ht="28.35" hidden="false" customHeight="true" outlineLevel="0" collapsed="false">
      <c r="A492" s="0"/>
    </row>
    <row r="493" customFormat="false" ht="28.35" hidden="false" customHeight="true" outlineLevel="0" collapsed="false">
      <c r="A493" s="0"/>
    </row>
    <row r="494" customFormat="false" ht="28.35" hidden="false" customHeight="true" outlineLevel="0" collapsed="false">
      <c r="A494" s="0"/>
    </row>
    <row r="495" customFormat="false" ht="28.35" hidden="false" customHeight="true" outlineLevel="0" collapsed="false">
      <c r="A495" s="0"/>
    </row>
    <row r="496" customFormat="false" ht="28.35" hidden="false" customHeight="true" outlineLevel="0" collapsed="false">
      <c r="A496" s="0"/>
    </row>
    <row r="497" customFormat="false" ht="28.35" hidden="false" customHeight="true" outlineLevel="0" collapsed="false">
      <c r="A497" s="0"/>
    </row>
    <row r="498" customFormat="false" ht="28.35" hidden="false" customHeight="true" outlineLevel="0" collapsed="false">
      <c r="A498" s="0"/>
    </row>
    <row r="499" customFormat="false" ht="28.35" hidden="false" customHeight="true" outlineLevel="0" collapsed="false">
      <c r="A499" s="0"/>
    </row>
    <row r="500" customFormat="false" ht="28.35" hidden="false" customHeight="true" outlineLevel="0" collapsed="false">
      <c r="A500" s="0"/>
    </row>
    <row r="501" customFormat="false" ht="28.35" hidden="false" customHeight="true" outlineLevel="0" collapsed="false">
      <c r="A501" s="0"/>
    </row>
    <row r="502" customFormat="false" ht="28.35" hidden="false" customHeight="true" outlineLevel="0" collapsed="false">
      <c r="A502" s="0"/>
    </row>
    <row r="503" customFormat="false" ht="28.35" hidden="false" customHeight="true" outlineLevel="0" collapsed="false">
      <c r="A503" s="0"/>
    </row>
    <row r="504" customFormat="false" ht="28.35" hidden="false" customHeight="true" outlineLevel="0" collapsed="false">
      <c r="A504" s="0"/>
    </row>
    <row r="505" customFormat="false" ht="28.35" hidden="false" customHeight="true" outlineLevel="0" collapsed="false">
      <c r="A505" s="0"/>
    </row>
    <row r="506" customFormat="false" ht="28.35" hidden="false" customHeight="true" outlineLevel="0" collapsed="false">
      <c r="A506" s="0"/>
    </row>
    <row r="507" customFormat="false" ht="28.35" hidden="false" customHeight="true" outlineLevel="0" collapsed="false">
      <c r="A507" s="0"/>
    </row>
    <row r="508" customFormat="false" ht="12.8" hidden="false" customHeight="false" outlineLevel="0" collapsed="false">
      <c r="A508" s="0"/>
    </row>
    <row r="509" customFormat="false" ht="12.8" hidden="false" customHeight="false" outlineLevel="0" collapsed="false">
      <c r="A509" s="0"/>
    </row>
    <row r="510" customFormat="false" ht="12.8" hidden="false" customHeight="false" outlineLevel="0" collapsed="false">
      <c r="A510" s="0"/>
    </row>
    <row r="511" customFormat="false" ht="12.8" hidden="false" customHeight="false" outlineLevel="0" collapsed="false">
      <c r="A511" s="0"/>
    </row>
    <row r="512" customFormat="false" ht="12.8" hidden="false" customHeight="false" outlineLevel="0" collapsed="false">
      <c r="A512" s="0"/>
    </row>
    <row r="513" customFormat="false" ht="12.8" hidden="false" customHeight="false" outlineLevel="0" collapsed="false">
      <c r="A513" s="0"/>
    </row>
    <row r="514" customFormat="false" ht="12.8" hidden="false" customHeight="false" outlineLevel="0" collapsed="false">
      <c r="A514" s="0"/>
    </row>
    <row r="515" customFormat="false" ht="12.8" hidden="false" customHeight="false" outlineLevel="0" collapsed="false">
      <c r="A515" s="0"/>
    </row>
    <row r="516" customFormat="false" ht="12.8" hidden="false" customHeight="false" outlineLevel="0" collapsed="false">
      <c r="A516" s="0"/>
    </row>
    <row r="517" customFormat="false" ht="12.8" hidden="false" customHeight="false" outlineLevel="0" collapsed="false">
      <c r="A517" s="0"/>
    </row>
    <row r="518" customFormat="false" ht="12.8" hidden="false" customHeight="false" outlineLevel="0" collapsed="false">
      <c r="A518" s="0"/>
    </row>
    <row r="519" customFormat="false" ht="12.8" hidden="false" customHeight="false" outlineLevel="0" collapsed="false">
      <c r="A519" s="0"/>
    </row>
    <row r="520" customFormat="false" ht="12.8" hidden="false" customHeight="false" outlineLevel="0" collapsed="false">
      <c r="A520" s="0"/>
    </row>
    <row r="521" customFormat="false" ht="12.8" hidden="false" customHeight="false" outlineLevel="0" collapsed="false">
      <c r="A521" s="0"/>
    </row>
    <row r="522" customFormat="false" ht="12.8" hidden="false" customHeight="false" outlineLevel="0" collapsed="false">
      <c r="A522" s="0"/>
    </row>
    <row r="523" customFormat="false" ht="12.8" hidden="false" customHeight="false" outlineLevel="0" collapsed="false">
      <c r="A523" s="0"/>
    </row>
    <row r="524" customFormat="false" ht="12.8" hidden="false" customHeight="false" outlineLevel="0" collapsed="false">
      <c r="A524" s="0"/>
    </row>
    <row r="525" customFormat="false" ht="12.8" hidden="false" customHeight="false" outlineLevel="0" collapsed="false">
      <c r="A525" s="0"/>
    </row>
    <row r="526" customFormat="false" ht="12.8" hidden="false" customHeight="false" outlineLevel="0" collapsed="false">
      <c r="A526" s="0"/>
    </row>
    <row r="527" customFormat="false" ht="12.8" hidden="false" customHeight="false" outlineLevel="0" collapsed="false">
      <c r="A527" s="0"/>
    </row>
    <row r="528" customFormat="false" ht="12.8" hidden="false" customHeight="false" outlineLevel="0" collapsed="false">
      <c r="A528" s="0"/>
    </row>
    <row r="529" customFormat="false" ht="12.8" hidden="false" customHeight="false" outlineLevel="0" collapsed="false">
      <c r="A529" s="0"/>
    </row>
    <row r="530" customFormat="false" ht="12.8" hidden="false" customHeight="false" outlineLevel="0" collapsed="false">
      <c r="A530" s="0"/>
    </row>
    <row r="531" customFormat="false" ht="12.8" hidden="false" customHeight="false" outlineLevel="0" collapsed="false">
      <c r="A531" s="0"/>
    </row>
    <row r="532" customFormat="false" ht="12.8" hidden="false" customHeight="false" outlineLevel="0" collapsed="false">
      <c r="A532" s="0"/>
    </row>
    <row r="533" customFormat="false" ht="12.8" hidden="false" customHeight="false" outlineLevel="0" collapsed="false">
      <c r="A533" s="0"/>
    </row>
    <row r="534" customFormat="false" ht="12.8" hidden="false" customHeight="false" outlineLevel="0" collapsed="false">
      <c r="A534" s="0"/>
    </row>
    <row r="535" customFormat="false" ht="12.8" hidden="false" customHeight="false" outlineLevel="0" collapsed="false">
      <c r="A535"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49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xl/worksheets/sheet43.xml><?xml version="1.0" encoding="utf-8"?>
<worksheet xmlns="http://schemas.openxmlformats.org/spreadsheetml/2006/main" xmlns:r="http://schemas.openxmlformats.org/officeDocument/2006/relationships">
  <sheetPr filterMode="false">
    <tabColor rgb="FF168253"/>
    <pageSetUpPr fitToPage="false"/>
  </sheetPr>
  <dimension ref="A1:V11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B81" activeCellId="0" sqref="B81"/>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604</v>
      </c>
      <c r="C4" s="16" t="n">
        <v>61972</v>
      </c>
      <c r="D4" s="5" t="s">
        <v>605</v>
      </c>
      <c r="E4" s="14" t="s">
        <v>606</v>
      </c>
      <c r="F4" s="15" t="n">
        <v>235</v>
      </c>
      <c r="G4" s="15" t="n">
        <v>235</v>
      </c>
      <c r="H4" s="15" t="n">
        <v>235</v>
      </c>
      <c r="I4" s="16"/>
      <c r="J4" s="15" t="n">
        <v>235</v>
      </c>
      <c r="K4" s="16"/>
      <c r="L4" s="16" t="s">
        <v>113</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82.1" hidden="false" customHeight="true" outlineLevel="0" collapsed="false">
      <c r="A6" s="0"/>
      <c r="B6" s="0"/>
      <c r="C6" s="10" t="s">
        <v>25</v>
      </c>
      <c r="D6" s="10"/>
      <c r="F6" s="20" t="s">
        <v>26</v>
      </c>
      <c r="G6" s="280" t="s">
        <v>607</v>
      </c>
      <c r="H6" s="280"/>
      <c r="I6" s="280"/>
      <c r="J6" s="280"/>
      <c r="K6" s="280"/>
      <c r="L6" s="280"/>
      <c r="M6" s="280"/>
      <c r="N6" s="280"/>
      <c r="P6" s="390" t="s">
        <v>608</v>
      </c>
      <c r="Q6" s="19" t="s">
        <v>27</v>
      </c>
      <c r="R6" s="9"/>
      <c r="S6" s="22"/>
      <c r="T6" s="5" t="s">
        <v>28</v>
      </c>
    </row>
    <row r="7" customFormat="false" ht="41.65" hidden="false" customHeight="true" outlineLevel="0" collapsed="false">
      <c r="A7" s="0"/>
      <c r="B7" s="0"/>
      <c r="C7" s="126" t="s">
        <v>609</v>
      </c>
      <c r="D7" s="126"/>
      <c r="F7" s="20"/>
      <c r="G7" s="20"/>
      <c r="H7" s="280"/>
      <c r="I7" s="280"/>
      <c r="J7" s="280"/>
      <c r="K7" s="280"/>
      <c r="L7" s="280"/>
      <c r="M7" s="280"/>
      <c r="N7" s="280"/>
      <c r="P7" s="24"/>
      <c r="Q7" s="5" t="s">
        <v>29</v>
      </c>
      <c r="R7" s="9"/>
      <c r="S7" s="25"/>
      <c r="T7" s="5" t="s">
        <v>30</v>
      </c>
    </row>
    <row r="8" customFormat="false" ht="42.45" hidden="false" customHeight="true" outlineLevel="0" collapsed="false">
      <c r="A8" s="26" t="n">
        <f aca="false">_xlfn.SHEET()</f>
        <v>43</v>
      </c>
      <c r="F8" s="9"/>
      <c r="G8" s="9"/>
      <c r="H8" s="9"/>
      <c r="J8" s="9"/>
      <c r="R8" s="9"/>
      <c r="S8" s="27"/>
      <c r="T8" s="16" t="s">
        <v>31</v>
      </c>
    </row>
    <row r="9" customFormat="false" ht="36.65" hidden="false" customHeight="true" outlineLevel="0" collapsed="false">
      <c r="A9" s="26" t="n">
        <f aca="false">_xlfn.SHEETS()</f>
        <v>79</v>
      </c>
      <c r="B9" s="9" t="s">
        <v>32</v>
      </c>
      <c r="C9" s="28" t="s">
        <v>33</v>
      </c>
      <c r="E9" s="1" t="s">
        <v>35</v>
      </c>
      <c r="F9" s="9" t="s">
        <v>36</v>
      </c>
      <c r="G9" s="9" t="s">
        <v>37</v>
      </c>
      <c r="H9" s="9" t="s">
        <v>38</v>
      </c>
      <c r="I9" s="9" t="s">
        <v>39</v>
      </c>
      <c r="J9" s="205" t="s">
        <v>40</v>
      </c>
      <c r="K9" s="206"/>
    </row>
    <row r="10" customFormat="false" ht="19.85" hidden="false" customHeight="true" outlineLevel="0" collapsed="false">
      <c r="A10" s="210" t="n">
        <v>30</v>
      </c>
      <c r="B10" s="211" t="n">
        <v>41214</v>
      </c>
      <c r="C10" s="391" t="n">
        <v>44721</v>
      </c>
      <c r="D10" s="213" t="s">
        <v>42</v>
      </c>
      <c r="E10" s="214" t="n">
        <f aca="false">IF(D10="totale",(C10/(A10*24))/F10,IF(D10="marché libre",(C10/(A10*24))/G10,"spécifier histo"))</f>
        <v>0.264308510638298</v>
      </c>
      <c r="F10" s="215" t="n">
        <v>235</v>
      </c>
      <c r="G10" s="215" t="n">
        <f aca="false">F10-H10</f>
        <v>235</v>
      </c>
      <c r="H10" s="215" t="n">
        <v>0</v>
      </c>
      <c r="J10" s="208"/>
      <c r="K10" s="0"/>
    </row>
    <row r="11" customFormat="false" ht="19.85" hidden="false" customHeight="true" outlineLevel="0" collapsed="false">
      <c r="A11" s="0" t="n">
        <v>31</v>
      </c>
      <c r="B11" s="34" t="n">
        <v>41244</v>
      </c>
      <c r="C11" s="56" t="n">
        <v>67765</v>
      </c>
      <c r="D11" s="1" t="s">
        <v>42</v>
      </c>
      <c r="E11" s="33" t="n">
        <f aca="false">IF(D11="totale",(C11/(A11*24))/F11,IF(D11="marché libre",(C11/(A11*24))/G11,"spécifier histo"))</f>
        <v>0.387582932967284</v>
      </c>
      <c r="F11" s="59" t="n">
        <v>235</v>
      </c>
      <c r="G11" s="59" t="n">
        <f aca="false">F11-H11</f>
        <v>235</v>
      </c>
      <c r="H11" s="59" t="n">
        <v>0</v>
      </c>
      <c r="J11" s="208"/>
      <c r="K11" s="0"/>
    </row>
    <row r="12" customFormat="false" ht="19.85" hidden="false" customHeight="true" outlineLevel="0" collapsed="false">
      <c r="A12" s="0" t="n">
        <v>31</v>
      </c>
      <c r="B12" s="31" t="n">
        <v>41275</v>
      </c>
      <c r="C12" s="56" t="n">
        <v>84500</v>
      </c>
      <c r="D12" s="1" t="s">
        <v>42</v>
      </c>
      <c r="E12" s="33" t="n">
        <f aca="false">IF(D12="totale",(C12/(A12*24))/F12,IF(D12="marché libre",(C12/(A12*24))/G12,"spécifier histo"))</f>
        <v>0.483299016243423</v>
      </c>
      <c r="F12" s="59" t="n">
        <v>235</v>
      </c>
      <c r="G12" s="59" t="n">
        <f aca="false">F12-H12</f>
        <v>235</v>
      </c>
      <c r="H12" s="59" t="n">
        <v>0</v>
      </c>
      <c r="J12" s="208"/>
      <c r="K12" s="0"/>
    </row>
    <row r="13" customFormat="false" ht="19.85" hidden="false" customHeight="true" outlineLevel="0" collapsed="false">
      <c r="A13" s="0" t="n">
        <v>28</v>
      </c>
      <c r="B13" s="34" t="n">
        <v>41306</v>
      </c>
      <c r="C13" s="56" t="n">
        <v>156841</v>
      </c>
      <c r="D13" s="1" t="s">
        <v>42</v>
      </c>
      <c r="E13" s="33" t="n">
        <f aca="false">IF(D13="totale",(C13/(A13*24))/F13,IF(D13="marché libre",(C13/(A13*24))/G13,"spécifier histo"))</f>
        <v>0.993167426545086</v>
      </c>
      <c r="F13" s="59" t="n">
        <v>235</v>
      </c>
      <c r="G13" s="59" t="n">
        <f aca="false">F13-H13</f>
        <v>235</v>
      </c>
      <c r="H13" s="59" t="n">
        <v>0</v>
      </c>
      <c r="J13" s="208"/>
      <c r="K13" s="0"/>
    </row>
    <row r="14" customFormat="false" ht="19.85" hidden="false" customHeight="true" outlineLevel="0" collapsed="false">
      <c r="A14" s="0" t="n">
        <v>31</v>
      </c>
      <c r="B14" s="31" t="n">
        <v>41334</v>
      </c>
      <c r="C14" s="56" t="n">
        <v>172321</v>
      </c>
      <c r="D14" s="1" t="s">
        <v>42</v>
      </c>
      <c r="E14" s="33" t="n">
        <f aca="false">IF(D14="totale",(C14/(A14*24))/F14,IF(D14="marché libre",(C14/(A14*24))/G14,"spécifier histo"))</f>
        <v>0.985592541752459</v>
      </c>
      <c r="F14" s="59" t="n">
        <v>235</v>
      </c>
      <c r="G14" s="59" t="n">
        <f aca="false">F14-H14</f>
        <v>235</v>
      </c>
      <c r="H14" s="59" t="n">
        <v>0</v>
      </c>
      <c r="J14" s="208"/>
      <c r="K14" s="0"/>
    </row>
    <row r="15" customFormat="false" ht="19.85" hidden="false" customHeight="true" outlineLevel="0" collapsed="false">
      <c r="A15" s="0" t="n">
        <v>30</v>
      </c>
      <c r="B15" s="34" t="n">
        <v>41365</v>
      </c>
      <c r="C15" s="56" t="n">
        <v>155734</v>
      </c>
      <c r="D15" s="1" t="s">
        <v>42</v>
      </c>
      <c r="E15" s="33" t="n">
        <f aca="false">IF(D15="totale",(C15/(A15*24))/F15,IF(D15="marché libre",(C15/(A15*24))/G15,"spécifier histo"))</f>
        <v>0.920413711583924</v>
      </c>
      <c r="F15" s="59" t="n">
        <v>235</v>
      </c>
      <c r="G15" s="59" t="n">
        <f aca="false">F15-H15</f>
        <v>235</v>
      </c>
      <c r="H15" s="59" t="n">
        <v>0</v>
      </c>
      <c r="J15" s="208"/>
      <c r="K15" s="0"/>
    </row>
    <row r="16" customFormat="false" ht="19.85" hidden="false" customHeight="true" outlineLevel="0" collapsed="false">
      <c r="A16" s="0" t="n">
        <v>31</v>
      </c>
      <c r="B16" s="31" t="n">
        <v>41395</v>
      </c>
      <c r="C16" s="56" t="n">
        <v>166033</v>
      </c>
      <c r="D16" s="1" t="s">
        <v>42</v>
      </c>
      <c r="E16" s="33" t="n">
        <f aca="false">IF(D16="totale",(C16/(A16*24))/F16,IF(D16="marché libre",(C16/(A16*24))/G16,"spécifier histo"))</f>
        <v>0.949628231525966</v>
      </c>
      <c r="F16" s="59" t="n">
        <v>235</v>
      </c>
      <c r="G16" s="59" t="n">
        <f aca="false">F16-H16</f>
        <v>235</v>
      </c>
      <c r="H16" s="59" t="n">
        <v>0</v>
      </c>
      <c r="J16" s="208"/>
      <c r="K16" s="0"/>
    </row>
    <row r="17" customFormat="false" ht="19.85" hidden="false" customHeight="true" outlineLevel="0" collapsed="false">
      <c r="A17" s="0" t="n">
        <v>30</v>
      </c>
      <c r="B17" s="34" t="n">
        <v>41426</v>
      </c>
      <c r="C17" s="56" t="n">
        <v>122768</v>
      </c>
      <c r="D17" s="1" t="s">
        <v>42</v>
      </c>
      <c r="E17" s="33" t="n">
        <f aca="false">IF(D17="totale",(C17/(A17*24))/F17,IF(D17="marché libre",(C17/(A17*24))/G17,"spécifier histo"))</f>
        <v>0.725579196217494</v>
      </c>
      <c r="F17" s="59" t="n">
        <v>235</v>
      </c>
      <c r="G17" s="59" t="n">
        <f aca="false">F17-H17</f>
        <v>235</v>
      </c>
      <c r="H17" s="59" t="n">
        <v>0</v>
      </c>
      <c r="J17" s="208"/>
      <c r="K17" s="0"/>
    </row>
    <row r="18" customFormat="false" ht="19.85" hidden="false" customHeight="true" outlineLevel="0" collapsed="false">
      <c r="A18" s="0" t="n">
        <v>31</v>
      </c>
      <c r="B18" s="31" t="n">
        <v>41456</v>
      </c>
      <c r="C18" s="56" t="n">
        <v>145369</v>
      </c>
      <c r="D18" s="1" t="s">
        <v>42</v>
      </c>
      <c r="E18" s="33" t="n">
        <f aca="false">IF(D18="totale",(C18/(A18*24))/F18,IF(D18="marché libre",(C18/(A18*24))/G18,"spécifier histo"))</f>
        <v>0.831440173873255</v>
      </c>
      <c r="F18" s="59" t="n">
        <v>235</v>
      </c>
      <c r="G18" s="59" t="n">
        <f aca="false">F18-H18</f>
        <v>235</v>
      </c>
      <c r="H18" s="59" t="n">
        <v>0</v>
      </c>
      <c r="J18" s="208"/>
      <c r="K18" s="0"/>
    </row>
    <row r="19" customFormat="false" ht="19.85" hidden="false" customHeight="true" outlineLevel="0" collapsed="false">
      <c r="A19" s="0" t="n">
        <v>31</v>
      </c>
      <c r="B19" s="34" t="n">
        <v>41487</v>
      </c>
      <c r="C19" s="56" t="n">
        <v>38822</v>
      </c>
      <c r="D19" s="1" t="s">
        <v>42</v>
      </c>
      <c r="E19" s="33" t="n">
        <f aca="false">IF(D19="totale",(C19/(A19*24))/F19,IF(D19="marché libre",(C19/(A19*24))/G19,"spécifier histo"))</f>
        <v>0.222043010752688</v>
      </c>
      <c r="F19" s="59" t="n">
        <v>235</v>
      </c>
      <c r="G19" s="59" t="n">
        <f aca="false">F19-H19</f>
        <v>235</v>
      </c>
      <c r="H19" s="59" t="n">
        <v>0</v>
      </c>
      <c r="J19" s="208"/>
      <c r="K19" s="0"/>
    </row>
    <row r="20" customFormat="false" ht="19.85" hidden="false" customHeight="true" outlineLevel="0" collapsed="false">
      <c r="A20" s="0" t="n">
        <v>30</v>
      </c>
      <c r="B20" s="31" t="n">
        <v>41518</v>
      </c>
      <c r="C20" s="56" t="n">
        <v>25943</v>
      </c>
      <c r="D20" s="1" t="s">
        <v>42</v>
      </c>
      <c r="E20" s="33" t="n">
        <f aca="false">IF(D20="totale",(C20/(A20*24))/F20,IF(D20="marché libre",(C20/(A20*24))/G20,"spécifier histo"))</f>
        <v>0.153327423167849</v>
      </c>
      <c r="F20" s="59" t="n">
        <v>235</v>
      </c>
      <c r="G20" s="59" t="n">
        <f aca="false">F20-H20</f>
        <v>235</v>
      </c>
      <c r="H20" s="59" t="n">
        <v>0</v>
      </c>
      <c r="J20" s="208"/>
      <c r="K20" s="0"/>
    </row>
    <row r="21" customFormat="false" ht="19.85" hidden="false" customHeight="true" outlineLevel="0" collapsed="false">
      <c r="A21" s="0" t="n">
        <v>31</v>
      </c>
      <c r="B21" s="34" t="n">
        <v>41548</v>
      </c>
      <c r="C21" s="56" t="n">
        <v>25077</v>
      </c>
      <c r="D21" s="1" t="s">
        <v>42</v>
      </c>
      <c r="E21" s="33" t="n">
        <f aca="false">IF(D21="totale",(C21/(A21*24))/F21,IF(D21="marché libre",(C21/(A21*24))/G21,"spécifier histo"))</f>
        <v>0.143428277282086</v>
      </c>
      <c r="F21" s="59" t="n">
        <v>235</v>
      </c>
      <c r="G21" s="59" t="n">
        <f aca="false">F21-H21</f>
        <v>235</v>
      </c>
      <c r="H21" s="59" t="n">
        <v>0</v>
      </c>
      <c r="J21" s="208"/>
      <c r="K21" s="0"/>
    </row>
    <row r="22" customFormat="false" ht="19.85" hidden="false" customHeight="true" outlineLevel="0" collapsed="false">
      <c r="A22" s="0" t="n">
        <v>30</v>
      </c>
      <c r="B22" s="31" t="n">
        <v>41579</v>
      </c>
      <c r="C22" s="56" t="n">
        <v>25077</v>
      </c>
      <c r="D22" s="1" t="s">
        <v>42</v>
      </c>
      <c r="E22" s="33" t="n">
        <f aca="false">IF(D22="totale",(C22/(A22*24))/F22,IF(D22="marché libre",(C22/(A22*24))/G22,"spécifier histo"))</f>
        <v>0.148209219858156</v>
      </c>
      <c r="F22" s="59" t="n">
        <v>235</v>
      </c>
      <c r="G22" s="59" t="n">
        <f aca="false">F22-H22</f>
        <v>235</v>
      </c>
      <c r="H22" s="59" t="n">
        <v>0</v>
      </c>
      <c r="I22" s="38"/>
      <c r="J22" s="208"/>
      <c r="K22" s="0"/>
    </row>
    <row r="23" customFormat="false" ht="19.85" hidden="false" customHeight="true" outlineLevel="0" collapsed="false">
      <c r="A23" s="0" t="n">
        <v>31</v>
      </c>
      <c r="B23" s="34" t="n">
        <v>41609</v>
      </c>
      <c r="C23" s="392" t="n">
        <v>0</v>
      </c>
      <c r="D23" s="393" t="s">
        <v>42</v>
      </c>
      <c r="E23" s="394" t="n">
        <f aca="false">IF(D23="totale",(C23/(A23*24))/F23,IF(D23="marché libre",(C23/(A23*24))/G23,"spécifier histo"))</f>
        <v>0</v>
      </c>
      <c r="F23" s="395" t="n">
        <v>235</v>
      </c>
      <c r="G23" s="395" t="n">
        <f aca="false">F23-H23</f>
        <v>235</v>
      </c>
      <c r="H23" s="395" t="n">
        <v>0</v>
      </c>
      <c r="I23" s="393" t="s">
        <v>610</v>
      </c>
      <c r="J23" s="209"/>
      <c r="K23" s="0"/>
    </row>
    <row r="24" customFormat="false" ht="19.85" hidden="false" customHeight="true" outlineLevel="0" collapsed="false">
      <c r="A24" s="0" t="n">
        <v>31</v>
      </c>
      <c r="B24" s="31" t="n">
        <v>41640</v>
      </c>
      <c r="C24" s="396" t="n">
        <v>0</v>
      </c>
      <c r="D24" s="393" t="s">
        <v>42</v>
      </c>
      <c r="E24" s="394" t="n">
        <f aca="false">IF(D24="totale",(C36/(A24*24))/F24,IF(D24="marché libre",(C36/(A24*24))/G24,"spécifier histo"))</f>
        <v>0.701166781056966</v>
      </c>
      <c r="F24" s="395" t="n">
        <v>235</v>
      </c>
      <c r="G24" s="395" t="n">
        <f aca="false">F24-H24</f>
        <v>235</v>
      </c>
      <c r="H24" s="395" t="n">
        <v>0</v>
      </c>
      <c r="I24" s="393" t="s">
        <v>610</v>
      </c>
      <c r="J24" s="208"/>
      <c r="K24" s="0"/>
    </row>
    <row r="25" customFormat="false" ht="19.85" hidden="false" customHeight="true" outlineLevel="0" collapsed="false">
      <c r="A25" s="0" t="n">
        <v>28</v>
      </c>
      <c r="B25" s="34" t="n">
        <v>41671</v>
      </c>
      <c r="C25" s="26" t="n">
        <v>46248</v>
      </c>
      <c r="D25" s="1" t="s">
        <v>42</v>
      </c>
      <c r="E25" s="33" t="n">
        <f aca="false">IF(D25="totale",(C37/(A25*24))/F25,IF(D25="marché libre",(C37/(A25*24))/G25,"spécifier histo"))</f>
        <v>0.854065349544073</v>
      </c>
      <c r="F25" s="59" t="n">
        <v>235</v>
      </c>
      <c r="G25" s="59" t="n">
        <f aca="false">F25-H25</f>
        <v>235</v>
      </c>
      <c r="H25" s="59" t="n">
        <v>0</v>
      </c>
      <c r="J25" s="208"/>
      <c r="K25" s="0"/>
    </row>
    <row r="26" customFormat="false" ht="19.85" hidden="false" customHeight="true" outlineLevel="0" collapsed="false">
      <c r="A26" s="0" t="n">
        <v>31</v>
      </c>
      <c r="B26" s="31" t="n">
        <v>41699</v>
      </c>
      <c r="C26" s="26" t="n">
        <v>163992</v>
      </c>
      <c r="D26" s="1" t="s">
        <v>42</v>
      </c>
      <c r="E26" s="33" t="n">
        <f aca="false">IF(D26="totale",(C38/(A26*24))/F26,IF(D26="marché libre",(C38/(A26*24))/G26,"spécifier histo"))</f>
        <v>0.87299245024022</v>
      </c>
      <c r="F26" s="59" t="n">
        <v>235</v>
      </c>
      <c r="G26" s="59" t="n">
        <f aca="false">F26-H26</f>
        <v>235</v>
      </c>
      <c r="H26" s="59" t="n">
        <v>0</v>
      </c>
      <c r="J26" s="208"/>
      <c r="K26" s="0"/>
    </row>
    <row r="27" customFormat="false" ht="19.85" hidden="false" customHeight="true" outlineLevel="0" collapsed="false">
      <c r="A27" s="0" t="n">
        <v>30</v>
      </c>
      <c r="B27" s="34" t="n">
        <v>41730</v>
      </c>
      <c r="C27" s="26" t="n">
        <v>164429</v>
      </c>
      <c r="D27" s="1" t="s">
        <v>42</v>
      </c>
      <c r="E27" s="33" t="n">
        <f aca="false">IF(D27="totale",(C39/(A27*24))/F27,IF(D27="marché libre",(C39/(A27*24))/G27,"spécifier histo"))</f>
        <v>0.898776595744681</v>
      </c>
      <c r="F27" s="59" t="n">
        <v>235</v>
      </c>
      <c r="G27" s="59" t="n">
        <f aca="false">F27-H27</f>
        <v>235</v>
      </c>
      <c r="H27" s="59" t="n">
        <v>0</v>
      </c>
      <c r="J27" s="208"/>
      <c r="K27" s="0"/>
    </row>
    <row r="28" customFormat="false" ht="19.85" hidden="false" customHeight="true" outlineLevel="0" collapsed="false">
      <c r="A28" s="0" t="n">
        <v>31</v>
      </c>
      <c r="B28" s="31" t="n">
        <v>41760</v>
      </c>
      <c r="C28" s="26" t="n">
        <v>158733</v>
      </c>
      <c r="D28" s="1" t="s">
        <v>42</v>
      </c>
      <c r="E28" s="33" t="n">
        <f aca="false">IF(D28="totale",(C40/(A28*24))/F28,IF(D28="marché libre",(C40/(A28*24))/G28,"spécifier histo"))</f>
        <v>0.890837336993823</v>
      </c>
      <c r="F28" s="59" t="n">
        <v>235</v>
      </c>
      <c r="G28" s="59" t="n">
        <f aca="false">F28-H28</f>
        <v>235</v>
      </c>
      <c r="H28" s="59" t="n">
        <v>0</v>
      </c>
      <c r="J28" s="208"/>
      <c r="K28" s="0"/>
    </row>
    <row r="29" customFormat="false" ht="19.85" hidden="false" customHeight="true" outlineLevel="0" collapsed="false">
      <c r="A29" s="0" t="n">
        <v>30</v>
      </c>
      <c r="B29" s="34" t="n">
        <v>41791</v>
      </c>
      <c r="C29" s="26" t="n">
        <v>152240</v>
      </c>
      <c r="D29" s="1" t="s">
        <v>42</v>
      </c>
      <c r="E29" s="33" t="n">
        <f aca="false">IF(D29="totale",(C41/(A29*24))/F29,IF(D29="marché libre",(C41/(A29*24))/G29,"spécifier histo"))</f>
        <v>0.67524231678487</v>
      </c>
      <c r="F29" s="59" t="n">
        <v>235</v>
      </c>
      <c r="G29" s="59" t="n">
        <f aca="false">F29-H29</f>
        <v>235</v>
      </c>
      <c r="H29" s="59" t="n">
        <v>0</v>
      </c>
      <c r="J29" s="208"/>
      <c r="K29" s="0"/>
    </row>
    <row r="30" customFormat="false" ht="19.85" hidden="false" customHeight="true" outlineLevel="0" collapsed="false">
      <c r="A30" s="0" t="n">
        <v>31</v>
      </c>
      <c r="B30" s="31" t="n">
        <v>41821</v>
      </c>
      <c r="C30" s="26" t="n">
        <v>130641</v>
      </c>
      <c r="D30" s="1" t="s">
        <v>42</v>
      </c>
      <c r="E30" s="33" t="n">
        <f aca="false">IF(D30="totale",(C42/(A30*24))/F30,IF(D30="marché libre",(C42/(A30*24))/G30,"spécifier histo"))</f>
        <v>0.0550674902768245</v>
      </c>
      <c r="F30" s="59" t="n">
        <v>235</v>
      </c>
      <c r="G30" s="59" t="n">
        <f aca="false">F30-H30</f>
        <v>235</v>
      </c>
      <c r="H30" s="59" t="n">
        <v>0</v>
      </c>
      <c r="J30" s="208"/>
      <c r="K30" s="0"/>
    </row>
    <row r="31" customFormat="false" ht="19.85" hidden="false" customHeight="true" outlineLevel="0" collapsed="false">
      <c r="A31" s="0" t="n">
        <v>31</v>
      </c>
      <c r="B31" s="34" t="n">
        <v>41852</v>
      </c>
      <c r="C31" s="26" t="n">
        <v>64728</v>
      </c>
      <c r="D31" s="1" t="s">
        <v>42</v>
      </c>
      <c r="E31" s="33" t="n">
        <f aca="false">IF(D31="totale",(C43/(A31*24))/F31,IF(D31="marché libre",(C43/(A31*24))/G31,"spécifier histo"))</f>
        <v>0.0655971173644475</v>
      </c>
      <c r="F31" s="59" t="n">
        <v>235</v>
      </c>
      <c r="G31" s="59" t="n">
        <f aca="false">F31-H31</f>
        <v>235</v>
      </c>
      <c r="H31" s="59" t="n">
        <v>0</v>
      </c>
      <c r="J31" s="208"/>
      <c r="K31" s="0"/>
    </row>
    <row r="32" customFormat="false" ht="19.85" hidden="false" customHeight="true" outlineLevel="0" collapsed="false">
      <c r="A32" s="0" t="n">
        <v>30</v>
      </c>
      <c r="B32" s="31" t="n">
        <v>41883</v>
      </c>
      <c r="C32" s="26" t="n">
        <v>14900</v>
      </c>
      <c r="D32" s="1" t="s">
        <v>42</v>
      </c>
      <c r="E32" s="33" t="n">
        <f aca="false">IF(D32="totale",(C44/(A32*24))/F32,IF(D32="marché libre",(C44/(A32*24))/G32,"spécifier histo"))</f>
        <v>0.274237588652482</v>
      </c>
      <c r="F32" s="59" t="n">
        <v>235</v>
      </c>
      <c r="G32" s="59" t="n">
        <f aca="false">F32-H32</f>
        <v>235</v>
      </c>
      <c r="H32" s="59" t="n">
        <v>0</v>
      </c>
      <c r="J32" s="208"/>
      <c r="K32" s="0"/>
    </row>
    <row r="33" customFormat="false" ht="19.85" hidden="false" customHeight="true" outlineLevel="0" collapsed="false">
      <c r="A33" s="0" t="n">
        <v>31</v>
      </c>
      <c r="B33" s="34" t="n">
        <v>41913</v>
      </c>
      <c r="C33" s="26" t="n">
        <v>36898</v>
      </c>
      <c r="D33" s="1" t="s">
        <v>42</v>
      </c>
      <c r="E33" s="33" t="n">
        <f aca="false">IF(D33="totale",(C45/(A33*24))/F33,IF(D33="marché libre",(C45/(A33*24))/G33,"spécifier histo"))</f>
        <v>0.0652882635552505</v>
      </c>
      <c r="F33" s="59" t="n">
        <v>235</v>
      </c>
      <c r="G33" s="59" t="n">
        <f aca="false">F33-H33</f>
        <v>235</v>
      </c>
      <c r="H33" s="59" t="n">
        <v>0</v>
      </c>
      <c r="J33" s="208"/>
      <c r="K33" s="0"/>
    </row>
    <row r="34" customFormat="false" ht="19.85" hidden="false" customHeight="true" outlineLevel="0" collapsed="false">
      <c r="A34" s="0" t="n">
        <v>30</v>
      </c>
      <c r="B34" s="31" t="n">
        <v>41944</v>
      </c>
      <c r="C34" s="26" t="n">
        <v>39978</v>
      </c>
      <c r="D34" s="1" t="s">
        <v>42</v>
      </c>
      <c r="E34" s="33" t="n">
        <f aca="false">IF(D34="totale",(C46/(A34*24))/F34,IF(D34="marché libre",(C46/(A34*24))/G34,"spécifier histo"))</f>
        <v>0.238534278959811</v>
      </c>
      <c r="F34" s="59" t="n">
        <v>235</v>
      </c>
      <c r="G34" s="59" t="n">
        <f aca="false">F34-H34</f>
        <v>235</v>
      </c>
      <c r="H34" s="59" t="n">
        <v>0</v>
      </c>
      <c r="J34" s="208"/>
      <c r="K34" s="0"/>
    </row>
    <row r="35" customFormat="false" ht="19.95" hidden="false" customHeight="true" outlineLevel="0" collapsed="false">
      <c r="A35" s="0" t="n">
        <v>31</v>
      </c>
      <c r="B35" s="34" t="n">
        <v>41974</v>
      </c>
      <c r="C35" s="26" t="n">
        <v>136773</v>
      </c>
      <c r="D35" s="1" t="s">
        <v>42</v>
      </c>
      <c r="E35" s="33" t="n">
        <f aca="false">IF(D35="totale",(C47/(A35*24))/F35,IF(D35="marché libre",(C47/(A35*24))/G35,"spécifier histo"))</f>
        <v>0.273307023564402</v>
      </c>
      <c r="F35" s="59" t="n">
        <v>235</v>
      </c>
      <c r="G35" s="59" t="n">
        <f aca="false">F35-H35</f>
        <v>235</v>
      </c>
      <c r="H35" s="59" t="n">
        <v>0</v>
      </c>
      <c r="J35" s="208"/>
      <c r="K35" s="0"/>
    </row>
    <row r="36" customFormat="false" ht="19.85" hidden="false" customHeight="true" outlineLevel="0" collapsed="false">
      <c r="A36" s="0" t="n">
        <v>31</v>
      </c>
      <c r="B36" s="31" t="n">
        <v>42005</v>
      </c>
      <c r="C36" s="56" t="n">
        <v>122592</v>
      </c>
      <c r="D36" s="1" t="s">
        <v>42</v>
      </c>
      <c r="E36" s="33" t="n">
        <f aca="false">IF(D36="totale",(C36/(A36*24))/F36,IF(D36="marché libre",(C36/(A36*24))/G36,"spécifier histo"))</f>
        <v>0.701166781056966</v>
      </c>
      <c r="F36" s="59" t="n">
        <v>235</v>
      </c>
      <c r="G36" s="59" t="n">
        <f aca="false">F36-H36</f>
        <v>235</v>
      </c>
      <c r="H36" s="59" t="n">
        <v>0</v>
      </c>
      <c r="J36" s="208"/>
      <c r="K36" s="0"/>
    </row>
    <row r="37" customFormat="false" ht="19.85" hidden="false" customHeight="true" outlineLevel="0" collapsed="false">
      <c r="A37" s="0" t="n">
        <v>28</v>
      </c>
      <c r="B37" s="34" t="n">
        <v>42036</v>
      </c>
      <c r="C37" s="56" t="n">
        <v>134874</v>
      </c>
      <c r="D37" s="1" t="s">
        <v>42</v>
      </c>
      <c r="E37" s="33" t="n">
        <f aca="false">IF(D37="totale",(C37/(A37*24))/F37,IF(D37="marché libre",(C37/(A37*24))/G37,"spécifier histo"))</f>
        <v>0.854065349544073</v>
      </c>
      <c r="F37" s="59" t="n">
        <v>235</v>
      </c>
      <c r="G37" s="59" t="n">
        <f aca="false">F37-H37</f>
        <v>235</v>
      </c>
      <c r="H37" s="59" t="n">
        <v>0</v>
      </c>
      <c r="J37" s="208"/>
      <c r="K37" s="0"/>
    </row>
    <row r="38" customFormat="false" ht="19.85" hidden="false" customHeight="true" outlineLevel="0" collapsed="false">
      <c r="A38" s="0" t="n">
        <v>31</v>
      </c>
      <c r="B38" s="31" t="n">
        <v>42064</v>
      </c>
      <c r="C38" s="56" t="n">
        <v>152634</v>
      </c>
      <c r="D38" s="1" t="s">
        <v>42</v>
      </c>
      <c r="E38" s="33" t="n">
        <f aca="false">IF(D38="totale",(C38/(A38*24))/F38,IF(D38="marché libre",(C38/(A38*24))/G38,"spécifier histo"))</f>
        <v>0.87299245024022</v>
      </c>
      <c r="F38" s="59" t="n">
        <v>235</v>
      </c>
      <c r="G38" s="59" t="n">
        <f aca="false">F38-H38</f>
        <v>235</v>
      </c>
      <c r="H38" s="59" t="n">
        <v>0</v>
      </c>
      <c r="J38" s="208"/>
      <c r="K38" s="0"/>
    </row>
    <row r="39" customFormat="false" ht="19.85" hidden="false" customHeight="true" outlineLevel="0" collapsed="false">
      <c r="A39" s="0" t="n">
        <v>30</v>
      </c>
      <c r="B39" s="34" t="n">
        <v>42095</v>
      </c>
      <c r="C39" s="56" t="n">
        <v>152073</v>
      </c>
      <c r="D39" s="1" t="s">
        <v>42</v>
      </c>
      <c r="E39" s="33" t="n">
        <f aca="false">IF(D39="totale",(C39/(A39*24))/F39,IF(D39="marché libre",(C39/(A39*24))/G39,"spécifier histo"))</f>
        <v>0.898776595744681</v>
      </c>
      <c r="F39" s="59" t="n">
        <v>235</v>
      </c>
      <c r="G39" s="59" t="n">
        <f aca="false">F39-H39</f>
        <v>235</v>
      </c>
      <c r="H39" s="59" t="n">
        <v>0</v>
      </c>
      <c r="J39" s="208"/>
      <c r="K39" s="0"/>
    </row>
    <row r="40" customFormat="false" ht="19.85" hidden="false" customHeight="true" outlineLevel="0" collapsed="false">
      <c r="A40" s="0" t="n">
        <v>31</v>
      </c>
      <c r="B40" s="31" t="n">
        <v>42125</v>
      </c>
      <c r="C40" s="56" t="n">
        <v>155754</v>
      </c>
      <c r="D40" s="1" t="s">
        <v>42</v>
      </c>
      <c r="E40" s="33" t="n">
        <f aca="false">IF(D40="totale",(C40/(A40*24))/F40,IF(D40="marché libre",(C40/(A40*24))/G40,"spécifier histo"))</f>
        <v>0.890837336993823</v>
      </c>
      <c r="F40" s="59" t="n">
        <v>235</v>
      </c>
      <c r="G40" s="59" t="n">
        <f aca="false">F40-H40</f>
        <v>235</v>
      </c>
      <c r="H40" s="59" t="n">
        <v>0</v>
      </c>
      <c r="J40" s="208"/>
      <c r="K40" s="0"/>
    </row>
    <row r="41" customFormat="false" ht="19.85" hidden="false" customHeight="true" outlineLevel="0" collapsed="false">
      <c r="A41" s="0" t="n">
        <v>30</v>
      </c>
      <c r="B41" s="34" t="n">
        <v>42156</v>
      </c>
      <c r="C41" s="56" t="n">
        <v>114251</v>
      </c>
      <c r="D41" s="1" t="s">
        <v>42</v>
      </c>
      <c r="E41" s="33" t="n">
        <f aca="false">IF(D41="totale",(C41/(A41*24))/F41,IF(D41="marché libre",(C41/(A41*24))/G41,"spécifier histo"))</f>
        <v>0.67524231678487</v>
      </c>
      <c r="F41" s="59" t="n">
        <v>235</v>
      </c>
      <c r="G41" s="59" t="n">
        <f aca="false">F41-H41</f>
        <v>235</v>
      </c>
      <c r="H41" s="59" t="n">
        <v>0</v>
      </c>
      <c r="J41" s="208"/>
      <c r="K41" s="0"/>
    </row>
    <row r="42" customFormat="false" ht="19.85" hidden="false" customHeight="true" outlineLevel="0" collapsed="false">
      <c r="A42" s="0" t="n">
        <v>31</v>
      </c>
      <c r="B42" s="31" t="n">
        <v>42186</v>
      </c>
      <c r="C42" s="56" t="n">
        <v>9628</v>
      </c>
      <c r="D42" s="1" t="s">
        <v>42</v>
      </c>
      <c r="E42" s="33" t="n">
        <f aca="false">IF(D42="totale",(C42/(A42*24))/F42,IF(D42="marché libre",(C42/(A42*24))/G42,"spécifier histo"))</f>
        <v>0.0550674902768245</v>
      </c>
      <c r="F42" s="59" t="n">
        <v>235</v>
      </c>
      <c r="G42" s="59" t="n">
        <f aca="false">F42-H42</f>
        <v>235</v>
      </c>
      <c r="H42" s="59" t="n">
        <v>0</v>
      </c>
      <c r="J42" s="208"/>
      <c r="K42" s="0"/>
    </row>
    <row r="43" customFormat="false" ht="19.85" hidden="false" customHeight="true" outlineLevel="0" collapsed="false">
      <c r="A43" s="0" t="n">
        <v>31</v>
      </c>
      <c r="B43" s="34" t="n">
        <v>42217</v>
      </c>
      <c r="C43" s="56" t="n">
        <v>11469</v>
      </c>
      <c r="D43" s="1" t="s">
        <v>42</v>
      </c>
      <c r="E43" s="33" t="n">
        <f aca="false">IF(D43="totale",(C43/(A43*24))/F43,IF(D43="marché libre",(C43/(A43*24))/G43,"spécifier histo"))</f>
        <v>0.0655971173644475</v>
      </c>
      <c r="F43" s="59" t="n">
        <v>235</v>
      </c>
      <c r="G43" s="59" t="n">
        <f aca="false">F43-H43</f>
        <v>235</v>
      </c>
      <c r="H43" s="59" t="n">
        <v>0</v>
      </c>
      <c r="J43" s="208"/>
      <c r="K43" s="0"/>
    </row>
    <row r="44" customFormat="false" ht="19.85" hidden="false" customHeight="true" outlineLevel="0" collapsed="false">
      <c r="A44" s="0" t="n">
        <v>30</v>
      </c>
      <c r="B44" s="31" t="n">
        <v>42248</v>
      </c>
      <c r="C44" s="56" t="n">
        <v>46401</v>
      </c>
      <c r="D44" s="1" t="s">
        <v>42</v>
      </c>
      <c r="E44" s="33" t="n">
        <f aca="false">IF(D44="totale",(C44/(A44*24))/F44,IF(D44="marché libre",(C44/(A44*24))/G44,"spécifier histo"))</f>
        <v>0.274237588652482</v>
      </c>
      <c r="F44" s="59" t="n">
        <v>235</v>
      </c>
      <c r="G44" s="59" t="n">
        <f aca="false">F44-H44</f>
        <v>235</v>
      </c>
      <c r="H44" s="59" t="n">
        <v>0</v>
      </c>
      <c r="J44" s="208"/>
      <c r="K44" s="0"/>
    </row>
    <row r="45" customFormat="false" ht="19.85" hidden="false" customHeight="true" outlineLevel="0" collapsed="false">
      <c r="A45" s="0" t="n">
        <v>31</v>
      </c>
      <c r="B45" s="34" t="n">
        <v>42278</v>
      </c>
      <c r="C45" s="56" t="n">
        <v>11415</v>
      </c>
      <c r="D45" s="1" t="s">
        <v>42</v>
      </c>
      <c r="E45" s="33" t="n">
        <f aca="false">IF(D45="totale",(C45/(A45*24))/F45,IF(D45="marché libre",(C45/(A45*24))/G45,"spécifier histo"))</f>
        <v>0.0652882635552505</v>
      </c>
      <c r="F45" s="59" t="n">
        <v>235</v>
      </c>
      <c r="G45" s="59" t="n">
        <f aca="false">F45-H45</f>
        <v>235</v>
      </c>
      <c r="H45" s="59" t="n">
        <v>0</v>
      </c>
      <c r="J45" s="208"/>
      <c r="K45" s="0"/>
    </row>
    <row r="46" customFormat="false" ht="19.85" hidden="false" customHeight="true" outlineLevel="0" collapsed="false">
      <c r="A46" s="0" t="n">
        <v>30</v>
      </c>
      <c r="B46" s="31" t="n">
        <v>42309</v>
      </c>
      <c r="C46" s="56" t="n">
        <v>40360</v>
      </c>
      <c r="D46" s="1" t="s">
        <v>42</v>
      </c>
      <c r="E46" s="33" t="n">
        <f aca="false">IF(D46="totale",(C46/(A46*24))/F46,IF(D46="marché libre",(C46/(A46*24))/G46,"spécifier histo"))</f>
        <v>0.238534278959811</v>
      </c>
      <c r="F46" s="59" t="n">
        <v>235</v>
      </c>
      <c r="G46" s="59" t="n">
        <f aca="false">F46-H46</f>
        <v>235</v>
      </c>
      <c r="H46" s="59" t="n">
        <v>0</v>
      </c>
      <c r="J46" s="208"/>
      <c r="K46" s="0"/>
    </row>
    <row r="47" customFormat="false" ht="19.85" hidden="false" customHeight="true" outlineLevel="0" collapsed="false">
      <c r="A47" s="0" t="n">
        <v>31</v>
      </c>
      <c r="B47" s="34" t="n">
        <v>42339</v>
      </c>
      <c r="C47" s="56" t="n">
        <v>47785</v>
      </c>
      <c r="D47" s="1" t="s">
        <v>42</v>
      </c>
      <c r="E47" s="33" t="n">
        <f aca="false">IF(D47="totale",(C47/(A47*24))/F47,IF(D47="marché libre",(C47/(A47*24))/G47,"spécifier histo"))</f>
        <v>0.273307023564402</v>
      </c>
      <c r="F47" s="59" t="n">
        <v>235</v>
      </c>
      <c r="G47" s="59" t="n">
        <f aca="false">F47-H47</f>
        <v>235</v>
      </c>
      <c r="H47" s="59" t="n">
        <v>0</v>
      </c>
      <c r="J47" s="208"/>
      <c r="K47" s="0"/>
    </row>
    <row r="48" customFormat="false" ht="19.85" hidden="false" customHeight="true" outlineLevel="0" collapsed="false">
      <c r="A48" s="0" t="n">
        <v>31</v>
      </c>
      <c r="B48" s="31" t="n">
        <v>42370</v>
      </c>
      <c r="C48" s="56" t="n">
        <v>63068</v>
      </c>
      <c r="D48" s="1" t="s">
        <v>42</v>
      </c>
      <c r="E48" s="33" t="n">
        <f aca="false">IF(D48="totale",(C48/(A48*24))/F48,IF(D48="marché libre",(C48/(A48*24))/G48,"spécifier histo"))</f>
        <v>0.360718371082132</v>
      </c>
      <c r="F48" s="59" t="n">
        <v>235</v>
      </c>
      <c r="G48" s="59" t="n">
        <f aca="false">F48-H48</f>
        <v>235</v>
      </c>
      <c r="H48" s="59" t="n">
        <v>0</v>
      </c>
      <c r="J48" s="208"/>
      <c r="K48" s="0"/>
    </row>
    <row r="49" customFormat="false" ht="19.85" hidden="false" customHeight="true" outlineLevel="0" collapsed="false">
      <c r="A49" s="0" t="n">
        <v>28</v>
      </c>
      <c r="B49" s="34" t="n">
        <v>42401</v>
      </c>
      <c r="C49" s="56" t="n">
        <v>103829</v>
      </c>
      <c r="D49" s="1" t="s">
        <v>42</v>
      </c>
      <c r="E49" s="33" t="n">
        <f aca="false">IF(D49="totale",(C49/(A49*24))/F49,IF(D49="marché libre",(C49/(A49*24))/G49,"spécifier histo"))</f>
        <v>0.657478470111449</v>
      </c>
      <c r="F49" s="59" t="n">
        <v>235</v>
      </c>
      <c r="G49" s="59" t="n">
        <f aca="false">F49-H49</f>
        <v>235</v>
      </c>
      <c r="H49" s="59" t="n">
        <v>0</v>
      </c>
      <c r="J49" s="208"/>
      <c r="K49" s="0"/>
    </row>
    <row r="50" customFormat="false" ht="19.85" hidden="false" customHeight="true" outlineLevel="0" collapsed="false">
      <c r="A50" s="0" t="n">
        <v>31</v>
      </c>
      <c r="B50" s="31" t="n">
        <v>42430</v>
      </c>
      <c r="C50" s="56" t="n">
        <v>165052</v>
      </c>
      <c r="D50" s="1" t="s">
        <v>42</v>
      </c>
      <c r="E50" s="33" t="n">
        <f aca="false">IF(D50="totale",(C50/(A50*24))/F50,IF(D50="marché libre",(C50/(A50*24))/G50,"spécifier histo"))</f>
        <v>0.944017387325555</v>
      </c>
      <c r="F50" s="59" t="n">
        <v>235</v>
      </c>
      <c r="G50" s="59" t="n">
        <f aca="false">F50-H50</f>
        <v>235</v>
      </c>
      <c r="H50" s="59" t="n">
        <v>0</v>
      </c>
      <c r="J50" s="208"/>
      <c r="K50" s="0"/>
    </row>
    <row r="51" customFormat="false" ht="19.85" hidden="false" customHeight="true" outlineLevel="0" collapsed="false">
      <c r="A51" s="0" t="n">
        <v>30</v>
      </c>
      <c r="B51" s="34" t="n">
        <v>42461</v>
      </c>
      <c r="C51" s="56" t="n">
        <v>166874</v>
      </c>
      <c r="D51" s="1" t="s">
        <v>42</v>
      </c>
      <c r="E51" s="33" t="n">
        <f aca="false">IF(D51="totale",(C51/(A51*24))/F51,IF(D51="marché libre",(C51/(A51*24))/G51,"spécifier histo"))</f>
        <v>0.986252955082742</v>
      </c>
      <c r="F51" s="59" t="n">
        <v>235</v>
      </c>
      <c r="G51" s="59" t="n">
        <f aca="false">F51-H51</f>
        <v>235</v>
      </c>
      <c r="H51" s="59" t="n">
        <v>0</v>
      </c>
      <c r="J51" s="208"/>
      <c r="K51" s="0"/>
    </row>
    <row r="52" customFormat="false" ht="19.85" hidden="false" customHeight="true" outlineLevel="0" collapsed="false">
      <c r="A52" s="0" t="n">
        <v>31</v>
      </c>
      <c r="B52" s="31" t="n">
        <v>42491</v>
      </c>
      <c r="C52" s="56" t="n">
        <v>152444</v>
      </c>
      <c r="D52" s="1" t="s">
        <v>42</v>
      </c>
      <c r="E52" s="33" t="n">
        <f aca="false">IF(D52="totale",(C52/(A52*24))/F52,IF(D52="marché libre",(C52/(A52*24))/G52,"spécifier histo"))</f>
        <v>0.871905742393045</v>
      </c>
      <c r="F52" s="59" t="n">
        <v>235</v>
      </c>
      <c r="G52" s="59" t="n">
        <f aca="false">F52-H52</f>
        <v>235</v>
      </c>
      <c r="H52" s="59" t="n">
        <v>0</v>
      </c>
      <c r="J52" s="208"/>
      <c r="K52" s="0"/>
    </row>
    <row r="53" customFormat="false" ht="19.85" hidden="false" customHeight="true" outlineLevel="0" collapsed="false">
      <c r="A53" s="0" t="n">
        <v>30</v>
      </c>
      <c r="B53" s="34" t="n">
        <v>42522</v>
      </c>
      <c r="C53" s="56" t="n">
        <v>124863</v>
      </c>
      <c r="D53" s="1" t="s">
        <v>42</v>
      </c>
      <c r="E53" s="33" t="n">
        <f aca="false">IF(D53="totale",(C53/(A53*24))/F53,IF(D53="marché libre",(C53/(A53*24))/G53,"spécifier histo"))</f>
        <v>0.737960992907801</v>
      </c>
      <c r="F53" s="59" t="n">
        <v>235</v>
      </c>
      <c r="G53" s="59" t="n">
        <f aca="false">F53-H53</f>
        <v>235</v>
      </c>
      <c r="H53" s="59" t="n">
        <v>0</v>
      </c>
      <c r="J53" s="208"/>
      <c r="K53" s="0"/>
    </row>
    <row r="54" customFormat="false" ht="19.85" hidden="false" customHeight="true" outlineLevel="0" collapsed="false">
      <c r="A54" s="0" t="n">
        <v>31</v>
      </c>
      <c r="B54" s="31" t="n">
        <v>42552</v>
      </c>
      <c r="C54" s="56" t="n">
        <v>20115</v>
      </c>
      <c r="D54" s="1" t="s">
        <v>42</v>
      </c>
      <c r="E54" s="33" t="n">
        <f aca="false">IF(D54="totale",(C54/(A54*24))/F54,IF(D54="marché libre",(C54/(A54*24))/G54,"spécifier histo"))</f>
        <v>0.115048043925875</v>
      </c>
      <c r="F54" s="59" t="n">
        <v>235</v>
      </c>
      <c r="G54" s="59" t="n">
        <f aca="false">F54-H54</f>
        <v>235</v>
      </c>
      <c r="H54" s="59" t="n">
        <v>0</v>
      </c>
      <c r="J54" s="208"/>
      <c r="K54" s="0"/>
    </row>
    <row r="55" customFormat="false" ht="19.85" hidden="false" customHeight="true" outlineLevel="0" collapsed="false">
      <c r="A55" s="0" t="n">
        <v>31</v>
      </c>
      <c r="B55" s="34" t="n">
        <v>42583</v>
      </c>
      <c r="C55" s="56" t="n">
        <v>14980</v>
      </c>
      <c r="D55" s="1" t="s">
        <v>42</v>
      </c>
      <c r="E55" s="33" t="n">
        <f aca="false">IF(D55="totale",(C55/(A55*24))/F55,IF(D55="marché libre",(C55/(A55*24))/G55,"spécifier histo"))</f>
        <v>0.0856783344772363</v>
      </c>
      <c r="F55" s="59" t="n">
        <v>235</v>
      </c>
      <c r="G55" s="59" t="n">
        <f aca="false">F55-H55</f>
        <v>235</v>
      </c>
      <c r="H55" s="59" t="n">
        <v>0</v>
      </c>
      <c r="J55" s="208"/>
      <c r="K55" s="0"/>
    </row>
    <row r="56" customFormat="false" ht="19.85" hidden="false" customHeight="true" outlineLevel="0" collapsed="false">
      <c r="A56" s="0" t="n">
        <v>30</v>
      </c>
      <c r="B56" s="31" t="n">
        <v>42614</v>
      </c>
      <c r="C56" s="56" t="n">
        <v>13675</v>
      </c>
      <c r="D56" s="1" t="s">
        <v>42</v>
      </c>
      <c r="E56" s="33" t="n">
        <f aca="false">IF(D56="totale",(C56/(A56*24))/F56,IF(D56="marché libre",(C56/(A56*24))/G56,"spécifier histo"))</f>
        <v>0.0808215130023641</v>
      </c>
      <c r="F56" s="59" t="n">
        <v>235</v>
      </c>
      <c r="G56" s="59" t="n">
        <f aca="false">F56-H56</f>
        <v>235</v>
      </c>
      <c r="H56" s="59" t="n">
        <v>0</v>
      </c>
      <c r="J56" s="208"/>
      <c r="K56" s="0"/>
    </row>
    <row r="57" customFormat="false" ht="19.85" hidden="false" customHeight="true" outlineLevel="0" collapsed="false">
      <c r="A57" s="0" t="n">
        <v>31</v>
      </c>
      <c r="B57" s="34" t="n">
        <v>42644</v>
      </c>
      <c r="C57" s="56" t="n">
        <v>24428</v>
      </c>
      <c r="D57" s="1" t="s">
        <v>42</v>
      </c>
      <c r="E57" s="33" t="n">
        <f aca="false">IF(D57="totale",(C57/(A57*24))/F57,IF(D57="marché libre",(C57/(A57*24))/G57,"spécifier histo"))</f>
        <v>0.139716312056738</v>
      </c>
      <c r="F57" s="59" t="n">
        <v>235</v>
      </c>
      <c r="G57" s="59" t="n">
        <f aca="false">F57-H57</f>
        <v>235</v>
      </c>
      <c r="H57" s="59" t="n">
        <v>0</v>
      </c>
      <c r="J57" s="208"/>
      <c r="K57" s="0"/>
    </row>
    <row r="58" customFormat="false" ht="19.85" hidden="false" customHeight="true" outlineLevel="0" collapsed="false">
      <c r="A58" s="0" t="n">
        <v>30</v>
      </c>
      <c r="B58" s="31" t="n">
        <v>42675</v>
      </c>
      <c r="C58" s="397" t="n">
        <v>8730</v>
      </c>
      <c r="D58" s="1" t="s">
        <v>42</v>
      </c>
      <c r="E58" s="33" t="n">
        <f aca="false">IF(D58="totale",(C58/(A58*24))/F58,IF(D58="marché libre",(C58/(A58*24))/G58,"spécifier histo"))</f>
        <v>0.0515957446808511</v>
      </c>
      <c r="F58" s="59" t="n">
        <v>235</v>
      </c>
      <c r="G58" s="59" t="n">
        <f aca="false">F58-H58</f>
        <v>235</v>
      </c>
      <c r="H58" s="59" t="n">
        <v>0</v>
      </c>
      <c r="J58" s="208"/>
      <c r="K58" s="0"/>
    </row>
    <row r="59" customFormat="false" ht="19.85" hidden="false" customHeight="true" outlineLevel="0" collapsed="false">
      <c r="A59" s="0" t="n">
        <v>31</v>
      </c>
      <c r="B59" s="34" t="n">
        <v>42705</v>
      </c>
      <c r="C59" s="397" t="n">
        <v>10953</v>
      </c>
      <c r="D59" s="1" t="s">
        <v>42</v>
      </c>
      <c r="E59" s="33" t="n">
        <f aca="false">IF(D59="totale",(C59/(A59*24))/F59,IF(D59="marché libre",(C59/(A59*24))/G59,"spécifier histo"))</f>
        <v>0.0626458476321208</v>
      </c>
      <c r="F59" s="59" t="n">
        <v>235</v>
      </c>
      <c r="G59" s="59" t="n">
        <f aca="false">F59-H59</f>
        <v>235</v>
      </c>
      <c r="H59" s="59" t="n">
        <v>0</v>
      </c>
      <c r="J59" s="208"/>
      <c r="K59" s="206"/>
    </row>
    <row r="60" customFormat="false" ht="19.85" hidden="false" customHeight="true" outlineLevel="0" collapsed="false">
      <c r="A60" s="0" t="n">
        <v>31</v>
      </c>
      <c r="B60" s="31" t="n">
        <v>42736</v>
      </c>
      <c r="C60" s="217" t="n">
        <v>44233</v>
      </c>
      <c r="D60" s="1" t="s">
        <v>42</v>
      </c>
      <c r="E60" s="33" t="n">
        <f aca="false">IF(D60="totale",(C60/(A60*24))/F60,IF(D60="marché libre",(C60/(A60*24))/G60,"spécifier histo"))</f>
        <v>0.252991306337223</v>
      </c>
      <c r="F60" s="59" t="n">
        <v>235</v>
      </c>
      <c r="G60" s="59" t="n">
        <f aca="false">F60-H60</f>
        <v>235</v>
      </c>
      <c r="H60" s="59" t="n">
        <v>0</v>
      </c>
      <c r="J60" s="216"/>
      <c r="K60" s="206"/>
    </row>
    <row r="61" customFormat="false" ht="19.85" hidden="false" customHeight="true" outlineLevel="0" collapsed="false">
      <c r="A61" s="0" t="n">
        <v>28</v>
      </c>
      <c r="B61" s="34" t="n">
        <v>42767</v>
      </c>
      <c r="C61" s="217" t="n">
        <v>92282</v>
      </c>
      <c r="D61" s="1" t="s">
        <v>42</v>
      </c>
      <c r="E61" s="33" t="n">
        <f aca="false">IF(D61="totale",(C61/(A61*24))/F61,IF(D61="marché libre",(C61/(A61*24))/G61,"spécifier histo"))</f>
        <v>0.584359169199595</v>
      </c>
      <c r="F61" s="59" t="n">
        <v>235</v>
      </c>
      <c r="G61" s="59" t="n">
        <f aca="false">F61-H61</f>
        <v>235</v>
      </c>
      <c r="H61" s="59" t="n">
        <v>0</v>
      </c>
      <c r="J61" s="208"/>
      <c r="K61" s="206"/>
    </row>
    <row r="62" customFormat="false" ht="19.85" hidden="false" customHeight="true" outlineLevel="0" collapsed="false">
      <c r="A62" s="0" t="n">
        <v>31</v>
      </c>
      <c r="B62" s="31" t="n">
        <v>42795</v>
      </c>
      <c r="C62" s="217" t="n">
        <v>120714</v>
      </c>
      <c r="D62" s="1" t="s">
        <v>42</v>
      </c>
      <c r="E62" s="33" t="n">
        <f aca="false">IF(D62="totale",(C62/(A62*24))/F62,IF(D62="marché libre",(C62/(A62*24))/G62,"spécifier histo"))</f>
        <v>0.690425531914894</v>
      </c>
      <c r="F62" s="59" t="n">
        <v>235</v>
      </c>
      <c r="G62" s="59" t="n">
        <f aca="false">F62-H62</f>
        <v>235</v>
      </c>
      <c r="H62" s="59" t="n">
        <v>0</v>
      </c>
      <c r="J62" s="208"/>
      <c r="K62" s="206"/>
    </row>
    <row r="63" customFormat="false" ht="19.85" hidden="false" customHeight="true" outlineLevel="0" collapsed="false">
      <c r="A63" s="0" t="n">
        <v>30</v>
      </c>
      <c r="B63" s="34" t="n">
        <v>42826</v>
      </c>
      <c r="C63" s="217" t="n">
        <v>134339</v>
      </c>
      <c r="D63" s="1" t="s">
        <v>42</v>
      </c>
      <c r="E63" s="33" t="n">
        <f aca="false">IF(D63="totale",(C63/(A63*24))/F63,IF(D63="marché libre",(C63/(A63*24))/G63,"spécifier histo"))</f>
        <v>0.793965721040189</v>
      </c>
      <c r="F63" s="59" t="n">
        <v>235</v>
      </c>
      <c r="G63" s="59" t="n">
        <f aca="false">F63-H63</f>
        <v>235</v>
      </c>
      <c r="H63" s="59" t="n">
        <v>0</v>
      </c>
      <c r="J63" s="208"/>
      <c r="K63" s="206"/>
    </row>
    <row r="64" customFormat="false" ht="19.85" hidden="false" customHeight="true" outlineLevel="0" collapsed="false">
      <c r="A64" s="0" t="n">
        <v>31</v>
      </c>
      <c r="B64" s="31" t="n">
        <v>42856</v>
      </c>
      <c r="C64" s="217" t="n">
        <v>153502</v>
      </c>
      <c r="D64" s="1" t="s">
        <v>42</v>
      </c>
      <c r="E64" s="33" t="n">
        <f aca="false">IF(D64="totale",(C64/(A64*24))/F64,IF(D64="marché libre",(C64/(A64*24))/G64,"spécifier histo"))</f>
        <v>0.877956989247312</v>
      </c>
      <c r="F64" s="59" t="n">
        <v>235</v>
      </c>
      <c r="G64" s="59" t="n">
        <f aca="false">F64-H64</f>
        <v>235</v>
      </c>
      <c r="H64" s="59" t="n">
        <v>0</v>
      </c>
      <c r="J64" s="208"/>
      <c r="K64" s="206"/>
    </row>
    <row r="65" customFormat="false" ht="22.45" hidden="false" customHeight="true" outlineLevel="0" collapsed="false">
      <c r="A65" s="0" t="n">
        <v>30</v>
      </c>
      <c r="B65" s="34" t="n">
        <v>42887</v>
      </c>
      <c r="C65" s="217" t="n">
        <v>90946</v>
      </c>
      <c r="D65" s="1" t="s">
        <v>42</v>
      </c>
      <c r="E65" s="33" t="n">
        <f aca="false">IF(D65="totale",(C65/(A65*24))/F65,IF(D65="marché libre",(C65/(A65*24))/G65,"spécifier histo"))</f>
        <v>0.537505910165485</v>
      </c>
      <c r="F65" s="59" t="n">
        <v>235</v>
      </c>
      <c r="G65" s="59" t="n">
        <f aca="false">F65-H65</f>
        <v>235</v>
      </c>
      <c r="H65" s="59" t="n">
        <v>0</v>
      </c>
      <c r="J65" s="208"/>
      <c r="K65" s="206"/>
    </row>
    <row r="66" customFormat="false" ht="21.65" hidden="false" customHeight="true" outlineLevel="0" collapsed="false">
      <c r="A66" s="0" t="n">
        <v>31</v>
      </c>
      <c r="B66" s="31" t="n">
        <v>42917</v>
      </c>
      <c r="C66" s="217" t="n">
        <v>14826</v>
      </c>
      <c r="D66" s="1" t="s">
        <v>42</v>
      </c>
      <c r="E66" s="33" t="n">
        <f aca="false">IF(D66="totale",(C66/(A66*24))/F66,IF(D66="marché libre",(C66/(A66*24))/G66,"spécifier histo"))</f>
        <v>0.0847975291695264</v>
      </c>
      <c r="F66" s="59" t="n">
        <v>235</v>
      </c>
      <c r="G66" s="59" t="n">
        <f aca="false">F66-H66</f>
        <v>235</v>
      </c>
      <c r="H66" s="59" t="n">
        <v>0</v>
      </c>
      <c r="J66" s="208"/>
      <c r="K66" s="206"/>
    </row>
    <row r="67" customFormat="false" ht="21.65" hidden="false" customHeight="true" outlineLevel="0" collapsed="false">
      <c r="A67" s="0" t="n">
        <v>31</v>
      </c>
      <c r="B67" s="34" t="n">
        <v>42948</v>
      </c>
      <c r="C67" s="217" t="n">
        <v>10906</v>
      </c>
      <c r="D67" s="1" t="s">
        <v>42</v>
      </c>
      <c r="E67" s="33" t="n">
        <f aca="false">IF(D67="totale",(C67/(A67*24))/F67,IF(D67="marché libre",(C67/(A67*24))/G67,"spécifier histo"))</f>
        <v>0.0623770304278197</v>
      </c>
      <c r="F67" s="59" t="n">
        <v>235</v>
      </c>
      <c r="G67" s="59" t="n">
        <f aca="false">F67-H67</f>
        <v>235</v>
      </c>
      <c r="H67" s="59" t="n">
        <v>0</v>
      </c>
      <c r="J67" s="208"/>
      <c r="K67" s="206"/>
    </row>
    <row r="68" customFormat="false" ht="21.65" hidden="false" customHeight="true" outlineLevel="0" collapsed="false">
      <c r="A68" s="0" t="n">
        <v>30</v>
      </c>
      <c r="B68" s="31" t="n">
        <v>42979</v>
      </c>
      <c r="C68" s="217" t="n">
        <v>5121</v>
      </c>
      <c r="D68" s="1" t="s">
        <v>42</v>
      </c>
      <c r="E68" s="33" t="n">
        <f aca="false">IF(D68="totale",(C68/(A68*24))/F68,IF(D68="marché libre",(C68/(A68*24))/G68,"spécifier histo"))</f>
        <v>0.0302659574468085</v>
      </c>
      <c r="F68" s="59" t="n">
        <v>235</v>
      </c>
      <c r="G68" s="59" t="n">
        <f aca="false">F68-H68</f>
        <v>235</v>
      </c>
      <c r="H68" s="59" t="n">
        <v>0</v>
      </c>
      <c r="J68" s="208"/>
      <c r="K68" s="206"/>
    </row>
    <row r="69" customFormat="false" ht="21.65" hidden="false" customHeight="true" outlineLevel="0" collapsed="false">
      <c r="A69" s="0" t="n">
        <v>31</v>
      </c>
      <c r="B69" s="34" t="n">
        <v>43009</v>
      </c>
      <c r="C69" s="217" t="n">
        <v>14838</v>
      </c>
      <c r="D69" s="1" t="s">
        <v>42</v>
      </c>
      <c r="E69" s="33" t="n">
        <f aca="false">IF(D69="totale",(C69/(A69*24))/F69,IF(D69="marché libre",(C69/(A69*24))/G69,"spécifier histo"))</f>
        <v>0.084866163349348</v>
      </c>
      <c r="F69" s="59" t="n">
        <v>235</v>
      </c>
      <c r="G69" s="59" t="n">
        <f aca="false">F69-H69</f>
        <v>235</v>
      </c>
      <c r="H69" s="59" t="n">
        <v>0</v>
      </c>
      <c r="J69" s="208"/>
      <c r="K69" s="206"/>
    </row>
    <row r="70" customFormat="false" ht="21.65" hidden="false" customHeight="true" outlineLevel="0" collapsed="false">
      <c r="A70" s="0" t="n">
        <v>30</v>
      </c>
      <c r="B70" s="31" t="n">
        <v>43040</v>
      </c>
      <c r="C70" s="217" t="n">
        <v>26830</v>
      </c>
      <c r="D70" s="1" t="s">
        <v>42</v>
      </c>
      <c r="E70" s="33" t="n">
        <f aca="false">IF(D70="totale",(C70/(A70*24))/F70,IF(D70="marché libre",(C70/(A70*24))/G70,"spécifier histo"))</f>
        <v>0.158569739952719</v>
      </c>
      <c r="F70" s="59" t="n">
        <v>235</v>
      </c>
      <c r="G70" s="59" t="n">
        <f aca="false">F70-H70</f>
        <v>235</v>
      </c>
      <c r="H70" s="59" t="n">
        <v>0</v>
      </c>
      <c r="J70" s="208"/>
      <c r="K70" s="206"/>
    </row>
    <row r="71" customFormat="false" ht="21.65" hidden="false" customHeight="true" outlineLevel="0" collapsed="false">
      <c r="A71" s="0" t="n">
        <v>31</v>
      </c>
      <c r="B71" s="34" t="n">
        <v>43070</v>
      </c>
      <c r="C71" s="217" t="n">
        <v>83147</v>
      </c>
      <c r="D71" s="1" t="s">
        <v>42</v>
      </c>
      <c r="E71" s="33" t="n">
        <f aca="false">IF(D71="totale",(C71/(A71*24))/F71,IF(D71="marché libre",(C71/(A71*24))/G71,"spécifier histo"))</f>
        <v>0.475560512468543</v>
      </c>
      <c r="F71" s="59" t="n">
        <v>235</v>
      </c>
      <c r="G71" s="59" t="n">
        <f aca="false">F71-H71</f>
        <v>235</v>
      </c>
      <c r="H71" s="59" t="n">
        <v>0</v>
      </c>
      <c r="J71" s="208"/>
      <c r="K71" s="206"/>
    </row>
    <row r="72" customFormat="false" ht="28.35" hidden="false" customHeight="true" outlineLevel="0" collapsed="false">
      <c r="A72" s="0" t="n">
        <v>31</v>
      </c>
      <c r="B72" s="31" t="n">
        <v>43101</v>
      </c>
      <c r="C72" s="135" t="n">
        <v>116709</v>
      </c>
      <c r="D72" s="1" t="s">
        <v>42</v>
      </c>
      <c r="E72" s="33" t="n">
        <f aca="false">IF(D72="totale",(C72/(A72*24))/F72,IF(D72="marché libre",(C72/(A72*24))/G72,"spécifier histo"))</f>
        <v>0.667518874399451</v>
      </c>
      <c r="F72" s="59" t="n">
        <v>235</v>
      </c>
      <c r="G72" s="59" t="n">
        <f aca="false">F72-H72</f>
        <v>235</v>
      </c>
      <c r="H72" s="59" t="n">
        <v>0</v>
      </c>
      <c r="J72" s="216"/>
      <c r="K72" s="206"/>
    </row>
    <row r="73" customFormat="false" ht="28.35" hidden="false" customHeight="true" outlineLevel="0" collapsed="false">
      <c r="A73" s="0" t="n">
        <v>28</v>
      </c>
      <c r="B73" s="34" t="n">
        <v>43132</v>
      </c>
      <c r="C73" s="135" t="n">
        <v>117179</v>
      </c>
      <c r="D73" s="1" t="s">
        <v>42</v>
      </c>
      <c r="E73" s="33" t="n">
        <f aca="false">IF(D73="totale",(C73/(A73*24))/F73,IF(D73="marché libre",(C73/(A73*24))/G73,"spécifier histo"))</f>
        <v>0.742014944275583</v>
      </c>
      <c r="F73" s="59" t="n">
        <v>235</v>
      </c>
      <c r="G73" s="59" t="n">
        <f aca="false">F73-H73</f>
        <v>235</v>
      </c>
      <c r="H73" s="59" t="n">
        <v>0</v>
      </c>
      <c r="J73" s="180"/>
      <c r="K73" s="206"/>
    </row>
    <row r="74" customFormat="false" ht="28.35" hidden="false" customHeight="true" outlineLevel="0" collapsed="false">
      <c r="A74" s="0" t="n">
        <v>31</v>
      </c>
      <c r="B74" s="31" t="n">
        <v>43160</v>
      </c>
      <c r="C74" s="135" t="n">
        <v>174084</v>
      </c>
      <c r="D74" s="1" t="s">
        <v>42</v>
      </c>
      <c r="E74" s="33" t="n">
        <f aca="false">IF(D74="totale",(C74/(A74*24))/F74,IF(D74="marché libre",(C74/(A74*24))/G74,"spécifier histo"))</f>
        <v>0.995676046671242</v>
      </c>
      <c r="F74" s="59" t="n">
        <v>235</v>
      </c>
      <c r="G74" s="59" t="n">
        <f aca="false">F74-H74</f>
        <v>235</v>
      </c>
      <c r="H74" s="59" t="n">
        <v>0</v>
      </c>
      <c r="J74" s="180"/>
      <c r="K74" s="206"/>
    </row>
    <row r="75" customFormat="false" ht="28.35" hidden="false" customHeight="true" outlineLevel="0" collapsed="false">
      <c r="A75" s="0" t="n">
        <v>30</v>
      </c>
      <c r="B75" s="34" t="n">
        <v>43191</v>
      </c>
      <c r="C75" s="135" t="n">
        <v>152506</v>
      </c>
      <c r="D75" s="1" t="s">
        <v>42</v>
      </c>
      <c r="E75" s="33" t="n">
        <f aca="false">IF(D75="totale",(C75/(A75*24))/F75,IF(D75="marché libre",(C75/(A75*24))/G75,"spécifier histo"))</f>
        <v>0.901335697399527</v>
      </c>
      <c r="F75" s="59" t="n">
        <v>235</v>
      </c>
      <c r="G75" s="59" t="n">
        <f aca="false">F75-H75</f>
        <v>235</v>
      </c>
      <c r="H75" s="59" t="n">
        <v>0</v>
      </c>
      <c r="J75" s="180"/>
      <c r="K75" s="206"/>
    </row>
    <row r="76" customFormat="false" ht="28.35" hidden="false" customHeight="true" outlineLevel="0" collapsed="false">
      <c r="A76" s="0" t="n">
        <v>31</v>
      </c>
      <c r="B76" s="31" t="n">
        <v>43221</v>
      </c>
      <c r="C76" s="135" t="n">
        <v>123163</v>
      </c>
      <c r="D76" s="1" t="s">
        <v>42</v>
      </c>
      <c r="E76" s="33" t="n">
        <f aca="false">IF(D76="totale",(C76/(A76*24))/F76,IF(D76="marché libre",(C76/(A76*24))/G76,"spécifier histo"))</f>
        <v>0.704432624113475</v>
      </c>
      <c r="F76" s="59" t="n">
        <v>235</v>
      </c>
      <c r="G76" s="59" t="n">
        <f aca="false">F76-H76</f>
        <v>235</v>
      </c>
      <c r="H76" s="59" t="n">
        <v>0</v>
      </c>
      <c r="J76" s="180"/>
      <c r="K76" s="206"/>
    </row>
    <row r="77" customFormat="false" ht="28.35" hidden="false" customHeight="true" outlineLevel="0" collapsed="false">
      <c r="A77" s="0" t="n">
        <v>30</v>
      </c>
      <c r="B77" s="34" t="n">
        <v>43252</v>
      </c>
      <c r="C77" s="135" t="n">
        <v>108726</v>
      </c>
      <c r="D77" s="1" t="s">
        <v>42</v>
      </c>
      <c r="E77" s="33" t="n">
        <f aca="false">IF(D77="totale",(C77/(A77*24))/F77,IF(D77="marché libre",(C77/(A77*24))/G77,"spécifier histo"))</f>
        <v>0.64258865248227</v>
      </c>
      <c r="F77" s="59" t="n">
        <v>235</v>
      </c>
      <c r="G77" s="59" t="n">
        <f aca="false">F77-H77</f>
        <v>235</v>
      </c>
      <c r="H77" s="59" t="n">
        <v>0</v>
      </c>
      <c r="J77" s="180"/>
    </row>
    <row r="78" customFormat="false" ht="28.35" hidden="false" customHeight="true" outlineLevel="0" collapsed="false">
      <c r="A78" s="0" t="n">
        <v>31</v>
      </c>
      <c r="B78" s="31" t="n">
        <v>43282</v>
      </c>
      <c r="C78" s="135" t="n">
        <v>138355</v>
      </c>
      <c r="D78" s="1" t="s">
        <v>42</v>
      </c>
      <c r="E78" s="33" t="n">
        <f aca="false">IF(D78="totale",(C78/(A78*24))/F78,IF(D78="marché libre",(C78/(A78*24))/G78,"spécifier histo"))</f>
        <v>0.791323495767559</v>
      </c>
      <c r="F78" s="59" t="n">
        <v>235</v>
      </c>
      <c r="G78" s="59" t="n">
        <f aca="false">F78-H78</f>
        <v>235</v>
      </c>
      <c r="H78" s="59" t="n">
        <v>0</v>
      </c>
      <c r="J78" s="180"/>
    </row>
    <row r="79" customFormat="false" ht="28.35" hidden="false" customHeight="true" outlineLevel="0" collapsed="false">
      <c r="A79" s="0" t="n">
        <v>31</v>
      </c>
      <c r="B79" s="34" t="n">
        <v>43313</v>
      </c>
      <c r="C79" s="135" t="n">
        <v>20124</v>
      </c>
      <c r="D79" s="1" t="s">
        <v>42</v>
      </c>
      <c r="E79" s="33" t="n">
        <f aca="false">IF(D79="totale",(C79/(A79*24))/F79,IF(D79="marché libre",(C79/(A79*24))/G79,"spécifier histo"))</f>
        <v>0.115099519560741</v>
      </c>
      <c r="F79" s="59" t="n">
        <v>235</v>
      </c>
      <c r="G79" s="59" t="n">
        <f aca="false">F79-H79</f>
        <v>235</v>
      </c>
      <c r="H79" s="59" t="n">
        <v>0</v>
      </c>
      <c r="J79" s="180"/>
    </row>
    <row r="80" customFormat="false" ht="28.35" hidden="false" customHeight="true" outlineLevel="0" collapsed="false">
      <c r="A80" s="0" t="n">
        <v>30</v>
      </c>
      <c r="B80" s="31" t="n">
        <v>43344</v>
      </c>
      <c r="C80" s="135" t="n">
        <v>13989</v>
      </c>
      <c r="D80" s="1" t="s">
        <v>42</v>
      </c>
      <c r="E80" s="33" t="n">
        <f aca="false">IF(D80="totale",(C80/(A80*24))/F80,IF(D80="marché libre",(C80/(A80*24))/G80,"spécifier histo"))</f>
        <v>0.082677304964539</v>
      </c>
      <c r="F80" s="59" t="n">
        <v>235</v>
      </c>
      <c r="G80" s="59" t="n">
        <f aca="false">F80-H80</f>
        <v>235</v>
      </c>
      <c r="H80" s="59" t="n">
        <v>0</v>
      </c>
      <c r="J80" s="180"/>
    </row>
    <row r="81" customFormat="false" ht="28.35" hidden="false" customHeight="true" outlineLevel="0" collapsed="false">
      <c r="A81" s="0"/>
      <c r="J81" s="180"/>
    </row>
    <row r="82" customFormat="false" ht="28.35" hidden="false" customHeight="true" outlineLevel="0" collapsed="false">
      <c r="A82" s="0"/>
      <c r="J82" s="180"/>
    </row>
    <row r="83" customFormat="false" ht="28.35" hidden="false" customHeight="true" outlineLevel="0" collapsed="false">
      <c r="A83" s="0"/>
      <c r="J83" s="180"/>
    </row>
    <row r="84" customFormat="false" ht="28.35" hidden="false" customHeight="true" outlineLevel="0" collapsed="false">
      <c r="A84" s="0"/>
      <c r="J84" s="180"/>
    </row>
    <row r="85" customFormat="false" ht="28.35" hidden="false" customHeight="true" outlineLevel="0" collapsed="false">
      <c r="A85" s="0"/>
      <c r="J85" s="180"/>
    </row>
    <row r="86" customFormat="false" ht="28.35" hidden="false" customHeight="true" outlineLevel="0" collapsed="false">
      <c r="A86" s="0"/>
      <c r="J86" s="180"/>
    </row>
    <row r="87" customFormat="false" ht="12.8" hidden="false" customHeight="false" outlineLevel="0" collapsed="false">
      <c r="A87" s="0"/>
      <c r="J87" s="180"/>
    </row>
    <row r="88" customFormat="false" ht="12.8" hidden="false" customHeight="false" outlineLevel="0" collapsed="false">
      <c r="A88" s="0"/>
      <c r="J88" s="180"/>
    </row>
    <row r="89" customFormat="false" ht="12.8" hidden="false" customHeight="false" outlineLevel="0" collapsed="false">
      <c r="A89" s="0"/>
      <c r="J89" s="180"/>
    </row>
    <row r="90" customFormat="false" ht="12.8" hidden="false" customHeight="false" outlineLevel="0" collapsed="false">
      <c r="A90" s="0"/>
      <c r="J90" s="180"/>
    </row>
    <row r="91" customFormat="false" ht="12.8" hidden="false" customHeight="false" outlineLevel="0" collapsed="false">
      <c r="A91" s="0"/>
      <c r="J91" s="180"/>
    </row>
    <row r="92" customFormat="false" ht="12.8" hidden="false" customHeight="false" outlineLevel="0" collapsed="false">
      <c r="A92" s="0"/>
      <c r="J92" s="180"/>
    </row>
    <row r="93" customFormat="false" ht="12.8" hidden="false" customHeight="false" outlineLevel="0" collapsed="false">
      <c r="A93" s="0"/>
      <c r="J93" s="180"/>
    </row>
    <row r="94" customFormat="false" ht="12.8" hidden="false" customHeight="false" outlineLevel="0" collapsed="false">
      <c r="A94" s="0"/>
      <c r="J94" s="180"/>
    </row>
    <row r="95" customFormat="false" ht="12.8" hidden="false" customHeight="false" outlineLevel="0" collapsed="false">
      <c r="A95" s="0"/>
      <c r="J95" s="180"/>
    </row>
    <row r="96" customFormat="false" ht="12.8" hidden="false" customHeight="false" outlineLevel="0" collapsed="false">
      <c r="A96" s="0"/>
      <c r="J96" s="180"/>
    </row>
    <row r="97" customFormat="false" ht="12.8" hidden="false" customHeight="false" outlineLevel="0" collapsed="false">
      <c r="A97" s="0"/>
      <c r="J97" s="180"/>
    </row>
    <row r="98" customFormat="false" ht="12.8" hidden="false" customHeight="false" outlineLevel="0" collapsed="false">
      <c r="A98" s="0"/>
      <c r="J98" s="180"/>
    </row>
    <row r="99" customFormat="false" ht="12.8" hidden="false" customHeight="false" outlineLevel="0" collapsed="false">
      <c r="A99" s="0"/>
    </row>
    <row r="100" customFormat="false" ht="12.8" hidden="false" customHeight="false" outlineLevel="0" collapsed="false">
      <c r="A100" s="0"/>
    </row>
    <row r="101" customFormat="false" ht="12.8" hidden="false" customHeight="false" outlineLevel="0" collapsed="false">
      <c r="A101" s="0"/>
    </row>
    <row r="102" customFormat="false" ht="12.8" hidden="false" customHeight="false" outlineLevel="0" collapsed="false">
      <c r="A102" s="0"/>
    </row>
    <row r="103" customFormat="false" ht="12.8" hidden="false" customHeight="false" outlineLevel="0" collapsed="false">
      <c r="A103" s="0"/>
    </row>
    <row r="104" customFormat="false" ht="12.8" hidden="false" customHeight="false" outlineLevel="0" collapsed="false">
      <c r="A104" s="0"/>
    </row>
    <row r="105" customFormat="false" ht="12.8" hidden="false" customHeight="false" outlineLevel="0" collapsed="false">
      <c r="A105" s="0"/>
    </row>
    <row r="106" customFormat="false" ht="12.8" hidden="false" customHeight="false" outlineLevel="0" collapsed="false">
      <c r="A106" s="0"/>
    </row>
    <row r="107" customFormat="false" ht="12.8" hidden="false" customHeight="false" outlineLevel="0" collapsed="false">
      <c r="A107" s="0"/>
    </row>
    <row r="108" customFormat="false" ht="12.8" hidden="false" customHeight="false" outlineLevel="0" collapsed="false">
      <c r="A108" s="0"/>
    </row>
    <row r="109" customFormat="false" ht="12.8" hidden="false" customHeight="false" outlineLevel="0" collapsed="false">
      <c r="A109" s="0"/>
    </row>
    <row r="110" customFormat="false" ht="12.8" hidden="false" customHeight="false" outlineLevel="0" collapsed="false">
      <c r="A110" s="0"/>
    </row>
    <row r="111" customFormat="false" ht="12.8" hidden="false" customHeight="false" outlineLevel="0" collapsed="false">
      <c r="A111" s="0"/>
    </row>
    <row r="112" customFormat="false" ht="12.8" hidden="false" customHeight="false" outlineLevel="0" collapsed="false">
      <c r="A112" s="0"/>
    </row>
    <row r="113" customFormat="false" ht="12.8" hidden="false" customHeight="false" outlineLevel="0" collapsed="false">
      <c r="A113" s="0"/>
    </row>
    <row r="114" customFormat="false" ht="12.8" hidden="false" customHeight="false" outlineLevel="0" collapsed="false">
      <c r="A114"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8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G6" r:id="rId1" display="Données demandées de décembre 2013 / janvier 2014 et d’avant 2012.  christian.peyres@sfr.fr"/>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4.xml><?xml version="1.0" encoding="utf-8"?>
<worksheet xmlns="http://schemas.openxmlformats.org/spreadsheetml/2006/main" xmlns:r="http://schemas.openxmlformats.org/officeDocument/2006/relationships">
  <sheetPr filterMode="false">
    <tabColor rgb="FF00CC33"/>
    <pageSetUpPr fitToPage="false"/>
  </sheetPr>
  <dimension ref="A1:AC25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A8" activeCellId="0" sqref="A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85"/>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56" width="24.68"/>
    <col collapsed="false" customWidth="true" hidden="false" outlineLevel="0" max="11" min="11" style="256" width="19.45"/>
    <col collapsed="false" customWidth="true" hidden="false" outlineLevel="0" max="12" min="12" style="256" width="24.54"/>
    <col collapsed="false" customWidth="false" hidden="false" outlineLevel="0" max="13" min="13" style="256" width="11.52"/>
    <col collapsed="false" customWidth="true" hidden="false" outlineLevel="0" max="14" min="14" style="256" width="10.8"/>
    <col collapsed="false" customWidth="true" hidden="false" outlineLevel="0" max="15" min="15" style="256" width="4.02"/>
    <col collapsed="false" customWidth="false" hidden="false" outlineLevel="0" max="16" min="16" style="256" width="11.52"/>
    <col collapsed="false" customWidth="true" hidden="false" outlineLevel="0" max="17" min="17" style="256" width="15.28"/>
    <col collapsed="false" customWidth="true" hidden="false" outlineLevel="0" max="18" min="18" style="256" width="8.33"/>
    <col collapsed="false" customWidth="false" hidden="false" outlineLevel="0" max="20" min="19" style="256" width="11.52"/>
    <col collapsed="false" customWidth="false" hidden="false" outlineLevel="0" max="1025" min="21" style="1" width="11.52"/>
  </cols>
  <sheetData>
    <row r="1" s="1" customFormat="true" ht="30.8" hidden="false" customHeight="true" outlineLevel="0" collapsed="false">
      <c r="A1" s="122" t="s">
        <v>108</v>
      </c>
      <c r="B1" s="2" t="s">
        <v>0</v>
      </c>
      <c r="C1" s="2"/>
      <c r="D1" s="2"/>
      <c r="E1" s="2"/>
      <c r="F1" s="3" t="s">
        <v>1</v>
      </c>
      <c r="G1" s="3"/>
      <c r="H1" s="3"/>
      <c r="I1" s="3"/>
      <c r="J1" s="3"/>
      <c r="K1" s="3"/>
      <c r="L1" s="3"/>
      <c r="M1" s="3"/>
      <c r="N1" s="3"/>
    </row>
    <row r="2" s="1" customFormat="true" ht="30.8" hidden="false" customHeight="true" outlineLevel="0" collapsed="false">
      <c r="A2" s="0" t="s">
        <v>611</v>
      </c>
      <c r="B2" s="2"/>
      <c r="C2" s="2"/>
      <c r="D2" s="2"/>
      <c r="E2" s="2"/>
      <c r="F2" s="3" t="s">
        <v>2</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16" t="s">
        <v>612</v>
      </c>
      <c r="C4" s="16" t="n">
        <v>62038</v>
      </c>
      <c r="D4" s="5" t="s">
        <v>613</v>
      </c>
      <c r="E4" s="14" t="s">
        <v>614</v>
      </c>
      <c r="F4" s="15" t="n">
        <v>5000</v>
      </c>
      <c r="G4" s="15" t="n">
        <v>3800</v>
      </c>
      <c r="H4" s="15" t="n">
        <v>2500</v>
      </c>
      <c r="I4" s="16" t="s">
        <v>615</v>
      </c>
      <c r="J4" s="15" t="n">
        <v>2500</v>
      </c>
      <c r="K4" s="16" t="s">
        <v>616</v>
      </c>
      <c r="L4" s="16" t="s">
        <v>48</v>
      </c>
      <c r="M4" s="16" t="n">
        <v>2500</v>
      </c>
      <c r="N4" s="4"/>
      <c r="P4" s="17"/>
      <c r="Q4" s="16" t="s">
        <v>23</v>
      </c>
      <c r="S4" s="18"/>
      <c r="T4" s="19" t="s">
        <v>24</v>
      </c>
      <c r="U4" s="19"/>
      <c r="V4" s="19"/>
    </row>
    <row r="5" s="1" customFormat="true" ht="28.35" hidden="false" customHeight="true" outlineLevel="0" collapsed="false">
      <c r="A5" s="0"/>
      <c r="F5" s="9"/>
      <c r="G5" s="9"/>
      <c r="H5" s="9"/>
      <c r="J5" s="9" t="s">
        <v>617</v>
      </c>
      <c r="P5" s="9"/>
      <c r="Q5" s="9"/>
    </row>
    <row r="6" s="1" customFormat="true" ht="28.35" hidden="false" customHeight="true" outlineLevel="0" collapsed="false">
      <c r="A6" s="0"/>
      <c r="B6" s="0"/>
      <c r="C6" s="10" t="s">
        <v>25</v>
      </c>
      <c r="D6" s="10"/>
      <c r="F6" s="20" t="s">
        <v>26</v>
      </c>
      <c r="G6" s="19" t="s">
        <v>618</v>
      </c>
      <c r="H6" s="19"/>
      <c r="I6" s="19"/>
      <c r="J6" s="19"/>
      <c r="K6" s="19"/>
      <c r="L6" s="19"/>
      <c r="M6" s="19"/>
      <c r="N6" s="19"/>
      <c r="P6" s="21" t="n">
        <v>42461</v>
      </c>
      <c r="Q6" s="19" t="s">
        <v>27</v>
      </c>
      <c r="R6" s="9"/>
      <c r="S6" s="22"/>
      <c r="T6" s="5" t="s">
        <v>28</v>
      </c>
    </row>
    <row r="7" s="1" customFormat="true" ht="66.9" hidden="false" customHeight="true" outlineLevel="0" collapsed="false">
      <c r="A7" s="0"/>
      <c r="B7" s="0"/>
      <c r="C7" s="23" t="s">
        <v>619</v>
      </c>
      <c r="D7" s="23"/>
      <c r="F7" s="20"/>
      <c r="G7" s="20"/>
      <c r="H7" s="19"/>
      <c r="I7" s="19"/>
      <c r="J7" s="19"/>
      <c r="K7" s="19"/>
      <c r="L7" s="19"/>
      <c r="M7" s="19"/>
      <c r="N7" s="19"/>
      <c r="P7" s="24"/>
      <c r="Q7" s="5" t="s">
        <v>29</v>
      </c>
      <c r="R7" s="9"/>
      <c r="S7" s="25"/>
      <c r="T7" s="5" t="s">
        <v>30</v>
      </c>
    </row>
    <row r="8" s="1" customFormat="true" ht="42.45" hidden="false" customHeight="true" outlineLevel="0" collapsed="false">
      <c r="A8" s="26"/>
      <c r="C8" s="0"/>
      <c r="F8" s="9"/>
      <c r="G8" s="9"/>
      <c r="H8" s="9"/>
      <c r="J8" s="9"/>
      <c r="R8" s="9"/>
      <c r="S8" s="27"/>
      <c r="T8" s="16" t="s">
        <v>31</v>
      </c>
    </row>
    <row r="9" s="1" customFormat="true" ht="39.95" hidden="false" customHeight="true" outlineLevel="0" collapsed="false">
      <c r="A9" s="26"/>
      <c r="B9" s="9" t="s">
        <v>32</v>
      </c>
      <c r="C9" s="1" t="s">
        <v>33</v>
      </c>
      <c r="D9" s="0"/>
      <c r="E9" s="1" t="s">
        <v>35</v>
      </c>
      <c r="F9" s="9" t="s">
        <v>36</v>
      </c>
      <c r="G9" s="9" t="s">
        <v>37</v>
      </c>
      <c r="H9" s="9" t="s">
        <v>38</v>
      </c>
      <c r="I9" s="9" t="s">
        <v>39</v>
      </c>
      <c r="J9" s="205" t="s">
        <v>40</v>
      </c>
    </row>
    <row r="10" s="1" customFormat="true" ht="21.95" hidden="false" customHeight="true" outlineLevel="0" collapsed="false">
      <c r="A10" s="0" t="n">
        <v>31</v>
      </c>
      <c r="B10" s="31" t="n">
        <v>36892</v>
      </c>
      <c r="C10" s="59" t="n">
        <v>1136186</v>
      </c>
      <c r="D10" s="58" t="s">
        <v>41</v>
      </c>
      <c r="E10" s="33" t="n">
        <f aca="false">IF(D10="totale",(C10/(A10*24))/F10,IF(D10="marché libre",(C10/(A10*24))/G10,"spécifier histo"))</f>
        <v>0.401876768534239</v>
      </c>
      <c r="F10" s="59" t="n">
        <v>3800</v>
      </c>
      <c r="G10" s="59" t="n">
        <f aca="false">F10-H10</f>
        <v>3800</v>
      </c>
      <c r="H10" s="58" t="n">
        <v>0</v>
      </c>
      <c r="I10" s="9"/>
      <c r="J10" s="205"/>
    </row>
    <row r="11" s="1" customFormat="true" ht="21.95" hidden="false" customHeight="true" outlineLevel="0" collapsed="false">
      <c r="A11" s="0" t="n">
        <v>28</v>
      </c>
      <c r="B11" s="34" t="n">
        <v>36923</v>
      </c>
      <c r="C11" s="59" t="n">
        <v>1608428</v>
      </c>
      <c r="D11" s="58" t="s">
        <v>41</v>
      </c>
      <c r="E11" s="33" t="n">
        <f aca="false">IF(D11="totale",(C11/(A11*24))/F11,IF(D11="marché libre",(C11/(A11*24))/G11,"spécifier histo"))</f>
        <v>0.629866854636592</v>
      </c>
      <c r="F11" s="59" t="n">
        <v>3800</v>
      </c>
      <c r="G11" s="59" t="n">
        <f aca="false">F11-H11</f>
        <v>3800</v>
      </c>
      <c r="H11" s="59" t="n">
        <v>0</v>
      </c>
      <c r="I11" s="9"/>
      <c r="J11" s="205"/>
    </row>
    <row r="12" s="1" customFormat="true" ht="21.95" hidden="false" customHeight="true" outlineLevel="0" collapsed="false">
      <c r="A12" s="0" t="n">
        <v>31</v>
      </c>
      <c r="B12" s="31" t="n">
        <v>36951</v>
      </c>
      <c r="C12" s="59" t="n">
        <v>2385274</v>
      </c>
      <c r="D12" s="58" t="s">
        <v>41</v>
      </c>
      <c r="E12" s="33" t="n">
        <f aca="false">IF(D12="totale",(C12/(A12*24))/F12,IF(D12="marché libre",(C12/(A12*24))/G12,"spécifier histo"))</f>
        <v>0.843687747594793</v>
      </c>
      <c r="F12" s="59" t="n">
        <v>3800</v>
      </c>
      <c r="G12" s="59" t="n">
        <f aca="false">F12-H12</f>
        <v>3800</v>
      </c>
      <c r="H12" s="58" t="n">
        <v>0</v>
      </c>
      <c r="I12" s="9"/>
      <c r="J12" s="205"/>
    </row>
    <row r="13" s="1" customFormat="true" ht="21.95" hidden="false" customHeight="true" outlineLevel="0" collapsed="false">
      <c r="A13" s="0" t="n">
        <v>30</v>
      </c>
      <c r="B13" s="34" t="n">
        <v>36982</v>
      </c>
      <c r="C13" s="59" t="n">
        <v>1388816</v>
      </c>
      <c r="D13" s="58" t="s">
        <v>41</v>
      </c>
      <c r="E13" s="33" t="n">
        <f aca="false">IF(D13="totale",(C13/(A13*24))/F13,IF(D13="marché libre",(C13/(A13*24))/G13,"spécifier histo"))</f>
        <v>0.507608187134503</v>
      </c>
      <c r="F13" s="59" t="n">
        <v>3800</v>
      </c>
      <c r="G13" s="59" t="n">
        <f aca="false">F13-H13</f>
        <v>3800</v>
      </c>
      <c r="H13" s="59" t="n">
        <v>0</v>
      </c>
      <c r="I13" s="9"/>
      <c r="J13" s="205"/>
    </row>
    <row r="14" s="1" customFormat="true" ht="21.95" hidden="false" customHeight="true" outlineLevel="0" collapsed="false">
      <c r="A14" s="0" t="n">
        <v>31</v>
      </c>
      <c r="B14" s="31" t="n">
        <v>37012</v>
      </c>
      <c r="C14" s="59" t="n">
        <v>2041188</v>
      </c>
      <c r="D14" s="58" t="s">
        <v>41</v>
      </c>
      <c r="E14" s="33" t="n">
        <f aca="false">IF(D14="totale",(C14/(A14*24))/F14,IF(D14="marché libre",(C14/(A14*24))/G14,"spécifier histo"))</f>
        <v>0.721982173174873</v>
      </c>
      <c r="F14" s="59" t="n">
        <v>3800</v>
      </c>
      <c r="G14" s="59" t="n">
        <f aca="false">F14-H14</f>
        <v>3800</v>
      </c>
      <c r="H14" s="58" t="n">
        <v>0</v>
      </c>
      <c r="I14" s="9"/>
      <c r="J14" s="205"/>
    </row>
    <row r="15" customFormat="false" ht="21.95" hidden="false" customHeight="true" outlineLevel="0" collapsed="false">
      <c r="A15" s="0" t="n">
        <v>30</v>
      </c>
      <c r="B15" s="34" t="n">
        <v>37043</v>
      </c>
      <c r="C15" s="59" t="n">
        <v>1180337</v>
      </c>
      <c r="D15" s="58" t="s">
        <v>41</v>
      </c>
      <c r="E15" s="33" t="n">
        <f aca="false">IF(D15="totale",(C15/(A15*24))/F15,IF(D15="marché libre",(C15/(A15*24))/G15,"spécifier histo"))</f>
        <v>0.431409722222222</v>
      </c>
      <c r="F15" s="59" t="n">
        <v>3800</v>
      </c>
      <c r="G15" s="59" t="n">
        <f aca="false">F15-H15</f>
        <v>3800</v>
      </c>
      <c r="H15" s="59" t="n">
        <v>0</v>
      </c>
      <c r="I15" s="9"/>
      <c r="J15" s="0"/>
      <c r="K15" s="0"/>
      <c r="L15" s="0"/>
      <c r="M15" s="0"/>
      <c r="N15" s="0"/>
      <c r="O15" s="0"/>
      <c r="P15" s="0"/>
      <c r="Q15" s="0"/>
      <c r="R15" s="0"/>
      <c r="S15" s="0"/>
      <c r="T15" s="0"/>
      <c r="U15" s="0"/>
      <c r="V15" s="0"/>
    </row>
    <row r="16" customFormat="false" ht="21.95" hidden="false" customHeight="true" outlineLevel="0" collapsed="false">
      <c r="A16" s="0" t="n">
        <v>31</v>
      </c>
      <c r="B16" s="31" t="n">
        <v>37073</v>
      </c>
      <c r="C16" s="59" t="n">
        <v>135569</v>
      </c>
      <c r="D16" s="58" t="s">
        <v>41</v>
      </c>
      <c r="E16" s="33" t="n">
        <f aca="false">IF(D16="totale",(C16/(A16*24))/F16,IF(D16="marché libre",(C16/(A16*24))/G16,"spécifier histo"))</f>
        <v>0.0479516836445954</v>
      </c>
      <c r="F16" s="59" t="n">
        <v>3800</v>
      </c>
      <c r="G16" s="59" t="n">
        <f aca="false">F16-H16</f>
        <v>3800</v>
      </c>
      <c r="H16" s="58" t="n">
        <v>0</v>
      </c>
      <c r="I16" s="9"/>
      <c r="J16" s="0"/>
      <c r="K16" s="0"/>
      <c r="L16" s="0"/>
      <c r="M16" s="0"/>
      <c r="N16" s="0"/>
      <c r="O16" s="0"/>
      <c r="P16" s="0"/>
      <c r="Q16" s="0"/>
      <c r="R16" s="0"/>
      <c r="S16" s="0"/>
      <c r="T16" s="0"/>
      <c r="U16" s="0"/>
      <c r="V16" s="0"/>
    </row>
    <row r="17" customFormat="false" ht="21.95" hidden="false" customHeight="true" outlineLevel="0" collapsed="false">
      <c r="A17" s="0" t="n">
        <v>31</v>
      </c>
      <c r="B17" s="34" t="n">
        <v>37104</v>
      </c>
      <c r="C17" s="59" t="n">
        <v>0</v>
      </c>
      <c r="D17" s="58" t="s">
        <v>41</v>
      </c>
      <c r="E17" s="33" t="n">
        <f aca="false">IF(D17="totale",(C17/(A17*24))/F17,IF(D17="marché libre",(C17/(A17*24))/G17,"spécifier histo"))</f>
        <v>0</v>
      </c>
      <c r="F17" s="59" t="n">
        <v>3800</v>
      </c>
      <c r="G17" s="59" t="n">
        <f aca="false">F17-H17</f>
        <v>3800</v>
      </c>
      <c r="H17" s="59" t="n">
        <v>0</v>
      </c>
      <c r="I17" s="9"/>
      <c r="J17" s="0"/>
      <c r="K17" s="0"/>
      <c r="L17" s="0"/>
      <c r="M17" s="0"/>
      <c r="N17" s="0"/>
      <c r="O17" s="0"/>
      <c r="P17" s="0"/>
      <c r="Q17" s="0"/>
      <c r="R17" s="0"/>
      <c r="S17" s="0"/>
      <c r="T17" s="0"/>
      <c r="U17" s="0"/>
      <c r="V17" s="0"/>
    </row>
    <row r="18" customFormat="false" ht="21.95" hidden="false" customHeight="true" outlineLevel="0" collapsed="false">
      <c r="A18" s="0" t="n">
        <v>30</v>
      </c>
      <c r="B18" s="31" t="n">
        <v>37135</v>
      </c>
      <c r="C18" s="59" t="n">
        <v>154161</v>
      </c>
      <c r="D18" s="58" t="s">
        <v>41</v>
      </c>
      <c r="E18" s="33" t="n">
        <f aca="false">IF(D18="totale",(C18/(A18*24))/F18,IF(D18="marché libre",(C18/(A18*24))/G18,"spécifier histo"))</f>
        <v>0.0563453947368421</v>
      </c>
      <c r="F18" s="59" t="n">
        <v>3800</v>
      </c>
      <c r="G18" s="59" t="n">
        <f aca="false">F18-H18</f>
        <v>3800</v>
      </c>
      <c r="H18" s="58" t="n">
        <v>0</v>
      </c>
      <c r="I18" s="9"/>
      <c r="J18" s="0"/>
      <c r="K18" s="0"/>
      <c r="L18" s="0"/>
      <c r="M18" s="0"/>
      <c r="N18" s="0"/>
      <c r="O18" s="0"/>
      <c r="P18" s="0"/>
      <c r="Q18" s="0"/>
      <c r="R18" s="0"/>
      <c r="S18" s="0"/>
      <c r="T18" s="0"/>
      <c r="U18" s="0"/>
      <c r="V18" s="0"/>
    </row>
    <row r="19" customFormat="false" ht="21.95" hidden="false" customHeight="true" outlineLevel="0" collapsed="false">
      <c r="A19" s="0" t="n">
        <v>31</v>
      </c>
      <c r="B19" s="34" t="n">
        <v>37165</v>
      </c>
      <c r="C19" s="59" t="n">
        <v>0</v>
      </c>
      <c r="D19" s="58" t="s">
        <v>41</v>
      </c>
      <c r="E19" s="33" t="n">
        <f aca="false">IF(D19="totale",(C19/(A19*24))/F19,IF(D19="marché libre",(C19/(A19*24))/G19,"spécifier histo"))</f>
        <v>0</v>
      </c>
      <c r="F19" s="59" t="n">
        <v>3800</v>
      </c>
      <c r="G19" s="59" t="n">
        <f aca="false">F19-H19</f>
        <v>3800</v>
      </c>
      <c r="H19" s="59" t="n">
        <v>0</v>
      </c>
      <c r="I19" s="9"/>
      <c r="J19" s="0"/>
      <c r="K19" s="0"/>
      <c r="L19" s="0"/>
      <c r="M19" s="0"/>
      <c r="N19" s="0"/>
      <c r="O19" s="0"/>
      <c r="P19" s="0"/>
      <c r="Q19" s="0"/>
      <c r="R19" s="0"/>
      <c r="S19" s="0"/>
      <c r="T19" s="0"/>
      <c r="U19" s="0"/>
      <c r="V19" s="0"/>
    </row>
    <row r="20" customFormat="false" ht="21.95" hidden="false" customHeight="true" outlineLevel="0" collapsed="false">
      <c r="A20" s="0" t="n">
        <v>30</v>
      </c>
      <c r="B20" s="31" t="n">
        <v>37196</v>
      </c>
      <c r="C20" s="59" t="n">
        <v>323982</v>
      </c>
      <c r="D20" s="58" t="s">
        <v>41</v>
      </c>
      <c r="E20" s="33" t="n">
        <f aca="false">IF(D20="totale",(C20/(A20*24))/F20,IF(D20="marché libre",(C20/(A20*24))/G20,"spécifier histo"))</f>
        <v>0.118414473684211</v>
      </c>
      <c r="F20" s="59" t="n">
        <v>3800</v>
      </c>
      <c r="G20" s="59" t="n">
        <f aca="false">F20-H20</f>
        <v>3800</v>
      </c>
      <c r="H20" s="58" t="n">
        <v>0</v>
      </c>
      <c r="I20" s="9"/>
      <c r="J20" s="0"/>
      <c r="K20" s="0"/>
      <c r="L20" s="0"/>
      <c r="M20" s="0"/>
      <c r="N20" s="0"/>
      <c r="O20" s="0"/>
      <c r="P20" s="0"/>
      <c r="Q20" s="0"/>
      <c r="R20" s="0"/>
      <c r="S20" s="0"/>
      <c r="T20" s="0"/>
      <c r="U20" s="0"/>
      <c r="V20" s="0"/>
    </row>
    <row r="21" customFormat="false" ht="21.95" hidden="false" customHeight="true" outlineLevel="0" collapsed="false">
      <c r="A21" s="0" t="n">
        <v>31</v>
      </c>
      <c r="B21" s="34" t="n">
        <v>37226</v>
      </c>
      <c r="C21" s="59" t="n">
        <v>580725</v>
      </c>
      <c r="D21" s="58" t="s">
        <v>41</v>
      </c>
      <c r="E21" s="33" t="n">
        <f aca="false">IF(D21="totale",(C21/(A21*24))/F21,IF(D21="marché libre",(C21/(A21*24))/G21,"spécifier histo"))</f>
        <v>0.205406409168081</v>
      </c>
      <c r="F21" s="59" t="n">
        <v>3800</v>
      </c>
      <c r="G21" s="59" t="n">
        <f aca="false">F21-H21</f>
        <v>3800</v>
      </c>
      <c r="H21" s="59" t="n">
        <v>0</v>
      </c>
      <c r="I21" s="9"/>
      <c r="J21" s="0"/>
      <c r="K21" s="0"/>
      <c r="L21" s="0"/>
      <c r="M21" s="0"/>
      <c r="N21" s="0"/>
      <c r="O21" s="0"/>
      <c r="P21" s="0"/>
      <c r="Q21" s="0"/>
      <c r="R21" s="0"/>
      <c r="S21" s="0"/>
      <c r="T21" s="0"/>
      <c r="U21" s="0"/>
      <c r="V21" s="0"/>
    </row>
    <row r="22" customFormat="false" ht="21.95" hidden="false" customHeight="true" outlineLevel="0" collapsed="false">
      <c r="A22" s="0" t="n">
        <v>31</v>
      </c>
      <c r="B22" s="31" t="n">
        <v>37257</v>
      </c>
      <c r="C22" s="59" t="n">
        <v>443682</v>
      </c>
      <c r="D22" s="58" t="s">
        <v>41</v>
      </c>
      <c r="E22" s="33" t="n">
        <f aca="false">IF(D22="totale",(C22/(A22*24))/F22,IF(D22="marché libre",(C22/(A22*24))/G22,"spécifier histo"))</f>
        <v>0.156933361629881</v>
      </c>
      <c r="F22" s="59" t="n">
        <v>3800</v>
      </c>
      <c r="G22" s="59" t="n">
        <f aca="false">F22-H22</f>
        <v>3800</v>
      </c>
      <c r="H22" s="58" t="n">
        <v>0</v>
      </c>
      <c r="I22" s="9"/>
      <c r="J22" s="0"/>
      <c r="K22" s="0"/>
      <c r="L22" s="0"/>
      <c r="M22" s="0"/>
      <c r="N22" s="0"/>
      <c r="O22" s="0"/>
      <c r="P22" s="0"/>
      <c r="Q22" s="0"/>
      <c r="R22" s="0"/>
      <c r="S22" s="0"/>
      <c r="T22" s="0"/>
      <c r="U22" s="0"/>
      <c r="V22" s="0"/>
    </row>
    <row r="23" customFormat="false" ht="21.95" hidden="false" customHeight="true" outlineLevel="0" collapsed="false">
      <c r="A23" s="0" t="n">
        <v>28</v>
      </c>
      <c r="B23" s="34" t="n">
        <v>37288</v>
      </c>
      <c r="C23" s="59" t="n">
        <v>446855</v>
      </c>
      <c r="D23" s="58" t="s">
        <v>41</v>
      </c>
      <c r="E23" s="33" t="n">
        <f aca="false">IF(D23="totale",(C23/(A23*24))/F23,IF(D23="marché libre",(C23/(A23*24))/G23,"spécifier histo"))</f>
        <v>0.174990209899749</v>
      </c>
      <c r="F23" s="59" t="n">
        <v>3800</v>
      </c>
      <c r="G23" s="59" t="n">
        <f aca="false">F23-H23</f>
        <v>3800</v>
      </c>
      <c r="H23" s="59" t="n">
        <v>0</v>
      </c>
      <c r="I23" s="9"/>
      <c r="J23" s="0"/>
      <c r="K23" s="0"/>
      <c r="L23" s="0"/>
      <c r="M23" s="0"/>
      <c r="N23" s="0"/>
      <c r="O23" s="0"/>
      <c r="P23" s="0"/>
      <c r="Q23" s="0"/>
      <c r="R23" s="0"/>
      <c r="S23" s="0"/>
      <c r="T23" s="0"/>
      <c r="U23" s="0"/>
      <c r="V23" s="0"/>
    </row>
    <row r="24" customFormat="false" ht="21.95" hidden="false" customHeight="true" outlineLevel="0" collapsed="false">
      <c r="A24" s="0" t="n">
        <v>31</v>
      </c>
      <c r="B24" s="31" t="n">
        <v>37316</v>
      </c>
      <c r="C24" s="59" t="n">
        <v>1357354</v>
      </c>
      <c r="D24" s="58" t="s">
        <v>41</v>
      </c>
      <c r="E24" s="33" t="n">
        <f aca="false">IF(D24="totale",(C24/(A24*24))/F24,IF(D24="marché libre",(C24/(A24*24))/G24,"spécifier histo"))</f>
        <v>0.480105404640634</v>
      </c>
      <c r="F24" s="59" t="n">
        <v>3800</v>
      </c>
      <c r="G24" s="59" t="n">
        <f aca="false">F24-H24</f>
        <v>3800</v>
      </c>
      <c r="H24" s="58" t="n">
        <v>0</v>
      </c>
      <c r="I24" s="9"/>
      <c r="J24" s="0"/>
      <c r="K24" s="0"/>
      <c r="L24" s="0"/>
      <c r="M24" s="0"/>
      <c r="N24" s="0"/>
      <c r="O24" s="0"/>
      <c r="P24" s="0"/>
      <c r="Q24" s="0"/>
      <c r="R24" s="0"/>
      <c r="S24" s="0"/>
      <c r="T24" s="0"/>
      <c r="U24" s="0"/>
      <c r="V24" s="0"/>
    </row>
    <row r="25" customFormat="false" ht="21.95" hidden="false" customHeight="true" outlineLevel="0" collapsed="false">
      <c r="A25" s="0" t="n">
        <v>30</v>
      </c>
      <c r="B25" s="34" t="n">
        <v>37347</v>
      </c>
      <c r="C25" s="59" t="n">
        <v>1559557</v>
      </c>
      <c r="D25" s="58" t="s">
        <v>41</v>
      </c>
      <c r="E25" s="33" t="n">
        <f aca="false">IF(D25="totale",(C25/(A25*24))/F25,IF(D25="marché libre",(C25/(A25*24))/G25,"spécifier histo"))</f>
        <v>0.570013523391813</v>
      </c>
      <c r="F25" s="59" t="n">
        <v>3800</v>
      </c>
      <c r="G25" s="59" t="n">
        <f aca="false">F25-H25</f>
        <v>3800</v>
      </c>
      <c r="H25" s="59" t="n">
        <v>0</v>
      </c>
      <c r="I25" s="9"/>
      <c r="J25" s="0"/>
      <c r="K25" s="0"/>
      <c r="L25" s="0"/>
      <c r="M25" s="0"/>
      <c r="N25" s="0"/>
      <c r="O25" s="0"/>
      <c r="P25" s="0"/>
      <c r="Q25" s="0"/>
      <c r="R25" s="0"/>
      <c r="S25" s="0"/>
      <c r="T25" s="0"/>
      <c r="U25" s="0"/>
      <c r="V25" s="0"/>
    </row>
    <row r="26" customFormat="false" ht="21.95" hidden="false" customHeight="true" outlineLevel="0" collapsed="false">
      <c r="A26" s="0" t="n">
        <v>31</v>
      </c>
      <c r="B26" s="31" t="n">
        <v>37377</v>
      </c>
      <c r="C26" s="59" t="n">
        <v>2330522</v>
      </c>
      <c r="D26" s="58" t="s">
        <v>41</v>
      </c>
      <c r="E26" s="33" t="n">
        <f aca="false">IF(D26="totale",(C26/(A26*24))/F26,IF(D26="marché libre",(C26/(A26*24))/G26,"spécifier histo"))</f>
        <v>0.824321590265988</v>
      </c>
      <c r="F26" s="59" t="n">
        <v>3800</v>
      </c>
      <c r="G26" s="59" t="n">
        <f aca="false">F26-H26</f>
        <v>3800</v>
      </c>
      <c r="H26" s="58" t="n">
        <v>0</v>
      </c>
      <c r="I26" s="9"/>
      <c r="J26" s="0"/>
      <c r="K26" s="0"/>
      <c r="L26" s="0"/>
      <c r="M26" s="0"/>
      <c r="N26" s="0"/>
      <c r="O26" s="0"/>
      <c r="P26" s="0"/>
      <c r="Q26" s="0"/>
      <c r="R26" s="0"/>
      <c r="S26" s="0"/>
      <c r="T26" s="0"/>
      <c r="U26" s="0"/>
      <c r="V26" s="0"/>
    </row>
    <row r="27" customFormat="false" ht="21.95" hidden="false" customHeight="true" outlineLevel="0" collapsed="false">
      <c r="A27" s="0" t="n">
        <v>30</v>
      </c>
      <c r="B27" s="34" t="n">
        <v>37408</v>
      </c>
      <c r="C27" s="59" t="n">
        <v>1860984</v>
      </c>
      <c r="D27" s="58" t="s">
        <v>41</v>
      </c>
      <c r="E27" s="33" t="n">
        <f aca="false">IF(D27="totale",(C27/(A27*24))/F27,IF(D27="marché libre",(C27/(A27*24))/G27,"spécifier histo"))</f>
        <v>0.680184210526316</v>
      </c>
      <c r="F27" s="59" t="n">
        <v>3800</v>
      </c>
      <c r="G27" s="59" t="n">
        <f aca="false">F27-H27</f>
        <v>3800</v>
      </c>
      <c r="H27" s="59" t="n">
        <v>0</v>
      </c>
      <c r="I27" s="9"/>
      <c r="J27" s="0"/>
      <c r="K27" s="0"/>
      <c r="L27" s="0"/>
      <c r="M27" s="0"/>
      <c r="N27" s="0"/>
      <c r="O27" s="0"/>
      <c r="P27" s="0"/>
      <c r="Q27" s="0"/>
      <c r="R27" s="0"/>
      <c r="S27" s="0"/>
      <c r="T27" s="0"/>
      <c r="U27" s="0"/>
      <c r="V27" s="0"/>
    </row>
    <row r="28" customFormat="false" ht="21.95" hidden="false" customHeight="true" outlineLevel="0" collapsed="false">
      <c r="A28" s="0" t="n">
        <v>31</v>
      </c>
      <c r="B28" s="31" t="n">
        <v>37438</v>
      </c>
      <c r="C28" s="59" t="n">
        <v>1129306</v>
      </c>
      <c r="D28" s="58" t="s">
        <v>41</v>
      </c>
      <c r="E28" s="33" t="n">
        <f aca="false">IF(D28="totale",(C28/(A28*24))/F28,IF(D28="marché libre",(C28/(A28*24))/G28,"spécifier histo"))</f>
        <v>0.399443265421619</v>
      </c>
      <c r="F28" s="59" t="n">
        <v>3800</v>
      </c>
      <c r="G28" s="59" t="n">
        <f aca="false">F28-H28</f>
        <v>3800</v>
      </c>
      <c r="H28" s="58" t="n">
        <v>0</v>
      </c>
      <c r="I28" s="9"/>
      <c r="J28" s="0"/>
      <c r="K28" s="0"/>
      <c r="L28" s="0"/>
      <c r="M28" s="0"/>
      <c r="N28" s="0"/>
      <c r="O28" s="0"/>
      <c r="P28" s="0"/>
      <c r="Q28" s="0"/>
      <c r="R28" s="0"/>
      <c r="S28" s="0"/>
      <c r="T28" s="0"/>
      <c r="U28" s="0"/>
      <c r="V28" s="0"/>
    </row>
    <row r="29" s="1" customFormat="true" ht="21.95" hidden="false" customHeight="true" outlineLevel="0" collapsed="false">
      <c r="A29" s="0" t="n">
        <v>31</v>
      </c>
      <c r="B29" s="34" t="n">
        <v>37469</v>
      </c>
      <c r="C29" s="59" t="n">
        <v>1180108</v>
      </c>
      <c r="D29" s="58" t="s">
        <v>41</v>
      </c>
      <c r="E29" s="33" t="n">
        <f aca="false">IF(D29="totale",(C29/(A29*24))/F29,IF(D29="marché libre",(C29/(A29*24))/G29,"spécifier histo"))</f>
        <v>0.417412280701754</v>
      </c>
      <c r="F29" s="59" t="n">
        <v>3800</v>
      </c>
      <c r="G29" s="59" t="n">
        <f aca="false">F29-H29</f>
        <v>3800</v>
      </c>
      <c r="H29" s="59" t="n">
        <v>0</v>
      </c>
      <c r="I29" s="9"/>
      <c r="J29" s="205"/>
    </row>
    <row r="30" s="1" customFormat="true" ht="21.95" hidden="false" customHeight="true" outlineLevel="0" collapsed="false">
      <c r="A30" s="0" t="n">
        <v>30</v>
      </c>
      <c r="B30" s="31" t="n">
        <v>37500</v>
      </c>
      <c r="C30" s="59" t="n">
        <v>775395</v>
      </c>
      <c r="D30" s="58" t="s">
        <v>41</v>
      </c>
      <c r="E30" s="33" t="n">
        <f aca="false">IF(D30="totale",(C30/(A30*24))/F30,IF(D30="marché libre",(C30/(A30*24))/G30,"spécifier histo"))</f>
        <v>0.283404605263158</v>
      </c>
      <c r="F30" s="59" t="n">
        <v>3800</v>
      </c>
      <c r="G30" s="59" t="n">
        <f aca="false">F30-H30</f>
        <v>3800</v>
      </c>
      <c r="H30" s="58" t="n">
        <v>0</v>
      </c>
      <c r="I30" s="9"/>
      <c r="J30" s="205"/>
    </row>
    <row r="31" s="1" customFormat="true" ht="21.95" hidden="false" customHeight="true" outlineLevel="0" collapsed="false">
      <c r="A31" s="0" t="n">
        <v>31</v>
      </c>
      <c r="B31" s="34" t="n">
        <v>37530</v>
      </c>
      <c r="C31" s="59" t="n">
        <v>973728</v>
      </c>
      <c r="D31" s="58" t="s">
        <v>41</v>
      </c>
      <c r="E31" s="33" t="n">
        <f aca="false">IF(D31="totale",(C31/(A31*24))/F31,IF(D31="marché libre",(C31/(A31*24))/G31,"spécifier histo"))</f>
        <v>0.344414261460102</v>
      </c>
      <c r="F31" s="59" t="n">
        <v>3800</v>
      </c>
      <c r="G31" s="59" t="n">
        <f aca="false">F31-H31</f>
        <v>3800</v>
      </c>
      <c r="H31" s="59" t="n">
        <v>0</v>
      </c>
      <c r="I31" s="9"/>
      <c r="J31" s="205"/>
    </row>
    <row r="32" s="1" customFormat="true" ht="21.95" hidden="false" customHeight="true" outlineLevel="0" collapsed="false">
      <c r="A32" s="0" t="n">
        <v>30</v>
      </c>
      <c r="B32" s="31" t="n">
        <v>37561</v>
      </c>
      <c r="C32" s="59" t="n">
        <v>1356752</v>
      </c>
      <c r="D32" s="58" t="s">
        <v>41</v>
      </c>
      <c r="E32" s="33" t="n">
        <f aca="false">IF(D32="totale",(C32/(A32*24))/F32,IF(D32="marché libre",(C32/(A32*24))/G32,"spécifier histo"))</f>
        <v>0.495888888888889</v>
      </c>
      <c r="F32" s="59" t="n">
        <v>3800</v>
      </c>
      <c r="G32" s="59" t="n">
        <f aca="false">F32-H32</f>
        <v>3800</v>
      </c>
      <c r="H32" s="58" t="n">
        <v>0</v>
      </c>
      <c r="I32" s="9"/>
      <c r="J32" s="205"/>
    </row>
    <row r="33" s="1" customFormat="true" ht="21.95" hidden="false" customHeight="true" outlineLevel="0" collapsed="false">
      <c r="A33" s="0" t="n">
        <v>31</v>
      </c>
      <c r="B33" s="34" t="n">
        <v>37591</v>
      </c>
      <c r="C33" s="59" t="n">
        <v>1465477</v>
      </c>
      <c r="D33" s="58" t="s">
        <v>41</v>
      </c>
      <c r="E33" s="33" t="n">
        <f aca="false">IF(D33="totale",(C33/(A33*24))/F33,IF(D33="marché libre",(C33/(A33*24))/G33,"spécifier histo"))</f>
        <v>0.518349250141483</v>
      </c>
      <c r="F33" s="59" t="n">
        <v>3800</v>
      </c>
      <c r="G33" s="59" t="n">
        <f aca="false">F33-H33</f>
        <v>3800</v>
      </c>
      <c r="H33" s="59" t="n">
        <v>0</v>
      </c>
      <c r="I33" s="9"/>
      <c r="J33" s="205"/>
    </row>
    <row r="34" s="1" customFormat="true" ht="21.95" hidden="false" customHeight="true" outlineLevel="0" collapsed="false">
      <c r="A34" s="0" t="n">
        <v>31</v>
      </c>
      <c r="B34" s="31" t="n">
        <v>37622</v>
      </c>
      <c r="C34" s="59" t="n">
        <v>1820326</v>
      </c>
      <c r="D34" s="58" t="s">
        <v>41</v>
      </c>
      <c r="E34" s="33" t="n">
        <f aca="false">IF(D34="totale",(C34/(A34*24))/F34,IF(D34="marché libre",(C34/(A34*24))/G34,"spécifier histo"))</f>
        <v>0.643861771363894</v>
      </c>
      <c r="F34" s="59" t="n">
        <v>3800</v>
      </c>
      <c r="G34" s="59" t="n">
        <f aca="false">F34-H34</f>
        <v>3800</v>
      </c>
      <c r="H34" s="58" t="n">
        <v>0</v>
      </c>
      <c r="I34" s="9"/>
      <c r="J34" s="205"/>
    </row>
    <row r="35" s="1" customFormat="true" ht="21.95" hidden="false" customHeight="true" outlineLevel="0" collapsed="false">
      <c r="A35" s="0" t="n">
        <v>28</v>
      </c>
      <c r="B35" s="34" t="n">
        <v>37653</v>
      </c>
      <c r="C35" s="59" t="n">
        <v>1748607</v>
      </c>
      <c r="D35" s="58" t="s">
        <v>41</v>
      </c>
      <c r="E35" s="33" t="n">
        <f aca="false">IF(D35="totale",(C35/(A35*24))/F35,IF(D35="marché libre",(C35/(A35*24))/G35,"spécifier histo"))</f>
        <v>0.684761513157895</v>
      </c>
      <c r="F35" s="59" t="n">
        <v>3800</v>
      </c>
      <c r="G35" s="59" t="n">
        <f aca="false">F35-H35</f>
        <v>3800</v>
      </c>
      <c r="H35" s="59" t="n">
        <v>0</v>
      </c>
      <c r="I35" s="9"/>
      <c r="J35" s="205"/>
    </row>
    <row r="36" s="1" customFormat="true" ht="21.95" hidden="false" customHeight="true" outlineLevel="0" collapsed="false">
      <c r="A36" s="0" t="n">
        <v>31</v>
      </c>
      <c r="B36" s="31" t="n">
        <v>37681</v>
      </c>
      <c r="C36" s="59" t="n">
        <v>2324279</v>
      </c>
      <c r="D36" s="58" t="s">
        <v>41</v>
      </c>
      <c r="E36" s="33" t="n">
        <f aca="false">IF(D36="totale",(C36/(A36*24))/F36,IF(D36="marché libre",(C36/(A36*24))/G36,"spécifier histo"))</f>
        <v>0.822113398415393</v>
      </c>
      <c r="F36" s="59" t="n">
        <v>3800</v>
      </c>
      <c r="G36" s="59" t="n">
        <f aca="false">F36-H36</f>
        <v>3800</v>
      </c>
      <c r="H36" s="58" t="n">
        <v>0</v>
      </c>
      <c r="I36" s="9"/>
      <c r="J36" s="205"/>
    </row>
    <row r="37" s="1" customFormat="true" ht="21.95" hidden="false" customHeight="true" outlineLevel="0" collapsed="false">
      <c r="A37" s="0" t="n">
        <v>30</v>
      </c>
      <c r="B37" s="34" t="n">
        <v>37712</v>
      </c>
      <c r="C37" s="59" t="n">
        <v>2381043</v>
      </c>
      <c r="D37" s="58" t="s">
        <v>41</v>
      </c>
      <c r="E37" s="33" t="n">
        <f aca="false">IF(D37="totale",(C37/(A37*24))/F37,IF(D37="marché libre",(C37/(A37*24))/G37,"spécifier histo"))</f>
        <v>0.870264254385965</v>
      </c>
      <c r="F37" s="59" t="n">
        <v>3800</v>
      </c>
      <c r="G37" s="59" t="n">
        <f aca="false">F37-H37</f>
        <v>3800</v>
      </c>
      <c r="H37" s="59" t="n">
        <v>0</v>
      </c>
      <c r="I37" s="9"/>
      <c r="J37" s="205"/>
    </row>
    <row r="38" s="1" customFormat="true" ht="21.95" hidden="false" customHeight="true" outlineLevel="0" collapsed="false">
      <c r="A38" s="0" t="n">
        <v>31</v>
      </c>
      <c r="B38" s="31" t="n">
        <v>37742</v>
      </c>
      <c r="C38" s="59" t="n">
        <v>2545017</v>
      </c>
      <c r="D38" s="58" t="s">
        <v>41</v>
      </c>
      <c r="E38" s="33" t="n">
        <f aca="false">IF(D38="totale",(C38/(A38*24))/F38,IF(D38="marché libre",(C38/(A38*24))/G38,"spécifier histo"))</f>
        <v>0.900189940577249</v>
      </c>
      <c r="F38" s="59" t="n">
        <v>3800</v>
      </c>
      <c r="G38" s="59" t="n">
        <f aca="false">F38-H38</f>
        <v>3800</v>
      </c>
      <c r="H38" s="58" t="n">
        <v>0</v>
      </c>
      <c r="I38" s="9"/>
      <c r="J38" s="205"/>
    </row>
    <row r="39" s="1" customFormat="true" ht="21.95" hidden="false" customHeight="true" outlineLevel="0" collapsed="false">
      <c r="A39" s="0" t="n">
        <v>30</v>
      </c>
      <c r="B39" s="34" t="n">
        <v>37773</v>
      </c>
      <c r="C39" s="59" t="n">
        <v>1563892</v>
      </c>
      <c r="D39" s="58" t="s">
        <v>41</v>
      </c>
      <c r="E39" s="33" t="n">
        <f aca="false">IF(D39="totale",(C39/(A39*24))/F39,IF(D39="marché libre",(C39/(A39*24))/G39,"spécifier histo"))</f>
        <v>0.571597953216374</v>
      </c>
      <c r="F39" s="59" t="n">
        <v>3800</v>
      </c>
      <c r="G39" s="59" t="n">
        <f aca="false">F39-H39</f>
        <v>3800</v>
      </c>
      <c r="H39" s="59" t="n">
        <v>0</v>
      </c>
      <c r="I39" s="9"/>
      <c r="J39" s="205"/>
    </row>
    <row r="40" s="1" customFormat="true" ht="21.95" hidden="false" customHeight="true" outlineLevel="0" collapsed="false">
      <c r="A40" s="0" t="n">
        <v>31</v>
      </c>
      <c r="B40" s="31" t="n">
        <v>37803</v>
      </c>
      <c r="C40" s="59" t="n">
        <v>418812</v>
      </c>
      <c r="D40" s="58" t="s">
        <v>41</v>
      </c>
      <c r="E40" s="33" t="n">
        <f aca="false">IF(D40="totale",(C40/(A40*24))/F40,IF(D40="marché libre",(C40/(A40*24))/G40,"spécifier histo"))</f>
        <v>0.148136672325976</v>
      </c>
      <c r="F40" s="59" t="n">
        <v>3800</v>
      </c>
      <c r="G40" s="59" t="n">
        <f aca="false">F40-H40</f>
        <v>3800</v>
      </c>
      <c r="H40" s="58" t="n">
        <v>0</v>
      </c>
      <c r="I40" s="9"/>
      <c r="J40" s="205"/>
    </row>
    <row r="41" s="1" customFormat="true" ht="21.95" hidden="false" customHeight="true" outlineLevel="0" collapsed="false">
      <c r="A41" s="0" t="n">
        <v>31</v>
      </c>
      <c r="B41" s="34" t="n">
        <v>37834</v>
      </c>
      <c r="C41" s="59" t="n">
        <v>124428</v>
      </c>
      <c r="D41" s="58" t="s">
        <v>41</v>
      </c>
      <c r="E41" s="33" t="n">
        <f aca="false">IF(D41="totale",(C41/(A41*24))/F41,IF(D41="marché libre",(C41/(A41*24))/G41,"spécifier histo"))</f>
        <v>0.0440110356536503</v>
      </c>
      <c r="F41" s="59" t="n">
        <v>3800</v>
      </c>
      <c r="G41" s="59" t="n">
        <f aca="false">F41-H41</f>
        <v>3800</v>
      </c>
      <c r="H41" s="59" t="n">
        <v>0</v>
      </c>
      <c r="I41" s="9"/>
      <c r="J41" s="205"/>
    </row>
    <row r="42" s="1" customFormat="true" ht="21.95" hidden="false" customHeight="true" outlineLevel="0" collapsed="false">
      <c r="A42" s="0" t="n">
        <v>30</v>
      </c>
      <c r="B42" s="31" t="n">
        <v>37865</v>
      </c>
      <c r="C42" s="59" t="n">
        <v>617670</v>
      </c>
      <c r="D42" s="58" t="s">
        <v>41</v>
      </c>
      <c r="E42" s="33" t="n">
        <f aca="false">IF(D42="totale",(C42/(A42*24))/F42,IF(D42="marché libre",(C42/(A42*24))/G42,"spécifier histo"))</f>
        <v>0.225756578947368</v>
      </c>
      <c r="F42" s="59" t="n">
        <v>3800</v>
      </c>
      <c r="G42" s="59" t="n">
        <f aca="false">F42-H42</f>
        <v>3800</v>
      </c>
      <c r="H42" s="58" t="n">
        <v>0</v>
      </c>
      <c r="I42" s="9"/>
      <c r="J42" s="205"/>
    </row>
    <row r="43" s="1" customFormat="true" ht="21.95" hidden="false" customHeight="true" outlineLevel="0" collapsed="false">
      <c r="A43" s="0" t="n">
        <v>31</v>
      </c>
      <c r="B43" s="34" t="n">
        <v>37895</v>
      </c>
      <c r="C43" s="59" t="n">
        <v>641222</v>
      </c>
      <c r="D43" s="58" t="s">
        <v>41</v>
      </c>
      <c r="E43" s="33" t="n">
        <f aca="false">IF(D43="totale",(C43/(A43*24))/F43,IF(D43="marché libre",(C43/(A43*24))/G43,"spécifier histo"))</f>
        <v>0.226804612337295</v>
      </c>
      <c r="F43" s="59" t="n">
        <v>3800</v>
      </c>
      <c r="G43" s="59" t="n">
        <f aca="false">F43-H43</f>
        <v>3800</v>
      </c>
      <c r="H43" s="59" t="n">
        <v>0</v>
      </c>
      <c r="I43" s="9"/>
      <c r="J43" s="205"/>
    </row>
    <row r="44" s="1" customFormat="true" ht="21.95" hidden="false" customHeight="true" outlineLevel="0" collapsed="false">
      <c r="A44" s="0" t="n">
        <v>30</v>
      </c>
      <c r="B44" s="31" t="n">
        <v>37926</v>
      </c>
      <c r="C44" s="59" t="n">
        <v>351696</v>
      </c>
      <c r="D44" s="58" t="s">
        <v>41</v>
      </c>
      <c r="E44" s="33" t="n">
        <f aca="false">IF(D44="totale",(C44/(A44*24))/F44,IF(D44="marché libre",(C44/(A44*24))/G44,"spécifier histo"))</f>
        <v>0.128543859649123</v>
      </c>
      <c r="F44" s="59" t="n">
        <v>3800</v>
      </c>
      <c r="G44" s="59" t="n">
        <f aca="false">F44-H44</f>
        <v>3800</v>
      </c>
      <c r="H44" s="58" t="n">
        <v>0</v>
      </c>
      <c r="I44" s="9"/>
      <c r="J44" s="205"/>
    </row>
    <row r="45" s="1" customFormat="true" ht="21.95" hidden="false" customHeight="true" outlineLevel="0" collapsed="false">
      <c r="A45" s="0" t="n">
        <v>31</v>
      </c>
      <c r="B45" s="34" t="n">
        <v>37956</v>
      </c>
      <c r="C45" s="59" t="n">
        <v>944236</v>
      </c>
      <c r="D45" s="58" t="s">
        <v>41</v>
      </c>
      <c r="E45" s="33" t="n">
        <f aca="false">IF(D45="totale",(C45/(A45*24))/F45,IF(D45="marché libre",(C45/(A45*24))/G45,"spécifier histo"))</f>
        <v>0.333982739105829</v>
      </c>
      <c r="F45" s="59" t="n">
        <v>3800</v>
      </c>
      <c r="G45" s="59" t="n">
        <f aca="false">F45-H45</f>
        <v>3800</v>
      </c>
      <c r="H45" s="59" t="n">
        <v>0</v>
      </c>
      <c r="I45" s="9"/>
      <c r="J45" s="205"/>
    </row>
    <row r="46" s="1" customFormat="true" ht="21.95" hidden="false" customHeight="true" outlineLevel="0" collapsed="false">
      <c r="A46" s="0" t="n">
        <v>31</v>
      </c>
      <c r="B46" s="31" t="n">
        <v>37987</v>
      </c>
      <c r="C46" s="59" t="n">
        <v>1820326</v>
      </c>
      <c r="D46" s="58" t="s">
        <v>41</v>
      </c>
      <c r="E46" s="33" t="n">
        <f aca="false">IF(D46="totale",(C46/(A46*24))/F46,IF(D46="marché libre",(C46/(A46*24))/G46,"spécifier histo"))</f>
        <v>0.643861771363894</v>
      </c>
      <c r="F46" s="59" t="n">
        <v>3800</v>
      </c>
      <c r="G46" s="59" t="n">
        <f aca="false">F46-H46</f>
        <v>3800</v>
      </c>
      <c r="H46" s="58" t="n">
        <v>0</v>
      </c>
      <c r="I46" s="9"/>
      <c r="J46" s="205"/>
    </row>
    <row r="47" s="1" customFormat="true" ht="21.95" hidden="false" customHeight="true" outlineLevel="0" collapsed="false">
      <c r="A47" s="0" t="n">
        <v>28</v>
      </c>
      <c r="B47" s="34" t="n">
        <v>38018</v>
      </c>
      <c r="C47" s="59" t="n">
        <v>1748607</v>
      </c>
      <c r="D47" s="58" t="s">
        <v>41</v>
      </c>
      <c r="E47" s="33" t="n">
        <f aca="false">IF(D47="totale",(C47/(A47*24))/F47,IF(D47="marché libre",(C47/(A47*24))/G47,"spécifier histo"))</f>
        <v>0.684761513157895</v>
      </c>
      <c r="F47" s="59" t="n">
        <v>3800</v>
      </c>
      <c r="G47" s="59" t="n">
        <f aca="false">F47-H47</f>
        <v>3800</v>
      </c>
      <c r="H47" s="59" t="n">
        <v>0</v>
      </c>
      <c r="I47" s="9"/>
      <c r="J47" s="205"/>
    </row>
    <row r="48" s="1" customFormat="true" ht="21.95" hidden="false" customHeight="true" outlineLevel="0" collapsed="false">
      <c r="A48" s="0" t="n">
        <v>31</v>
      </c>
      <c r="B48" s="31" t="n">
        <v>38047</v>
      </c>
      <c r="C48" s="59" t="n">
        <v>2324279</v>
      </c>
      <c r="D48" s="58" t="s">
        <v>41</v>
      </c>
      <c r="E48" s="33" t="n">
        <f aca="false">IF(D48="totale",(C48/(A48*24))/F48,IF(D48="marché libre",(C48/(A48*24))/G48,"spécifier histo"))</f>
        <v>0.822113398415393</v>
      </c>
      <c r="F48" s="59" t="n">
        <v>3800</v>
      </c>
      <c r="G48" s="59" t="n">
        <f aca="false">F48-H48</f>
        <v>3800</v>
      </c>
      <c r="H48" s="58" t="n">
        <v>0</v>
      </c>
      <c r="I48" s="9"/>
      <c r="J48" s="205"/>
    </row>
    <row r="49" s="1" customFormat="true" ht="21.95" hidden="false" customHeight="true" outlineLevel="0" collapsed="false">
      <c r="A49" s="0" t="n">
        <v>30</v>
      </c>
      <c r="B49" s="34" t="n">
        <v>38078</v>
      </c>
      <c r="C49" s="59" t="n">
        <v>2381043</v>
      </c>
      <c r="D49" s="58" t="s">
        <v>41</v>
      </c>
      <c r="E49" s="33" t="n">
        <f aca="false">IF(D49="totale",(C49/(A49*24))/F49,IF(D49="marché libre",(C49/(A49*24))/G49,"spécifier histo"))</f>
        <v>0.870264254385965</v>
      </c>
      <c r="F49" s="59" t="n">
        <v>3800</v>
      </c>
      <c r="G49" s="59" t="n">
        <f aca="false">F49-H49</f>
        <v>3800</v>
      </c>
      <c r="H49" s="59" t="n">
        <v>0</v>
      </c>
      <c r="I49" s="9"/>
      <c r="J49" s="205"/>
    </row>
    <row r="50" s="1" customFormat="true" ht="21.95" hidden="false" customHeight="true" outlineLevel="0" collapsed="false">
      <c r="A50" s="0" t="n">
        <v>31</v>
      </c>
      <c r="B50" s="31" t="n">
        <v>38108</v>
      </c>
      <c r="C50" s="59" t="n">
        <v>2545017</v>
      </c>
      <c r="D50" s="58" t="s">
        <v>41</v>
      </c>
      <c r="E50" s="33" t="n">
        <f aca="false">IF(D50="totale",(C50/(A50*24))/F50,IF(D50="marché libre",(C50/(A50*24))/G50,"spécifier histo"))</f>
        <v>0.900189940577249</v>
      </c>
      <c r="F50" s="59" t="n">
        <v>3800</v>
      </c>
      <c r="G50" s="59" t="n">
        <f aca="false">F50-H50</f>
        <v>3800</v>
      </c>
      <c r="H50" s="58" t="n">
        <v>0</v>
      </c>
      <c r="I50" s="9"/>
      <c r="J50" s="205"/>
    </row>
    <row r="51" s="1" customFormat="true" ht="21.95" hidden="false" customHeight="true" outlineLevel="0" collapsed="false">
      <c r="A51" s="0" t="n">
        <v>30</v>
      </c>
      <c r="B51" s="34" t="n">
        <v>38139</v>
      </c>
      <c r="C51" s="59" t="n">
        <v>1563892</v>
      </c>
      <c r="D51" s="58" t="s">
        <v>41</v>
      </c>
      <c r="E51" s="33" t="n">
        <f aca="false">IF(D51="totale",(C51/(A51*24))/F51,IF(D51="marché libre",(C51/(A51*24))/G51,"spécifier histo"))</f>
        <v>0.571597953216374</v>
      </c>
      <c r="F51" s="59" t="n">
        <v>3800</v>
      </c>
      <c r="G51" s="59" t="n">
        <f aca="false">F51-H51</f>
        <v>3800</v>
      </c>
      <c r="H51" s="59" t="n">
        <v>0</v>
      </c>
      <c r="I51" s="9"/>
      <c r="J51" s="205"/>
    </row>
    <row r="52" s="1" customFormat="true" ht="21.95" hidden="false" customHeight="true" outlineLevel="0" collapsed="false">
      <c r="A52" s="0" t="n">
        <v>31</v>
      </c>
      <c r="B52" s="31" t="n">
        <v>38169</v>
      </c>
      <c r="C52" s="59" t="n">
        <v>418812</v>
      </c>
      <c r="D52" s="58" t="s">
        <v>41</v>
      </c>
      <c r="E52" s="33" t="n">
        <f aca="false">IF(D52="totale",(C52/(A52*24))/F52,IF(D52="marché libre",(C52/(A52*24))/G52,"spécifier histo"))</f>
        <v>0.148136672325976</v>
      </c>
      <c r="F52" s="59" t="n">
        <v>3800</v>
      </c>
      <c r="G52" s="59" t="n">
        <f aca="false">F52-H52</f>
        <v>3800</v>
      </c>
      <c r="H52" s="58" t="n">
        <v>0</v>
      </c>
      <c r="I52" s="9"/>
      <c r="J52" s="205"/>
    </row>
    <row r="53" s="1" customFormat="true" ht="21.95" hidden="false" customHeight="true" outlineLevel="0" collapsed="false">
      <c r="A53" s="0" t="n">
        <v>31</v>
      </c>
      <c r="B53" s="34" t="n">
        <v>38200</v>
      </c>
      <c r="C53" s="59" t="n">
        <v>124428</v>
      </c>
      <c r="D53" s="58" t="s">
        <v>41</v>
      </c>
      <c r="E53" s="33" t="n">
        <f aca="false">IF(D53="totale",(C53/(A53*24))/F53,IF(D53="marché libre",(C53/(A53*24))/G53,"spécifier histo"))</f>
        <v>0.0440110356536503</v>
      </c>
      <c r="F53" s="59" t="n">
        <v>3800</v>
      </c>
      <c r="G53" s="59" t="n">
        <f aca="false">F53-H53</f>
        <v>3800</v>
      </c>
      <c r="H53" s="59" t="n">
        <v>0</v>
      </c>
      <c r="I53" s="9"/>
      <c r="J53" s="205"/>
    </row>
    <row r="54" s="1" customFormat="true" ht="21.95" hidden="false" customHeight="true" outlineLevel="0" collapsed="false">
      <c r="A54" s="0" t="n">
        <v>30</v>
      </c>
      <c r="B54" s="31" t="n">
        <v>38231</v>
      </c>
      <c r="C54" s="59" t="n">
        <v>617670</v>
      </c>
      <c r="D54" s="58" t="s">
        <v>41</v>
      </c>
      <c r="E54" s="33" t="n">
        <f aca="false">IF(D54="totale",(C54/(A54*24))/F54,IF(D54="marché libre",(C54/(A54*24))/G54,"spécifier histo"))</f>
        <v>0.225756578947368</v>
      </c>
      <c r="F54" s="59" t="n">
        <v>3800</v>
      </c>
      <c r="G54" s="59" t="n">
        <f aca="false">F54-H54</f>
        <v>3800</v>
      </c>
      <c r="H54" s="58" t="n">
        <v>0</v>
      </c>
      <c r="I54" s="9"/>
      <c r="J54" s="205"/>
    </row>
    <row r="55" s="1" customFormat="true" ht="21.95" hidden="false" customHeight="true" outlineLevel="0" collapsed="false">
      <c r="A55" s="0" t="n">
        <v>31</v>
      </c>
      <c r="B55" s="34" t="n">
        <v>38261</v>
      </c>
      <c r="C55" s="59" t="n">
        <v>641222</v>
      </c>
      <c r="D55" s="58" t="s">
        <v>41</v>
      </c>
      <c r="E55" s="33" t="n">
        <f aca="false">IF(D55="totale",(C55/(A55*24))/F55,IF(D55="marché libre",(C55/(A55*24))/G55,"spécifier histo"))</f>
        <v>0.226804612337295</v>
      </c>
      <c r="F55" s="59" t="n">
        <v>3800</v>
      </c>
      <c r="G55" s="59" t="n">
        <f aca="false">F55-H55</f>
        <v>3800</v>
      </c>
      <c r="H55" s="59" t="n">
        <v>0</v>
      </c>
      <c r="I55" s="9"/>
      <c r="J55" s="205"/>
    </row>
    <row r="56" s="1" customFormat="true" ht="21.95" hidden="false" customHeight="true" outlineLevel="0" collapsed="false">
      <c r="A56" s="0" t="n">
        <v>30</v>
      </c>
      <c r="B56" s="31" t="n">
        <v>38292</v>
      </c>
      <c r="C56" s="59" t="n">
        <v>351696</v>
      </c>
      <c r="D56" s="58" t="s">
        <v>41</v>
      </c>
      <c r="E56" s="33" t="n">
        <f aca="false">IF(D56="totale",(C56/(A56*24))/F56,IF(D56="marché libre",(C56/(A56*24))/G56,"spécifier histo"))</f>
        <v>0.128543859649123</v>
      </c>
      <c r="F56" s="59" t="n">
        <v>3800</v>
      </c>
      <c r="G56" s="59" t="n">
        <f aca="false">F56-H56</f>
        <v>3800</v>
      </c>
      <c r="H56" s="58" t="n">
        <v>0</v>
      </c>
      <c r="I56" s="9"/>
      <c r="J56" s="205"/>
    </row>
    <row r="57" s="1" customFormat="true" ht="19.95" hidden="false" customHeight="true" outlineLevel="0" collapsed="false">
      <c r="A57" s="0" t="n">
        <v>31</v>
      </c>
      <c r="B57" s="34" t="n">
        <v>38322</v>
      </c>
      <c r="C57" s="59" t="n">
        <v>944236</v>
      </c>
      <c r="D57" s="58" t="s">
        <v>41</v>
      </c>
      <c r="E57" s="33" t="n">
        <f aca="false">IF(D57="totale",(C57/(A57*24))/F57,IF(D57="marché libre",(C57/(A57*24))/G57,"spécifier histo"))</f>
        <v>0.333982739105829</v>
      </c>
      <c r="F57" s="59" t="n">
        <v>3800</v>
      </c>
      <c r="G57" s="59" t="n">
        <f aca="false">F57-H57</f>
        <v>3800</v>
      </c>
      <c r="H57" s="59" t="n">
        <v>0</v>
      </c>
      <c r="I57" s="9"/>
      <c r="J57" s="205"/>
    </row>
    <row r="58" customFormat="false" ht="19.85" hidden="false" customHeight="true" outlineLevel="0" collapsed="false">
      <c r="A58" s="0" t="n">
        <v>31</v>
      </c>
      <c r="B58" s="31" t="n">
        <v>38353</v>
      </c>
      <c r="C58" s="59" t="n">
        <v>1046208</v>
      </c>
      <c r="D58" s="58" t="s">
        <v>41</v>
      </c>
      <c r="E58" s="33" t="n">
        <f aca="false">IF(D58="totale",(C58/(A58*24))/F58,IF(D58="marché libre",(C58/(A58*24))/G58,"spécifier histo"))</f>
        <v>0.370050933786078</v>
      </c>
      <c r="F58" s="59" t="n">
        <v>3800</v>
      </c>
      <c r="G58" s="59" t="n">
        <f aca="false">F58-H58</f>
        <v>3800</v>
      </c>
      <c r="H58" s="58" t="n">
        <v>0</v>
      </c>
      <c r="J58" s="237"/>
    </row>
    <row r="59" customFormat="false" ht="19.85" hidden="false" customHeight="true" outlineLevel="0" collapsed="false">
      <c r="A59" s="0" t="n">
        <v>28</v>
      </c>
      <c r="B59" s="34" t="n">
        <v>38384</v>
      </c>
      <c r="C59" s="59" t="n">
        <v>1329251</v>
      </c>
      <c r="D59" s="58" t="s">
        <v>41</v>
      </c>
      <c r="E59" s="33" t="n">
        <f aca="false">IF(D59="totale",(C59/(A59*24))/F59,IF(D59="marché libre",(C59/(A59*24))/G59,"spécifier histo"))</f>
        <v>0.520540021929824</v>
      </c>
      <c r="F59" s="59" t="n">
        <v>3800</v>
      </c>
      <c r="G59" s="59" t="n">
        <f aca="false">F59-H59</f>
        <v>3800</v>
      </c>
      <c r="H59" s="59" t="n">
        <v>0</v>
      </c>
      <c r="J59" s="237"/>
      <c r="L59" s="0"/>
    </row>
    <row r="60" customFormat="false" ht="19.85" hidden="false" customHeight="true" outlineLevel="0" collapsed="false">
      <c r="A60" s="0" t="n">
        <v>31</v>
      </c>
      <c r="B60" s="31" t="n">
        <v>38412</v>
      </c>
      <c r="C60" s="59" t="n">
        <v>1481652</v>
      </c>
      <c r="D60" s="58" t="s">
        <v>41</v>
      </c>
      <c r="E60" s="33" t="n">
        <f aca="false">IF(D60="totale",(C60/(A60*24))/F60,IF(D60="marché libre",(C60/(A60*24))/G60,"spécifier histo"))</f>
        <v>0.524070458404075</v>
      </c>
      <c r="F60" s="59" t="n">
        <v>3800</v>
      </c>
      <c r="G60" s="59" t="n">
        <f aca="false">F60-H60</f>
        <v>3800</v>
      </c>
      <c r="H60" s="58" t="n">
        <v>0</v>
      </c>
      <c r="J60" s="70"/>
    </row>
    <row r="61" customFormat="false" ht="19.85" hidden="false" customHeight="true" outlineLevel="0" collapsed="false">
      <c r="A61" s="0" t="n">
        <v>30</v>
      </c>
      <c r="B61" s="34" t="n">
        <v>38443</v>
      </c>
      <c r="C61" s="59" t="n">
        <v>2112978</v>
      </c>
      <c r="D61" s="58" t="s">
        <v>41</v>
      </c>
      <c r="E61" s="33" t="n">
        <f aca="false">IF(D61="totale",(C61/(A61*24))/F61,IF(D61="marché libre",(C61/(A61*24))/G61,"spécifier histo"))</f>
        <v>0.772287280701754</v>
      </c>
      <c r="F61" s="59" t="n">
        <v>3800</v>
      </c>
      <c r="G61" s="59" t="n">
        <f aca="false">F61-H61</f>
        <v>3800</v>
      </c>
      <c r="H61" s="59" t="n">
        <v>0</v>
      </c>
      <c r="J61" s="70"/>
    </row>
    <row r="62" customFormat="false" ht="19.85" hidden="false" customHeight="true" outlineLevel="0" collapsed="false">
      <c r="A62" s="0" t="n">
        <v>31</v>
      </c>
      <c r="B62" s="31" t="n">
        <v>38473</v>
      </c>
      <c r="C62" s="59" t="n">
        <v>2552963</v>
      </c>
      <c r="D62" s="58" t="s">
        <v>41</v>
      </c>
      <c r="E62" s="33" t="n">
        <f aca="false">IF(D62="totale",(C62/(A62*24))/F62,IF(D62="marché libre",(C62/(A62*24))/G62,"spécifier histo"))</f>
        <v>0.903000495189587</v>
      </c>
      <c r="F62" s="59" t="n">
        <v>3800</v>
      </c>
      <c r="G62" s="59" t="n">
        <f aca="false">F62-H62</f>
        <v>3800</v>
      </c>
      <c r="H62" s="58" t="n">
        <v>0</v>
      </c>
      <c r="J62" s="70"/>
    </row>
    <row r="63" customFormat="false" ht="19.85" hidden="false" customHeight="true" outlineLevel="0" collapsed="false">
      <c r="A63" s="0" t="n">
        <v>30</v>
      </c>
      <c r="B63" s="34" t="n">
        <v>38504</v>
      </c>
      <c r="C63" s="59" t="n">
        <v>2067966</v>
      </c>
      <c r="D63" s="58" t="s">
        <v>41</v>
      </c>
      <c r="E63" s="33" t="n">
        <f aca="false">IF(D63="totale",(C63/(A63*24))/F63,IF(D63="marché libre",(C63/(A63*24))/G63,"spécifier histo"))</f>
        <v>0.75583552631579</v>
      </c>
      <c r="F63" s="59" t="n">
        <v>3800</v>
      </c>
      <c r="G63" s="59" t="n">
        <f aca="false">F63-H63</f>
        <v>3800</v>
      </c>
      <c r="H63" s="59" t="n">
        <v>0</v>
      </c>
      <c r="J63" s="70"/>
    </row>
    <row r="64" customFormat="false" ht="19.85" hidden="false" customHeight="true" outlineLevel="0" collapsed="false">
      <c r="A64" s="0" t="n">
        <v>31</v>
      </c>
      <c r="B64" s="31" t="n">
        <v>38534</v>
      </c>
      <c r="C64" s="59" t="n">
        <v>617662</v>
      </c>
      <c r="D64" s="58" t="s">
        <v>41</v>
      </c>
      <c r="E64" s="33" t="n">
        <f aca="false">IF(D64="totale",(C64/(A64*24))/F64,IF(D64="marché libre",(C64/(A64*24))/G64,"spécifier histo"))</f>
        <v>0.218471279003962</v>
      </c>
      <c r="F64" s="59" t="n">
        <v>3800</v>
      </c>
      <c r="G64" s="59" t="n">
        <f aca="false">F64-H64</f>
        <v>3800</v>
      </c>
      <c r="H64" s="58" t="n">
        <v>0</v>
      </c>
      <c r="J64" s="70"/>
    </row>
    <row r="65" customFormat="false" ht="19.85" hidden="false" customHeight="true" outlineLevel="0" collapsed="false">
      <c r="A65" s="0" t="n">
        <v>31</v>
      </c>
      <c r="B65" s="34" t="n">
        <v>38565</v>
      </c>
      <c r="C65" s="59" t="n">
        <v>284977</v>
      </c>
      <c r="D65" s="58" t="s">
        <v>41</v>
      </c>
      <c r="E65" s="33" t="n">
        <f aca="false">IF(D65="totale",(C65/(A65*24))/F65,IF(D65="marché libre",(C65/(A65*24))/G65,"spécifier histo"))</f>
        <v>0.100798316355405</v>
      </c>
      <c r="F65" s="59" t="n">
        <v>3800</v>
      </c>
      <c r="G65" s="59" t="n">
        <f aca="false">F65-H65</f>
        <v>3800</v>
      </c>
      <c r="H65" s="59" t="n">
        <v>0</v>
      </c>
      <c r="J65" s="70"/>
      <c r="K65" s="0"/>
      <c r="L65" s="0"/>
      <c r="M65" s="0"/>
      <c r="N65" s="0"/>
      <c r="O65" s="0"/>
      <c r="P65" s="0"/>
      <c r="Q65" s="0"/>
      <c r="R65" s="0"/>
      <c r="S65" s="0"/>
      <c r="T65" s="0"/>
      <c r="U65" s="0"/>
      <c r="V65" s="0"/>
      <c r="W65" s="0"/>
      <c r="X65" s="0"/>
      <c r="Y65" s="0"/>
    </row>
    <row r="66" customFormat="false" ht="19.85" hidden="false" customHeight="true" outlineLevel="0" collapsed="false">
      <c r="A66" s="0" t="n">
        <v>30</v>
      </c>
      <c r="B66" s="31" t="n">
        <v>38596</v>
      </c>
      <c r="C66" s="59" t="n">
        <v>435427</v>
      </c>
      <c r="D66" s="58" t="s">
        <v>41</v>
      </c>
      <c r="E66" s="33" t="n">
        <f aca="false">IF(D66="totale",(C66/(A66*24))/F66,IF(D66="marché libre",(C66/(A66*24))/G66,"spécifier histo"))</f>
        <v>0.159147295321637</v>
      </c>
      <c r="F66" s="59" t="n">
        <v>3800</v>
      </c>
      <c r="G66" s="59" t="n">
        <f aca="false">F66-H66</f>
        <v>3800</v>
      </c>
      <c r="H66" s="58" t="n">
        <v>0</v>
      </c>
      <c r="J66" s="70"/>
      <c r="K66" s="0"/>
      <c r="L66" s="0"/>
      <c r="M66" s="0"/>
      <c r="N66" s="0"/>
      <c r="O66" s="0"/>
      <c r="P66" s="0"/>
      <c r="Q66" s="0"/>
      <c r="R66" s="0"/>
      <c r="S66" s="0"/>
      <c r="T66" s="0"/>
      <c r="U66" s="0"/>
      <c r="V66" s="0"/>
      <c r="W66" s="0"/>
      <c r="X66" s="0"/>
      <c r="Y66" s="0"/>
    </row>
    <row r="67" customFormat="false" ht="19.85" hidden="false" customHeight="true" outlineLevel="0" collapsed="false">
      <c r="A67" s="0" t="n">
        <v>31</v>
      </c>
      <c r="B67" s="34" t="n">
        <v>38626</v>
      </c>
      <c r="C67" s="59" t="n">
        <v>858906</v>
      </c>
      <c r="D67" s="58" t="s">
        <v>41</v>
      </c>
      <c r="E67" s="33" t="n">
        <f aca="false">IF(D67="totale",(C67/(A67*24))/F67,IF(D67="marché libre",(C67/(A67*24))/G67,"spécifier histo"))</f>
        <v>0.303800933786078</v>
      </c>
      <c r="F67" s="59" t="n">
        <v>3800</v>
      </c>
      <c r="G67" s="59" t="n">
        <f aca="false">F67-H67</f>
        <v>3800</v>
      </c>
      <c r="H67" s="59" t="n">
        <v>0</v>
      </c>
      <c r="J67" s="70"/>
      <c r="K67" s="0"/>
      <c r="L67" s="0"/>
      <c r="M67" s="0"/>
      <c r="N67" s="0"/>
      <c r="O67" s="0"/>
      <c r="P67" s="0"/>
      <c r="Q67" s="0"/>
      <c r="R67" s="0"/>
      <c r="S67" s="0"/>
      <c r="T67" s="0"/>
      <c r="U67" s="0"/>
      <c r="V67" s="0"/>
      <c r="W67" s="0"/>
      <c r="X67" s="0"/>
      <c r="Y67" s="0"/>
    </row>
    <row r="68" customFormat="false" ht="19.85" hidden="false" customHeight="true" outlineLevel="0" collapsed="false">
      <c r="A68" s="0" t="n">
        <v>30</v>
      </c>
      <c r="B68" s="31" t="n">
        <v>38657</v>
      </c>
      <c r="C68" s="59" t="n">
        <v>1074615</v>
      </c>
      <c r="D68" s="58" t="s">
        <v>41</v>
      </c>
      <c r="E68" s="33" t="n">
        <f aca="false">IF(D68="totale",(C68/(A68*24))/F68,IF(D68="marché libre",(C68/(A68*24))/G68,"spécifier histo"))</f>
        <v>0.392768640350877</v>
      </c>
      <c r="F68" s="59" t="n">
        <v>3800</v>
      </c>
      <c r="G68" s="59" t="n">
        <f aca="false">F68-H68</f>
        <v>3800</v>
      </c>
      <c r="H68" s="58" t="n">
        <v>0</v>
      </c>
      <c r="J68" s="70"/>
      <c r="K68" s="0"/>
      <c r="L68" s="0"/>
      <c r="M68" s="0"/>
      <c r="N68" s="0"/>
      <c r="O68" s="0"/>
      <c r="P68" s="0"/>
      <c r="Q68" s="0"/>
      <c r="R68" s="0"/>
      <c r="S68" s="0"/>
      <c r="T68" s="0"/>
      <c r="U68" s="0"/>
      <c r="V68" s="0"/>
      <c r="W68" s="0"/>
      <c r="X68" s="0"/>
      <c r="Y68" s="0"/>
    </row>
    <row r="69" customFormat="false" ht="19.85" hidden="false" customHeight="true" outlineLevel="0" collapsed="false">
      <c r="A69" s="0" t="n">
        <v>31</v>
      </c>
      <c r="B69" s="34" t="n">
        <v>38687</v>
      </c>
      <c r="C69" s="59" t="n">
        <v>935379</v>
      </c>
      <c r="D69" s="58" t="s">
        <v>41</v>
      </c>
      <c r="E69" s="33" t="n">
        <f aca="false">IF(D69="totale",(C69/(A69*24))/F69,IF(D69="marché libre",(C69/(A69*24))/G69,"spécifier histo"))</f>
        <v>0.330849957555178</v>
      </c>
      <c r="F69" s="59" t="n">
        <v>3800</v>
      </c>
      <c r="G69" s="59" t="n">
        <f aca="false">F69-H69</f>
        <v>3800</v>
      </c>
      <c r="H69" s="59" t="n">
        <v>0</v>
      </c>
      <c r="J69" s="70"/>
      <c r="K69" s="0"/>
      <c r="L69" s="0"/>
      <c r="M69" s="0"/>
      <c r="N69" s="0"/>
      <c r="O69" s="0"/>
      <c r="P69" s="0"/>
      <c r="Q69" s="0"/>
      <c r="R69" s="0"/>
      <c r="S69" s="0"/>
      <c r="T69" s="0"/>
      <c r="U69" s="0"/>
      <c r="V69" s="0"/>
      <c r="W69" s="0"/>
      <c r="X69" s="0"/>
      <c r="Y69" s="0"/>
    </row>
    <row r="70" customFormat="false" ht="19.85" hidden="false" customHeight="true" outlineLevel="0" collapsed="false">
      <c r="A70" s="0" t="n">
        <v>31</v>
      </c>
      <c r="B70" s="31" t="n">
        <v>38718</v>
      </c>
      <c r="C70" s="59" t="n">
        <v>775863</v>
      </c>
      <c r="D70" s="58" t="s">
        <v>41</v>
      </c>
      <c r="E70" s="33" t="n">
        <f aca="false">IF(D70="totale",(C70/(A70*24))/F70,IF(D70="marché libre",(C70/(A70*24))/G70,"spécifier histo"))</f>
        <v>0.274428056027165</v>
      </c>
      <c r="F70" s="59" t="n">
        <v>3800</v>
      </c>
      <c r="G70" s="59" t="n">
        <f aca="false">F70-H70</f>
        <v>3800</v>
      </c>
      <c r="H70" s="58" t="n">
        <v>0</v>
      </c>
      <c r="J70" s="55"/>
      <c r="K70" s="0"/>
      <c r="L70" s="0"/>
      <c r="M70" s="0"/>
      <c r="N70" s="0"/>
      <c r="O70" s="0"/>
      <c r="P70" s="0"/>
      <c r="Q70" s="0"/>
      <c r="R70" s="0"/>
      <c r="S70" s="0"/>
      <c r="T70" s="0"/>
      <c r="U70" s="0"/>
      <c r="V70" s="0"/>
      <c r="W70" s="0"/>
      <c r="X70" s="0"/>
      <c r="Y70" s="0"/>
    </row>
    <row r="71" customFormat="false" ht="19.85" hidden="false" customHeight="true" outlineLevel="0" collapsed="false">
      <c r="A71" s="0" t="n">
        <v>28</v>
      </c>
      <c r="B71" s="34" t="n">
        <v>38749</v>
      </c>
      <c r="C71" s="59" t="n">
        <v>923295</v>
      </c>
      <c r="D71" s="58" t="s">
        <v>41</v>
      </c>
      <c r="E71" s="33" t="n">
        <f aca="false">IF(D71="totale",(C71/(A71*24))/F71,IF(D71="marché libre",(C71/(A71*24))/G71,"spécifier histo"))</f>
        <v>0.36156602443609</v>
      </c>
      <c r="F71" s="59" t="n">
        <v>3800</v>
      </c>
      <c r="G71" s="59" t="n">
        <f aca="false">F71-H71</f>
        <v>3800</v>
      </c>
      <c r="H71" s="59" t="n">
        <v>0</v>
      </c>
      <c r="J71" s="55"/>
      <c r="K71" s="0"/>
      <c r="L71" s="0"/>
      <c r="M71" s="0"/>
      <c r="N71" s="0"/>
      <c r="O71" s="0"/>
      <c r="P71" s="0"/>
      <c r="Q71" s="0"/>
      <c r="R71" s="0"/>
      <c r="S71" s="0"/>
      <c r="T71" s="0"/>
      <c r="U71" s="0"/>
      <c r="V71" s="0"/>
      <c r="W71" s="0"/>
      <c r="X71" s="0"/>
      <c r="Y71" s="0"/>
    </row>
    <row r="72" customFormat="false" ht="19.85" hidden="false" customHeight="true" outlineLevel="0" collapsed="false">
      <c r="A72" s="0" t="n">
        <v>31</v>
      </c>
      <c r="B72" s="31" t="n">
        <v>38777</v>
      </c>
      <c r="C72" s="59" t="n">
        <v>1585264</v>
      </c>
      <c r="D72" s="58" t="s">
        <v>41</v>
      </c>
      <c r="E72" s="33" t="n">
        <f aca="false">IF(D72="totale",(C72/(A72*24))/F72,IF(D72="marché libre",(C72/(A72*24))/G72,"spécifier histo"))</f>
        <v>0.560718732314658</v>
      </c>
      <c r="F72" s="59" t="n">
        <v>3800</v>
      </c>
      <c r="G72" s="59" t="n">
        <f aca="false">F72-H72</f>
        <v>3800</v>
      </c>
      <c r="H72" s="58" t="n">
        <v>0</v>
      </c>
      <c r="J72" s="55"/>
      <c r="K72" s="0"/>
      <c r="L72" s="0"/>
      <c r="M72" s="0"/>
      <c r="N72" s="0"/>
      <c r="O72" s="0"/>
      <c r="P72" s="0"/>
      <c r="Q72" s="0"/>
      <c r="R72" s="0"/>
      <c r="S72" s="0"/>
      <c r="T72" s="0"/>
      <c r="U72" s="0"/>
      <c r="V72" s="0"/>
      <c r="W72" s="0"/>
      <c r="X72" s="0"/>
      <c r="Y72" s="0"/>
    </row>
    <row r="73" customFormat="false" ht="19.85" hidden="false" customHeight="true" outlineLevel="0" collapsed="false">
      <c r="A73" s="0" t="n">
        <v>30</v>
      </c>
      <c r="B73" s="34" t="n">
        <v>38808</v>
      </c>
      <c r="C73" s="59" t="n">
        <v>2201394</v>
      </c>
      <c r="D73" s="58" t="s">
        <v>41</v>
      </c>
      <c r="E73" s="33" t="n">
        <f aca="false">IF(D73="totale",(C73/(A73*24))/F73,IF(D73="marché libre",(C73/(A73*24))/G73,"spécifier histo"))</f>
        <v>0.804603070175439</v>
      </c>
      <c r="F73" s="59" t="n">
        <v>3800</v>
      </c>
      <c r="G73" s="59" t="n">
        <f aca="false">F73-H73</f>
        <v>3800</v>
      </c>
      <c r="H73" s="59" t="n">
        <v>0</v>
      </c>
      <c r="J73" s="55"/>
      <c r="K73" s="0"/>
      <c r="L73" s="0"/>
      <c r="M73" s="0"/>
      <c r="N73" s="0"/>
      <c r="O73" s="0"/>
      <c r="P73" s="0"/>
      <c r="Q73" s="0"/>
      <c r="R73" s="0"/>
      <c r="S73" s="0"/>
      <c r="T73" s="0"/>
      <c r="U73" s="0"/>
      <c r="V73" s="0"/>
      <c r="W73" s="0"/>
      <c r="X73" s="0"/>
      <c r="Y73" s="0"/>
    </row>
    <row r="74" customFormat="false" ht="19.85" hidden="false" customHeight="true" outlineLevel="0" collapsed="false">
      <c r="A74" s="0" t="n">
        <v>31</v>
      </c>
      <c r="B74" s="31" t="n">
        <v>38838</v>
      </c>
      <c r="C74" s="59" t="n">
        <v>1660551</v>
      </c>
      <c r="D74" s="58" t="s">
        <v>41</v>
      </c>
      <c r="E74" s="33" t="n">
        <f aca="false">IF(D74="totale",(C74/(A74*24))/F74,IF(D74="marché libre",(C74/(A74*24))/G74,"spécifier histo"))</f>
        <v>0.587348259762309</v>
      </c>
      <c r="F74" s="59" t="n">
        <v>3800</v>
      </c>
      <c r="G74" s="59" t="n">
        <f aca="false">F74-H74</f>
        <v>3800</v>
      </c>
      <c r="H74" s="58" t="n">
        <v>0</v>
      </c>
      <c r="J74" s="55"/>
      <c r="K74" s="0"/>
      <c r="L74" s="0"/>
      <c r="M74" s="0"/>
      <c r="N74" s="0"/>
      <c r="O74" s="0"/>
      <c r="P74" s="0"/>
      <c r="Q74" s="0"/>
      <c r="R74" s="0"/>
      <c r="S74" s="0"/>
      <c r="T74" s="0"/>
      <c r="U74" s="0"/>
      <c r="V74" s="0"/>
      <c r="W74" s="0"/>
      <c r="X74" s="0"/>
      <c r="Y74" s="0"/>
    </row>
    <row r="75" customFormat="false" ht="19.85" hidden="false" customHeight="true" outlineLevel="0" collapsed="false">
      <c r="A75" s="0" t="n">
        <v>30</v>
      </c>
      <c r="B75" s="34" t="n">
        <v>38869</v>
      </c>
      <c r="C75" s="59" t="n">
        <v>255357</v>
      </c>
      <c r="D75" s="58" t="s">
        <v>41</v>
      </c>
      <c r="E75" s="33" t="n">
        <f aca="false">IF(D75="totale",(C75/(A75*24))/F75,IF(D75="marché libre",(C75/(A75*24))/G75,"spécifier histo"))</f>
        <v>0.0933322368421053</v>
      </c>
      <c r="F75" s="59" t="n">
        <v>3800</v>
      </c>
      <c r="G75" s="59" t="n">
        <f aca="false">F75-H75</f>
        <v>3800</v>
      </c>
      <c r="H75" s="59" t="n">
        <v>0</v>
      </c>
      <c r="J75" s="55"/>
      <c r="K75" s="0"/>
      <c r="L75" s="0"/>
      <c r="M75" s="0"/>
      <c r="N75" s="0"/>
      <c r="O75" s="0"/>
      <c r="P75" s="0"/>
      <c r="Q75" s="0"/>
      <c r="R75" s="0"/>
      <c r="S75" s="0"/>
      <c r="T75" s="0"/>
      <c r="U75" s="0"/>
      <c r="V75" s="0"/>
      <c r="W75" s="0"/>
      <c r="X75" s="0"/>
      <c r="Y75" s="0"/>
    </row>
    <row r="76" customFormat="false" ht="19.85" hidden="false" customHeight="true" outlineLevel="0" collapsed="false">
      <c r="A76" s="0" t="n">
        <v>31</v>
      </c>
      <c r="B76" s="31" t="n">
        <v>38899</v>
      </c>
      <c r="C76" s="59" t="n">
        <v>260650</v>
      </c>
      <c r="D76" s="58" t="s">
        <v>41</v>
      </c>
      <c r="E76" s="33" t="n">
        <f aca="false">IF(D76="totale",(C76/(A76*24))/F76,IF(D76="marché libre",(C76/(A76*24))/G76,"spécifier histo"))</f>
        <v>0.0921936898698359</v>
      </c>
      <c r="F76" s="59" t="n">
        <v>3800</v>
      </c>
      <c r="G76" s="59" t="n">
        <f aca="false">F76-H76</f>
        <v>3800</v>
      </c>
      <c r="H76" s="58" t="n">
        <v>0</v>
      </c>
      <c r="J76" s="55"/>
      <c r="K76" s="0"/>
      <c r="L76" s="0"/>
      <c r="M76" s="0"/>
      <c r="N76" s="0"/>
      <c r="O76" s="0"/>
      <c r="P76" s="0"/>
      <c r="Q76" s="0"/>
      <c r="R76" s="0"/>
      <c r="S76" s="0"/>
      <c r="T76" s="0"/>
      <c r="U76" s="0"/>
      <c r="V76" s="0"/>
      <c r="W76" s="0"/>
      <c r="X76" s="0"/>
      <c r="Y76" s="0"/>
    </row>
    <row r="77" customFormat="false" ht="19.85" hidden="false" customHeight="true" outlineLevel="0" collapsed="false">
      <c r="A77" s="0" t="n">
        <v>31</v>
      </c>
      <c r="B77" s="34" t="n">
        <v>38930</v>
      </c>
      <c r="C77" s="59" t="n">
        <v>71909</v>
      </c>
      <c r="D77" s="58" t="s">
        <v>41</v>
      </c>
      <c r="E77" s="33" t="n">
        <f aca="false">IF(D77="totale",(C77/(A77*24))/F77,IF(D77="marché libre",(C77/(A77*24))/G77,"spécifier histo"))</f>
        <v>0.0254347057159027</v>
      </c>
      <c r="F77" s="59" t="n">
        <v>3800</v>
      </c>
      <c r="G77" s="59" t="n">
        <f aca="false">F77-H77</f>
        <v>3800</v>
      </c>
      <c r="H77" s="59" t="n">
        <v>0</v>
      </c>
      <c r="J77" s="55"/>
      <c r="K77" s="0"/>
      <c r="L77" s="0"/>
      <c r="M77" s="0"/>
      <c r="N77" s="0"/>
      <c r="O77" s="0"/>
      <c r="P77" s="0"/>
      <c r="Q77" s="0"/>
      <c r="R77" s="0"/>
      <c r="S77" s="0"/>
      <c r="T77" s="0"/>
      <c r="U77" s="0"/>
      <c r="V77" s="0"/>
      <c r="W77" s="0"/>
      <c r="X77" s="0"/>
      <c r="Y77" s="0"/>
    </row>
    <row r="78" customFormat="false" ht="19.85" hidden="false" customHeight="true" outlineLevel="0" collapsed="false">
      <c r="A78" s="0" t="n">
        <v>30</v>
      </c>
      <c r="B78" s="31" t="n">
        <v>38961</v>
      </c>
      <c r="C78" s="59" t="n">
        <v>2432</v>
      </c>
      <c r="D78" s="58" t="s">
        <v>41</v>
      </c>
      <c r="E78" s="33" t="n">
        <f aca="false">IF(D78="totale",(C78/(A78*24))/F78,IF(D78="marché libre",(C78/(A78*24))/G78,"spécifier histo"))</f>
        <v>0.000888888888888889</v>
      </c>
      <c r="F78" s="59" t="n">
        <v>3800</v>
      </c>
      <c r="G78" s="59" t="n">
        <f aca="false">F78-H78</f>
        <v>3800</v>
      </c>
      <c r="H78" s="58" t="n">
        <v>0</v>
      </c>
      <c r="J78" s="0"/>
      <c r="K78" s="0"/>
      <c r="L78" s="0"/>
      <c r="M78" s="0"/>
      <c r="N78" s="0"/>
      <c r="O78" s="0"/>
      <c r="P78" s="0"/>
      <c r="Q78" s="0"/>
      <c r="R78" s="0"/>
      <c r="S78" s="0"/>
      <c r="T78" s="0"/>
      <c r="U78" s="0"/>
      <c r="V78" s="0"/>
      <c r="W78" s="0"/>
      <c r="X78" s="0"/>
      <c r="Y78" s="0"/>
      <c r="Z78" s="0"/>
      <c r="AA78" s="0"/>
      <c r="AB78" s="0"/>
      <c r="AC78" s="0"/>
    </row>
    <row r="79" customFormat="false" ht="19.85" hidden="false" customHeight="true" outlineLevel="0" collapsed="false">
      <c r="A79" s="0" t="n">
        <v>31</v>
      </c>
      <c r="B79" s="34" t="n">
        <v>38991</v>
      </c>
      <c r="C79" s="59" t="n">
        <v>62921</v>
      </c>
      <c r="D79" s="58" t="s">
        <v>41</v>
      </c>
      <c r="E79" s="33" t="n">
        <f aca="false">IF(D79="totale",(C79/(A79*24))/F79,IF(D79="marché libre",(C79/(A79*24))/G79,"spécifier histo"))</f>
        <v>0.0222555885681947</v>
      </c>
      <c r="F79" s="59" t="n">
        <v>3800</v>
      </c>
      <c r="G79" s="59" t="n">
        <f aca="false">F79-H79</f>
        <v>3800</v>
      </c>
      <c r="H79" s="59" t="n">
        <v>0</v>
      </c>
      <c r="J79" s="0"/>
      <c r="K79" s="0"/>
      <c r="L79" s="0"/>
      <c r="M79" s="0"/>
      <c r="N79" s="0"/>
      <c r="O79" s="0"/>
      <c r="P79" s="0"/>
      <c r="Q79" s="0"/>
      <c r="R79" s="0"/>
      <c r="S79" s="0"/>
      <c r="T79" s="0"/>
      <c r="U79" s="0"/>
      <c r="V79" s="0"/>
      <c r="W79" s="0"/>
      <c r="X79" s="0"/>
      <c r="Y79" s="0"/>
      <c r="Z79" s="0"/>
      <c r="AA79" s="0"/>
      <c r="AB79" s="0"/>
      <c r="AC79" s="0"/>
    </row>
    <row r="80" customFormat="false" ht="19.85" hidden="false" customHeight="true" outlineLevel="0" collapsed="false">
      <c r="A80" s="0" t="n">
        <v>30</v>
      </c>
      <c r="B80" s="31" t="n">
        <v>39022</v>
      </c>
      <c r="C80" s="59" t="n">
        <v>287083</v>
      </c>
      <c r="D80" s="58" t="s">
        <v>41</v>
      </c>
      <c r="E80" s="33" t="n">
        <f aca="false">IF(D80="totale",(C80/(A80*24))/F80,IF(D80="marché libre",(C80/(A80*24))/G80,"spécifier histo"))</f>
        <v>0.104927997076023</v>
      </c>
      <c r="F80" s="59" t="n">
        <v>3800</v>
      </c>
      <c r="G80" s="59" t="n">
        <f aca="false">F80-H80</f>
        <v>3800</v>
      </c>
      <c r="H80" s="58" t="n">
        <v>0</v>
      </c>
      <c r="J80" s="0"/>
      <c r="K80" s="0"/>
      <c r="L80" s="0"/>
      <c r="M80" s="0"/>
      <c r="N80" s="0"/>
      <c r="O80" s="0"/>
      <c r="P80" s="0"/>
      <c r="Q80" s="0"/>
      <c r="R80" s="0"/>
      <c r="S80" s="0"/>
      <c r="T80" s="0"/>
      <c r="U80" s="0"/>
      <c r="V80" s="0"/>
      <c r="W80" s="0"/>
      <c r="X80" s="0"/>
      <c r="Y80" s="0"/>
      <c r="Z80" s="0"/>
      <c r="AA80" s="0"/>
      <c r="AB80" s="0"/>
      <c r="AC80" s="0"/>
    </row>
    <row r="81" customFormat="false" ht="19.85" hidden="false" customHeight="true" outlineLevel="0" collapsed="false">
      <c r="A81" s="0" t="n">
        <v>31</v>
      </c>
      <c r="B81" s="34" t="n">
        <v>39052</v>
      </c>
      <c r="C81" s="59" t="n">
        <v>149330</v>
      </c>
      <c r="D81" s="58" t="s">
        <v>41</v>
      </c>
      <c r="E81" s="33" t="n">
        <f aca="false">IF(D81="totale",(C81/(A81*24))/F81,IF(D81="marché libre",(C81/(A81*24))/G81,"spécifier histo"))</f>
        <v>0.0528190435766837</v>
      </c>
      <c r="F81" s="59" t="n">
        <v>3800</v>
      </c>
      <c r="G81" s="59" t="n">
        <f aca="false">F81-H81</f>
        <v>3800</v>
      </c>
      <c r="H81" s="59" t="n">
        <v>0</v>
      </c>
      <c r="J81" s="0"/>
      <c r="K81" s="0"/>
      <c r="L81" s="0"/>
      <c r="M81" s="0"/>
      <c r="N81" s="0"/>
      <c r="O81" s="0"/>
      <c r="P81" s="0"/>
      <c r="Q81" s="0"/>
      <c r="R81" s="0"/>
      <c r="S81" s="0"/>
      <c r="T81" s="0"/>
      <c r="U81" s="0"/>
      <c r="V81" s="0"/>
      <c r="W81" s="0"/>
      <c r="X81" s="0"/>
      <c r="Y81" s="0"/>
      <c r="Z81" s="0"/>
      <c r="AA81" s="0"/>
      <c r="AB81" s="0"/>
      <c r="AC81" s="0"/>
    </row>
    <row r="82" customFormat="false" ht="19.85" hidden="false" customHeight="true" outlineLevel="0" collapsed="false">
      <c r="A82" s="0" t="n">
        <v>31</v>
      </c>
      <c r="B82" s="31" t="n">
        <v>39083</v>
      </c>
      <c r="C82" s="59" t="n">
        <v>124741</v>
      </c>
      <c r="D82" s="58" t="s">
        <v>41</v>
      </c>
      <c r="E82" s="33" t="n">
        <f aca="false">IF(D82="totale",(C82/(A82*24))/F82,IF(D82="marché libre",(C82/(A82*24))/G82,"spécifier histo"))</f>
        <v>0.0441217458970006</v>
      </c>
      <c r="F82" s="59" t="n">
        <v>3800</v>
      </c>
      <c r="G82" s="59" t="n">
        <f aca="false">F82-H82</f>
        <v>3800</v>
      </c>
      <c r="H82" s="58" t="n">
        <v>0</v>
      </c>
      <c r="J82" s="0"/>
      <c r="K82" s="0"/>
      <c r="L82" s="0"/>
      <c r="M82" s="0"/>
      <c r="N82" s="0"/>
      <c r="O82" s="0"/>
      <c r="P82" s="0"/>
      <c r="Q82" s="0"/>
      <c r="R82" s="0"/>
      <c r="S82" s="0"/>
      <c r="T82" s="0"/>
      <c r="U82" s="0"/>
      <c r="V82" s="0"/>
      <c r="W82" s="0"/>
      <c r="X82" s="0"/>
      <c r="Y82" s="0"/>
      <c r="Z82" s="0"/>
      <c r="AA82" s="0"/>
      <c r="AB82" s="0"/>
      <c r="AC82" s="0"/>
    </row>
    <row r="83" customFormat="false" ht="19.85" hidden="false" customHeight="true" outlineLevel="0" collapsed="false">
      <c r="A83" s="0" t="n">
        <v>28</v>
      </c>
      <c r="B83" s="34" t="n">
        <v>39114</v>
      </c>
      <c r="C83" s="59" t="n">
        <v>219053</v>
      </c>
      <c r="D83" s="58" t="s">
        <v>41</v>
      </c>
      <c r="E83" s="33" t="n">
        <f aca="false">IF(D83="totale",(C83/(A83*24))/F83,IF(D83="marché libre",(C83/(A83*24))/G83,"spécifier histo"))</f>
        <v>0.0857820332080201</v>
      </c>
      <c r="F83" s="59" t="n">
        <v>3800</v>
      </c>
      <c r="G83" s="59" t="n">
        <f aca="false">F83-H83</f>
        <v>3800</v>
      </c>
      <c r="H83" s="59" t="n">
        <v>0</v>
      </c>
      <c r="J83" s="0"/>
      <c r="K83" s="0"/>
      <c r="L83" s="0"/>
      <c r="M83" s="0"/>
      <c r="N83" s="0"/>
      <c r="O83" s="0"/>
      <c r="P83" s="0"/>
      <c r="Q83" s="0"/>
      <c r="R83" s="0"/>
      <c r="S83" s="0"/>
      <c r="T83" s="0"/>
      <c r="U83" s="0"/>
      <c r="V83" s="0"/>
      <c r="W83" s="0"/>
      <c r="X83" s="0"/>
      <c r="Y83" s="0"/>
      <c r="Z83" s="0"/>
      <c r="AA83" s="0"/>
      <c r="AB83" s="0"/>
      <c r="AC83" s="0"/>
    </row>
    <row r="84" customFormat="false" ht="19.85" hidden="false" customHeight="true" outlineLevel="0" collapsed="false">
      <c r="A84" s="0" t="n">
        <v>31</v>
      </c>
      <c r="B84" s="31" t="n">
        <v>39142</v>
      </c>
      <c r="C84" s="59" t="n">
        <v>721682</v>
      </c>
      <c r="D84" s="58" t="s">
        <v>41</v>
      </c>
      <c r="E84" s="33" t="n">
        <f aca="false">IF(D84="totale",(C84/(A84*24))/F84,IF(D84="marché libre",(C84/(A84*24))/G84,"spécifier histo"))</f>
        <v>0.255263865308432</v>
      </c>
      <c r="F84" s="59" t="n">
        <v>3800</v>
      </c>
      <c r="G84" s="59" t="n">
        <f aca="false">F84-H84</f>
        <v>3800</v>
      </c>
      <c r="H84" s="58" t="n">
        <v>0</v>
      </c>
      <c r="J84" s="0"/>
      <c r="K84" s="0"/>
      <c r="L84" s="0"/>
      <c r="M84" s="0"/>
      <c r="N84" s="0"/>
      <c r="O84" s="0"/>
      <c r="P84" s="0"/>
      <c r="Q84" s="0"/>
      <c r="R84" s="0"/>
      <c r="S84" s="0"/>
      <c r="T84" s="0"/>
      <c r="U84" s="0"/>
      <c r="V84" s="0"/>
      <c r="W84" s="0"/>
      <c r="X84" s="0"/>
      <c r="Y84" s="0"/>
      <c r="Z84" s="0"/>
      <c r="AA84" s="0"/>
      <c r="AB84" s="0"/>
      <c r="AC84" s="0"/>
    </row>
    <row r="85" customFormat="false" ht="19.85" hidden="false" customHeight="true" outlineLevel="0" collapsed="false">
      <c r="A85" s="0" t="n">
        <v>30</v>
      </c>
      <c r="B85" s="34" t="n">
        <v>39173</v>
      </c>
      <c r="C85" s="59" t="n">
        <v>2029467</v>
      </c>
      <c r="D85" s="58" t="s">
        <v>41</v>
      </c>
      <c r="E85" s="33" t="n">
        <f aca="false">IF(D85="totale",(C85/(A85*24))/F85,IF(D85="marché libre",(C85/(A85*24))/G85,"spécifier histo"))</f>
        <v>0.741764254385965</v>
      </c>
      <c r="F85" s="59" t="n">
        <v>3800</v>
      </c>
      <c r="G85" s="59" t="n">
        <f aca="false">F85-H85</f>
        <v>3800</v>
      </c>
      <c r="H85" s="59" t="n">
        <v>0</v>
      </c>
      <c r="J85" s="0"/>
      <c r="K85" s="0"/>
      <c r="L85" s="0"/>
      <c r="M85" s="0"/>
      <c r="N85" s="0"/>
      <c r="O85" s="0"/>
      <c r="P85" s="0"/>
      <c r="Q85" s="0"/>
      <c r="R85" s="0"/>
      <c r="S85" s="0"/>
      <c r="T85" s="0"/>
      <c r="U85" s="0"/>
      <c r="V85" s="0"/>
      <c r="W85" s="0"/>
      <c r="X85" s="0"/>
      <c r="Y85" s="0"/>
      <c r="Z85" s="0"/>
      <c r="AA85" s="0"/>
      <c r="AB85" s="0"/>
      <c r="AC85" s="0"/>
    </row>
    <row r="86" customFormat="false" ht="19.85" hidden="false" customHeight="true" outlineLevel="0" collapsed="false">
      <c r="A86" s="0" t="n">
        <v>31</v>
      </c>
      <c r="B86" s="31" t="n">
        <v>39203</v>
      </c>
      <c r="C86" s="59" t="n">
        <v>2333024</v>
      </c>
      <c r="D86" s="58" t="s">
        <v>41</v>
      </c>
      <c r="E86" s="33" t="n">
        <f aca="false">IF(D86="totale",(C86/(A86*24))/F86,IF(D86="marché libre",(C86/(A86*24))/G86,"spécifier histo"))</f>
        <v>0.825206564799095</v>
      </c>
      <c r="F86" s="59" t="n">
        <v>3800</v>
      </c>
      <c r="G86" s="59" t="n">
        <f aca="false">F86-H86</f>
        <v>3800</v>
      </c>
      <c r="H86" s="58" t="n">
        <v>0</v>
      </c>
      <c r="J86" s="0"/>
      <c r="K86" s="0"/>
      <c r="L86" s="0"/>
      <c r="M86" s="0"/>
      <c r="N86" s="0"/>
      <c r="O86" s="0"/>
      <c r="P86" s="0"/>
      <c r="Q86" s="0"/>
      <c r="R86" s="0"/>
      <c r="S86" s="0"/>
      <c r="T86" s="0"/>
      <c r="U86" s="0"/>
      <c r="V86" s="0"/>
      <c r="W86" s="0"/>
      <c r="X86" s="0"/>
      <c r="Y86" s="0"/>
      <c r="Z86" s="0"/>
      <c r="AA86" s="0"/>
      <c r="AB86" s="0"/>
      <c r="AC86" s="0"/>
    </row>
    <row r="87" customFormat="false" ht="19.85" hidden="false" customHeight="true" outlineLevel="0" collapsed="false">
      <c r="A87" s="0" t="n">
        <v>30</v>
      </c>
      <c r="B87" s="34" t="n">
        <v>39234</v>
      </c>
      <c r="C87" s="59" t="n">
        <v>1052661</v>
      </c>
      <c r="D87" s="58" t="s">
        <v>41</v>
      </c>
      <c r="E87" s="33" t="n">
        <f aca="false">IF(D87="totale",(C87/(A87*24))/F87,IF(D87="marché libre",(C87/(A87*24))/G87,"spécifier histo"))</f>
        <v>0.38474451754386</v>
      </c>
      <c r="F87" s="59" t="n">
        <v>3800</v>
      </c>
      <c r="G87" s="59" t="n">
        <f aca="false">F87-H87</f>
        <v>3800</v>
      </c>
      <c r="H87" s="59" t="n">
        <v>0</v>
      </c>
      <c r="J87" s="0"/>
      <c r="K87" s="0"/>
      <c r="L87" s="0"/>
      <c r="M87" s="0"/>
      <c r="N87" s="0"/>
      <c r="O87" s="0"/>
      <c r="P87" s="0"/>
      <c r="Q87" s="0"/>
      <c r="R87" s="0"/>
      <c r="S87" s="0"/>
      <c r="T87" s="0"/>
      <c r="U87" s="0"/>
      <c r="V87" s="0"/>
      <c r="W87" s="0"/>
      <c r="X87" s="0"/>
      <c r="Y87" s="0"/>
      <c r="Z87" s="0"/>
      <c r="AA87" s="0"/>
      <c r="AB87" s="0"/>
      <c r="AC87" s="0"/>
    </row>
    <row r="88" customFormat="false" ht="19.85" hidden="false" customHeight="true" outlineLevel="0" collapsed="false">
      <c r="A88" s="0" t="n">
        <v>31</v>
      </c>
      <c r="B88" s="31" t="n">
        <v>39264</v>
      </c>
      <c r="C88" s="59" t="n">
        <v>168390</v>
      </c>
      <c r="D88" s="58" t="s">
        <v>41</v>
      </c>
      <c r="E88" s="33" t="n">
        <f aca="false">IF(D88="totale",(C88/(A88*24))/F88,IF(D88="marché libre",(C88/(A88*24))/G88,"spécifier histo"))</f>
        <v>0.0595606960950764</v>
      </c>
      <c r="F88" s="59" t="n">
        <v>3800</v>
      </c>
      <c r="G88" s="59" t="n">
        <f aca="false">F88-H88</f>
        <v>3800</v>
      </c>
      <c r="H88" s="58" t="n">
        <v>0</v>
      </c>
      <c r="J88" s="0"/>
      <c r="K88" s="0"/>
      <c r="L88" s="0"/>
      <c r="M88" s="0"/>
      <c r="N88" s="0"/>
      <c r="O88" s="0"/>
      <c r="P88" s="0"/>
      <c r="Q88" s="0"/>
      <c r="R88" s="0"/>
      <c r="S88" s="0"/>
      <c r="T88" s="0"/>
      <c r="U88" s="0"/>
      <c r="V88" s="0"/>
      <c r="W88" s="0"/>
      <c r="X88" s="0"/>
      <c r="Y88" s="0"/>
      <c r="Z88" s="0"/>
      <c r="AA88" s="0"/>
      <c r="AB88" s="0"/>
      <c r="AC88" s="0"/>
    </row>
    <row r="89" customFormat="false" ht="19.85" hidden="false" customHeight="true" outlineLevel="0" collapsed="false">
      <c r="A89" s="0" t="n">
        <v>31</v>
      </c>
      <c r="B89" s="34" t="n">
        <v>39295</v>
      </c>
      <c r="C89" s="59" t="n">
        <v>192262</v>
      </c>
      <c r="D89" s="58" t="s">
        <v>41</v>
      </c>
      <c r="E89" s="33" t="n">
        <f aca="false">IF(D89="totale",(C89/(A89*24))/F89,IF(D89="marché libre",(C89/(A89*24))/G89,"spécifier histo"))</f>
        <v>0.0680043859649123</v>
      </c>
      <c r="F89" s="59" t="n">
        <v>3800</v>
      </c>
      <c r="G89" s="59" t="n">
        <f aca="false">F89-H89</f>
        <v>3800</v>
      </c>
      <c r="H89" s="59" t="n">
        <v>0</v>
      </c>
      <c r="J89" s="0"/>
      <c r="K89" s="0"/>
      <c r="L89" s="0"/>
      <c r="M89" s="0"/>
      <c r="N89" s="0"/>
      <c r="O89" s="0"/>
      <c r="P89" s="0"/>
      <c r="Q89" s="0"/>
      <c r="R89" s="0"/>
      <c r="S89" s="0"/>
      <c r="T89" s="0"/>
      <c r="U89" s="0"/>
      <c r="V89" s="0"/>
      <c r="W89" s="0"/>
      <c r="X89" s="0"/>
      <c r="Y89" s="0"/>
      <c r="Z89" s="0"/>
      <c r="AA89" s="0"/>
      <c r="AB89" s="0"/>
      <c r="AC89" s="0"/>
    </row>
    <row r="90" customFormat="false" ht="19.85" hidden="false" customHeight="true" outlineLevel="0" collapsed="false">
      <c r="A90" s="0" t="n">
        <v>30</v>
      </c>
      <c r="B90" s="31" t="n">
        <v>39326</v>
      </c>
      <c r="C90" s="59" t="n">
        <v>171453</v>
      </c>
      <c r="D90" s="58" t="s">
        <v>41</v>
      </c>
      <c r="E90" s="33" t="n">
        <f aca="false">IF(D90="totale",(C90/(A90*24))/F90,IF(D90="marché libre",(C90/(A90*24))/G90,"spécifier histo"))</f>
        <v>0.0626655701754386</v>
      </c>
      <c r="F90" s="59" t="n">
        <v>3800</v>
      </c>
      <c r="G90" s="59" t="n">
        <f aca="false">F90-H90</f>
        <v>3800</v>
      </c>
      <c r="H90" s="58" t="n">
        <v>0</v>
      </c>
      <c r="J90" s="0"/>
      <c r="K90" s="0"/>
      <c r="L90" s="0"/>
      <c r="M90" s="0"/>
      <c r="N90" s="0"/>
      <c r="O90" s="0"/>
      <c r="P90" s="0"/>
      <c r="Q90" s="0"/>
      <c r="R90" s="0"/>
      <c r="S90" s="0"/>
      <c r="T90" s="0"/>
      <c r="U90" s="0"/>
      <c r="V90" s="0"/>
      <c r="W90" s="0"/>
      <c r="X90" s="0"/>
      <c r="Y90" s="0"/>
      <c r="Z90" s="0"/>
      <c r="AA90" s="0"/>
      <c r="AB90" s="0"/>
      <c r="AC90" s="0"/>
    </row>
    <row r="91" customFormat="false" ht="19.85" hidden="false" customHeight="true" outlineLevel="0" collapsed="false">
      <c r="A91" s="0" t="n">
        <v>31</v>
      </c>
      <c r="B91" s="34" t="n">
        <v>39356</v>
      </c>
      <c r="C91" s="59" t="n">
        <v>187338</v>
      </c>
      <c r="D91" s="58" t="s">
        <v>41</v>
      </c>
      <c r="E91" s="33" t="n">
        <f aca="false">IF(D91="totale",(C91/(A91*24))/F91,IF(D91="marché libre",(C91/(A91*24))/G91,"spécifier histo"))</f>
        <v>0.0662627334465195</v>
      </c>
      <c r="F91" s="59" t="n">
        <v>3800</v>
      </c>
      <c r="G91" s="59" t="n">
        <f aca="false">F91-H91</f>
        <v>3800</v>
      </c>
      <c r="H91" s="59" t="n">
        <v>0</v>
      </c>
      <c r="J91" s="0"/>
      <c r="K91" s="0"/>
      <c r="L91" s="0"/>
      <c r="M91" s="0"/>
      <c r="N91" s="0"/>
      <c r="O91" s="0"/>
      <c r="P91" s="0"/>
      <c r="Q91" s="0"/>
      <c r="R91" s="0"/>
      <c r="S91" s="0"/>
      <c r="T91" s="0"/>
      <c r="U91" s="0"/>
      <c r="V91" s="0"/>
      <c r="W91" s="0"/>
      <c r="X91" s="0"/>
      <c r="Y91" s="0"/>
      <c r="Z91" s="0"/>
      <c r="AA91" s="0"/>
      <c r="AB91" s="0"/>
      <c r="AC91" s="0"/>
    </row>
    <row r="92" customFormat="false" ht="19.85" hidden="false" customHeight="true" outlineLevel="0" collapsed="false">
      <c r="A92" s="0" t="n">
        <v>30</v>
      </c>
      <c r="B92" s="31" t="n">
        <v>39387</v>
      </c>
      <c r="C92" s="59" t="n">
        <v>151706</v>
      </c>
      <c r="D92" s="58" t="s">
        <v>41</v>
      </c>
      <c r="E92" s="33" t="n">
        <f aca="false">IF(D92="totale",(C92/(A92*24))/F92,IF(D92="marché libre",(C92/(A92*24))/G92,"spécifier histo"))</f>
        <v>0.0554480994152047</v>
      </c>
      <c r="F92" s="59" t="n">
        <v>3800</v>
      </c>
      <c r="G92" s="59" t="n">
        <f aca="false">F92-H92</f>
        <v>3800</v>
      </c>
      <c r="H92" s="58" t="n">
        <v>0</v>
      </c>
      <c r="J92" s="0"/>
      <c r="K92" s="0"/>
      <c r="L92" s="0"/>
      <c r="M92" s="0"/>
      <c r="N92" s="0"/>
      <c r="O92" s="0"/>
      <c r="P92" s="0"/>
      <c r="Q92" s="0"/>
      <c r="R92" s="0"/>
      <c r="S92" s="0"/>
      <c r="T92" s="0"/>
      <c r="U92" s="0"/>
      <c r="V92" s="0"/>
      <c r="W92" s="0"/>
      <c r="X92" s="0"/>
      <c r="Y92" s="0"/>
      <c r="Z92" s="0"/>
      <c r="AA92" s="0"/>
      <c r="AB92" s="0"/>
      <c r="AC92" s="0"/>
    </row>
    <row r="93" customFormat="false" ht="19.85" hidden="false" customHeight="true" outlineLevel="0" collapsed="false">
      <c r="A93" s="0" t="n">
        <v>31</v>
      </c>
      <c r="B93" s="34" t="n">
        <v>39417</v>
      </c>
      <c r="C93" s="59" t="n">
        <v>218383</v>
      </c>
      <c r="D93" s="58" t="s">
        <v>41</v>
      </c>
      <c r="E93" s="33" t="n">
        <f aca="false">IF(D93="totale",(C93/(A93*24))/F93,IF(D93="marché libre",(C93/(A93*24))/G93,"spécifier histo"))</f>
        <v>0.0772435625353707</v>
      </c>
      <c r="F93" s="59" t="n">
        <v>3800</v>
      </c>
      <c r="G93" s="59" t="n">
        <f aca="false">F93-H93</f>
        <v>3800</v>
      </c>
      <c r="H93" s="59" t="n">
        <v>0</v>
      </c>
      <c r="J93" s="0"/>
      <c r="K93" s="0"/>
      <c r="L93" s="0"/>
      <c r="M93" s="0"/>
      <c r="N93" s="0"/>
      <c r="O93" s="0"/>
      <c r="P93" s="0"/>
      <c r="Q93" s="0"/>
      <c r="R93" s="0"/>
      <c r="S93" s="0"/>
      <c r="T93" s="0"/>
      <c r="U93" s="0"/>
      <c r="V93" s="0"/>
      <c r="W93" s="0"/>
      <c r="X93" s="0"/>
      <c r="Y93" s="0"/>
      <c r="Z93" s="0"/>
      <c r="AA93" s="0"/>
      <c r="AB93" s="0"/>
      <c r="AC93" s="0"/>
    </row>
    <row r="94" customFormat="false" ht="19.85" hidden="false" customHeight="true" outlineLevel="0" collapsed="false">
      <c r="A94" s="0" t="n">
        <v>31</v>
      </c>
      <c r="B94" s="31" t="n">
        <v>39448</v>
      </c>
      <c r="C94" s="59" t="n">
        <v>771646</v>
      </c>
      <c r="D94" s="58" t="s">
        <v>41</v>
      </c>
      <c r="E94" s="33" t="n">
        <f aca="false">IF(D94="totale",(C94/(A94*24))/F94,IF(D94="marché libre",(C94/(A94*24))/G94,"spécifier histo"))</f>
        <v>0.272936474250141</v>
      </c>
      <c r="F94" s="59" t="n">
        <v>3800</v>
      </c>
      <c r="G94" s="59" t="n">
        <f aca="false">F94-H94</f>
        <v>3800</v>
      </c>
      <c r="H94" s="58" t="n">
        <v>0</v>
      </c>
      <c r="J94" s="0"/>
      <c r="K94" s="0"/>
      <c r="L94" s="0"/>
      <c r="M94" s="0"/>
      <c r="N94" s="0"/>
      <c r="O94" s="0"/>
      <c r="P94" s="0"/>
      <c r="Q94" s="0"/>
      <c r="R94" s="0"/>
      <c r="S94" s="0"/>
      <c r="T94" s="0"/>
      <c r="U94" s="0"/>
      <c r="V94" s="0"/>
      <c r="W94" s="0"/>
      <c r="X94" s="0"/>
      <c r="Y94" s="0"/>
      <c r="Z94" s="0"/>
      <c r="AA94" s="0"/>
      <c r="AB94" s="0"/>
      <c r="AC94" s="0"/>
    </row>
    <row r="95" customFormat="false" ht="19.85" hidden="false" customHeight="true" outlineLevel="0" collapsed="false">
      <c r="A95" s="0" t="n">
        <v>28</v>
      </c>
      <c r="B95" s="34" t="n">
        <v>39479</v>
      </c>
      <c r="C95" s="59" t="n">
        <v>805833</v>
      </c>
      <c r="D95" s="58" t="s">
        <v>41</v>
      </c>
      <c r="E95" s="33" t="n">
        <f aca="false">IF(D95="totale",(C95/(A95*24))/F95,IF(D95="marché libre",(C95/(A95*24))/G95,"spécifier histo"))</f>
        <v>0.315567434210526</v>
      </c>
      <c r="F95" s="59" t="n">
        <v>3800</v>
      </c>
      <c r="G95" s="59" t="n">
        <f aca="false">F95-H95</f>
        <v>3800</v>
      </c>
      <c r="H95" s="59" t="n">
        <v>0</v>
      </c>
      <c r="J95" s="0"/>
      <c r="K95" s="0"/>
      <c r="L95" s="0"/>
      <c r="M95" s="0"/>
      <c r="N95" s="0"/>
      <c r="O95" s="0"/>
      <c r="P95" s="0"/>
      <c r="Q95" s="0"/>
      <c r="R95" s="0"/>
      <c r="S95" s="0"/>
      <c r="T95" s="0"/>
      <c r="U95" s="0"/>
      <c r="V95" s="0"/>
      <c r="W95" s="0"/>
      <c r="X95" s="0"/>
      <c r="Y95" s="0"/>
      <c r="Z95" s="0"/>
      <c r="AA95" s="0"/>
      <c r="AB95" s="0"/>
      <c r="AC95" s="0"/>
    </row>
    <row r="96" customFormat="false" ht="19.85" hidden="false" customHeight="true" outlineLevel="0" collapsed="false">
      <c r="A96" s="0" t="n">
        <v>31</v>
      </c>
      <c r="B96" s="31" t="n">
        <v>39508</v>
      </c>
      <c r="C96" s="59" t="n">
        <v>1227420</v>
      </c>
      <c r="D96" s="58" t="s">
        <v>41</v>
      </c>
      <c r="E96" s="33" t="n">
        <f aca="false">IF(D96="totale",(C96/(A96*24))/F96,IF(D96="marché libre",(C96/(A96*24))/G96,"spécifier histo"))</f>
        <v>0.434146859083192</v>
      </c>
      <c r="F96" s="59" t="n">
        <v>3800</v>
      </c>
      <c r="G96" s="59" t="n">
        <f aca="false">F96-H96</f>
        <v>3800</v>
      </c>
      <c r="H96" s="58" t="n">
        <v>0</v>
      </c>
      <c r="J96" s="55"/>
      <c r="L96" s="0"/>
      <c r="O96" s="0"/>
      <c r="T96" s="0"/>
    </row>
    <row r="97" customFormat="false" ht="19.85" hidden="false" customHeight="true" outlineLevel="0" collapsed="false">
      <c r="A97" s="0" t="n">
        <v>30</v>
      </c>
      <c r="B97" s="34" t="n">
        <v>39539</v>
      </c>
      <c r="C97" s="59" t="n">
        <v>2143744</v>
      </c>
      <c r="D97" s="58" t="s">
        <v>41</v>
      </c>
      <c r="E97" s="33" t="n">
        <f aca="false">IF(D97="totale",(C97/(A97*24))/F97,IF(D97="marché libre",(C97/(A97*24))/G97,"spécifier histo"))</f>
        <v>0.78353216374269</v>
      </c>
      <c r="F97" s="59" t="n">
        <v>3800</v>
      </c>
      <c r="G97" s="59" t="n">
        <f aca="false">F97-H97</f>
        <v>3800</v>
      </c>
      <c r="H97" s="59" t="n">
        <v>0</v>
      </c>
      <c r="J97" s="55"/>
      <c r="L97" s="0"/>
      <c r="O97" s="0"/>
      <c r="T97" s="0"/>
    </row>
    <row r="98" customFormat="false" ht="19.85" hidden="false" customHeight="true" outlineLevel="0" collapsed="false">
      <c r="A98" s="0" t="n">
        <v>31</v>
      </c>
      <c r="B98" s="31" t="n">
        <v>39569</v>
      </c>
      <c r="C98" s="59" t="n">
        <v>2086888</v>
      </c>
      <c r="D98" s="58" t="s">
        <v>41</v>
      </c>
      <c r="E98" s="33" t="n">
        <f aca="false">IF(D98="totale",(C98/(A98*24))/F98,IF(D98="marché libre",(C98/(A98*24))/G98,"spécifier histo"))</f>
        <v>0.738146576117714</v>
      </c>
      <c r="F98" s="59" t="n">
        <v>3800</v>
      </c>
      <c r="G98" s="59" t="n">
        <f aca="false">F98-H98</f>
        <v>3800</v>
      </c>
      <c r="H98" s="58" t="n">
        <v>0</v>
      </c>
      <c r="J98" s="55"/>
      <c r="L98" s="0"/>
      <c r="O98" s="0"/>
      <c r="T98" s="0"/>
    </row>
    <row r="99" customFormat="false" ht="19.85" hidden="false" customHeight="true" outlineLevel="0" collapsed="false">
      <c r="A99" s="0" t="n">
        <v>30</v>
      </c>
      <c r="B99" s="34" t="n">
        <v>39600</v>
      </c>
      <c r="C99" s="59" t="n">
        <v>1886487</v>
      </c>
      <c r="D99" s="58" t="s">
        <v>41</v>
      </c>
      <c r="E99" s="33" t="n">
        <f aca="false">IF(D99="totale",(C99/(A99*24))/F99,IF(D99="marché libre",(C99/(A99*24))/G99,"spécifier histo"))</f>
        <v>0.68950548245614</v>
      </c>
      <c r="F99" s="59" t="n">
        <v>3800</v>
      </c>
      <c r="G99" s="59" t="n">
        <f aca="false">F99-H99</f>
        <v>3800</v>
      </c>
      <c r="H99" s="59" t="n">
        <v>0</v>
      </c>
      <c r="J99" s="55"/>
      <c r="L99" s="0"/>
      <c r="O99" s="0"/>
      <c r="T99" s="0"/>
    </row>
    <row r="100" customFormat="false" ht="19.85" hidden="false" customHeight="true" outlineLevel="0" collapsed="false">
      <c r="A100" s="0" t="n">
        <v>31</v>
      </c>
      <c r="B100" s="31" t="n">
        <v>39630</v>
      </c>
      <c r="C100" s="59" t="n">
        <v>671168</v>
      </c>
      <c r="D100" s="58" t="s">
        <v>41</v>
      </c>
      <c r="E100" s="33" t="n">
        <f aca="false">IF(D100="totale",(C100/(A100*24))/F100,IF(D100="marché libre",(C100/(A100*24))/G100,"spécifier histo"))</f>
        <v>0.237396717600453</v>
      </c>
      <c r="F100" s="59" t="n">
        <v>3800</v>
      </c>
      <c r="G100" s="59" t="n">
        <f aca="false">F100-H100</f>
        <v>3800</v>
      </c>
      <c r="H100" s="58" t="n">
        <v>0</v>
      </c>
      <c r="J100" s="55"/>
      <c r="L100" s="0"/>
      <c r="O100" s="0"/>
      <c r="T100" s="0"/>
    </row>
    <row r="101" customFormat="false" ht="19.85" hidden="false" customHeight="true" outlineLevel="0" collapsed="false">
      <c r="A101" s="0" t="n">
        <v>31</v>
      </c>
      <c r="B101" s="34" t="n">
        <v>39661</v>
      </c>
      <c r="C101" s="59" t="n">
        <v>490592</v>
      </c>
      <c r="D101" s="58" t="s">
        <v>41</v>
      </c>
      <c r="E101" s="33" t="n">
        <f aca="false">IF(D101="totale",(C101/(A101*24))/F101,IF(D101="marché libre",(C101/(A101*24))/G101,"spécifier histo"))</f>
        <v>0.173525749858517</v>
      </c>
      <c r="F101" s="59" t="n">
        <v>3800</v>
      </c>
      <c r="G101" s="59" t="n">
        <f aca="false">F101-H101</f>
        <v>3800</v>
      </c>
      <c r="H101" s="59" t="n">
        <v>0</v>
      </c>
      <c r="J101" s="55"/>
      <c r="L101" s="0"/>
      <c r="O101" s="0"/>
      <c r="T101" s="0"/>
    </row>
    <row r="102" customFormat="false" ht="19.85" hidden="false" customHeight="true" outlineLevel="0" collapsed="false">
      <c r="A102" s="0" t="n">
        <v>30</v>
      </c>
      <c r="B102" s="31" t="n">
        <v>39692</v>
      </c>
      <c r="C102" s="59" t="n">
        <v>242979</v>
      </c>
      <c r="D102" s="58" t="s">
        <v>41</v>
      </c>
      <c r="E102" s="33" t="n">
        <f aca="false">IF(D102="totale",(C102/(A102*24))/F102,IF(D102="marché libre",(C102/(A102*24))/G102,"spécifier histo"))</f>
        <v>0.0888081140350877</v>
      </c>
      <c r="F102" s="59" t="n">
        <v>3800</v>
      </c>
      <c r="G102" s="59" t="n">
        <f aca="false">F102-H102</f>
        <v>3800</v>
      </c>
      <c r="H102" s="58" t="n">
        <v>0</v>
      </c>
      <c r="J102" s="55"/>
      <c r="L102" s="0"/>
      <c r="O102" s="0"/>
      <c r="T102" s="0"/>
    </row>
    <row r="103" customFormat="false" ht="19.85" hidden="false" customHeight="true" outlineLevel="0" collapsed="false">
      <c r="A103" s="0" t="n">
        <v>31</v>
      </c>
      <c r="B103" s="34" t="n">
        <v>39722</v>
      </c>
      <c r="C103" s="59" t="n">
        <v>267334</v>
      </c>
      <c r="D103" s="58" t="s">
        <v>41</v>
      </c>
      <c r="E103" s="33" t="n">
        <f aca="false">IF(D103="totale",(C103/(A103*24))/F103,IF(D103="marché libre",(C103/(A103*24))/G103,"spécifier histo"))</f>
        <v>0.0945578664402943</v>
      </c>
      <c r="F103" s="59" t="n">
        <v>3800</v>
      </c>
      <c r="G103" s="59" t="n">
        <f aca="false">F103-H103</f>
        <v>3800</v>
      </c>
      <c r="H103" s="59" t="n">
        <v>0</v>
      </c>
      <c r="J103" s="55"/>
      <c r="L103" s="0"/>
      <c r="O103" s="0"/>
      <c r="T103" s="0"/>
    </row>
    <row r="104" customFormat="false" ht="19.85" hidden="false" customHeight="true" outlineLevel="0" collapsed="false">
      <c r="A104" s="0" t="n">
        <v>30</v>
      </c>
      <c r="B104" s="31" t="n">
        <v>39753</v>
      </c>
      <c r="C104" s="59" t="n">
        <v>435174</v>
      </c>
      <c r="D104" s="58" t="s">
        <v>41</v>
      </c>
      <c r="E104" s="33" t="n">
        <f aca="false">IF(D104="totale",(C104/(A104*24))/F104,IF(D104="marché libre",(C104/(A104*24))/G104,"spécifier histo"))</f>
        <v>0.159054824561403</v>
      </c>
      <c r="F104" s="59" t="n">
        <v>3800</v>
      </c>
      <c r="G104" s="59" t="n">
        <f aca="false">F104-H104</f>
        <v>3800</v>
      </c>
      <c r="H104" s="58" t="n">
        <v>0</v>
      </c>
      <c r="J104" s="55"/>
      <c r="L104" s="0"/>
      <c r="O104" s="0"/>
      <c r="T104" s="0"/>
    </row>
    <row r="105" customFormat="false" ht="19.85" hidden="false" customHeight="true" outlineLevel="0" collapsed="false">
      <c r="A105" s="0" t="n">
        <v>31</v>
      </c>
      <c r="B105" s="34" t="n">
        <v>39783</v>
      </c>
      <c r="C105" s="59" t="n">
        <v>352084</v>
      </c>
      <c r="D105" s="58" t="s">
        <v>41</v>
      </c>
      <c r="E105" s="33" t="n">
        <f aca="false">IF(D105="totale",(C105/(A105*24))/F105,IF(D105="marché libre",(C105/(A105*24))/G105,"spécifier histo"))</f>
        <v>0.124534521788342</v>
      </c>
      <c r="F105" s="59" t="n">
        <v>3800</v>
      </c>
      <c r="G105" s="59" t="n">
        <f aca="false">F105-H105</f>
        <v>3800</v>
      </c>
      <c r="H105" s="59" t="n">
        <v>0</v>
      </c>
      <c r="J105" s="55"/>
      <c r="L105" s="0"/>
      <c r="O105" s="0"/>
      <c r="T105" s="0"/>
    </row>
    <row r="106" customFormat="false" ht="19.85" hidden="false" customHeight="true" outlineLevel="0" collapsed="false">
      <c r="A106" s="0" t="n">
        <v>31</v>
      </c>
      <c r="B106" s="31" t="n">
        <v>39814</v>
      </c>
      <c r="C106" s="59" t="n">
        <v>790876</v>
      </c>
      <c r="D106" s="58" t="s">
        <v>41</v>
      </c>
      <c r="E106" s="33" t="n">
        <f aca="false">IF(D106="totale",(C106/(A106*24))/F106,IF(D106="marché libre",(C106/(A106*24))/G106,"spécifier histo"))</f>
        <v>0.279738256932654</v>
      </c>
      <c r="F106" s="59" t="n">
        <v>3800</v>
      </c>
      <c r="G106" s="59" t="n">
        <f aca="false">F106-H106</f>
        <v>3800</v>
      </c>
      <c r="H106" s="58" t="n">
        <v>0</v>
      </c>
      <c r="J106" s="55"/>
      <c r="L106" s="0"/>
      <c r="O106" s="0"/>
      <c r="T106" s="0"/>
    </row>
    <row r="107" customFormat="false" ht="19.85" hidden="false" customHeight="true" outlineLevel="0" collapsed="false">
      <c r="A107" s="0" t="n">
        <v>28</v>
      </c>
      <c r="B107" s="34" t="n">
        <v>39845</v>
      </c>
      <c r="C107" s="59" t="n">
        <v>609351</v>
      </c>
      <c r="D107" s="58" t="s">
        <v>41</v>
      </c>
      <c r="E107" s="33" t="n">
        <f aca="false">IF(D107="totale",(C107/(A107*24))/F107,IF(D107="marché libre",(C107/(A107*24))/G107,"spécifier histo"))</f>
        <v>0.238624295112782</v>
      </c>
      <c r="F107" s="59" t="n">
        <v>3800</v>
      </c>
      <c r="G107" s="59" t="n">
        <f aca="false">F107-H107</f>
        <v>3800</v>
      </c>
      <c r="H107" s="59" t="n">
        <v>0</v>
      </c>
      <c r="J107" s="55"/>
      <c r="L107" s="0"/>
      <c r="O107" s="0"/>
      <c r="T107" s="0"/>
    </row>
    <row r="108" customFormat="false" ht="19.85" hidden="false" customHeight="true" outlineLevel="0" collapsed="false">
      <c r="A108" s="0" t="n">
        <v>31</v>
      </c>
      <c r="B108" s="31" t="n">
        <v>39873</v>
      </c>
      <c r="C108" s="59" t="n">
        <v>1353119</v>
      </c>
      <c r="D108" s="58" t="s">
        <v>41</v>
      </c>
      <c r="E108" s="33" t="n">
        <f aca="false">IF(D108="totale",(C108/(A108*24))/F108,IF(D108="marché libre",(C108/(A108*24))/G108,"spécifier histo"))</f>
        <v>0.478607456140351</v>
      </c>
      <c r="F108" s="59" t="n">
        <v>3800</v>
      </c>
      <c r="G108" s="59" t="n">
        <f aca="false">F108-H108</f>
        <v>3800</v>
      </c>
      <c r="H108" s="58" t="n">
        <v>0</v>
      </c>
      <c r="J108" s="55"/>
      <c r="L108" s="0"/>
      <c r="O108" s="0"/>
      <c r="T108" s="0"/>
    </row>
    <row r="109" customFormat="false" ht="19.85" hidden="false" customHeight="true" outlineLevel="0" collapsed="false">
      <c r="A109" s="0" t="n">
        <v>30</v>
      </c>
      <c r="B109" s="34" t="n">
        <v>39904</v>
      </c>
      <c r="C109" s="59" t="n">
        <v>1997137</v>
      </c>
      <c r="D109" s="58" t="s">
        <v>41</v>
      </c>
      <c r="E109" s="33" t="n">
        <f aca="false">IF(D109="totale",(C109/(A109*24))/F109,IF(D109="marché libre",(C109/(A109*24))/G109,"spécifier histo"))</f>
        <v>0.729947733918129</v>
      </c>
      <c r="F109" s="59" t="n">
        <v>3800</v>
      </c>
      <c r="G109" s="59" t="n">
        <f aca="false">F109-H109</f>
        <v>3800</v>
      </c>
      <c r="H109" s="59" t="n">
        <v>0</v>
      </c>
      <c r="J109" s="55"/>
      <c r="L109" s="0"/>
      <c r="O109" s="0"/>
      <c r="T109" s="0"/>
    </row>
    <row r="110" customFormat="false" ht="19.85" hidden="false" customHeight="true" outlineLevel="0" collapsed="false">
      <c r="A110" s="0" t="n">
        <v>31</v>
      </c>
      <c r="B110" s="31" t="n">
        <v>39934</v>
      </c>
      <c r="C110" s="59" t="n">
        <v>2218111</v>
      </c>
      <c r="D110" s="58" t="s">
        <v>41</v>
      </c>
      <c r="E110" s="33" t="n">
        <f aca="false">IF(D110="totale",(C110/(A110*24))/F110,IF(D110="marché libre",(C110/(A110*24))/G110,"spécifier histo"))</f>
        <v>0.784561049801924</v>
      </c>
      <c r="F110" s="59" t="n">
        <v>3800</v>
      </c>
      <c r="G110" s="59" t="n">
        <f aca="false">F110-H110</f>
        <v>3800</v>
      </c>
      <c r="H110" s="58" t="n">
        <v>0</v>
      </c>
      <c r="J110" s="55"/>
      <c r="L110" s="0"/>
      <c r="O110" s="0"/>
      <c r="T110" s="0"/>
    </row>
    <row r="111" customFormat="false" ht="19.85" hidden="false" customHeight="true" outlineLevel="0" collapsed="false">
      <c r="A111" s="0" t="n">
        <v>30</v>
      </c>
      <c r="B111" s="34" t="n">
        <v>39965</v>
      </c>
      <c r="C111" s="59" t="n">
        <v>1582434</v>
      </c>
      <c r="D111" s="58" t="s">
        <v>41</v>
      </c>
      <c r="E111" s="33" t="n">
        <f aca="false">IF(D111="totale",(C111/(A111*24))/F111,IF(D111="marché libre",(C111/(A111*24))/G111,"spécifier histo"))</f>
        <v>0.578375</v>
      </c>
      <c r="F111" s="59" t="n">
        <v>3800</v>
      </c>
      <c r="G111" s="59" t="n">
        <f aca="false">F111-H111</f>
        <v>3800</v>
      </c>
      <c r="H111" s="59" t="n">
        <v>0</v>
      </c>
      <c r="J111" s="55"/>
      <c r="L111" s="0"/>
      <c r="O111" s="0"/>
      <c r="T111" s="0"/>
    </row>
    <row r="112" customFormat="false" ht="19.85" hidden="false" customHeight="true" outlineLevel="0" collapsed="false">
      <c r="A112" s="0" t="n">
        <v>31</v>
      </c>
      <c r="B112" s="31" t="n">
        <v>39995</v>
      </c>
      <c r="C112" s="59" t="n">
        <v>649278</v>
      </c>
      <c r="D112" s="58" t="s">
        <v>41</v>
      </c>
      <c r="E112" s="33" t="n">
        <f aca="false">IF(D112="totale",(C112/(A112*24))/F112,IF(D112="marché libre",(C112/(A112*24))/G112,"spécifier histo"))</f>
        <v>0.229654074702886</v>
      </c>
      <c r="F112" s="59" t="n">
        <v>3800</v>
      </c>
      <c r="G112" s="59" t="n">
        <f aca="false">F112-H112</f>
        <v>3800</v>
      </c>
      <c r="H112" s="58" t="n">
        <v>0</v>
      </c>
      <c r="J112" s="55"/>
      <c r="L112" s="0"/>
      <c r="O112" s="0"/>
      <c r="T112" s="0"/>
    </row>
    <row r="113" customFormat="false" ht="19.85" hidden="false" customHeight="true" outlineLevel="0" collapsed="false">
      <c r="A113" s="0" t="n">
        <v>31</v>
      </c>
      <c r="B113" s="34" t="n">
        <v>40026</v>
      </c>
      <c r="C113" s="59" t="n">
        <v>387860</v>
      </c>
      <c r="D113" s="58" t="s">
        <v>41</v>
      </c>
      <c r="E113" s="33" t="n">
        <f aca="false">IF(D113="totale",(C113/(A113*24))/F113,IF(D113="marché libre",(C113/(A113*24))/G113,"spécifier histo"))</f>
        <v>0.137188737973967</v>
      </c>
      <c r="F113" s="59" t="n">
        <v>3800</v>
      </c>
      <c r="G113" s="59" t="n">
        <f aca="false">F113-H113</f>
        <v>3800</v>
      </c>
      <c r="H113" s="59" t="n">
        <v>0</v>
      </c>
      <c r="J113" s="55"/>
      <c r="L113" s="0"/>
      <c r="O113" s="0"/>
      <c r="T113" s="0"/>
      <c r="X113" s="398"/>
    </row>
    <row r="114" customFormat="false" ht="19.85" hidden="false" customHeight="true" outlineLevel="0" collapsed="false">
      <c r="A114" s="0" t="n">
        <v>30</v>
      </c>
      <c r="B114" s="31" t="n">
        <v>40057</v>
      </c>
      <c r="C114" s="59" t="n">
        <v>652080</v>
      </c>
      <c r="D114" s="58" t="s">
        <v>41</v>
      </c>
      <c r="E114" s="33" t="n">
        <f aca="false">IF(D114="totale",(C114/(A114*24))/F114,IF(D114="marché libre",(C114/(A114*24))/G114,"spécifier histo"))</f>
        <v>0.238333333333333</v>
      </c>
      <c r="F114" s="59" t="n">
        <v>3800</v>
      </c>
      <c r="G114" s="59" t="n">
        <f aca="false">F114-H114</f>
        <v>3800</v>
      </c>
      <c r="H114" s="58" t="n">
        <v>0</v>
      </c>
      <c r="J114" s="55"/>
      <c r="L114" s="0"/>
      <c r="O114" s="0"/>
      <c r="T114" s="0"/>
      <c r="X114" s="398"/>
    </row>
    <row r="115" customFormat="false" ht="19.85" hidden="false" customHeight="true" outlineLevel="0" collapsed="false">
      <c r="A115" s="0" t="n">
        <v>31</v>
      </c>
      <c r="B115" s="34" t="n">
        <v>40087</v>
      </c>
      <c r="C115" s="59" t="n">
        <v>201325</v>
      </c>
      <c r="D115" s="58" t="s">
        <v>41</v>
      </c>
      <c r="E115" s="33" t="n">
        <f aca="false">IF(D115="totale",(C115/(A115*24))/F115,IF(D115="marché libre",(C115/(A115*24))/G115,"spécifier histo"))</f>
        <v>0.0712100311262026</v>
      </c>
      <c r="F115" s="59" t="n">
        <v>3800</v>
      </c>
      <c r="G115" s="59" t="n">
        <f aca="false">F115-H115</f>
        <v>3800</v>
      </c>
      <c r="H115" s="59" t="n">
        <v>0</v>
      </c>
      <c r="J115" s="55"/>
      <c r="L115" s="0"/>
      <c r="O115" s="0"/>
      <c r="T115" s="0"/>
      <c r="X115" s="398"/>
    </row>
    <row r="116" customFormat="false" ht="19.85" hidden="false" customHeight="true" outlineLevel="0" collapsed="false">
      <c r="A116" s="0" t="n">
        <v>30</v>
      </c>
      <c r="B116" s="31" t="n">
        <v>40118</v>
      </c>
      <c r="C116" s="59" t="n">
        <v>1008842</v>
      </c>
      <c r="D116" s="58" t="s">
        <v>41</v>
      </c>
      <c r="E116" s="33" t="n">
        <f aca="false">IF(D116="totale",(C116/(A116*24))/F116,IF(D116="marché libre",(C116/(A116*24))/G116,"spécifier histo"))</f>
        <v>0.368728801169591</v>
      </c>
      <c r="F116" s="59" t="n">
        <v>3800</v>
      </c>
      <c r="G116" s="59" t="n">
        <f aca="false">F116-H116</f>
        <v>3800</v>
      </c>
      <c r="H116" s="58" t="n">
        <v>0</v>
      </c>
      <c r="J116" s="55"/>
      <c r="L116" s="0"/>
      <c r="O116" s="0"/>
      <c r="T116" s="0"/>
      <c r="X116" s="398"/>
    </row>
    <row r="117" customFormat="false" ht="19.85" hidden="false" customHeight="true" outlineLevel="0" collapsed="false">
      <c r="A117" s="0" t="n">
        <v>31</v>
      </c>
      <c r="B117" s="34" t="n">
        <v>40148</v>
      </c>
      <c r="C117" s="59" t="n">
        <v>1092208</v>
      </c>
      <c r="D117" s="58" t="s">
        <v>41</v>
      </c>
      <c r="E117" s="33" t="n">
        <f aca="false">IF(D117="totale",(C117/(A117*24))/F117,IF(D117="marché libre",(C117/(A117*24))/G117,"spécifier histo"))</f>
        <v>0.386321448783248</v>
      </c>
      <c r="F117" s="59" t="n">
        <v>3800</v>
      </c>
      <c r="G117" s="59" t="n">
        <f aca="false">F117-H117</f>
        <v>3800</v>
      </c>
      <c r="H117" s="59" t="n">
        <v>0</v>
      </c>
      <c r="J117" s="55"/>
      <c r="L117" s="0"/>
      <c r="O117" s="0"/>
      <c r="T117" s="0"/>
      <c r="X117" s="398"/>
    </row>
    <row r="118" customFormat="false" ht="19.85" hidden="false" customHeight="true" outlineLevel="0" collapsed="false">
      <c r="A118" s="0" t="n">
        <v>31</v>
      </c>
      <c r="B118" s="31" t="n">
        <v>40179</v>
      </c>
      <c r="C118" s="59" t="n">
        <v>1358146</v>
      </c>
      <c r="D118" s="58" t="s">
        <v>41</v>
      </c>
      <c r="E118" s="33" t="n">
        <f aca="false">IF(D118="totale",(C118/(A118*24))/F118,IF(D118="marché libre",(C118/(A118*24))/G118,"spécifier histo"))</f>
        <v>0.480385540464063</v>
      </c>
      <c r="F118" s="59" t="n">
        <v>3800</v>
      </c>
      <c r="G118" s="59" t="n">
        <f aca="false">F118-H118</f>
        <v>3800</v>
      </c>
      <c r="H118" s="58" t="n">
        <v>0</v>
      </c>
      <c r="J118" s="55"/>
      <c r="L118" s="0"/>
      <c r="O118" s="0"/>
      <c r="T118" s="0"/>
      <c r="X118" s="398"/>
    </row>
    <row r="119" customFormat="false" ht="19.85" hidden="false" customHeight="true" outlineLevel="0" collapsed="false">
      <c r="A119" s="0" t="n">
        <v>28</v>
      </c>
      <c r="B119" s="34" t="n">
        <v>40210</v>
      </c>
      <c r="C119" s="59" t="n">
        <v>1025977</v>
      </c>
      <c r="D119" s="58" t="s">
        <v>41</v>
      </c>
      <c r="E119" s="33" t="n">
        <f aca="false">IF(D119="totale",(C119/(A119*24))/F119,IF(D119="marché libre",(C119/(A119*24))/G119,"spécifier histo"))</f>
        <v>0.401776707393484</v>
      </c>
      <c r="F119" s="59" t="n">
        <v>3800</v>
      </c>
      <c r="G119" s="59" t="n">
        <f aca="false">F119-H119</f>
        <v>3800</v>
      </c>
      <c r="H119" s="59" t="n">
        <v>0</v>
      </c>
      <c r="J119" s="55"/>
      <c r="L119" s="0"/>
      <c r="O119" s="0"/>
      <c r="T119" s="0"/>
      <c r="X119" s="398"/>
    </row>
    <row r="120" customFormat="false" ht="19.85" hidden="false" customHeight="true" outlineLevel="0" collapsed="false">
      <c r="A120" s="0" t="n">
        <v>31</v>
      </c>
      <c r="B120" s="31" t="n">
        <v>40238</v>
      </c>
      <c r="C120" s="59" t="n">
        <v>77357</v>
      </c>
      <c r="D120" s="58" t="s">
        <v>41</v>
      </c>
      <c r="E120" s="33" t="n">
        <f aca="false">IF(D120="totale",(C120/(A120*24))/F120,IF(D120="marché libre",(C120/(A120*24))/G120,"spécifier histo"))</f>
        <v>0.027361700622524</v>
      </c>
      <c r="F120" s="59" t="n">
        <v>3800</v>
      </c>
      <c r="G120" s="59" t="n">
        <f aca="false">F120-H120</f>
        <v>3800</v>
      </c>
      <c r="H120" s="58" t="n">
        <v>0</v>
      </c>
      <c r="J120" s="55"/>
      <c r="L120" s="0"/>
      <c r="O120" s="0"/>
      <c r="T120" s="0"/>
      <c r="X120" s="398"/>
    </row>
    <row r="121" customFormat="false" ht="19.85" hidden="false" customHeight="true" outlineLevel="0" collapsed="false">
      <c r="A121" s="0" t="n">
        <v>30</v>
      </c>
      <c r="B121" s="34" t="n">
        <v>40269</v>
      </c>
      <c r="C121" s="59" t="n">
        <v>1739647</v>
      </c>
      <c r="D121" s="58" t="s">
        <v>41</v>
      </c>
      <c r="E121" s="33" t="n">
        <f aca="false">IF(D121="totale",(C121/(A121*24))/F121,IF(D121="marché libre",(C121/(A121*24))/G121,"spécifier histo"))</f>
        <v>0.635835891812866</v>
      </c>
      <c r="F121" s="59" t="n">
        <v>3800</v>
      </c>
      <c r="G121" s="59" t="n">
        <f aca="false">F121-H121</f>
        <v>3800</v>
      </c>
      <c r="H121" s="59" t="n">
        <v>0</v>
      </c>
      <c r="J121" s="55"/>
      <c r="L121" s="0"/>
      <c r="O121" s="0"/>
      <c r="T121" s="0"/>
      <c r="X121" s="398"/>
    </row>
    <row r="122" customFormat="false" ht="19.85" hidden="false" customHeight="true" outlineLevel="0" collapsed="false">
      <c r="A122" s="0" t="n">
        <v>31</v>
      </c>
      <c r="B122" s="31" t="n">
        <v>40299</v>
      </c>
      <c r="C122" s="59" t="n">
        <v>2348156</v>
      </c>
      <c r="D122" s="58" t="s">
        <v>41</v>
      </c>
      <c r="E122" s="33" t="n">
        <f aca="false">IF(D122="totale",(C122/(A122*24))/F122,IF(D122="marché libre",(C122/(A122*24))/G122,"spécifier histo"))</f>
        <v>0.830558856819468</v>
      </c>
      <c r="F122" s="59" t="n">
        <v>3800</v>
      </c>
      <c r="G122" s="59" t="n">
        <f aca="false">F122-H122</f>
        <v>3800</v>
      </c>
      <c r="H122" s="58" t="n">
        <v>0</v>
      </c>
      <c r="J122" s="55"/>
      <c r="L122" s="0"/>
      <c r="O122" s="0"/>
      <c r="T122" s="0"/>
      <c r="X122" s="398"/>
    </row>
    <row r="123" customFormat="false" ht="19.85" hidden="false" customHeight="true" outlineLevel="0" collapsed="false">
      <c r="A123" s="0" t="n">
        <v>30</v>
      </c>
      <c r="B123" s="34" t="n">
        <v>40330</v>
      </c>
      <c r="C123" s="59" t="n">
        <v>2150405</v>
      </c>
      <c r="D123" s="58" t="s">
        <v>41</v>
      </c>
      <c r="E123" s="33" t="n">
        <f aca="false">IF(D123="totale",(C123/(A123*24))/F123,IF(D123="marché libre",(C123/(A123*24))/G123,"spécifier histo"))</f>
        <v>0.785966739766082</v>
      </c>
      <c r="F123" s="59" t="n">
        <v>3800</v>
      </c>
      <c r="G123" s="59" t="n">
        <f aca="false">F123-H123</f>
        <v>3800</v>
      </c>
      <c r="H123" s="59" t="n">
        <v>0</v>
      </c>
      <c r="J123" s="55"/>
      <c r="L123" s="0"/>
      <c r="O123" s="0"/>
      <c r="T123" s="0"/>
      <c r="X123" s="398"/>
    </row>
    <row r="124" customFormat="false" ht="19.85" hidden="false" customHeight="true" outlineLevel="0" collapsed="false">
      <c r="A124" s="0" t="n">
        <v>31</v>
      </c>
      <c r="B124" s="31" t="n">
        <v>40360</v>
      </c>
      <c r="C124" s="59" t="n">
        <v>920130</v>
      </c>
      <c r="D124" s="58" t="s">
        <v>41</v>
      </c>
      <c r="E124" s="33" t="n">
        <f aca="false">IF(D124="totale",(C124/(A124*24))/F124,IF(D124="marché libre",(C124/(A124*24))/G124,"spécifier histo"))</f>
        <v>0.325456281833616</v>
      </c>
      <c r="F124" s="59" t="n">
        <v>3800</v>
      </c>
      <c r="G124" s="59" t="n">
        <f aca="false">F124-H124</f>
        <v>3800</v>
      </c>
      <c r="H124" s="58" t="n">
        <v>0</v>
      </c>
      <c r="J124" s="55"/>
      <c r="L124" s="0"/>
      <c r="N124" s="0"/>
      <c r="O124" s="0"/>
      <c r="T124" s="0"/>
      <c r="X124" s="398"/>
    </row>
    <row r="125" customFormat="false" ht="19.85" hidden="false" customHeight="true" outlineLevel="0" collapsed="false">
      <c r="A125" s="0" t="n">
        <v>31</v>
      </c>
      <c r="B125" s="34" t="n">
        <v>40391</v>
      </c>
      <c r="C125" s="59" t="n">
        <v>689484</v>
      </c>
      <c r="D125" s="58" t="s">
        <v>41</v>
      </c>
      <c r="E125" s="33" t="n">
        <f aca="false">IF(D125="totale",(C125/(A125*24))/F125,IF(D125="marché libre",(C125/(A125*24))/G125,"spécifier histo"))</f>
        <v>0.243875212224109</v>
      </c>
      <c r="F125" s="59" t="n">
        <v>3800</v>
      </c>
      <c r="G125" s="59" t="n">
        <f aca="false">F125-H125</f>
        <v>3800</v>
      </c>
      <c r="H125" s="59" t="n">
        <v>0</v>
      </c>
      <c r="J125" s="55"/>
      <c r="L125" s="0"/>
      <c r="N125" s="0"/>
      <c r="O125" s="0"/>
      <c r="T125" s="0"/>
    </row>
    <row r="126" customFormat="false" ht="19.85" hidden="false" customHeight="true" outlineLevel="0" collapsed="false">
      <c r="A126" s="0" t="n">
        <v>30</v>
      </c>
      <c r="B126" s="31" t="n">
        <v>40422</v>
      </c>
      <c r="C126" s="59" t="n">
        <v>325823</v>
      </c>
      <c r="D126" s="58" t="s">
        <v>41</v>
      </c>
      <c r="E126" s="33" t="n">
        <f aca="false">IF(D126="totale",(C126/(A126*24))/F126,IF(D126="marché libre",(C126/(A126*24))/G126,"spécifier histo"))</f>
        <v>0.11908735380117</v>
      </c>
      <c r="F126" s="59" t="n">
        <v>3800</v>
      </c>
      <c r="G126" s="59" t="n">
        <f aca="false">F126-H126</f>
        <v>3800</v>
      </c>
      <c r="H126" s="58" t="n">
        <v>0</v>
      </c>
      <c r="J126" s="55"/>
      <c r="L126" s="0"/>
      <c r="N126" s="0"/>
      <c r="O126" s="0"/>
      <c r="T126" s="0"/>
    </row>
    <row r="127" customFormat="false" ht="19.85" hidden="false" customHeight="true" outlineLevel="0" collapsed="false">
      <c r="A127" s="0" t="n">
        <v>31</v>
      </c>
      <c r="B127" s="34" t="n">
        <v>40452</v>
      </c>
      <c r="C127" s="59" t="n">
        <v>685747</v>
      </c>
      <c r="D127" s="58" t="s">
        <v>41</v>
      </c>
      <c r="E127" s="33" t="n">
        <f aca="false">IF(D127="totale",(C127/(A127*24))/F127,IF(D127="marché libre",(C127/(A127*24))/G127,"spécifier histo"))</f>
        <v>0.242553409734012</v>
      </c>
      <c r="F127" s="59" t="n">
        <v>3800</v>
      </c>
      <c r="G127" s="59" t="n">
        <f aca="false">F127-H127</f>
        <v>3800</v>
      </c>
      <c r="H127" s="59" t="n">
        <v>0</v>
      </c>
      <c r="J127" s="55"/>
      <c r="L127" s="0"/>
      <c r="N127" s="0"/>
      <c r="O127" s="0"/>
      <c r="T127" s="0"/>
    </row>
    <row r="128" customFormat="false" ht="19.85" hidden="false" customHeight="true" outlineLevel="0" collapsed="false">
      <c r="A128" s="0" t="n">
        <v>30</v>
      </c>
      <c r="B128" s="31" t="n">
        <v>40483</v>
      </c>
      <c r="C128" s="59" t="n">
        <v>922210</v>
      </c>
      <c r="D128" s="58" t="s">
        <v>41</v>
      </c>
      <c r="E128" s="33" t="n">
        <f aca="false">IF(D128="totale",(C128/(A128*24))/F128,IF(D128="marché libre",(C128/(A128*24))/G128,"spécifier histo"))</f>
        <v>0.337065058479532</v>
      </c>
      <c r="F128" s="59" t="n">
        <v>3800</v>
      </c>
      <c r="G128" s="59" t="n">
        <f aca="false">F128-H128</f>
        <v>3800</v>
      </c>
      <c r="H128" s="58" t="n">
        <v>0</v>
      </c>
      <c r="J128" s="55"/>
      <c r="L128" s="0"/>
      <c r="N128" s="0"/>
      <c r="O128" s="0"/>
      <c r="T128" s="0"/>
    </row>
    <row r="129" customFormat="false" ht="19.85" hidden="false" customHeight="true" outlineLevel="0" collapsed="false">
      <c r="A129" s="0" t="n">
        <v>31</v>
      </c>
      <c r="B129" s="34" t="n">
        <v>40513</v>
      </c>
      <c r="C129" s="59" t="n">
        <v>1204857</v>
      </c>
      <c r="D129" s="58" t="s">
        <v>41</v>
      </c>
      <c r="E129" s="33" t="n">
        <f aca="false">IF(D129="totale",(C129/(A129*24))/F129,IF(D129="marché libre",(C129/(A129*24))/G129,"spécifier histo"))</f>
        <v>0.42616617147708</v>
      </c>
      <c r="F129" s="59" t="n">
        <v>3800</v>
      </c>
      <c r="G129" s="59" t="n">
        <f aca="false">F129-H129</f>
        <v>3800</v>
      </c>
      <c r="H129" s="59" t="n">
        <v>0</v>
      </c>
      <c r="J129" s="55"/>
      <c r="L129" s="0"/>
      <c r="N129" s="0"/>
      <c r="O129" s="0"/>
      <c r="T129" s="0"/>
    </row>
    <row r="130" customFormat="false" ht="19.85" hidden="false" customHeight="true" outlineLevel="0" collapsed="false">
      <c r="A130" s="0" t="n">
        <v>31</v>
      </c>
      <c r="B130" s="31" t="n">
        <v>40544</v>
      </c>
      <c r="C130" s="59" t="n">
        <v>618998</v>
      </c>
      <c r="D130" s="58" t="s">
        <v>41</v>
      </c>
      <c r="E130" s="33" t="n">
        <f aca="false">IF(D130="totale",(C130/(A130*24))/F130,IF(D130="marché libre",(C130/(A130*24))/G130,"spécifier histo"))</f>
        <v>0.218943831352575</v>
      </c>
      <c r="F130" s="59" t="n">
        <v>3800</v>
      </c>
      <c r="G130" s="59" t="n">
        <f aca="false">F130-H130</f>
        <v>3800</v>
      </c>
      <c r="H130" s="58" t="n">
        <v>0</v>
      </c>
      <c r="J130" s="55"/>
      <c r="L130" s="0"/>
      <c r="N130" s="0"/>
      <c r="O130" s="0"/>
      <c r="T130" s="0"/>
    </row>
    <row r="131" customFormat="false" ht="19.85" hidden="false" customHeight="true" outlineLevel="0" collapsed="false">
      <c r="A131" s="0" t="n">
        <v>28</v>
      </c>
      <c r="B131" s="34" t="n">
        <v>40575</v>
      </c>
      <c r="C131" s="59" t="n">
        <v>893809</v>
      </c>
      <c r="D131" s="58" t="s">
        <v>41</v>
      </c>
      <c r="E131" s="33" t="n">
        <f aca="false">IF(D131="totale",(C131/(A131*24))/F131,IF(D131="marché libre",(C131/(A131*24))/G131,"spécifier histo"))</f>
        <v>0.350019188596491</v>
      </c>
      <c r="F131" s="59" t="n">
        <v>3800</v>
      </c>
      <c r="G131" s="59" t="n">
        <f aca="false">F131-H131</f>
        <v>3800</v>
      </c>
      <c r="H131" s="59" t="n">
        <v>0</v>
      </c>
      <c r="J131" s="55"/>
      <c r="L131" s="0"/>
      <c r="N131" s="0"/>
      <c r="O131" s="0"/>
      <c r="T131" s="0"/>
    </row>
    <row r="132" customFormat="false" ht="19.85" hidden="false" customHeight="true" outlineLevel="0" collapsed="false">
      <c r="A132" s="0" t="n">
        <v>31</v>
      </c>
      <c r="B132" s="31" t="n">
        <v>40603</v>
      </c>
      <c r="C132" s="59" t="n">
        <v>1232643</v>
      </c>
      <c r="D132" s="58" t="s">
        <v>41</v>
      </c>
      <c r="E132" s="33" t="n">
        <f aca="false">IF(D132="totale",(C132/(A132*24))/F132,IF(D132="marché libre",(C132/(A132*24))/G132,"spécifier histo"))</f>
        <v>0.435994269949066</v>
      </c>
      <c r="F132" s="59" t="n">
        <v>3800</v>
      </c>
      <c r="G132" s="59" t="n">
        <f aca="false">F132-H132</f>
        <v>3800</v>
      </c>
      <c r="H132" s="58" t="n">
        <v>0</v>
      </c>
      <c r="J132" s="55"/>
      <c r="L132" s="0"/>
      <c r="N132" s="0"/>
      <c r="O132" s="0"/>
      <c r="T132" s="0"/>
    </row>
    <row r="133" customFormat="false" ht="19.85" hidden="false" customHeight="true" outlineLevel="0" collapsed="false">
      <c r="A133" s="0" t="n">
        <v>30</v>
      </c>
      <c r="B133" s="34" t="n">
        <v>40634</v>
      </c>
      <c r="C133" s="59" t="n">
        <v>2045139</v>
      </c>
      <c r="D133" s="58" t="s">
        <v>41</v>
      </c>
      <c r="E133" s="33" t="n">
        <f aca="false">IF(D133="totale",(C133/(A133*24))/F133,IF(D133="marché libre",(C133/(A133*24))/G133,"spécifier histo"))</f>
        <v>0.747492324561403</v>
      </c>
      <c r="F133" s="59" t="n">
        <v>3800</v>
      </c>
      <c r="G133" s="59" t="n">
        <f aca="false">F133-H133</f>
        <v>3800</v>
      </c>
      <c r="H133" s="59" t="n">
        <v>0</v>
      </c>
      <c r="J133" s="55"/>
      <c r="L133" s="0"/>
      <c r="N133" s="0"/>
      <c r="O133" s="0"/>
      <c r="T133" s="0"/>
    </row>
    <row r="134" customFormat="false" ht="19.85" hidden="false" customHeight="true" outlineLevel="0" collapsed="false">
      <c r="A134" s="0" t="n">
        <v>31</v>
      </c>
      <c r="B134" s="31" t="n">
        <v>40664</v>
      </c>
      <c r="C134" s="59" t="n">
        <v>1155576</v>
      </c>
      <c r="D134" s="58" t="s">
        <v>41</v>
      </c>
      <c r="E134" s="33" t="n">
        <f aca="false">IF(D134="totale",(C134/(A134*24))/F134,IF(D134="marché libre",(C134/(A134*24))/G134,"spécifier histo"))</f>
        <v>0.408735144312394</v>
      </c>
      <c r="F134" s="59" t="n">
        <v>3800</v>
      </c>
      <c r="G134" s="59" t="n">
        <f aca="false">F134-H134</f>
        <v>3800</v>
      </c>
      <c r="H134" s="58" t="n">
        <v>0</v>
      </c>
      <c r="J134" s="55"/>
      <c r="L134" s="0"/>
      <c r="N134" s="0"/>
      <c r="O134" s="0"/>
      <c r="T134" s="0"/>
    </row>
    <row r="135" customFormat="false" ht="19.85" hidden="false" customHeight="true" outlineLevel="0" collapsed="false">
      <c r="A135" s="0" t="n">
        <v>30</v>
      </c>
      <c r="B135" s="34" t="n">
        <v>40695</v>
      </c>
      <c r="C135" s="59" t="n">
        <v>1402791</v>
      </c>
      <c r="D135" s="58" t="s">
        <v>41</v>
      </c>
      <c r="E135" s="33" t="n">
        <f aca="false">IF(D135="totale",(C135/(A135*24))/F135,IF(D135="marché libre",(C135/(A135*24))/G135,"spécifier histo"))</f>
        <v>0.51271600877193</v>
      </c>
      <c r="F135" s="59" t="n">
        <v>3800</v>
      </c>
      <c r="G135" s="59" t="n">
        <f aca="false">F135-H135</f>
        <v>3800</v>
      </c>
      <c r="H135" s="59" t="n">
        <v>0</v>
      </c>
      <c r="J135" s="55"/>
      <c r="L135" s="0"/>
      <c r="N135" s="0"/>
      <c r="O135" s="0"/>
      <c r="T135" s="0"/>
    </row>
    <row r="136" customFormat="false" ht="19.85" hidden="false" customHeight="true" outlineLevel="0" collapsed="false">
      <c r="A136" s="0" t="n">
        <v>31</v>
      </c>
      <c r="B136" s="31" t="n">
        <v>40725</v>
      </c>
      <c r="C136" s="59" t="n">
        <v>696176</v>
      </c>
      <c r="D136" s="58" t="s">
        <v>41</v>
      </c>
      <c r="E136" s="33" t="n">
        <f aca="false">IF(D136="totale",(C136/(A136*24))/F136,IF(D136="marché libre",(C136/(A136*24))/G136,"spécifier histo"))</f>
        <v>0.246242218449349</v>
      </c>
      <c r="F136" s="59" t="n">
        <v>3800</v>
      </c>
      <c r="G136" s="59" t="n">
        <f aca="false">F136-H136</f>
        <v>3800</v>
      </c>
      <c r="H136" s="58" t="n">
        <v>0</v>
      </c>
      <c r="J136" s="55"/>
      <c r="L136" s="0"/>
      <c r="N136" s="0"/>
      <c r="O136" s="0"/>
      <c r="T136" s="0"/>
    </row>
    <row r="137" customFormat="false" ht="19.85" hidden="false" customHeight="true" outlineLevel="0" collapsed="false">
      <c r="A137" s="0" t="n">
        <v>31</v>
      </c>
      <c r="B137" s="34" t="n">
        <v>40756</v>
      </c>
      <c r="C137" s="59" t="n">
        <v>563948</v>
      </c>
      <c r="D137" s="58" t="s">
        <v>41</v>
      </c>
      <c r="E137" s="33" t="n">
        <f aca="false">IF(D137="totale",(C137/(A137*24))/F137,IF(D137="marché libre",(C137/(A137*24))/G137,"spécifier histo"))</f>
        <v>0.199472269383135</v>
      </c>
      <c r="F137" s="59" t="n">
        <v>3800</v>
      </c>
      <c r="G137" s="59" t="n">
        <f aca="false">F137-H137</f>
        <v>3800</v>
      </c>
      <c r="H137" s="59" t="n">
        <v>0</v>
      </c>
      <c r="J137" s="55"/>
      <c r="L137" s="0"/>
      <c r="N137" s="0"/>
      <c r="O137" s="0"/>
      <c r="T137" s="0"/>
    </row>
    <row r="138" customFormat="false" ht="19.85" hidden="false" customHeight="true" outlineLevel="0" collapsed="false">
      <c r="A138" s="0" t="n">
        <v>30</v>
      </c>
      <c r="B138" s="31" t="n">
        <v>40787</v>
      </c>
      <c r="C138" s="59" t="n">
        <v>573087</v>
      </c>
      <c r="D138" s="58" t="s">
        <v>41</v>
      </c>
      <c r="E138" s="33" t="n">
        <f aca="false">IF(D138="totale",(C138/(A138*24))/F138,IF(D138="marché libre",(C138/(A138*24))/G138,"spécifier histo"))</f>
        <v>0.209461622807018</v>
      </c>
      <c r="F138" s="59" t="n">
        <v>3800</v>
      </c>
      <c r="G138" s="59" t="n">
        <f aca="false">F138-H138</f>
        <v>3800</v>
      </c>
      <c r="H138" s="58" t="n">
        <v>0</v>
      </c>
      <c r="J138" s="55"/>
      <c r="L138" s="0"/>
      <c r="N138" s="0"/>
      <c r="O138" s="0"/>
      <c r="T138" s="0"/>
    </row>
    <row r="139" customFormat="false" ht="19.85" hidden="false" customHeight="true" outlineLevel="0" collapsed="false">
      <c r="A139" s="0" t="n">
        <v>31</v>
      </c>
      <c r="B139" s="34" t="n">
        <v>40817</v>
      </c>
      <c r="C139" s="59" t="n">
        <v>569306</v>
      </c>
      <c r="D139" s="58" t="s">
        <v>41</v>
      </c>
      <c r="E139" s="33" t="n">
        <f aca="false">IF(D139="totale",(C139/(A139*24))/F139,IF(D139="marché libre",(C139/(A139*24))/G139,"spécifier histo"))</f>
        <v>0.201367430673458</v>
      </c>
      <c r="F139" s="59" t="n">
        <v>3800</v>
      </c>
      <c r="G139" s="59" t="n">
        <f aca="false">F139-H139</f>
        <v>3800</v>
      </c>
      <c r="H139" s="59" t="n">
        <v>0</v>
      </c>
      <c r="J139" s="55"/>
      <c r="L139" s="0"/>
      <c r="N139" s="0"/>
      <c r="T139" s="0"/>
    </row>
    <row r="140" customFormat="false" ht="19.85" hidden="false" customHeight="true" outlineLevel="0" collapsed="false">
      <c r="A140" s="0" t="n">
        <v>30</v>
      </c>
      <c r="B140" s="31" t="n">
        <v>40848</v>
      </c>
      <c r="C140" s="59" t="n">
        <v>810414</v>
      </c>
      <c r="D140" s="58" t="s">
        <v>41</v>
      </c>
      <c r="E140" s="33" t="n">
        <f aca="false">IF(D140="totale",(C140/(A140*24))/F140,IF(D140="marché libre",(C140/(A140*24))/G140,"spécifier histo"))</f>
        <v>0.296203947368421</v>
      </c>
      <c r="F140" s="59" t="n">
        <v>3800</v>
      </c>
      <c r="G140" s="59" t="n">
        <f aca="false">F140-H140</f>
        <v>3800</v>
      </c>
      <c r="H140" s="58" t="n">
        <v>0</v>
      </c>
      <c r="J140" s="55"/>
      <c r="L140" s="0"/>
      <c r="N140" s="0"/>
      <c r="T140" s="0"/>
    </row>
    <row r="141" customFormat="false" ht="19.85" hidden="false" customHeight="true" outlineLevel="0" collapsed="false">
      <c r="A141" s="0" t="n">
        <v>31</v>
      </c>
      <c r="B141" s="34" t="n">
        <v>40878</v>
      </c>
      <c r="C141" s="59" t="n">
        <v>777850</v>
      </c>
      <c r="D141" s="58" t="s">
        <v>41</v>
      </c>
      <c r="E141" s="33" t="n">
        <f aca="false">IF(D141="totale",(C141/(A141*24))/F141,IF(D141="marché libre",(C141/(A141*24))/G141,"spécifier histo"))</f>
        <v>0.275130871533673</v>
      </c>
      <c r="F141" s="59" t="n">
        <v>3800</v>
      </c>
      <c r="G141" s="59" t="n">
        <f aca="false">F141-H141</f>
        <v>3800</v>
      </c>
      <c r="H141" s="59" t="n">
        <v>0</v>
      </c>
      <c r="J141" s="55"/>
      <c r="L141" s="0"/>
      <c r="N141" s="0"/>
      <c r="T141" s="0"/>
    </row>
    <row r="142" customFormat="false" ht="19.85" hidden="false" customHeight="true" outlineLevel="0" collapsed="false">
      <c r="A142" s="0" t="n">
        <v>31</v>
      </c>
      <c r="B142" s="31" t="n">
        <v>40909</v>
      </c>
      <c r="C142" s="59" t="n">
        <v>1021150</v>
      </c>
      <c r="D142" s="58" t="s">
        <v>41</v>
      </c>
      <c r="E142" s="33" t="n">
        <f aca="false">IF(D142="totale",(C142/(A142*24))/F142,IF(D142="marché libre",(C142/(A142*24))/G142,"spécifier histo"))</f>
        <v>0.361187747594793</v>
      </c>
      <c r="F142" s="59" t="n">
        <v>3800</v>
      </c>
      <c r="G142" s="59" t="n">
        <f aca="false">F142-H142</f>
        <v>3800</v>
      </c>
      <c r="H142" s="58" t="n">
        <v>0</v>
      </c>
      <c r="J142" s="55"/>
      <c r="L142" s="0"/>
      <c r="N142" s="0"/>
      <c r="T142" s="0"/>
    </row>
    <row r="143" customFormat="false" ht="19.85" hidden="false" customHeight="true" outlineLevel="0" collapsed="false">
      <c r="A143" s="0" t="n">
        <v>28</v>
      </c>
      <c r="B143" s="34" t="n">
        <v>40940</v>
      </c>
      <c r="C143" s="59" t="n">
        <v>1245473</v>
      </c>
      <c r="D143" s="58" t="s">
        <v>41</v>
      </c>
      <c r="E143" s="33" t="n">
        <f aca="false">IF(D143="totale",(C143/(A143*24))/F143,IF(D143="marché libre",(C143/(A143*24))/G143,"spécifier histo"))</f>
        <v>0.487732221177945</v>
      </c>
      <c r="F143" s="59" t="n">
        <v>3800</v>
      </c>
      <c r="G143" s="59" t="n">
        <f aca="false">F143-H143</f>
        <v>3800</v>
      </c>
      <c r="H143" s="59" t="n">
        <v>0</v>
      </c>
      <c r="J143" s="55"/>
      <c r="L143" s="0"/>
      <c r="N143" s="0"/>
      <c r="T143" s="0"/>
    </row>
    <row r="144" customFormat="false" ht="19.85" hidden="false" customHeight="true" outlineLevel="0" collapsed="false">
      <c r="A144" s="0" t="n">
        <v>31</v>
      </c>
      <c r="B144" s="31" t="n">
        <v>40969</v>
      </c>
      <c r="C144" s="59" t="n">
        <v>1049179</v>
      </c>
      <c r="D144" s="58" t="s">
        <v>41</v>
      </c>
      <c r="E144" s="33" t="n">
        <f aca="false">IF(D144="totale",(C144/(A144*24))/F144,IF(D144="marché libre",(C144/(A144*24))/G144,"spécifier histo"))</f>
        <v>0.371101796830787</v>
      </c>
      <c r="F144" s="59" t="n">
        <v>3800</v>
      </c>
      <c r="G144" s="59" t="n">
        <f aca="false">F144-H144</f>
        <v>3800</v>
      </c>
      <c r="H144" s="58" t="n">
        <v>0</v>
      </c>
      <c r="J144" s="55"/>
      <c r="L144" s="0"/>
      <c r="N144" s="0"/>
      <c r="T144" s="0"/>
    </row>
    <row r="145" customFormat="false" ht="19.85" hidden="false" customHeight="true" outlineLevel="0" collapsed="false">
      <c r="A145" s="0" t="n">
        <v>30</v>
      </c>
      <c r="B145" s="34" t="n">
        <v>41000</v>
      </c>
      <c r="C145" s="59" t="n">
        <v>1915244</v>
      </c>
      <c r="D145" s="58" t="s">
        <v>41</v>
      </c>
      <c r="E145" s="33" t="n">
        <f aca="false">IF(D145="totale",(C145/(A145*24))/F145,IF(D145="marché libre",(C145/(A145*24))/G145,"spécifier histo"))</f>
        <v>0.700016081871345</v>
      </c>
      <c r="F145" s="59" t="n">
        <v>3800</v>
      </c>
      <c r="G145" s="59" t="n">
        <f aca="false">F145-H145</f>
        <v>3800</v>
      </c>
      <c r="H145" s="59" t="n">
        <v>0</v>
      </c>
      <c r="J145" s="55"/>
      <c r="L145" s="0"/>
      <c r="N145" s="0"/>
      <c r="T145" s="0"/>
    </row>
    <row r="146" customFormat="false" ht="19.85" hidden="false" customHeight="true" outlineLevel="0" collapsed="false">
      <c r="A146" s="0" t="n">
        <v>31</v>
      </c>
      <c r="B146" s="31" t="n">
        <v>41030</v>
      </c>
      <c r="C146" s="59" t="n">
        <v>2295824</v>
      </c>
      <c r="D146" s="58" t="s">
        <v>41</v>
      </c>
      <c r="E146" s="33" t="n">
        <f aca="false">IF(D146="totale",(C146/(A146*24))/F146,IF(D146="marché libre",(C146/(A146*24))/G146,"spécifier histo"))</f>
        <v>0.812048670062252</v>
      </c>
      <c r="F146" s="59" t="n">
        <v>3800</v>
      </c>
      <c r="G146" s="59" t="n">
        <f aca="false">F146-H146</f>
        <v>3800</v>
      </c>
      <c r="H146" s="58" t="n">
        <v>0</v>
      </c>
      <c r="J146" s="55"/>
      <c r="L146" s="0"/>
      <c r="N146" s="0"/>
      <c r="T146" s="0"/>
    </row>
    <row r="147" customFormat="false" ht="19.85" hidden="false" customHeight="true" outlineLevel="0" collapsed="false">
      <c r="A147" s="0" t="n">
        <v>30</v>
      </c>
      <c r="B147" s="34" t="n">
        <v>41061</v>
      </c>
      <c r="C147" s="59" t="n">
        <v>1163043</v>
      </c>
      <c r="D147" s="58" t="s">
        <v>41</v>
      </c>
      <c r="E147" s="33" t="n">
        <f aca="false">IF(D147="totale",(C147/(A147*24))/F147,IF(D147="marché libre",(C147/(A147*24))/G147,"spécifier histo"))</f>
        <v>0.425088815789474</v>
      </c>
      <c r="F147" s="59" t="n">
        <v>3800</v>
      </c>
      <c r="G147" s="59" t="n">
        <f aca="false">F147-H147</f>
        <v>3800</v>
      </c>
      <c r="H147" s="59" t="n">
        <v>0</v>
      </c>
      <c r="J147" s="55"/>
      <c r="L147" s="0"/>
      <c r="N147" s="0"/>
      <c r="T147" s="0"/>
    </row>
    <row r="148" customFormat="false" ht="19.85" hidden="false" customHeight="true" outlineLevel="0" collapsed="false">
      <c r="A148" s="0" t="n">
        <v>31</v>
      </c>
      <c r="B148" s="31" t="n">
        <v>41091</v>
      </c>
      <c r="C148" s="59" t="n">
        <v>651721</v>
      </c>
      <c r="D148" s="58" t="s">
        <v>41</v>
      </c>
      <c r="E148" s="33" t="n">
        <f aca="false">IF(D148="totale",(C148/(A148*24))/F148,IF(D148="marché libre",(C148/(A148*24))/G148,"spécifier histo"))</f>
        <v>0.230518180531975</v>
      </c>
      <c r="F148" s="59" t="n">
        <v>3800</v>
      </c>
      <c r="G148" s="59" t="n">
        <f aca="false">F148-H148</f>
        <v>3800</v>
      </c>
      <c r="H148" s="58" t="n">
        <v>0</v>
      </c>
      <c r="J148" s="55"/>
      <c r="L148" s="0"/>
      <c r="N148" s="0"/>
      <c r="T148" s="0"/>
    </row>
    <row r="149" customFormat="false" ht="19.85" hidden="false" customHeight="true" outlineLevel="0" collapsed="false">
      <c r="A149" s="0" t="n">
        <v>31</v>
      </c>
      <c r="B149" s="34" t="n">
        <v>41122</v>
      </c>
      <c r="C149" s="59" t="n">
        <v>546279</v>
      </c>
      <c r="D149" s="58" t="s">
        <v>41</v>
      </c>
      <c r="E149" s="33" t="n">
        <f aca="false">IF(D149="totale",(C149/(A149*24))/F149,IF(D149="marché libre",(C149/(A149*24))/G149,"spécifier histo"))</f>
        <v>0.193222623089983</v>
      </c>
      <c r="F149" s="59" t="n">
        <v>3800</v>
      </c>
      <c r="G149" s="59" t="n">
        <f aca="false">F149-H149</f>
        <v>3800</v>
      </c>
      <c r="H149" s="59" t="n">
        <v>0</v>
      </c>
      <c r="J149" s="55"/>
      <c r="L149" s="0"/>
      <c r="N149" s="0"/>
      <c r="T149" s="0"/>
    </row>
    <row r="150" customFormat="false" ht="19.85" hidden="false" customHeight="true" outlineLevel="0" collapsed="false">
      <c r="A150" s="0" t="n">
        <v>30</v>
      </c>
      <c r="B150" s="31" t="n">
        <v>41153</v>
      </c>
      <c r="C150" s="59" t="n">
        <v>27503</v>
      </c>
      <c r="D150" s="58" t="s">
        <v>41</v>
      </c>
      <c r="E150" s="33" t="n">
        <f aca="false">IF(D150="totale",(C150/(A150*24))/F150,IF(D150="marché libre",(C150/(A150*24))/G150,"spécifier histo"))</f>
        <v>0.0100522660818713</v>
      </c>
      <c r="F150" s="59" t="n">
        <v>3800</v>
      </c>
      <c r="G150" s="59" t="n">
        <f aca="false">F150-H150</f>
        <v>3800</v>
      </c>
      <c r="H150" s="58" t="n">
        <v>0</v>
      </c>
      <c r="J150" s="55"/>
      <c r="L150" s="0"/>
      <c r="N150" s="0"/>
      <c r="T150" s="0"/>
    </row>
    <row r="151" customFormat="false" ht="19.85" hidden="false" customHeight="true" outlineLevel="0" collapsed="false">
      <c r="A151" s="0" t="n">
        <v>31</v>
      </c>
      <c r="B151" s="34" t="n">
        <v>41183</v>
      </c>
      <c r="C151" s="59" t="n">
        <v>382726</v>
      </c>
      <c r="D151" s="58" t="s">
        <v>41</v>
      </c>
      <c r="E151" s="33" t="n">
        <f aca="false">IF(D151="totale",(C151/(A151*24))/F151,IF(D151="marché libre",(C151/(A151*24))/G151,"spécifier histo"))</f>
        <v>0.135372807017544</v>
      </c>
      <c r="F151" s="59" t="n">
        <v>3800</v>
      </c>
      <c r="G151" s="59" t="n">
        <f aca="false">F151-H151</f>
        <v>3800</v>
      </c>
      <c r="H151" s="59" t="n">
        <v>0</v>
      </c>
      <c r="J151" s="55"/>
      <c r="L151" s="0"/>
      <c r="N151" s="0"/>
    </row>
    <row r="152" customFormat="false" ht="19.85" hidden="false" customHeight="true" outlineLevel="0" collapsed="false">
      <c r="A152" s="0" t="n">
        <v>30</v>
      </c>
      <c r="B152" s="31" t="n">
        <v>41214</v>
      </c>
      <c r="C152" s="59" t="n">
        <v>691320</v>
      </c>
      <c r="D152" s="58" t="s">
        <v>41</v>
      </c>
      <c r="E152" s="33" t="n">
        <f aca="false">IF(D152="totale",(C152/(A152*24))/F152,IF(D152="marché libre",(C152/(A152*24))/G152,"spécifier histo"))</f>
        <v>0.252675438596491</v>
      </c>
      <c r="F152" s="59" t="n">
        <v>3800</v>
      </c>
      <c r="G152" s="59" t="n">
        <f aca="false">F152-H152</f>
        <v>3800</v>
      </c>
      <c r="H152" s="58" t="n">
        <v>0</v>
      </c>
      <c r="J152" s="55"/>
      <c r="L152" s="0"/>
      <c r="N152" s="0"/>
    </row>
    <row r="153" customFormat="false" ht="19.85" hidden="false" customHeight="true" outlineLevel="0" collapsed="false">
      <c r="A153" s="0" t="n">
        <v>31</v>
      </c>
      <c r="B153" s="34" t="n">
        <v>41244</v>
      </c>
      <c r="C153" s="59" t="n">
        <v>869231</v>
      </c>
      <c r="D153" s="58" t="s">
        <v>41</v>
      </c>
      <c r="E153" s="33" t="n">
        <f aca="false">IF(D153="totale",(C153/(A153*24))/F153,IF(D153="marché libre",(C153/(A153*24))/G153,"spécifier histo"))</f>
        <v>0.307452956989247</v>
      </c>
      <c r="F153" s="59" t="n">
        <v>3800</v>
      </c>
      <c r="G153" s="59" t="n">
        <f aca="false">F153-H153</f>
        <v>3800</v>
      </c>
      <c r="H153" s="59" t="n">
        <v>0</v>
      </c>
      <c r="J153" s="55"/>
      <c r="L153" s="0"/>
      <c r="N153" s="0"/>
    </row>
    <row r="154" customFormat="false" ht="19.85" hidden="false" customHeight="true" outlineLevel="0" collapsed="false">
      <c r="A154" s="0" t="n">
        <v>31</v>
      </c>
      <c r="B154" s="31" t="n">
        <v>41275</v>
      </c>
      <c r="C154" s="59" t="n">
        <v>1053143</v>
      </c>
      <c r="D154" s="58" t="s">
        <v>41</v>
      </c>
      <c r="E154" s="33" t="n">
        <f aca="false">IF(D154="totale",(C154/(A154*24))/F154,IF(D154="marché libre",(C154/(A154*24))/G154,"spécifier histo"))</f>
        <v>0.372503890775325</v>
      </c>
      <c r="F154" s="59" t="n">
        <v>3800</v>
      </c>
      <c r="G154" s="59" t="n">
        <f aca="false">F154-H154</f>
        <v>3800</v>
      </c>
      <c r="H154" s="58" t="n">
        <v>0</v>
      </c>
      <c r="J154" s="55"/>
      <c r="L154" s="0"/>
      <c r="N154" s="0"/>
    </row>
    <row r="155" customFormat="false" ht="19.85" hidden="false" customHeight="true" outlineLevel="0" collapsed="false">
      <c r="A155" s="0" t="n">
        <v>28</v>
      </c>
      <c r="B155" s="34" t="n">
        <v>41306</v>
      </c>
      <c r="C155" s="59" t="n">
        <v>1321893</v>
      </c>
      <c r="D155" s="58" t="s">
        <v>41</v>
      </c>
      <c r="E155" s="33" t="n">
        <f aca="false">IF(D155="totale",(C155/(A155*24))/F155,IF(D155="marché libre",(C155/(A155*24))/G155,"spécifier histo"))</f>
        <v>0.51765859962406</v>
      </c>
      <c r="F155" s="59" t="n">
        <v>3800</v>
      </c>
      <c r="G155" s="59" t="n">
        <f aca="false">F155-H155</f>
        <v>3800</v>
      </c>
      <c r="H155" s="59" t="n">
        <v>0</v>
      </c>
      <c r="J155" s="55"/>
      <c r="L155" s="0"/>
      <c r="N155" s="0"/>
    </row>
    <row r="156" customFormat="false" ht="19.85" hidden="false" customHeight="true" outlineLevel="0" collapsed="false">
      <c r="A156" s="0" t="n">
        <v>31</v>
      </c>
      <c r="B156" s="31" t="n">
        <v>41334</v>
      </c>
      <c r="C156" s="59" t="n">
        <v>1855050</v>
      </c>
      <c r="D156" s="58" t="s">
        <v>41</v>
      </c>
      <c r="E156" s="33" t="n">
        <f aca="false">IF(D156="totale",(C156/(A156*24))/F156,IF(D156="marché libre",(C156/(A156*24))/G156,"spécifier histo"))</f>
        <v>0.656143887945671</v>
      </c>
      <c r="F156" s="59" t="n">
        <v>3800</v>
      </c>
      <c r="G156" s="59" t="n">
        <f aca="false">F156-H156</f>
        <v>3800</v>
      </c>
      <c r="H156" s="58" t="n">
        <v>0</v>
      </c>
      <c r="J156" s="55"/>
      <c r="L156" s="0"/>
      <c r="N156" s="0"/>
    </row>
    <row r="157" customFormat="false" ht="19.85" hidden="false" customHeight="true" outlineLevel="0" collapsed="false">
      <c r="A157" s="0" t="n">
        <v>30</v>
      </c>
      <c r="B157" s="34" t="n">
        <v>41365</v>
      </c>
      <c r="C157" s="59" t="n">
        <v>2119758</v>
      </c>
      <c r="D157" s="58" t="s">
        <v>41</v>
      </c>
      <c r="E157" s="33" t="n">
        <f aca="false">IF(D157="totale",(C157/(A157*24))/F157,IF(D157="marché libre",(C157/(A157*24))/G157,"spécifier histo"))</f>
        <v>0.774765350877193</v>
      </c>
      <c r="F157" s="59" t="n">
        <v>3800</v>
      </c>
      <c r="G157" s="59" t="n">
        <f aca="false">F157-H157</f>
        <v>3800</v>
      </c>
      <c r="H157" s="59" t="n">
        <v>0</v>
      </c>
      <c r="J157" s="55"/>
      <c r="L157" s="0"/>
      <c r="N157" s="0"/>
    </row>
    <row r="158" customFormat="false" ht="19.85" hidden="false" customHeight="true" outlineLevel="0" collapsed="false">
      <c r="A158" s="0" t="n">
        <v>31</v>
      </c>
      <c r="B158" s="31" t="n">
        <v>41395</v>
      </c>
      <c r="C158" s="59" t="n">
        <v>2225398</v>
      </c>
      <c r="D158" s="58" t="s">
        <v>41</v>
      </c>
      <c r="E158" s="33" t="n">
        <f aca="false">IF(D158="totale",(C158/(A158*24))/F158,IF(D158="marché libre",(C158/(A158*24))/G158,"spécifier histo"))</f>
        <v>0.787138511601585</v>
      </c>
      <c r="F158" s="59" t="n">
        <v>3800</v>
      </c>
      <c r="G158" s="59" t="n">
        <f aca="false">F158-H158</f>
        <v>3800</v>
      </c>
      <c r="H158" s="58" t="n">
        <v>0</v>
      </c>
      <c r="J158" s="55"/>
      <c r="L158" s="0"/>
      <c r="N158" s="0"/>
    </row>
    <row r="159" customFormat="false" ht="19.85" hidden="false" customHeight="true" outlineLevel="0" collapsed="false">
      <c r="A159" s="0" t="n">
        <v>30</v>
      </c>
      <c r="B159" s="34" t="n">
        <v>41426</v>
      </c>
      <c r="C159" s="59" t="n">
        <v>2072539</v>
      </c>
      <c r="D159" s="58" t="s">
        <v>41</v>
      </c>
      <c r="E159" s="33" t="n">
        <f aca="false">IF(D159="totale",(C159/(A159*24))/F159,IF(D159="marché libre",(C159/(A159*24))/G159,"spécifier histo"))</f>
        <v>0.757506944444444</v>
      </c>
      <c r="F159" s="59" t="n">
        <v>3800</v>
      </c>
      <c r="G159" s="59" t="n">
        <f aca="false">F159-H159</f>
        <v>3800</v>
      </c>
      <c r="H159" s="59" t="n">
        <v>0</v>
      </c>
      <c r="J159" s="55"/>
      <c r="L159" s="0"/>
      <c r="N159" s="0"/>
    </row>
    <row r="160" customFormat="false" ht="19.85" hidden="false" customHeight="true" outlineLevel="0" collapsed="false">
      <c r="A160" s="0" t="n">
        <v>31</v>
      </c>
      <c r="B160" s="31" t="n">
        <v>41456</v>
      </c>
      <c r="C160" s="59" t="n">
        <v>2081664</v>
      </c>
      <c r="D160" s="58" t="s">
        <v>41</v>
      </c>
      <c r="E160" s="33" t="n">
        <f aca="false">IF(D160="totale",(C160/(A160*24))/F160,IF(D160="marché libre",(C160/(A160*24))/G160,"spécifier histo"))</f>
        <v>0.736298811544992</v>
      </c>
      <c r="F160" s="59" t="n">
        <v>3800</v>
      </c>
      <c r="G160" s="59" t="n">
        <f aca="false">F160-H160</f>
        <v>3800</v>
      </c>
      <c r="H160" s="58" t="n">
        <v>0</v>
      </c>
      <c r="J160" s="55"/>
      <c r="L160" s="0"/>
      <c r="N160" s="0"/>
    </row>
    <row r="161" customFormat="false" ht="19.85" hidden="false" customHeight="true" outlineLevel="0" collapsed="false">
      <c r="A161" s="0" t="n">
        <v>31</v>
      </c>
      <c r="B161" s="34" t="n">
        <v>41487</v>
      </c>
      <c r="C161" s="59" t="n">
        <v>932157</v>
      </c>
      <c r="D161" s="58" t="s">
        <v>41</v>
      </c>
      <c r="E161" s="33" t="n">
        <f aca="false">IF(D161="totale",(C161/(A161*24))/F161,IF(D161="marché libre",(C161/(A161*24))/G161,"spécifier histo"))</f>
        <v>0.329710314091681</v>
      </c>
      <c r="F161" s="59" t="n">
        <v>3800</v>
      </c>
      <c r="G161" s="59" t="n">
        <f aca="false">F161-H161</f>
        <v>3800</v>
      </c>
      <c r="H161" s="59" t="n">
        <v>0</v>
      </c>
      <c r="J161" s="55"/>
      <c r="L161" s="0"/>
      <c r="N161" s="0"/>
    </row>
    <row r="162" customFormat="false" ht="19.85" hidden="false" customHeight="true" outlineLevel="0" collapsed="false">
      <c r="A162" s="0" t="n">
        <v>30</v>
      </c>
      <c r="B162" s="31" t="n">
        <v>41518</v>
      </c>
      <c r="C162" s="59" t="n">
        <v>221639</v>
      </c>
      <c r="D162" s="58" t="s">
        <v>41</v>
      </c>
      <c r="E162" s="33" t="n">
        <f aca="false">IF(D162="totale",(C162/(A162*24))/F162,IF(D162="marché libre",(C162/(A162*24))/G162,"spécifier histo"))</f>
        <v>0.0810084064327485</v>
      </c>
      <c r="F162" s="59" t="n">
        <v>3800</v>
      </c>
      <c r="G162" s="59" t="n">
        <f aca="false">F162-H162</f>
        <v>3800</v>
      </c>
      <c r="H162" s="58" t="n">
        <v>0</v>
      </c>
      <c r="J162" s="55"/>
      <c r="L162" s="0"/>
      <c r="N162" s="0"/>
    </row>
    <row r="163" customFormat="false" ht="19.85" hidden="false" customHeight="true" outlineLevel="0" collapsed="false">
      <c r="A163" s="0" t="n">
        <v>31</v>
      </c>
      <c r="B163" s="34" t="n">
        <v>41548</v>
      </c>
      <c r="C163" s="59" t="n">
        <v>376587</v>
      </c>
      <c r="D163" s="58" t="s">
        <v>41</v>
      </c>
      <c r="E163" s="33" t="n">
        <f aca="false">IF(D163="totale",(C163/(A163*24))/F163,IF(D163="marché libre",(C163/(A163*24))/G163,"spécifier histo"))</f>
        <v>0.133201400679117</v>
      </c>
      <c r="F163" s="59" t="n">
        <v>3800</v>
      </c>
      <c r="G163" s="59" t="n">
        <f aca="false">F163-H163</f>
        <v>3800</v>
      </c>
      <c r="H163" s="59" t="n">
        <v>0</v>
      </c>
      <c r="J163" s="55"/>
      <c r="L163" s="0"/>
      <c r="N163" s="0"/>
    </row>
    <row r="164" customFormat="false" ht="19.85" hidden="false" customHeight="true" outlineLevel="0" collapsed="false">
      <c r="A164" s="0" t="n">
        <v>30</v>
      </c>
      <c r="B164" s="31" t="n">
        <v>41579</v>
      </c>
      <c r="C164" s="59" t="n">
        <v>1301828</v>
      </c>
      <c r="D164" s="58" t="s">
        <v>41</v>
      </c>
      <c r="E164" s="33" t="n">
        <f aca="false">IF(D164="totale",(C164/(A164*24))/F164,IF(D164="marché libre",(C164/(A164*24))/G164,"spécifier histo"))</f>
        <v>0.47581432748538</v>
      </c>
      <c r="F164" s="59" t="n">
        <v>3800</v>
      </c>
      <c r="G164" s="59" t="n">
        <f aca="false">F164-H164</f>
        <v>3800</v>
      </c>
      <c r="H164" s="58" t="n">
        <v>0</v>
      </c>
      <c r="J164" s="55"/>
      <c r="L164" s="0"/>
      <c r="N164" s="0"/>
    </row>
    <row r="165" customFormat="false" ht="19.85" hidden="false" customHeight="true" outlineLevel="0" collapsed="false">
      <c r="A165" s="0" t="n">
        <v>31</v>
      </c>
      <c r="B165" s="34" t="n">
        <v>41609</v>
      </c>
      <c r="C165" s="59" t="n">
        <v>1178950</v>
      </c>
      <c r="D165" s="58" t="s">
        <v>41</v>
      </c>
      <c r="E165" s="33" t="n">
        <f aca="false">IF(D165="totale",(C165/(A165*24))/F165,IF(D165="marché libre",(C165/(A165*24))/G165,"spécifier histo"))</f>
        <v>0.417002688172043</v>
      </c>
      <c r="F165" s="59" t="n">
        <v>3800</v>
      </c>
      <c r="G165" s="59" t="n">
        <f aca="false">F165-H165</f>
        <v>3800</v>
      </c>
      <c r="H165" s="59" t="n">
        <v>0</v>
      </c>
      <c r="J165" s="55"/>
      <c r="L165" s="0"/>
      <c r="N165" s="0"/>
    </row>
    <row r="166" customFormat="false" ht="19.85" hidden="false" customHeight="true" outlineLevel="0" collapsed="false">
      <c r="A166" s="0" t="n">
        <v>31</v>
      </c>
      <c r="B166" s="31" t="n">
        <v>41640</v>
      </c>
      <c r="C166" s="59" t="n">
        <v>1232764</v>
      </c>
      <c r="D166" s="58" t="s">
        <v>41</v>
      </c>
      <c r="E166" s="33" t="n">
        <f aca="false">IF(D166="totale",(C166/(A166*24))/F166,IF(D166="marché libre",(C166/(A166*24))/G166,"spécifier histo"))</f>
        <v>0.436037068477646</v>
      </c>
      <c r="F166" s="59" t="n">
        <v>3800</v>
      </c>
      <c r="G166" s="59" t="n">
        <f aca="false">F166-H166</f>
        <v>3800</v>
      </c>
      <c r="H166" s="58" t="n">
        <v>0</v>
      </c>
      <c r="J166" s="55"/>
      <c r="L166" s="0"/>
      <c r="N166" s="0"/>
    </row>
    <row r="167" customFormat="false" ht="19.85" hidden="false" customHeight="true" outlineLevel="0" collapsed="false">
      <c r="A167" s="0" t="n">
        <v>28</v>
      </c>
      <c r="B167" s="34" t="n">
        <v>41671</v>
      </c>
      <c r="C167" s="59" t="n">
        <v>1379713</v>
      </c>
      <c r="D167" s="58" t="s">
        <v>41</v>
      </c>
      <c r="E167" s="33" t="n">
        <f aca="false">IF(D167="totale",(C167/(A167*24))/F167,IF(D167="marché libre",(C167/(A167*24))/G167,"spécifier histo"))</f>
        <v>0.540301143483709</v>
      </c>
      <c r="F167" s="59" t="n">
        <v>3800</v>
      </c>
      <c r="G167" s="59" t="n">
        <f aca="false">F167-H167</f>
        <v>3800</v>
      </c>
      <c r="H167" s="59" t="n">
        <v>0</v>
      </c>
      <c r="J167" s="55"/>
      <c r="L167" s="0"/>
      <c r="N167" s="0"/>
    </row>
    <row r="168" customFormat="false" ht="19.85" hidden="false" customHeight="true" outlineLevel="0" collapsed="false">
      <c r="A168" s="0" t="n">
        <v>31</v>
      </c>
      <c r="B168" s="31" t="n">
        <v>41699</v>
      </c>
      <c r="C168" s="59" t="n">
        <v>2050744</v>
      </c>
      <c r="D168" s="58" t="s">
        <v>41</v>
      </c>
      <c r="E168" s="33" t="n">
        <f aca="false">IF(D168="totale",(C168/(A168*24))/F168,IF(D168="marché libre",(C168/(A168*24))/G168,"spécifier histo"))</f>
        <v>0.725362195812111</v>
      </c>
      <c r="F168" s="59" t="n">
        <v>3800</v>
      </c>
      <c r="G168" s="59" t="n">
        <f aca="false">F168-H168</f>
        <v>3800</v>
      </c>
      <c r="H168" s="58" t="n">
        <v>0</v>
      </c>
      <c r="J168" s="55"/>
      <c r="L168" s="0"/>
      <c r="N168" s="0"/>
    </row>
    <row r="169" customFormat="false" ht="19.85" hidden="false" customHeight="true" outlineLevel="0" collapsed="false">
      <c r="A169" s="0" t="n">
        <v>30</v>
      </c>
      <c r="B169" s="34" t="n">
        <v>41730</v>
      </c>
      <c r="C169" s="59" t="n">
        <v>2179182</v>
      </c>
      <c r="D169" s="58" t="s">
        <v>41</v>
      </c>
      <c r="E169" s="33" t="n">
        <f aca="false">IF(D169="totale",(C169/(A169*24))/F169,IF(D169="marché libre",(C169/(A169*24))/G169,"spécifier histo"))</f>
        <v>0.796484649122807</v>
      </c>
      <c r="F169" s="59" t="n">
        <v>3800</v>
      </c>
      <c r="G169" s="59" t="n">
        <f aca="false">F169-H169</f>
        <v>3800</v>
      </c>
      <c r="H169" s="59" t="n">
        <v>0</v>
      </c>
      <c r="J169" s="55"/>
      <c r="L169" s="0"/>
      <c r="N169" s="0"/>
    </row>
    <row r="170" customFormat="false" ht="19.85" hidden="false" customHeight="true" outlineLevel="0" collapsed="false">
      <c r="A170" s="0" t="n">
        <v>31</v>
      </c>
      <c r="B170" s="31" t="n">
        <v>41760</v>
      </c>
      <c r="C170" s="59" t="n">
        <v>2186823</v>
      </c>
      <c r="D170" s="58" t="s">
        <v>41</v>
      </c>
      <c r="E170" s="33" t="n">
        <f aca="false">IF(D170="totale",(C170/(A170*24))/F170,IF(D170="marché libre",(C170/(A170*24))/G170,"spécifier histo"))</f>
        <v>0.773494269949066</v>
      </c>
      <c r="F170" s="59" t="n">
        <v>3800</v>
      </c>
      <c r="G170" s="59" t="n">
        <f aca="false">F170-H170</f>
        <v>3800</v>
      </c>
      <c r="H170" s="58" t="n">
        <v>0</v>
      </c>
      <c r="J170" s="55"/>
      <c r="L170" s="0"/>
      <c r="N170" s="0"/>
    </row>
    <row r="171" customFormat="false" ht="19.85" hidden="false" customHeight="true" outlineLevel="0" collapsed="false">
      <c r="A171" s="0" t="n">
        <v>30</v>
      </c>
      <c r="B171" s="34" t="n">
        <v>41791</v>
      </c>
      <c r="C171" s="59" t="n">
        <v>2065914</v>
      </c>
      <c r="D171" s="58" t="s">
        <v>41</v>
      </c>
      <c r="E171" s="33" t="n">
        <f aca="false">IF(D171="totale",(C171/(A171*24))/F171,IF(D171="marché libre",(C171/(A171*24))/G171,"spécifier histo"))</f>
        <v>0.755085526315789</v>
      </c>
      <c r="F171" s="59" t="n">
        <v>3800</v>
      </c>
      <c r="G171" s="59" t="n">
        <f aca="false">F171-H171</f>
        <v>3800</v>
      </c>
      <c r="H171" s="59" t="n">
        <v>0</v>
      </c>
      <c r="J171" s="55"/>
      <c r="L171" s="0"/>
      <c r="N171" s="0"/>
    </row>
    <row r="172" customFormat="false" ht="19.85" hidden="false" customHeight="true" outlineLevel="0" collapsed="false">
      <c r="A172" s="0" t="n">
        <v>31</v>
      </c>
      <c r="B172" s="31" t="n">
        <v>41821</v>
      </c>
      <c r="C172" s="59" t="n">
        <v>718756</v>
      </c>
      <c r="D172" s="58" t="s">
        <v>41</v>
      </c>
      <c r="E172" s="33" t="n">
        <f aca="false">IF(D172="totale",(C172/(A172*24))/F172,IF(D172="marché libre",(C172/(A172*24))/G172,"spécifier histo"))</f>
        <v>0.254228919071873</v>
      </c>
      <c r="F172" s="59" t="n">
        <v>3800</v>
      </c>
      <c r="G172" s="59" t="n">
        <f aca="false">F172-H172</f>
        <v>3800</v>
      </c>
      <c r="H172" s="58" t="n">
        <v>0</v>
      </c>
      <c r="I172" s="1" t="s">
        <v>620</v>
      </c>
      <c r="J172" s="55" t="s">
        <v>621</v>
      </c>
      <c r="L172" s="0"/>
      <c r="N172" s="0"/>
    </row>
    <row r="173" customFormat="false" ht="19.85" hidden="false" customHeight="true" outlineLevel="0" collapsed="false">
      <c r="A173" s="0" t="n">
        <v>31</v>
      </c>
      <c r="B173" s="34" t="n">
        <v>41852</v>
      </c>
      <c r="C173" s="59" t="n">
        <v>0</v>
      </c>
      <c r="D173" s="58" t="s">
        <v>41</v>
      </c>
      <c r="E173" s="33" t="n">
        <f aca="false">IF(D173="totale",(C173/(A173*24))/F173,IF(D173="marché libre",(C173/(A173*24))/G173,"spécifier histo"))</f>
        <v>0</v>
      </c>
      <c r="F173" s="59" t="n">
        <v>3800</v>
      </c>
      <c r="G173" s="59" t="n">
        <v>0</v>
      </c>
      <c r="H173" s="59" t="n">
        <v>0</v>
      </c>
      <c r="I173" s="1" t="s">
        <v>268</v>
      </c>
      <c r="J173" s="55"/>
      <c r="L173" s="0"/>
      <c r="N173" s="0"/>
    </row>
    <row r="174" customFormat="false" ht="19.85" hidden="false" customHeight="true" outlineLevel="0" collapsed="false">
      <c r="A174" s="0" t="n">
        <v>30</v>
      </c>
      <c r="B174" s="31" t="n">
        <v>41883</v>
      </c>
      <c r="C174" s="59" t="n">
        <v>0</v>
      </c>
      <c r="D174" s="58" t="s">
        <v>41</v>
      </c>
      <c r="E174" s="33" t="n">
        <f aca="false">IF(D174="totale",(C174/(A174*24))/F174,IF(D174="marché libre",(C174/(A174*24))/G174,"spécifier histo"))</f>
        <v>0</v>
      </c>
      <c r="F174" s="59" t="n">
        <v>3800</v>
      </c>
      <c r="G174" s="59" t="n">
        <v>0</v>
      </c>
      <c r="H174" s="58" t="n">
        <v>0</v>
      </c>
      <c r="I174" s="1" t="s">
        <v>268</v>
      </c>
      <c r="J174" s="55"/>
      <c r="K174" s="399" t="s">
        <v>149</v>
      </c>
      <c r="L174" s="0"/>
      <c r="N174" s="0"/>
      <c r="P174" s="256" t="s">
        <v>622</v>
      </c>
    </row>
    <row r="175" customFormat="false" ht="19.85" hidden="false" customHeight="true" outlineLevel="0" collapsed="false">
      <c r="A175" s="0" t="n">
        <v>31</v>
      </c>
      <c r="B175" s="34" t="n">
        <v>41913</v>
      </c>
      <c r="C175" s="59" t="n">
        <v>0</v>
      </c>
      <c r="D175" s="58" t="s">
        <v>41</v>
      </c>
      <c r="E175" s="33" t="n">
        <f aca="false">IF(D175="totale",(C175/(A175*24))/F175,IF(D175="marché libre",(C175/(A175*24))/G175,"spécifier histo"))</f>
        <v>0</v>
      </c>
      <c r="F175" s="59" t="n">
        <v>3800</v>
      </c>
      <c r="G175" s="59" t="n">
        <v>0</v>
      </c>
      <c r="H175" s="59" t="n">
        <v>0</v>
      </c>
      <c r="I175" s="1" t="s">
        <v>268</v>
      </c>
      <c r="J175" s="55"/>
      <c r="K175" s="400" t="s">
        <v>623</v>
      </c>
      <c r="L175" s="0"/>
      <c r="N175" s="0"/>
      <c r="P175" s="401" t="s">
        <v>624</v>
      </c>
      <c r="Q175" s="401"/>
      <c r="R175" s="401"/>
      <c r="S175" s="401"/>
    </row>
    <row r="176" customFormat="false" ht="19.85" hidden="false" customHeight="true" outlineLevel="0" collapsed="false">
      <c r="A176" s="0" t="n">
        <v>30</v>
      </c>
      <c r="B176" s="31" t="n">
        <v>41944</v>
      </c>
      <c r="C176" s="59" t="n">
        <v>0</v>
      </c>
      <c r="D176" s="58" t="s">
        <v>41</v>
      </c>
      <c r="E176" s="33" t="n">
        <f aca="false">IF(D176="totale",(C176/(A176*24))/F176,IF(D176="marché libre",(C176/(A176*24))/G176,"spécifier histo"))</f>
        <v>0</v>
      </c>
      <c r="F176" s="59" t="n">
        <v>3800</v>
      </c>
      <c r="G176" s="59" t="n">
        <v>0</v>
      </c>
      <c r="H176" s="58" t="n">
        <v>0</v>
      </c>
      <c r="I176" s="1" t="s">
        <v>268</v>
      </c>
      <c r="J176" s="55"/>
      <c r="K176" s="400" t="s">
        <v>625</v>
      </c>
      <c r="L176" s="0"/>
      <c r="N176" s="0"/>
      <c r="P176" s="401" t="s">
        <v>626</v>
      </c>
      <c r="Q176" s="401"/>
      <c r="R176" s="401"/>
      <c r="S176" s="401"/>
    </row>
    <row r="177" customFormat="false" ht="19.95" hidden="false" customHeight="true" outlineLevel="0" collapsed="false">
      <c r="A177" s="0" t="n">
        <v>31</v>
      </c>
      <c r="B177" s="34" t="n">
        <v>41974</v>
      </c>
      <c r="C177" s="59" t="n">
        <v>0</v>
      </c>
      <c r="D177" s="58" t="s">
        <v>41</v>
      </c>
      <c r="E177" s="33" t="n">
        <f aca="false">IF(D177="totale",(C177/(A177*24))/F177,IF(D177="marché libre",(C177/(A177*24))/G177,"spécifier histo"))</f>
        <v>0</v>
      </c>
      <c r="F177" s="59" t="n">
        <v>3800</v>
      </c>
      <c r="G177" s="59" t="n">
        <v>0</v>
      </c>
      <c r="H177" s="59" t="n">
        <v>0</v>
      </c>
      <c r="I177" s="1" t="s">
        <v>268</v>
      </c>
      <c r="J177" s="55"/>
      <c r="K177" s="400" t="s">
        <v>627</v>
      </c>
      <c r="L177" s="0"/>
      <c r="N177" s="0"/>
    </row>
    <row r="178" customFormat="false" ht="19.85" hidden="false" customHeight="true" outlineLevel="0" collapsed="false">
      <c r="A178" s="0" t="n">
        <v>31</v>
      </c>
      <c r="B178" s="31" t="n">
        <v>42005</v>
      </c>
      <c r="C178" s="1" t="n">
        <v>51690</v>
      </c>
      <c r="D178" s="58" t="s">
        <v>41</v>
      </c>
      <c r="E178" s="33" t="n">
        <f aca="false">IF(D178="totale",(C178/(A178*24))/F178,IF(D178="marché libre",(C178/(A178*24))/G178,"spécifier histo"))</f>
        <v>0.0182831069609508</v>
      </c>
      <c r="F178" s="59" t="n">
        <v>3800</v>
      </c>
      <c r="G178" s="59" t="n">
        <f aca="false">F178-H178</f>
        <v>3800</v>
      </c>
      <c r="H178" s="58" t="n">
        <v>0</v>
      </c>
      <c r="I178" s="1" t="s">
        <v>628</v>
      </c>
      <c r="J178" s="0" t="s">
        <v>629</v>
      </c>
      <c r="K178" s="202"/>
      <c r="L178" s="0"/>
      <c r="N178" s="0"/>
    </row>
    <row r="179" customFormat="false" ht="19.85" hidden="false" customHeight="true" outlineLevel="0" collapsed="false">
      <c r="A179" s="0" t="n">
        <v>28</v>
      </c>
      <c r="B179" s="402" t="n">
        <v>42036</v>
      </c>
      <c r="C179" s="1" t="n">
        <v>1093980</v>
      </c>
      <c r="D179" s="58" t="s">
        <v>41</v>
      </c>
      <c r="E179" s="33" t="n">
        <f aca="false">IF(D179="totale",(C179/(A179*24))/F179,IF(D179="marché libre",(C179/(A179*24))/G179,"spécifier histo"))</f>
        <v>0.428406954887218</v>
      </c>
      <c r="F179" s="403" t="n">
        <v>3800</v>
      </c>
      <c r="G179" s="403" t="n">
        <f aca="false">F179-H179</f>
        <v>1300</v>
      </c>
      <c r="H179" s="404" t="n">
        <v>2500</v>
      </c>
      <c r="I179" s="405" t="s">
        <v>333</v>
      </c>
      <c r="J179" s="406" t="s">
        <v>630</v>
      </c>
      <c r="K179" s="55" t="s">
        <v>631</v>
      </c>
      <c r="L179" s="0"/>
      <c r="N179" s="0"/>
    </row>
    <row r="180" customFormat="false" ht="19.85" hidden="false" customHeight="true" outlineLevel="0" collapsed="false">
      <c r="A180" s="0" t="n">
        <v>31</v>
      </c>
      <c r="B180" s="31" t="n">
        <v>42064</v>
      </c>
      <c r="C180" s="1" t="n">
        <v>2060147</v>
      </c>
      <c r="D180" s="58" t="s">
        <v>41</v>
      </c>
      <c r="E180" s="33" t="n">
        <f aca="false">IF(D180="totale",(C180/(A180*24))/F180,IF(D180="marché libre",(C180/(A180*24))/G180,"spécifier histo"))</f>
        <v>0.728688101301641</v>
      </c>
      <c r="F180" s="59" t="n">
        <v>3800</v>
      </c>
      <c r="G180" s="59" t="n">
        <f aca="false">F180-H180</f>
        <v>1300</v>
      </c>
      <c r="H180" s="58" t="n">
        <v>2500</v>
      </c>
      <c r="K180" s="0"/>
      <c r="L180" s="0"/>
      <c r="N180" s="0"/>
    </row>
    <row r="181" customFormat="false" ht="19.85" hidden="false" customHeight="true" outlineLevel="0" collapsed="false">
      <c r="A181" s="0" t="n">
        <v>30</v>
      </c>
      <c r="B181" s="34" t="n">
        <v>42095</v>
      </c>
      <c r="C181" s="1" t="n">
        <v>2445725</v>
      </c>
      <c r="D181" s="58" t="s">
        <v>41</v>
      </c>
      <c r="E181" s="33" t="n">
        <f aca="false">IF(D181="totale",(C181/(A181*24))/F181,IF(D181="marché libre",(C181/(A181*24))/G181,"spécifier histo"))</f>
        <v>0.89390533625731</v>
      </c>
      <c r="F181" s="59" t="n">
        <v>3800</v>
      </c>
      <c r="G181" s="59" t="n">
        <f aca="false">F181-H181</f>
        <v>1300</v>
      </c>
      <c r="H181" s="58" t="n">
        <v>2500</v>
      </c>
      <c r="J181" s="55"/>
      <c r="K181" s="0"/>
      <c r="L181" s="0"/>
      <c r="N181" s="0"/>
    </row>
    <row r="182" customFormat="false" ht="19.85" hidden="false" customHeight="true" outlineLevel="0" collapsed="false">
      <c r="A182" s="0" t="n">
        <v>31</v>
      </c>
      <c r="B182" s="31" t="n">
        <v>42125</v>
      </c>
      <c r="C182" s="1" t="n">
        <v>2552820</v>
      </c>
      <c r="D182" s="58" t="s">
        <v>41</v>
      </c>
      <c r="E182" s="33" t="n">
        <f aca="false">IF(D182="totale",(C182/(A182*24))/F182,IF(D182="marché libre",(C182/(A182*24))/G182,"spécifier histo"))</f>
        <v>0.902949915110357</v>
      </c>
      <c r="F182" s="59" t="n">
        <v>3800</v>
      </c>
      <c r="G182" s="59" t="n">
        <f aca="false">F182-H182</f>
        <v>1300</v>
      </c>
      <c r="H182" s="58" t="n">
        <v>2500</v>
      </c>
      <c r="J182" s="55"/>
      <c r="K182" s="0"/>
      <c r="L182" s="407" t="n">
        <v>2014</v>
      </c>
      <c r="M182" s="0"/>
      <c r="N182" s="0"/>
      <c r="O182" s="0"/>
      <c r="P182" s="0"/>
      <c r="Q182" s="0"/>
      <c r="R182" s="0"/>
      <c r="S182" s="0"/>
      <c r="T182" s="0"/>
      <c r="U182" s="0"/>
      <c r="V182" s="0"/>
      <c r="W182" s="0"/>
    </row>
    <row r="183" customFormat="false" ht="19.85" hidden="false" customHeight="true" outlineLevel="0" collapsed="false">
      <c r="A183" s="0" t="n">
        <v>30</v>
      </c>
      <c r="B183" s="34" t="n">
        <v>42156</v>
      </c>
      <c r="C183" s="1" t="n">
        <v>2170256</v>
      </c>
      <c r="D183" s="58" t="s">
        <v>41</v>
      </c>
      <c r="E183" s="33" t="n">
        <f aca="false">IF(D183="totale",(C183/(A183*24))/F183,IF(D183="marché libre",(C183/(A183*24))/G183,"spécifier histo"))</f>
        <v>0.793222222222222</v>
      </c>
      <c r="F183" s="59" t="n">
        <v>3800</v>
      </c>
      <c r="G183" s="59" t="n">
        <f aca="false">F183-H183</f>
        <v>1300</v>
      </c>
      <c r="H183" s="58" t="n">
        <v>2500</v>
      </c>
      <c r="J183" s="55"/>
      <c r="K183" s="0"/>
      <c r="L183" s="408" t="s">
        <v>632</v>
      </c>
      <c r="M183" s="408" t="s">
        <v>633</v>
      </c>
      <c r="N183" s="408" t="s">
        <v>634</v>
      </c>
      <c r="O183" s="408" t="s">
        <v>635</v>
      </c>
      <c r="P183" s="408" t="s">
        <v>636</v>
      </c>
      <c r="Q183" s="408" t="s">
        <v>637</v>
      </c>
      <c r="R183" s="408" t="s">
        <v>638</v>
      </c>
      <c r="S183" s="408" t="s">
        <v>639</v>
      </c>
      <c r="T183" s="408" t="s">
        <v>640</v>
      </c>
      <c r="U183" s="408" t="s">
        <v>641</v>
      </c>
      <c r="V183" s="408" t="s">
        <v>642</v>
      </c>
      <c r="W183" s="408" t="s">
        <v>643</v>
      </c>
    </row>
    <row r="184" customFormat="false" ht="19.85" hidden="false" customHeight="true" outlineLevel="0" collapsed="false">
      <c r="A184" s="0" t="n">
        <v>31</v>
      </c>
      <c r="B184" s="31" t="n">
        <v>42186</v>
      </c>
      <c r="C184" s="1" t="n">
        <v>986518</v>
      </c>
      <c r="D184" s="58" t="s">
        <v>41</v>
      </c>
      <c r="E184" s="33" t="n">
        <f aca="false">IF(D184="totale",(C184/(A184*24))/F184,IF(D184="marché libre",(C184/(A184*24))/G184,"spécifier histo"))</f>
        <v>0.348938172043011</v>
      </c>
      <c r="F184" s="59" t="n">
        <v>3800</v>
      </c>
      <c r="G184" s="59" t="n">
        <f aca="false">F184-H184</f>
        <v>1300</v>
      </c>
      <c r="H184" s="58" t="n">
        <v>2500</v>
      </c>
      <c r="J184" s="55"/>
      <c r="K184" s="409" t="s">
        <v>644</v>
      </c>
      <c r="L184" s="410" t="n">
        <v>1232764</v>
      </c>
      <c r="M184" s="410" t="n">
        <v>1379713</v>
      </c>
      <c r="N184" s="410" t="n">
        <v>2050744</v>
      </c>
      <c r="O184" s="410" t="n">
        <v>2179182</v>
      </c>
      <c r="P184" s="410" t="n">
        <v>2186823</v>
      </c>
      <c r="Q184" s="410" t="n">
        <v>2065914</v>
      </c>
      <c r="R184" s="410" t="n">
        <v>718756</v>
      </c>
      <c r="S184" s="409" t="n">
        <v>0</v>
      </c>
      <c r="T184" s="409" t="n">
        <v>0</v>
      </c>
      <c r="U184" s="409" t="n">
        <v>0</v>
      </c>
      <c r="V184" s="409" t="n">
        <v>0</v>
      </c>
      <c r="W184" s="409" t="n">
        <v>0</v>
      </c>
    </row>
    <row r="185" customFormat="false" ht="19.85" hidden="false" customHeight="true" outlineLevel="0" collapsed="false">
      <c r="A185" s="0" t="n">
        <v>31</v>
      </c>
      <c r="B185" s="34" t="n">
        <v>42217</v>
      </c>
      <c r="C185" s="1" t="n">
        <v>542310</v>
      </c>
      <c r="D185" s="58" t="s">
        <v>41</v>
      </c>
      <c r="E185" s="33" t="n">
        <f aca="false">IF(D185="totale",(C185/(A185*24))/F185,IF(D185="marché libre",(C185/(A185*24))/G185,"spécifier histo"))</f>
        <v>0.191818760611205</v>
      </c>
      <c r="F185" s="59" t="n">
        <v>3800</v>
      </c>
      <c r="G185" s="59" t="n">
        <f aca="false">F185-H185</f>
        <v>1300</v>
      </c>
      <c r="H185" s="58" t="n">
        <v>2500</v>
      </c>
      <c r="J185" s="55"/>
      <c r="K185" s="0"/>
      <c r="L185" s="0"/>
      <c r="M185" s="0"/>
      <c r="N185" s="0"/>
      <c r="O185" s="0"/>
      <c r="P185" s="0"/>
      <c r="Q185" s="0"/>
      <c r="R185" s="0"/>
      <c r="S185" s="0"/>
      <c r="T185" s="0"/>
      <c r="U185" s="0"/>
      <c r="V185" s="0"/>
      <c r="W185" s="0"/>
    </row>
    <row r="186" customFormat="false" ht="19.85" hidden="false" customHeight="true" outlineLevel="0" collapsed="false">
      <c r="A186" s="0" t="n">
        <v>30</v>
      </c>
      <c r="B186" s="31" t="n">
        <v>42248</v>
      </c>
      <c r="C186" s="1" t="n">
        <v>193672</v>
      </c>
      <c r="D186" s="58" t="s">
        <v>41</v>
      </c>
      <c r="E186" s="33" t="n">
        <f aca="false">IF(D186="totale",(C186/(A186*24))/F186,IF(D186="marché libre",(C186/(A186*24))/G186,"spécifier histo"))</f>
        <v>0.0707865497076023</v>
      </c>
      <c r="F186" s="59" t="n">
        <v>3800</v>
      </c>
      <c r="G186" s="59" t="n">
        <f aca="false">F186-H186</f>
        <v>1300</v>
      </c>
      <c r="H186" s="58" t="n">
        <v>2500</v>
      </c>
      <c r="J186" s="55"/>
      <c r="K186" s="0"/>
      <c r="L186" s="407" t="n">
        <v>2015</v>
      </c>
      <c r="M186" s="0"/>
      <c r="N186" s="0"/>
      <c r="O186" s="0"/>
      <c r="P186" s="0"/>
      <c r="Q186" s="0"/>
      <c r="R186" s="0"/>
      <c r="S186" s="0"/>
      <c r="T186" s="0"/>
      <c r="U186" s="0"/>
      <c r="V186" s="0"/>
      <c r="W186" s="0"/>
    </row>
    <row r="187" customFormat="false" ht="19.85" hidden="false" customHeight="true" outlineLevel="0" collapsed="false">
      <c r="A187" s="0" t="n">
        <v>31</v>
      </c>
      <c r="B187" s="34" t="n">
        <v>42278</v>
      </c>
      <c r="C187" s="1" t="n">
        <v>664931</v>
      </c>
      <c r="D187" s="58" t="s">
        <v>41</v>
      </c>
      <c r="E187" s="33" t="n">
        <f aca="false">IF(D187="totale",(C187/(A187*24))/F187,IF(D187="marché libre",(C187/(A187*24))/G187,"spécifier histo"))</f>
        <v>0.235190647990945</v>
      </c>
      <c r="F187" s="59" t="n">
        <v>3800</v>
      </c>
      <c r="G187" s="59" t="n">
        <f aca="false">F187-H187</f>
        <v>1300</v>
      </c>
      <c r="H187" s="58" t="n">
        <v>2500</v>
      </c>
      <c r="I187" s="0"/>
      <c r="J187" s="0"/>
      <c r="K187" s="0"/>
      <c r="L187" s="408" t="s">
        <v>632</v>
      </c>
      <c r="M187" s="408" t="s">
        <v>633</v>
      </c>
      <c r="N187" s="408" t="s">
        <v>634</v>
      </c>
      <c r="O187" s="408" t="s">
        <v>635</v>
      </c>
      <c r="P187" s="408" t="s">
        <v>636</v>
      </c>
      <c r="Q187" s="408" t="s">
        <v>637</v>
      </c>
      <c r="R187" s="408" t="s">
        <v>638</v>
      </c>
      <c r="S187" s="408" t="s">
        <v>639</v>
      </c>
      <c r="T187" s="408" t="s">
        <v>640</v>
      </c>
      <c r="U187" s="408" t="s">
        <v>641</v>
      </c>
      <c r="V187" s="408" t="s">
        <v>642</v>
      </c>
      <c r="W187" s="408" t="s">
        <v>643</v>
      </c>
    </row>
    <row r="188" customFormat="false" ht="19.85" hidden="false" customHeight="true" outlineLevel="0" collapsed="false">
      <c r="A188" s="0" t="n">
        <v>30</v>
      </c>
      <c r="B188" s="31" t="n">
        <v>42309</v>
      </c>
      <c r="C188" s="1" t="n">
        <v>899077</v>
      </c>
      <c r="D188" s="58" t="s">
        <v>41</v>
      </c>
      <c r="E188" s="33" t="n">
        <f aca="false">IF(D188="totale",(C188/(A188*24))/F188,IF(D188="marché libre",(C188/(A188*24))/G188,"spécifier histo"))</f>
        <v>0.328610014619883</v>
      </c>
      <c r="F188" s="59" t="n">
        <v>3800</v>
      </c>
      <c r="G188" s="59" t="n">
        <f aca="false">F188-H188</f>
        <v>1300</v>
      </c>
      <c r="H188" s="58" t="n">
        <v>2500</v>
      </c>
      <c r="I188" s="0"/>
      <c r="J188" s="0"/>
      <c r="K188" s="409" t="s">
        <v>644</v>
      </c>
      <c r="L188" s="410" t="n">
        <v>51690</v>
      </c>
      <c r="M188" s="410" t="n">
        <v>939332</v>
      </c>
      <c r="N188" s="410" t="n">
        <v>1681411</v>
      </c>
      <c r="O188" s="410" t="n">
        <v>1727744</v>
      </c>
      <c r="P188" s="410" t="n">
        <v>1757820</v>
      </c>
      <c r="Q188" s="410" t="n">
        <v>1643130</v>
      </c>
      <c r="R188" s="410" t="n">
        <v>981242</v>
      </c>
      <c r="S188" s="410" t="n">
        <v>540191</v>
      </c>
      <c r="T188" s="410" t="n">
        <v>193460</v>
      </c>
      <c r="U188" s="410" t="n">
        <v>664927</v>
      </c>
      <c r="V188" s="410" t="n">
        <v>870679</v>
      </c>
      <c r="W188" s="410" t="n">
        <v>1530285</v>
      </c>
    </row>
    <row r="189" customFormat="false" ht="19.85" hidden="false" customHeight="true" outlineLevel="0" collapsed="false">
      <c r="A189" s="0" t="n">
        <v>31</v>
      </c>
      <c r="B189" s="34" t="n">
        <v>42339</v>
      </c>
      <c r="C189" s="1" t="n">
        <v>1563211</v>
      </c>
      <c r="D189" s="58" t="s">
        <v>41</v>
      </c>
      <c r="E189" s="33" t="n">
        <f aca="false">IF(D189="totale",(C189/(A189*24))/F189,IF(D189="marché libre",(C189/(A189*24))/G189,"spécifier histo"))</f>
        <v>0.552918435200905</v>
      </c>
      <c r="F189" s="59" t="n">
        <v>3800</v>
      </c>
      <c r="G189" s="59" t="n">
        <f aca="false">F189-H189</f>
        <v>1300</v>
      </c>
      <c r="H189" s="58" t="n">
        <v>2500</v>
      </c>
      <c r="I189" s="0"/>
      <c r="J189" s="0"/>
      <c r="K189" s="409" t="s">
        <v>42</v>
      </c>
      <c r="L189" s="410" t="n">
        <v>0</v>
      </c>
      <c r="M189" s="410" t="n">
        <v>154648</v>
      </c>
      <c r="N189" s="410" t="n">
        <v>378736</v>
      </c>
      <c r="O189" s="410" t="n">
        <v>717981</v>
      </c>
      <c r="P189" s="410" t="n">
        <v>795000</v>
      </c>
      <c r="Q189" s="410" t="n">
        <v>527126</v>
      </c>
      <c r="R189" s="410" t="n">
        <v>5276</v>
      </c>
      <c r="S189" s="410" t="n">
        <v>2119</v>
      </c>
      <c r="T189" s="410" t="n">
        <v>212</v>
      </c>
      <c r="U189" s="410" t="n">
        <v>4</v>
      </c>
      <c r="V189" s="410" t="n">
        <v>28398</v>
      </c>
      <c r="W189" s="410" t="n">
        <v>32926</v>
      </c>
    </row>
    <row r="190" customFormat="false" ht="19.85" hidden="false" customHeight="true" outlineLevel="0" collapsed="false">
      <c r="A190" s="0" t="n">
        <v>31</v>
      </c>
      <c r="B190" s="31" t="n">
        <v>42370</v>
      </c>
      <c r="C190" s="1" t="n">
        <v>1401730</v>
      </c>
      <c r="D190" s="58" t="s">
        <v>41</v>
      </c>
      <c r="E190" s="33" t="n">
        <f aca="false">IF(D190="totale",(C190/(A190*24))/F190,IF(D190="marché libre",(C190/(A190*24))/G190,"spécifier histo"))</f>
        <v>0.495801499717035</v>
      </c>
      <c r="F190" s="59" t="n">
        <v>3800</v>
      </c>
      <c r="G190" s="59" t="n">
        <f aca="false">F190-H190</f>
        <v>1300</v>
      </c>
      <c r="H190" s="58" t="n">
        <v>2500</v>
      </c>
      <c r="I190" s="0"/>
      <c r="J190" s="0"/>
      <c r="K190" s="0"/>
      <c r="L190" s="0"/>
      <c r="M190" s="0"/>
      <c r="N190" s="0"/>
      <c r="O190" s="0"/>
      <c r="P190" s="0"/>
      <c r="Q190" s="0"/>
      <c r="R190" s="0"/>
      <c r="S190" s="0"/>
      <c r="T190" s="0"/>
      <c r="U190" s="0"/>
      <c r="V190" s="0"/>
      <c r="W190" s="0"/>
    </row>
    <row r="191" customFormat="false" ht="19.85" hidden="false" customHeight="true" outlineLevel="0" collapsed="false">
      <c r="A191" s="0" t="n">
        <v>28</v>
      </c>
      <c r="B191" s="34" t="n">
        <v>42401</v>
      </c>
      <c r="C191" s="1" t="n">
        <v>1020453</v>
      </c>
      <c r="D191" s="58" t="s">
        <v>41</v>
      </c>
      <c r="E191" s="33" t="n">
        <f aca="false">IF(D191="totale",(C191/(A191*24))/F191,IF(D191="marché libre",(C191/(A191*24))/G191,"spécifier histo"))</f>
        <v>0.399613486842105</v>
      </c>
      <c r="F191" s="59" t="n">
        <v>3800</v>
      </c>
      <c r="G191" s="59" t="n">
        <f aca="false">F191-H191</f>
        <v>1300</v>
      </c>
      <c r="H191" s="58" t="n">
        <v>2500</v>
      </c>
      <c r="J191" s="55"/>
      <c r="K191" s="0"/>
      <c r="L191" s="407" t="n">
        <v>2016</v>
      </c>
      <c r="M191" s="0"/>
      <c r="N191" s="0"/>
      <c r="O191" s="0"/>
      <c r="P191" s="0"/>
      <c r="Q191" s="0"/>
      <c r="R191" s="0"/>
      <c r="S191" s="0"/>
      <c r="T191" s="0"/>
      <c r="U191" s="0"/>
      <c r="V191" s="0"/>
      <c r="W191" s="0"/>
    </row>
    <row r="192" customFormat="false" ht="19.85" hidden="false" customHeight="true" outlineLevel="0" collapsed="false">
      <c r="A192" s="0" t="n">
        <v>31</v>
      </c>
      <c r="B192" s="31" t="n">
        <v>42430</v>
      </c>
      <c r="C192" s="1" t="n">
        <v>1293792</v>
      </c>
      <c r="D192" s="58" t="s">
        <v>41</v>
      </c>
      <c r="E192" s="33" t="n">
        <f aca="false">IF(D192="totale",(C192/(A192*24))/F192,IF(D192="marché libre",(C192/(A192*24))/G192,"spécifier histo"))</f>
        <v>0.457623089983022</v>
      </c>
      <c r="F192" s="59" t="n">
        <v>3800</v>
      </c>
      <c r="G192" s="59" t="n">
        <f aca="false">F192-H192</f>
        <v>1300</v>
      </c>
      <c r="H192" s="58" t="n">
        <v>2500</v>
      </c>
      <c r="J192" s="55"/>
      <c r="K192" s="0"/>
      <c r="L192" s="408" t="s">
        <v>632</v>
      </c>
      <c r="M192" s="408" t="s">
        <v>633</v>
      </c>
      <c r="N192" s="408" t="s">
        <v>634</v>
      </c>
      <c r="O192" s="0"/>
      <c r="P192" s="0"/>
      <c r="Q192" s="0"/>
      <c r="R192" s="0"/>
      <c r="S192" s="0"/>
      <c r="T192" s="0"/>
      <c r="U192" s="0"/>
      <c r="V192" s="0"/>
      <c r="W192" s="0"/>
    </row>
    <row r="193" customFormat="false" ht="19.85" hidden="false" customHeight="true" outlineLevel="0" collapsed="false">
      <c r="A193" s="0" t="n">
        <v>30</v>
      </c>
      <c r="B193" s="34" t="n">
        <v>42461</v>
      </c>
      <c r="C193" s="411" t="n">
        <v>343090</v>
      </c>
      <c r="D193" s="412" t="s">
        <v>42</v>
      </c>
      <c r="E193" s="94" t="n">
        <f aca="false">IF(D193="totale",(C193/(A193*24))/F193,IF(D193="marché libre",(C193/(A193*24))/G193,"spécifier histo"))</f>
        <v>0.366549145299145</v>
      </c>
      <c r="F193" s="93" t="n">
        <v>3800</v>
      </c>
      <c r="G193" s="93" t="n">
        <f aca="false">F193-H193</f>
        <v>1300</v>
      </c>
      <c r="H193" s="412" t="n">
        <v>2500</v>
      </c>
      <c r="I193" s="92"/>
      <c r="J193" s="413"/>
      <c r="K193" s="409" t="s">
        <v>644</v>
      </c>
      <c r="L193" s="410" t="n">
        <v>1368804</v>
      </c>
      <c r="M193" s="410" t="n">
        <v>968708</v>
      </c>
      <c r="N193" s="410" t="n">
        <v>1287741</v>
      </c>
      <c r="O193" s="0"/>
      <c r="P193" s="0"/>
      <c r="Q193" s="0"/>
      <c r="R193" s="0"/>
      <c r="S193" s="0"/>
      <c r="T193" s="0"/>
      <c r="U193" s="0"/>
      <c r="V193" s="0"/>
      <c r="W193" s="0"/>
    </row>
    <row r="194" customFormat="false" ht="19.85" hidden="false" customHeight="true" outlineLevel="0" collapsed="false">
      <c r="A194" s="0" t="n">
        <v>31</v>
      </c>
      <c r="B194" s="31" t="n">
        <v>42491</v>
      </c>
      <c r="C194" s="26" t="n">
        <v>82711</v>
      </c>
      <c r="D194" s="240" t="s">
        <v>42</v>
      </c>
      <c r="E194" s="33" t="n">
        <f aca="false">IF(D194="totale",(C194/(A194*24))/F194,IF(D194="marché libre",(C194/(A194*24))/G194,"spécifier histo"))</f>
        <v>0.0855159222497932</v>
      </c>
      <c r="F194" s="59" t="n">
        <v>3800</v>
      </c>
      <c r="G194" s="59" t="n">
        <f aca="false">F194-H194</f>
        <v>1300</v>
      </c>
      <c r="H194" s="58" t="n">
        <v>2500</v>
      </c>
      <c r="J194" s="55"/>
      <c r="K194" s="409" t="s">
        <v>42</v>
      </c>
      <c r="L194" s="410" t="n">
        <v>32926</v>
      </c>
      <c r="M194" s="410" t="n">
        <v>51745</v>
      </c>
      <c r="N194" s="410" t="n">
        <v>6051</v>
      </c>
      <c r="O194" s="0"/>
      <c r="P194" s="0"/>
      <c r="Q194" s="0"/>
      <c r="R194" s="0"/>
      <c r="S194" s="0"/>
      <c r="T194" s="0"/>
      <c r="U194" s="0"/>
      <c r="V194" s="0"/>
      <c r="W194" s="0"/>
    </row>
    <row r="195" customFormat="false" ht="19.85" hidden="false" customHeight="true" outlineLevel="0" collapsed="false">
      <c r="A195" s="0" t="n">
        <v>30</v>
      </c>
      <c r="B195" s="34" t="n">
        <v>42522</v>
      </c>
      <c r="C195" s="26" t="n">
        <v>959</v>
      </c>
      <c r="D195" s="240" t="s">
        <v>42</v>
      </c>
      <c r="E195" s="33" t="n">
        <f aca="false">IF(D195="totale",(C195/(A195*24))/F195,IF(D195="marché libre",(C195/(A195*24))/G195,"spécifier histo"))</f>
        <v>0.00102457264957265</v>
      </c>
      <c r="F195" s="59" t="n">
        <v>3800</v>
      </c>
      <c r="G195" s="59" t="n">
        <f aca="false">F195-H195</f>
        <v>1300</v>
      </c>
      <c r="H195" s="58" t="n">
        <v>2500</v>
      </c>
      <c r="J195" s="55"/>
      <c r="K195" s="0"/>
      <c r="L195" s="0"/>
      <c r="M195" s="0"/>
      <c r="N195" s="0"/>
      <c r="O195" s="0"/>
      <c r="P195" s="0"/>
      <c r="Q195" s="256" t="n">
        <v>2014</v>
      </c>
      <c r="S195" s="0"/>
      <c r="T195" s="0"/>
      <c r="U195" s="256" t="n">
        <v>2015</v>
      </c>
      <c r="V195" s="0"/>
      <c r="W195" s="0"/>
      <c r="Y195" s="0"/>
      <c r="Z195" s="1" t="n">
        <v>2016</v>
      </c>
    </row>
    <row r="196" customFormat="false" ht="19.85" hidden="false" customHeight="true" outlineLevel="0" collapsed="false">
      <c r="A196" s="0" t="n">
        <v>31</v>
      </c>
      <c r="B196" s="31" t="n">
        <v>42552</v>
      </c>
      <c r="C196" s="26" t="n">
        <v>369</v>
      </c>
      <c r="D196" s="240" t="s">
        <v>42</v>
      </c>
      <c r="E196" s="33" t="n">
        <f aca="false">IF(D196="totale",(C196/(A196*24))/F196,IF(D196="marché libre",(C196/(A196*24))/G196,"spécifier histo"))</f>
        <v>0.00038151364764268</v>
      </c>
      <c r="F196" s="59" t="n">
        <v>3800</v>
      </c>
      <c r="G196" s="59" t="n">
        <f aca="false">F196-H196</f>
        <v>1300</v>
      </c>
      <c r="H196" s="58" t="n">
        <v>2500</v>
      </c>
      <c r="J196" s="55"/>
      <c r="K196" s="0"/>
      <c r="L196" s="0"/>
      <c r="Q196" s="0"/>
      <c r="R196" s="0" t="s">
        <v>644</v>
      </c>
      <c r="U196" s="256"/>
      <c r="V196" s="1" t="s">
        <v>644</v>
      </c>
      <c r="W196" s="1" t="s">
        <v>42</v>
      </c>
      <c r="X196" s="38" t="s">
        <v>645</v>
      </c>
      <c r="Y196" s="0"/>
      <c r="AA196" s="1" t="s">
        <v>644</v>
      </c>
      <c r="AB196" s="1" t="s">
        <v>42</v>
      </c>
      <c r="AC196" s="1" t="s">
        <v>645</v>
      </c>
    </row>
    <row r="197" customFormat="false" ht="19.85" hidden="false" customHeight="true" outlineLevel="0" collapsed="false">
      <c r="A197" s="0" t="n">
        <v>31</v>
      </c>
      <c r="B197" s="34" t="n">
        <v>42583</v>
      </c>
      <c r="C197" s="26" t="n">
        <v>0</v>
      </c>
      <c r="D197" s="240" t="s">
        <v>42</v>
      </c>
      <c r="E197" s="33" t="e">
        <f aca="false">IF(D197="totale",(C197/(A197*24))/F197,IF(D197="marché libre",(C197/(A197*24))/G197,"spécifier histo"))</f>
        <v>#DIV/0!</v>
      </c>
      <c r="F197" s="59" t="n">
        <v>0</v>
      </c>
      <c r="G197" s="59" t="n">
        <v>0</v>
      </c>
      <c r="H197" s="58" t="n">
        <v>0</v>
      </c>
      <c r="I197" s="1" t="s">
        <v>268</v>
      </c>
      <c r="J197" s="55" t="s">
        <v>646</v>
      </c>
      <c r="K197" s="0"/>
      <c r="L197" s="0"/>
      <c r="Q197" s="256" t="s">
        <v>632</v>
      </c>
      <c r="R197" s="256" t="n">
        <v>1232764</v>
      </c>
      <c r="T197" s="0"/>
      <c r="U197" s="1" t="s">
        <v>632</v>
      </c>
      <c r="V197" s="1" t="n">
        <v>51690</v>
      </c>
      <c r="W197" s="1" t="n">
        <v>0</v>
      </c>
      <c r="X197" s="38" t="n">
        <f aca="false">V197+W197</f>
        <v>51690</v>
      </c>
      <c r="Y197" s="0"/>
      <c r="Z197" s="1" t="s">
        <v>632</v>
      </c>
      <c r="AA197" s="1" t="n">
        <v>1368804</v>
      </c>
      <c r="AB197" s="1" t="n">
        <v>32926</v>
      </c>
      <c r="AC197" s="1" t="n">
        <f aca="false">AA197+AB197</f>
        <v>1401730</v>
      </c>
    </row>
    <row r="198" customFormat="false" ht="19.85" hidden="false" customHeight="true" outlineLevel="0" collapsed="false">
      <c r="A198" s="0" t="n">
        <v>30</v>
      </c>
      <c r="B198" s="31" t="n">
        <v>42614</v>
      </c>
      <c r="C198" s="26" t="n">
        <v>0</v>
      </c>
      <c r="D198" s="240" t="s">
        <v>42</v>
      </c>
      <c r="E198" s="33" t="e">
        <f aca="false">IF(D198="totale",(C198/(A198*24))/F198,IF(D198="marché libre",(C198/(A198*24))/G198,"spécifier histo"))</f>
        <v>#DIV/0!</v>
      </c>
      <c r="F198" s="59" t="n">
        <v>0</v>
      </c>
      <c r="G198" s="59" t="n">
        <v>0</v>
      </c>
      <c r="H198" s="58" t="n">
        <v>0</v>
      </c>
      <c r="I198" s="1" t="s">
        <v>268</v>
      </c>
      <c r="J198" s="55" t="s">
        <v>647</v>
      </c>
      <c r="K198" s="0"/>
      <c r="L198" s="0"/>
      <c r="Q198" s="256" t="s">
        <v>633</v>
      </c>
      <c r="R198" s="256" t="n">
        <v>1379713</v>
      </c>
      <c r="T198" s="0"/>
      <c r="U198" s="1" t="s">
        <v>633</v>
      </c>
      <c r="V198" s="1" t="n">
        <v>939332</v>
      </c>
      <c r="W198" s="1" t="n">
        <v>154648</v>
      </c>
      <c r="X198" s="38" t="n">
        <f aca="false">V198+W198</f>
        <v>1093980</v>
      </c>
      <c r="Y198" s="0"/>
      <c r="Z198" s="1" t="s">
        <v>633</v>
      </c>
      <c r="AA198" s="1" t="n">
        <v>968708</v>
      </c>
      <c r="AB198" s="1" t="n">
        <v>51745</v>
      </c>
      <c r="AC198" s="1" t="n">
        <f aca="false">AA198+AB198</f>
        <v>1020453</v>
      </c>
    </row>
    <row r="199" customFormat="false" ht="19.85" hidden="false" customHeight="true" outlineLevel="0" collapsed="false">
      <c r="A199" s="0" t="n">
        <v>31</v>
      </c>
      <c r="B199" s="34" t="n">
        <v>42644</v>
      </c>
      <c r="C199" s="26" t="n">
        <v>0</v>
      </c>
      <c r="D199" s="240" t="s">
        <v>42</v>
      </c>
      <c r="E199" s="33" t="e">
        <f aca="false">IF(D199="totale",(C199/(A199*24))/F199,IF(D199="marché libre",(C199/(A199*24))/G199,"spécifier histo"))</f>
        <v>#DIV/0!</v>
      </c>
      <c r="F199" s="59" t="n">
        <v>0</v>
      </c>
      <c r="G199" s="59" t="n">
        <v>0</v>
      </c>
      <c r="H199" s="58" t="n">
        <v>0</v>
      </c>
      <c r="I199" s="1" t="s">
        <v>268</v>
      </c>
      <c r="J199" s="55" t="s">
        <v>646</v>
      </c>
      <c r="K199" s="0"/>
      <c r="L199" s="0"/>
      <c r="Q199" s="256" t="s">
        <v>634</v>
      </c>
      <c r="R199" s="256" t="n">
        <v>2050744</v>
      </c>
      <c r="U199" s="1" t="s">
        <v>634</v>
      </c>
      <c r="V199" s="1" t="n">
        <v>1681411</v>
      </c>
      <c r="W199" s="1" t="n">
        <v>378736</v>
      </c>
      <c r="X199" s="38" t="n">
        <f aca="false">V199+W199</f>
        <v>2060147</v>
      </c>
      <c r="Y199" s="0"/>
      <c r="Z199" s="1" t="s">
        <v>634</v>
      </c>
      <c r="AA199" s="1" t="n">
        <v>1287741</v>
      </c>
      <c r="AB199" s="1" t="n">
        <v>6051</v>
      </c>
      <c r="AC199" s="1" t="n">
        <f aca="false">AA199+AB199</f>
        <v>1293792</v>
      </c>
    </row>
    <row r="200" customFormat="false" ht="19.85" hidden="false" customHeight="true" outlineLevel="0" collapsed="false">
      <c r="A200" s="0" t="n">
        <v>30</v>
      </c>
      <c r="B200" s="31" t="n">
        <v>42675</v>
      </c>
      <c r="C200" s="26" t="n">
        <v>10019</v>
      </c>
      <c r="D200" s="240" t="s">
        <v>42</v>
      </c>
      <c r="E200" s="33" t="n">
        <f aca="false">IF(D200="totale",(C200/(A200*24))/F200,IF(D200="marché libre",(C200/(A200*24))/G200,"spécifier histo"))</f>
        <v>0.0107040598290598</v>
      </c>
      <c r="F200" s="59" t="n">
        <v>3800</v>
      </c>
      <c r="G200" s="59" t="n">
        <f aca="false">F200-H200</f>
        <v>1300</v>
      </c>
      <c r="H200" s="58" t="n">
        <v>2500</v>
      </c>
      <c r="J200" s="55"/>
      <c r="K200" s="0"/>
      <c r="L200" s="0"/>
      <c r="Q200" s="256" t="s">
        <v>635</v>
      </c>
      <c r="R200" s="256" t="n">
        <v>2179182</v>
      </c>
      <c r="U200" s="1" t="s">
        <v>635</v>
      </c>
      <c r="V200" s="1" t="n">
        <v>1727744</v>
      </c>
      <c r="W200" s="1" t="n">
        <v>717981</v>
      </c>
      <c r="X200" s="38" t="n">
        <f aca="false">V200+W200</f>
        <v>2445725</v>
      </c>
    </row>
    <row r="201" customFormat="false" ht="19.85" hidden="false" customHeight="true" outlineLevel="0" collapsed="false">
      <c r="A201" s="0" t="n">
        <v>31</v>
      </c>
      <c r="B201" s="34" t="n">
        <v>42705</v>
      </c>
      <c r="C201" s="26" t="n">
        <v>7470</v>
      </c>
      <c r="D201" s="240" t="s">
        <v>42</v>
      </c>
      <c r="E201" s="33" t="n">
        <f aca="false">IF(D201="totale",(C201/(A201*24))/F201,IF(D201="marché libre",(C201/(A201*24))/G201,"spécifier histo"))</f>
        <v>0.00772332506203474</v>
      </c>
      <c r="F201" s="59" t="n">
        <v>3800</v>
      </c>
      <c r="G201" s="59" t="n">
        <f aca="false">F201-H201</f>
        <v>1300</v>
      </c>
      <c r="H201" s="58" t="n">
        <v>2500</v>
      </c>
      <c r="J201" s="55"/>
      <c r="K201" s="0"/>
      <c r="L201" s="0"/>
      <c r="Q201" s="256" t="s">
        <v>636</v>
      </c>
      <c r="R201" s="256" t="n">
        <v>2186823</v>
      </c>
      <c r="U201" s="1" t="s">
        <v>636</v>
      </c>
      <c r="V201" s="1" t="n">
        <v>1757820</v>
      </c>
      <c r="W201" s="1" t="n">
        <v>795000</v>
      </c>
      <c r="X201" s="38" t="n">
        <f aca="false">V201+W201</f>
        <v>2552820</v>
      </c>
    </row>
    <row r="202" customFormat="false" ht="19.85" hidden="false" customHeight="true" outlineLevel="0" collapsed="false">
      <c r="A202" s="0" t="n">
        <v>31</v>
      </c>
      <c r="B202" s="31" t="n">
        <v>42736</v>
      </c>
      <c r="C202" s="26" t="n">
        <v>125105</v>
      </c>
      <c r="D202" s="240" t="s">
        <v>42</v>
      </c>
      <c r="E202" s="33" t="n">
        <f aca="false">IF(D202="totale",(C202/(A202*24))/F202,IF(D202="marché libre",(C202/(A202*24))/G202,"spécifier histo"))</f>
        <v>0.129347601323408</v>
      </c>
      <c r="F202" s="59" t="n">
        <v>3800</v>
      </c>
      <c r="G202" s="59" t="n">
        <f aca="false">F202-H202</f>
        <v>1300</v>
      </c>
      <c r="H202" s="58" t="n">
        <v>2500</v>
      </c>
      <c r="J202" s="55"/>
      <c r="K202" s="0"/>
      <c r="L202" s="0"/>
      <c r="Q202" s="256" t="s">
        <v>637</v>
      </c>
      <c r="R202" s="256" t="n">
        <v>2065914</v>
      </c>
      <c r="U202" s="1" t="s">
        <v>637</v>
      </c>
      <c r="V202" s="1" t="n">
        <v>1643130</v>
      </c>
      <c r="W202" s="1" t="n">
        <v>527126</v>
      </c>
      <c r="X202" s="38" t="n">
        <f aca="false">V202+W202</f>
        <v>2170256</v>
      </c>
    </row>
    <row r="203" customFormat="false" ht="19.85" hidden="false" customHeight="true" outlineLevel="0" collapsed="false">
      <c r="A203" s="0" t="n">
        <v>28</v>
      </c>
      <c r="B203" s="34" t="n">
        <v>42767</v>
      </c>
      <c r="C203" s="26" t="n">
        <v>25407</v>
      </c>
      <c r="D203" s="240" t="s">
        <v>42</v>
      </c>
      <c r="E203" s="33" t="n">
        <f aca="false">IF(D203="totale",(C203/(A203*24))/F203,IF(D203="marché libre",(C203/(A203*24))/G203,"spécifier histo"))</f>
        <v>0.0290831043956044</v>
      </c>
      <c r="F203" s="59" t="n">
        <v>3800</v>
      </c>
      <c r="G203" s="59" t="n">
        <f aca="false">F203-H203</f>
        <v>1300</v>
      </c>
      <c r="H203" s="58" t="n">
        <v>2500</v>
      </c>
      <c r="J203" s="55"/>
      <c r="K203" s="0"/>
      <c r="L203" s="0"/>
      <c r="Q203" s="256" t="s">
        <v>638</v>
      </c>
      <c r="R203" s="256" t="n">
        <v>718756</v>
      </c>
      <c r="U203" s="1" t="s">
        <v>638</v>
      </c>
      <c r="V203" s="1" t="n">
        <v>981242</v>
      </c>
      <c r="W203" s="1" t="n">
        <v>5276</v>
      </c>
      <c r="X203" s="38" t="n">
        <f aca="false">V203+W203</f>
        <v>986518</v>
      </c>
    </row>
    <row r="204" customFormat="false" ht="19.85" hidden="false" customHeight="true" outlineLevel="0" collapsed="false">
      <c r="A204" s="0" t="n">
        <v>31</v>
      </c>
      <c r="B204" s="31" t="n">
        <v>42795</v>
      </c>
      <c r="C204" s="26" t="n">
        <v>160466</v>
      </c>
      <c r="D204" s="240" t="s">
        <v>42</v>
      </c>
      <c r="E204" s="33" t="n">
        <f aca="false">IF(D204="totale",(C204/(A204*24))/F204,IF(D204="marché libre",(C204/(A204*24))/G204,"spécifier histo"))</f>
        <v>0.165907775020678</v>
      </c>
      <c r="F204" s="59" t="n">
        <v>3800</v>
      </c>
      <c r="G204" s="59" t="n">
        <f aca="false">F204-H204</f>
        <v>1300</v>
      </c>
      <c r="H204" s="58" t="n">
        <v>2500</v>
      </c>
      <c r="J204" s="55"/>
      <c r="K204" s="0"/>
      <c r="L204" s="0"/>
      <c r="Q204" s="256" t="s">
        <v>639</v>
      </c>
      <c r="R204" s="256" t="n">
        <v>0</v>
      </c>
      <c r="U204" s="1" t="s">
        <v>639</v>
      </c>
      <c r="V204" s="1" t="n">
        <v>540191</v>
      </c>
      <c r="W204" s="1" t="n">
        <v>2119</v>
      </c>
      <c r="X204" s="38" t="n">
        <f aca="false">V204+W204</f>
        <v>542310</v>
      </c>
    </row>
    <row r="205" customFormat="false" ht="19.85" hidden="false" customHeight="true" outlineLevel="0" collapsed="false">
      <c r="A205" s="0" t="n">
        <v>30</v>
      </c>
      <c r="B205" s="34" t="n">
        <v>42826</v>
      </c>
      <c r="C205" s="59" t="n">
        <v>288058</v>
      </c>
      <c r="D205" s="240" t="s">
        <v>42</v>
      </c>
      <c r="E205" s="33" t="n">
        <f aca="false">IF(D205="totale",(C205/(A205*24))/F205,IF(D205="marché libre",(C205/(A205*24))/G205,"spécifier histo"))</f>
        <v>0.307754273504274</v>
      </c>
      <c r="F205" s="59" t="n">
        <v>3800</v>
      </c>
      <c r="G205" s="59" t="n">
        <f aca="false">F205-H205</f>
        <v>1300</v>
      </c>
      <c r="H205" s="58" t="n">
        <v>2500</v>
      </c>
      <c r="J205" s="55"/>
      <c r="L205" s="0"/>
      <c r="Q205" s="256" t="s">
        <v>640</v>
      </c>
      <c r="R205" s="256" t="n">
        <v>0</v>
      </c>
      <c r="U205" s="1" t="s">
        <v>640</v>
      </c>
      <c r="V205" s="1" t="n">
        <v>193460</v>
      </c>
      <c r="W205" s="1" t="n">
        <v>212</v>
      </c>
      <c r="X205" s="38" t="n">
        <f aca="false">V205+W205</f>
        <v>193672</v>
      </c>
    </row>
    <row r="206" customFormat="false" ht="19.85" hidden="false" customHeight="true" outlineLevel="0" collapsed="false">
      <c r="A206" s="0" t="n">
        <v>31</v>
      </c>
      <c r="B206" s="31" t="n">
        <v>42856</v>
      </c>
      <c r="C206" s="9" t="n">
        <v>296219</v>
      </c>
      <c r="D206" s="240" t="s">
        <v>42</v>
      </c>
      <c r="E206" s="33" t="n">
        <f aca="false">IF(D206="totale",(C206/(A206*24))/F206,IF(D206="marché libre",(C206/(A206*24))/G206,"spécifier histo"))</f>
        <v>0.306264474772539</v>
      </c>
      <c r="F206" s="59" t="n">
        <v>3800</v>
      </c>
      <c r="G206" s="59" t="n">
        <f aca="false">F206-H206</f>
        <v>1300</v>
      </c>
      <c r="H206" s="58" t="n">
        <v>2500</v>
      </c>
      <c r="J206" s="55"/>
      <c r="L206" s="0"/>
      <c r="Q206" s="256" t="s">
        <v>641</v>
      </c>
      <c r="R206" s="256" t="n">
        <v>0</v>
      </c>
      <c r="U206" s="1" t="s">
        <v>641</v>
      </c>
      <c r="V206" s="1" t="n">
        <v>664927</v>
      </c>
      <c r="W206" s="1" t="n">
        <v>4</v>
      </c>
      <c r="X206" s="38" t="n">
        <f aca="false">V206+W206</f>
        <v>664931</v>
      </c>
    </row>
    <row r="207" customFormat="false" ht="22.45" hidden="false" customHeight="true" outlineLevel="0" collapsed="false">
      <c r="A207" s="0" t="n">
        <v>30</v>
      </c>
      <c r="B207" s="34" t="n">
        <v>42887</v>
      </c>
      <c r="C207" s="9" t="n">
        <v>58156</v>
      </c>
      <c r="D207" s="240" t="s">
        <v>42</v>
      </c>
      <c r="E207" s="33" t="n">
        <f aca="false">IF(D207="totale",(C207/(A207*24))/F207,IF(D207="marché libre",(C207/(A207*24))/G207,"spécifier histo"))</f>
        <v>0.0621324786324786</v>
      </c>
      <c r="F207" s="59" t="n">
        <v>3800</v>
      </c>
      <c r="G207" s="59" t="n">
        <f aca="false">F207-H207</f>
        <v>1300</v>
      </c>
      <c r="H207" s="58" t="n">
        <v>2500</v>
      </c>
      <c r="J207" s="55"/>
      <c r="L207" s="0"/>
      <c r="Q207" s="256" t="s">
        <v>642</v>
      </c>
      <c r="R207" s="256" t="n">
        <v>0</v>
      </c>
      <c r="U207" s="1" t="s">
        <v>642</v>
      </c>
      <c r="V207" s="1" t="n">
        <v>870679</v>
      </c>
      <c r="W207" s="1" t="n">
        <v>28398</v>
      </c>
      <c r="X207" s="38" t="n">
        <f aca="false">V207+W207</f>
        <v>899077</v>
      </c>
    </row>
    <row r="208" customFormat="false" ht="21.65" hidden="false" customHeight="true" outlineLevel="0" collapsed="false">
      <c r="A208" s="0" t="n">
        <v>31</v>
      </c>
      <c r="B208" s="31" t="n">
        <v>42917</v>
      </c>
      <c r="C208" s="9" t="n">
        <v>10124</v>
      </c>
      <c r="D208" s="240" t="s">
        <v>42</v>
      </c>
      <c r="E208" s="33" t="n">
        <f aca="false">IF(D208="totale",(C208/(A208*24))/F208,IF(D208="marché libre",(C208/(A208*24))/G208,"spécifier histo"))</f>
        <v>0.0104673283705542</v>
      </c>
      <c r="F208" s="59" t="n">
        <v>3800</v>
      </c>
      <c r="G208" s="59" t="n">
        <f aca="false">F208-H208</f>
        <v>1300</v>
      </c>
      <c r="H208" s="58" t="n">
        <v>2500</v>
      </c>
      <c r="J208" s="55"/>
      <c r="L208" s="0"/>
      <c r="Q208" s="256" t="s">
        <v>643</v>
      </c>
      <c r="R208" s="256" t="n">
        <v>0</v>
      </c>
      <c r="U208" s="1" t="s">
        <v>643</v>
      </c>
      <c r="V208" s="1" t="n">
        <v>1530285</v>
      </c>
      <c r="W208" s="1" t="n">
        <v>32926</v>
      </c>
      <c r="X208" s="38" t="n">
        <f aca="false">V208+W208</f>
        <v>1563211</v>
      </c>
    </row>
    <row r="209" customFormat="false" ht="21.65" hidden="false" customHeight="true" outlineLevel="0" collapsed="false">
      <c r="A209" s="0" t="n">
        <v>31</v>
      </c>
      <c r="B209" s="34" t="n">
        <v>42948</v>
      </c>
      <c r="C209" s="9" t="n">
        <v>544</v>
      </c>
      <c r="D209" s="240" t="s">
        <v>42</v>
      </c>
      <c r="E209" s="33" t="n">
        <f aca="false">IF(D209="totale",(C209/(A209*24))/F209,IF(D209="marché libre",(C209/(A209*24))/G209,"spécifier histo"))</f>
        <v>0.000562448304383788</v>
      </c>
      <c r="F209" s="59" t="n">
        <v>3800</v>
      </c>
      <c r="G209" s="59" t="n">
        <f aca="false">F209-H209</f>
        <v>1300</v>
      </c>
      <c r="H209" s="58" t="n">
        <v>2500</v>
      </c>
      <c r="J209" s="55"/>
      <c r="L209" s="0"/>
    </row>
    <row r="210" customFormat="false" ht="21.65" hidden="false" customHeight="true" outlineLevel="0" collapsed="false">
      <c r="A210" s="0" t="n">
        <v>30</v>
      </c>
      <c r="B210" s="31" t="n">
        <v>42979</v>
      </c>
      <c r="C210" s="9" t="n">
        <v>0</v>
      </c>
      <c r="D210" s="240" t="s">
        <v>42</v>
      </c>
      <c r="E210" s="33" t="n">
        <f aca="false">IF(D210="totale",(C210/(A210*24))/F210,IF(D210="marché libre",(C210/(A210*24))/G210,"spécifier histo"))</f>
        <v>0</v>
      </c>
      <c r="F210" s="59" t="n">
        <v>3800</v>
      </c>
      <c r="G210" s="59" t="n">
        <f aca="false">F210-H210</f>
        <v>1300</v>
      </c>
      <c r="H210" s="58" t="n">
        <v>2500</v>
      </c>
      <c r="J210" s="55"/>
      <c r="L210" s="0"/>
    </row>
    <row r="211" customFormat="false" ht="21.65" hidden="false" customHeight="true" outlineLevel="0" collapsed="false">
      <c r="A211" s="0" t="n">
        <v>31</v>
      </c>
      <c r="B211" s="34" t="n">
        <v>43009</v>
      </c>
      <c r="C211" s="9" t="n">
        <v>47</v>
      </c>
      <c r="D211" s="240" t="s">
        <v>42</v>
      </c>
      <c r="E211" s="33" t="n">
        <f aca="false">IF(D211="totale",(C211/(A211*24))/F211,IF(D211="marché libre",(C211/(A211*24))/G211,"spécifier histo"))</f>
        <v>4.85938792390405E-005</v>
      </c>
      <c r="F211" s="59" t="n">
        <v>3800</v>
      </c>
      <c r="G211" s="59" t="n">
        <f aca="false">F211-H211</f>
        <v>1300</v>
      </c>
      <c r="H211" s="58" t="n">
        <v>2500</v>
      </c>
      <c r="J211" s="55"/>
      <c r="L211" s="0"/>
    </row>
    <row r="212" customFormat="false" ht="21.65" hidden="false" customHeight="true" outlineLevel="0" collapsed="false">
      <c r="A212" s="0" t="n">
        <v>30</v>
      </c>
      <c r="B212" s="31" t="n">
        <v>43040</v>
      </c>
      <c r="C212" s="9" t="n">
        <v>32866</v>
      </c>
      <c r="D212" s="240" t="s">
        <v>42</v>
      </c>
      <c r="E212" s="33" t="n">
        <f aca="false">IF(D212="totale",(C212/(A212*24))/F212,IF(D212="marché libre",(C212/(A212*24))/G212,"spécifier histo"))</f>
        <v>0.0351132478632479</v>
      </c>
      <c r="F212" s="59" t="n">
        <v>3800</v>
      </c>
      <c r="G212" s="59" t="n">
        <f aca="false">F212-H212</f>
        <v>1300</v>
      </c>
      <c r="H212" s="58" t="n">
        <v>2500</v>
      </c>
      <c r="J212" s="55"/>
      <c r="L212" s="0"/>
    </row>
    <row r="213" customFormat="false" ht="21.65" hidden="false" customHeight="true" outlineLevel="0" collapsed="false">
      <c r="A213" s="0" t="n">
        <v>31</v>
      </c>
      <c r="B213" s="34" t="n">
        <v>43070</v>
      </c>
      <c r="C213" s="9" t="n">
        <v>70764</v>
      </c>
      <c r="D213" s="240" t="s">
        <v>42</v>
      </c>
      <c r="E213" s="33" t="n">
        <f aca="false">IF(D213="totale",(C213/(A213*24))/F213,IF(D213="marché libre",(C213/(A213*24))/G213,"spécifier histo"))</f>
        <v>0.0731637717121588</v>
      </c>
      <c r="F213" s="59" t="n">
        <v>3800</v>
      </c>
      <c r="G213" s="59" t="n">
        <f aca="false">F213-H213</f>
        <v>1300</v>
      </c>
      <c r="H213" s="58" t="n">
        <v>2500</v>
      </c>
      <c r="J213" s="55"/>
      <c r="L213" s="0"/>
    </row>
    <row r="214" customFormat="false" ht="22.9" hidden="false" customHeight="true" outlineLevel="0" collapsed="false">
      <c r="A214" s="0" t="n">
        <v>31</v>
      </c>
      <c r="B214" s="31" t="n">
        <v>43101</v>
      </c>
      <c r="C214" s="9" t="n">
        <v>108078</v>
      </c>
      <c r="D214" s="240" t="s">
        <v>42</v>
      </c>
      <c r="E214" s="33" t="n">
        <f aca="false">IF(D214="totale",(C214/(A214*24))/F214,IF(D214="marché libre",(C214/(A214*24))/G214,"spécifier histo"))</f>
        <v>0.11174317617866</v>
      </c>
      <c r="F214" s="59" t="n">
        <v>3800</v>
      </c>
      <c r="G214" s="59" t="n">
        <f aca="false">F214-H214</f>
        <v>1300</v>
      </c>
      <c r="H214" s="58" t="n">
        <v>2500</v>
      </c>
      <c r="J214" s="55"/>
      <c r="L214" s="0"/>
    </row>
    <row r="215" customFormat="false" ht="28.35" hidden="false" customHeight="true" outlineLevel="0" collapsed="false">
      <c r="A215" s="0"/>
      <c r="L215" s="0"/>
    </row>
    <row r="216" customFormat="false" ht="28.35" hidden="false" customHeight="true" outlineLevel="0" collapsed="false">
      <c r="A216" s="0"/>
      <c r="L216" s="0"/>
    </row>
    <row r="217" customFormat="false" ht="28.35" hidden="false" customHeight="true" outlineLevel="0" collapsed="false">
      <c r="A217" s="0"/>
      <c r="L217" s="0"/>
    </row>
    <row r="218" customFormat="false" ht="28.35" hidden="false" customHeight="true" outlineLevel="0" collapsed="false">
      <c r="A218" s="0"/>
      <c r="L218" s="0"/>
    </row>
    <row r="219" customFormat="false" ht="28.35" hidden="false" customHeight="true" outlineLevel="0" collapsed="false">
      <c r="A219" s="0"/>
      <c r="L219" s="0"/>
    </row>
    <row r="220" customFormat="false" ht="28.35" hidden="false" customHeight="true" outlineLevel="0" collapsed="false">
      <c r="A220" s="0"/>
      <c r="L220" s="0"/>
    </row>
    <row r="221" customFormat="false" ht="28.35" hidden="false" customHeight="true" outlineLevel="0" collapsed="false">
      <c r="A221" s="0"/>
      <c r="L221" s="0"/>
    </row>
    <row r="222" customFormat="false" ht="28.35" hidden="false" customHeight="true" outlineLevel="0" collapsed="false">
      <c r="A222" s="0"/>
      <c r="L222" s="0"/>
    </row>
    <row r="223" customFormat="false" ht="28.35" hidden="false" customHeight="true" outlineLevel="0" collapsed="false">
      <c r="A223" s="0"/>
      <c r="L223" s="0"/>
    </row>
    <row r="224" customFormat="false" ht="28.35" hidden="false" customHeight="true" outlineLevel="0" collapsed="false">
      <c r="A224" s="0"/>
      <c r="L224" s="0"/>
    </row>
    <row r="225" customFormat="false" ht="28.35" hidden="false" customHeight="true" outlineLevel="0" collapsed="false">
      <c r="A225" s="0"/>
      <c r="L225" s="0"/>
    </row>
    <row r="226" customFormat="false" ht="28.35" hidden="false" customHeight="true" outlineLevel="0" collapsed="false">
      <c r="A226" s="0"/>
      <c r="L226" s="0"/>
    </row>
    <row r="227" customFormat="false" ht="28.35" hidden="false" customHeight="true" outlineLevel="0" collapsed="false">
      <c r="A227" s="0"/>
      <c r="L227" s="0"/>
    </row>
    <row r="228" customFormat="false" ht="28.35" hidden="false" customHeight="true" outlineLevel="0" collapsed="false">
      <c r="A228" s="0"/>
      <c r="L228" s="0"/>
    </row>
    <row r="229" customFormat="false" ht="28.35" hidden="false" customHeight="true" outlineLevel="0" collapsed="false">
      <c r="A229" s="0"/>
      <c r="L229" s="0"/>
    </row>
    <row r="230" customFormat="false" ht="28.35" hidden="false" customHeight="true" outlineLevel="0" collapsed="false">
      <c r="A230" s="0"/>
      <c r="L230" s="0"/>
    </row>
    <row r="231" customFormat="false" ht="28.35" hidden="false" customHeight="true" outlineLevel="0" collapsed="false">
      <c r="A231" s="0"/>
      <c r="L231" s="0"/>
    </row>
    <row r="232" customFormat="false" ht="12.8" hidden="false" customHeight="false" outlineLevel="0" collapsed="false">
      <c r="A232" s="0"/>
      <c r="L232" s="0"/>
    </row>
    <row r="233" customFormat="false" ht="12.8" hidden="false" customHeight="false" outlineLevel="0" collapsed="false">
      <c r="A233" s="0"/>
      <c r="L233" s="0"/>
    </row>
    <row r="234" customFormat="false" ht="12.8" hidden="false" customHeight="false" outlineLevel="0" collapsed="false">
      <c r="A234" s="0"/>
      <c r="L234" s="0"/>
    </row>
    <row r="235" customFormat="false" ht="12.8" hidden="false" customHeight="false" outlineLevel="0" collapsed="false">
      <c r="A235" s="0"/>
      <c r="L235" s="0"/>
    </row>
    <row r="236" customFormat="false" ht="12.8" hidden="false" customHeight="false" outlineLevel="0" collapsed="false">
      <c r="A236" s="0"/>
      <c r="L236" s="0"/>
    </row>
    <row r="237" customFormat="false" ht="12.8" hidden="false" customHeight="false" outlineLevel="0" collapsed="false">
      <c r="A237" s="0"/>
      <c r="L237" s="0"/>
    </row>
    <row r="238" customFormat="false" ht="12.8" hidden="false" customHeight="false" outlineLevel="0" collapsed="false">
      <c r="A238" s="0"/>
      <c r="L238" s="0"/>
    </row>
    <row r="239" customFormat="false" ht="12.8" hidden="false" customHeight="false" outlineLevel="0" collapsed="false">
      <c r="A239" s="0"/>
      <c r="L239" s="0"/>
    </row>
    <row r="240" customFormat="false" ht="12.8" hidden="false" customHeight="false" outlineLevel="0" collapsed="false">
      <c r="A240" s="0"/>
      <c r="L240" s="0"/>
    </row>
    <row r="241" customFormat="false" ht="12.8" hidden="false" customHeight="false" outlineLevel="0" collapsed="false">
      <c r="A241" s="0"/>
      <c r="L241" s="0"/>
    </row>
    <row r="242" customFormat="false" ht="12.8" hidden="false" customHeight="false" outlineLevel="0" collapsed="false">
      <c r="A242" s="0"/>
      <c r="L242" s="0"/>
    </row>
    <row r="243" customFormat="false" ht="12.8" hidden="false" customHeight="false" outlineLevel="0" collapsed="false">
      <c r="A243" s="0"/>
      <c r="L243" s="0"/>
    </row>
    <row r="244" customFormat="false" ht="12.8" hidden="false" customHeight="false" outlineLevel="0" collapsed="false">
      <c r="A244" s="0"/>
      <c r="L244" s="0"/>
    </row>
    <row r="245" customFormat="false" ht="12.8" hidden="false" customHeight="false" outlineLevel="0" collapsed="false">
      <c r="A245" s="0"/>
      <c r="L245" s="0"/>
    </row>
    <row r="246" customFormat="false" ht="12.8" hidden="false" customHeight="false" outlineLevel="0" collapsed="false">
      <c r="A246" s="0"/>
      <c r="L246" s="0"/>
    </row>
    <row r="247" customFormat="false" ht="12.8" hidden="false" customHeight="false" outlineLevel="0" collapsed="false">
      <c r="A247" s="0"/>
    </row>
    <row r="248" customFormat="false" ht="12.8" hidden="false" customHeight="false" outlineLevel="0" collapsed="false">
      <c r="A248" s="0"/>
    </row>
    <row r="249" customFormat="false" ht="12.8" hidden="false" customHeight="false" outlineLevel="0" collapsed="false">
      <c r="A249" s="0"/>
    </row>
    <row r="250" customFormat="false" ht="12.8" hidden="false" customHeight="false" outlineLevel="0" collapsed="false">
      <c r="A250" s="0"/>
    </row>
    <row r="251" customFormat="false" ht="12.8" hidden="false" customHeight="false" outlineLevel="0" collapsed="false">
      <c r="A251" s="0"/>
    </row>
    <row r="252" customFormat="false" ht="12.8" hidden="false" customHeight="false" outlineLevel="0" collapsed="false">
      <c r="A252" s="0"/>
    </row>
    <row r="253" customFormat="false" ht="12.8" hidden="false" customHeight="false" outlineLevel="0" collapsed="false">
      <c r="A253" s="0"/>
    </row>
    <row r="254" customFormat="false" ht="12.8" hidden="false" customHeight="false" outlineLevel="0" collapsed="false">
      <c r="A254" s="0"/>
    </row>
    <row r="255" customFormat="false" ht="12.8" hidden="false" customHeight="false" outlineLevel="0" collapsed="false">
      <c r="A255" s="0"/>
    </row>
    <row r="256" customFormat="false" ht="12.8" hidden="false" customHeight="false" outlineLevel="0" collapsed="false">
      <c r="A256" s="0"/>
    </row>
    <row r="257" customFormat="false" ht="12.8" hidden="false" customHeight="false" outlineLevel="0" collapsed="false">
      <c r="A257" s="0"/>
    </row>
    <row r="258" customFormat="false" ht="12.8" hidden="false" customHeight="false" outlineLevel="0" collapsed="false">
      <c r="A258" s="0"/>
    </row>
    <row r="259" customFormat="false" ht="12.8" hidden="false" customHeight="false" outlineLevel="0" collapsed="false">
      <c r="A259" s="0"/>
    </row>
  </sheetData>
  <mergeCells count="14">
    <mergeCell ref="B1:E2"/>
    <mergeCell ref="F1:N1"/>
    <mergeCell ref="F2:I2"/>
    <mergeCell ref="J2:K2"/>
    <mergeCell ref="L2:M2"/>
    <mergeCell ref="N2:N3"/>
    <mergeCell ref="U2:U3"/>
    <mergeCell ref="T4:V4"/>
    <mergeCell ref="C6:D6"/>
    <mergeCell ref="F6:F7"/>
    <mergeCell ref="G6:N7"/>
    <mergeCell ref="C7:D7"/>
    <mergeCell ref="P175:S175"/>
    <mergeCell ref="P176:S176"/>
  </mergeCells>
  <conditionalFormatting sqref="E10:E21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5.xml><?xml version="1.0" encoding="utf-8"?>
<worksheet xmlns="http://schemas.openxmlformats.org/spreadsheetml/2006/main" xmlns:r="http://schemas.openxmlformats.org/officeDocument/2006/relationships">
  <sheetPr filterMode="false">
    <tabColor rgb="FF00FF66"/>
    <pageSetUpPr fitToPage="false"/>
  </sheetPr>
  <dimension ref="A1:V36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41" activePane="bottomRight" state="frozen"/>
      <selection pane="topLeft" activeCell="A1" activeCellId="0" sqref="A1"/>
      <selection pane="topRight" activeCell="B1" activeCellId="0" sqref="B1"/>
      <selection pane="bottomLeft" activeCell="A241" activeCellId="0" sqref="A241"/>
      <selection pane="bottomRight" activeCell="B354" activeCellId="0" sqref="B354"/>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648</v>
      </c>
      <c r="C4" s="5" t="n">
        <v>62046</v>
      </c>
      <c r="D4" s="5" t="s">
        <v>649</v>
      </c>
      <c r="E4" s="14" t="s">
        <v>650</v>
      </c>
      <c r="F4" s="15"/>
      <c r="G4" s="15" t="n">
        <v>2950</v>
      </c>
      <c r="H4" s="15"/>
      <c r="I4" s="16"/>
      <c r="J4" s="15" t="n">
        <v>2000</v>
      </c>
      <c r="K4" s="16"/>
      <c r="L4" s="16"/>
      <c r="M4" s="16" t="n">
        <v>960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t="s">
        <v>651</v>
      </c>
      <c r="H6" s="20"/>
      <c r="I6" s="20"/>
      <c r="J6" s="20"/>
      <c r="K6" s="20"/>
      <c r="L6" s="20"/>
      <c r="M6" s="20"/>
      <c r="N6" s="20"/>
      <c r="P6" s="21"/>
      <c r="Q6" s="19" t="s">
        <v>27</v>
      </c>
      <c r="R6" s="9"/>
      <c r="S6" s="22"/>
      <c r="T6" s="5" t="s">
        <v>28</v>
      </c>
    </row>
    <row r="7" customFormat="false" ht="41.65" hidden="false" customHeight="true" outlineLevel="0" collapsed="false">
      <c r="A7" s="0"/>
      <c r="B7" s="0"/>
      <c r="C7" s="23" t="s">
        <v>652</v>
      </c>
      <c r="D7" s="23"/>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t="s">
        <v>34</v>
      </c>
      <c r="E9" s="1" t="s">
        <v>35</v>
      </c>
      <c r="F9" s="9" t="s">
        <v>36</v>
      </c>
      <c r="G9" s="9" t="s">
        <v>37</v>
      </c>
      <c r="H9" s="9" t="s">
        <v>38</v>
      </c>
      <c r="I9" s="9" t="s">
        <v>39</v>
      </c>
      <c r="J9" s="30" t="s">
        <v>40</v>
      </c>
    </row>
    <row r="10" customFormat="false" ht="24.95" hidden="false" customHeight="true" outlineLevel="0" collapsed="false">
      <c r="A10" s="0" t="n">
        <v>31</v>
      </c>
      <c r="B10" s="31" t="n">
        <v>32874</v>
      </c>
      <c r="C10" s="1" t="n">
        <v>667200</v>
      </c>
      <c r="D10" s="29" t="s">
        <v>41</v>
      </c>
      <c r="E10" s="33" t="n">
        <f aca="false">IF(D10="totale",(C10/(A10*24))/F10,IF(D10="marché libre",(C10/(A10*24))/G10,"spécifier histo"))</f>
        <v>0.302964254577158</v>
      </c>
      <c r="F10" s="9" t="n">
        <f aca="false">G10+H10</f>
        <v>2960</v>
      </c>
      <c r="G10" s="9" t="n">
        <v>2960</v>
      </c>
      <c r="H10" s="9" t="n">
        <f aca="false">0</f>
        <v>0</v>
      </c>
      <c r="I10" s="9"/>
      <c r="J10" s="30"/>
    </row>
    <row r="11" customFormat="false" ht="24.95" hidden="false" customHeight="true" outlineLevel="0" collapsed="false">
      <c r="A11" s="0" t="n">
        <v>28</v>
      </c>
      <c r="B11" s="34" t="n">
        <v>32905</v>
      </c>
      <c r="C11" s="1" t="n">
        <v>795000</v>
      </c>
      <c r="D11" s="29" t="s">
        <v>41</v>
      </c>
      <c r="E11" s="33" t="n">
        <f aca="false">IF(D11="totale",(C11/(A11*24))/F11,IF(D11="marché libre",(C11/(A11*24))/G11,"spécifier histo"))</f>
        <v>0.399674227799228</v>
      </c>
      <c r="F11" s="9" t="n">
        <f aca="false">G11+H11</f>
        <v>2960</v>
      </c>
      <c r="G11" s="9" t="n">
        <v>2960</v>
      </c>
      <c r="H11" s="9" t="n">
        <f aca="false">0</f>
        <v>0</v>
      </c>
      <c r="I11" s="9"/>
      <c r="J11" s="30"/>
    </row>
    <row r="12" customFormat="false" ht="24.95" hidden="false" customHeight="true" outlineLevel="0" collapsed="false">
      <c r="A12" s="0" t="n">
        <v>31</v>
      </c>
      <c r="B12" s="31" t="n">
        <v>32933</v>
      </c>
      <c r="C12" s="1" t="n">
        <v>886800</v>
      </c>
      <c r="D12" s="29" t="s">
        <v>41</v>
      </c>
      <c r="E12" s="33" t="n">
        <f aca="false">IF(D12="totale",(C12/(A12*24))/F12,IF(D12="marché libre",(C12/(A12*24))/G12,"spécifier histo"))</f>
        <v>0.402680906713165</v>
      </c>
      <c r="F12" s="9" t="n">
        <f aca="false">G12+H12</f>
        <v>2960</v>
      </c>
      <c r="G12" s="9" t="n">
        <v>2960</v>
      </c>
      <c r="H12" s="9" t="n">
        <f aca="false">0</f>
        <v>0</v>
      </c>
      <c r="I12" s="9"/>
      <c r="J12" s="30"/>
    </row>
    <row r="13" customFormat="false" ht="24.95" hidden="false" customHeight="true" outlineLevel="0" collapsed="false">
      <c r="A13" s="0" t="n">
        <v>30</v>
      </c>
      <c r="B13" s="34" t="n">
        <v>32964</v>
      </c>
      <c r="C13" s="1" t="n">
        <v>1007400</v>
      </c>
      <c r="D13" s="29" t="s">
        <v>41</v>
      </c>
      <c r="E13" s="33" t="n">
        <f aca="false">IF(D13="totale",(C13/(A13*24))/F13,IF(D13="marché libre",(C13/(A13*24))/G13,"spécifier histo"))</f>
        <v>0.472691441441441</v>
      </c>
      <c r="F13" s="9" t="n">
        <f aca="false">G13+H13</f>
        <v>2960</v>
      </c>
      <c r="G13" s="9" t="n">
        <v>2960</v>
      </c>
      <c r="H13" s="9" t="n">
        <f aca="false">0</f>
        <v>0</v>
      </c>
      <c r="I13" s="9"/>
      <c r="J13" s="30"/>
    </row>
    <row r="14" customFormat="false" ht="24.95" hidden="false" customHeight="true" outlineLevel="0" collapsed="false">
      <c r="A14" s="0" t="n">
        <v>31</v>
      </c>
      <c r="B14" s="31" t="n">
        <v>32994</v>
      </c>
      <c r="C14" s="1" t="n">
        <v>2167800</v>
      </c>
      <c r="D14" s="29" t="s">
        <v>41</v>
      </c>
      <c r="E14" s="33" t="n">
        <f aca="false">IF(D14="totale",(C14/(A14*24))/F14,IF(D14="marché libre",(C14/(A14*24))/G14,"spécifier histo"))</f>
        <v>0.984361377506539</v>
      </c>
      <c r="F14" s="9" t="n">
        <f aca="false">G14+H14</f>
        <v>2960</v>
      </c>
      <c r="G14" s="9" t="n">
        <v>2960</v>
      </c>
      <c r="H14" s="9" t="n">
        <f aca="false">0</f>
        <v>0</v>
      </c>
      <c r="I14" s="9"/>
      <c r="J14" s="30"/>
    </row>
    <row r="15" customFormat="false" ht="24.95" hidden="false" customHeight="true" outlineLevel="0" collapsed="false">
      <c r="A15" s="0" t="n">
        <v>30</v>
      </c>
      <c r="B15" s="34" t="n">
        <v>33025</v>
      </c>
      <c r="C15" s="1" t="n">
        <v>2185200</v>
      </c>
      <c r="D15" s="29" t="s">
        <v>41</v>
      </c>
      <c r="E15" s="33" t="n">
        <f aca="false">IF(D15="totale",(C15/(A15*24))/F15,IF(D15="marché libre",(C15/(A15*24))/G15,"spécifier histo"))</f>
        <v>1.02533783783784</v>
      </c>
      <c r="F15" s="9" t="n">
        <f aca="false">G15+H15</f>
        <v>2960</v>
      </c>
      <c r="G15" s="9" t="n">
        <v>2960</v>
      </c>
      <c r="H15" s="9" t="n">
        <f aca="false">0</f>
        <v>0</v>
      </c>
      <c r="I15" s="9"/>
      <c r="J15" s="30"/>
    </row>
    <row r="16" customFormat="false" ht="24.95" hidden="false" customHeight="true" outlineLevel="0" collapsed="false">
      <c r="A16" s="0" t="n">
        <v>31</v>
      </c>
      <c r="B16" s="31" t="n">
        <v>33055</v>
      </c>
      <c r="C16" s="1" t="n">
        <v>1864800</v>
      </c>
      <c r="D16" s="29" t="s">
        <v>41</v>
      </c>
      <c r="E16" s="33" t="n">
        <f aca="false">IF(D16="totale",(C16/(A16*24))/F16,IF(D16="marché libre",(C16/(A16*24))/G16,"spécifier histo"))</f>
        <v>0.846774193548387</v>
      </c>
      <c r="F16" s="9" t="n">
        <f aca="false">G16+H16</f>
        <v>2960</v>
      </c>
      <c r="G16" s="9" t="n">
        <v>2960</v>
      </c>
      <c r="H16" s="9" t="n">
        <f aca="false">0</f>
        <v>0</v>
      </c>
      <c r="I16" s="9"/>
      <c r="J16" s="30"/>
    </row>
    <row r="17" customFormat="false" ht="24.95" hidden="false" customHeight="true" outlineLevel="0" collapsed="false">
      <c r="A17" s="0" t="n">
        <v>31</v>
      </c>
      <c r="B17" s="34" t="n">
        <v>33086</v>
      </c>
      <c r="C17" s="1" t="n">
        <v>1114200</v>
      </c>
      <c r="D17" s="29" t="s">
        <v>41</v>
      </c>
      <c r="E17" s="33" t="n">
        <f aca="false">IF(D17="totale",(C17/(A17*24))/F17,IF(D17="marché libre",(C17/(A17*24))/G17,"spécifier histo"))</f>
        <v>0.505939407149085</v>
      </c>
      <c r="F17" s="9" t="n">
        <f aca="false">G17+H17</f>
        <v>2960</v>
      </c>
      <c r="G17" s="9" t="n">
        <v>2960</v>
      </c>
      <c r="H17" s="9" t="n">
        <f aca="false">0</f>
        <v>0</v>
      </c>
      <c r="I17" s="9"/>
      <c r="J17" s="30"/>
    </row>
    <row r="18" customFormat="false" ht="24.95" hidden="false" customHeight="true" outlineLevel="0" collapsed="false">
      <c r="A18" s="0" t="n">
        <v>30</v>
      </c>
      <c r="B18" s="31" t="n">
        <v>33117</v>
      </c>
      <c r="C18" s="1" t="n">
        <v>919200</v>
      </c>
      <c r="D18" s="29" t="s">
        <v>41</v>
      </c>
      <c r="E18" s="33" t="n">
        <f aca="false">IF(D18="totale",(C18/(A18*24))/F18,IF(D18="marché libre",(C18/(A18*24))/G18,"spécifier histo"))</f>
        <v>0.431306306306306</v>
      </c>
      <c r="F18" s="9" t="n">
        <f aca="false">G18+H18</f>
        <v>2960</v>
      </c>
      <c r="G18" s="9" t="n">
        <v>2960</v>
      </c>
      <c r="H18" s="9" t="n">
        <f aca="false">0</f>
        <v>0</v>
      </c>
      <c r="I18" s="9"/>
      <c r="J18" s="30"/>
    </row>
    <row r="19" customFormat="false" ht="24.95" hidden="false" customHeight="true" outlineLevel="0" collapsed="false">
      <c r="A19" s="0" t="n">
        <v>31</v>
      </c>
      <c r="B19" s="34" t="n">
        <v>33147</v>
      </c>
      <c r="C19" s="1" t="n">
        <v>1378800</v>
      </c>
      <c r="D19" s="29" t="s">
        <v>41</v>
      </c>
      <c r="E19" s="33" t="n">
        <f aca="false">IF(D19="totale",(C19/(A19*24))/F19,IF(D19="marché libre",(C19/(A19*24))/G19,"spécifier histo"))</f>
        <v>0.626089799476896</v>
      </c>
      <c r="F19" s="9" t="n">
        <f aca="false">G19+H19</f>
        <v>2960</v>
      </c>
      <c r="G19" s="9" t="n">
        <v>2960</v>
      </c>
      <c r="H19" s="9" t="n">
        <f aca="false">0</f>
        <v>0</v>
      </c>
      <c r="I19" s="9"/>
      <c r="J19" s="30"/>
    </row>
    <row r="20" customFormat="false" ht="24.95" hidden="false" customHeight="true" outlineLevel="0" collapsed="false">
      <c r="A20" s="0" t="n">
        <v>30</v>
      </c>
      <c r="B20" s="31" t="n">
        <v>33178</v>
      </c>
      <c r="C20" s="1" t="n">
        <v>1545000</v>
      </c>
      <c r="D20" s="29" t="s">
        <v>41</v>
      </c>
      <c r="E20" s="33" t="n">
        <f aca="false">IF(D20="totale",(C20/(A20*24))/F20,IF(D20="marché libre",(C20/(A20*24))/G20,"spécifier histo"))</f>
        <v>0.724943693693694</v>
      </c>
      <c r="F20" s="9" t="n">
        <f aca="false">G20+H20</f>
        <v>2960</v>
      </c>
      <c r="G20" s="9" t="n">
        <v>2960</v>
      </c>
      <c r="H20" s="9" t="n">
        <f aca="false">0</f>
        <v>0</v>
      </c>
      <c r="I20" s="9"/>
      <c r="J20" s="30"/>
    </row>
    <row r="21" customFormat="false" ht="24.95" hidden="false" customHeight="true" outlineLevel="0" collapsed="false">
      <c r="A21" s="0" t="n">
        <v>31</v>
      </c>
      <c r="B21" s="34" t="n">
        <v>33208</v>
      </c>
      <c r="C21" s="1" t="n">
        <v>694800</v>
      </c>
      <c r="D21" s="29" t="s">
        <v>41</v>
      </c>
      <c r="E21" s="33" t="n">
        <f aca="false">IF(D21="totale",(C21/(A21*24))/F21,IF(D21="marché libre",(C21/(A21*24))/G21,"spécifier histo"))</f>
        <v>0.315496948561465</v>
      </c>
      <c r="F21" s="9" t="n">
        <f aca="false">G21+H21</f>
        <v>2960</v>
      </c>
      <c r="G21" s="9" t="n">
        <v>2960</v>
      </c>
      <c r="H21" s="9" t="n">
        <f aca="false">0</f>
        <v>0</v>
      </c>
      <c r="I21" s="9"/>
      <c r="J21" s="30"/>
    </row>
    <row r="22" customFormat="false" ht="24.95" hidden="false" customHeight="true" outlineLevel="0" collapsed="false">
      <c r="A22" s="0" t="n">
        <v>31</v>
      </c>
      <c r="B22" s="31" t="n">
        <v>33239</v>
      </c>
      <c r="C22" s="1" t="n">
        <v>850800</v>
      </c>
      <c r="D22" s="29" t="s">
        <v>41</v>
      </c>
      <c r="E22" s="33" t="n">
        <f aca="false">IF(D22="totale",(C22/(A22*24))/F22,IF(D22="marché libre",(C22/(A22*24))/G22,"spécifier histo"))</f>
        <v>0.386333914559721</v>
      </c>
      <c r="F22" s="9" t="n">
        <f aca="false">G22+H22</f>
        <v>2960</v>
      </c>
      <c r="G22" s="9" t="n">
        <v>2960</v>
      </c>
      <c r="H22" s="9" t="n">
        <f aca="false">0</f>
        <v>0</v>
      </c>
      <c r="I22" s="9"/>
      <c r="J22" s="30"/>
    </row>
    <row r="23" customFormat="false" ht="24.95" hidden="false" customHeight="true" outlineLevel="0" collapsed="false">
      <c r="A23" s="0" t="n">
        <v>28</v>
      </c>
      <c r="B23" s="34" t="n">
        <v>33270</v>
      </c>
      <c r="C23" s="1" t="n">
        <v>498000</v>
      </c>
      <c r="D23" s="29" t="s">
        <v>41</v>
      </c>
      <c r="E23" s="33" t="n">
        <f aca="false">IF(D23="totale",(C23/(A23*24))/F23,IF(D23="marché libre",(C23/(A23*24))/G23,"spécifier histo"))</f>
        <v>0.250361969111969</v>
      </c>
      <c r="F23" s="9" t="n">
        <f aca="false">G23+H23</f>
        <v>2960</v>
      </c>
      <c r="G23" s="9" t="n">
        <v>2960</v>
      </c>
      <c r="H23" s="9" t="n">
        <f aca="false">0</f>
        <v>0</v>
      </c>
      <c r="I23" s="9"/>
      <c r="J23" s="30"/>
    </row>
    <row r="24" customFormat="false" ht="24.95" hidden="false" customHeight="true" outlineLevel="0" collapsed="false">
      <c r="A24" s="0" t="n">
        <v>31</v>
      </c>
      <c r="B24" s="31" t="n">
        <v>33298</v>
      </c>
      <c r="C24" s="1" t="n">
        <v>1809000</v>
      </c>
      <c r="D24" s="29" t="s">
        <v>41</v>
      </c>
      <c r="E24" s="33" t="n">
        <f aca="false">IF(D24="totale",(C24/(A24*24))/F24,IF(D24="marché libre",(C24/(A24*24))/G24,"spécifier histo"))</f>
        <v>0.821436355710549</v>
      </c>
      <c r="F24" s="9" t="n">
        <f aca="false">G24+H24</f>
        <v>2960</v>
      </c>
      <c r="G24" s="9" t="n">
        <v>2960</v>
      </c>
      <c r="H24" s="9" t="n">
        <f aca="false">0</f>
        <v>0</v>
      </c>
      <c r="I24" s="9"/>
      <c r="J24" s="30"/>
    </row>
    <row r="25" customFormat="false" ht="24.95" hidden="false" customHeight="true" outlineLevel="0" collapsed="false">
      <c r="A25" s="0" t="n">
        <v>30</v>
      </c>
      <c r="B25" s="34" t="n">
        <v>33329</v>
      </c>
      <c r="C25" s="1" t="n">
        <v>1449000</v>
      </c>
      <c r="D25" s="29" t="s">
        <v>41</v>
      </c>
      <c r="E25" s="33" t="n">
        <f aca="false">IF(D25="totale",(C25/(A25*24))/F25,IF(D25="marché libre",(C25/(A25*24))/G25,"spécifier histo"))</f>
        <v>0.679898648648649</v>
      </c>
      <c r="F25" s="9" t="n">
        <f aca="false">G25+H25</f>
        <v>2960</v>
      </c>
      <c r="G25" s="9" t="n">
        <v>2960</v>
      </c>
      <c r="H25" s="9" t="n">
        <f aca="false">0</f>
        <v>0</v>
      </c>
      <c r="I25" s="9"/>
      <c r="J25" s="30"/>
    </row>
    <row r="26" customFormat="false" ht="24.95" hidden="false" customHeight="true" outlineLevel="0" collapsed="false">
      <c r="A26" s="0" t="n">
        <v>31</v>
      </c>
      <c r="B26" s="31" t="n">
        <v>33359</v>
      </c>
      <c r="C26" s="1" t="n">
        <v>1878000</v>
      </c>
      <c r="D26" s="29" t="s">
        <v>41</v>
      </c>
      <c r="E26" s="33" t="n">
        <f aca="false">IF(D26="totale",(C26/(A26*24))/F26,IF(D26="marché libre",(C26/(A26*24))/G26,"spécifier histo"))</f>
        <v>0.852768090671316</v>
      </c>
      <c r="F26" s="9" t="n">
        <f aca="false">G26+H26</f>
        <v>2960</v>
      </c>
      <c r="G26" s="9" t="n">
        <v>2960</v>
      </c>
      <c r="H26" s="9" t="n">
        <f aca="false">0</f>
        <v>0</v>
      </c>
      <c r="I26" s="9"/>
      <c r="J26" s="30"/>
    </row>
    <row r="27" customFormat="false" ht="24.95" hidden="false" customHeight="true" outlineLevel="0" collapsed="false">
      <c r="A27" s="0" t="n">
        <v>30</v>
      </c>
      <c r="B27" s="34" t="n">
        <v>33390</v>
      </c>
      <c r="C27" s="1" t="n">
        <v>2217000</v>
      </c>
      <c r="D27" s="29" t="s">
        <v>41</v>
      </c>
      <c r="E27" s="33" t="n">
        <f aca="false">IF(D27="totale",(C27/(A27*24))/F27,IF(D27="marché libre",(C27/(A27*24))/G27,"spécifier histo"))</f>
        <v>1.04025900900901</v>
      </c>
      <c r="F27" s="9" t="n">
        <f aca="false">G27+H27</f>
        <v>2960</v>
      </c>
      <c r="G27" s="9" t="n">
        <v>2960</v>
      </c>
      <c r="H27" s="9" t="n">
        <f aca="false">0</f>
        <v>0</v>
      </c>
      <c r="I27" s="9"/>
      <c r="J27" s="30"/>
    </row>
    <row r="28" customFormat="false" ht="24.95" hidden="false" customHeight="true" outlineLevel="0" collapsed="false">
      <c r="A28" s="0" t="n">
        <v>31</v>
      </c>
      <c r="B28" s="31" t="n">
        <v>33420</v>
      </c>
      <c r="C28" s="1" t="n">
        <v>1855200</v>
      </c>
      <c r="D28" s="29" t="s">
        <v>41</v>
      </c>
      <c r="E28" s="33" t="n">
        <f aca="false">IF(D28="totale",(C28/(A28*24))/F28,IF(D28="marché libre",(C28/(A28*24))/G28,"spécifier histo"))</f>
        <v>0.842414995640802</v>
      </c>
      <c r="F28" s="9" t="n">
        <f aca="false">G28+H28</f>
        <v>2960</v>
      </c>
      <c r="G28" s="9" t="n">
        <v>2960</v>
      </c>
      <c r="H28" s="9" t="n">
        <f aca="false">0</f>
        <v>0</v>
      </c>
      <c r="I28" s="9"/>
      <c r="J28" s="30"/>
    </row>
    <row r="29" customFormat="false" ht="24.95" hidden="false" customHeight="true" outlineLevel="0" collapsed="false">
      <c r="A29" s="0" t="n">
        <v>31</v>
      </c>
      <c r="B29" s="34" t="n">
        <v>33451</v>
      </c>
      <c r="C29" s="1" t="n">
        <v>986400</v>
      </c>
      <c r="D29" s="29" t="s">
        <v>41</v>
      </c>
      <c r="E29" s="33" t="n">
        <f aca="false">IF(D29="totale",(C29/(A29*24))/F29,IF(D29="marché libre",(C29/(A29*24))/G29,"spécifier histo"))</f>
        <v>0.447907585004359</v>
      </c>
      <c r="F29" s="9" t="n">
        <f aca="false">G29+H29</f>
        <v>2960</v>
      </c>
      <c r="G29" s="9" t="n">
        <v>2960</v>
      </c>
      <c r="H29" s="9" t="n">
        <f aca="false">0</f>
        <v>0</v>
      </c>
      <c r="I29" s="9"/>
      <c r="J29" s="30"/>
    </row>
    <row r="30" customFormat="false" ht="24.95" hidden="false" customHeight="true" outlineLevel="0" collapsed="false">
      <c r="A30" s="0" t="n">
        <v>30</v>
      </c>
      <c r="B30" s="31" t="n">
        <v>33482</v>
      </c>
      <c r="C30" s="1" t="n">
        <v>1149600</v>
      </c>
      <c r="D30" s="29" t="s">
        <v>41</v>
      </c>
      <c r="E30" s="33" t="n">
        <f aca="false">IF(D30="totale",(C30/(A30*24))/F30,IF(D30="marché libre",(C30/(A30*24))/G30,"spécifier histo"))</f>
        <v>0.539414414414414</v>
      </c>
      <c r="F30" s="9" t="n">
        <f aca="false">G30+H30</f>
        <v>2960</v>
      </c>
      <c r="G30" s="9" t="n">
        <v>2960</v>
      </c>
      <c r="H30" s="9" t="n">
        <f aca="false">0</f>
        <v>0</v>
      </c>
      <c r="I30" s="9"/>
      <c r="J30" s="30"/>
    </row>
    <row r="31" customFormat="false" ht="24.95" hidden="false" customHeight="true" outlineLevel="0" collapsed="false">
      <c r="A31" s="0" t="n">
        <v>31</v>
      </c>
      <c r="B31" s="34" t="n">
        <v>33512</v>
      </c>
      <c r="C31" s="1" t="n">
        <v>1141800</v>
      </c>
      <c r="D31" s="29" t="s">
        <v>41</v>
      </c>
      <c r="E31" s="33" t="n">
        <f aca="false">IF(D31="totale",(C31/(A31*24))/F31,IF(D31="marché libre",(C31/(A31*24))/G31,"spécifier histo"))</f>
        <v>0.518472101133392</v>
      </c>
      <c r="F31" s="9" t="n">
        <f aca="false">G31+H31</f>
        <v>2960</v>
      </c>
      <c r="G31" s="9" t="n">
        <v>2960</v>
      </c>
      <c r="H31" s="9" t="n">
        <f aca="false">0</f>
        <v>0</v>
      </c>
      <c r="I31" s="9"/>
      <c r="J31" s="30"/>
    </row>
    <row r="32" customFormat="false" ht="24.95" hidden="false" customHeight="true" outlineLevel="0" collapsed="false">
      <c r="A32" s="0" t="n">
        <v>30</v>
      </c>
      <c r="B32" s="31" t="n">
        <v>33543</v>
      </c>
      <c r="C32" s="1" t="n">
        <v>1206000</v>
      </c>
      <c r="D32" s="29" t="s">
        <v>41</v>
      </c>
      <c r="E32" s="33" t="n">
        <f aca="false">IF(D32="totale",(C32/(A32*24))/F32,IF(D32="marché libre",(C32/(A32*24))/G32,"spécifier histo"))</f>
        <v>0.565878378378378</v>
      </c>
      <c r="F32" s="9" t="n">
        <f aca="false">G32+H32</f>
        <v>2960</v>
      </c>
      <c r="G32" s="9" t="n">
        <v>2960</v>
      </c>
      <c r="H32" s="9" t="n">
        <f aca="false">0</f>
        <v>0</v>
      </c>
      <c r="I32" s="9"/>
      <c r="J32" s="30"/>
    </row>
    <row r="33" customFormat="false" ht="24.95" hidden="false" customHeight="true" outlineLevel="0" collapsed="false">
      <c r="A33" s="0" t="n">
        <v>31</v>
      </c>
      <c r="B33" s="34" t="n">
        <v>33573</v>
      </c>
      <c r="C33" s="1" t="n">
        <v>938400</v>
      </c>
      <c r="D33" s="29" t="s">
        <v>41</v>
      </c>
      <c r="E33" s="33" t="n">
        <f aca="false">IF(D33="totale",(C33/(A33*24))/F33,IF(D33="marché libre",(C33/(A33*24))/G33,"spécifier histo"))</f>
        <v>0.426111595466434</v>
      </c>
      <c r="F33" s="9" t="n">
        <f aca="false">G33+H33</f>
        <v>2960</v>
      </c>
      <c r="G33" s="9" t="n">
        <v>2960</v>
      </c>
      <c r="H33" s="9" t="n">
        <f aca="false">0</f>
        <v>0</v>
      </c>
      <c r="I33" s="9"/>
      <c r="J33" s="30"/>
    </row>
    <row r="34" customFormat="false" ht="24.95" hidden="false" customHeight="true" outlineLevel="0" collapsed="false">
      <c r="A34" s="0" t="n">
        <v>31</v>
      </c>
      <c r="B34" s="31" t="n">
        <v>33604</v>
      </c>
      <c r="C34" s="1" t="n">
        <v>546600</v>
      </c>
      <c r="D34" s="29" t="s">
        <v>41</v>
      </c>
      <c r="E34" s="33" t="n">
        <f aca="false">IF(D34="totale",(C34/(A34*24))/F34,IF(D34="marché libre",(C34/(A34*24))/G34,"spécifier histo"))</f>
        <v>0.248201830863121</v>
      </c>
      <c r="F34" s="9" t="n">
        <f aca="false">G34+H34</f>
        <v>2960</v>
      </c>
      <c r="G34" s="9" t="n">
        <v>2960</v>
      </c>
      <c r="H34" s="9" t="n">
        <f aca="false">0</f>
        <v>0</v>
      </c>
      <c r="I34" s="9"/>
      <c r="J34" s="30"/>
    </row>
    <row r="35" customFormat="false" ht="24.95" hidden="false" customHeight="true" outlineLevel="0" collapsed="false">
      <c r="A35" s="0" t="n">
        <v>28</v>
      </c>
      <c r="B35" s="34" t="n">
        <v>33635</v>
      </c>
      <c r="C35" s="1" t="n">
        <v>372000</v>
      </c>
      <c r="D35" s="29" t="s">
        <v>41</v>
      </c>
      <c r="E35" s="33" t="n">
        <f aca="false">IF(D35="totale",(C35/(A35*24))/F35,IF(D35="marché libre",(C35/(A35*24))/G35,"spécifier histo"))</f>
        <v>0.187017374517375</v>
      </c>
      <c r="F35" s="9" t="n">
        <f aca="false">G35+H35</f>
        <v>2960</v>
      </c>
      <c r="G35" s="9" t="n">
        <v>2960</v>
      </c>
      <c r="H35" s="9" t="n">
        <f aca="false">0</f>
        <v>0</v>
      </c>
      <c r="I35" s="9"/>
      <c r="J35" s="30"/>
    </row>
    <row r="36" customFormat="false" ht="24.95" hidden="false" customHeight="true" outlineLevel="0" collapsed="false">
      <c r="A36" s="0" t="n">
        <v>31</v>
      </c>
      <c r="B36" s="31" t="n">
        <v>33664</v>
      </c>
      <c r="C36" s="1" t="n">
        <v>462000</v>
      </c>
      <c r="D36" s="29" t="s">
        <v>41</v>
      </c>
      <c r="E36" s="33" t="n">
        <f aca="false">IF(D36="totale",(C36/(A36*24))/F36,IF(D36="marché libre",(C36/(A36*24))/G36,"spécifier histo"))</f>
        <v>0.209786399302528</v>
      </c>
      <c r="F36" s="9" t="n">
        <f aca="false">G36+H36</f>
        <v>2960</v>
      </c>
      <c r="G36" s="9" t="n">
        <v>2960</v>
      </c>
      <c r="H36" s="9" t="n">
        <f aca="false">0</f>
        <v>0</v>
      </c>
      <c r="I36" s="9"/>
      <c r="J36" s="30"/>
    </row>
    <row r="37" customFormat="false" ht="24.95" hidden="false" customHeight="true" outlineLevel="0" collapsed="false">
      <c r="A37" s="0" t="n">
        <v>30</v>
      </c>
      <c r="B37" s="34" t="n">
        <v>33695</v>
      </c>
      <c r="C37" s="1" t="n">
        <v>1525200</v>
      </c>
      <c r="D37" s="29" t="s">
        <v>41</v>
      </c>
      <c r="E37" s="33" t="n">
        <f aca="false">IF(D37="totale",(C37/(A37*24))/F37,IF(D37="marché libre",(C37/(A37*24))/G37,"spécifier histo"))</f>
        <v>0.715653153153153</v>
      </c>
      <c r="F37" s="9" t="n">
        <f aca="false">G37+H37</f>
        <v>2960</v>
      </c>
      <c r="G37" s="9" t="n">
        <v>2960</v>
      </c>
      <c r="H37" s="9" t="n">
        <f aca="false">0</f>
        <v>0</v>
      </c>
      <c r="I37" s="9"/>
      <c r="J37" s="30"/>
    </row>
    <row r="38" customFormat="false" ht="24.95" hidden="false" customHeight="true" outlineLevel="0" collapsed="false">
      <c r="A38" s="0" t="n">
        <v>31</v>
      </c>
      <c r="B38" s="31" t="n">
        <v>33725</v>
      </c>
      <c r="C38" s="1" t="n">
        <v>2119200</v>
      </c>
      <c r="D38" s="29" t="s">
        <v>41</v>
      </c>
      <c r="E38" s="33" t="n">
        <f aca="false">IF(D38="totale",(C38/(A38*24))/F38,IF(D38="marché libre",(C38/(A38*24))/G38,"spécifier histo"))</f>
        <v>0.96229293809939</v>
      </c>
      <c r="F38" s="9" t="n">
        <f aca="false">G38+H38</f>
        <v>2960</v>
      </c>
      <c r="G38" s="9" t="n">
        <v>2960</v>
      </c>
      <c r="H38" s="9" t="n">
        <f aca="false">0</f>
        <v>0</v>
      </c>
      <c r="I38" s="9"/>
      <c r="J38" s="30"/>
    </row>
    <row r="39" customFormat="false" ht="24.95" hidden="false" customHeight="true" outlineLevel="0" collapsed="false">
      <c r="A39" s="0" t="n">
        <v>30</v>
      </c>
      <c r="B39" s="34" t="n">
        <v>33756</v>
      </c>
      <c r="C39" s="1" t="n">
        <v>2212800</v>
      </c>
      <c r="D39" s="29" t="s">
        <v>41</v>
      </c>
      <c r="E39" s="33" t="n">
        <f aca="false">IF(D39="totale",(C39/(A39*24))/F39,IF(D39="marché libre",(C39/(A39*24))/G39,"spécifier histo"))</f>
        <v>1.03828828828829</v>
      </c>
      <c r="F39" s="9" t="n">
        <f aca="false">G39+H39</f>
        <v>2960</v>
      </c>
      <c r="G39" s="9" t="n">
        <v>2960</v>
      </c>
      <c r="H39" s="9" t="n">
        <f aca="false">0</f>
        <v>0</v>
      </c>
      <c r="I39" s="9"/>
      <c r="J39" s="30"/>
    </row>
    <row r="40" customFormat="false" ht="24.95" hidden="false" customHeight="true" outlineLevel="0" collapsed="false">
      <c r="A40" s="0" t="n">
        <v>31</v>
      </c>
      <c r="B40" s="31" t="n">
        <v>33786</v>
      </c>
      <c r="C40" s="1" t="n">
        <v>2071200</v>
      </c>
      <c r="D40" s="29" t="s">
        <v>41</v>
      </c>
      <c r="E40" s="33" t="n">
        <f aca="false">IF(D40="totale",(C40/(A40*24))/F40,IF(D40="marché libre",(C40/(A40*24))/G40,"spécifier histo"))</f>
        <v>0.940496948561465</v>
      </c>
      <c r="F40" s="9" t="n">
        <f aca="false">G40+H40</f>
        <v>2960</v>
      </c>
      <c r="G40" s="9" t="n">
        <v>2960</v>
      </c>
      <c r="H40" s="9" t="n">
        <f aca="false">0</f>
        <v>0</v>
      </c>
      <c r="I40" s="9"/>
      <c r="J40" s="30"/>
    </row>
    <row r="41" customFormat="false" ht="24.95" hidden="false" customHeight="true" outlineLevel="0" collapsed="false">
      <c r="A41" s="0" t="n">
        <v>31</v>
      </c>
      <c r="B41" s="34" t="n">
        <v>33817</v>
      </c>
      <c r="C41" s="1" t="n">
        <v>1811400</v>
      </c>
      <c r="D41" s="29" t="s">
        <v>41</v>
      </c>
      <c r="E41" s="33" t="n">
        <f aca="false">IF(D41="totale",(C41/(A41*24))/F41,IF(D41="marché libre",(C41/(A41*24))/G41,"spécifier histo"))</f>
        <v>0.822526155187445</v>
      </c>
      <c r="F41" s="9" t="n">
        <f aca="false">G41+H41</f>
        <v>2960</v>
      </c>
      <c r="G41" s="9" t="n">
        <v>2960</v>
      </c>
      <c r="H41" s="9" t="n">
        <f aca="false">0</f>
        <v>0</v>
      </c>
      <c r="I41" s="9"/>
      <c r="J41" s="30"/>
    </row>
    <row r="42" customFormat="false" ht="24.95" hidden="false" customHeight="true" outlineLevel="0" collapsed="false">
      <c r="A42" s="0" t="n">
        <v>30</v>
      </c>
      <c r="B42" s="31" t="n">
        <v>33848</v>
      </c>
      <c r="C42" s="1" t="n">
        <v>1447200</v>
      </c>
      <c r="D42" s="29" t="s">
        <v>41</v>
      </c>
      <c r="E42" s="33" t="n">
        <f aca="false">IF(D42="totale",(C42/(A42*24))/F42,IF(D42="marché libre",(C42/(A42*24))/G42,"spécifier histo"))</f>
        <v>0.679054054054054</v>
      </c>
      <c r="F42" s="9" t="n">
        <f aca="false">G42+H42</f>
        <v>2960</v>
      </c>
      <c r="G42" s="9" t="n">
        <v>2960</v>
      </c>
      <c r="H42" s="9" t="n">
        <f aca="false">0</f>
        <v>0</v>
      </c>
      <c r="I42" s="9"/>
      <c r="J42" s="30"/>
    </row>
    <row r="43" customFormat="false" ht="24.95" hidden="false" customHeight="true" outlineLevel="0" collapsed="false">
      <c r="A43" s="0" t="n">
        <v>31</v>
      </c>
      <c r="B43" s="34" t="n">
        <v>33878</v>
      </c>
      <c r="C43" s="1" t="n">
        <v>1962000</v>
      </c>
      <c r="D43" s="29" t="s">
        <v>41</v>
      </c>
      <c r="E43" s="33" t="n">
        <f aca="false">IF(D43="totale",(C43/(A43*24))/F43,IF(D43="marché libre",(C43/(A43*24))/G43,"spécifier histo"))</f>
        <v>0.890911072362685</v>
      </c>
      <c r="F43" s="9" t="n">
        <f aca="false">G43+H43</f>
        <v>2960</v>
      </c>
      <c r="G43" s="9" t="n">
        <v>2960</v>
      </c>
      <c r="H43" s="9" t="n">
        <f aca="false">0</f>
        <v>0</v>
      </c>
      <c r="I43" s="9"/>
      <c r="J43" s="30"/>
    </row>
    <row r="44" customFormat="false" ht="24.95" hidden="false" customHeight="true" outlineLevel="0" collapsed="false">
      <c r="A44" s="0" t="n">
        <v>30</v>
      </c>
      <c r="B44" s="31" t="n">
        <v>33909</v>
      </c>
      <c r="C44" s="1" t="n">
        <v>2169000</v>
      </c>
      <c r="D44" s="29" t="s">
        <v>41</v>
      </c>
      <c r="E44" s="33" t="n">
        <f aca="false">IF(D44="totale",(C44/(A44*24))/F44,IF(D44="marché libre",(C44/(A44*24))/G44,"spécifier histo"))</f>
        <v>1.01773648648649</v>
      </c>
      <c r="F44" s="9" t="n">
        <f aca="false">G44+H44</f>
        <v>2960</v>
      </c>
      <c r="G44" s="9" t="n">
        <v>2960</v>
      </c>
      <c r="H44" s="9" t="n">
        <f aca="false">0</f>
        <v>0</v>
      </c>
      <c r="I44" s="9"/>
      <c r="J44" s="30"/>
    </row>
    <row r="45" customFormat="false" ht="24.95" hidden="false" customHeight="true" outlineLevel="0" collapsed="false">
      <c r="A45" s="0" t="n">
        <v>31</v>
      </c>
      <c r="B45" s="34" t="n">
        <v>33939</v>
      </c>
      <c r="C45" s="1" t="n">
        <v>1461600</v>
      </c>
      <c r="D45" s="29" t="s">
        <v>41</v>
      </c>
      <c r="E45" s="33" t="n">
        <f aca="false">IF(D45="totale",(C45/(A45*24))/F45,IF(D45="marché libre",(C45/(A45*24))/G45,"spécifier histo"))</f>
        <v>0.663687881429817</v>
      </c>
      <c r="F45" s="9" t="n">
        <f aca="false">G45+H45</f>
        <v>2960</v>
      </c>
      <c r="G45" s="9" t="n">
        <v>2960</v>
      </c>
      <c r="H45" s="9" t="n">
        <f aca="false">0</f>
        <v>0</v>
      </c>
      <c r="I45" s="9"/>
      <c r="J45" s="30"/>
    </row>
    <row r="46" customFormat="false" ht="24.95" hidden="false" customHeight="true" outlineLevel="0" collapsed="false">
      <c r="A46" s="0" t="n">
        <v>31</v>
      </c>
      <c r="B46" s="31" t="n">
        <v>33970</v>
      </c>
      <c r="C46" s="1" t="n">
        <v>687600</v>
      </c>
      <c r="D46" s="29" t="s">
        <v>41</v>
      </c>
      <c r="E46" s="33" t="n">
        <f aca="false">IF(D46="totale",(C46/(A46*24))/F46,IF(D46="marché libre",(C46/(A46*24))/G46,"spécifier histo"))</f>
        <v>0.312227550130776</v>
      </c>
      <c r="F46" s="9" t="n">
        <f aca="false">G46+H46</f>
        <v>2960</v>
      </c>
      <c r="G46" s="9" t="n">
        <v>2960</v>
      </c>
      <c r="H46" s="9" t="n">
        <f aca="false">0</f>
        <v>0</v>
      </c>
      <c r="I46" s="9"/>
      <c r="J46" s="30"/>
    </row>
    <row r="47" customFormat="false" ht="24.95" hidden="false" customHeight="true" outlineLevel="0" collapsed="false">
      <c r="A47" s="0" t="n">
        <v>28</v>
      </c>
      <c r="B47" s="34" t="n">
        <v>34001</v>
      </c>
      <c r="C47" s="1" t="n">
        <v>352200</v>
      </c>
      <c r="D47" s="29" t="s">
        <v>41</v>
      </c>
      <c r="E47" s="33" t="n">
        <f aca="false">IF(D47="totale",(C47/(A47*24))/F47,IF(D47="marché libre",(C47/(A47*24))/G47,"spécifier histo"))</f>
        <v>0.177063223938224</v>
      </c>
      <c r="F47" s="9" t="n">
        <f aca="false">G47+H47</f>
        <v>2960</v>
      </c>
      <c r="G47" s="9" t="n">
        <v>2960</v>
      </c>
      <c r="H47" s="9" t="n">
        <f aca="false">0</f>
        <v>0</v>
      </c>
      <c r="I47" s="9"/>
      <c r="J47" s="30"/>
    </row>
    <row r="48" customFormat="false" ht="24.95" hidden="false" customHeight="true" outlineLevel="0" collapsed="false">
      <c r="A48" s="0" t="n">
        <v>31</v>
      </c>
      <c r="B48" s="31" t="n">
        <v>34029</v>
      </c>
      <c r="C48" s="1" t="n">
        <v>493800</v>
      </c>
      <c r="D48" s="29" t="s">
        <v>41</v>
      </c>
      <c r="E48" s="33" t="n">
        <f aca="false">IF(D48="totale",(C48/(A48*24))/F48,IF(D48="marché libre",(C48/(A48*24))/G48,"spécifier histo"))</f>
        <v>0.224226242371404</v>
      </c>
      <c r="F48" s="9" t="n">
        <f aca="false">G48+H48</f>
        <v>2960</v>
      </c>
      <c r="G48" s="9" t="n">
        <v>2960</v>
      </c>
      <c r="H48" s="9" t="n">
        <f aca="false">0</f>
        <v>0</v>
      </c>
      <c r="I48" s="9"/>
      <c r="J48" s="30"/>
    </row>
    <row r="49" customFormat="false" ht="24.95" hidden="false" customHeight="true" outlineLevel="0" collapsed="false">
      <c r="A49" s="0" t="n">
        <v>30</v>
      </c>
      <c r="B49" s="34" t="n">
        <v>34060</v>
      </c>
      <c r="C49" s="1" t="n">
        <v>966600</v>
      </c>
      <c r="D49" s="29" t="s">
        <v>41</v>
      </c>
      <c r="E49" s="33" t="n">
        <f aca="false">IF(D49="totale",(C49/(A49*24))/F49,IF(D49="marché libre",(C49/(A49*24))/G49,"spécifier histo"))</f>
        <v>0.453547297297297</v>
      </c>
      <c r="F49" s="9" t="n">
        <f aca="false">G49+H49</f>
        <v>2960</v>
      </c>
      <c r="G49" s="9" t="n">
        <v>2960</v>
      </c>
      <c r="H49" s="9" t="n">
        <f aca="false">0</f>
        <v>0</v>
      </c>
      <c r="I49" s="9"/>
      <c r="J49" s="30"/>
    </row>
    <row r="50" customFormat="false" ht="24.95" hidden="false" customHeight="true" outlineLevel="0" collapsed="false">
      <c r="A50" s="0" t="n">
        <v>31</v>
      </c>
      <c r="B50" s="31" t="n">
        <v>34090</v>
      </c>
      <c r="C50" s="1" t="n">
        <v>2081400</v>
      </c>
      <c r="D50" s="29" t="s">
        <v>41</v>
      </c>
      <c r="E50" s="33" t="n">
        <f aca="false">IF(D50="totale",(C50/(A50*24))/F50,IF(D50="marché libre",(C50/(A50*24))/G50,"spécifier histo"))</f>
        <v>0.945128596338274</v>
      </c>
      <c r="F50" s="9" t="n">
        <f aca="false">G50+H50</f>
        <v>2960</v>
      </c>
      <c r="G50" s="9" t="n">
        <v>2960</v>
      </c>
      <c r="H50" s="9" t="n">
        <f aca="false">0</f>
        <v>0</v>
      </c>
      <c r="I50" s="9"/>
      <c r="J50" s="30"/>
    </row>
    <row r="51" customFormat="false" ht="24.95" hidden="false" customHeight="true" outlineLevel="0" collapsed="false">
      <c r="A51" s="0" t="n">
        <v>30</v>
      </c>
      <c r="B51" s="34" t="n">
        <v>34121</v>
      </c>
      <c r="C51" s="1" t="n">
        <v>2188200</v>
      </c>
      <c r="D51" s="29" t="s">
        <v>41</v>
      </c>
      <c r="E51" s="33" t="n">
        <f aca="false">IF(D51="totale",(C51/(A51*24))/F51,IF(D51="marché libre",(C51/(A51*24))/G51,"spécifier histo"))</f>
        <v>1.0267454954955</v>
      </c>
      <c r="F51" s="9" t="n">
        <f aca="false">G51+H51</f>
        <v>2960</v>
      </c>
      <c r="G51" s="9" t="n">
        <v>2960</v>
      </c>
      <c r="H51" s="9" t="n">
        <f aca="false">0</f>
        <v>0</v>
      </c>
      <c r="I51" s="9"/>
      <c r="J51" s="30"/>
    </row>
    <row r="52" customFormat="false" ht="24.95" hidden="false" customHeight="true" outlineLevel="0" collapsed="false">
      <c r="A52" s="0" t="n">
        <v>31</v>
      </c>
      <c r="B52" s="31" t="n">
        <v>34151</v>
      </c>
      <c r="C52" s="1" t="n">
        <v>1927800</v>
      </c>
      <c r="D52" s="29" t="s">
        <v>41</v>
      </c>
      <c r="E52" s="33" t="n">
        <f aca="false">IF(D52="totale",(C52/(A52*24))/F52,IF(D52="marché libre",(C52/(A52*24))/G52,"spécifier histo"))</f>
        <v>0.875381429816914</v>
      </c>
      <c r="F52" s="9" t="n">
        <f aca="false">G52+H52</f>
        <v>2960</v>
      </c>
      <c r="G52" s="9" t="n">
        <v>2960</v>
      </c>
      <c r="H52" s="9" t="n">
        <f aca="false">0</f>
        <v>0</v>
      </c>
      <c r="I52" s="9"/>
      <c r="J52" s="30"/>
    </row>
    <row r="53" customFormat="false" ht="24.95" hidden="false" customHeight="true" outlineLevel="0" collapsed="false">
      <c r="A53" s="0" t="n">
        <v>31</v>
      </c>
      <c r="B53" s="34" t="n">
        <v>34182</v>
      </c>
      <c r="C53" s="1" t="n">
        <v>1286400</v>
      </c>
      <c r="D53" s="29" t="s">
        <v>41</v>
      </c>
      <c r="E53" s="33" t="n">
        <f aca="false">IF(D53="totale",(C53/(A53*24))/F53,IF(D53="marché libre",(C53/(A53*24))/G53,"spécifier histo"))</f>
        <v>0.584132519616391</v>
      </c>
      <c r="F53" s="9" t="n">
        <f aca="false">G53+H53</f>
        <v>2960</v>
      </c>
      <c r="G53" s="9" t="n">
        <v>2960</v>
      </c>
      <c r="H53" s="9" t="n">
        <f aca="false">0</f>
        <v>0</v>
      </c>
      <c r="I53" s="9"/>
      <c r="J53" s="30"/>
    </row>
    <row r="54" customFormat="false" ht="24.95" hidden="false" customHeight="true" outlineLevel="0" collapsed="false">
      <c r="A54" s="0" t="n">
        <v>30</v>
      </c>
      <c r="B54" s="31" t="n">
        <v>34213</v>
      </c>
      <c r="C54" s="1" t="n">
        <v>1159200</v>
      </c>
      <c r="D54" s="29" t="s">
        <v>41</v>
      </c>
      <c r="E54" s="33" t="n">
        <f aca="false">IF(D54="totale",(C54/(A54*24))/F54,IF(D54="marché libre",(C54/(A54*24))/G54,"spécifier histo"))</f>
        <v>0.543918918918919</v>
      </c>
      <c r="F54" s="9" t="n">
        <f aca="false">G54+H54</f>
        <v>2960</v>
      </c>
      <c r="G54" s="9" t="n">
        <v>2960</v>
      </c>
      <c r="H54" s="9" t="n">
        <f aca="false">0</f>
        <v>0</v>
      </c>
      <c r="I54" s="9"/>
      <c r="J54" s="30"/>
    </row>
    <row r="55" customFormat="false" ht="24.95" hidden="false" customHeight="true" outlineLevel="0" collapsed="false">
      <c r="A55" s="0" t="n">
        <v>31</v>
      </c>
      <c r="B55" s="34" t="n">
        <v>34243</v>
      </c>
      <c r="C55" s="1" t="n">
        <v>1776000</v>
      </c>
      <c r="D55" s="29" t="s">
        <v>41</v>
      </c>
      <c r="E55" s="33" t="n">
        <f aca="false">IF(D55="totale",(C55/(A55*24))/F55,IF(D55="marché libre",(C55/(A55*24))/G55,"spécifier histo"))</f>
        <v>0.806451612903226</v>
      </c>
      <c r="F55" s="9" t="n">
        <f aca="false">G55+H55</f>
        <v>2960</v>
      </c>
      <c r="G55" s="9" t="n">
        <v>2960</v>
      </c>
      <c r="H55" s="9" t="n">
        <f aca="false">0</f>
        <v>0</v>
      </c>
      <c r="I55" s="9"/>
      <c r="J55" s="30"/>
    </row>
    <row r="56" customFormat="false" ht="24.95" hidden="false" customHeight="true" outlineLevel="0" collapsed="false">
      <c r="A56" s="0" t="n">
        <v>30</v>
      </c>
      <c r="B56" s="31" t="n">
        <v>34274</v>
      </c>
      <c r="C56" s="1" t="n">
        <v>1219800</v>
      </c>
      <c r="D56" s="29" t="s">
        <v>41</v>
      </c>
      <c r="E56" s="33" t="n">
        <f aca="false">IF(D56="totale",(C56/(A56*24))/F56,IF(D56="marché libre",(C56/(A56*24))/G56,"spécifier histo"))</f>
        <v>0.572353603603604</v>
      </c>
      <c r="F56" s="9" t="n">
        <f aca="false">G56+H56</f>
        <v>2960</v>
      </c>
      <c r="G56" s="9" t="n">
        <v>2960</v>
      </c>
      <c r="H56" s="9" t="n">
        <f aca="false">0</f>
        <v>0</v>
      </c>
      <c r="I56" s="9"/>
      <c r="J56" s="30"/>
    </row>
    <row r="57" customFormat="false" ht="24.95" hidden="false" customHeight="true" outlineLevel="0" collapsed="false">
      <c r="A57" s="0" t="n">
        <v>31</v>
      </c>
      <c r="B57" s="34" t="n">
        <v>34304</v>
      </c>
      <c r="C57" s="1" t="n">
        <v>715200</v>
      </c>
      <c r="D57" s="29" t="s">
        <v>41</v>
      </c>
      <c r="E57" s="33" t="n">
        <f aca="false">IF(D57="totale",(C57/(A57*24))/F57,IF(D57="marché libre",(C57/(A57*24))/G57,"spécifier histo"))</f>
        <v>0.324760244115083</v>
      </c>
      <c r="F57" s="9" t="n">
        <f aca="false">G57+H57</f>
        <v>2960</v>
      </c>
      <c r="G57" s="9" t="n">
        <v>2960</v>
      </c>
      <c r="H57" s="9" t="n">
        <f aca="false">0</f>
        <v>0</v>
      </c>
      <c r="I57" s="9"/>
      <c r="J57" s="30"/>
    </row>
    <row r="58" customFormat="false" ht="24.95" hidden="false" customHeight="true" outlineLevel="0" collapsed="false">
      <c r="A58" s="0" t="n">
        <v>31</v>
      </c>
      <c r="B58" s="31" t="n">
        <v>34335</v>
      </c>
      <c r="C58" s="1" t="n">
        <v>913200</v>
      </c>
      <c r="D58" s="29" t="s">
        <v>41</v>
      </c>
      <c r="E58" s="33" t="n">
        <f aca="false">IF(D58="totale",(C58/(A58*24))/F58,IF(D58="marché libre",(C58/(A58*24))/G58,"spécifier histo"))</f>
        <v>0.414668700959024</v>
      </c>
      <c r="F58" s="9" t="n">
        <f aca="false">G58+H58</f>
        <v>2960</v>
      </c>
      <c r="G58" s="9" t="n">
        <v>2960</v>
      </c>
      <c r="H58" s="9" t="n">
        <f aca="false">0</f>
        <v>0</v>
      </c>
      <c r="I58" s="9"/>
      <c r="J58" s="30"/>
    </row>
    <row r="59" customFormat="false" ht="24.95" hidden="false" customHeight="true" outlineLevel="0" collapsed="false">
      <c r="A59" s="0" t="n">
        <v>28</v>
      </c>
      <c r="B59" s="34" t="n">
        <v>34366</v>
      </c>
      <c r="C59" s="1" t="n">
        <v>752400</v>
      </c>
      <c r="D59" s="29" t="s">
        <v>41</v>
      </c>
      <c r="E59" s="33" t="n">
        <f aca="false">IF(D59="totale",(C59/(A59*24))/F59,IF(D59="marché libre",(C59/(A59*24))/G59,"spécifier histo"))</f>
        <v>0.378257722007722</v>
      </c>
      <c r="F59" s="9" t="n">
        <f aca="false">G59+H59</f>
        <v>2960</v>
      </c>
      <c r="G59" s="9" t="n">
        <v>2960</v>
      </c>
      <c r="H59" s="9" t="n">
        <f aca="false">0</f>
        <v>0</v>
      </c>
      <c r="I59" s="9"/>
      <c r="J59" s="30"/>
    </row>
    <row r="60" customFormat="false" ht="24.95" hidden="false" customHeight="true" outlineLevel="0" collapsed="false">
      <c r="A60" s="0" t="n">
        <v>31</v>
      </c>
      <c r="B60" s="31" t="n">
        <v>34394</v>
      </c>
      <c r="C60" s="1" t="n">
        <v>1824000</v>
      </c>
      <c r="D60" s="29" t="s">
        <v>41</v>
      </c>
      <c r="E60" s="33" t="n">
        <f aca="false">IF(D60="totale",(C60/(A60*24))/F60,IF(D60="marché libre",(C60/(A60*24))/G60,"spécifier histo"))</f>
        <v>0.828247602441151</v>
      </c>
      <c r="F60" s="9" t="n">
        <f aca="false">G60+H60</f>
        <v>2960</v>
      </c>
      <c r="G60" s="9" t="n">
        <v>2960</v>
      </c>
      <c r="H60" s="9" t="n">
        <f aca="false">0</f>
        <v>0</v>
      </c>
      <c r="I60" s="9"/>
      <c r="J60" s="30"/>
    </row>
    <row r="61" customFormat="false" ht="24.95" hidden="false" customHeight="true" outlineLevel="0" collapsed="false">
      <c r="A61" s="0" t="n">
        <v>30</v>
      </c>
      <c r="B61" s="34" t="n">
        <v>34425</v>
      </c>
      <c r="C61" s="1" t="n">
        <v>1545000</v>
      </c>
      <c r="D61" s="29" t="s">
        <v>41</v>
      </c>
      <c r="E61" s="33" t="n">
        <f aca="false">IF(D61="totale",(C61/(A61*24))/F61,IF(D61="marché libre",(C61/(A61*24))/G61,"spécifier histo"))</f>
        <v>0.724943693693694</v>
      </c>
      <c r="F61" s="9" t="n">
        <f aca="false">G61+H61</f>
        <v>2960</v>
      </c>
      <c r="G61" s="9" t="n">
        <v>2960</v>
      </c>
      <c r="H61" s="9" t="n">
        <f aca="false">0</f>
        <v>0</v>
      </c>
      <c r="I61" s="9"/>
      <c r="J61" s="30"/>
    </row>
    <row r="62" customFormat="false" ht="24.95" hidden="false" customHeight="true" outlineLevel="0" collapsed="false">
      <c r="A62" s="0" t="n">
        <v>31</v>
      </c>
      <c r="B62" s="31" t="n">
        <v>34455</v>
      </c>
      <c r="C62" s="1" t="n">
        <v>2247600</v>
      </c>
      <c r="D62" s="29" t="s">
        <v>41</v>
      </c>
      <c r="E62" s="33" t="n">
        <f aca="false">IF(D62="totale",(C62/(A62*24))/F62,IF(D62="marché libre",(C62/(A62*24))/G62,"spécifier histo"))</f>
        <v>1.02059721011334</v>
      </c>
      <c r="F62" s="9" t="n">
        <f aca="false">G62+H62</f>
        <v>2960</v>
      </c>
      <c r="G62" s="9" t="n">
        <v>2960</v>
      </c>
      <c r="H62" s="9" t="n">
        <f aca="false">0</f>
        <v>0</v>
      </c>
      <c r="I62" s="9"/>
      <c r="J62" s="30"/>
    </row>
    <row r="63" customFormat="false" ht="24.95" hidden="false" customHeight="true" outlineLevel="0" collapsed="false">
      <c r="A63" s="0" t="n">
        <v>30</v>
      </c>
      <c r="B63" s="34" t="n">
        <v>34486</v>
      </c>
      <c r="C63" s="1" t="n">
        <v>2140800</v>
      </c>
      <c r="D63" s="29" t="s">
        <v>41</v>
      </c>
      <c r="E63" s="33" t="n">
        <f aca="false">IF(D63="totale",(C63/(A63*24))/F63,IF(D63="marché libre",(C63/(A63*24))/G63,"spécifier histo"))</f>
        <v>1.0045045045045</v>
      </c>
      <c r="F63" s="9" t="n">
        <f aca="false">G63+H63</f>
        <v>2960</v>
      </c>
      <c r="G63" s="9" t="n">
        <v>2960</v>
      </c>
      <c r="H63" s="9" t="n">
        <f aca="false">0</f>
        <v>0</v>
      </c>
      <c r="I63" s="9"/>
      <c r="J63" s="30"/>
    </row>
    <row r="64" customFormat="false" ht="24.95" hidden="false" customHeight="true" outlineLevel="0" collapsed="false">
      <c r="A64" s="0" t="n">
        <v>31</v>
      </c>
      <c r="B64" s="31" t="n">
        <v>34516</v>
      </c>
      <c r="C64" s="1" t="n">
        <v>2064000</v>
      </c>
      <c r="D64" s="29" t="s">
        <v>41</v>
      </c>
      <c r="E64" s="33" t="n">
        <f aca="false">IF(D64="totale",(C64/(A64*24))/F64,IF(D64="marché libre",(C64/(A64*24))/G64,"spécifier histo"))</f>
        <v>0.937227550130776</v>
      </c>
      <c r="F64" s="9" t="n">
        <f aca="false">G64+H64</f>
        <v>2960</v>
      </c>
      <c r="G64" s="9" t="n">
        <v>2960</v>
      </c>
      <c r="H64" s="9" t="n">
        <f aca="false">0</f>
        <v>0</v>
      </c>
      <c r="I64" s="9"/>
      <c r="J64" s="30"/>
    </row>
    <row r="65" customFormat="false" ht="24.95" hidden="false" customHeight="true" outlineLevel="0" collapsed="false">
      <c r="A65" s="0" t="n">
        <v>31</v>
      </c>
      <c r="B65" s="34" t="n">
        <v>34547</v>
      </c>
      <c r="C65" s="1" t="n">
        <v>1206000</v>
      </c>
      <c r="D65" s="29" t="s">
        <v>41</v>
      </c>
      <c r="E65" s="33" t="n">
        <f aca="false">IF(D65="totale",(C65/(A65*24))/F65,IF(D65="marché libre",(C65/(A65*24))/G65,"spécifier histo"))</f>
        <v>0.547624237140366</v>
      </c>
      <c r="F65" s="9" t="n">
        <f aca="false">G65+H65</f>
        <v>2960</v>
      </c>
      <c r="G65" s="9" t="n">
        <v>2960</v>
      </c>
      <c r="H65" s="9" t="n">
        <f aca="false">0</f>
        <v>0</v>
      </c>
      <c r="I65" s="9"/>
      <c r="J65" s="30"/>
    </row>
    <row r="66" customFormat="false" ht="24.95" hidden="false" customHeight="true" outlineLevel="0" collapsed="false">
      <c r="A66" s="0" t="n">
        <v>30</v>
      </c>
      <c r="B66" s="31" t="n">
        <v>34578</v>
      </c>
      <c r="C66" s="1" t="n">
        <v>914400</v>
      </c>
      <c r="D66" s="29" t="s">
        <v>41</v>
      </c>
      <c r="E66" s="33" t="n">
        <f aca="false">IF(D66="totale",(C66/(A66*24))/F66,IF(D66="marché libre",(C66/(A66*24))/G66,"spécifier histo"))</f>
        <v>0.429054054054054</v>
      </c>
      <c r="F66" s="9" t="n">
        <f aca="false">G66+H66</f>
        <v>2960</v>
      </c>
      <c r="G66" s="9" t="n">
        <v>2960</v>
      </c>
      <c r="H66" s="9" t="n">
        <f aca="false">0</f>
        <v>0</v>
      </c>
      <c r="I66" s="9"/>
      <c r="J66" s="30"/>
    </row>
    <row r="67" customFormat="false" ht="24.95" hidden="false" customHeight="true" outlineLevel="0" collapsed="false">
      <c r="A67" s="0" t="n">
        <v>31</v>
      </c>
      <c r="B67" s="34" t="n">
        <v>34608</v>
      </c>
      <c r="C67" s="1" t="n">
        <v>1777800</v>
      </c>
      <c r="D67" s="29" t="s">
        <v>41</v>
      </c>
      <c r="E67" s="33" t="n">
        <f aca="false">IF(D67="totale",(C67/(A67*24))/F67,IF(D67="marché libre",(C67/(A67*24))/G67,"spécifier histo"))</f>
        <v>0.807268962510898</v>
      </c>
      <c r="F67" s="9" t="n">
        <f aca="false">G67+H67</f>
        <v>2960</v>
      </c>
      <c r="G67" s="9" t="n">
        <v>2960</v>
      </c>
      <c r="H67" s="9" t="n">
        <f aca="false">0</f>
        <v>0</v>
      </c>
      <c r="I67" s="9"/>
      <c r="J67" s="30"/>
    </row>
    <row r="68" customFormat="false" ht="24.95" hidden="false" customHeight="true" outlineLevel="0" collapsed="false">
      <c r="A68" s="0" t="n">
        <v>30</v>
      </c>
      <c r="B68" s="31" t="n">
        <v>34639</v>
      </c>
      <c r="C68" s="1" t="n">
        <v>1584600</v>
      </c>
      <c r="D68" s="29" t="s">
        <v>41</v>
      </c>
      <c r="E68" s="33" t="n">
        <f aca="false">IF(D68="totale",(C68/(A68*24))/F68,IF(D68="marché libre",(C68/(A68*24))/G68,"spécifier histo"))</f>
        <v>0.743524774774775</v>
      </c>
      <c r="F68" s="9" t="n">
        <f aca="false">G68+H68</f>
        <v>2960</v>
      </c>
      <c r="G68" s="9" t="n">
        <v>2960</v>
      </c>
      <c r="H68" s="9" t="n">
        <f aca="false">0</f>
        <v>0</v>
      </c>
      <c r="I68" s="9"/>
      <c r="J68" s="30"/>
    </row>
    <row r="69" customFormat="false" ht="24.95" hidden="false" customHeight="true" outlineLevel="0" collapsed="false">
      <c r="A69" s="0" t="n">
        <v>31</v>
      </c>
      <c r="B69" s="34" t="n">
        <v>34669</v>
      </c>
      <c r="C69" s="1" t="n">
        <v>760200</v>
      </c>
      <c r="D69" s="29" t="s">
        <v>41</v>
      </c>
      <c r="E69" s="33" t="n">
        <f aca="false">IF(D69="totale",(C69/(A69*24))/F69,IF(D69="marché libre",(C69/(A69*24))/G69,"spécifier histo"))</f>
        <v>0.345193984306887</v>
      </c>
      <c r="F69" s="9" t="n">
        <f aca="false">G69+H69</f>
        <v>2960</v>
      </c>
      <c r="G69" s="9" t="n">
        <v>2960</v>
      </c>
      <c r="H69" s="9" t="n">
        <f aca="false">0</f>
        <v>0</v>
      </c>
      <c r="I69" s="9"/>
      <c r="J69" s="30"/>
    </row>
    <row r="70" customFormat="false" ht="24.95" hidden="false" customHeight="true" outlineLevel="0" collapsed="false">
      <c r="A70" s="0" t="n">
        <v>31</v>
      </c>
      <c r="B70" s="31" t="n">
        <v>34700</v>
      </c>
      <c r="C70" s="1" t="n">
        <v>1096200</v>
      </c>
      <c r="D70" s="29" t="s">
        <v>41</v>
      </c>
      <c r="E70" s="33" t="n">
        <f aca="false">IF(D70="totale",(C70/(A70*24))/F70,IF(D70="marché libre",(C70/(A70*24))/G70,"spécifier histo"))</f>
        <v>0.497765911072363</v>
      </c>
      <c r="F70" s="9" t="n">
        <f aca="false">G70+H70</f>
        <v>2960</v>
      </c>
      <c r="G70" s="9" t="n">
        <v>2960</v>
      </c>
      <c r="H70" s="9" t="n">
        <f aca="false">0</f>
        <v>0</v>
      </c>
      <c r="I70" s="9"/>
      <c r="J70" s="30"/>
    </row>
    <row r="71" customFormat="false" ht="24.95" hidden="false" customHeight="true" outlineLevel="0" collapsed="false">
      <c r="A71" s="0" t="n">
        <v>28</v>
      </c>
      <c r="B71" s="34" t="n">
        <v>34731</v>
      </c>
      <c r="C71" s="1" t="n">
        <v>1206600</v>
      </c>
      <c r="D71" s="29" t="s">
        <v>41</v>
      </c>
      <c r="E71" s="33" t="n">
        <f aca="false">IF(D71="totale",(C71/(A71*24))/F71,IF(D71="marché libre",(C71/(A71*24))/G71,"spécifier histo"))</f>
        <v>0.606599903474903</v>
      </c>
      <c r="F71" s="9" t="n">
        <f aca="false">G71+H71</f>
        <v>2960</v>
      </c>
      <c r="G71" s="9" t="n">
        <v>2960</v>
      </c>
      <c r="H71" s="9" t="n">
        <f aca="false">0</f>
        <v>0</v>
      </c>
      <c r="I71" s="9"/>
      <c r="J71" s="30"/>
    </row>
    <row r="72" customFormat="false" ht="24.95" hidden="false" customHeight="true" outlineLevel="0" collapsed="false">
      <c r="A72" s="0" t="n">
        <v>31</v>
      </c>
      <c r="B72" s="31" t="n">
        <v>34759</v>
      </c>
      <c r="C72" s="1" t="n">
        <v>1596000</v>
      </c>
      <c r="D72" s="29" t="s">
        <v>41</v>
      </c>
      <c r="E72" s="33" t="n">
        <f aca="false">IF(D72="totale",(C72/(A72*24))/F72,IF(D72="marché libre",(C72/(A72*24))/G72,"spécifier histo"))</f>
        <v>0.724716652136007</v>
      </c>
      <c r="F72" s="9" t="n">
        <f aca="false">G72+H72</f>
        <v>2960</v>
      </c>
      <c r="G72" s="9" t="n">
        <v>2960</v>
      </c>
      <c r="H72" s="9" t="n">
        <f aca="false">0</f>
        <v>0</v>
      </c>
      <c r="I72" s="9"/>
      <c r="J72" s="30"/>
    </row>
    <row r="73" customFormat="false" ht="24.95" hidden="false" customHeight="true" outlineLevel="0" collapsed="false">
      <c r="A73" s="0" t="n">
        <v>30</v>
      </c>
      <c r="B73" s="34" t="n">
        <v>34790</v>
      </c>
      <c r="C73" s="1" t="n">
        <v>1577400</v>
      </c>
      <c r="D73" s="29" t="s">
        <v>41</v>
      </c>
      <c r="E73" s="33" t="n">
        <f aca="false">IF(D73="totale",(C73/(A73*24))/F73,IF(D73="marché libre",(C73/(A73*24))/G73,"spécifier histo"))</f>
        <v>0.740146396396396</v>
      </c>
      <c r="F73" s="9" t="n">
        <f aca="false">G73+H73</f>
        <v>2960</v>
      </c>
      <c r="G73" s="9" t="n">
        <v>2960</v>
      </c>
      <c r="H73" s="9" t="n">
        <f aca="false">0</f>
        <v>0</v>
      </c>
      <c r="I73" s="9"/>
      <c r="J73" s="30"/>
    </row>
    <row r="74" customFormat="false" ht="24.95" hidden="false" customHeight="true" outlineLevel="0" collapsed="false">
      <c r="A74" s="0" t="n">
        <v>31</v>
      </c>
      <c r="B74" s="31" t="n">
        <v>34820</v>
      </c>
      <c r="C74" s="1" t="n">
        <v>2106000</v>
      </c>
      <c r="D74" s="29" t="s">
        <v>41</v>
      </c>
      <c r="E74" s="33" t="n">
        <f aca="false">IF(D74="totale",(C74/(A74*24))/F74,IF(D74="marché libre",(C74/(A74*24))/G74,"spécifier histo"))</f>
        <v>0.95629904097646</v>
      </c>
      <c r="F74" s="9" t="n">
        <f aca="false">G74+H74</f>
        <v>2960</v>
      </c>
      <c r="G74" s="9" t="n">
        <v>2960</v>
      </c>
      <c r="H74" s="9" t="n">
        <f aca="false">0</f>
        <v>0</v>
      </c>
      <c r="I74" s="9"/>
      <c r="J74" s="30"/>
    </row>
    <row r="75" customFormat="false" ht="24.95" hidden="false" customHeight="true" outlineLevel="0" collapsed="false">
      <c r="A75" s="0" t="n">
        <v>30</v>
      </c>
      <c r="B75" s="34" t="n">
        <v>34851</v>
      </c>
      <c r="C75" s="1" t="n">
        <v>2167800</v>
      </c>
      <c r="D75" s="29" t="s">
        <v>41</v>
      </c>
      <c r="E75" s="33" t="n">
        <f aca="false">IF(D75="totale",(C75/(A75*24))/F75,IF(D75="marché libre",(C75/(A75*24))/G75,"spécifier histo"))</f>
        <v>1.01717342342342</v>
      </c>
      <c r="F75" s="9" t="n">
        <f aca="false">G75+H75</f>
        <v>2960</v>
      </c>
      <c r="G75" s="9" t="n">
        <v>2960</v>
      </c>
      <c r="H75" s="9" t="n">
        <f aca="false">0</f>
        <v>0</v>
      </c>
      <c r="I75" s="9"/>
      <c r="J75" s="30"/>
    </row>
    <row r="76" customFormat="false" ht="24.95" hidden="false" customHeight="true" outlineLevel="0" collapsed="false">
      <c r="A76" s="0" t="n">
        <v>31</v>
      </c>
      <c r="B76" s="31" t="n">
        <v>34881</v>
      </c>
      <c r="C76" s="1" t="n">
        <v>1843800</v>
      </c>
      <c r="D76" s="29" t="s">
        <v>41</v>
      </c>
      <c r="E76" s="33" t="n">
        <f aca="false">IF(D76="totale",(C76/(A76*24))/F76,IF(D76="marché libre",(C76/(A76*24))/G76,"spécifier histo"))</f>
        <v>0.837238448125545</v>
      </c>
      <c r="F76" s="9" t="n">
        <f aca="false">G76+H76</f>
        <v>2960</v>
      </c>
      <c r="G76" s="9" t="n">
        <v>2960</v>
      </c>
      <c r="H76" s="9" t="n">
        <f aca="false">0</f>
        <v>0</v>
      </c>
      <c r="I76" s="9"/>
      <c r="J76" s="30"/>
    </row>
    <row r="77" customFormat="false" ht="24.95" hidden="false" customHeight="true" outlineLevel="0" collapsed="false">
      <c r="A77" s="0" t="n">
        <v>31</v>
      </c>
      <c r="B77" s="34" t="n">
        <v>34912</v>
      </c>
      <c r="C77" s="1" t="n">
        <v>967800</v>
      </c>
      <c r="D77" s="29" t="s">
        <v>41</v>
      </c>
      <c r="E77" s="33" t="n">
        <f aca="false">IF(D77="totale",(C77/(A77*24))/F77,IF(D77="marché libre",(C77/(A77*24))/G77,"spécifier histo"))</f>
        <v>0.439461639058413</v>
      </c>
      <c r="F77" s="9" t="n">
        <f aca="false">G77+H77</f>
        <v>2960</v>
      </c>
      <c r="G77" s="9" t="n">
        <v>2960</v>
      </c>
      <c r="H77" s="9" t="n">
        <f aca="false">0</f>
        <v>0</v>
      </c>
      <c r="I77" s="9"/>
      <c r="J77" s="30"/>
    </row>
    <row r="78" customFormat="false" ht="24.95" hidden="false" customHeight="true" outlineLevel="0" collapsed="false">
      <c r="A78" s="0" t="n">
        <v>30</v>
      </c>
      <c r="B78" s="31" t="n">
        <v>34943</v>
      </c>
      <c r="C78" s="1" t="n">
        <v>546000</v>
      </c>
      <c r="D78" s="29" t="s">
        <v>41</v>
      </c>
      <c r="E78" s="33" t="n">
        <f aca="false">IF(D78="totale",(C78/(A78*24))/F78,IF(D78="marché libre",(C78/(A78*24))/G78,"spécifier histo"))</f>
        <v>0.256193693693694</v>
      </c>
      <c r="F78" s="9" t="n">
        <f aca="false">G78+H78</f>
        <v>2960</v>
      </c>
      <c r="G78" s="9" t="n">
        <v>2960</v>
      </c>
      <c r="H78" s="9" t="n">
        <f aca="false">0</f>
        <v>0</v>
      </c>
      <c r="I78" s="9"/>
      <c r="J78" s="30"/>
    </row>
    <row r="79" customFormat="false" ht="24.95" hidden="false" customHeight="true" outlineLevel="0" collapsed="false">
      <c r="A79" s="0" t="n">
        <v>31</v>
      </c>
      <c r="B79" s="34" t="n">
        <v>34973</v>
      </c>
      <c r="C79" s="1" t="n">
        <v>1264400</v>
      </c>
      <c r="D79" s="29" t="s">
        <v>41</v>
      </c>
      <c r="E79" s="33" t="n">
        <f aca="false">IF(D79="totale",(C79/(A79*24))/F79,IF(D79="marché libre",(C79/(A79*24))/G79,"spécifier histo"))</f>
        <v>0.574142691078175</v>
      </c>
      <c r="F79" s="9" t="n">
        <f aca="false">G79+H79</f>
        <v>2960</v>
      </c>
      <c r="G79" s="9" t="n">
        <v>2960</v>
      </c>
      <c r="H79" s="9" t="n">
        <f aca="false">0</f>
        <v>0</v>
      </c>
      <c r="I79" s="9"/>
      <c r="J79" s="30"/>
    </row>
    <row r="80" customFormat="false" ht="24.95" hidden="false" customHeight="true" outlineLevel="0" collapsed="false">
      <c r="A80" s="0" t="n">
        <v>30</v>
      </c>
      <c r="B80" s="31" t="n">
        <v>35004</v>
      </c>
      <c r="C80" s="1" t="n">
        <v>1095600</v>
      </c>
      <c r="D80" s="29" t="s">
        <v>41</v>
      </c>
      <c r="E80" s="33" t="n">
        <f aca="false">IF(D80="totale",(C80/(A80*24))/F80,IF(D80="marché libre",(C80/(A80*24))/G80,"spécifier histo"))</f>
        <v>0.514076576576577</v>
      </c>
      <c r="F80" s="9" t="n">
        <f aca="false">G80+H80</f>
        <v>2960</v>
      </c>
      <c r="G80" s="9" t="n">
        <v>2960</v>
      </c>
      <c r="H80" s="9" t="n">
        <f aca="false">0</f>
        <v>0</v>
      </c>
      <c r="I80" s="9"/>
      <c r="J80" s="30"/>
    </row>
    <row r="81" customFormat="false" ht="24.95" hidden="false" customHeight="true" outlineLevel="0" collapsed="false">
      <c r="A81" s="0" t="n">
        <v>31</v>
      </c>
      <c r="B81" s="34" t="n">
        <v>35034</v>
      </c>
      <c r="C81" s="1" t="n">
        <v>1615800</v>
      </c>
      <c r="D81" s="29" t="s">
        <v>41</v>
      </c>
      <c r="E81" s="33" t="n">
        <f aca="false">IF(D81="totale",(C81/(A81*24))/F81,IF(D81="marché libre",(C81/(A81*24))/G81,"spécifier histo"))</f>
        <v>0.733707497820401</v>
      </c>
      <c r="F81" s="9" t="n">
        <f aca="false">G81+H81</f>
        <v>2960</v>
      </c>
      <c r="G81" s="9" t="n">
        <v>2960</v>
      </c>
      <c r="H81" s="9" t="n">
        <f aca="false">0</f>
        <v>0</v>
      </c>
      <c r="I81" s="9"/>
      <c r="J81" s="30"/>
    </row>
    <row r="82" customFormat="false" ht="24.95" hidden="false" customHeight="true" outlineLevel="0" collapsed="false">
      <c r="A82" s="0" t="n">
        <v>31</v>
      </c>
      <c r="B82" s="31" t="n">
        <v>35065</v>
      </c>
      <c r="C82" s="1" t="n">
        <v>1865400</v>
      </c>
      <c r="D82" s="29" t="s">
        <v>41</v>
      </c>
      <c r="E82" s="33" t="n">
        <f aca="false">IF(D82="totale",(C82/(A82*24))/F82,IF(D82="marché libre",(C82/(A82*24))/G82,"spécifier histo"))</f>
        <v>0.847046643417611</v>
      </c>
      <c r="F82" s="9" t="n">
        <f aca="false">G82+H82</f>
        <v>2960</v>
      </c>
      <c r="G82" s="9" t="n">
        <v>2960</v>
      </c>
      <c r="H82" s="9" t="n">
        <f aca="false">0</f>
        <v>0</v>
      </c>
      <c r="I82" s="9"/>
      <c r="J82" s="30"/>
    </row>
    <row r="83" customFormat="false" ht="24.95" hidden="false" customHeight="true" outlineLevel="0" collapsed="false">
      <c r="A83" s="0" t="n">
        <v>28</v>
      </c>
      <c r="B83" s="34" t="n">
        <v>35096</v>
      </c>
      <c r="C83" s="1" t="n">
        <v>795000</v>
      </c>
      <c r="D83" s="29" t="s">
        <v>41</v>
      </c>
      <c r="E83" s="33" t="n">
        <f aca="false">IF(D83="totale",(C83/(A83*24))/F83,IF(D83="marché libre",(C83/(A83*24))/G83,"spécifier histo"))</f>
        <v>0.399674227799228</v>
      </c>
      <c r="F83" s="9" t="n">
        <f aca="false">G83+H83</f>
        <v>2960</v>
      </c>
      <c r="G83" s="9" t="n">
        <v>2960</v>
      </c>
      <c r="H83" s="9" t="n">
        <f aca="false">0</f>
        <v>0</v>
      </c>
      <c r="I83" s="9"/>
      <c r="J83" s="30"/>
    </row>
    <row r="84" customFormat="false" ht="24.95" hidden="false" customHeight="true" outlineLevel="0" collapsed="false">
      <c r="A84" s="0" t="n">
        <v>31</v>
      </c>
      <c r="B84" s="31" t="n">
        <v>35125</v>
      </c>
      <c r="C84" s="1" t="n">
        <v>1147800</v>
      </c>
      <c r="D84" s="29" t="s">
        <v>41</v>
      </c>
      <c r="E84" s="33" t="n">
        <f aca="false">IF(D84="totale",(C84/(A84*24))/F84,IF(D84="marché libre",(C84/(A84*24))/G84,"spécifier histo"))</f>
        <v>0.521196599825632</v>
      </c>
      <c r="F84" s="9" t="n">
        <f aca="false">G84+H84</f>
        <v>2960</v>
      </c>
      <c r="G84" s="9" t="n">
        <v>2960</v>
      </c>
      <c r="H84" s="9" t="n">
        <f aca="false">0</f>
        <v>0</v>
      </c>
      <c r="I84" s="9"/>
      <c r="J84" s="30"/>
    </row>
    <row r="85" customFormat="false" ht="24.95" hidden="false" customHeight="true" outlineLevel="0" collapsed="false">
      <c r="A85" s="0" t="n">
        <v>30</v>
      </c>
      <c r="B85" s="34" t="n">
        <v>35156</v>
      </c>
      <c r="C85" s="1" t="n">
        <v>1822200</v>
      </c>
      <c r="D85" s="29" t="s">
        <v>41</v>
      </c>
      <c r="E85" s="33" t="n">
        <f aca="false">IF(D85="totale",(C85/(A85*24))/F85,IF(D85="marché libre",(C85/(A85*24))/G85,"spécifier histo"))</f>
        <v>0.855011261261261</v>
      </c>
      <c r="F85" s="9" t="n">
        <f aca="false">G85+H85</f>
        <v>2960</v>
      </c>
      <c r="G85" s="9" t="n">
        <v>2960</v>
      </c>
      <c r="H85" s="9" t="n">
        <f aca="false">0</f>
        <v>0</v>
      </c>
      <c r="I85" s="9"/>
      <c r="J85" s="30"/>
    </row>
    <row r="86" customFormat="false" ht="24.95" hidden="false" customHeight="true" outlineLevel="0" collapsed="false">
      <c r="A86" s="0" t="n">
        <v>31</v>
      </c>
      <c r="B86" s="31" t="n">
        <v>35186</v>
      </c>
      <c r="C86" s="1" t="n">
        <v>1764000</v>
      </c>
      <c r="D86" s="29" t="s">
        <v>41</v>
      </c>
      <c r="E86" s="33" t="n">
        <f aca="false">IF(D86="totale",(C86/(A86*24))/F86,IF(D86="marché libre",(C86/(A86*24))/G86,"spécifier histo"))</f>
        <v>0.801002615518745</v>
      </c>
      <c r="F86" s="9" t="n">
        <f aca="false">G86+H86</f>
        <v>2960</v>
      </c>
      <c r="G86" s="9" t="n">
        <v>2960</v>
      </c>
      <c r="H86" s="9" t="n">
        <f aca="false">0</f>
        <v>0</v>
      </c>
      <c r="I86" s="9"/>
      <c r="J86" s="30"/>
    </row>
    <row r="87" customFormat="false" ht="24.95" hidden="false" customHeight="true" outlineLevel="0" collapsed="false">
      <c r="A87" s="0" t="n">
        <v>30</v>
      </c>
      <c r="B87" s="34" t="n">
        <v>35217</v>
      </c>
      <c r="C87" s="1" t="n">
        <v>2188800</v>
      </c>
      <c r="D87" s="29" t="s">
        <v>41</v>
      </c>
      <c r="E87" s="33" t="n">
        <f aca="false">IF(D87="totale",(C87/(A87*24))/F87,IF(D87="marché libre",(C87/(A87*24))/G87,"spécifier histo"))</f>
        <v>1.02702702702703</v>
      </c>
      <c r="F87" s="9" t="n">
        <f aca="false">G87+H87</f>
        <v>2960</v>
      </c>
      <c r="G87" s="9" t="n">
        <v>2960</v>
      </c>
      <c r="H87" s="9" t="n">
        <f aca="false">0</f>
        <v>0</v>
      </c>
      <c r="I87" s="9"/>
      <c r="J87" s="30"/>
    </row>
    <row r="88" customFormat="false" ht="24.95" hidden="false" customHeight="true" outlineLevel="0" collapsed="false">
      <c r="A88" s="0" t="n">
        <v>31</v>
      </c>
      <c r="B88" s="31" t="n">
        <v>35247</v>
      </c>
      <c r="C88" s="1" t="n">
        <v>2169600</v>
      </c>
      <c r="D88" s="29" t="s">
        <v>41</v>
      </c>
      <c r="E88" s="33" t="n">
        <f aca="false">IF(D88="totale",(C88/(A88*24))/F88,IF(D88="marché libre",(C88/(A88*24))/G88,"spécifier histo"))</f>
        <v>0.985178727114211</v>
      </c>
      <c r="F88" s="9" t="n">
        <f aca="false">G88+H88</f>
        <v>2960</v>
      </c>
      <c r="G88" s="9" t="n">
        <v>2960</v>
      </c>
      <c r="H88" s="9" t="n">
        <f aca="false">0</f>
        <v>0</v>
      </c>
      <c r="I88" s="9"/>
      <c r="J88" s="30"/>
    </row>
    <row r="89" customFormat="false" ht="24.95" hidden="false" customHeight="true" outlineLevel="0" collapsed="false">
      <c r="A89" s="0" t="n">
        <v>31</v>
      </c>
      <c r="B89" s="34" t="n">
        <v>35278</v>
      </c>
      <c r="C89" s="1" t="n">
        <v>1941000</v>
      </c>
      <c r="D89" s="29" t="s">
        <v>41</v>
      </c>
      <c r="E89" s="33" t="n">
        <f aca="false">IF(D89="totale",(C89/(A89*24))/F89,IF(D89="marché libre",(C89/(A89*24))/G89,"spécifier histo"))</f>
        <v>0.881375326939843</v>
      </c>
      <c r="F89" s="9" t="n">
        <f aca="false">G89+H89</f>
        <v>2960</v>
      </c>
      <c r="G89" s="9" t="n">
        <v>2960</v>
      </c>
      <c r="H89" s="9" t="n">
        <f aca="false">0</f>
        <v>0</v>
      </c>
      <c r="I89" s="9"/>
      <c r="J89" s="30"/>
    </row>
    <row r="90" customFormat="false" ht="24.95" hidden="false" customHeight="true" outlineLevel="0" collapsed="false">
      <c r="A90" s="0" t="n">
        <v>30</v>
      </c>
      <c r="B90" s="31" t="n">
        <v>35309</v>
      </c>
      <c r="C90" s="1" t="n">
        <v>1000800</v>
      </c>
      <c r="D90" s="29" t="s">
        <v>41</v>
      </c>
      <c r="E90" s="33" t="n">
        <f aca="false">IF(D90="totale",(C90/(A90*24))/F90,IF(D90="marché libre",(C90/(A90*24))/G90,"spécifier histo"))</f>
        <v>0.469594594594595</v>
      </c>
      <c r="F90" s="9" t="n">
        <f aca="false">G90+H90</f>
        <v>2960</v>
      </c>
      <c r="G90" s="9" t="n">
        <v>2960</v>
      </c>
      <c r="H90" s="9" t="n">
        <f aca="false">0</f>
        <v>0</v>
      </c>
      <c r="I90" s="9"/>
      <c r="J90" s="30"/>
    </row>
    <row r="91" customFormat="false" ht="24.95" hidden="false" customHeight="true" outlineLevel="0" collapsed="false">
      <c r="A91" s="0" t="n">
        <v>31</v>
      </c>
      <c r="B91" s="34" t="n">
        <v>35339</v>
      </c>
      <c r="C91" s="1" t="n">
        <v>1140600</v>
      </c>
      <c r="D91" s="29" t="s">
        <v>41</v>
      </c>
      <c r="E91" s="33" t="n">
        <f aca="false">IF(D91="totale",(C91/(A91*24))/F91,IF(D91="marché libre",(C91/(A91*24))/G91,"spécifier histo"))</f>
        <v>0.517927201394943</v>
      </c>
      <c r="F91" s="9" t="n">
        <f aca="false">G91+H91</f>
        <v>2960</v>
      </c>
      <c r="G91" s="9" t="n">
        <v>2960</v>
      </c>
      <c r="H91" s="9" t="n">
        <f aca="false">0</f>
        <v>0</v>
      </c>
      <c r="I91" s="9"/>
      <c r="J91" s="30"/>
    </row>
    <row r="92" customFormat="false" ht="24.95" hidden="false" customHeight="true" outlineLevel="0" collapsed="false">
      <c r="A92" s="0" t="n">
        <v>30</v>
      </c>
      <c r="B92" s="31" t="n">
        <v>35370</v>
      </c>
      <c r="C92" s="1" t="n">
        <v>1165800</v>
      </c>
      <c r="D92" s="29" t="s">
        <v>41</v>
      </c>
      <c r="E92" s="33" t="n">
        <f aca="false">IF(D92="totale",(C92/(A92*24))/F92,IF(D92="marché libre",(C92/(A92*24))/G92,"spécifier histo"))</f>
        <v>0.547015765765766</v>
      </c>
      <c r="F92" s="9" t="n">
        <f aca="false">G92+H92</f>
        <v>2960</v>
      </c>
      <c r="G92" s="9" t="n">
        <v>2960</v>
      </c>
      <c r="H92" s="9" t="n">
        <f aca="false">0</f>
        <v>0</v>
      </c>
      <c r="I92" s="9"/>
      <c r="J92" s="30"/>
    </row>
    <row r="93" customFormat="false" ht="24.95" hidden="false" customHeight="true" outlineLevel="0" collapsed="false">
      <c r="A93" s="0" t="n">
        <v>31</v>
      </c>
      <c r="B93" s="34" t="n">
        <v>35400</v>
      </c>
      <c r="C93" s="1" t="n">
        <v>1833600</v>
      </c>
      <c r="D93" s="29" t="s">
        <v>41</v>
      </c>
      <c r="E93" s="33" t="n">
        <f aca="false">IF(D93="totale",(C93/(A93*24))/F93,IF(D93="marché libre",(C93/(A93*24))/G93,"spécifier histo"))</f>
        <v>0.832606800348736</v>
      </c>
      <c r="F93" s="9" t="n">
        <f aca="false">G93+H93</f>
        <v>2960</v>
      </c>
      <c r="G93" s="9" t="n">
        <v>2960</v>
      </c>
      <c r="H93" s="9" t="n">
        <f aca="false">0</f>
        <v>0</v>
      </c>
      <c r="I93" s="9"/>
      <c r="J93" s="30"/>
    </row>
    <row r="94" customFormat="false" ht="24.95" hidden="false" customHeight="true" outlineLevel="0" collapsed="false">
      <c r="A94" s="0" t="n">
        <v>31</v>
      </c>
      <c r="B94" s="31" t="n">
        <v>35431</v>
      </c>
      <c r="C94" s="1" t="n">
        <v>1495200</v>
      </c>
      <c r="D94" s="29" t="s">
        <v>41</v>
      </c>
      <c r="E94" s="33" t="n">
        <f aca="false">IF(D94="totale",(C94/(A94*24))/F94,IF(D94="marché libre",(C94/(A94*24))/G94,"spécifier histo"))</f>
        <v>0.678945074106364</v>
      </c>
      <c r="F94" s="9" t="n">
        <f aca="false">G94+H94</f>
        <v>2960</v>
      </c>
      <c r="G94" s="9" t="n">
        <v>2960</v>
      </c>
      <c r="H94" s="9" t="n">
        <f aca="false">0</f>
        <v>0</v>
      </c>
      <c r="I94" s="9"/>
      <c r="J94" s="30"/>
    </row>
    <row r="95" customFormat="false" ht="24.95" hidden="false" customHeight="true" outlineLevel="0" collapsed="false">
      <c r="A95" s="0" t="n">
        <v>28</v>
      </c>
      <c r="B95" s="34" t="n">
        <v>35462</v>
      </c>
      <c r="C95" s="1" t="n">
        <v>1042200</v>
      </c>
      <c r="D95" s="29" t="s">
        <v>41</v>
      </c>
      <c r="E95" s="33" t="n">
        <f aca="false">IF(D95="totale",(C95/(A95*24))/F95,IF(D95="marché libre",(C95/(A95*24))/G95,"spécifier histo"))</f>
        <v>0.52395028957529</v>
      </c>
      <c r="F95" s="9" t="n">
        <f aca="false">G95+H95</f>
        <v>2960</v>
      </c>
      <c r="G95" s="9" t="n">
        <v>2960</v>
      </c>
      <c r="H95" s="9" t="n">
        <f aca="false">0</f>
        <v>0</v>
      </c>
      <c r="I95" s="9"/>
      <c r="J95" s="30"/>
    </row>
    <row r="96" customFormat="false" ht="24.95" hidden="false" customHeight="true" outlineLevel="0" collapsed="false">
      <c r="A96" s="0" t="n">
        <v>31</v>
      </c>
      <c r="B96" s="31" t="n">
        <v>35490</v>
      </c>
      <c r="C96" s="1" t="n">
        <v>1884600</v>
      </c>
      <c r="D96" s="29" t="s">
        <v>41</v>
      </c>
      <c r="E96" s="33" t="n">
        <f aca="false">IF(D96="totale",(C96/(A96*24))/F96,IF(D96="marché libre",(C96/(A96*24))/G96,"spécifier histo"))</f>
        <v>0.855765039232781</v>
      </c>
      <c r="F96" s="9" t="n">
        <f aca="false">G96+H96</f>
        <v>2960</v>
      </c>
      <c r="G96" s="9" t="n">
        <v>2960</v>
      </c>
      <c r="H96" s="9" t="n">
        <f aca="false">0</f>
        <v>0</v>
      </c>
      <c r="I96" s="9"/>
      <c r="J96" s="30"/>
    </row>
    <row r="97" customFormat="false" ht="24.95" hidden="false" customHeight="true" outlineLevel="0" collapsed="false">
      <c r="A97" s="0" t="n">
        <v>30</v>
      </c>
      <c r="B97" s="34" t="n">
        <v>35521</v>
      </c>
      <c r="C97" s="1" t="n">
        <v>1894200</v>
      </c>
      <c r="D97" s="29" t="s">
        <v>41</v>
      </c>
      <c r="E97" s="33" t="n">
        <f aca="false">IF(D97="totale",(C97/(A97*24))/F97,IF(D97="marché libre",(C97/(A97*24))/G97,"spécifier histo"))</f>
        <v>0.888795045045045</v>
      </c>
      <c r="F97" s="9" t="n">
        <f aca="false">G97+H97</f>
        <v>2960</v>
      </c>
      <c r="G97" s="9" t="n">
        <v>2960</v>
      </c>
      <c r="H97" s="9" t="n">
        <f aca="false">0</f>
        <v>0</v>
      </c>
      <c r="I97" s="9"/>
      <c r="J97" s="30"/>
    </row>
    <row r="98" customFormat="false" ht="24.95" hidden="false" customHeight="true" outlineLevel="0" collapsed="false">
      <c r="A98" s="0" t="n">
        <v>31</v>
      </c>
      <c r="B98" s="31" t="n">
        <v>35551</v>
      </c>
      <c r="C98" s="1" t="n">
        <v>2181000</v>
      </c>
      <c r="D98" s="29" t="s">
        <v>41</v>
      </c>
      <c r="E98" s="33" t="n">
        <f aca="false">IF(D98="totale",(C98/(A98*24))/F98,IF(D98="marché libre",(C98/(A98*24))/G98,"spécifier histo"))</f>
        <v>0.990355274629468</v>
      </c>
      <c r="F98" s="9" t="n">
        <f aca="false">G98+H98</f>
        <v>2960</v>
      </c>
      <c r="G98" s="9" t="n">
        <v>2960</v>
      </c>
      <c r="H98" s="9" t="n">
        <f aca="false">0</f>
        <v>0</v>
      </c>
      <c r="I98" s="9"/>
      <c r="J98" s="30"/>
    </row>
    <row r="99" customFormat="false" ht="24.95" hidden="false" customHeight="true" outlineLevel="0" collapsed="false">
      <c r="A99" s="0" t="n">
        <v>30</v>
      </c>
      <c r="B99" s="34" t="n">
        <v>35582</v>
      </c>
      <c r="C99" s="1" t="n">
        <v>2079000</v>
      </c>
      <c r="D99" s="29" t="s">
        <v>41</v>
      </c>
      <c r="E99" s="33" t="n">
        <f aca="false">IF(D99="totale",(C99/(A99*24))/F99,IF(D99="marché libre",(C99/(A99*24))/G99,"spécifier histo"))</f>
        <v>0.975506756756757</v>
      </c>
      <c r="F99" s="9" t="n">
        <f aca="false">G99+H99</f>
        <v>2960</v>
      </c>
      <c r="G99" s="9" t="n">
        <v>2960</v>
      </c>
      <c r="H99" s="9" t="n">
        <f aca="false">0</f>
        <v>0</v>
      </c>
      <c r="I99" s="9"/>
      <c r="J99" s="30"/>
    </row>
    <row r="100" customFormat="false" ht="24.95" hidden="false" customHeight="true" outlineLevel="0" collapsed="false">
      <c r="A100" s="0" t="n">
        <v>31</v>
      </c>
      <c r="B100" s="31" t="n">
        <v>35612</v>
      </c>
      <c r="C100" s="1" t="n">
        <v>2050800</v>
      </c>
      <c r="D100" s="29" t="s">
        <v>41</v>
      </c>
      <c r="E100" s="33" t="n">
        <f aca="false">IF(D100="totale",(C100/(A100*24))/F100,IF(D100="marché libre",(C100/(A100*24))/G100,"spécifier histo"))</f>
        <v>0.931233653007847</v>
      </c>
      <c r="F100" s="9" t="n">
        <f aca="false">G100+H100</f>
        <v>2960</v>
      </c>
      <c r="G100" s="9" t="n">
        <v>2960</v>
      </c>
      <c r="H100" s="9" t="n">
        <f aca="false">0</f>
        <v>0</v>
      </c>
      <c r="I100" s="9"/>
      <c r="J100" s="30"/>
    </row>
    <row r="101" customFormat="false" ht="24.95" hidden="false" customHeight="true" outlineLevel="0" collapsed="false">
      <c r="A101" s="0" t="n">
        <v>31</v>
      </c>
      <c r="B101" s="34" t="n">
        <v>35643</v>
      </c>
      <c r="C101" s="1" t="n">
        <v>2052600</v>
      </c>
      <c r="D101" s="29" t="s">
        <v>41</v>
      </c>
      <c r="E101" s="33" t="n">
        <f aca="false">IF(D101="totale",(C101/(A101*24))/F101,IF(D101="marché libre",(C101/(A101*24))/G101,"spécifier histo"))</f>
        <v>0.932051002615519</v>
      </c>
      <c r="F101" s="9" t="n">
        <f aca="false">G101+H101</f>
        <v>2960</v>
      </c>
      <c r="G101" s="9" t="n">
        <v>2960</v>
      </c>
      <c r="H101" s="9" t="n">
        <f aca="false">0</f>
        <v>0</v>
      </c>
      <c r="I101" s="9"/>
      <c r="J101" s="30"/>
    </row>
    <row r="102" customFormat="false" ht="24.95" hidden="false" customHeight="true" outlineLevel="0" collapsed="false">
      <c r="A102" s="0" t="n">
        <v>30</v>
      </c>
      <c r="B102" s="31" t="n">
        <v>35674</v>
      </c>
      <c r="C102" s="1" t="n">
        <v>1170600</v>
      </c>
      <c r="D102" s="29" t="s">
        <v>41</v>
      </c>
      <c r="E102" s="33" t="n">
        <f aca="false">IF(D102="totale",(C102/(A102*24))/F102,IF(D102="marché libre",(C102/(A102*24))/G102,"spécifier histo"))</f>
        <v>0.549268018018018</v>
      </c>
      <c r="F102" s="9" t="n">
        <f aca="false">G102+H102</f>
        <v>2960</v>
      </c>
      <c r="G102" s="9" t="n">
        <v>2960</v>
      </c>
      <c r="H102" s="9" t="n">
        <f aca="false">0</f>
        <v>0</v>
      </c>
      <c r="I102" s="9"/>
      <c r="J102" s="30"/>
    </row>
    <row r="103" customFormat="false" ht="24.95" hidden="false" customHeight="true" outlineLevel="0" collapsed="false">
      <c r="A103" s="0" t="n">
        <v>31</v>
      </c>
      <c r="B103" s="34" t="n">
        <v>35704</v>
      </c>
      <c r="C103" s="1" t="n">
        <v>582600</v>
      </c>
      <c r="D103" s="29" t="s">
        <v>41</v>
      </c>
      <c r="E103" s="33" t="n">
        <f aca="false">IF(D103="totale",(C103/(A103*24))/F103,IF(D103="marché libre",(C103/(A103*24))/G103,"spécifier histo"))</f>
        <v>0.264548823016565</v>
      </c>
      <c r="F103" s="9" t="n">
        <f aca="false">G103+H103</f>
        <v>2960</v>
      </c>
      <c r="G103" s="9" t="n">
        <v>2960</v>
      </c>
      <c r="H103" s="9" t="n">
        <f aca="false">0</f>
        <v>0</v>
      </c>
      <c r="I103" s="9"/>
      <c r="J103" s="30"/>
    </row>
    <row r="104" customFormat="false" ht="24.95" hidden="false" customHeight="true" outlineLevel="0" collapsed="false">
      <c r="A104" s="0" t="n">
        <v>30</v>
      </c>
      <c r="B104" s="31" t="n">
        <v>35735</v>
      </c>
      <c r="C104" s="1" t="n">
        <v>1317000</v>
      </c>
      <c r="D104" s="29" t="s">
        <v>41</v>
      </c>
      <c r="E104" s="33" t="n">
        <f aca="false">IF(D104="totale",(C104/(A104*24))/F104,IF(D104="marché libre",(C104/(A104*24))/G104,"spécifier histo"))</f>
        <v>0.617961711711712</v>
      </c>
      <c r="F104" s="9" t="n">
        <f aca="false">G104+H104</f>
        <v>2960</v>
      </c>
      <c r="G104" s="9" t="n">
        <v>2960</v>
      </c>
      <c r="H104" s="9" t="n">
        <f aca="false">0</f>
        <v>0</v>
      </c>
      <c r="I104" s="9"/>
      <c r="J104" s="30"/>
    </row>
    <row r="105" customFormat="false" ht="24.95" hidden="false" customHeight="true" outlineLevel="0" collapsed="false">
      <c r="A105" s="0" t="n">
        <v>31</v>
      </c>
      <c r="B105" s="34" t="n">
        <v>35765</v>
      </c>
      <c r="C105" s="1" t="n">
        <v>1505400</v>
      </c>
      <c r="D105" s="29" t="s">
        <v>41</v>
      </c>
      <c r="E105" s="33" t="n">
        <f aca="false">IF(D105="totale",(C105/(A105*24))/F105,IF(D105="marché libre",(C105/(A105*24))/G105,"spécifier histo"))</f>
        <v>0.683576721883173</v>
      </c>
      <c r="F105" s="9" t="n">
        <f aca="false">G105+H105</f>
        <v>2960</v>
      </c>
      <c r="G105" s="9" t="n">
        <v>2960</v>
      </c>
      <c r="H105" s="9" t="n">
        <f aca="false">0</f>
        <v>0</v>
      </c>
      <c r="I105" s="9"/>
      <c r="J105" s="30"/>
    </row>
    <row r="106" customFormat="false" ht="24.95" hidden="false" customHeight="true" outlineLevel="0" collapsed="false">
      <c r="A106" s="0" t="n">
        <v>31</v>
      </c>
      <c r="B106" s="31" t="n">
        <v>35796</v>
      </c>
      <c r="C106" s="1" t="n">
        <v>1291200</v>
      </c>
      <c r="D106" s="29" t="s">
        <v>41</v>
      </c>
      <c r="E106" s="33" t="n">
        <f aca="false">IF(D106="totale",(C106/(A106*24))/F106,IF(D106="marché libre",(C106/(A106*24))/G106,"spécifier histo"))</f>
        <v>0.586312118570183</v>
      </c>
      <c r="F106" s="9" t="n">
        <f aca="false">G106+H106</f>
        <v>2960</v>
      </c>
      <c r="G106" s="9" t="n">
        <v>2960</v>
      </c>
      <c r="H106" s="9" t="n">
        <f aca="false">0</f>
        <v>0</v>
      </c>
      <c r="I106" s="9"/>
      <c r="J106" s="30"/>
    </row>
    <row r="107" customFormat="false" ht="24.95" hidden="false" customHeight="true" outlineLevel="0" collapsed="false">
      <c r="A107" s="0" t="n">
        <v>28</v>
      </c>
      <c r="B107" s="34" t="n">
        <v>35827</v>
      </c>
      <c r="C107" s="1" t="n">
        <v>720000</v>
      </c>
      <c r="D107" s="29" t="s">
        <v>41</v>
      </c>
      <c r="E107" s="33" t="n">
        <f aca="false">IF(D107="totale",(C107/(A107*24))/F107,IF(D107="marché libre",(C107/(A107*24))/G107,"spécifier histo"))</f>
        <v>0.361969111969112</v>
      </c>
      <c r="F107" s="9" t="n">
        <f aca="false">G107+H107</f>
        <v>2960</v>
      </c>
      <c r="G107" s="9" t="n">
        <v>2960</v>
      </c>
      <c r="H107" s="9" t="n">
        <f aca="false">0</f>
        <v>0</v>
      </c>
      <c r="I107" s="9"/>
      <c r="J107" s="30"/>
    </row>
    <row r="108" customFormat="false" ht="24.95" hidden="false" customHeight="true" outlineLevel="0" collapsed="false">
      <c r="A108" s="0" t="n">
        <v>31</v>
      </c>
      <c r="B108" s="31" t="n">
        <v>35855</v>
      </c>
      <c r="C108" s="1" t="n">
        <v>1089000</v>
      </c>
      <c r="D108" s="29" t="s">
        <v>41</v>
      </c>
      <c r="E108" s="33" t="n">
        <f aca="false">IF(D108="totale",(C108/(A108*24))/F108,IF(D108="marché libre",(C108/(A108*24))/G108,"spécifier histo"))</f>
        <v>0.494496512641674</v>
      </c>
      <c r="F108" s="9" t="n">
        <f aca="false">G108+H108</f>
        <v>2960</v>
      </c>
      <c r="G108" s="9" t="n">
        <v>2960</v>
      </c>
      <c r="H108" s="9" t="n">
        <f aca="false">0</f>
        <v>0</v>
      </c>
      <c r="I108" s="9"/>
      <c r="J108" s="30"/>
    </row>
    <row r="109" customFormat="false" ht="24.95" hidden="false" customHeight="true" outlineLevel="0" collapsed="false">
      <c r="A109" s="0" t="n">
        <v>30</v>
      </c>
      <c r="B109" s="34" t="n">
        <v>35886</v>
      </c>
      <c r="C109" s="1" t="n">
        <v>1777200</v>
      </c>
      <c r="D109" s="29" t="s">
        <v>41</v>
      </c>
      <c r="E109" s="33" t="n">
        <f aca="false">IF(D109="totale",(C109/(A109*24))/F109,IF(D109="marché libre",(C109/(A109*24))/G109,"spécifier histo"))</f>
        <v>0.833896396396396</v>
      </c>
      <c r="F109" s="9" t="n">
        <f aca="false">G109+H109</f>
        <v>2960</v>
      </c>
      <c r="G109" s="9" t="n">
        <v>2960</v>
      </c>
      <c r="H109" s="9" t="n">
        <f aca="false">0</f>
        <v>0</v>
      </c>
      <c r="I109" s="9"/>
      <c r="J109" s="30"/>
    </row>
    <row r="110" customFormat="false" ht="24.95" hidden="false" customHeight="true" outlineLevel="0" collapsed="false">
      <c r="A110" s="0" t="n">
        <v>31</v>
      </c>
      <c r="B110" s="31" t="n">
        <v>35916</v>
      </c>
      <c r="C110" s="1" t="n">
        <v>2185800</v>
      </c>
      <c r="D110" s="29" t="s">
        <v>41</v>
      </c>
      <c r="E110" s="33" t="n">
        <f aca="false">IF(D110="totale",(C110/(A110*24))/F110,IF(D110="marché libre",(C110/(A110*24))/G110,"spécifier histo"))</f>
        <v>0.992534873583261</v>
      </c>
      <c r="F110" s="9" t="n">
        <f aca="false">G110+H110</f>
        <v>2960</v>
      </c>
      <c r="G110" s="9" t="n">
        <v>2960</v>
      </c>
      <c r="H110" s="9" t="n">
        <f aca="false">0</f>
        <v>0</v>
      </c>
      <c r="I110" s="9"/>
      <c r="J110" s="30"/>
    </row>
    <row r="111" customFormat="false" ht="24.95" hidden="false" customHeight="true" outlineLevel="0" collapsed="false">
      <c r="A111" s="0" t="n">
        <v>30</v>
      </c>
      <c r="B111" s="34" t="n">
        <v>35947</v>
      </c>
      <c r="C111" s="1" t="n">
        <v>2208000</v>
      </c>
      <c r="D111" s="29" t="s">
        <v>41</v>
      </c>
      <c r="E111" s="33" t="n">
        <f aca="false">IF(D111="totale",(C111/(A111*24))/F111,IF(D111="marché libre",(C111/(A111*24))/G111,"spécifier histo"))</f>
        <v>1.03603603603604</v>
      </c>
      <c r="F111" s="9" t="n">
        <f aca="false">G111+H111</f>
        <v>2960</v>
      </c>
      <c r="G111" s="9" t="n">
        <v>2960</v>
      </c>
      <c r="H111" s="9" t="n">
        <f aca="false">0</f>
        <v>0</v>
      </c>
      <c r="I111" s="9"/>
      <c r="J111" s="30"/>
    </row>
    <row r="112" customFormat="false" ht="24.95" hidden="false" customHeight="true" outlineLevel="0" collapsed="false">
      <c r="A112" s="0" t="n">
        <v>31</v>
      </c>
      <c r="B112" s="31" t="n">
        <v>35977</v>
      </c>
      <c r="C112" s="1" t="n">
        <v>1986000</v>
      </c>
      <c r="D112" s="29" t="s">
        <v>41</v>
      </c>
      <c r="E112" s="33" t="n">
        <f aca="false">IF(D112="totale",(C112/(A112*24))/F112,IF(D112="marché libre",(C112/(A112*24))/G112,"spécifier histo"))</f>
        <v>0.901809067131648</v>
      </c>
      <c r="F112" s="9" t="n">
        <f aca="false">G112+H112</f>
        <v>2960</v>
      </c>
      <c r="G112" s="9" t="n">
        <v>2960</v>
      </c>
      <c r="H112" s="9" t="n">
        <f aca="false">0</f>
        <v>0</v>
      </c>
      <c r="I112" s="9"/>
      <c r="J112" s="30"/>
    </row>
    <row r="113" customFormat="false" ht="24.95" hidden="false" customHeight="true" outlineLevel="0" collapsed="false">
      <c r="A113" s="0" t="n">
        <v>31</v>
      </c>
      <c r="B113" s="34" t="n">
        <v>36008</v>
      </c>
      <c r="C113" s="1" t="n">
        <v>1272000</v>
      </c>
      <c r="D113" s="29" t="s">
        <v>41</v>
      </c>
      <c r="E113" s="33" t="n">
        <f aca="false">IF(D113="totale",(C113/(A113*24))/F113,IF(D113="marché libre",(C113/(A113*24))/G113,"spécifier histo"))</f>
        <v>0.577593722755013</v>
      </c>
      <c r="F113" s="9" t="n">
        <f aca="false">G113+H113</f>
        <v>2960</v>
      </c>
      <c r="G113" s="9" t="n">
        <v>2960</v>
      </c>
      <c r="H113" s="9" t="n">
        <f aca="false">0</f>
        <v>0</v>
      </c>
      <c r="I113" s="9"/>
      <c r="J113" s="30"/>
    </row>
    <row r="114" customFormat="false" ht="24.95" hidden="false" customHeight="true" outlineLevel="0" collapsed="false">
      <c r="A114" s="0" t="n">
        <v>30</v>
      </c>
      <c r="B114" s="31" t="n">
        <v>36039</v>
      </c>
      <c r="C114" s="1" t="n">
        <v>1201800</v>
      </c>
      <c r="D114" s="29" t="s">
        <v>41</v>
      </c>
      <c r="E114" s="33" t="n">
        <f aca="false">IF(D114="totale",(C114/(A114*24))/F114,IF(D114="marché libre",(C114/(A114*24))/G114,"spécifier histo"))</f>
        <v>0.563907657657658</v>
      </c>
      <c r="F114" s="9" t="n">
        <f aca="false">G114+H114</f>
        <v>2960</v>
      </c>
      <c r="G114" s="9" t="n">
        <v>2960</v>
      </c>
      <c r="H114" s="9" t="n">
        <f aca="false">0</f>
        <v>0</v>
      </c>
      <c r="I114" s="9"/>
      <c r="J114" s="30"/>
    </row>
    <row r="115" customFormat="false" ht="24.95" hidden="false" customHeight="true" outlineLevel="0" collapsed="false">
      <c r="A115" s="0" t="n">
        <v>31</v>
      </c>
      <c r="B115" s="34" t="n">
        <v>36069</v>
      </c>
      <c r="C115" s="1" t="n">
        <v>1423800</v>
      </c>
      <c r="D115" s="29" t="s">
        <v>41</v>
      </c>
      <c r="E115" s="33" t="n">
        <f aca="false">IF(D115="totale",(C115/(A115*24))/F115,IF(D115="marché libre",(C115/(A115*24))/G115,"spécifier histo"))</f>
        <v>0.646523539668701</v>
      </c>
      <c r="F115" s="9" t="n">
        <f aca="false">G115+H115</f>
        <v>2960</v>
      </c>
      <c r="G115" s="9" t="n">
        <v>2960</v>
      </c>
      <c r="H115" s="9" t="n">
        <f aca="false">0</f>
        <v>0</v>
      </c>
      <c r="I115" s="9"/>
      <c r="J115" s="30"/>
    </row>
    <row r="116" customFormat="false" ht="24.95" hidden="false" customHeight="true" outlineLevel="0" collapsed="false">
      <c r="A116" s="0" t="n">
        <v>30</v>
      </c>
      <c r="B116" s="31" t="n">
        <v>36100</v>
      </c>
      <c r="C116" s="1" t="n">
        <v>638400</v>
      </c>
      <c r="D116" s="29" t="s">
        <v>41</v>
      </c>
      <c r="E116" s="33" t="n">
        <f aca="false">IF(D116="totale",(C116/(A116*24))/F116,IF(D116="marché libre",(C116/(A116*24))/G116,"spécifier histo"))</f>
        <v>0.29954954954955</v>
      </c>
      <c r="F116" s="9" t="n">
        <f aca="false">G116+H116</f>
        <v>2960</v>
      </c>
      <c r="G116" s="9" t="n">
        <v>2960</v>
      </c>
      <c r="H116" s="9" t="n">
        <f aca="false">0</f>
        <v>0</v>
      </c>
      <c r="I116" s="9"/>
      <c r="J116" s="30"/>
    </row>
    <row r="117" customFormat="false" ht="24.95" hidden="false" customHeight="true" outlineLevel="0" collapsed="false">
      <c r="A117" s="0" t="n">
        <v>31</v>
      </c>
      <c r="B117" s="34" t="n">
        <v>36130</v>
      </c>
      <c r="C117" s="1" t="n">
        <v>609600</v>
      </c>
      <c r="D117" s="29" t="s">
        <v>41</v>
      </c>
      <c r="E117" s="33" t="n">
        <f aca="false">IF(D117="totale",(C117/(A117*24))/F117,IF(D117="marché libre",(C117/(A117*24))/G117,"spécifier histo"))</f>
        <v>0.276809067131648</v>
      </c>
      <c r="F117" s="9" t="n">
        <f aca="false">G117+H117</f>
        <v>2960</v>
      </c>
      <c r="G117" s="9" t="n">
        <v>2960</v>
      </c>
      <c r="H117" s="9" t="n">
        <f aca="false">0</f>
        <v>0</v>
      </c>
      <c r="I117" s="9"/>
      <c r="J117" s="30"/>
    </row>
    <row r="118" customFormat="false" ht="24.95" hidden="false" customHeight="true" outlineLevel="0" collapsed="false">
      <c r="A118" s="0" t="n">
        <v>31</v>
      </c>
      <c r="B118" s="31" t="n">
        <v>36161</v>
      </c>
      <c r="C118" s="1" t="n">
        <v>450600</v>
      </c>
      <c r="D118" s="29" t="s">
        <v>41</v>
      </c>
      <c r="E118" s="33" t="n">
        <f aca="false">IF(D118="totale",(C118/(A118*24))/F118,IF(D118="marché libre",(C118/(A118*24))/G118,"spécifier histo"))</f>
        <v>0.204609851787271</v>
      </c>
      <c r="F118" s="9" t="n">
        <f aca="false">G118+H118</f>
        <v>2960</v>
      </c>
      <c r="G118" s="9" t="n">
        <v>2960</v>
      </c>
      <c r="H118" s="9" t="n">
        <f aca="false">0</f>
        <v>0</v>
      </c>
      <c r="I118" s="9"/>
      <c r="J118" s="30"/>
    </row>
    <row r="119" customFormat="false" ht="24.95" hidden="false" customHeight="true" outlineLevel="0" collapsed="false">
      <c r="A119" s="0" t="n">
        <v>28</v>
      </c>
      <c r="B119" s="34" t="n">
        <v>36192</v>
      </c>
      <c r="C119" s="1" t="n">
        <v>381600</v>
      </c>
      <c r="D119" s="29" t="s">
        <v>41</v>
      </c>
      <c r="E119" s="33" t="n">
        <f aca="false">IF(D119="totale",(C119/(A119*24))/F119,IF(D119="marché libre",(C119/(A119*24))/G119,"spécifier histo"))</f>
        <v>0.191843629343629</v>
      </c>
      <c r="F119" s="9" t="n">
        <f aca="false">G119+H119</f>
        <v>2960</v>
      </c>
      <c r="G119" s="9" t="n">
        <v>2960</v>
      </c>
      <c r="H119" s="9" t="n">
        <f aca="false">0</f>
        <v>0</v>
      </c>
      <c r="I119" s="9"/>
      <c r="J119" s="30"/>
    </row>
    <row r="120" customFormat="false" ht="24.95" hidden="false" customHeight="true" outlineLevel="0" collapsed="false">
      <c r="A120" s="0" t="n">
        <v>31</v>
      </c>
      <c r="B120" s="31" t="n">
        <v>36220</v>
      </c>
      <c r="C120" s="1" t="n">
        <v>1060200</v>
      </c>
      <c r="D120" s="29" t="s">
        <v>41</v>
      </c>
      <c r="E120" s="33" t="n">
        <f aca="false">IF(D120="totale",(C120/(A120*24))/F120,IF(D120="marché libre",(C120/(A120*24))/G120,"spécifier histo"))</f>
        <v>0.481418918918919</v>
      </c>
      <c r="F120" s="9" t="n">
        <f aca="false">G120+H120</f>
        <v>2960</v>
      </c>
      <c r="G120" s="9" t="n">
        <v>2960</v>
      </c>
      <c r="H120" s="9" t="n">
        <f aca="false">0</f>
        <v>0</v>
      </c>
      <c r="I120" s="9"/>
      <c r="J120" s="30"/>
    </row>
    <row r="121" customFormat="false" ht="24.95" hidden="false" customHeight="true" outlineLevel="0" collapsed="false">
      <c r="A121" s="0" t="n">
        <v>30</v>
      </c>
      <c r="B121" s="34" t="n">
        <v>36251</v>
      </c>
      <c r="C121" s="1" t="n">
        <v>1538400</v>
      </c>
      <c r="D121" s="29" t="s">
        <v>41</v>
      </c>
      <c r="E121" s="33" t="n">
        <f aca="false">IF(D121="totale",(C121/(A121*24))/F121,IF(D121="marché libre",(C121/(A121*24))/G121,"spécifier histo"))</f>
        <v>0.721846846846847</v>
      </c>
      <c r="F121" s="9" t="n">
        <f aca="false">G121+H121</f>
        <v>2960</v>
      </c>
      <c r="G121" s="9" t="n">
        <v>2960</v>
      </c>
      <c r="H121" s="9" t="n">
        <f aca="false">0</f>
        <v>0</v>
      </c>
      <c r="I121" s="9"/>
      <c r="J121" s="30"/>
    </row>
    <row r="122" customFormat="false" ht="24.95" hidden="false" customHeight="true" outlineLevel="0" collapsed="false">
      <c r="A122" s="0" t="n">
        <v>31</v>
      </c>
      <c r="B122" s="31" t="n">
        <v>36281</v>
      </c>
      <c r="C122" s="1" t="n">
        <v>2327400</v>
      </c>
      <c r="D122" s="29" t="s">
        <v>41</v>
      </c>
      <c r="E122" s="33" t="n">
        <f aca="false">IF(D122="totale",(C122/(A122*24))/F122,IF(D122="marché libre",(C122/(A122*24))/G122,"spécifier histo"))</f>
        <v>1.05683304272014</v>
      </c>
      <c r="F122" s="9" t="n">
        <f aca="false">G122+H122</f>
        <v>2960</v>
      </c>
      <c r="G122" s="9" t="n">
        <v>2960</v>
      </c>
      <c r="H122" s="9" t="n">
        <f aca="false">0</f>
        <v>0</v>
      </c>
      <c r="I122" s="9"/>
      <c r="J122" s="30"/>
    </row>
    <row r="123" customFormat="false" ht="24.95" hidden="false" customHeight="true" outlineLevel="0" collapsed="false">
      <c r="A123" s="0" t="n">
        <v>30</v>
      </c>
      <c r="B123" s="34" t="n">
        <v>36312</v>
      </c>
      <c r="C123" s="1" t="n">
        <v>2133000</v>
      </c>
      <c r="D123" s="29" t="s">
        <v>41</v>
      </c>
      <c r="E123" s="33" t="n">
        <f aca="false">IF(D123="totale",(C123/(A123*24))/F123,IF(D123="marché libre",(C123/(A123*24))/G123,"spécifier histo"))</f>
        <v>1.00084459459459</v>
      </c>
      <c r="F123" s="9" t="n">
        <f aca="false">G123+H123</f>
        <v>2960</v>
      </c>
      <c r="G123" s="9" t="n">
        <v>2960</v>
      </c>
      <c r="H123" s="9" t="n">
        <f aca="false">0</f>
        <v>0</v>
      </c>
      <c r="I123" s="9"/>
      <c r="J123" s="30"/>
    </row>
    <row r="124" customFormat="false" ht="24.95" hidden="false" customHeight="true" outlineLevel="0" collapsed="false">
      <c r="A124" s="0" t="n">
        <v>31</v>
      </c>
      <c r="B124" s="31" t="n">
        <v>36342</v>
      </c>
      <c r="C124" s="1" t="n">
        <v>1732800</v>
      </c>
      <c r="D124" s="29" t="s">
        <v>41</v>
      </c>
      <c r="E124" s="33" t="n">
        <f aca="false">IF(D124="totale",(C124/(A124*24))/F124,IF(D124="marché libre",(C124/(A124*24))/G124,"spécifier histo"))</f>
        <v>0.786835222319093</v>
      </c>
      <c r="F124" s="9" t="n">
        <f aca="false">G124+H124</f>
        <v>2960</v>
      </c>
      <c r="G124" s="9" t="n">
        <v>2960</v>
      </c>
      <c r="H124" s="9" t="n">
        <f aca="false">0</f>
        <v>0</v>
      </c>
      <c r="I124" s="9"/>
      <c r="J124" s="30"/>
    </row>
    <row r="125" customFormat="false" ht="24.95" hidden="false" customHeight="true" outlineLevel="0" collapsed="false">
      <c r="A125" s="0" t="n">
        <v>31</v>
      </c>
      <c r="B125" s="34" t="n">
        <v>36373</v>
      </c>
      <c r="C125" s="1" t="n">
        <v>1266600</v>
      </c>
      <c r="D125" s="29" t="s">
        <v>41</v>
      </c>
      <c r="E125" s="33" t="n">
        <f aca="false">IF(D125="totale",(C125/(A125*24))/F125,IF(D125="marché libre",(C125/(A125*24))/G125,"spécifier histo"))</f>
        <v>0.575141673931997</v>
      </c>
      <c r="F125" s="9" t="n">
        <f aca="false">G125+H125</f>
        <v>2960</v>
      </c>
      <c r="G125" s="9" t="n">
        <v>2960</v>
      </c>
      <c r="H125" s="9" t="n">
        <f aca="false">0</f>
        <v>0</v>
      </c>
      <c r="I125" s="9"/>
      <c r="J125" s="30"/>
    </row>
    <row r="126" customFormat="false" ht="24.95" hidden="false" customHeight="true" outlineLevel="0" collapsed="false">
      <c r="A126" s="0" t="n">
        <v>30</v>
      </c>
      <c r="B126" s="31" t="n">
        <v>36404</v>
      </c>
      <c r="C126" s="1" t="n">
        <v>1275600</v>
      </c>
      <c r="D126" s="29" t="s">
        <v>41</v>
      </c>
      <c r="E126" s="33" t="n">
        <f aca="false">IF(D126="totale",(C126/(A126*24))/F126,IF(D126="marché libre",(C126/(A126*24))/G126,"spécifier histo"))</f>
        <v>0.598536036036036</v>
      </c>
      <c r="F126" s="9" t="n">
        <f aca="false">G126+H126</f>
        <v>2960</v>
      </c>
      <c r="G126" s="9" t="n">
        <v>2960</v>
      </c>
      <c r="H126" s="9" t="n">
        <f aca="false">0</f>
        <v>0</v>
      </c>
      <c r="I126" s="9"/>
      <c r="J126" s="30"/>
    </row>
    <row r="127" customFormat="false" ht="24.95" hidden="false" customHeight="true" outlineLevel="0" collapsed="false">
      <c r="A127" s="0" t="n">
        <v>31</v>
      </c>
      <c r="B127" s="34" t="n">
        <v>36434</v>
      </c>
      <c r="C127" s="1" t="n">
        <v>932400</v>
      </c>
      <c r="D127" s="29" t="s">
        <v>41</v>
      </c>
      <c r="E127" s="33" t="n">
        <f aca="false">IF(D127="totale",(C127/(A127*24))/F127,IF(D127="marché libre",(C127/(A127*24))/G127,"spécifier histo"))</f>
        <v>0.423387096774194</v>
      </c>
      <c r="F127" s="9" t="n">
        <f aca="false">G127+H127</f>
        <v>2960</v>
      </c>
      <c r="G127" s="9" t="n">
        <v>2960</v>
      </c>
      <c r="H127" s="9" t="n">
        <f aca="false">0</f>
        <v>0</v>
      </c>
      <c r="I127" s="9"/>
      <c r="J127" s="30"/>
    </row>
    <row r="128" customFormat="false" ht="24.95" hidden="false" customHeight="true" outlineLevel="0" collapsed="false">
      <c r="A128" s="0" t="n">
        <v>30</v>
      </c>
      <c r="B128" s="31" t="n">
        <v>36465</v>
      </c>
      <c r="C128" s="1" t="n">
        <v>782400</v>
      </c>
      <c r="D128" s="29" t="s">
        <v>41</v>
      </c>
      <c r="E128" s="33" t="n">
        <f aca="false">IF(D128="totale",(C128/(A128*24))/F128,IF(D128="marché libre",(C128/(A128*24))/G128,"spécifier histo"))</f>
        <v>0.367117117117117</v>
      </c>
      <c r="F128" s="9" t="n">
        <f aca="false">G128+H128</f>
        <v>2960</v>
      </c>
      <c r="G128" s="9" t="n">
        <v>2960</v>
      </c>
      <c r="H128" s="9" t="n">
        <f aca="false">0</f>
        <v>0</v>
      </c>
      <c r="I128" s="9"/>
      <c r="J128" s="30"/>
    </row>
    <row r="129" customFormat="false" ht="24.95" hidden="false" customHeight="true" outlineLevel="0" collapsed="false">
      <c r="A129" s="0" t="n">
        <v>31</v>
      </c>
      <c r="B129" s="34" t="n">
        <v>36495</v>
      </c>
      <c r="C129" s="1" t="n">
        <v>894000</v>
      </c>
      <c r="D129" s="29" t="s">
        <v>41</v>
      </c>
      <c r="E129" s="33" t="n">
        <f aca="false">IF(D129="totale",(C129/(A129*24))/F129,IF(D129="marché libre",(C129/(A129*24))/G129,"spécifier histo"))</f>
        <v>0.405950305143853</v>
      </c>
      <c r="F129" s="9" t="n">
        <f aca="false">G129+H129</f>
        <v>2960</v>
      </c>
      <c r="G129" s="9" t="n">
        <v>2960</v>
      </c>
      <c r="H129" s="9" t="n">
        <f aca="false">0</f>
        <v>0</v>
      </c>
      <c r="I129" s="9"/>
      <c r="J129" s="30"/>
    </row>
    <row r="130" customFormat="false" ht="24.95" hidden="false" customHeight="true" outlineLevel="0" collapsed="false">
      <c r="A130" s="0" t="n">
        <v>31</v>
      </c>
      <c r="B130" s="31" t="n">
        <v>36526</v>
      </c>
      <c r="C130" s="1" t="n">
        <v>592800</v>
      </c>
      <c r="D130" s="29" t="s">
        <v>41</v>
      </c>
      <c r="E130" s="33" t="n">
        <f aca="false">IF(D130="totale",(C130/(A130*24))/F130,IF(D130="marché libre",(C130/(A130*24))/G130,"spécifier histo"))</f>
        <v>0.269180470793374</v>
      </c>
      <c r="F130" s="9" t="n">
        <f aca="false">G130+H130</f>
        <v>2960</v>
      </c>
      <c r="G130" s="9" t="n">
        <v>2960</v>
      </c>
      <c r="H130" s="9" t="n">
        <f aca="false">0</f>
        <v>0</v>
      </c>
      <c r="I130" s="9"/>
      <c r="J130" s="30"/>
    </row>
    <row r="131" customFormat="false" ht="24.95" hidden="false" customHeight="true" outlineLevel="0" collapsed="false">
      <c r="A131" s="0" t="n">
        <v>28</v>
      </c>
      <c r="B131" s="34" t="n">
        <v>36557</v>
      </c>
      <c r="C131" s="1" t="n">
        <v>599400</v>
      </c>
      <c r="D131" s="29" t="s">
        <v>41</v>
      </c>
      <c r="E131" s="33" t="n">
        <f aca="false">IF(D131="totale",(C131/(A131*24))/F131,IF(D131="marché libre",(C131/(A131*24))/G131,"spécifier histo"))</f>
        <v>0.301339285714286</v>
      </c>
      <c r="F131" s="9" t="n">
        <f aca="false">G131+H131</f>
        <v>2960</v>
      </c>
      <c r="G131" s="9" t="n">
        <v>2960</v>
      </c>
      <c r="H131" s="9" t="n">
        <f aca="false">0</f>
        <v>0</v>
      </c>
      <c r="I131" s="9"/>
      <c r="J131" s="30"/>
    </row>
    <row r="132" customFormat="false" ht="24.95" hidden="false" customHeight="true" outlineLevel="0" collapsed="false">
      <c r="A132" s="0" t="n">
        <v>31</v>
      </c>
      <c r="B132" s="31" t="n">
        <v>36586</v>
      </c>
      <c r="C132" s="1" t="n">
        <v>712800</v>
      </c>
      <c r="D132" s="29" t="s">
        <v>41</v>
      </c>
      <c r="E132" s="33" t="n">
        <f aca="false">IF(D132="totale",(C132/(A132*24))/F132,IF(D132="marché libre",(C132/(A132*24))/G132,"spécifier histo"))</f>
        <v>0.323670444638187</v>
      </c>
      <c r="F132" s="9" t="n">
        <f aca="false">G132+H132</f>
        <v>2960</v>
      </c>
      <c r="G132" s="9" t="n">
        <v>2960</v>
      </c>
      <c r="H132" s="9" t="n">
        <f aca="false">0</f>
        <v>0</v>
      </c>
      <c r="I132" s="9"/>
      <c r="J132" s="30"/>
    </row>
    <row r="133" customFormat="false" ht="24.95" hidden="false" customHeight="true" outlineLevel="0" collapsed="false">
      <c r="A133" s="0" t="n">
        <v>30</v>
      </c>
      <c r="B133" s="34" t="n">
        <v>36617</v>
      </c>
      <c r="C133" s="1" t="n">
        <v>1319400</v>
      </c>
      <c r="D133" s="29" t="s">
        <v>41</v>
      </c>
      <c r="E133" s="33" t="n">
        <f aca="false">IF(D133="totale",(C133/(A133*24))/F133,IF(D133="marché libre",(C133/(A133*24))/G133,"spécifier histo"))</f>
        <v>0.619087837837838</v>
      </c>
      <c r="F133" s="9" t="n">
        <f aca="false">G133+H133</f>
        <v>2960</v>
      </c>
      <c r="G133" s="9" t="n">
        <v>2960</v>
      </c>
      <c r="H133" s="9" t="n">
        <f aca="false">0</f>
        <v>0</v>
      </c>
      <c r="I133" s="9"/>
      <c r="J133" s="30"/>
    </row>
    <row r="134" customFormat="false" ht="24.95" hidden="false" customHeight="true" outlineLevel="0" collapsed="false">
      <c r="A134" s="0" t="n">
        <v>31</v>
      </c>
      <c r="B134" s="31" t="n">
        <v>36647</v>
      </c>
      <c r="C134" s="1" t="n">
        <v>2197200</v>
      </c>
      <c r="D134" s="29" t="s">
        <v>41</v>
      </c>
      <c r="E134" s="33" t="n">
        <f aca="false">IF(D134="totale",(C134/(A134*24))/F134,IF(D134="marché libre",(C134/(A134*24))/G134,"spécifier histo"))</f>
        <v>0.997711421098518</v>
      </c>
      <c r="F134" s="9" t="n">
        <f aca="false">G134+H134</f>
        <v>2960</v>
      </c>
      <c r="G134" s="9" t="n">
        <v>2960</v>
      </c>
      <c r="H134" s="9" t="n">
        <f aca="false">0</f>
        <v>0</v>
      </c>
      <c r="I134" s="9"/>
      <c r="J134" s="30"/>
    </row>
    <row r="135" customFormat="false" ht="24.95" hidden="false" customHeight="true" outlineLevel="0" collapsed="false">
      <c r="A135" s="0" t="n">
        <v>30</v>
      </c>
      <c r="B135" s="34" t="n">
        <v>36678</v>
      </c>
      <c r="C135" s="1" t="n">
        <v>2163000</v>
      </c>
      <c r="D135" s="29" t="s">
        <v>41</v>
      </c>
      <c r="E135" s="33" t="n">
        <f aca="false">IF(D135="totale",(C135/(A135*24))/F135,IF(D135="marché libre",(C135/(A135*24))/G135,"spécifier histo"))</f>
        <v>1.01492117117117</v>
      </c>
      <c r="F135" s="9" t="n">
        <f aca="false">G135+H135</f>
        <v>2960</v>
      </c>
      <c r="G135" s="9" t="n">
        <v>2960</v>
      </c>
      <c r="H135" s="9" t="n">
        <f aca="false">0</f>
        <v>0</v>
      </c>
      <c r="I135" s="9"/>
      <c r="J135" s="30"/>
    </row>
    <row r="136" customFormat="false" ht="24.95" hidden="false" customHeight="true" outlineLevel="0" collapsed="false">
      <c r="A136" s="0" t="n">
        <v>31</v>
      </c>
      <c r="B136" s="31" t="n">
        <v>36708</v>
      </c>
      <c r="C136" s="1" t="n">
        <v>1587600</v>
      </c>
      <c r="D136" s="29" t="s">
        <v>41</v>
      </c>
      <c r="E136" s="33" t="n">
        <f aca="false">IF(D136="totale",(C136/(A136*24))/F136,IF(D136="marché libre",(C136/(A136*24))/G136,"spécifier histo"))</f>
        <v>0.72090235396687</v>
      </c>
      <c r="F136" s="9" t="n">
        <f aca="false">G136+H136</f>
        <v>2960</v>
      </c>
      <c r="G136" s="9" t="n">
        <v>2960</v>
      </c>
      <c r="H136" s="9" t="n">
        <f aca="false">0</f>
        <v>0</v>
      </c>
      <c r="I136" s="9"/>
      <c r="J136" s="30"/>
    </row>
    <row r="137" customFormat="false" ht="24.95" hidden="false" customHeight="true" outlineLevel="0" collapsed="false">
      <c r="A137" s="0" t="n">
        <v>31</v>
      </c>
      <c r="B137" s="34" t="n">
        <v>36739</v>
      </c>
      <c r="C137" s="1" t="n">
        <v>1035000</v>
      </c>
      <c r="D137" s="29" t="s">
        <v>41</v>
      </c>
      <c r="E137" s="33" t="n">
        <f aca="false">IF(D137="totale",(C137/(A137*24))/F137,IF(D137="marché libre",(C137/(A137*24))/G137,"spécifier histo"))</f>
        <v>0.469976024411508</v>
      </c>
      <c r="F137" s="9" t="n">
        <f aca="false">G137+H137</f>
        <v>2960</v>
      </c>
      <c r="G137" s="9" t="n">
        <v>2960</v>
      </c>
      <c r="H137" s="9" t="n">
        <f aca="false">0</f>
        <v>0</v>
      </c>
      <c r="I137" s="9"/>
      <c r="J137" s="30"/>
    </row>
    <row r="138" customFormat="false" ht="24.95" hidden="false" customHeight="true" outlineLevel="0" collapsed="false">
      <c r="A138" s="0" t="n">
        <v>30</v>
      </c>
      <c r="B138" s="31" t="n">
        <v>36770</v>
      </c>
      <c r="C138" s="1" t="n">
        <v>706800</v>
      </c>
      <c r="D138" s="29" t="s">
        <v>41</v>
      </c>
      <c r="E138" s="33" t="n">
        <f aca="false">IF(D138="totale",(C138/(A138*24))/F138,IF(D138="marché libre",(C138/(A138*24))/G138,"spécifier histo"))</f>
        <v>0.331644144144144</v>
      </c>
      <c r="F138" s="9" t="n">
        <f aca="false">G138+H138</f>
        <v>2960</v>
      </c>
      <c r="G138" s="9" t="n">
        <v>2960</v>
      </c>
      <c r="H138" s="9" t="n">
        <f aca="false">0</f>
        <v>0</v>
      </c>
      <c r="I138" s="9"/>
      <c r="J138" s="30"/>
    </row>
    <row r="139" customFormat="false" ht="24.95" hidden="false" customHeight="true" outlineLevel="0" collapsed="false">
      <c r="A139" s="0" t="n">
        <v>31</v>
      </c>
      <c r="B139" s="34" t="n">
        <v>36800</v>
      </c>
      <c r="C139" s="1" t="n">
        <v>1193400</v>
      </c>
      <c r="D139" s="29" t="s">
        <v>41</v>
      </c>
      <c r="E139" s="33" t="n">
        <f aca="false">IF(D139="totale",(C139/(A139*24))/F139,IF(D139="marché libre",(C139/(A139*24))/G139,"spécifier histo"))</f>
        <v>0.541902789886661</v>
      </c>
      <c r="F139" s="9" t="n">
        <f aca="false">G139+H139</f>
        <v>2960</v>
      </c>
      <c r="G139" s="9" t="n">
        <v>2960</v>
      </c>
      <c r="H139" s="9" t="n">
        <f aca="false">0</f>
        <v>0</v>
      </c>
      <c r="I139" s="9"/>
      <c r="J139" s="30"/>
    </row>
    <row r="140" customFormat="false" ht="24.95" hidden="false" customHeight="true" outlineLevel="0" collapsed="false">
      <c r="A140" s="0" t="n">
        <v>30</v>
      </c>
      <c r="B140" s="31" t="n">
        <v>36831</v>
      </c>
      <c r="C140" s="1" t="n">
        <v>1510800</v>
      </c>
      <c r="D140" s="29" t="s">
        <v>41</v>
      </c>
      <c r="E140" s="33" t="n">
        <f aca="false">IF(D140="totale",(C140/(A140*24))/F140,IF(D140="marché libre",(C140/(A140*24))/G140,"spécifier histo"))</f>
        <v>0.708896396396396</v>
      </c>
      <c r="F140" s="9" t="n">
        <f aca="false">G140+H140</f>
        <v>2960</v>
      </c>
      <c r="G140" s="9" t="n">
        <v>2960</v>
      </c>
      <c r="H140" s="9" t="n">
        <f aca="false">0</f>
        <v>0</v>
      </c>
      <c r="I140" s="9"/>
      <c r="J140" s="30"/>
    </row>
    <row r="141" customFormat="false" ht="24.95" hidden="false" customHeight="true" outlineLevel="0" collapsed="false">
      <c r="A141" s="0" t="n">
        <v>31</v>
      </c>
      <c r="B141" s="34" t="n">
        <v>36861</v>
      </c>
      <c r="C141" s="1" t="n">
        <v>1526400</v>
      </c>
      <c r="D141" s="29" t="s">
        <v>41</v>
      </c>
      <c r="E141" s="33" t="n">
        <f aca="false">IF(D141="totale",(C141/(A141*24))/F141,IF(D141="marché libre",(C141/(A141*24))/G141,"spécifier histo"))</f>
        <v>0.693112467306016</v>
      </c>
      <c r="F141" s="9" t="n">
        <f aca="false">G141+H141</f>
        <v>2960</v>
      </c>
      <c r="G141" s="9" t="n">
        <v>2960</v>
      </c>
      <c r="H141" s="9" t="n">
        <f aca="false">0</f>
        <v>0</v>
      </c>
      <c r="I141" s="9"/>
      <c r="J141" s="30"/>
    </row>
    <row r="142" customFormat="false" ht="24.95" hidden="false" customHeight="true" outlineLevel="0" collapsed="false">
      <c r="A142" s="0" t="n">
        <v>31</v>
      </c>
      <c r="B142" s="31" t="n">
        <v>36892</v>
      </c>
      <c r="C142" s="1" t="n">
        <v>1629000</v>
      </c>
      <c r="D142" s="29" t="s">
        <v>41</v>
      </c>
      <c r="E142" s="33" t="n">
        <f aca="false">IF(D142="totale",(C142/(A142*24))/F142,IF(D142="marché libre",(C142/(A142*24))/G142,"spécifier histo"))</f>
        <v>0.73970139494333</v>
      </c>
      <c r="F142" s="9" t="n">
        <f aca="false">G142+H142</f>
        <v>2960</v>
      </c>
      <c r="G142" s="9" t="n">
        <v>2960</v>
      </c>
      <c r="H142" s="9" t="n">
        <f aca="false">0</f>
        <v>0</v>
      </c>
      <c r="I142" s="9"/>
      <c r="J142" s="30"/>
    </row>
    <row r="143" customFormat="false" ht="24.95" hidden="false" customHeight="true" outlineLevel="0" collapsed="false">
      <c r="A143" s="0" t="n">
        <v>28</v>
      </c>
      <c r="B143" s="34" t="n">
        <v>36923</v>
      </c>
      <c r="C143" s="1" t="n">
        <v>832000</v>
      </c>
      <c r="D143" s="29" t="s">
        <v>41</v>
      </c>
      <c r="E143" s="33" t="n">
        <f aca="false">IF(D143="totale",(C143/(A143*24))/F143,IF(D143="marché libre",(C143/(A143*24))/G143,"spécifier histo"))</f>
        <v>0.418275418275418</v>
      </c>
      <c r="F143" s="9" t="n">
        <f aca="false">G143+H143</f>
        <v>2960</v>
      </c>
      <c r="G143" s="9" t="n">
        <v>2960</v>
      </c>
      <c r="H143" s="9" t="n">
        <f aca="false">0</f>
        <v>0</v>
      </c>
      <c r="I143" s="9"/>
      <c r="J143" s="30"/>
    </row>
    <row r="144" customFormat="false" ht="24.95" hidden="false" customHeight="true" outlineLevel="0" collapsed="false">
      <c r="A144" s="0" t="n">
        <v>31</v>
      </c>
      <c r="B144" s="31" t="n">
        <v>36951</v>
      </c>
      <c r="C144" s="1" t="n">
        <v>2041200</v>
      </c>
      <c r="D144" s="29" t="s">
        <v>41</v>
      </c>
      <c r="E144" s="33" t="n">
        <f aca="false">IF(D144="totale",(C144/(A144*24))/F144,IF(D144="marché libre",(C144/(A144*24))/G144,"spécifier histo"))</f>
        <v>0.926874455100262</v>
      </c>
      <c r="F144" s="9" t="n">
        <f aca="false">G144+H144</f>
        <v>2960</v>
      </c>
      <c r="G144" s="9" t="n">
        <v>2960</v>
      </c>
      <c r="H144" s="9" t="n">
        <f aca="false">0</f>
        <v>0</v>
      </c>
      <c r="I144" s="9"/>
      <c r="J144" s="30"/>
    </row>
    <row r="145" customFormat="false" ht="24.95" hidden="false" customHeight="true" outlineLevel="0" collapsed="false">
      <c r="A145" s="0" t="n">
        <v>30</v>
      </c>
      <c r="B145" s="34" t="n">
        <v>36982</v>
      </c>
      <c r="C145" s="1" t="n">
        <v>1684800</v>
      </c>
      <c r="D145" s="29" t="s">
        <v>41</v>
      </c>
      <c r="E145" s="33" t="n">
        <f aca="false">IF(D145="totale",(C145/(A145*24))/F145,IF(D145="marché libre",(C145/(A145*24))/G145,"spécifier histo"))</f>
        <v>0.790540540540541</v>
      </c>
      <c r="F145" s="9" t="n">
        <f aca="false">G145+H145</f>
        <v>2960</v>
      </c>
      <c r="G145" s="9" t="n">
        <v>2960</v>
      </c>
      <c r="H145" s="9" t="n">
        <f aca="false">0</f>
        <v>0</v>
      </c>
      <c r="I145" s="9"/>
      <c r="J145" s="30"/>
    </row>
    <row r="146" customFormat="false" ht="24.95" hidden="false" customHeight="true" outlineLevel="0" collapsed="false">
      <c r="A146" s="0" t="n">
        <v>31</v>
      </c>
      <c r="B146" s="31" t="n">
        <v>37012</v>
      </c>
      <c r="C146" s="1" t="n">
        <v>2160600</v>
      </c>
      <c r="D146" s="29" t="s">
        <v>41</v>
      </c>
      <c r="E146" s="33" t="n">
        <f aca="false">IF(D146="totale",(C146/(A146*24))/F146,IF(D146="marché libre",(C146/(A146*24))/G146,"spécifier histo"))</f>
        <v>0.98109197907585</v>
      </c>
      <c r="F146" s="9" t="n">
        <f aca="false">G146+H146</f>
        <v>2960</v>
      </c>
      <c r="G146" s="9" t="n">
        <v>2960</v>
      </c>
      <c r="H146" s="9" t="n">
        <f aca="false">0</f>
        <v>0</v>
      </c>
      <c r="I146" s="9"/>
      <c r="J146" s="30"/>
    </row>
    <row r="147" customFormat="false" ht="24.95" hidden="false" customHeight="true" outlineLevel="0" collapsed="false">
      <c r="A147" s="0" t="n">
        <v>30</v>
      </c>
      <c r="B147" s="34" t="n">
        <v>37043</v>
      </c>
      <c r="C147" s="1" t="n">
        <v>2057400</v>
      </c>
      <c r="D147" s="29" t="s">
        <v>41</v>
      </c>
      <c r="E147" s="33" t="n">
        <f aca="false">IF(D147="totale",(C147/(A147*24))/F147,IF(D147="marché libre",(C147/(A147*24))/G147,"spécifier histo"))</f>
        <v>0.965371621621622</v>
      </c>
      <c r="F147" s="9" t="n">
        <f aca="false">G147+H147</f>
        <v>2960</v>
      </c>
      <c r="G147" s="9" t="n">
        <v>2960</v>
      </c>
      <c r="H147" s="9" t="n">
        <f aca="false">0</f>
        <v>0</v>
      </c>
      <c r="I147" s="9"/>
      <c r="J147" s="30"/>
    </row>
    <row r="148" customFormat="false" ht="24.95" hidden="false" customHeight="true" outlineLevel="0" collapsed="false">
      <c r="A148" s="0" t="n">
        <v>31</v>
      </c>
      <c r="B148" s="31" t="n">
        <v>37073</v>
      </c>
      <c r="C148" s="1" t="n">
        <v>2033400</v>
      </c>
      <c r="D148" s="29" t="s">
        <v>41</v>
      </c>
      <c r="E148" s="33" t="n">
        <f aca="false">IF(D148="totale",(C148/(A148*24))/F148,IF(D148="marché libre",(C148/(A148*24))/G148,"spécifier histo"))</f>
        <v>0.923332606800349</v>
      </c>
      <c r="F148" s="9" t="n">
        <f aca="false">G148+H148</f>
        <v>2960</v>
      </c>
      <c r="G148" s="9" t="n">
        <v>2960</v>
      </c>
      <c r="H148" s="9" t="n">
        <f aca="false">0</f>
        <v>0</v>
      </c>
      <c r="I148" s="9"/>
      <c r="J148" s="30"/>
    </row>
    <row r="149" customFormat="false" ht="24.95" hidden="false" customHeight="true" outlineLevel="0" collapsed="false">
      <c r="A149" s="0" t="n">
        <v>31</v>
      </c>
      <c r="B149" s="34" t="n">
        <v>37104</v>
      </c>
      <c r="C149" s="1" t="n">
        <v>1938000</v>
      </c>
      <c r="D149" s="29" t="s">
        <v>41</v>
      </c>
      <c r="E149" s="33" t="n">
        <f aca="false">IF(D149="totale",(C149/(A149*24))/F149,IF(D149="marché libre",(C149/(A149*24))/G149,"spécifier histo"))</f>
        <v>0.880013077593723</v>
      </c>
      <c r="F149" s="9" t="n">
        <f aca="false">G149+H149</f>
        <v>2960</v>
      </c>
      <c r="G149" s="9" t="n">
        <v>2960</v>
      </c>
      <c r="H149" s="9" t="n">
        <f aca="false">0</f>
        <v>0</v>
      </c>
      <c r="I149" s="9"/>
      <c r="J149" s="30"/>
    </row>
    <row r="150" customFormat="false" ht="24.95" hidden="false" customHeight="true" outlineLevel="0" collapsed="false">
      <c r="A150" s="0" t="n">
        <v>30</v>
      </c>
      <c r="B150" s="31" t="n">
        <v>37135</v>
      </c>
      <c r="C150" s="1" t="n">
        <v>974400</v>
      </c>
      <c r="D150" s="29" t="s">
        <v>41</v>
      </c>
      <c r="E150" s="33" t="n">
        <f aca="false">IF(D150="totale",(C150/(A150*24))/F150,IF(D150="marché libre",(C150/(A150*24))/G150,"spécifier histo"))</f>
        <v>0.457207207207207</v>
      </c>
      <c r="F150" s="9" t="n">
        <f aca="false">G150+H150</f>
        <v>2960</v>
      </c>
      <c r="G150" s="9" t="n">
        <v>2960</v>
      </c>
      <c r="H150" s="9" t="n">
        <f aca="false">0</f>
        <v>0</v>
      </c>
      <c r="I150" s="9"/>
      <c r="J150" s="30"/>
    </row>
    <row r="151" customFormat="false" ht="24.95" hidden="false" customHeight="true" outlineLevel="0" collapsed="false">
      <c r="A151" s="0" t="n">
        <v>31</v>
      </c>
      <c r="B151" s="34" t="n">
        <v>37165</v>
      </c>
      <c r="C151" s="1" t="n">
        <v>1345800</v>
      </c>
      <c r="D151" s="29" t="s">
        <v>41</v>
      </c>
      <c r="E151" s="33" t="n">
        <f aca="false">IF(D151="totale",(C151/(A151*24))/F151,IF(D151="marché libre",(C151/(A151*24))/G151,"spécifier histo"))</f>
        <v>0.611105056669573</v>
      </c>
      <c r="F151" s="9" t="n">
        <f aca="false">G151+H151</f>
        <v>2960</v>
      </c>
      <c r="G151" s="9" t="n">
        <v>2960</v>
      </c>
      <c r="H151" s="9" t="n">
        <f aca="false">0</f>
        <v>0</v>
      </c>
      <c r="I151" s="9"/>
      <c r="J151" s="30"/>
    </row>
    <row r="152" customFormat="false" ht="24.95" hidden="false" customHeight="true" outlineLevel="0" collapsed="false">
      <c r="A152" s="0" t="n">
        <v>30</v>
      </c>
      <c r="B152" s="31" t="n">
        <v>37196</v>
      </c>
      <c r="C152" s="1" t="n">
        <v>892800</v>
      </c>
      <c r="D152" s="29" t="s">
        <v>41</v>
      </c>
      <c r="E152" s="33" t="n">
        <f aca="false">IF(D152="totale",(C152/(A152*24))/F152,IF(D152="marché libre",(C152/(A152*24))/G152,"spécifier histo"))</f>
        <v>0.418918918918919</v>
      </c>
      <c r="F152" s="9" t="n">
        <f aca="false">G152+H152</f>
        <v>2960</v>
      </c>
      <c r="G152" s="9" t="n">
        <v>2960</v>
      </c>
      <c r="H152" s="9" t="n">
        <f aca="false">0</f>
        <v>0</v>
      </c>
      <c r="I152" s="9"/>
      <c r="J152" s="30"/>
    </row>
    <row r="153" customFormat="false" ht="24.95" hidden="false" customHeight="true" outlineLevel="0" collapsed="false">
      <c r="A153" s="0" t="n">
        <v>31</v>
      </c>
      <c r="B153" s="34" t="n">
        <v>37226</v>
      </c>
      <c r="C153" s="1" t="n">
        <v>529200</v>
      </c>
      <c r="D153" s="29" t="s">
        <v>41</v>
      </c>
      <c r="E153" s="33" t="n">
        <f aca="false">IF(D153="totale",(C153/(A153*24))/F153,IF(D153="marché libre",(C153/(A153*24))/G153,"spécifier histo"))</f>
        <v>0.240300784655623</v>
      </c>
      <c r="F153" s="9" t="n">
        <f aca="false">G153+H153</f>
        <v>2960</v>
      </c>
      <c r="G153" s="9" t="n">
        <v>2960</v>
      </c>
      <c r="H153" s="9" t="n">
        <f aca="false">0</f>
        <v>0</v>
      </c>
      <c r="I153" s="9"/>
      <c r="J153" s="30"/>
    </row>
    <row r="154" customFormat="false" ht="24.95" hidden="false" customHeight="true" outlineLevel="0" collapsed="false">
      <c r="A154" s="0" t="n">
        <v>31</v>
      </c>
      <c r="B154" s="31" t="n">
        <v>37257</v>
      </c>
      <c r="C154" s="1" t="n">
        <v>406200</v>
      </c>
      <c r="D154" s="29" t="s">
        <v>41</v>
      </c>
      <c r="E154" s="33" t="n">
        <f aca="false">IF(D154="totale",(C154/(A154*24))/F154,IF(D154="marché libre",(C154/(A154*24))/G154,"spécifier histo"))</f>
        <v>0.184448561464691</v>
      </c>
      <c r="F154" s="9" t="n">
        <f aca="false">G154+H154</f>
        <v>2960</v>
      </c>
      <c r="G154" s="9" t="n">
        <v>2960</v>
      </c>
      <c r="H154" s="9" t="n">
        <f aca="false">0</f>
        <v>0</v>
      </c>
      <c r="I154" s="9"/>
      <c r="J154" s="30"/>
    </row>
    <row r="155" customFormat="false" ht="24.95" hidden="false" customHeight="true" outlineLevel="0" collapsed="false">
      <c r="A155" s="0" t="n">
        <v>28</v>
      </c>
      <c r="B155" s="34" t="n">
        <v>37288</v>
      </c>
      <c r="C155" s="1" t="n">
        <v>534600</v>
      </c>
      <c r="D155" s="29" t="s">
        <v>41</v>
      </c>
      <c r="E155" s="33" t="n">
        <f aca="false">IF(D155="totale",(C155/(A155*24))/F155,IF(D155="marché libre",(C155/(A155*24))/G155,"spécifier histo"))</f>
        <v>0.268762065637066</v>
      </c>
      <c r="F155" s="9" t="n">
        <f aca="false">G155+H155</f>
        <v>2960</v>
      </c>
      <c r="G155" s="9" t="n">
        <v>2960</v>
      </c>
      <c r="H155" s="9" t="n">
        <f aca="false">0</f>
        <v>0</v>
      </c>
      <c r="I155" s="9"/>
      <c r="J155" s="30"/>
    </row>
    <row r="156" customFormat="false" ht="24.95" hidden="false" customHeight="true" outlineLevel="0" collapsed="false">
      <c r="A156" s="0" t="n">
        <v>31</v>
      </c>
      <c r="B156" s="31" t="n">
        <v>37316</v>
      </c>
      <c r="C156" s="1" t="n">
        <v>1604400</v>
      </c>
      <c r="D156" s="29" t="s">
        <v>41</v>
      </c>
      <c r="E156" s="33" t="n">
        <f aca="false">IF(D156="totale",(C156/(A156*24))/F156,IF(D156="marché libre",(C156/(A156*24))/G156,"spécifier histo"))</f>
        <v>0.728530950305144</v>
      </c>
      <c r="F156" s="9" t="n">
        <f aca="false">G156+H156</f>
        <v>2960</v>
      </c>
      <c r="G156" s="9" t="n">
        <v>2960</v>
      </c>
      <c r="H156" s="9" t="n">
        <f aca="false">0</f>
        <v>0</v>
      </c>
      <c r="I156" s="9"/>
      <c r="J156" s="30"/>
    </row>
    <row r="157" customFormat="false" ht="24.95" hidden="false" customHeight="true" outlineLevel="0" collapsed="false">
      <c r="A157" s="0" t="n">
        <v>30</v>
      </c>
      <c r="B157" s="34" t="n">
        <v>37347</v>
      </c>
      <c r="C157" s="1" t="n">
        <v>1773600</v>
      </c>
      <c r="D157" s="29" t="s">
        <v>41</v>
      </c>
      <c r="E157" s="33" t="n">
        <f aca="false">IF(D157="totale",(C157/(A157*24))/F157,IF(D157="marché libre",(C157/(A157*24))/G157,"spécifier histo"))</f>
        <v>0.832207207207207</v>
      </c>
      <c r="F157" s="9" t="n">
        <f aca="false">G157+H157</f>
        <v>2960</v>
      </c>
      <c r="G157" s="9" t="n">
        <v>2960</v>
      </c>
      <c r="H157" s="9" t="n">
        <f aca="false">0</f>
        <v>0</v>
      </c>
      <c r="I157" s="9"/>
      <c r="J157" s="30"/>
    </row>
    <row r="158" customFormat="false" ht="24.95" hidden="false" customHeight="true" outlineLevel="0" collapsed="false">
      <c r="A158" s="0" t="n">
        <v>31</v>
      </c>
      <c r="B158" s="31" t="n">
        <v>37377</v>
      </c>
      <c r="C158" s="1" t="n">
        <v>1843800</v>
      </c>
      <c r="D158" s="29" t="s">
        <v>41</v>
      </c>
      <c r="E158" s="33" t="n">
        <f aca="false">IF(D158="totale",(C158/(A158*24))/F158,IF(D158="marché libre",(C158/(A158*24))/G158,"spécifier histo"))</f>
        <v>0.837238448125545</v>
      </c>
      <c r="F158" s="9" t="n">
        <f aca="false">G158+H158</f>
        <v>2960</v>
      </c>
      <c r="G158" s="9" t="n">
        <v>2960</v>
      </c>
      <c r="H158" s="9" t="n">
        <f aca="false">0</f>
        <v>0</v>
      </c>
      <c r="I158" s="9"/>
      <c r="J158" s="30"/>
    </row>
    <row r="159" customFormat="false" ht="24.95" hidden="false" customHeight="true" outlineLevel="0" collapsed="false">
      <c r="A159" s="0" t="n">
        <v>30</v>
      </c>
      <c r="B159" s="34" t="n">
        <v>37408</v>
      </c>
      <c r="C159" s="1" t="n">
        <v>1931400</v>
      </c>
      <c r="D159" s="29" t="s">
        <v>41</v>
      </c>
      <c r="E159" s="33" t="n">
        <f aca="false">IF(D159="totale",(C159/(A159*24))/F159,IF(D159="marché libre",(C159/(A159*24))/G159,"spécifier histo"))</f>
        <v>0.90625</v>
      </c>
      <c r="F159" s="9" t="n">
        <f aca="false">G159+H159</f>
        <v>2960</v>
      </c>
      <c r="G159" s="9" t="n">
        <v>2960</v>
      </c>
      <c r="H159" s="9" t="n">
        <f aca="false">0</f>
        <v>0</v>
      </c>
      <c r="I159" s="9"/>
      <c r="J159" s="30"/>
    </row>
    <row r="160" customFormat="false" ht="24.95" hidden="false" customHeight="true" outlineLevel="0" collapsed="false">
      <c r="A160" s="0" t="n">
        <v>31</v>
      </c>
      <c r="B160" s="31" t="n">
        <v>37438</v>
      </c>
      <c r="C160" s="1" t="n">
        <v>1759800</v>
      </c>
      <c r="D160" s="29" t="s">
        <v>41</v>
      </c>
      <c r="E160" s="33" t="n">
        <f aca="false">IF(D160="totale",(C160/(A160*24))/F160,IF(D160="marché libre",(C160/(A160*24))/G160,"spécifier histo"))</f>
        <v>0.799095466434176</v>
      </c>
      <c r="F160" s="9" t="n">
        <f aca="false">G160+H160</f>
        <v>2960</v>
      </c>
      <c r="G160" s="9" t="n">
        <v>2960</v>
      </c>
      <c r="H160" s="9" t="n">
        <f aca="false">0</f>
        <v>0</v>
      </c>
      <c r="I160" s="9"/>
      <c r="J160" s="30"/>
    </row>
    <row r="161" customFormat="false" ht="24.95" hidden="false" customHeight="true" outlineLevel="0" collapsed="false">
      <c r="A161" s="0" t="n">
        <v>31</v>
      </c>
      <c r="B161" s="34" t="n">
        <v>37469</v>
      </c>
      <c r="C161" s="1" t="n">
        <v>1577400</v>
      </c>
      <c r="D161" s="29" t="s">
        <v>41</v>
      </c>
      <c r="E161" s="33" t="n">
        <f aca="false">IF(D161="totale",(C161/(A161*24))/F161,IF(D161="marché libre",(C161/(A161*24))/G161,"spécifier histo"))</f>
        <v>0.716270706190061</v>
      </c>
      <c r="F161" s="9" t="n">
        <f aca="false">G161+H161</f>
        <v>2960</v>
      </c>
      <c r="G161" s="9" t="n">
        <v>2960</v>
      </c>
      <c r="H161" s="9" t="n">
        <f aca="false">0</f>
        <v>0</v>
      </c>
      <c r="I161" s="9"/>
      <c r="J161" s="30"/>
    </row>
    <row r="162" customFormat="false" ht="24.95" hidden="false" customHeight="true" outlineLevel="0" collapsed="false">
      <c r="A162" s="0" t="n">
        <v>30</v>
      </c>
      <c r="B162" s="31" t="n">
        <v>37500</v>
      </c>
      <c r="C162" s="1" t="n">
        <v>1665600</v>
      </c>
      <c r="D162" s="29" t="s">
        <v>41</v>
      </c>
      <c r="E162" s="33" t="n">
        <f aca="false">IF(D162="totale",(C162/(A162*24))/F162,IF(D162="marché libre",(C162/(A162*24))/G162,"spécifier histo"))</f>
        <v>0.781531531531532</v>
      </c>
      <c r="F162" s="9" t="n">
        <f aca="false">G162+H162</f>
        <v>2960</v>
      </c>
      <c r="G162" s="9" t="n">
        <v>2960</v>
      </c>
      <c r="H162" s="9" t="n">
        <f aca="false">0</f>
        <v>0</v>
      </c>
      <c r="I162" s="9"/>
      <c r="J162" s="30"/>
    </row>
    <row r="163" customFormat="false" ht="24.95" hidden="false" customHeight="true" outlineLevel="0" collapsed="false">
      <c r="A163" s="0" t="n">
        <v>31</v>
      </c>
      <c r="B163" s="34" t="n">
        <v>37530</v>
      </c>
      <c r="C163" s="1" t="n">
        <v>1324200</v>
      </c>
      <c r="D163" s="29" t="s">
        <v>41</v>
      </c>
      <c r="E163" s="33" t="n">
        <f aca="false">IF(D163="totale",(C163/(A163*24))/F163,IF(D163="marché libre",(C163/(A163*24))/G163,"spécifier histo"))</f>
        <v>0.601296861377506</v>
      </c>
      <c r="F163" s="9" t="n">
        <f aca="false">G163+H163</f>
        <v>2960</v>
      </c>
      <c r="G163" s="9" t="n">
        <v>2960</v>
      </c>
      <c r="H163" s="9" t="n">
        <f aca="false">0</f>
        <v>0</v>
      </c>
      <c r="I163" s="9"/>
      <c r="J163" s="30"/>
    </row>
    <row r="164" customFormat="false" ht="24.95" hidden="false" customHeight="true" outlineLevel="0" collapsed="false">
      <c r="A164" s="0" t="n">
        <v>30</v>
      </c>
      <c r="B164" s="31" t="n">
        <v>37561</v>
      </c>
      <c r="C164" s="1" t="n">
        <v>2008200</v>
      </c>
      <c r="D164" s="29" t="s">
        <v>41</v>
      </c>
      <c r="E164" s="33" t="n">
        <f aca="false">IF(D164="totale",(C164/(A164*24))/F164,IF(D164="marché libre",(C164/(A164*24))/G164,"spécifier histo"))</f>
        <v>0.942286036036036</v>
      </c>
      <c r="F164" s="9" t="n">
        <f aca="false">G164+H164</f>
        <v>2960</v>
      </c>
      <c r="G164" s="9" t="n">
        <v>2960</v>
      </c>
      <c r="H164" s="9" t="n">
        <f aca="false">0</f>
        <v>0</v>
      </c>
      <c r="I164" s="9"/>
      <c r="J164" s="30"/>
    </row>
    <row r="165" customFormat="false" ht="24.95" hidden="false" customHeight="true" outlineLevel="0" collapsed="false">
      <c r="A165" s="0" t="n">
        <v>31</v>
      </c>
      <c r="B165" s="34" t="n">
        <v>37591</v>
      </c>
      <c r="C165" s="1" t="n">
        <v>1857600</v>
      </c>
      <c r="D165" s="29" t="s">
        <v>41</v>
      </c>
      <c r="E165" s="33" t="n">
        <f aca="false">IF(D165="totale",(C165/(A165*24))/F165,IF(D165="marché libre",(C165/(A165*24))/G165,"spécifier histo"))</f>
        <v>0.843504795117698</v>
      </c>
      <c r="F165" s="9" t="n">
        <f aca="false">G165+H165</f>
        <v>2960</v>
      </c>
      <c r="G165" s="9" t="n">
        <v>2960</v>
      </c>
      <c r="H165" s="9" t="n">
        <f aca="false">0</f>
        <v>0</v>
      </c>
      <c r="I165" s="9"/>
      <c r="J165" s="30"/>
    </row>
    <row r="166" customFormat="false" ht="24.95" hidden="false" customHeight="true" outlineLevel="0" collapsed="false">
      <c r="A166" s="0" t="n">
        <v>31</v>
      </c>
      <c r="B166" s="31" t="n">
        <v>37622</v>
      </c>
      <c r="C166" s="1" t="n">
        <v>1395000</v>
      </c>
      <c r="D166" s="29" t="s">
        <v>41</v>
      </c>
      <c r="E166" s="33" t="n">
        <f aca="false">IF(D166="totale",(C166/(A166*24))/F166,IF(D166="marché libre",(C166/(A166*24))/G166,"spécifier histo"))</f>
        <v>0.633445945945946</v>
      </c>
      <c r="F166" s="9" t="n">
        <f aca="false">G166+H166</f>
        <v>2960</v>
      </c>
      <c r="G166" s="9" t="n">
        <v>2960</v>
      </c>
      <c r="H166" s="9" t="n">
        <f aca="false">0</f>
        <v>0</v>
      </c>
      <c r="I166" s="9"/>
      <c r="J166" s="30"/>
    </row>
    <row r="167" customFormat="false" ht="24.95" hidden="false" customHeight="true" outlineLevel="0" collapsed="false">
      <c r="A167" s="0" t="n">
        <v>28</v>
      </c>
      <c r="B167" s="34" t="n">
        <v>37653</v>
      </c>
      <c r="C167" s="1" t="n">
        <v>879600</v>
      </c>
      <c r="D167" s="29" t="s">
        <v>41</v>
      </c>
      <c r="E167" s="33" t="n">
        <f aca="false">IF(D167="totale",(C167/(A167*24))/F167,IF(D167="marché libre",(C167/(A167*24))/G167,"spécifier histo"))</f>
        <v>0.442205598455598</v>
      </c>
      <c r="F167" s="9" t="n">
        <f aca="false">G167+H167</f>
        <v>2960</v>
      </c>
      <c r="G167" s="9" t="n">
        <v>2960</v>
      </c>
      <c r="H167" s="9" t="n">
        <f aca="false">0</f>
        <v>0</v>
      </c>
      <c r="I167" s="9"/>
      <c r="J167" s="30"/>
    </row>
    <row r="168" customFormat="false" ht="24.95" hidden="false" customHeight="true" outlineLevel="0" collapsed="false">
      <c r="A168" s="0" t="n">
        <v>31</v>
      </c>
      <c r="B168" s="31" t="n">
        <v>37681</v>
      </c>
      <c r="C168" s="1" t="n">
        <v>1935000</v>
      </c>
      <c r="D168" s="29" t="s">
        <v>41</v>
      </c>
      <c r="E168" s="33" t="n">
        <f aca="false">IF(D168="totale",(C168/(A168*24))/F168,IF(D168="marché libre",(C168/(A168*24))/G168,"spécifier histo"))</f>
        <v>0.878650828247602</v>
      </c>
      <c r="F168" s="9" t="n">
        <f aca="false">G168+H168</f>
        <v>2960</v>
      </c>
      <c r="G168" s="9" t="n">
        <v>2960</v>
      </c>
      <c r="H168" s="9" t="n">
        <f aca="false">0</f>
        <v>0</v>
      </c>
      <c r="I168" s="9"/>
      <c r="J168" s="30"/>
    </row>
    <row r="169" customFormat="false" ht="24.95" hidden="false" customHeight="true" outlineLevel="0" collapsed="false">
      <c r="A169" s="0" t="n">
        <v>30</v>
      </c>
      <c r="B169" s="34" t="n">
        <v>37712</v>
      </c>
      <c r="C169" s="1" t="n">
        <v>2116200</v>
      </c>
      <c r="D169" s="29" t="s">
        <v>41</v>
      </c>
      <c r="E169" s="33" t="n">
        <f aca="false">IF(D169="totale",(C169/(A169*24))/F169,IF(D169="marché libre",(C169/(A169*24))/G169,"spécifier histo"))</f>
        <v>0.992961711711712</v>
      </c>
      <c r="F169" s="9" t="n">
        <f aca="false">G169+H169</f>
        <v>2960</v>
      </c>
      <c r="G169" s="9" t="n">
        <v>2960</v>
      </c>
      <c r="H169" s="9" t="n">
        <f aca="false">0</f>
        <v>0</v>
      </c>
      <c r="I169" s="9"/>
      <c r="J169" s="30"/>
    </row>
    <row r="170" customFormat="false" ht="24.95" hidden="false" customHeight="true" outlineLevel="0" collapsed="false">
      <c r="A170" s="0" t="n">
        <v>31</v>
      </c>
      <c r="B170" s="31" t="n">
        <v>37742</v>
      </c>
      <c r="C170" s="1" t="n">
        <v>2159400</v>
      </c>
      <c r="D170" s="29" t="s">
        <v>41</v>
      </c>
      <c r="E170" s="33" t="n">
        <f aca="false">IF(D170="totale",(C170/(A170*24))/F170,IF(D170="marché libre",(C170/(A170*24))/G170,"spécifier histo"))</f>
        <v>0.980547079337402</v>
      </c>
      <c r="F170" s="9" t="n">
        <f aca="false">G170+H170</f>
        <v>2960</v>
      </c>
      <c r="G170" s="9" t="n">
        <v>2960</v>
      </c>
      <c r="H170" s="9" t="n">
        <f aca="false">0</f>
        <v>0</v>
      </c>
      <c r="I170" s="9"/>
      <c r="J170" s="30"/>
    </row>
    <row r="171" customFormat="false" ht="24.95" hidden="false" customHeight="true" outlineLevel="0" collapsed="false">
      <c r="A171" s="0" t="n">
        <v>30</v>
      </c>
      <c r="B171" s="34" t="n">
        <v>37773</v>
      </c>
      <c r="C171" s="1" t="n">
        <v>2172000</v>
      </c>
      <c r="D171" s="29" t="s">
        <v>41</v>
      </c>
      <c r="E171" s="33" t="n">
        <f aca="false">IF(D171="totale",(C171/(A171*24))/F171,IF(D171="marché libre",(C171/(A171*24))/G171,"spécifier histo"))</f>
        <v>1.01914414414414</v>
      </c>
      <c r="F171" s="9" t="n">
        <f aca="false">G171+H171</f>
        <v>2960</v>
      </c>
      <c r="G171" s="9" t="n">
        <v>2960</v>
      </c>
      <c r="H171" s="9" t="n">
        <f aca="false">0</f>
        <v>0</v>
      </c>
      <c r="I171" s="9"/>
      <c r="J171" s="30"/>
    </row>
    <row r="172" customFormat="false" ht="24.95" hidden="false" customHeight="true" outlineLevel="0" collapsed="false">
      <c r="A172" s="0" t="n">
        <v>31</v>
      </c>
      <c r="B172" s="31" t="n">
        <v>37803</v>
      </c>
      <c r="C172" s="1" t="n">
        <v>2053200</v>
      </c>
      <c r="D172" s="29" t="s">
        <v>41</v>
      </c>
      <c r="E172" s="33" t="n">
        <f aca="false">IF(D172="totale",(C172/(A172*24))/F172,IF(D172="marché libre",(C172/(A172*24))/G172,"spécifier histo"))</f>
        <v>0.932323452484743</v>
      </c>
      <c r="F172" s="9" t="n">
        <f aca="false">G172+H172</f>
        <v>2960</v>
      </c>
      <c r="G172" s="9" t="n">
        <v>2960</v>
      </c>
      <c r="H172" s="9" t="n">
        <f aca="false">0</f>
        <v>0</v>
      </c>
      <c r="I172" s="9"/>
      <c r="J172" s="30"/>
    </row>
    <row r="173" customFormat="false" ht="24.95" hidden="false" customHeight="true" outlineLevel="0" collapsed="false">
      <c r="A173" s="0" t="n">
        <v>31</v>
      </c>
      <c r="B173" s="34" t="n">
        <v>37834</v>
      </c>
      <c r="C173" s="1" t="n">
        <v>1177800</v>
      </c>
      <c r="D173" s="29" t="s">
        <v>41</v>
      </c>
      <c r="E173" s="33" t="n">
        <f aca="false">IF(D173="totale",(C173/(A173*24))/F173,IF(D173="marché libre",(C173/(A173*24))/G173,"spécifier histo"))</f>
        <v>0.534819093286835</v>
      </c>
      <c r="F173" s="9" t="n">
        <f aca="false">G173+H173</f>
        <v>2960</v>
      </c>
      <c r="G173" s="9" t="n">
        <v>2960</v>
      </c>
      <c r="H173" s="9" t="n">
        <f aca="false">0</f>
        <v>0</v>
      </c>
      <c r="I173" s="9"/>
      <c r="J173" s="30"/>
    </row>
    <row r="174" customFormat="false" ht="24.95" hidden="false" customHeight="true" outlineLevel="0" collapsed="false">
      <c r="A174" s="0" t="n">
        <v>30</v>
      </c>
      <c r="B174" s="31" t="n">
        <v>37865</v>
      </c>
      <c r="C174" s="1" t="n">
        <v>1615800</v>
      </c>
      <c r="D174" s="29" t="s">
        <v>41</v>
      </c>
      <c r="E174" s="33" t="n">
        <f aca="false">IF(D174="totale",(C174/(A174*24))/F174,IF(D174="marché libre",(C174/(A174*24))/G174,"spécifier histo"))</f>
        <v>0.758164414414414</v>
      </c>
      <c r="F174" s="9" t="n">
        <f aca="false">G174+H174</f>
        <v>2960</v>
      </c>
      <c r="G174" s="9" t="n">
        <v>2960</v>
      </c>
      <c r="H174" s="9" t="n">
        <f aca="false">0</f>
        <v>0</v>
      </c>
      <c r="I174" s="9"/>
      <c r="J174" s="30"/>
    </row>
    <row r="175" customFormat="false" ht="24.95" hidden="false" customHeight="true" outlineLevel="0" collapsed="false">
      <c r="A175" s="0" t="n">
        <v>31</v>
      </c>
      <c r="B175" s="34" t="n">
        <v>37895</v>
      </c>
      <c r="C175" s="1" t="n">
        <v>1585000</v>
      </c>
      <c r="D175" s="29" t="s">
        <v>41</v>
      </c>
      <c r="E175" s="33" t="n">
        <f aca="false">IF(D175="totale",(C175/(A175*24))/F175,IF(D175="marché libre",(C175/(A175*24))/G175,"spécifier histo"))</f>
        <v>0.719721737866899</v>
      </c>
      <c r="F175" s="9" t="n">
        <f aca="false">G175+H175</f>
        <v>2960</v>
      </c>
      <c r="G175" s="9" t="n">
        <v>2960</v>
      </c>
      <c r="H175" s="9" t="n">
        <f aca="false">0</f>
        <v>0</v>
      </c>
      <c r="I175" s="9"/>
      <c r="J175" s="30"/>
    </row>
    <row r="176" customFormat="false" ht="24.95" hidden="false" customHeight="true" outlineLevel="0" collapsed="false">
      <c r="A176" s="0" t="n">
        <v>30</v>
      </c>
      <c r="B176" s="31" t="n">
        <v>37926</v>
      </c>
      <c r="C176" s="1" t="n">
        <v>1876800</v>
      </c>
      <c r="D176" s="29" t="s">
        <v>41</v>
      </c>
      <c r="E176" s="33" t="n">
        <f aca="false">IF(D176="totale",(C176/(A176*24))/F176,IF(D176="marché libre",(C176/(A176*24))/G176,"spécifier histo"))</f>
        <v>0.880630630630631</v>
      </c>
      <c r="F176" s="9" t="n">
        <f aca="false">G176+H176</f>
        <v>2960</v>
      </c>
      <c r="G176" s="9" t="n">
        <v>2960</v>
      </c>
      <c r="H176" s="9" t="n">
        <f aca="false">0</f>
        <v>0</v>
      </c>
      <c r="I176" s="9"/>
      <c r="J176" s="30"/>
    </row>
    <row r="177" customFormat="false" ht="24.95" hidden="false" customHeight="true" outlineLevel="0" collapsed="false">
      <c r="A177" s="0" t="n">
        <v>31</v>
      </c>
      <c r="B177" s="34" t="n">
        <v>37956</v>
      </c>
      <c r="C177" s="1" t="n">
        <v>1448400</v>
      </c>
      <c r="D177" s="29" t="s">
        <v>41</v>
      </c>
      <c r="E177" s="33" t="n">
        <f aca="false">IF(D177="totale",(C177/(A177*24))/F177,IF(D177="marché libre",(C177/(A177*24))/G177,"spécifier histo"))</f>
        <v>0.657693984306887</v>
      </c>
      <c r="F177" s="9" t="n">
        <f aca="false">G177+H177</f>
        <v>2960</v>
      </c>
      <c r="G177" s="9" t="n">
        <v>2960</v>
      </c>
      <c r="H177" s="9" t="n">
        <f aca="false">0</f>
        <v>0</v>
      </c>
      <c r="I177" s="9"/>
      <c r="J177" s="30"/>
    </row>
    <row r="178" customFormat="false" ht="24.95" hidden="false" customHeight="true" outlineLevel="0" collapsed="false">
      <c r="A178" s="0" t="n">
        <v>31</v>
      </c>
      <c r="B178" s="31" t="n">
        <v>37987</v>
      </c>
      <c r="C178" s="1" t="n">
        <v>1417800</v>
      </c>
      <c r="D178" s="29" t="s">
        <v>41</v>
      </c>
      <c r="E178" s="33" t="n">
        <f aca="false">IF(D178="totale",(C178/(A178*24))/F178,IF(D178="marché libre",(C178/(A178*24))/G178,"spécifier histo"))</f>
        <v>0.64379904097646</v>
      </c>
      <c r="F178" s="9" t="n">
        <f aca="false">G178+H178</f>
        <v>2960</v>
      </c>
      <c r="G178" s="9" t="n">
        <v>2960</v>
      </c>
      <c r="H178" s="9" t="n">
        <f aca="false">0</f>
        <v>0</v>
      </c>
      <c r="I178" s="9"/>
      <c r="J178" s="30"/>
    </row>
    <row r="179" customFormat="false" ht="24.95" hidden="false" customHeight="true" outlineLevel="0" collapsed="false">
      <c r="A179" s="0" t="n">
        <v>28</v>
      </c>
      <c r="B179" s="34" t="n">
        <v>38018</v>
      </c>
      <c r="C179" s="1" t="n">
        <v>874800</v>
      </c>
      <c r="D179" s="29" t="s">
        <v>41</v>
      </c>
      <c r="E179" s="33" t="n">
        <f aca="false">IF(D179="totale",(C179/(A179*24))/F179,IF(D179="marché libre",(C179/(A179*24))/G179,"spécifier histo"))</f>
        <v>0.439792471042471</v>
      </c>
      <c r="F179" s="9" t="n">
        <f aca="false">G179+H179</f>
        <v>2960</v>
      </c>
      <c r="G179" s="9" t="n">
        <v>2960</v>
      </c>
      <c r="H179" s="9" t="n">
        <f aca="false">0</f>
        <v>0</v>
      </c>
      <c r="I179" s="9"/>
      <c r="J179" s="30"/>
    </row>
    <row r="180" customFormat="false" ht="24.95" hidden="false" customHeight="true" outlineLevel="0" collapsed="false">
      <c r="A180" s="0" t="n">
        <v>31</v>
      </c>
      <c r="B180" s="31" t="n">
        <v>38047</v>
      </c>
      <c r="C180" s="1" t="n">
        <v>1204000</v>
      </c>
      <c r="D180" s="29" t="s">
        <v>41</v>
      </c>
      <c r="E180" s="33" t="n">
        <f aca="false">IF(D180="totale",(C180/(A180*24))/F180,IF(D180="marché libre",(C180/(A180*24))/G180,"spécifier histo"))</f>
        <v>0.546716070909619</v>
      </c>
      <c r="F180" s="9" t="n">
        <f aca="false">G180+H180</f>
        <v>2960</v>
      </c>
      <c r="G180" s="9" t="n">
        <v>2960</v>
      </c>
      <c r="H180" s="9" t="n">
        <f aca="false">0</f>
        <v>0</v>
      </c>
      <c r="I180" s="9"/>
      <c r="J180" s="30"/>
    </row>
    <row r="181" customFormat="false" ht="24.95" hidden="false" customHeight="true" outlineLevel="0" collapsed="false">
      <c r="A181" s="0" t="n">
        <v>30</v>
      </c>
      <c r="B181" s="34" t="n">
        <v>38078</v>
      </c>
      <c r="C181" s="1" t="n">
        <v>1791600</v>
      </c>
      <c r="D181" s="29" t="s">
        <v>41</v>
      </c>
      <c r="E181" s="33" t="n">
        <f aca="false">IF(D181="totale",(C181/(A181*24))/F181,IF(D181="marché libre",(C181/(A181*24))/G181,"spécifier histo"))</f>
        <v>0.840653153153153</v>
      </c>
      <c r="F181" s="9" t="n">
        <f aca="false">G181+H181</f>
        <v>2960</v>
      </c>
      <c r="G181" s="9" t="n">
        <v>2960</v>
      </c>
      <c r="H181" s="9" t="n">
        <f aca="false">0</f>
        <v>0</v>
      </c>
      <c r="I181" s="9"/>
      <c r="J181" s="30"/>
    </row>
    <row r="182" customFormat="false" ht="24.95" hidden="false" customHeight="true" outlineLevel="0" collapsed="false">
      <c r="A182" s="0" t="n">
        <v>31</v>
      </c>
      <c r="B182" s="31" t="n">
        <v>38108</v>
      </c>
      <c r="C182" s="1" t="n">
        <v>2099400</v>
      </c>
      <c r="D182" s="29" t="s">
        <v>41</v>
      </c>
      <c r="E182" s="33" t="n">
        <f aca="false">IF(D182="totale",(C182/(A182*24))/F182,IF(D182="marché libre",(C182/(A182*24))/G182,"spécifier histo"))</f>
        <v>0.953302092414996</v>
      </c>
      <c r="F182" s="9" t="n">
        <f aca="false">G182+H182</f>
        <v>2960</v>
      </c>
      <c r="G182" s="9" t="n">
        <v>2960</v>
      </c>
      <c r="H182" s="9" t="n">
        <f aca="false">0</f>
        <v>0</v>
      </c>
      <c r="I182" s="9"/>
      <c r="J182" s="30"/>
    </row>
    <row r="183" customFormat="false" ht="24.95" hidden="false" customHeight="true" outlineLevel="0" collapsed="false">
      <c r="A183" s="0" t="n">
        <v>30</v>
      </c>
      <c r="B183" s="34" t="n">
        <v>38139</v>
      </c>
      <c r="C183" s="1" t="n">
        <v>2085600</v>
      </c>
      <c r="D183" s="29" t="s">
        <v>41</v>
      </c>
      <c r="E183" s="33" t="n">
        <f aca="false">IF(D183="totale",(C183/(A183*24))/F183,IF(D183="marché libre",(C183/(A183*24))/G183,"spécifier histo"))</f>
        <v>0.978603603603604</v>
      </c>
      <c r="F183" s="9" t="n">
        <f aca="false">G183+H183</f>
        <v>2960</v>
      </c>
      <c r="G183" s="9" t="n">
        <v>2960</v>
      </c>
      <c r="H183" s="9" t="n">
        <f aca="false">0</f>
        <v>0</v>
      </c>
      <c r="I183" s="9"/>
      <c r="J183" s="30"/>
    </row>
    <row r="184" customFormat="false" ht="24.95" hidden="false" customHeight="true" outlineLevel="0" collapsed="false">
      <c r="A184" s="0" t="n">
        <v>31</v>
      </c>
      <c r="B184" s="31" t="n">
        <v>38169</v>
      </c>
      <c r="C184" s="1" t="n">
        <v>2074200</v>
      </c>
      <c r="D184" s="29" t="s">
        <v>41</v>
      </c>
      <c r="E184" s="33" t="n">
        <f aca="false">IF(D184="totale",(C184/(A184*24))/F184,IF(D184="marché libre",(C184/(A184*24))/G184,"spécifier histo"))</f>
        <v>0.941859197907585</v>
      </c>
      <c r="F184" s="9" t="n">
        <f aca="false">G184+H184</f>
        <v>2960</v>
      </c>
      <c r="G184" s="9" t="n">
        <v>2960</v>
      </c>
      <c r="H184" s="9" t="n">
        <f aca="false">0</f>
        <v>0</v>
      </c>
      <c r="I184" s="9"/>
      <c r="J184" s="30"/>
    </row>
    <row r="185" customFormat="false" ht="24.95" hidden="false" customHeight="true" outlineLevel="0" collapsed="false">
      <c r="A185" s="0" t="n">
        <v>31</v>
      </c>
      <c r="B185" s="34" t="n">
        <v>38200</v>
      </c>
      <c r="C185" s="1" t="n">
        <v>1484400</v>
      </c>
      <c r="D185" s="29" t="s">
        <v>41</v>
      </c>
      <c r="E185" s="33" t="n">
        <f aca="false">IF(D185="totale",(C185/(A185*24))/F185,IF(D185="marché libre",(C185/(A185*24))/G185,"spécifier histo"))</f>
        <v>0.674040976460331</v>
      </c>
      <c r="F185" s="9" t="n">
        <f aca="false">G185+H185</f>
        <v>2960</v>
      </c>
      <c r="G185" s="9" t="n">
        <v>2960</v>
      </c>
      <c r="H185" s="9" t="n">
        <f aca="false">0</f>
        <v>0</v>
      </c>
      <c r="I185" s="9"/>
      <c r="J185" s="30"/>
    </row>
    <row r="186" customFormat="false" ht="24.95" hidden="false" customHeight="true" outlineLevel="0" collapsed="false">
      <c r="A186" s="0" t="n">
        <v>30</v>
      </c>
      <c r="B186" s="31" t="n">
        <v>38231</v>
      </c>
      <c r="C186" s="1" t="n">
        <v>918000</v>
      </c>
      <c r="D186" s="29" t="s">
        <v>41</v>
      </c>
      <c r="E186" s="33" t="n">
        <f aca="false">IF(D186="totale",(C186/(A186*24))/F186,IF(D186="marché libre",(C186/(A186*24))/G186,"spécifier histo"))</f>
        <v>0.430743243243243</v>
      </c>
      <c r="F186" s="9" t="n">
        <f aca="false">G186+H186</f>
        <v>2960</v>
      </c>
      <c r="G186" s="9" t="n">
        <v>2960</v>
      </c>
      <c r="H186" s="9" t="n">
        <f aca="false">0</f>
        <v>0</v>
      </c>
      <c r="I186" s="9"/>
      <c r="J186" s="30"/>
    </row>
    <row r="187" customFormat="false" ht="24.95" hidden="false" customHeight="true" outlineLevel="0" collapsed="false">
      <c r="A187" s="0" t="n">
        <v>31</v>
      </c>
      <c r="B187" s="34" t="n">
        <v>38261</v>
      </c>
      <c r="C187" s="1" t="n">
        <v>964800</v>
      </c>
      <c r="D187" s="29" t="s">
        <v>41</v>
      </c>
      <c r="E187" s="33" t="n">
        <f aca="false">IF(D187="totale",(C187/(A187*24))/F187,IF(D187="marché libre",(C187/(A187*24))/G187,"spécifier histo"))</f>
        <v>0.438099389712293</v>
      </c>
      <c r="F187" s="9" t="n">
        <f aca="false">G187+H187</f>
        <v>2960</v>
      </c>
      <c r="G187" s="9" t="n">
        <v>2960</v>
      </c>
      <c r="H187" s="9" t="n">
        <f aca="false">0</f>
        <v>0</v>
      </c>
      <c r="I187" s="9"/>
      <c r="J187" s="30"/>
    </row>
    <row r="188" customFormat="false" ht="24.95" hidden="false" customHeight="true" outlineLevel="0" collapsed="false">
      <c r="A188" s="0" t="n">
        <v>30</v>
      </c>
      <c r="B188" s="31" t="n">
        <v>38292</v>
      </c>
      <c r="C188" s="1" t="n">
        <v>968400</v>
      </c>
      <c r="D188" s="29" t="s">
        <v>41</v>
      </c>
      <c r="E188" s="33" t="n">
        <f aca="false">IF(D188="totale",(C188/(A188*24))/F188,IF(D188="marché libre",(C188/(A188*24))/G188,"spécifier histo"))</f>
        <v>0.454391891891892</v>
      </c>
      <c r="F188" s="9" t="n">
        <f aca="false">G188+H188</f>
        <v>2960</v>
      </c>
      <c r="G188" s="9" t="n">
        <v>2960</v>
      </c>
      <c r="H188" s="9" t="n">
        <f aca="false">0</f>
        <v>0</v>
      </c>
      <c r="I188" s="9"/>
      <c r="J188" s="30"/>
    </row>
    <row r="189" customFormat="false" ht="24.95" hidden="false" customHeight="true" outlineLevel="0" collapsed="false">
      <c r="A189" s="0" t="n">
        <v>31</v>
      </c>
      <c r="B189" s="34" t="n">
        <v>38322</v>
      </c>
      <c r="C189" s="1" t="n">
        <v>561000</v>
      </c>
      <c r="D189" s="29" t="s">
        <v>41</v>
      </c>
      <c r="E189" s="33" t="n">
        <f aca="false">IF(D189="totale",(C189/(A189*24))/F189,IF(D189="marché libre",(C189/(A189*24))/G189,"spécifier histo"))</f>
        <v>0.254740627724499</v>
      </c>
      <c r="F189" s="9" t="n">
        <f aca="false">G189+H189</f>
        <v>2960</v>
      </c>
      <c r="G189" s="9" t="n">
        <v>2960</v>
      </c>
      <c r="H189" s="9" t="n">
        <f aca="false">0</f>
        <v>0</v>
      </c>
      <c r="I189" s="9"/>
      <c r="J189" s="30"/>
    </row>
    <row r="190" customFormat="false" ht="24.95" hidden="false" customHeight="true" outlineLevel="0" collapsed="false">
      <c r="A190" s="0" t="n">
        <v>31</v>
      </c>
      <c r="B190" s="31" t="n">
        <v>38353</v>
      </c>
      <c r="C190" s="1" t="n">
        <v>425400</v>
      </c>
      <c r="D190" s="29" t="s">
        <v>41</v>
      </c>
      <c r="E190" s="33" t="n">
        <f aca="false">IF(D190="totale",(C190/(A190*24))/F190,IF(D190="marché libre",(C190/(A190*24))/G190,"spécifier histo"))</f>
        <v>0.19316695727986</v>
      </c>
      <c r="F190" s="9" t="n">
        <f aca="false">G190+H190</f>
        <v>2960</v>
      </c>
      <c r="G190" s="9" t="n">
        <v>2960</v>
      </c>
      <c r="H190" s="9" t="n">
        <f aca="false">0</f>
        <v>0</v>
      </c>
      <c r="I190" s="9"/>
      <c r="J190" s="30"/>
    </row>
    <row r="191" customFormat="false" ht="24.95" hidden="false" customHeight="true" outlineLevel="0" collapsed="false">
      <c r="A191" s="0" t="n">
        <v>28</v>
      </c>
      <c r="B191" s="34" t="n">
        <v>38384</v>
      </c>
      <c r="C191" s="1" t="n">
        <v>156000</v>
      </c>
      <c r="D191" s="29" t="s">
        <v>41</v>
      </c>
      <c r="E191" s="33" t="n">
        <f aca="false">IF(D191="totale",(C191/(A191*24))/F191,IF(D191="marché libre",(C191/(A191*24))/G191,"spécifier histo"))</f>
        <v>0.0784266409266409</v>
      </c>
      <c r="F191" s="9" t="n">
        <f aca="false">G191+H191</f>
        <v>2960</v>
      </c>
      <c r="G191" s="9" t="n">
        <v>2960</v>
      </c>
      <c r="H191" s="9" t="n">
        <f aca="false">0</f>
        <v>0</v>
      </c>
      <c r="I191" s="9"/>
      <c r="J191" s="30"/>
    </row>
    <row r="192" customFormat="false" ht="24.95" hidden="false" customHeight="true" outlineLevel="0" collapsed="false">
      <c r="A192" s="0" t="n">
        <v>31</v>
      </c>
      <c r="B192" s="31" t="n">
        <v>38412</v>
      </c>
      <c r="C192" s="1" t="n">
        <v>965400</v>
      </c>
      <c r="D192" s="29" t="s">
        <v>41</v>
      </c>
      <c r="E192" s="33" t="n">
        <f aca="false">IF(D192="totale",(C192/(A192*24))/F192,IF(D192="marché libre",(C192/(A192*24))/G192,"spécifier histo"))</f>
        <v>0.438371839581517</v>
      </c>
      <c r="F192" s="9" t="n">
        <f aca="false">G192+H192</f>
        <v>2960</v>
      </c>
      <c r="G192" s="9" t="n">
        <v>2960</v>
      </c>
      <c r="H192" s="9" t="n">
        <f aca="false">0</f>
        <v>0</v>
      </c>
      <c r="I192" s="9"/>
      <c r="J192" s="30"/>
    </row>
    <row r="193" customFormat="false" ht="24.95" hidden="false" customHeight="true" outlineLevel="0" collapsed="false">
      <c r="A193" s="0" t="n">
        <v>30</v>
      </c>
      <c r="B193" s="34" t="n">
        <v>38443</v>
      </c>
      <c r="C193" s="1" t="n">
        <v>1728000</v>
      </c>
      <c r="D193" s="29" t="s">
        <v>41</v>
      </c>
      <c r="E193" s="33" t="n">
        <f aca="false">IF(D193="totale",(C193/(A193*24))/F193,IF(D193="marché libre",(C193/(A193*24))/G193,"spécifier histo"))</f>
        <v>0.810810810810811</v>
      </c>
      <c r="F193" s="9" t="n">
        <f aca="false">G193+H193</f>
        <v>2960</v>
      </c>
      <c r="G193" s="9" t="n">
        <v>2960</v>
      </c>
      <c r="H193" s="9" t="n">
        <f aca="false">0</f>
        <v>0</v>
      </c>
      <c r="I193" s="9"/>
      <c r="J193" s="30"/>
    </row>
    <row r="194" customFormat="false" ht="24.95" hidden="false" customHeight="true" outlineLevel="0" collapsed="false">
      <c r="A194" s="0" t="n">
        <v>31</v>
      </c>
      <c r="B194" s="31" t="n">
        <v>38473</v>
      </c>
      <c r="C194" s="1" t="n">
        <v>2185800</v>
      </c>
      <c r="D194" s="29" t="s">
        <v>41</v>
      </c>
      <c r="E194" s="33" t="n">
        <f aca="false">IF(D194="totale",(C194/(A194*24))/F194,IF(D194="marché libre",(C194/(A194*24))/G194,"spécifier histo"))</f>
        <v>0.992534873583261</v>
      </c>
      <c r="F194" s="9" t="n">
        <f aca="false">G194+H194</f>
        <v>2960</v>
      </c>
      <c r="G194" s="9" t="n">
        <v>2960</v>
      </c>
      <c r="H194" s="9" t="n">
        <f aca="false">0</f>
        <v>0</v>
      </c>
      <c r="I194" s="9"/>
      <c r="J194" s="30"/>
    </row>
    <row r="195" customFormat="false" ht="24.95" hidden="false" customHeight="true" outlineLevel="0" collapsed="false">
      <c r="A195" s="0" t="n">
        <v>30</v>
      </c>
      <c r="B195" s="34" t="n">
        <v>38504</v>
      </c>
      <c r="C195" s="1" t="n">
        <v>2118000</v>
      </c>
      <c r="D195" s="29" t="s">
        <v>41</v>
      </c>
      <c r="E195" s="33" t="n">
        <f aca="false">IF(D195="totale",(C195/(A195*24))/F195,IF(D195="marché libre",(C195/(A195*24))/G195,"spécifier histo"))</f>
        <v>0.993806306306306</v>
      </c>
      <c r="F195" s="9" t="n">
        <f aca="false">G195+H195</f>
        <v>2960</v>
      </c>
      <c r="G195" s="9" t="n">
        <v>2960</v>
      </c>
      <c r="H195" s="9" t="n">
        <f aca="false">0</f>
        <v>0</v>
      </c>
      <c r="I195" s="9"/>
      <c r="J195" s="30"/>
    </row>
    <row r="196" customFormat="false" ht="24.95" hidden="false" customHeight="true" outlineLevel="0" collapsed="false">
      <c r="A196" s="0" t="n">
        <v>31</v>
      </c>
      <c r="B196" s="31" t="n">
        <v>38534</v>
      </c>
      <c r="C196" s="1" t="n">
        <v>1203600</v>
      </c>
      <c r="D196" s="29" t="s">
        <v>41</v>
      </c>
      <c r="E196" s="33" t="n">
        <f aca="false">IF(D196="totale",(C196/(A196*24))/F196,IF(D196="marché libre",(C196/(A196*24))/G196,"spécifier histo"))</f>
        <v>0.54653443766347</v>
      </c>
      <c r="F196" s="9" t="n">
        <f aca="false">G196+H196</f>
        <v>2960</v>
      </c>
      <c r="G196" s="9" t="n">
        <v>2960</v>
      </c>
      <c r="H196" s="9" t="n">
        <f aca="false">0</f>
        <v>0</v>
      </c>
      <c r="I196" s="9"/>
      <c r="J196" s="30"/>
    </row>
    <row r="197" customFormat="false" ht="24.95" hidden="false" customHeight="true" outlineLevel="0" collapsed="false">
      <c r="A197" s="0" t="n">
        <v>31</v>
      </c>
      <c r="B197" s="34" t="n">
        <v>38565</v>
      </c>
      <c r="C197" s="1" t="n">
        <v>1171800</v>
      </c>
      <c r="D197" s="29" t="s">
        <v>41</v>
      </c>
      <c r="E197" s="33" t="n">
        <f aca="false">IF(D197="totale",(C197/(A197*24))/F197,IF(D197="marché libre",(C197/(A197*24))/G197,"spécifier histo"))</f>
        <v>0.532094594594595</v>
      </c>
      <c r="F197" s="9" t="n">
        <f aca="false">G197+H197</f>
        <v>2960</v>
      </c>
      <c r="G197" s="9" t="n">
        <v>2960</v>
      </c>
      <c r="H197" s="9" t="n">
        <f aca="false">0</f>
        <v>0</v>
      </c>
      <c r="I197" s="9"/>
      <c r="J197" s="30"/>
    </row>
    <row r="198" customFormat="false" ht="24.95" hidden="false" customHeight="true" outlineLevel="0" collapsed="false">
      <c r="A198" s="0" t="n">
        <v>30</v>
      </c>
      <c r="B198" s="31" t="n">
        <v>38596</v>
      </c>
      <c r="C198" s="1" t="n">
        <v>1113000</v>
      </c>
      <c r="D198" s="29" t="s">
        <v>41</v>
      </c>
      <c r="E198" s="33" t="n">
        <f aca="false">IF(D198="totale",(C198/(A198*24))/F198,IF(D198="marché libre",(C198/(A198*24))/G198,"spécifier histo"))</f>
        <v>0.522240990990991</v>
      </c>
      <c r="F198" s="9" t="n">
        <f aca="false">G198+H198</f>
        <v>2960</v>
      </c>
      <c r="G198" s="9" t="n">
        <v>2960</v>
      </c>
      <c r="H198" s="9" t="n">
        <f aca="false">0</f>
        <v>0</v>
      </c>
      <c r="I198" s="9"/>
      <c r="J198" s="30"/>
    </row>
    <row r="199" customFormat="false" ht="24.95" hidden="false" customHeight="true" outlineLevel="0" collapsed="false">
      <c r="A199" s="0" t="n">
        <v>31</v>
      </c>
      <c r="B199" s="34" t="n">
        <v>38626</v>
      </c>
      <c r="C199" s="1" t="n">
        <v>861000</v>
      </c>
      <c r="D199" s="29" t="s">
        <v>41</v>
      </c>
      <c r="E199" s="33" t="n">
        <f aca="false">IF(D199="totale",(C199/(A199*24))/F199,IF(D199="marché libre",(C199/(A199*24))/G199,"spécifier histo"))</f>
        <v>0.39096556233653</v>
      </c>
      <c r="F199" s="9" t="n">
        <f aca="false">G199+H199</f>
        <v>2960</v>
      </c>
      <c r="G199" s="9" t="n">
        <v>2960</v>
      </c>
      <c r="H199" s="9" t="n">
        <f aca="false">0</f>
        <v>0</v>
      </c>
      <c r="I199" s="9"/>
      <c r="J199" s="30"/>
    </row>
    <row r="200" customFormat="false" ht="24.95" hidden="false" customHeight="true" outlineLevel="0" collapsed="false">
      <c r="A200" s="0" t="n">
        <v>30</v>
      </c>
      <c r="B200" s="31" t="n">
        <v>38657</v>
      </c>
      <c r="C200" s="1" t="n">
        <v>1221600</v>
      </c>
      <c r="D200" s="29" t="s">
        <v>41</v>
      </c>
      <c r="E200" s="33" t="n">
        <f aca="false">IF(D200="totale",(C200/(A200*24))/F200,IF(D200="marché libre",(C200/(A200*24))/G200,"spécifier histo"))</f>
        <v>0.573198198198198</v>
      </c>
      <c r="F200" s="9" t="n">
        <f aca="false">G200+H200</f>
        <v>2960</v>
      </c>
      <c r="G200" s="9" t="n">
        <v>2960</v>
      </c>
      <c r="H200" s="9" t="n">
        <f aca="false">0</f>
        <v>0</v>
      </c>
      <c r="I200" s="9"/>
      <c r="J200" s="30"/>
    </row>
    <row r="201" customFormat="false" ht="24.95" hidden="false" customHeight="true" outlineLevel="0" collapsed="false">
      <c r="A201" s="0" t="n">
        <v>31</v>
      </c>
      <c r="B201" s="34" t="n">
        <v>38687</v>
      </c>
      <c r="C201" s="1" t="n">
        <v>559200</v>
      </c>
      <c r="D201" s="29" t="s">
        <v>41</v>
      </c>
      <c r="E201" s="33" t="n">
        <f aca="false">IF(D201="totale",(C201/(A201*24))/F201,IF(D201="marché libre",(C201/(A201*24))/G201,"spécifier histo"))</f>
        <v>0.253923278116826</v>
      </c>
      <c r="F201" s="9" t="n">
        <f aca="false">G201+H201</f>
        <v>2960</v>
      </c>
      <c r="G201" s="9" t="n">
        <v>2960</v>
      </c>
      <c r="H201" s="9" t="n">
        <f aca="false">0</f>
        <v>0</v>
      </c>
      <c r="I201" s="9"/>
      <c r="J201" s="30"/>
    </row>
    <row r="202" customFormat="false" ht="24.95" hidden="false" customHeight="true" outlineLevel="0" collapsed="false">
      <c r="A202" s="0" t="n">
        <v>31</v>
      </c>
      <c r="B202" s="31" t="n">
        <v>38718</v>
      </c>
      <c r="C202" s="1" t="n">
        <v>293400</v>
      </c>
      <c r="D202" s="29" t="s">
        <v>41</v>
      </c>
      <c r="E202" s="33" t="n">
        <f aca="false">IF(D202="totale",(C202/(A202*24))/F202,IF(D202="marché libre",(C202/(A202*24))/G202,"spécifier histo"))</f>
        <v>0.133227986050567</v>
      </c>
      <c r="F202" s="9" t="n">
        <f aca="false">G202+H202</f>
        <v>2960</v>
      </c>
      <c r="G202" s="9" t="n">
        <v>2960</v>
      </c>
      <c r="H202" s="9" t="n">
        <f aca="false">0</f>
        <v>0</v>
      </c>
      <c r="I202" s="9"/>
      <c r="J202" s="30"/>
    </row>
    <row r="203" customFormat="false" ht="24.95" hidden="false" customHeight="true" outlineLevel="0" collapsed="false">
      <c r="A203" s="0" t="n">
        <v>28</v>
      </c>
      <c r="B203" s="34" t="n">
        <v>38749</v>
      </c>
      <c r="C203" s="1" t="n">
        <v>264600</v>
      </c>
      <c r="D203" s="29" t="s">
        <v>41</v>
      </c>
      <c r="E203" s="33" t="n">
        <f aca="false">IF(D203="totale",(C203/(A203*24))/F203,IF(D203="marché libre",(C203/(A203*24))/G203,"spécifier histo"))</f>
        <v>0.133023648648649</v>
      </c>
      <c r="F203" s="9" t="n">
        <f aca="false">G203+H203</f>
        <v>2960</v>
      </c>
      <c r="G203" s="9" t="n">
        <v>2960</v>
      </c>
      <c r="H203" s="9" t="n">
        <f aca="false">0</f>
        <v>0</v>
      </c>
      <c r="I203" s="9"/>
      <c r="J203" s="30"/>
    </row>
    <row r="204" customFormat="false" ht="24.95" hidden="false" customHeight="true" outlineLevel="0" collapsed="false">
      <c r="A204" s="0" t="n">
        <v>31</v>
      </c>
      <c r="B204" s="31" t="n">
        <v>38777</v>
      </c>
      <c r="C204" s="1" t="n">
        <v>1312800</v>
      </c>
      <c r="D204" s="29" t="s">
        <v>41</v>
      </c>
      <c r="E204" s="33" t="n">
        <f aca="false">IF(D204="totale",(C204/(A204*24))/F204,IF(D204="marché libre",(C204/(A204*24))/G204,"spécifier histo"))</f>
        <v>0.596120313862249</v>
      </c>
      <c r="F204" s="9" t="n">
        <f aca="false">G204+H204</f>
        <v>2960</v>
      </c>
      <c r="G204" s="9" t="n">
        <v>2960</v>
      </c>
      <c r="H204" s="9" t="n">
        <f aca="false">0</f>
        <v>0</v>
      </c>
      <c r="I204" s="9"/>
      <c r="J204" s="30"/>
    </row>
    <row r="205" customFormat="false" ht="24.95" hidden="false" customHeight="true" outlineLevel="0" collapsed="false">
      <c r="A205" s="0" t="n">
        <v>30</v>
      </c>
      <c r="B205" s="34" t="n">
        <v>38808</v>
      </c>
      <c r="C205" s="1" t="n">
        <v>1855800</v>
      </c>
      <c r="D205" s="29" t="s">
        <v>41</v>
      </c>
      <c r="E205" s="33" t="n">
        <f aca="false">IF(D205="totale",(C205/(A205*24))/F205,IF(D205="marché libre",(C205/(A205*24))/G205,"spécifier histo"))</f>
        <v>0.870777027027027</v>
      </c>
      <c r="F205" s="9" t="n">
        <f aca="false">G205+H205</f>
        <v>2960</v>
      </c>
      <c r="G205" s="9" t="n">
        <v>2960</v>
      </c>
      <c r="H205" s="9" t="n">
        <f aca="false">0</f>
        <v>0</v>
      </c>
      <c r="I205" s="9"/>
      <c r="J205" s="30"/>
    </row>
    <row r="206" customFormat="false" ht="24.95" hidden="false" customHeight="true" outlineLevel="0" collapsed="false">
      <c r="A206" s="0" t="n">
        <v>31</v>
      </c>
      <c r="B206" s="31" t="n">
        <v>38838</v>
      </c>
      <c r="C206" s="1" t="n">
        <v>2092800</v>
      </c>
      <c r="D206" s="29" t="s">
        <v>41</v>
      </c>
      <c r="E206" s="33" t="n">
        <f aca="false">IF(D206="totale",(C206/(A206*24))/F206,IF(D206="marché libre",(C206/(A206*24))/G206,"spécifier histo"))</f>
        <v>0.950305143853531</v>
      </c>
      <c r="F206" s="9" t="n">
        <f aca="false">G206+H206</f>
        <v>2960</v>
      </c>
      <c r="G206" s="9" t="n">
        <v>2960</v>
      </c>
      <c r="H206" s="9" t="n">
        <f aca="false">0</f>
        <v>0</v>
      </c>
      <c r="I206" s="9"/>
      <c r="J206" s="30"/>
    </row>
    <row r="207" customFormat="false" ht="24.95" hidden="false" customHeight="true" outlineLevel="0" collapsed="false">
      <c r="A207" s="0" t="n">
        <v>30</v>
      </c>
      <c r="B207" s="34" t="n">
        <v>38869</v>
      </c>
      <c r="C207" s="1" t="n">
        <v>1929000</v>
      </c>
      <c r="D207" s="29" t="s">
        <v>41</v>
      </c>
      <c r="E207" s="33" t="n">
        <f aca="false">IF(D207="totale",(C207/(A207*24))/F207,IF(D207="marché libre",(C207/(A207*24))/G207,"spécifier histo"))</f>
        <v>0.905123873873874</v>
      </c>
      <c r="F207" s="9" t="n">
        <f aca="false">G207+H207</f>
        <v>2960</v>
      </c>
      <c r="G207" s="9" t="n">
        <v>2960</v>
      </c>
      <c r="H207" s="9" t="n">
        <f aca="false">0</f>
        <v>0</v>
      </c>
      <c r="I207" s="9"/>
      <c r="J207" s="30"/>
    </row>
    <row r="208" customFormat="false" ht="24.95" hidden="false" customHeight="true" outlineLevel="0" collapsed="false">
      <c r="A208" s="0" t="n">
        <v>31</v>
      </c>
      <c r="B208" s="31" t="n">
        <v>38899</v>
      </c>
      <c r="C208" s="1" t="n">
        <v>1221600</v>
      </c>
      <c r="D208" s="29" t="s">
        <v>41</v>
      </c>
      <c r="E208" s="33" t="n">
        <f aca="false">IF(D208="totale",(C208/(A208*24))/F208,IF(D208="marché libre",(C208/(A208*24))/G208,"spécifier histo"))</f>
        <v>0.554707933740192</v>
      </c>
      <c r="F208" s="9" t="n">
        <f aca="false">G208+H208</f>
        <v>2960</v>
      </c>
      <c r="G208" s="9" t="n">
        <v>2960</v>
      </c>
      <c r="H208" s="9" t="n">
        <f aca="false">0</f>
        <v>0</v>
      </c>
      <c r="I208" s="9"/>
      <c r="J208" s="30"/>
    </row>
    <row r="209" customFormat="false" ht="24.95" hidden="false" customHeight="true" outlineLevel="0" collapsed="false">
      <c r="A209" s="0" t="n">
        <v>31</v>
      </c>
      <c r="B209" s="34" t="n">
        <v>38930</v>
      </c>
      <c r="C209" s="1" t="n">
        <v>750000</v>
      </c>
      <c r="D209" s="29" t="s">
        <v>41</v>
      </c>
      <c r="E209" s="33" t="n">
        <f aca="false">IF(D209="totale",(C209/(A209*24))/F209,IF(D209="marché libre",(C209/(A209*24))/G209,"spécifier histo"))</f>
        <v>0.340562336530078</v>
      </c>
      <c r="F209" s="9" t="n">
        <f aca="false">G209+H209</f>
        <v>2960</v>
      </c>
      <c r="G209" s="9" t="n">
        <v>2960</v>
      </c>
      <c r="H209" s="9" t="n">
        <f aca="false">0</f>
        <v>0</v>
      </c>
      <c r="I209" s="9"/>
      <c r="J209" s="30"/>
    </row>
    <row r="210" customFormat="false" ht="24.95" hidden="false" customHeight="true" outlineLevel="0" collapsed="false">
      <c r="A210" s="0" t="n">
        <v>30</v>
      </c>
      <c r="B210" s="31" t="n">
        <v>38961</v>
      </c>
      <c r="C210" s="1" t="n">
        <v>1327200</v>
      </c>
      <c r="D210" s="29" t="s">
        <v>41</v>
      </c>
      <c r="E210" s="33" t="n">
        <f aca="false">IF(D210="totale",(C210/(A210*24))/F210,IF(D210="marché libre",(C210/(A210*24))/G210,"spécifier histo"))</f>
        <v>0.622747747747748</v>
      </c>
      <c r="F210" s="9" t="n">
        <f aca="false">G210+H210</f>
        <v>2960</v>
      </c>
      <c r="G210" s="9" t="n">
        <v>2960</v>
      </c>
      <c r="H210" s="9" t="n">
        <f aca="false">0</f>
        <v>0</v>
      </c>
      <c r="I210" s="9"/>
      <c r="J210" s="30"/>
    </row>
    <row r="211" customFormat="false" ht="24.95" hidden="false" customHeight="true" outlineLevel="0" collapsed="false">
      <c r="A211" s="0" t="n">
        <v>31</v>
      </c>
      <c r="B211" s="34" t="n">
        <v>38991</v>
      </c>
      <c r="C211" s="1" t="n">
        <v>1790400</v>
      </c>
      <c r="D211" s="29" t="s">
        <v>41</v>
      </c>
      <c r="E211" s="33" t="n">
        <f aca="false">IF(D211="totale",(C211/(A211*24))/F211,IF(D211="marché libre",(C211/(A211*24))/G211,"spécifier histo"))</f>
        <v>0.812990409764603</v>
      </c>
      <c r="F211" s="9" t="n">
        <f aca="false">G211+H211</f>
        <v>2960</v>
      </c>
      <c r="G211" s="9" t="n">
        <v>2960</v>
      </c>
      <c r="H211" s="9" t="n">
        <f aca="false">0</f>
        <v>0</v>
      </c>
      <c r="I211" s="9"/>
      <c r="J211" s="30"/>
    </row>
    <row r="212" customFormat="false" ht="24.95" hidden="false" customHeight="true" outlineLevel="0" collapsed="false">
      <c r="A212" s="0" t="n">
        <v>30</v>
      </c>
      <c r="B212" s="31" t="n">
        <v>39022</v>
      </c>
      <c r="C212" s="1" t="n">
        <v>1578000</v>
      </c>
      <c r="D212" s="29" t="s">
        <v>41</v>
      </c>
      <c r="E212" s="33" t="n">
        <f aca="false">IF(D212="totale",(C212/(A212*24))/F212,IF(D212="marché libre",(C212/(A212*24))/G212,"spécifier histo"))</f>
        <v>0.740427927927928</v>
      </c>
      <c r="F212" s="9" t="n">
        <f aca="false">G212+H212</f>
        <v>2960</v>
      </c>
      <c r="G212" s="9" t="n">
        <v>2960</v>
      </c>
      <c r="H212" s="9" t="n">
        <f aca="false">0</f>
        <v>0</v>
      </c>
      <c r="I212" s="9"/>
      <c r="J212" s="30"/>
    </row>
    <row r="213" customFormat="false" ht="24.95" hidden="false" customHeight="true" outlineLevel="0" collapsed="false">
      <c r="A213" s="0" t="n">
        <v>31</v>
      </c>
      <c r="B213" s="34" t="n">
        <v>39052</v>
      </c>
      <c r="C213" s="1" t="n">
        <v>1456800</v>
      </c>
      <c r="D213" s="29" t="s">
        <v>41</v>
      </c>
      <c r="E213" s="33" t="n">
        <f aca="false">IF(D213="totale",(C213/(A213*24))/F213,IF(D213="marché libre",(C213/(A213*24))/G213,"spécifier histo"))</f>
        <v>0.661508282476024</v>
      </c>
      <c r="F213" s="9" t="n">
        <f aca="false">G213+H213</f>
        <v>2960</v>
      </c>
      <c r="G213" s="9" t="n">
        <v>2960</v>
      </c>
      <c r="H213" s="9" t="n">
        <f aca="false">0</f>
        <v>0</v>
      </c>
      <c r="I213" s="9"/>
      <c r="J213" s="30"/>
    </row>
    <row r="214" customFormat="false" ht="24.95" hidden="false" customHeight="true" outlineLevel="0" collapsed="false">
      <c r="A214" s="0" t="n">
        <v>31</v>
      </c>
      <c r="B214" s="31" t="n">
        <v>39083</v>
      </c>
      <c r="C214" s="1" t="n">
        <v>502800</v>
      </c>
      <c r="D214" s="29" t="s">
        <v>41</v>
      </c>
      <c r="E214" s="33" t="n">
        <f aca="false">IF(D214="totale",(C214/(A214*24))/F214,IF(D214="marché libre",(C214/(A214*24))/G214,"spécifier histo"))</f>
        <v>0.228312990409765</v>
      </c>
      <c r="F214" s="9" t="n">
        <f aca="false">G214+H214</f>
        <v>2960</v>
      </c>
      <c r="G214" s="9" t="n">
        <v>2960</v>
      </c>
      <c r="H214" s="9" t="n">
        <f aca="false">0</f>
        <v>0</v>
      </c>
      <c r="I214" s="9"/>
      <c r="J214" s="30"/>
    </row>
    <row r="215" customFormat="false" ht="24.95" hidden="false" customHeight="true" outlineLevel="0" collapsed="false">
      <c r="A215" s="0" t="n">
        <v>28</v>
      </c>
      <c r="B215" s="34" t="n">
        <v>39114</v>
      </c>
      <c r="C215" s="1" t="n">
        <v>618000</v>
      </c>
      <c r="D215" s="29" t="s">
        <v>41</v>
      </c>
      <c r="E215" s="33" t="n">
        <f aca="false">IF(D215="totale",(C215/(A215*24))/F215,IF(D215="marché libre",(C215/(A215*24))/G215,"spécifier histo"))</f>
        <v>0.310690154440154</v>
      </c>
      <c r="F215" s="9" t="n">
        <f aca="false">G215+H215</f>
        <v>2960</v>
      </c>
      <c r="G215" s="9" t="n">
        <v>2960</v>
      </c>
      <c r="H215" s="9" t="n">
        <f aca="false">0</f>
        <v>0</v>
      </c>
      <c r="I215" s="9"/>
      <c r="J215" s="30"/>
    </row>
    <row r="216" customFormat="false" ht="24.95" hidden="false" customHeight="true" outlineLevel="0" collapsed="false">
      <c r="A216" s="0" t="n">
        <v>31</v>
      </c>
      <c r="B216" s="31" t="n">
        <v>39142</v>
      </c>
      <c r="C216" s="1" t="n">
        <v>898800</v>
      </c>
      <c r="D216" s="29" t="s">
        <v>41</v>
      </c>
      <c r="E216" s="33" t="n">
        <f aca="false">IF(D216="totale",(C216/(A216*24))/F216,IF(D216="marché libre",(C216/(A216*24))/G216,"spécifier histo"))</f>
        <v>0.408129904097646</v>
      </c>
      <c r="F216" s="9" t="n">
        <f aca="false">G216+H216</f>
        <v>2960</v>
      </c>
      <c r="G216" s="9" t="n">
        <v>2960</v>
      </c>
      <c r="H216" s="9" t="n">
        <f aca="false">0</f>
        <v>0</v>
      </c>
      <c r="I216" s="9"/>
      <c r="J216" s="30"/>
    </row>
    <row r="217" customFormat="false" ht="24.95" hidden="false" customHeight="true" outlineLevel="0" collapsed="false">
      <c r="A217" s="0" t="n">
        <v>30</v>
      </c>
      <c r="B217" s="34" t="n">
        <v>39173</v>
      </c>
      <c r="C217" s="1" t="n">
        <v>1922400</v>
      </c>
      <c r="D217" s="29" t="s">
        <v>41</v>
      </c>
      <c r="E217" s="33" t="n">
        <f aca="false">IF(D217="totale",(C217/(A217*24))/F217,IF(D217="marché libre",(C217/(A217*24))/G217,"spécifier histo"))</f>
        <v>0.902027027027027</v>
      </c>
      <c r="F217" s="9" t="n">
        <f aca="false">G217+H217</f>
        <v>2960</v>
      </c>
      <c r="G217" s="9" t="n">
        <v>2960</v>
      </c>
      <c r="H217" s="9" t="n">
        <f aca="false">0</f>
        <v>0</v>
      </c>
      <c r="I217" s="9"/>
      <c r="J217" s="30"/>
    </row>
    <row r="218" customFormat="false" ht="24.95" hidden="false" customHeight="true" outlineLevel="0" collapsed="false">
      <c r="A218" s="0" t="n">
        <v>31</v>
      </c>
      <c r="B218" s="31" t="n">
        <v>39203</v>
      </c>
      <c r="C218" s="1" t="n">
        <v>2086200</v>
      </c>
      <c r="D218" s="29" t="s">
        <v>41</v>
      </c>
      <c r="E218" s="33" t="n">
        <f aca="false">IF(D218="totale",(C218/(A218*24))/F218,IF(D218="marché libre",(C218/(A218*24))/G218,"spécifier histo"))</f>
        <v>0.947308195292066</v>
      </c>
      <c r="F218" s="9" t="n">
        <f aca="false">G218+H218</f>
        <v>2960</v>
      </c>
      <c r="G218" s="9" t="n">
        <v>2960</v>
      </c>
      <c r="H218" s="9" t="n">
        <f aca="false">0</f>
        <v>0</v>
      </c>
      <c r="I218" s="9"/>
      <c r="J218" s="30"/>
    </row>
    <row r="219" customFormat="false" ht="24.95" hidden="false" customHeight="true" outlineLevel="0" collapsed="false">
      <c r="A219" s="0" t="n">
        <v>30</v>
      </c>
      <c r="B219" s="34" t="n">
        <v>39234</v>
      </c>
      <c r="C219" s="1" t="n">
        <v>2004600</v>
      </c>
      <c r="D219" s="29" t="s">
        <v>41</v>
      </c>
      <c r="E219" s="33" t="n">
        <f aca="false">IF(D219="totale",(C219/(A219*24))/F219,IF(D219="marché libre",(C219/(A219*24))/G219,"spécifier histo"))</f>
        <v>0.940596846846847</v>
      </c>
      <c r="F219" s="9" t="n">
        <f aca="false">G219+H219</f>
        <v>2960</v>
      </c>
      <c r="G219" s="9" t="n">
        <v>2960</v>
      </c>
      <c r="H219" s="9" t="n">
        <f aca="false">0</f>
        <v>0</v>
      </c>
      <c r="I219" s="9"/>
      <c r="J219" s="30"/>
    </row>
    <row r="220" customFormat="false" ht="24.95" hidden="false" customHeight="true" outlineLevel="0" collapsed="false">
      <c r="A220" s="0" t="n">
        <v>31</v>
      </c>
      <c r="B220" s="31" t="n">
        <v>39264</v>
      </c>
      <c r="C220" s="1" t="n">
        <v>1660000</v>
      </c>
      <c r="D220" s="29" t="s">
        <v>41</v>
      </c>
      <c r="E220" s="33" t="n">
        <f aca="false">IF(D220="totale",(C220/(A220*24))/F220,IF(D220="marché libre",(C220/(A220*24))/G220,"spécifier histo"))</f>
        <v>0.753777971519907</v>
      </c>
      <c r="F220" s="9" t="n">
        <f aca="false">G220+H220</f>
        <v>2960</v>
      </c>
      <c r="G220" s="9" t="n">
        <v>2960</v>
      </c>
      <c r="H220" s="9" t="n">
        <f aca="false">0</f>
        <v>0</v>
      </c>
      <c r="I220" s="9"/>
      <c r="J220" s="30"/>
    </row>
    <row r="221" customFormat="false" ht="24.95" hidden="false" customHeight="true" outlineLevel="0" collapsed="false">
      <c r="A221" s="0" t="n">
        <v>31</v>
      </c>
      <c r="B221" s="34" t="n">
        <v>39295</v>
      </c>
      <c r="C221" s="1" t="n">
        <v>1071000</v>
      </c>
      <c r="D221" s="29" t="s">
        <v>41</v>
      </c>
      <c r="E221" s="33" t="n">
        <f aca="false">IF(D221="totale",(C221/(A221*24))/F221,IF(D221="marché libre",(C221/(A221*24))/G221,"spécifier histo"))</f>
        <v>0.486323016564952</v>
      </c>
      <c r="F221" s="9" t="n">
        <f aca="false">G221+H221</f>
        <v>2960</v>
      </c>
      <c r="G221" s="9" t="n">
        <v>2960</v>
      </c>
      <c r="H221" s="9" t="n">
        <f aca="false">0</f>
        <v>0</v>
      </c>
      <c r="I221" s="9"/>
      <c r="J221" s="30"/>
    </row>
    <row r="222" customFormat="false" ht="24.95" hidden="false" customHeight="true" outlineLevel="0" collapsed="false">
      <c r="A222" s="0" t="n">
        <v>30</v>
      </c>
      <c r="B222" s="31" t="n">
        <v>39326</v>
      </c>
      <c r="C222" s="1" t="n">
        <v>442800</v>
      </c>
      <c r="D222" s="29" t="s">
        <v>41</v>
      </c>
      <c r="E222" s="33" t="n">
        <f aca="false">IF(D222="totale",(C222/(A222*24))/F222,IF(D222="marché libre",(C222/(A222*24))/G222,"spécifier histo"))</f>
        <v>0.20777027027027</v>
      </c>
      <c r="F222" s="9" t="n">
        <f aca="false">G222+H222</f>
        <v>2960</v>
      </c>
      <c r="G222" s="9" t="n">
        <v>2960</v>
      </c>
      <c r="H222" s="9" t="n">
        <f aca="false">0</f>
        <v>0</v>
      </c>
      <c r="I222" s="9"/>
      <c r="J222" s="30"/>
    </row>
    <row r="223" customFormat="false" ht="24.95" hidden="false" customHeight="true" outlineLevel="0" collapsed="false">
      <c r="A223" s="0" t="n">
        <v>31</v>
      </c>
      <c r="B223" s="34" t="n">
        <v>39356</v>
      </c>
      <c r="C223" s="1" t="n">
        <v>775200</v>
      </c>
      <c r="D223" s="29" t="s">
        <v>41</v>
      </c>
      <c r="E223" s="33" t="n">
        <f aca="false">IF(D223="totale",(C223/(A223*24))/F223,IF(D223="marché libre",(C223/(A223*24))/G223,"spécifier histo"))</f>
        <v>0.352005231037489</v>
      </c>
      <c r="F223" s="9" t="n">
        <f aca="false">G223+H223</f>
        <v>2960</v>
      </c>
      <c r="G223" s="9" t="n">
        <v>2960</v>
      </c>
      <c r="H223" s="9" t="n">
        <f aca="false">0</f>
        <v>0</v>
      </c>
      <c r="I223" s="9"/>
      <c r="J223" s="30"/>
    </row>
    <row r="224" customFormat="false" ht="24.95" hidden="false" customHeight="true" outlineLevel="0" collapsed="false">
      <c r="A224" s="0" t="n">
        <v>30</v>
      </c>
      <c r="B224" s="31" t="n">
        <v>39387</v>
      </c>
      <c r="C224" s="1" t="n">
        <v>448800</v>
      </c>
      <c r="D224" s="29" t="s">
        <v>41</v>
      </c>
      <c r="E224" s="33" t="n">
        <f aca="false">IF(D224="totale",(C224/(A224*24))/F224,IF(D224="marché libre",(C224/(A224*24))/G224,"spécifier histo"))</f>
        <v>0.210585585585586</v>
      </c>
      <c r="F224" s="9" t="n">
        <f aca="false">G224+H224</f>
        <v>2960</v>
      </c>
      <c r="G224" s="9" t="n">
        <v>2960</v>
      </c>
      <c r="H224" s="9" t="n">
        <f aca="false">0</f>
        <v>0</v>
      </c>
      <c r="I224" s="9"/>
      <c r="J224" s="30"/>
    </row>
    <row r="225" customFormat="false" ht="24.95" hidden="false" customHeight="true" outlineLevel="0" collapsed="false">
      <c r="A225" s="0" t="n">
        <v>31</v>
      </c>
      <c r="B225" s="34" t="n">
        <v>39417</v>
      </c>
      <c r="C225" s="1" t="n">
        <v>448800</v>
      </c>
      <c r="D225" s="29" t="s">
        <v>41</v>
      </c>
      <c r="E225" s="33" t="n">
        <f aca="false">IF(D225="totale",(C225/(A225*24))/F225,IF(D225="marché libre",(C225/(A225*24))/G225,"spécifier histo"))</f>
        <v>0.203792502179599</v>
      </c>
      <c r="F225" s="9" t="n">
        <f aca="false">G225+H225</f>
        <v>2960</v>
      </c>
      <c r="G225" s="9" t="n">
        <v>2960</v>
      </c>
      <c r="H225" s="9" t="n">
        <f aca="false">0</f>
        <v>0</v>
      </c>
      <c r="I225" s="9"/>
      <c r="J225" s="30"/>
    </row>
    <row r="226" customFormat="false" ht="24.95" hidden="false" customHeight="true" outlineLevel="0" collapsed="false">
      <c r="A226" s="0" t="n">
        <v>31</v>
      </c>
      <c r="B226" s="31" t="n">
        <v>39448</v>
      </c>
      <c r="C226" s="1" t="n">
        <v>819000</v>
      </c>
      <c r="D226" s="29" t="s">
        <v>41</v>
      </c>
      <c r="E226" s="33" t="n">
        <f aca="false">IF(D226="totale",(C226/(A226*24))/F226,IF(D226="marché libre",(C226/(A226*24))/G226,"spécifier histo"))</f>
        <v>0.371894071490846</v>
      </c>
      <c r="F226" s="9" t="n">
        <f aca="false">G226+H226</f>
        <v>2960</v>
      </c>
      <c r="G226" s="9" t="n">
        <v>2960</v>
      </c>
      <c r="H226" s="9" t="n">
        <f aca="false">0</f>
        <v>0</v>
      </c>
      <c r="I226" s="9"/>
      <c r="J226" s="30"/>
    </row>
    <row r="227" customFormat="false" ht="24.95" hidden="false" customHeight="true" outlineLevel="0" collapsed="false">
      <c r="A227" s="0" t="n">
        <v>28</v>
      </c>
      <c r="B227" s="34" t="n">
        <v>39479</v>
      </c>
      <c r="C227" s="1" t="n">
        <v>508200</v>
      </c>
      <c r="D227" s="29" t="s">
        <v>41</v>
      </c>
      <c r="E227" s="33" t="n">
        <f aca="false">IF(D227="totale",(C227/(A227*24))/F227,IF(D227="marché libre",(C227/(A227*24))/G227,"spécifier histo"))</f>
        <v>0.255489864864865</v>
      </c>
      <c r="F227" s="9" t="n">
        <f aca="false">G227+H227</f>
        <v>2960</v>
      </c>
      <c r="G227" s="9" t="n">
        <v>2960</v>
      </c>
      <c r="H227" s="9" t="n">
        <f aca="false">0</f>
        <v>0</v>
      </c>
      <c r="I227" s="9"/>
      <c r="J227" s="30"/>
    </row>
    <row r="228" customFormat="false" ht="24.95" hidden="false" customHeight="true" outlineLevel="0" collapsed="false">
      <c r="A228" s="0" t="n">
        <v>31</v>
      </c>
      <c r="B228" s="31" t="n">
        <v>39508</v>
      </c>
      <c r="C228" s="1" t="n">
        <v>1134600</v>
      </c>
      <c r="D228" s="29" t="s">
        <v>41</v>
      </c>
      <c r="E228" s="33" t="n">
        <f aca="false">IF(D228="totale",(C228/(A228*24))/F228,IF(D228="marché libre",(C228/(A228*24))/G228,"spécifier histo"))</f>
        <v>0.515202702702703</v>
      </c>
      <c r="F228" s="9" t="n">
        <f aca="false">G228+H228</f>
        <v>2960</v>
      </c>
      <c r="G228" s="9" t="n">
        <v>2960</v>
      </c>
      <c r="H228" s="9" t="n">
        <f aca="false">0</f>
        <v>0</v>
      </c>
      <c r="I228" s="9"/>
      <c r="J228" s="30"/>
    </row>
    <row r="229" customFormat="false" ht="24.95" hidden="false" customHeight="true" outlineLevel="0" collapsed="false">
      <c r="A229" s="0" t="n">
        <v>30</v>
      </c>
      <c r="B229" s="34" t="n">
        <v>39539</v>
      </c>
      <c r="C229" s="1" t="n">
        <v>1696800</v>
      </c>
      <c r="D229" s="29" t="s">
        <v>41</v>
      </c>
      <c r="E229" s="33" t="n">
        <f aca="false">IF(D229="totale",(C229/(A229*24))/F229,IF(D229="marché libre",(C229/(A229*24))/G229,"spécifier histo"))</f>
        <v>0.796171171171171</v>
      </c>
      <c r="F229" s="9" t="n">
        <f aca="false">G229+H229</f>
        <v>2960</v>
      </c>
      <c r="G229" s="9" t="n">
        <v>2960</v>
      </c>
      <c r="H229" s="9" t="n">
        <f aca="false">0</f>
        <v>0</v>
      </c>
      <c r="I229" s="9"/>
      <c r="J229" s="30"/>
    </row>
    <row r="230" customFormat="false" ht="24.95" hidden="false" customHeight="true" outlineLevel="0" collapsed="false">
      <c r="A230" s="0" t="n">
        <v>31</v>
      </c>
      <c r="B230" s="31" t="n">
        <v>39569</v>
      </c>
      <c r="C230" s="1" t="n">
        <v>1845000</v>
      </c>
      <c r="D230" s="29" t="s">
        <v>41</v>
      </c>
      <c r="E230" s="33" t="n">
        <f aca="false">IF(D230="totale",(C230/(A230*24))/F230,IF(D230="marché libre",(C230/(A230*24))/G230,"spécifier histo"))</f>
        <v>0.837783347863993</v>
      </c>
      <c r="F230" s="9" t="n">
        <f aca="false">G230+H230</f>
        <v>2960</v>
      </c>
      <c r="G230" s="9" t="n">
        <v>2960</v>
      </c>
      <c r="H230" s="9" t="n">
        <f aca="false">0</f>
        <v>0</v>
      </c>
      <c r="I230" s="9"/>
      <c r="J230" s="30"/>
    </row>
    <row r="231" customFormat="false" ht="24.95" hidden="false" customHeight="true" outlineLevel="0" collapsed="false">
      <c r="A231" s="0" t="n">
        <v>30</v>
      </c>
      <c r="B231" s="34" t="n">
        <v>39600</v>
      </c>
      <c r="C231" s="1" t="n">
        <v>1995600</v>
      </c>
      <c r="D231" s="29" t="s">
        <v>41</v>
      </c>
      <c r="E231" s="33" t="n">
        <f aca="false">IF(D231="totale",(C231/(A231*24))/F231,IF(D231="marché libre",(C231/(A231*24))/G231,"spécifier histo"))</f>
        <v>0.936373873873874</v>
      </c>
      <c r="F231" s="9" t="n">
        <f aca="false">G231+H231</f>
        <v>2960</v>
      </c>
      <c r="G231" s="9" t="n">
        <v>2960</v>
      </c>
      <c r="H231" s="9" t="n">
        <f aca="false">0</f>
        <v>0</v>
      </c>
      <c r="I231" s="9"/>
      <c r="J231" s="30"/>
    </row>
    <row r="232" customFormat="false" ht="24.95" hidden="false" customHeight="true" outlineLevel="0" collapsed="false">
      <c r="A232" s="0" t="n">
        <v>31</v>
      </c>
      <c r="B232" s="31" t="n">
        <v>39630</v>
      </c>
      <c r="C232" s="1" t="n">
        <v>1983000</v>
      </c>
      <c r="D232" s="29" t="s">
        <v>41</v>
      </c>
      <c r="E232" s="33" t="n">
        <f aca="false">IF(D232="totale",(C232/(A232*24))/F232,IF(D232="marché libre",(C232/(A232*24))/G232,"spécifier histo"))</f>
        <v>0.900446817785527</v>
      </c>
      <c r="F232" s="9" t="n">
        <f aca="false">G232+H232</f>
        <v>2960</v>
      </c>
      <c r="G232" s="9" t="n">
        <v>2960</v>
      </c>
      <c r="H232" s="9" t="n">
        <f aca="false">0</f>
        <v>0</v>
      </c>
      <c r="I232" s="9"/>
      <c r="J232" s="30"/>
    </row>
    <row r="233" customFormat="false" ht="24.95" hidden="false" customHeight="true" outlineLevel="0" collapsed="false">
      <c r="A233" s="0" t="n">
        <v>31</v>
      </c>
      <c r="B233" s="34" t="n">
        <v>39661</v>
      </c>
      <c r="C233" s="1" t="n">
        <v>1204200</v>
      </c>
      <c r="D233" s="29" t="s">
        <v>41</v>
      </c>
      <c r="E233" s="33" t="n">
        <f aca="false">IF(D233="totale",(C233/(A233*24))/F233,IF(D233="marché libre",(C233/(A233*24))/G233,"spécifier histo"))</f>
        <v>0.546806887532694</v>
      </c>
      <c r="F233" s="9" t="n">
        <f aca="false">G233+H233</f>
        <v>2960</v>
      </c>
      <c r="G233" s="9" t="n">
        <v>2960</v>
      </c>
      <c r="H233" s="9" t="n">
        <f aca="false">0</f>
        <v>0</v>
      </c>
      <c r="I233" s="9"/>
      <c r="J233" s="30"/>
    </row>
    <row r="234" customFormat="false" ht="24.95" hidden="false" customHeight="true" outlineLevel="0" collapsed="false">
      <c r="A234" s="0" t="n">
        <v>30</v>
      </c>
      <c r="B234" s="31" t="n">
        <v>39692</v>
      </c>
      <c r="C234" s="1" t="n">
        <v>672600</v>
      </c>
      <c r="D234" s="29" t="s">
        <v>41</v>
      </c>
      <c r="E234" s="33" t="n">
        <f aca="false">IF(D234="totale",(C234/(A234*24))/F234,IF(D234="marché libre",(C234/(A234*24))/G234,"spécifier histo"))</f>
        <v>0.315596846846847</v>
      </c>
      <c r="F234" s="9" t="n">
        <f aca="false">G234+H234</f>
        <v>2960</v>
      </c>
      <c r="G234" s="9" t="n">
        <v>2960</v>
      </c>
      <c r="H234" s="9" t="n">
        <f aca="false">0</f>
        <v>0</v>
      </c>
      <c r="I234" s="9"/>
      <c r="J234" s="30"/>
    </row>
    <row r="235" customFormat="false" ht="24.95" hidden="false" customHeight="true" outlineLevel="0" collapsed="false">
      <c r="A235" s="0" t="n">
        <v>31</v>
      </c>
      <c r="B235" s="34" t="n">
        <v>39722</v>
      </c>
      <c r="C235" s="1" t="n">
        <v>616800</v>
      </c>
      <c r="D235" s="29" t="s">
        <v>41</v>
      </c>
      <c r="E235" s="33" t="n">
        <f aca="false">IF(D235="totale",(C235/(A235*24))/F235,IF(D235="marché libre",(C235/(A235*24))/G235,"spécifier histo"))</f>
        <v>0.280078465562336</v>
      </c>
      <c r="F235" s="9" t="n">
        <f aca="false">G235+H235</f>
        <v>2960</v>
      </c>
      <c r="G235" s="9" t="n">
        <v>2960</v>
      </c>
      <c r="H235" s="9" t="n">
        <f aca="false">0</f>
        <v>0</v>
      </c>
      <c r="I235" s="9"/>
      <c r="J235" s="30"/>
    </row>
    <row r="236" customFormat="false" ht="24.95" hidden="false" customHeight="true" outlineLevel="0" collapsed="false">
      <c r="A236" s="0" t="n">
        <v>30</v>
      </c>
      <c r="B236" s="31" t="n">
        <v>39753</v>
      </c>
      <c r="C236" s="1" t="n">
        <v>1036200</v>
      </c>
      <c r="D236" s="29" t="s">
        <v>41</v>
      </c>
      <c r="E236" s="33" t="n">
        <f aca="false">IF(D236="totale",(C236/(A236*24))/F236,IF(D236="marché libre",(C236/(A236*24))/G236,"spécifier histo"))</f>
        <v>0.486204954954955</v>
      </c>
      <c r="F236" s="9" t="n">
        <f aca="false">G236+H236</f>
        <v>2960</v>
      </c>
      <c r="G236" s="9" t="n">
        <v>2960</v>
      </c>
      <c r="H236" s="9" t="n">
        <f aca="false">0</f>
        <v>0</v>
      </c>
      <c r="I236" s="9"/>
      <c r="J236" s="30"/>
    </row>
    <row r="237" customFormat="false" ht="24.95" hidden="false" customHeight="true" outlineLevel="0" collapsed="false">
      <c r="A237" s="0" t="n">
        <v>31</v>
      </c>
      <c r="B237" s="34" t="n">
        <v>39783</v>
      </c>
      <c r="C237" s="1" t="n">
        <v>514800</v>
      </c>
      <c r="D237" s="29" t="s">
        <v>41</v>
      </c>
      <c r="E237" s="33" t="n">
        <f aca="false">IF(D237="totale",(C237/(A237*24))/F237,IF(D237="marché libre",(C237/(A237*24))/G237,"spécifier histo"))</f>
        <v>0.233761987794246</v>
      </c>
      <c r="F237" s="9" t="n">
        <f aca="false">G237+H237</f>
        <v>2960</v>
      </c>
      <c r="G237" s="9" t="n">
        <v>2960</v>
      </c>
      <c r="H237" s="9" t="n">
        <f aca="false">0</f>
        <v>0</v>
      </c>
      <c r="I237" s="9"/>
      <c r="J237" s="30"/>
    </row>
    <row r="238" customFormat="false" ht="24.95" hidden="false" customHeight="true" outlineLevel="0" collapsed="false">
      <c r="A238" s="0" t="n">
        <v>31</v>
      </c>
      <c r="B238" s="31" t="n">
        <v>39814</v>
      </c>
      <c r="C238" s="1" t="n">
        <v>627600</v>
      </c>
      <c r="D238" s="29" t="s">
        <v>41</v>
      </c>
      <c r="E238" s="33" t="n">
        <f aca="false">IF(D238="totale",(C238/(A238*24))/F238,IF(D238="marché libre",(C238/(A238*24))/G238,"spécifier histo"))</f>
        <v>0.28498256320837</v>
      </c>
      <c r="F238" s="9" t="n">
        <f aca="false">G238+H238</f>
        <v>2960</v>
      </c>
      <c r="G238" s="9" t="n">
        <v>2960</v>
      </c>
      <c r="H238" s="9" t="n">
        <f aca="false">0</f>
        <v>0</v>
      </c>
      <c r="I238" s="9"/>
      <c r="J238" s="30"/>
    </row>
    <row r="239" customFormat="false" ht="24.95" hidden="false" customHeight="true" outlineLevel="0" collapsed="false">
      <c r="A239" s="0" t="n">
        <v>28</v>
      </c>
      <c r="B239" s="34" t="n">
        <v>39845</v>
      </c>
      <c r="C239" s="1" t="n">
        <v>667200</v>
      </c>
      <c r="D239" s="29" t="s">
        <v>41</v>
      </c>
      <c r="E239" s="33" t="n">
        <f aca="false">IF(D239="totale",(C239/(A239*24))/F239,IF(D239="marché libre",(C239/(A239*24))/G239,"spécifier histo"))</f>
        <v>0.33542471042471</v>
      </c>
      <c r="F239" s="9" t="n">
        <f aca="false">G239+H239</f>
        <v>2960</v>
      </c>
      <c r="G239" s="9" t="n">
        <v>2960</v>
      </c>
      <c r="H239" s="9" t="n">
        <f aca="false">0</f>
        <v>0</v>
      </c>
      <c r="I239" s="9"/>
      <c r="J239" s="30"/>
    </row>
    <row r="240" customFormat="false" ht="24.95" hidden="false" customHeight="true" outlineLevel="0" collapsed="false">
      <c r="A240" s="0" t="n">
        <v>31</v>
      </c>
      <c r="B240" s="31" t="n">
        <v>39873</v>
      </c>
      <c r="C240" s="1" t="n">
        <v>1275600</v>
      </c>
      <c r="D240" s="29" t="s">
        <v>41</v>
      </c>
      <c r="E240" s="33" t="n">
        <f aca="false">IF(D240="totale",(C240/(A240*24))/F240,IF(D240="marché libre",(C240/(A240*24))/G240,"spécifier histo"))</f>
        <v>0.579228421970357</v>
      </c>
      <c r="F240" s="9" t="n">
        <f aca="false">G240+H240</f>
        <v>2960</v>
      </c>
      <c r="G240" s="9" t="n">
        <v>2960</v>
      </c>
      <c r="H240" s="9" t="n">
        <f aca="false">0</f>
        <v>0</v>
      </c>
      <c r="I240" s="9"/>
      <c r="J240" s="30"/>
    </row>
    <row r="241" customFormat="false" ht="24.95" hidden="false" customHeight="true" outlineLevel="0" collapsed="false">
      <c r="A241" s="0" t="n">
        <v>30</v>
      </c>
      <c r="B241" s="34" t="n">
        <v>39904</v>
      </c>
      <c r="C241" s="1" t="n">
        <v>1789800</v>
      </c>
      <c r="D241" s="29" t="s">
        <v>41</v>
      </c>
      <c r="E241" s="33" t="n">
        <f aca="false">IF(D241="totale",(C241/(A241*24))/F241,IF(D241="marché libre",(C241/(A241*24))/G241,"spécifier histo"))</f>
        <v>0.839808558558559</v>
      </c>
      <c r="F241" s="9" t="n">
        <f aca="false">G241+H241</f>
        <v>2960</v>
      </c>
      <c r="G241" s="9" t="n">
        <v>2960</v>
      </c>
      <c r="H241" s="9" t="n">
        <f aca="false">0</f>
        <v>0</v>
      </c>
      <c r="I241" s="9"/>
      <c r="J241" s="30"/>
    </row>
    <row r="242" customFormat="false" ht="24.95" hidden="false" customHeight="true" outlineLevel="0" collapsed="false">
      <c r="A242" s="0" t="n">
        <v>31</v>
      </c>
      <c r="B242" s="31" t="n">
        <v>39934</v>
      </c>
      <c r="C242" s="1" t="n">
        <v>1974000</v>
      </c>
      <c r="D242" s="29" t="s">
        <v>41</v>
      </c>
      <c r="E242" s="33" t="n">
        <f aca="false">IF(D242="totale",(C242/(A242*24))/F242,IF(D242="marché libre",(C242/(A242*24))/G242,"spécifier histo"))</f>
        <v>0.896360069747166</v>
      </c>
      <c r="F242" s="9" t="n">
        <f aca="false">G242+H242</f>
        <v>2960</v>
      </c>
      <c r="G242" s="9" t="n">
        <v>2960</v>
      </c>
      <c r="H242" s="9" t="n">
        <f aca="false">0</f>
        <v>0</v>
      </c>
      <c r="I242" s="9"/>
      <c r="J242" s="30"/>
    </row>
    <row r="243" customFormat="false" ht="24.95" hidden="false" customHeight="true" outlineLevel="0" collapsed="false">
      <c r="A243" s="0" t="n">
        <v>30</v>
      </c>
      <c r="B243" s="34" t="n">
        <v>39965</v>
      </c>
      <c r="C243" s="1" t="n">
        <v>1956600</v>
      </c>
      <c r="D243" s="29" t="s">
        <v>41</v>
      </c>
      <c r="E243" s="33" t="n">
        <f aca="false">IF(D243="totale",(C243/(A243*24))/F243,IF(D243="marché libre",(C243/(A243*24))/G243,"spécifier histo"))</f>
        <v>0.918074324324324</v>
      </c>
      <c r="F243" s="9" t="n">
        <f aca="false">G243+H243</f>
        <v>2960</v>
      </c>
      <c r="G243" s="9" t="n">
        <v>2960</v>
      </c>
      <c r="H243" s="9" t="n">
        <f aca="false">0</f>
        <v>0</v>
      </c>
      <c r="I243" s="9"/>
      <c r="J243" s="30"/>
    </row>
    <row r="244" customFormat="false" ht="24.95" hidden="false" customHeight="true" outlineLevel="0" collapsed="false">
      <c r="A244" s="0" t="n">
        <v>31</v>
      </c>
      <c r="B244" s="31" t="n">
        <v>39995</v>
      </c>
      <c r="C244" s="1" t="n">
        <v>1646400</v>
      </c>
      <c r="D244" s="29" t="s">
        <v>41</v>
      </c>
      <c r="E244" s="33" t="n">
        <f aca="false">IF(D244="totale",(C244/(A244*24))/F244,IF(D244="marché libre",(C244/(A244*24))/G244,"spécifier histo"))</f>
        <v>0.747602441150828</v>
      </c>
      <c r="F244" s="9" t="n">
        <f aca="false">G244+H244</f>
        <v>2960</v>
      </c>
      <c r="G244" s="9" t="n">
        <v>2960</v>
      </c>
      <c r="H244" s="9" t="n">
        <f aca="false">0</f>
        <v>0</v>
      </c>
      <c r="I244" s="9"/>
      <c r="J244" s="30"/>
    </row>
    <row r="245" customFormat="false" ht="24.95" hidden="false" customHeight="true" outlineLevel="0" collapsed="false">
      <c r="A245" s="0" t="n">
        <v>31</v>
      </c>
      <c r="B245" s="34" t="n">
        <v>40026</v>
      </c>
      <c r="C245" s="1" t="n">
        <v>1333400</v>
      </c>
      <c r="D245" s="29" t="s">
        <v>41</v>
      </c>
      <c r="E245" s="33" t="n">
        <f aca="false">IF(D245="totale",(C245/(A245*24))/F245,IF(D245="marché libre",(C245/(A245*24))/G245,"spécifier histo"))</f>
        <v>0.605474426038942</v>
      </c>
      <c r="F245" s="9" t="n">
        <f aca="false">G245+H245</f>
        <v>2960</v>
      </c>
      <c r="G245" s="9" t="n">
        <v>2960</v>
      </c>
      <c r="H245" s="9" t="n">
        <f aca="false">0</f>
        <v>0</v>
      </c>
      <c r="I245" s="9"/>
      <c r="J245" s="30"/>
    </row>
    <row r="246" customFormat="false" ht="24.95" hidden="false" customHeight="true" outlineLevel="0" collapsed="false">
      <c r="A246" s="0" t="n">
        <v>30</v>
      </c>
      <c r="B246" s="31" t="n">
        <v>40057</v>
      </c>
      <c r="C246" s="1" t="n">
        <v>697800</v>
      </c>
      <c r="D246" s="29" t="s">
        <v>41</v>
      </c>
      <c r="E246" s="33" t="n">
        <f aca="false">IF(D246="totale",(C246/(A246*24))/F246,IF(D246="marché libre",(C246/(A246*24))/G246,"spécifier histo"))</f>
        <v>0.327421171171171</v>
      </c>
      <c r="F246" s="9" t="n">
        <f aca="false">G246+H246</f>
        <v>2960</v>
      </c>
      <c r="G246" s="9" t="n">
        <v>2960</v>
      </c>
      <c r="H246" s="9" t="n">
        <f aca="false">0</f>
        <v>0</v>
      </c>
      <c r="I246" s="9"/>
      <c r="J246" s="30"/>
    </row>
    <row r="247" customFormat="false" ht="24.95" hidden="false" customHeight="true" outlineLevel="0" collapsed="false">
      <c r="A247" s="0" t="n">
        <v>31</v>
      </c>
      <c r="B247" s="34" t="n">
        <v>40087</v>
      </c>
      <c r="C247" s="1" t="n">
        <v>961800</v>
      </c>
      <c r="D247" s="29" t="s">
        <v>41</v>
      </c>
      <c r="E247" s="33" t="n">
        <f aca="false">IF(D247="totale",(C247/(A247*24))/F247,IF(D247="marché libre",(C247/(A247*24))/G247,"spécifier histo"))</f>
        <v>0.436737140366173</v>
      </c>
      <c r="F247" s="9" t="n">
        <f aca="false">G247+H247</f>
        <v>2960</v>
      </c>
      <c r="G247" s="9" t="n">
        <v>2960</v>
      </c>
      <c r="H247" s="9" t="n">
        <f aca="false">0</f>
        <v>0</v>
      </c>
      <c r="I247" s="9"/>
      <c r="J247" s="30"/>
    </row>
    <row r="248" customFormat="false" ht="24.95" hidden="false" customHeight="true" outlineLevel="0" collapsed="false">
      <c r="A248" s="0" t="n">
        <v>30</v>
      </c>
      <c r="B248" s="31" t="n">
        <v>40118</v>
      </c>
      <c r="C248" s="1" t="n">
        <v>1408800</v>
      </c>
      <c r="D248" s="29" t="s">
        <v>41</v>
      </c>
      <c r="E248" s="33" t="n">
        <f aca="false">IF(D248="totale",(C248/(A248*24))/F248,IF(D248="marché libre",(C248/(A248*24))/G248,"spécifier histo"))</f>
        <v>0.661036036036036</v>
      </c>
      <c r="F248" s="9" t="n">
        <f aca="false">G248+H248</f>
        <v>2960</v>
      </c>
      <c r="G248" s="9" t="n">
        <v>2960</v>
      </c>
      <c r="H248" s="9" t="n">
        <f aca="false">0</f>
        <v>0</v>
      </c>
      <c r="I248" s="9"/>
      <c r="J248" s="30"/>
    </row>
    <row r="249" customFormat="false" ht="24.95" hidden="false" customHeight="true" outlineLevel="0" collapsed="false">
      <c r="A249" s="0" t="n">
        <v>31</v>
      </c>
      <c r="B249" s="34" t="n">
        <v>40148</v>
      </c>
      <c r="C249" s="1" t="n">
        <v>1256400</v>
      </c>
      <c r="D249" s="29" t="s">
        <v>41</v>
      </c>
      <c r="E249" s="33" t="n">
        <f aca="false">IF(D249="totale",(C249/(A249*24))/F249,IF(D249="marché libre",(C249/(A249*24))/G249,"spécifier histo"))</f>
        <v>0.570510026155187</v>
      </c>
      <c r="F249" s="9" t="n">
        <f aca="false">G249+H249</f>
        <v>2960</v>
      </c>
      <c r="G249" s="9" t="n">
        <v>2960</v>
      </c>
      <c r="H249" s="9" t="n">
        <f aca="false">0</f>
        <v>0</v>
      </c>
      <c r="I249" s="9"/>
      <c r="J249" s="30"/>
    </row>
    <row r="250" customFormat="false" ht="24.95" hidden="false" customHeight="true" outlineLevel="0" collapsed="false">
      <c r="A250" s="0" t="n">
        <v>31</v>
      </c>
      <c r="B250" s="31" t="n">
        <v>40179</v>
      </c>
      <c r="C250" s="1" t="n">
        <v>1157400</v>
      </c>
      <c r="D250" s="29" t="s">
        <v>41</v>
      </c>
      <c r="E250" s="33" t="n">
        <f aca="false">IF(D250="totale",(C250/(A250*24))/F250,IF(D250="marché libre",(C250/(A250*24))/G250,"spécifier histo"))</f>
        <v>0.525555797733217</v>
      </c>
      <c r="F250" s="9" t="n">
        <f aca="false">G250+H250</f>
        <v>2960</v>
      </c>
      <c r="G250" s="9" t="n">
        <v>2960</v>
      </c>
      <c r="H250" s="9" t="n">
        <f aca="false">0</f>
        <v>0</v>
      </c>
      <c r="I250" s="9"/>
      <c r="J250" s="30"/>
    </row>
    <row r="251" customFormat="false" ht="24.95" hidden="false" customHeight="true" outlineLevel="0" collapsed="false">
      <c r="A251" s="0" t="n">
        <v>28</v>
      </c>
      <c r="B251" s="34" t="n">
        <v>40210</v>
      </c>
      <c r="C251" s="1" t="n">
        <v>352200</v>
      </c>
      <c r="D251" s="29" t="s">
        <v>41</v>
      </c>
      <c r="E251" s="33" t="n">
        <f aca="false">IF(D251="totale",(C251/(A251*24))/F251,IF(D251="marché libre",(C251/(A251*24))/G251,"spécifier histo"))</f>
        <v>0.177063223938224</v>
      </c>
      <c r="F251" s="9" t="n">
        <f aca="false">G251+H251</f>
        <v>2960</v>
      </c>
      <c r="G251" s="9" t="n">
        <v>2960</v>
      </c>
      <c r="H251" s="9" t="n">
        <f aca="false">0</f>
        <v>0</v>
      </c>
      <c r="I251" s="9"/>
      <c r="J251" s="30"/>
    </row>
    <row r="252" customFormat="false" ht="24.95" hidden="false" customHeight="true" outlineLevel="0" collapsed="false">
      <c r="A252" s="0" t="n">
        <v>31</v>
      </c>
      <c r="B252" s="31" t="n">
        <v>40238</v>
      </c>
      <c r="C252" s="1" t="n">
        <v>1612200</v>
      </c>
      <c r="D252" s="29" t="s">
        <v>41</v>
      </c>
      <c r="E252" s="33" t="n">
        <f aca="false">IF(D252="totale",(C252/(A252*24))/F252,IF(D252="marché libre",(C252/(A252*24))/G252,"spécifier histo"))</f>
        <v>0.732072798605057</v>
      </c>
      <c r="F252" s="9" t="n">
        <f aca="false">G252+H252</f>
        <v>2960</v>
      </c>
      <c r="G252" s="9" t="n">
        <v>2960</v>
      </c>
      <c r="H252" s="9" t="n">
        <f aca="false">0</f>
        <v>0</v>
      </c>
      <c r="I252" s="9"/>
      <c r="J252" s="30"/>
    </row>
    <row r="253" customFormat="false" ht="24.95" hidden="false" customHeight="true" outlineLevel="0" collapsed="false">
      <c r="A253" s="0" t="n">
        <v>30</v>
      </c>
      <c r="B253" s="34" t="n">
        <v>40269</v>
      </c>
      <c r="C253" s="1" t="n">
        <v>1711800</v>
      </c>
      <c r="D253" s="29" t="s">
        <v>41</v>
      </c>
      <c r="E253" s="33" t="n">
        <f aca="false">IF(D253="totale",(C253/(A253*24))/F253,IF(D253="marché libre",(C253/(A253*24))/G253,"spécifier histo"))</f>
        <v>0.803209459459459</v>
      </c>
      <c r="F253" s="9" t="n">
        <f aca="false">G253+H253</f>
        <v>2960</v>
      </c>
      <c r="G253" s="9" t="n">
        <v>2960</v>
      </c>
      <c r="H253" s="9" t="n">
        <f aca="false">0</f>
        <v>0</v>
      </c>
      <c r="I253" s="9"/>
      <c r="J253" s="30"/>
    </row>
    <row r="254" customFormat="false" ht="24.95" hidden="false" customHeight="true" outlineLevel="0" collapsed="false">
      <c r="A254" s="0" t="n">
        <v>31</v>
      </c>
      <c r="B254" s="31" t="n">
        <v>40299</v>
      </c>
      <c r="C254" s="1" t="n">
        <v>1997400</v>
      </c>
      <c r="D254" s="29" t="s">
        <v>41</v>
      </c>
      <c r="E254" s="33" t="n">
        <f aca="false">IF(D254="totale",(C254/(A254*24))/F254,IF(D254="marché libre",(C254/(A254*24))/G254,"spécifier histo"))</f>
        <v>0.906985614646905</v>
      </c>
      <c r="F254" s="9" t="n">
        <f aca="false">G254+H254</f>
        <v>2960</v>
      </c>
      <c r="G254" s="9" t="n">
        <v>2960</v>
      </c>
      <c r="H254" s="9" t="n">
        <f aca="false">0</f>
        <v>0</v>
      </c>
      <c r="I254" s="9"/>
      <c r="J254" s="30"/>
    </row>
    <row r="255" customFormat="false" ht="24.95" hidden="false" customHeight="true" outlineLevel="0" collapsed="false">
      <c r="A255" s="0" t="n">
        <v>30</v>
      </c>
      <c r="B255" s="34" t="n">
        <v>40330</v>
      </c>
      <c r="C255" s="1" t="n">
        <v>1929600</v>
      </c>
      <c r="D255" s="29" t="s">
        <v>41</v>
      </c>
      <c r="E255" s="33" t="n">
        <f aca="false">IF(D255="totale",(C255/(A255*24))/F255,IF(D255="marché libre",(C255/(A255*24))/G255,"spécifier histo"))</f>
        <v>0.905405405405405</v>
      </c>
      <c r="F255" s="9" t="n">
        <f aca="false">G255+H255</f>
        <v>2960</v>
      </c>
      <c r="G255" s="9" t="n">
        <v>2960</v>
      </c>
      <c r="H255" s="9" t="n">
        <f aca="false">0</f>
        <v>0</v>
      </c>
      <c r="I255" s="9"/>
      <c r="J255" s="30"/>
    </row>
    <row r="256" customFormat="false" ht="24.95" hidden="false" customHeight="true" outlineLevel="0" collapsed="false">
      <c r="A256" s="0" t="n">
        <v>31</v>
      </c>
      <c r="B256" s="31" t="n">
        <v>40360</v>
      </c>
      <c r="C256" s="1" t="n">
        <v>2034000</v>
      </c>
      <c r="D256" s="29" t="s">
        <v>41</v>
      </c>
      <c r="E256" s="33" t="n">
        <f aca="false">IF(D256="totale",(C256/(A256*24))/F256,IF(D256="marché libre",(C256/(A256*24))/G256,"spécifier histo"))</f>
        <v>0.923605056669573</v>
      </c>
      <c r="F256" s="9" t="n">
        <f aca="false">G256+H256</f>
        <v>2960</v>
      </c>
      <c r="G256" s="9" t="n">
        <v>2960</v>
      </c>
      <c r="H256" s="9" t="n">
        <f aca="false">0</f>
        <v>0</v>
      </c>
      <c r="I256" s="9"/>
      <c r="J256" s="30"/>
    </row>
    <row r="257" customFormat="false" ht="24.95" hidden="false" customHeight="true" outlineLevel="0" collapsed="false">
      <c r="A257" s="0" t="n">
        <v>31</v>
      </c>
      <c r="B257" s="34" t="n">
        <v>40391</v>
      </c>
      <c r="C257" s="1" t="n">
        <v>1467600</v>
      </c>
      <c r="D257" s="29" t="s">
        <v>41</v>
      </c>
      <c r="E257" s="33" t="n">
        <f aca="false">IF(D257="totale",(C257/(A257*24))/F257,IF(D257="marché libre",(C257/(A257*24))/G257,"spécifier histo"))</f>
        <v>0.666412380122057</v>
      </c>
      <c r="F257" s="9" t="n">
        <f aca="false">G257+H257</f>
        <v>2960</v>
      </c>
      <c r="G257" s="9" t="n">
        <v>2960</v>
      </c>
      <c r="H257" s="9" t="n">
        <f aca="false">0</f>
        <v>0</v>
      </c>
      <c r="I257" s="9"/>
      <c r="J257" s="30"/>
    </row>
    <row r="258" customFormat="false" ht="24.95" hidden="false" customHeight="true" outlineLevel="0" collapsed="false">
      <c r="A258" s="0" t="n">
        <v>30</v>
      </c>
      <c r="B258" s="31" t="n">
        <v>40422</v>
      </c>
      <c r="C258" s="1" t="n">
        <v>823200</v>
      </c>
      <c r="D258" s="29" t="s">
        <v>41</v>
      </c>
      <c r="E258" s="33" t="n">
        <f aca="false">IF(D258="totale",(C258/(A258*24))/F258,IF(D258="marché libre",(C258/(A258*24))/G258,"spécifier histo"))</f>
        <v>0.386261261261261</v>
      </c>
      <c r="F258" s="9" t="n">
        <f aca="false">G258+H258</f>
        <v>2960</v>
      </c>
      <c r="G258" s="9" t="n">
        <v>2960</v>
      </c>
      <c r="H258" s="9" t="n">
        <f aca="false">0</f>
        <v>0</v>
      </c>
      <c r="I258" s="9"/>
      <c r="J258" s="30"/>
    </row>
    <row r="259" customFormat="false" ht="24.95" hidden="false" customHeight="true" outlineLevel="0" collapsed="false">
      <c r="A259" s="0" t="n">
        <v>31</v>
      </c>
      <c r="B259" s="34" t="n">
        <v>40452</v>
      </c>
      <c r="C259" s="1" t="n">
        <v>1020600</v>
      </c>
      <c r="D259" s="29" t="s">
        <v>41</v>
      </c>
      <c r="E259" s="33" t="n">
        <f aca="false">IF(D259="totale",(C259/(A259*24))/F259,IF(D259="marché libre",(C259/(A259*24))/G259,"spécifier histo"))</f>
        <v>0.463437227550131</v>
      </c>
      <c r="F259" s="9" t="n">
        <f aca="false">G259+H259</f>
        <v>2960</v>
      </c>
      <c r="G259" s="9" t="n">
        <v>2960</v>
      </c>
      <c r="H259" s="9" t="n">
        <f aca="false">0</f>
        <v>0</v>
      </c>
      <c r="I259" s="9"/>
      <c r="J259" s="30"/>
    </row>
    <row r="260" customFormat="false" ht="24.95" hidden="false" customHeight="true" outlineLevel="0" collapsed="false">
      <c r="A260" s="0" t="n">
        <v>30</v>
      </c>
      <c r="B260" s="31" t="n">
        <v>40483</v>
      </c>
      <c r="C260" s="1" t="n">
        <v>1018800</v>
      </c>
      <c r="D260" s="29" t="s">
        <v>41</v>
      </c>
      <c r="E260" s="33" t="n">
        <f aca="false">IF(D260="totale",(C260/(A260*24))/F260,IF(D260="marché libre",(C260/(A260*24))/G260,"spécifier histo"))</f>
        <v>0.478040540540541</v>
      </c>
      <c r="F260" s="9" t="n">
        <f aca="false">G260+H260</f>
        <v>2960</v>
      </c>
      <c r="G260" s="9" t="n">
        <v>2960</v>
      </c>
      <c r="H260" s="9" t="n">
        <f aca="false">0</f>
        <v>0</v>
      </c>
      <c r="I260" s="9"/>
      <c r="J260" s="30"/>
    </row>
    <row r="261" customFormat="false" ht="24.95" hidden="false" customHeight="true" outlineLevel="0" collapsed="false">
      <c r="A261" s="0" t="n">
        <v>31</v>
      </c>
      <c r="B261" s="34" t="n">
        <v>40513</v>
      </c>
      <c r="C261" s="1" t="n">
        <v>1243800</v>
      </c>
      <c r="D261" s="29" t="s">
        <v>41</v>
      </c>
      <c r="E261" s="33" t="n">
        <f aca="false">IF(D261="totale",(C261/(A261*24))/F261,IF(D261="marché libre",(C261/(A261*24))/G261,"spécifier histo"))</f>
        <v>0.564788578901482</v>
      </c>
      <c r="F261" s="9" t="n">
        <f aca="false">G261+H261</f>
        <v>2960</v>
      </c>
      <c r="G261" s="9" t="n">
        <v>2960</v>
      </c>
      <c r="H261" s="9" t="n">
        <f aca="false">0</f>
        <v>0</v>
      </c>
      <c r="I261" s="9"/>
      <c r="J261" s="30"/>
    </row>
    <row r="262" customFormat="false" ht="24.95" hidden="false" customHeight="true" outlineLevel="0" collapsed="false">
      <c r="A262" s="0" t="n">
        <v>31</v>
      </c>
      <c r="B262" s="31" t="n">
        <v>40544</v>
      </c>
      <c r="C262" s="1" t="n">
        <v>1068000</v>
      </c>
      <c r="D262" s="29" t="s">
        <v>41</v>
      </c>
      <c r="E262" s="33" t="n">
        <f aca="false">IF(D262="totale",(C262/(A262*24))/F262,IF(D262="marché libre",(C262/(A262*24))/G262,"spécifier histo"))</f>
        <v>0.484960767218832</v>
      </c>
      <c r="F262" s="9" t="n">
        <f aca="false">G262+H262</f>
        <v>2960</v>
      </c>
      <c r="G262" s="9" t="n">
        <v>2960</v>
      </c>
      <c r="H262" s="9" t="n">
        <f aca="false">0</f>
        <v>0</v>
      </c>
      <c r="I262" s="9"/>
      <c r="J262" s="30"/>
    </row>
    <row r="263" customFormat="false" ht="24.95" hidden="false" customHeight="true" outlineLevel="0" collapsed="false">
      <c r="A263" s="0" t="n">
        <v>28</v>
      </c>
      <c r="B263" s="34" t="n">
        <v>40575</v>
      </c>
      <c r="C263" s="1" t="n">
        <v>502800</v>
      </c>
      <c r="D263" s="29" t="s">
        <v>41</v>
      </c>
      <c r="E263" s="33" t="n">
        <f aca="false">IF(D263="totale",(C263/(A263*24))/F263,IF(D263="marché libre",(C263/(A263*24))/G263,"spécifier histo"))</f>
        <v>0.252775096525096</v>
      </c>
      <c r="F263" s="9" t="n">
        <f aca="false">G263+H263</f>
        <v>2960</v>
      </c>
      <c r="G263" s="9" t="n">
        <v>2960</v>
      </c>
      <c r="H263" s="9" t="n">
        <f aca="false">0</f>
        <v>0</v>
      </c>
      <c r="I263" s="9"/>
      <c r="J263" s="30"/>
    </row>
    <row r="264" customFormat="false" ht="24.95" hidden="false" customHeight="true" outlineLevel="0" collapsed="false">
      <c r="A264" s="0" t="n">
        <v>31</v>
      </c>
      <c r="B264" s="31" t="n">
        <v>40603</v>
      </c>
      <c r="C264" s="1" t="n">
        <v>1168200</v>
      </c>
      <c r="D264" s="29" t="s">
        <v>41</v>
      </c>
      <c r="E264" s="33" t="n">
        <f aca="false">IF(D264="totale",(C264/(A264*24))/F264,IF(D264="marché libre",(C264/(A264*24))/G264,"spécifier histo"))</f>
        <v>0.53045989537925</v>
      </c>
      <c r="F264" s="9" t="n">
        <f aca="false">G264+H264</f>
        <v>2960</v>
      </c>
      <c r="G264" s="9" t="n">
        <v>2960</v>
      </c>
      <c r="H264" s="9" t="n">
        <f aca="false">0</f>
        <v>0</v>
      </c>
      <c r="I264" s="9"/>
      <c r="J264" s="30"/>
    </row>
    <row r="265" customFormat="false" ht="24.95" hidden="false" customHeight="true" outlineLevel="0" collapsed="false">
      <c r="A265" s="0" t="n">
        <v>30</v>
      </c>
      <c r="B265" s="34" t="n">
        <v>40634</v>
      </c>
      <c r="C265" s="1" t="n">
        <v>1981200</v>
      </c>
      <c r="D265" s="29" t="s">
        <v>41</v>
      </c>
      <c r="E265" s="33" t="n">
        <f aca="false">IF(D265="totale",(C265/(A265*24))/F265,IF(D265="marché libre",(C265/(A265*24))/G265,"spécifier histo"))</f>
        <v>0.929617117117117</v>
      </c>
      <c r="F265" s="9" t="n">
        <f aca="false">G265+H265</f>
        <v>2960</v>
      </c>
      <c r="G265" s="9" t="n">
        <v>2960</v>
      </c>
      <c r="H265" s="9" t="n">
        <f aca="false">0</f>
        <v>0</v>
      </c>
      <c r="I265" s="9"/>
      <c r="J265" s="30"/>
    </row>
    <row r="266" customFormat="false" ht="24.95" hidden="false" customHeight="true" outlineLevel="0" collapsed="false">
      <c r="A266" s="0" t="n">
        <v>31</v>
      </c>
      <c r="B266" s="31" t="n">
        <v>40664</v>
      </c>
      <c r="C266" s="1" t="n">
        <v>1636200</v>
      </c>
      <c r="D266" s="29" t="s">
        <v>41</v>
      </c>
      <c r="E266" s="33" t="n">
        <f aca="false">IF(D266="totale",(C266/(A266*24))/F266,IF(D266="marché libre",(C266/(A266*24))/G266,"spécifier histo"))</f>
        <v>0.742970793374019</v>
      </c>
      <c r="F266" s="9" t="n">
        <f aca="false">G266+H266</f>
        <v>2960</v>
      </c>
      <c r="G266" s="9" t="n">
        <v>2960</v>
      </c>
      <c r="H266" s="9" t="n">
        <f aca="false">0</f>
        <v>0</v>
      </c>
      <c r="I266" s="9"/>
      <c r="J266" s="30"/>
    </row>
    <row r="267" customFormat="false" ht="24.95" hidden="false" customHeight="true" outlineLevel="0" collapsed="false">
      <c r="A267" s="0" t="n">
        <v>30</v>
      </c>
      <c r="B267" s="34" t="n">
        <v>40695</v>
      </c>
      <c r="C267" s="1" t="n">
        <v>1862400</v>
      </c>
      <c r="D267" s="29" t="s">
        <v>41</v>
      </c>
      <c r="E267" s="33" t="n">
        <f aca="false">IF(D267="totale",(C267/(A267*24))/F267,IF(D267="marché libre",(C267/(A267*24))/G267,"spécifier histo"))</f>
        <v>0.873873873873874</v>
      </c>
      <c r="F267" s="9" t="n">
        <f aca="false">G267+H267</f>
        <v>2960</v>
      </c>
      <c r="G267" s="9" t="n">
        <v>2960</v>
      </c>
      <c r="H267" s="9" t="n">
        <f aca="false">0</f>
        <v>0</v>
      </c>
      <c r="I267" s="9"/>
      <c r="J267" s="30"/>
    </row>
    <row r="268" customFormat="false" ht="24.95" hidden="false" customHeight="true" outlineLevel="0" collapsed="false">
      <c r="A268" s="0" t="n">
        <v>31</v>
      </c>
      <c r="B268" s="31" t="n">
        <v>40725</v>
      </c>
      <c r="C268" s="1" t="n">
        <v>1521600</v>
      </c>
      <c r="D268" s="29" t="s">
        <v>41</v>
      </c>
      <c r="E268" s="33" t="n">
        <f aca="false">IF(D268="totale",(C268/(A268*24))/F268,IF(D268="marché libre",(C268/(A268*24))/G268,"spécifier histo"))</f>
        <v>0.690932868352223</v>
      </c>
      <c r="F268" s="9" t="n">
        <f aca="false">G268+H268</f>
        <v>2960</v>
      </c>
      <c r="G268" s="9" t="n">
        <v>2960</v>
      </c>
      <c r="H268" s="9" t="n">
        <f aca="false">0</f>
        <v>0</v>
      </c>
      <c r="I268" s="9"/>
      <c r="J268" s="30"/>
    </row>
    <row r="269" customFormat="false" ht="24.95" hidden="false" customHeight="true" outlineLevel="0" collapsed="false">
      <c r="A269" s="0" t="n">
        <v>31</v>
      </c>
      <c r="B269" s="34" t="n">
        <v>40756</v>
      </c>
      <c r="C269" s="1" t="n">
        <v>1220400</v>
      </c>
      <c r="D269" s="29" t="s">
        <v>41</v>
      </c>
      <c r="E269" s="33" t="n">
        <f aca="false">IF(D269="totale",(C269/(A269*24))/F269,IF(D269="marché libre",(C269/(A269*24))/G269,"spécifier histo"))</f>
        <v>0.554163034001744</v>
      </c>
      <c r="F269" s="9" t="n">
        <f aca="false">G269+H269</f>
        <v>2960</v>
      </c>
      <c r="G269" s="9" t="n">
        <v>2960</v>
      </c>
      <c r="H269" s="9" t="n">
        <f aca="false">0</f>
        <v>0</v>
      </c>
      <c r="I269" s="9"/>
      <c r="J269" s="30"/>
    </row>
    <row r="270" customFormat="false" ht="24.95" hidden="false" customHeight="true" outlineLevel="0" collapsed="false">
      <c r="A270" s="0" t="n">
        <v>30</v>
      </c>
      <c r="B270" s="31" t="n">
        <v>40787</v>
      </c>
      <c r="C270" s="1" t="n">
        <v>516000</v>
      </c>
      <c r="D270" s="29" t="s">
        <v>41</v>
      </c>
      <c r="E270" s="33" t="n">
        <f aca="false">IF(D270="totale",(C270/(A270*24))/F270,IF(D270="marché libre",(C270/(A270*24))/G270,"spécifier histo"))</f>
        <v>0.242117117117117</v>
      </c>
      <c r="F270" s="9" t="n">
        <f aca="false">G270+H270</f>
        <v>2960</v>
      </c>
      <c r="G270" s="9" t="n">
        <v>2960</v>
      </c>
      <c r="H270" s="9" t="n">
        <f aca="false">0</f>
        <v>0</v>
      </c>
      <c r="I270" s="9"/>
      <c r="J270" s="30"/>
    </row>
    <row r="271" customFormat="false" ht="24.95" hidden="false" customHeight="true" outlineLevel="0" collapsed="false">
      <c r="A271" s="0" t="n">
        <v>31</v>
      </c>
      <c r="B271" s="34" t="n">
        <v>40817</v>
      </c>
      <c r="C271" s="1" t="n">
        <v>397800</v>
      </c>
      <c r="D271" s="29" t="s">
        <v>41</v>
      </c>
      <c r="E271" s="33" t="n">
        <f aca="false">IF(D271="totale",(C271/(A271*24))/F271,IF(D271="marché libre",(C271/(A271*24))/G271,"spécifier histo"))</f>
        <v>0.180634263295554</v>
      </c>
      <c r="F271" s="9" t="n">
        <f aca="false">G271+H271</f>
        <v>2960</v>
      </c>
      <c r="G271" s="9" t="n">
        <v>2960</v>
      </c>
      <c r="H271" s="9" t="n">
        <f aca="false">0</f>
        <v>0</v>
      </c>
      <c r="I271" s="9"/>
      <c r="J271" s="30"/>
    </row>
    <row r="272" customFormat="false" ht="24.95" hidden="false" customHeight="true" outlineLevel="0" collapsed="false">
      <c r="A272" s="0" t="n">
        <v>30</v>
      </c>
      <c r="B272" s="31" t="n">
        <v>40848</v>
      </c>
      <c r="C272" s="1" t="n">
        <v>1408800</v>
      </c>
      <c r="D272" s="29" t="s">
        <v>41</v>
      </c>
      <c r="E272" s="33" t="n">
        <f aca="false">IF(D272="totale",(C272/(A272*24))/F272,IF(D272="marché libre",(C272/(A272*24))/G272,"spécifier histo"))</f>
        <v>0.661036036036036</v>
      </c>
      <c r="F272" s="9" t="n">
        <f aca="false">G272+H272</f>
        <v>2960</v>
      </c>
      <c r="G272" s="9" t="n">
        <v>2960</v>
      </c>
      <c r="H272" s="9" t="n">
        <f aca="false">0</f>
        <v>0</v>
      </c>
      <c r="I272" s="9"/>
      <c r="J272" s="30"/>
    </row>
    <row r="273" customFormat="false" ht="24.95" hidden="false" customHeight="true" outlineLevel="0" collapsed="false">
      <c r="A273" s="0" t="n">
        <v>31</v>
      </c>
      <c r="B273" s="34" t="n">
        <v>40878</v>
      </c>
      <c r="C273" s="1" t="n">
        <v>921000</v>
      </c>
      <c r="D273" s="29" t="s">
        <v>41</v>
      </c>
      <c r="E273" s="33" t="n">
        <f aca="false">IF(D273="totale",(C273/(A273*24))/F273,IF(D273="marché libre",(C273/(A273*24))/G273,"spécifier histo"))</f>
        <v>0.418210549258936</v>
      </c>
      <c r="F273" s="9" t="n">
        <f aca="false">G273+H273</f>
        <v>2960</v>
      </c>
      <c r="G273" s="9" t="n">
        <v>2960</v>
      </c>
      <c r="H273" s="9" t="n">
        <f aca="false">0</f>
        <v>0</v>
      </c>
      <c r="I273" s="9"/>
      <c r="J273" s="30"/>
    </row>
    <row r="274" customFormat="false" ht="24.95" hidden="false" customHeight="true" outlineLevel="0" collapsed="false">
      <c r="A274" s="0" t="n">
        <v>31</v>
      </c>
      <c r="B274" s="31" t="n">
        <v>40909</v>
      </c>
      <c r="C274" s="1" t="n">
        <v>676800</v>
      </c>
      <c r="D274" s="29" t="s">
        <v>41</v>
      </c>
      <c r="E274" s="33" t="n">
        <f aca="false">IF(D274="totale",(C274/(A274*24))/F274,IF(D274="marché libre",(C274/(A274*24))/G274,"spécifier histo"))</f>
        <v>0.307323452484743</v>
      </c>
      <c r="F274" s="9" t="n">
        <f aca="false">G274+H274</f>
        <v>2960</v>
      </c>
      <c r="G274" s="9" t="n">
        <v>2960</v>
      </c>
      <c r="H274" s="9" t="n">
        <f aca="false">0</f>
        <v>0</v>
      </c>
      <c r="I274" s="9"/>
      <c r="J274" s="30"/>
    </row>
    <row r="275" customFormat="false" ht="24.95" hidden="false" customHeight="true" outlineLevel="0" collapsed="false">
      <c r="A275" s="0" t="n">
        <v>28</v>
      </c>
      <c r="B275" s="34" t="n">
        <v>40940</v>
      </c>
      <c r="C275" s="1" t="n">
        <v>120000</v>
      </c>
      <c r="D275" s="29" t="s">
        <v>41</v>
      </c>
      <c r="E275" s="33" t="n">
        <f aca="false">IF(D275="totale",(C275/(A275*24))/F275,IF(D275="marché libre",(C275/(A275*24))/G275,"spécifier histo"))</f>
        <v>0.0603281853281853</v>
      </c>
      <c r="F275" s="9" t="n">
        <f aca="false">G275+H275</f>
        <v>2960</v>
      </c>
      <c r="G275" s="9" t="n">
        <v>2960</v>
      </c>
      <c r="H275" s="9" t="n">
        <f aca="false">0</f>
        <v>0</v>
      </c>
      <c r="I275" s="9"/>
      <c r="J275" s="30"/>
    </row>
    <row r="276" customFormat="false" ht="24.95" hidden="false" customHeight="true" outlineLevel="0" collapsed="false">
      <c r="A276" s="0" t="n">
        <v>31</v>
      </c>
      <c r="B276" s="31" t="n">
        <v>40969</v>
      </c>
      <c r="C276" s="1" t="n">
        <v>250800</v>
      </c>
      <c r="D276" s="29" t="s">
        <v>41</v>
      </c>
      <c r="E276" s="33" t="n">
        <f aca="false">IF(D276="totale",(C276/(A276*24))/F276,IF(D276="marché libre",(C276/(A276*24))/G276,"spécifier histo"))</f>
        <v>0.113884045335658</v>
      </c>
      <c r="F276" s="9" t="n">
        <f aca="false">G276+H276</f>
        <v>2960</v>
      </c>
      <c r="G276" s="9" t="n">
        <v>2960</v>
      </c>
      <c r="H276" s="9" t="n">
        <f aca="false">0</f>
        <v>0</v>
      </c>
      <c r="I276" s="9"/>
      <c r="J276" s="30"/>
    </row>
    <row r="277" customFormat="false" ht="24.95" hidden="false" customHeight="true" outlineLevel="0" collapsed="false">
      <c r="A277" s="0" t="n">
        <v>30</v>
      </c>
      <c r="B277" s="34" t="n">
        <v>41000</v>
      </c>
      <c r="C277" s="1" t="n">
        <v>1444200</v>
      </c>
      <c r="D277" s="29" t="s">
        <v>41</v>
      </c>
      <c r="E277" s="33" t="n">
        <f aca="false">IF(D277="totale",(C277/(A277*24))/F277,IF(D277="marché libre",(C277/(A277*24))/G277,"spécifier histo"))</f>
        <v>0.677646396396396</v>
      </c>
      <c r="F277" s="9" t="n">
        <f aca="false">G277+H277</f>
        <v>2960</v>
      </c>
      <c r="G277" s="9" t="n">
        <v>2960</v>
      </c>
      <c r="H277" s="9" t="n">
        <f aca="false">0</f>
        <v>0</v>
      </c>
      <c r="I277" s="9"/>
      <c r="J277" s="30"/>
    </row>
    <row r="278" customFormat="false" ht="24.95" hidden="false" customHeight="true" outlineLevel="0" collapsed="false">
      <c r="A278" s="0" t="n">
        <v>31</v>
      </c>
      <c r="B278" s="31" t="n">
        <v>41030</v>
      </c>
      <c r="C278" s="1" t="n">
        <v>2187000</v>
      </c>
      <c r="D278" s="29" t="s">
        <v>41</v>
      </c>
      <c r="E278" s="33" t="n">
        <f aca="false">IF(D278="totale",(C278/(A278*24))/F278,IF(D278="marché libre",(C278/(A278*24))/G278,"spécifier histo"))</f>
        <v>0.993079773321709</v>
      </c>
      <c r="F278" s="9" t="n">
        <f aca="false">G278+H278</f>
        <v>2960</v>
      </c>
      <c r="G278" s="9" t="n">
        <v>2960</v>
      </c>
      <c r="H278" s="9" t="n">
        <f aca="false">0</f>
        <v>0</v>
      </c>
      <c r="I278" s="9"/>
      <c r="J278" s="30"/>
    </row>
    <row r="279" customFormat="false" ht="24.95" hidden="false" customHeight="true" outlineLevel="0" collapsed="false">
      <c r="A279" s="0" t="n">
        <v>30</v>
      </c>
      <c r="B279" s="34" t="n">
        <v>41061</v>
      </c>
      <c r="C279" s="1" t="n">
        <v>1972800</v>
      </c>
      <c r="D279" s="29" t="s">
        <v>41</v>
      </c>
      <c r="E279" s="33" t="n">
        <f aca="false">IF(D279="totale",(C279/(A279*24))/F279,IF(D279="marché libre",(C279/(A279*24))/G279,"spécifier histo"))</f>
        <v>0.925675675675676</v>
      </c>
      <c r="F279" s="9" t="n">
        <f aca="false">G279+H279</f>
        <v>2960</v>
      </c>
      <c r="G279" s="9" t="n">
        <v>2960</v>
      </c>
      <c r="H279" s="9" t="n">
        <f aca="false">0</f>
        <v>0</v>
      </c>
      <c r="I279" s="9"/>
      <c r="J279" s="30"/>
    </row>
    <row r="280" customFormat="false" ht="24.95" hidden="false" customHeight="true" outlineLevel="0" collapsed="false">
      <c r="A280" s="0" t="n">
        <v>31</v>
      </c>
      <c r="B280" s="31" t="n">
        <v>41091</v>
      </c>
      <c r="C280" s="135" t="n">
        <v>1617600</v>
      </c>
      <c r="D280" s="29" t="s">
        <v>41</v>
      </c>
      <c r="E280" s="33" t="n">
        <f aca="false">IF(D280="totale",(C280/(A280*24))/F280,IF(D280="marché libre",(C280/(A280*24))/G280,"spécifier histo"))</f>
        <v>1.08709677419355</v>
      </c>
      <c r="F280" s="9" t="n">
        <f aca="false">G280+H280</f>
        <v>2000</v>
      </c>
      <c r="G280" s="9" t="n">
        <v>2000</v>
      </c>
      <c r="H280" s="9" t="n">
        <f aca="false">0</f>
        <v>0</v>
      </c>
      <c r="I280" s="9"/>
      <c r="J280" s="30"/>
    </row>
    <row r="281" customFormat="false" ht="24.95" hidden="false" customHeight="true" outlineLevel="0" collapsed="false">
      <c r="A281" s="0" t="n">
        <v>31</v>
      </c>
      <c r="B281" s="34" t="n">
        <v>41122</v>
      </c>
      <c r="C281" s="135" t="n">
        <v>739800</v>
      </c>
      <c r="D281" s="29" t="s">
        <v>41</v>
      </c>
      <c r="E281" s="33" t="n">
        <f aca="false">IF(D281="totale",(C281/(A281*24))/F281,IF(D281="marché libre",(C281/(A281*24))/G281,"spécifier histo"))</f>
        <v>0.497177419354839</v>
      </c>
      <c r="F281" s="9" t="n">
        <f aca="false">G281+H281</f>
        <v>2000</v>
      </c>
      <c r="G281" s="9" t="n">
        <v>2000</v>
      </c>
      <c r="H281" s="9" t="n">
        <f aca="false">0</f>
        <v>0</v>
      </c>
      <c r="I281" s="9"/>
      <c r="J281" s="30"/>
    </row>
    <row r="282" customFormat="false" ht="24.95" hidden="false" customHeight="true" outlineLevel="0" collapsed="false">
      <c r="A282" s="0" t="n">
        <v>30</v>
      </c>
      <c r="B282" s="31" t="n">
        <v>41153</v>
      </c>
      <c r="C282" s="135" t="n">
        <v>603000</v>
      </c>
      <c r="D282" s="29" t="s">
        <v>41</v>
      </c>
      <c r="E282" s="33" t="n">
        <f aca="false">IF(D282="totale",(C282/(A282*24))/F282,IF(D282="marché libre",(C282/(A282*24))/G282,"spécifier histo"))</f>
        <v>0.41875</v>
      </c>
      <c r="F282" s="9" t="n">
        <f aca="false">G282+H282</f>
        <v>2000</v>
      </c>
      <c r="G282" s="9" t="n">
        <v>2000</v>
      </c>
      <c r="H282" s="9" t="n">
        <f aca="false">0</f>
        <v>0</v>
      </c>
      <c r="I282" s="9"/>
      <c r="J282" s="30"/>
    </row>
    <row r="283" customFormat="false" ht="24.95" hidden="false" customHeight="true" outlineLevel="0" collapsed="false">
      <c r="A283" s="0" t="n">
        <v>31</v>
      </c>
      <c r="B283" s="34" t="n">
        <v>41183</v>
      </c>
      <c r="C283" s="135" t="n">
        <v>397800</v>
      </c>
      <c r="D283" s="29" t="s">
        <v>41</v>
      </c>
      <c r="E283" s="33" t="n">
        <f aca="false">IF(D283="totale",(C283/(A283*24))/F283,IF(D283="marché libre",(C283/(A283*24))/G283,"spécifier histo"))</f>
        <v>0.267338709677419</v>
      </c>
      <c r="F283" s="9" t="n">
        <f aca="false">G283+H283</f>
        <v>2000</v>
      </c>
      <c r="G283" s="9" t="n">
        <v>2000</v>
      </c>
      <c r="H283" s="9" t="n">
        <f aca="false">0</f>
        <v>0</v>
      </c>
      <c r="I283" s="9"/>
      <c r="J283" s="30"/>
    </row>
    <row r="284" customFormat="false" ht="24.95" hidden="false" customHeight="true" outlineLevel="0" collapsed="false">
      <c r="A284" s="0" t="n">
        <v>30</v>
      </c>
      <c r="B284" s="31" t="n">
        <v>41214</v>
      </c>
      <c r="C284" s="135" t="n">
        <v>1408800</v>
      </c>
      <c r="D284" s="29" t="s">
        <v>41</v>
      </c>
      <c r="E284" s="33" t="n">
        <f aca="false">IF(D284="totale",(C284/(A284*24))/F284,IF(D284="marché libre",(C284/(A284*24))/G284,"spécifier histo"))</f>
        <v>0.978333333333333</v>
      </c>
      <c r="F284" s="9" t="n">
        <f aca="false">G284+H284</f>
        <v>2000</v>
      </c>
      <c r="G284" s="9" t="n">
        <v>2000</v>
      </c>
      <c r="H284" s="9" t="n">
        <f aca="false">0</f>
        <v>0</v>
      </c>
      <c r="I284" s="9"/>
      <c r="J284" s="30"/>
    </row>
    <row r="285" customFormat="false" ht="24.95" hidden="false" customHeight="true" outlineLevel="0" collapsed="false">
      <c r="A285" s="0" t="n">
        <v>31</v>
      </c>
      <c r="B285" s="34" t="n">
        <v>41244</v>
      </c>
      <c r="C285" s="135" t="n">
        <v>921000</v>
      </c>
      <c r="D285" s="29" t="s">
        <v>41</v>
      </c>
      <c r="E285" s="33" t="n">
        <f aca="false">IF(D285="totale",(C285/(A285*24))/F285,IF(D285="marché libre",(C285/(A285*24))/G285,"spécifier histo"))</f>
        <v>0.618951612903226</v>
      </c>
      <c r="F285" s="9" t="n">
        <f aca="false">G285+H285</f>
        <v>2000</v>
      </c>
      <c r="G285" s="9" t="n">
        <v>2000</v>
      </c>
      <c r="H285" s="9" t="n">
        <f aca="false">0</f>
        <v>0</v>
      </c>
      <c r="I285" s="9"/>
      <c r="J285" s="30"/>
    </row>
    <row r="286" customFormat="false" ht="24.95" hidden="false" customHeight="true" outlineLevel="0" collapsed="false">
      <c r="A286" s="0" t="n">
        <v>31</v>
      </c>
      <c r="B286" s="31" t="n">
        <v>41275</v>
      </c>
      <c r="C286" s="135" t="n">
        <v>958200</v>
      </c>
      <c r="D286" s="29" t="s">
        <v>41</v>
      </c>
      <c r="E286" s="33" t="n">
        <f aca="false">IF(D286="totale",(C286/(A286*24))/F286,IF(D286="marché libre",(C286/(A286*24))/G286,"spécifier histo"))</f>
        <v>0.643951612903226</v>
      </c>
      <c r="F286" s="9" t="n">
        <f aca="false">G286+H286</f>
        <v>2000</v>
      </c>
      <c r="G286" s="9" t="n">
        <v>2000</v>
      </c>
      <c r="H286" s="9" t="n">
        <f aca="false">0</f>
        <v>0</v>
      </c>
      <c r="I286" s="9"/>
      <c r="J286" s="30"/>
    </row>
    <row r="287" customFormat="false" ht="24.95" hidden="false" customHeight="true" outlineLevel="0" collapsed="false">
      <c r="A287" s="0" t="n">
        <v>28</v>
      </c>
      <c r="B287" s="34" t="n">
        <v>41306</v>
      </c>
      <c r="C287" s="135" t="n">
        <v>906000</v>
      </c>
      <c r="D287" s="29" t="s">
        <v>41</v>
      </c>
      <c r="E287" s="33" t="n">
        <f aca="false">IF(D287="totale",(C287/(A287*24))/F287,IF(D287="marché libre",(C287/(A287*24))/G287,"spécifier histo"))</f>
        <v>0.674107142857143</v>
      </c>
      <c r="F287" s="9" t="n">
        <f aca="false">G287+H287</f>
        <v>2000</v>
      </c>
      <c r="G287" s="9" t="n">
        <v>2000</v>
      </c>
      <c r="H287" s="9" t="n">
        <f aca="false">0</f>
        <v>0</v>
      </c>
      <c r="I287" s="9"/>
      <c r="J287" s="30"/>
    </row>
    <row r="288" customFormat="false" ht="24.95" hidden="false" customHeight="true" outlineLevel="0" collapsed="false">
      <c r="A288" s="0" t="n">
        <v>31</v>
      </c>
      <c r="B288" s="31" t="n">
        <v>41334</v>
      </c>
      <c r="C288" s="135" t="n">
        <v>1343400</v>
      </c>
      <c r="D288" s="29" t="s">
        <v>41</v>
      </c>
      <c r="E288" s="33" t="n">
        <f aca="false">IF(D288="totale",(C288/(A288*24))/F288,IF(D288="marché libre",(C288/(A288*24))/G288,"spécifier histo"))</f>
        <v>0.902822580645161</v>
      </c>
      <c r="F288" s="9" t="n">
        <f aca="false">G288+H288</f>
        <v>2000</v>
      </c>
      <c r="G288" s="9" t="n">
        <v>2000</v>
      </c>
      <c r="H288" s="9" t="n">
        <f aca="false">0</f>
        <v>0</v>
      </c>
      <c r="I288" s="9"/>
      <c r="J288" s="30"/>
    </row>
    <row r="289" customFormat="false" ht="24.95" hidden="false" customHeight="true" outlineLevel="0" collapsed="false">
      <c r="A289" s="0" t="n">
        <v>30</v>
      </c>
      <c r="B289" s="34" t="n">
        <v>41365</v>
      </c>
      <c r="C289" s="135" t="n">
        <v>2202000</v>
      </c>
      <c r="D289" s="29" t="s">
        <v>41</v>
      </c>
      <c r="E289" s="33" t="n">
        <f aca="false">IF(D289="totale",(C289/(A289*24))/F289,IF(D289="marché libre",(C289/(A289*24))/G289,"spécifier histo"))</f>
        <v>1.52916666666667</v>
      </c>
      <c r="F289" s="9" t="n">
        <f aca="false">G289+H289</f>
        <v>2000</v>
      </c>
      <c r="G289" s="9" t="n">
        <v>2000</v>
      </c>
      <c r="H289" s="9" t="n">
        <f aca="false">0</f>
        <v>0</v>
      </c>
      <c r="I289" s="9"/>
      <c r="J289" s="30"/>
    </row>
    <row r="290" customFormat="false" ht="24.95" hidden="false" customHeight="true" outlineLevel="0" collapsed="false">
      <c r="A290" s="0" t="n">
        <v>31</v>
      </c>
      <c r="B290" s="31" t="n">
        <v>41395</v>
      </c>
      <c r="C290" s="135" t="n">
        <v>2262000</v>
      </c>
      <c r="D290" s="29" t="s">
        <v>41</v>
      </c>
      <c r="E290" s="33" t="n">
        <f aca="false">IF(D290="totale",(C290/(A290*24))/F290,IF(D290="marché libre",(C290/(A290*24))/G290,"spécifier histo"))</f>
        <v>1.52016129032258</v>
      </c>
      <c r="F290" s="9" t="n">
        <f aca="false">G290+H290</f>
        <v>2000</v>
      </c>
      <c r="G290" s="9" t="n">
        <v>2000</v>
      </c>
      <c r="H290" s="9" t="n">
        <f aca="false">0</f>
        <v>0</v>
      </c>
      <c r="I290" s="9"/>
      <c r="J290" s="30"/>
    </row>
    <row r="291" customFormat="false" ht="24.95" hidden="false" customHeight="true" outlineLevel="0" collapsed="false">
      <c r="A291" s="0" t="n">
        <v>30</v>
      </c>
      <c r="B291" s="34" t="n">
        <v>41426</v>
      </c>
      <c r="C291" s="135" t="n">
        <v>0</v>
      </c>
      <c r="D291" s="29" t="s">
        <v>41</v>
      </c>
      <c r="E291" s="33" t="n">
        <f aca="false">IF(D291="totale",(C291/(A291*24))/F291,IF(D291="marché libre",(C291/(A291*24))/G291,"spécifier histo"))</f>
        <v>0</v>
      </c>
      <c r="F291" s="9" t="n">
        <f aca="false">G291+H291</f>
        <v>2000</v>
      </c>
      <c r="G291" s="9" t="n">
        <v>2000</v>
      </c>
      <c r="H291" s="9" t="n">
        <f aca="false">0</f>
        <v>0</v>
      </c>
      <c r="I291" s="9"/>
      <c r="J291" s="30"/>
    </row>
    <row r="292" customFormat="false" ht="24.95" hidden="false" customHeight="true" outlineLevel="0" collapsed="false">
      <c r="A292" s="0" t="n">
        <v>31</v>
      </c>
      <c r="B292" s="31" t="n">
        <v>41456</v>
      </c>
      <c r="C292" s="135" t="n">
        <v>605983</v>
      </c>
      <c r="D292" s="29" t="s">
        <v>41</v>
      </c>
      <c r="E292" s="33" t="n">
        <f aca="false">IF(D292="totale",(C292/(A292*24))/F292,IF(D292="marché libre",(C292/(A292*24))/G292,"spécifier histo"))</f>
        <v>0.407246639784946</v>
      </c>
      <c r="F292" s="9" t="n">
        <f aca="false">G292+H292</f>
        <v>2000</v>
      </c>
      <c r="G292" s="9" t="n">
        <v>2000</v>
      </c>
      <c r="H292" s="9" t="n">
        <f aca="false">0</f>
        <v>0</v>
      </c>
      <c r="I292" s="9"/>
      <c r="J292" s="30"/>
    </row>
    <row r="293" customFormat="false" ht="24.95" hidden="false" customHeight="true" outlineLevel="0" collapsed="false">
      <c r="A293" s="0" t="n">
        <v>31</v>
      </c>
      <c r="B293" s="34" t="n">
        <v>41487</v>
      </c>
      <c r="C293" s="135" t="n">
        <v>953306</v>
      </c>
      <c r="D293" s="29" t="s">
        <v>41</v>
      </c>
      <c r="E293" s="33" t="n">
        <f aca="false">IF(D293="totale",(C293/(A293*24))/F293,IF(D293="marché libre",(C293/(A293*24))/G293,"spécifier histo"))</f>
        <v>0.640662634408602</v>
      </c>
      <c r="F293" s="9" t="n">
        <f aca="false">G293+H293</f>
        <v>2000</v>
      </c>
      <c r="G293" s="9" t="n">
        <v>2000</v>
      </c>
      <c r="H293" s="9" t="n">
        <f aca="false">0</f>
        <v>0</v>
      </c>
      <c r="I293" s="9"/>
      <c r="J293" s="30"/>
    </row>
    <row r="294" customFormat="false" ht="24.95" hidden="false" customHeight="true" outlineLevel="0" collapsed="false">
      <c r="A294" s="0" t="n">
        <v>30</v>
      </c>
      <c r="B294" s="31" t="n">
        <v>41518</v>
      </c>
      <c r="C294" s="1" t="n">
        <v>340153</v>
      </c>
      <c r="D294" s="29" t="s">
        <v>41</v>
      </c>
      <c r="E294" s="33" t="n">
        <f aca="false">IF(D294="totale",(C294/(A294*24))/F294,IF(D294="marché libre",(C294/(A294*24))/G294,"spécifier histo"))</f>
        <v>0.236217361111111</v>
      </c>
      <c r="F294" s="9" t="n">
        <f aca="false">G294+H294</f>
        <v>2000</v>
      </c>
      <c r="G294" s="9" t="n">
        <v>2000</v>
      </c>
      <c r="H294" s="9" t="n">
        <f aca="false">0</f>
        <v>0</v>
      </c>
      <c r="I294" s="9"/>
      <c r="J294" s="30"/>
    </row>
    <row r="295" customFormat="false" ht="24.95" hidden="false" customHeight="true" outlineLevel="0" collapsed="false">
      <c r="A295" s="0" t="n">
        <v>31</v>
      </c>
      <c r="B295" s="34" t="n">
        <v>41548</v>
      </c>
      <c r="C295" s="1" t="n">
        <v>515756</v>
      </c>
      <c r="D295" s="29" t="s">
        <v>41</v>
      </c>
      <c r="E295" s="33" t="n">
        <f aca="false">IF(D295="totale",(C295/(A295*24))/F295,IF(D295="marché libre",(C295/(A295*24))/G295,"spécifier histo"))</f>
        <v>0.346610215053763</v>
      </c>
      <c r="F295" s="9" t="n">
        <f aca="false">G295+H295</f>
        <v>2000</v>
      </c>
      <c r="G295" s="9" t="n">
        <v>2000</v>
      </c>
      <c r="H295" s="9" t="n">
        <f aca="false">0</f>
        <v>0</v>
      </c>
      <c r="I295" s="9"/>
      <c r="J295" s="30"/>
    </row>
    <row r="296" customFormat="false" ht="24.95" hidden="false" customHeight="true" outlineLevel="0" collapsed="false">
      <c r="A296" s="0" t="n">
        <v>30</v>
      </c>
      <c r="B296" s="31" t="n">
        <v>41579</v>
      </c>
      <c r="C296" s="1" t="n">
        <v>691359</v>
      </c>
      <c r="D296" s="29" t="s">
        <v>41</v>
      </c>
      <c r="E296" s="33" t="n">
        <f aca="false">IF(D296="totale",(C296/(A296*24))/F296,IF(D296="marché libre",(C296/(A296*24))/G296,"spécifier histo"))</f>
        <v>0.480110416666667</v>
      </c>
      <c r="F296" s="9" t="n">
        <f aca="false">G296+H296</f>
        <v>2000</v>
      </c>
      <c r="G296" s="9" t="n">
        <v>2000</v>
      </c>
      <c r="H296" s="9" t="n">
        <f aca="false">0</f>
        <v>0</v>
      </c>
      <c r="I296" s="9"/>
      <c r="J296" s="30"/>
    </row>
    <row r="297" customFormat="false" ht="24.95" hidden="false" customHeight="true" outlineLevel="0" collapsed="false">
      <c r="A297" s="0" t="n">
        <v>31</v>
      </c>
      <c r="B297" s="34" t="n">
        <v>41609</v>
      </c>
      <c r="C297" s="1" t="n">
        <v>184979</v>
      </c>
      <c r="D297" s="29" t="s">
        <v>41</v>
      </c>
      <c r="E297" s="33" t="n">
        <f aca="false">IF(D297="totale",(C297/(A297*24))/F297,IF(D297="marché libre",(C297/(A297*24))/G297,"spécifier histo"))</f>
        <v>0.124313844086021</v>
      </c>
      <c r="F297" s="9" t="n">
        <f aca="false">G297+H297</f>
        <v>2000</v>
      </c>
      <c r="G297" s="9" t="n">
        <v>2000</v>
      </c>
      <c r="H297" s="9" t="n">
        <f aca="false">0</f>
        <v>0</v>
      </c>
      <c r="I297" s="9"/>
      <c r="J297" s="30"/>
    </row>
    <row r="298" customFormat="false" ht="24.95" hidden="false" customHeight="true" outlineLevel="0" collapsed="false">
      <c r="A298" s="0" t="n">
        <v>31</v>
      </c>
      <c r="B298" s="31" t="n">
        <v>41640</v>
      </c>
      <c r="C298" s="1" t="n">
        <v>761146</v>
      </c>
      <c r="D298" s="29" t="s">
        <v>41</v>
      </c>
      <c r="E298" s="33" t="n">
        <f aca="false">IF(D298="totale",(C298/(A298*24))/F298,IF(D298="marché libre",(C298/(A298*24))/G298,"spécifier histo"))</f>
        <v>0.511522849462366</v>
      </c>
      <c r="F298" s="9" t="n">
        <f aca="false">G298+H298</f>
        <v>2000</v>
      </c>
      <c r="G298" s="9" t="n">
        <v>2000</v>
      </c>
      <c r="H298" s="9" t="n">
        <f aca="false">0</f>
        <v>0</v>
      </c>
      <c r="I298" s="9"/>
      <c r="J298" s="30"/>
      <c r="L298" s="51"/>
      <c r="M298" s="49"/>
      <c r="N298" s="49"/>
      <c r="O298" s="36"/>
      <c r="P298" s="49"/>
      <c r="Q298" s="49"/>
      <c r="S298" s="0"/>
    </row>
    <row r="299" customFormat="false" ht="24.95" hidden="false" customHeight="true" outlineLevel="0" collapsed="false">
      <c r="A299" s="0" t="n">
        <v>28</v>
      </c>
      <c r="B299" s="34" t="n">
        <v>41671</v>
      </c>
      <c r="C299" s="1" t="n">
        <v>459988</v>
      </c>
      <c r="D299" s="29" t="s">
        <v>41</v>
      </c>
      <c r="E299" s="33" t="n">
        <f aca="false">IF(D299="totale",(C299/(A299*24))/F299,IF(D299="marché libre",(C299/(A299*24))/G299,"spécifier histo"))</f>
        <v>0.342252976190476</v>
      </c>
      <c r="F299" s="9" t="n">
        <f aca="false">G299+H299</f>
        <v>2000</v>
      </c>
      <c r="G299" s="9" t="n">
        <v>2000</v>
      </c>
      <c r="H299" s="9" t="n">
        <f aca="false">0</f>
        <v>0</v>
      </c>
      <c r="I299" s="9"/>
      <c r="J299" s="30"/>
      <c r="L299" s="48"/>
      <c r="M299" s="49"/>
      <c r="N299" s="49"/>
      <c r="O299" s="36"/>
      <c r="P299" s="49"/>
      <c r="Q299" s="49"/>
      <c r="S299" s="0"/>
    </row>
    <row r="300" customFormat="false" ht="24.95" hidden="false" customHeight="true" outlineLevel="0" collapsed="false">
      <c r="A300" s="0" t="n">
        <v>31</v>
      </c>
      <c r="B300" s="31" t="n">
        <v>41699</v>
      </c>
      <c r="C300" s="1" t="n">
        <v>745808</v>
      </c>
      <c r="D300" s="29" t="s">
        <v>41</v>
      </c>
      <c r="E300" s="33" t="n">
        <f aca="false">IF(D300="totale",(C300/(A300*24))/F300,IF(D300="marché libre",(C300/(A300*24))/G300,"spécifier histo"))</f>
        <v>0.501215053763441</v>
      </c>
      <c r="F300" s="9" t="n">
        <f aca="false">G300+H300</f>
        <v>2000</v>
      </c>
      <c r="G300" s="9" t="n">
        <v>2000</v>
      </c>
      <c r="H300" s="9" t="n">
        <f aca="false">0</f>
        <v>0</v>
      </c>
      <c r="I300" s="9"/>
      <c r="J300" s="30"/>
      <c r="L300" s="48"/>
      <c r="M300" s="49"/>
      <c r="N300" s="49"/>
      <c r="O300" s="36"/>
      <c r="P300" s="49"/>
      <c r="Q300" s="49"/>
      <c r="S300" s="0"/>
    </row>
    <row r="301" customFormat="false" ht="24.95" hidden="false" customHeight="true" outlineLevel="0" collapsed="false">
      <c r="A301" s="0" t="n">
        <v>30</v>
      </c>
      <c r="B301" s="34" t="n">
        <v>41730</v>
      </c>
      <c r="C301" s="1" t="n">
        <v>1613814</v>
      </c>
      <c r="D301" s="29" t="s">
        <v>42</v>
      </c>
      <c r="E301" s="33" t="n">
        <f aca="false">IF(D301="totale",(C301/(A301*24))/F301,IF(D301="marché libre",(C301/(A301*24))/G301,"spécifier histo"))</f>
        <v>1.12070416666667</v>
      </c>
      <c r="F301" s="9" t="n">
        <f aca="false">G301+H301</f>
        <v>2960</v>
      </c>
      <c r="G301" s="9" t="n">
        <v>2000</v>
      </c>
      <c r="H301" s="9" t="n">
        <v>960</v>
      </c>
      <c r="I301" s="9" t="s">
        <v>425</v>
      </c>
      <c r="J301" s="30"/>
      <c r="L301" s="48"/>
      <c r="M301" s="49"/>
      <c r="N301" s="49"/>
      <c r="O301" s="36"/>
      <c r="P301" s="49"/>
      <c r="Q301" s="49"/>
      <c r="S301" s="0"/>
    </row>
    <row r="302" customFormat="false" ht="24.95" hidden="false" customHeight="true" outlineLevel="0" collapsed="false">
      <c r="A302" s="0" t="n">
        <v>31</v>
      </c>
      <c r="B302" s="31" t="n">
        <v>41760</v>
      </c>
      <c r="C302" s="1" t="n">
        <v>1694147</v>
      </c>
      <c r="D302" s="29" t="s">
        <v>42</v>
      </c>
      <c r="E302" s="33" t="n">
        <f aca="false">IF(D302="totale",(C302/(A302*24))/F302,IF(D302="marché libre",(C302/(A302*24))/G302,"spécifier histo"))</f>
        <v>1.13853965053763</v>
      </c>
      <c r="F302" s="9" t="n">
        <f aca="false">G302+H302</f>
        <v>2960</v>
      </c>
      <c r="G302" s="9" t="n">
        <v>2000</v>
      </c>
      <c r="H302" s="9" t="n">
        <v>960</v>
      </c>
      <c r="I302" s="9"/>
      <c r="J302" s="30"/>
      <c r="L302" s="48"/>
      <c r="M302" s="49"/>
      <c r="N302" s="49"/>
      <c r="O302" s="36"/>
      <c r="P302" s="49"/>
      <c r="Q302" s="49"/>
    </row>
    <row r="303" customFormat="false" ht="24.95" hidden="false" customHeight="true" outlineLevel="0" collapsed="false">
      <c r="A303" s="0" t="n">
        <v>30</v>
      </c>
      <c r="B303" s="34" t="n">
        <v>41791</v>
      </c>
      <c r="C303" s="1" t="n">
        <v>1579890</v>
      </c>
      <c r="D303" s="29" t="s">
        <v>42</v>
      </c>
      <c r="E303" s="33" t="n">
        <f aca="false">IF(D303="totale",(C303/(A303*24))/F303,IF(D303="marché libre",(C303/(A303*24))/G303,"spécifier histo"))</f>
        <v>1.09714583333333</v>
      </c>
      <c r="F303" s="9" t="n">
        <f aca="false">G303+H303</f>
        <v>2960</v>
      </c>
      <c r="G303" s="9" t="n">
        <v>2000</v>
      </c>
      <c r="H303" s="9" t="n">
        <v>960</v>
      </c>
      <c r="I303" s="9"/>
      <c r="J303" s="30"/>
      <c r="L303" s="52"/>
      <c r="M303" s="53"/>
      <c r="N303" s="53"/>
      <c r="O303" s="36"/>
      <c r="P303" s="53"/>
      <c r="Q303" s="53"/>
    </row>
    <row r="304" customFormat="false" ht="24.95" hidden="false" customHeight="true" outlineLevel="0" collapsed="false">
      <c r="A304" s="0" t="n">
        <v>31</v>
      </c>
      <c r="B304" s="31" t="n">
        <v>41821</v>
      </c>
      <c r="C304" s="1" t="n">
        <v>1105449</v>
      </c>
      <c r="D304" s="29" t="s">
        <v>42</v>
      </c>
      <c r="E304" s="33" t="n">
        <f aca="false">IF(D304="totale",(C304/(A304*24))/F304,IF(D304="marché libre",(C304/(A304*24))/G304,"spécifier histo"))</f>
        <v>0.742909274193548</v>
      </c>
      <c r="F304" s="9" t="n">
        <f aca="false">G304+H304</f>
        <v>2960</v>
      </c>
      <c r="G304" s="9" t="n">
        <v>2000</v>
      </c>
      <c r="H304" s="9" t="n">
        <v>960</v>
      </c>
      <c r="I304" s="9"/>
      <c r="J304" s="30"/>
      <c r="L304" s="36"/>
      <c r="M304" s="36"/>
      <c r="N304" s="36"/>
      <c r="O304" s="36"/>
      <c r="P304" s="36"/>
      <c r="Q304" s="36"/>
    </row>
    <row r="305" customFormat="false" ht="24.95" hidden="false" customHeight="true" outlineLevel="0" collapsed="false">
      <c r="A305" s="0" t="n">
        <v>31</v>
      </c>
      <c r="B305" s="34" t="n">
        <v>41852</v>
      </c>
      <c r="C305" s="1" t="n">
        <v>1048575</v>
      </c>
      <c r="D305" s="29" t="s">
        <v>42</v>
      </c>
      <c r="E305" s="33" t="n">
        <f aca="false">IF(D305="totale",(C305/(A305*24))/F305,IF(D305="marché libre",(C305/(A305*24))/G305,"spécifier histo"))</f>
        <v>0.7046875</v>
      </c>
      <c r="F305" s="9" t="n">
        <f aca="false">G305+H305</f>
        <v>2960</v>
      </c>
      <c r="G305" s="9" t="n">
        <v>2000</v>
      </c>
      <c r="H305" s="9" t="n">
        <v>960</v>
      </c>
      <c r="I305" s="9"/>
      <c r="J305" s="30"/>
      <c r="L305" s="36"/>
      <c r="M305" s="54"/>
      <c r="N305" s="36"/>
      <c r="O305" s="36"/>
      <c r="P305" s="36"/>
      <c r="Q305" s="36"/>
    </row>
    <row r="306" customFormat="false" ht="24.95" hidden="false" customHeight="true" outlineLevel="0" collapsed="false">
      <c r="A306" s="0" t="n">
        <v>30</v>
      </c>
      <c r="B306" s="31" t="n">
        <v>41883</v>
      </c>
      <c r="C306" s="1" t="n">
        <v>536595</v>
      </c>
      <c r="D306" s="29" t="s">
        <v>42</v>
      </c>
      <c r="E306" s="33" t="n">
        <f aca="false">IF(D306="totale",(C306/(A306*24))/F306,IF(D306="marché libre",(C306/(A306*24))/G306,"spécifier histo"))</f>
        <v>0.372635416666667</v>
      </c>
      <c r="F306" s="9" t="n">
        <f aca="false">G306+H306</f>
        <v>2960</v>
      </c>
      <c r="G306" s="9" t="n">
        <v>2000</v>
      </c>
      <c r="H306" s="9" t="n">
        <v>960</v>
      </c>
      <c r="I306" s="9"/>
      <c r="J306" s="30"/>
      <c r="L306" s="36"/>
      <c r="M306" s="36"/>
      <c r="N306" s="36"/>
      <c r="O306" s="36"/>
      <c r="P306" s="36"/>
      <c r="Q306" s="36"/>
    </row>
    <row r="307" customFormat="false" ht="24.95" hidden="false" customHeight="true" outlineLevel="0" collapsed="false">
      <c r="A307" s="0" t="n">
        <v>31</v>
      </c>
      <c r="B307" s="34" t="n">
        <v>41913</v>
      </c>
      <c r="C307" s="56" t="n">
        <v>647314</v>
      </c>
      <c r="D307" s="29" t="s">
        <v>42</v>
      </c>
      <c r="E307" s="33" t="n">
        <f aca="false">IF(D307="totale",(C295/(A307*24))/F307,IF(D307="marché libre",(C295/(A307*24))/G307,"spécifier histo"))</f>
        <v>0.346610215053763</v>
      </c>
      <c r="F307" s="9" t="n">
        <f aca="false">G307+H307</f>
        <v>2960</v>
      </c>
      <c r="G307" s="9" t="n">
        <v>2000</v>
      </c>
      <c r="H307" s="9" t="n">
        <v>960</v>
      </c>
      <c r="I307" s="9"/>
      <c r="J307" s="30"/>
      <c r="L307" s="43"/>
      <c r="M307" s="44"/>
      <c r="N307" s="44"/>
      <c r="O307" s="45"/>
      <c r="P307" s="46"/>
      <c r="Q307" s="46"/>
    </row>
    <row r="308" customFormat="false" ht="24.95" hidden="false" customHeight="true" outlineLevel="0" collapsed="false">
      <c r="A308" s="0" t="n">
        <v>30</v>
      </c>
      <c r="B308" s="31" t="n">
        <v>41944</v>
      </c>
      <c r="C308" s="56" t="n">
        <v>759713</v>
      </c>
      <c r="D308" s="29" t="s">
        <v>42</v>
      </c>
      <c r="E308" s="33" t="n">
        <f aca="false">IF(D308="totale",(C296/(A308*24))/F308,IF(D308="marché libre",(C296/(A308*24))/G308,"spécifier histo"))</f>
        <v>0.480110416666667</v>
      </c>
      <c r="F308" s="9" t="n">
        <f aca="false">G308+H308</f>
        <v>2960</v>
      </c>
      <c r="G308" s="9" t="n">
        <v>2000</v>
      </c>
      <c r="H308" s="9" t="n">
        <v>960</v>
      </c>
      <c r="I308" s="55"/>
      <c r="J308" s="55"/>
      <c r="L308" s="47"/>
      <c r="M308" s="47"/>
      <c r="N308" s="47"/>
      <c r="O308" s="36"/>
      <c r="P308" s="47"/>
      <c r="Q308" s="47"/>
    </row>
    <row r="309" customFormat="false" ht="24.95" hidden="false" customHeight="true" outlineLevel="0" collapsed="false">
      <c r="A309" s="0" t="n">
        <v>31</v>
      </c>
      <c r="B309" s="34" t="n">
        <v>41974</v>
      </c>
      <c r="C309" s="56" t="n">
        <v>408828</v>
      </c>
      <c r="D309" s="29" t="s">
        <v>42</v>
      </c>
      <c r="E309" s="33" t="n">
        <f aca="false">IF(D309="totale",(C297/(A309*24))/F309,IF(D309="marché libre",(C297/(A309*24))/G309,"spécifier histo"))</f>
        <v>0.124313844086021</v>
      </c>
      <c r="F309" s="9" t="n">
        <f aca="false">G309+H309</f>
        <v>2960</v>
      </c>
      <c r="G309" s="9" t="n">
        <v>2000</v>
      </c>
      <c r="H309" s="9" t="n">
        <v>960</v>
      </c>
      <c r="I309" s="55"/>
      <c r="J309" s="55"/>
      <c r="L309" s="43"/>
      <c r="M309" s="43"/>
      <c r="N309" s="43"/>
      <c r="O309" s="36"/>
      <c r="P309" s="43"/>
      <c r="Q309" s="43"/>
    </row>
    <row r="310" customFormat="false" ht="24.95" hidden="false" customHeight="true" outlineLevel="0" collapsed="false">
      <c r="A310" s="0" t="n">
        <v>31</v>
      </c>
      <c r="B310" s="31" t="n">
        <v>42005</v>
      </c>
      <c r="C310" s="1" t="n">
        <v>1690</v>
      </c>
      <c r="D310" s="29" t="s">
        <v>42</v>
      </c>
      <c r="E310" s="33" t="n">
        <f aca="false">IF(D310="totale",(C310/(A310*24))/F310,IF(D310="marché libre",(C310/(A310*24))/G310,"spécifier histo"))</f>
        <v>0.00113575268817204</v>
      </c>
      <c r="F310" s="9" t="n">
        <f aca="false">G310+H310</f>
        <v>2960</v>
      </c>
      <c r="G310" s="9" t="n">
        <v>2000</v>
      </c>
      <c r="H310" s="9" t="n">
        <v>960</v>
      </c>
      <c r="I310" s="55"/>
      <c r="J310" s="55"/>
      <c r="L310" s="47"/>
      <c r="M310" s="47"/>
      <c r="N310" s="47"/>
      <c r="O310" s="36"/>
      <c r="P310" s="47"/>
      <c r="Q310" s="47"/>
    </row>
    <row r="311" customFormat="false" ht="19.85" hidden="false" customHeight="true" outlineLevel="0" collapsed="false">
      <c r="A311" s="0" t="n">
        <v>28</v>
      </c>
      <c r="B311" s="34" t="n">
        <v>42036</v>
      </c>
      <c r="C311" s="56" t="n">
        <v>66603</v>
      </c>
      <c r="D311" s="57" t="s">
        <v>42</v>
      </c>
      <c r="E311" s="33" t="n">
        <f aca="false">IF(D311="totale",(C311/(A311*24))/F311,IF(D311="marché libre",(C311/(A311*24))/G311,"spécifier histo"))</f>
        <v>0.0495558035714286</v>
      </c>
      <c r="F311" s="9" t="n">
        <f aca="false">G311+H311</f>
        <v>2960</v>
      </c>
      <c r="G311" s="9" t="n">
        <v>2000</v>
      </c>
      <c r="H311" s="9" t="n">
        <v>960</v>
      </c>
      <c r="I311" s="55"/>
      <c r="J311" s="55"/>
      <c r="L311" s="48"/>
      <c r="M311" s="50"/>
      <c r="N311" s="50"/>
      <c r="O311" s="36"/>
      <c r="P311" s="50"/>
      <c r="Q311" s="50"/>
      <c r="S311" s="0"/>
    </row>
    <row r="312" customFormat="false" ht="19.85" hidden="false" customHeight="true" outlineLevel="0" collapsed="false">
      <c r="A312" s="0" t="n">
        <v>31</v>
      </c>
      <c r="B312" s="31" t="n">
        <v>42064</v>
      </c>
      <c r="C312" s="56" t="n">
        <v>981722</v>
      </c>
      <c r="D312" s="57" t="s">
        <v>42</v>
      </c>
      <c r="E312" s="33" t="n">
        <f aca="false">IF(D312="totale",(C312/(A312*24))/F312,IF(D312="marché libre",(C312/(A312*24))/G312,"spécifier histo"))</f>
        <v>0.659759408602151</v>
      </c>
      <c r="F312" s="9" t="n">
        <f aca="false">G312+H312</f>
        <v>2960</v>
      </c>
      <c r="G312" s="9" t="n">
        <v>2000</v>
      </c>
      <c r="H312" s="9" t="n">
        <v>960</v>
      </c>
      <c r="J312" s="55"/>
      <c r="L312" s="51"/>
      <c r="M312" s="49"/>
      <c r="N312" s="49"/>
      <c r="O312" s="36"/>
      <c r="P312" s="49"/>
      <c r="Q312" s="49"/>
      <c r="S312" s="0"/>
    </row>
    <row r="313" customFormat="false" ht="19.85" hidden="false" customHeight="true" outlineLevel="0" collapsed="false">
      <c r="A313" s="0" t="n">
        <v>30</v>
      </c>
      <c r="B313" s="34" t="n">
        <v>42095</v>
      </c>
      <c r="C313" s="56" t="n">
        <v>1591071</v>
      </c>
      <c r="D313" s="57" t="s">
        <v>42</v>
      </c>
      <c r="E313" s="33" t="n">
        <f aca="false">IF(D313="totale",(C313/(A313*24))/F313,IF(D313="marché libre",(C313/(A313*24))/G313,"spécifier histo"))</f>
        <v>1.10491041666667</v>
      </c>
      <c r="F313" s="9" t="n">
        <f aca="false">G313+H313</f>
        <v>2960</v>
      </c>
      <c r="G313" s="9" t="n">
        <v>2000</v>
      </c>
      <c r="H313" s="9" t="n">
        <v>960</v>
      </c>
      <c r="J313" s="55"/>
      <c r="L313" s="51"/>
      <c r="M313" s="49"/>
      <c r="N313" s="49"/>
      <c r="O313" s="36"/>
      <c r="P313" s="49"/>
      <c r="Q313" s="49"/>
      <c r="S313" s="0"/>
    </row>
    <row r="314" customFormat="false" ht="19.85" hidden="false" customHeight="true" outlineLevel="0" collapsed="false">
      <c r="A314" s="0" t="n">
        <v>31</v>
      </c>
      <c r="B314" s="31" t="n">
        <v>42125</v>
      </c>
      <c r="C314" s="56" t="n">
        <v>1641294</v>
      </c>
      <c r="D314" s="57" t="s">
        <v>42</v>
      </c>
      <c r="E314" s="33" t="n">
        <f aca="false">IF(D314="totale",(C314/(A314*24))/F314,IF(D314="marché libre",(C314/(A314*24))/G314,"spécifier histo"))</f>
        <v>1.10302016129032</v>
      </c>
      <c r="F314" s="9" t="n">
        <f aca="false">G314+H314</f>
        <v>2960</v>
      </c>
      <c r="G314" s="9" t="n">
        <v>2000</v>
      </c>
      <c r="H314" s="9" t="n">
        <v>960</v>
      </c>
      <c r="J314" s="55"/>
      <c r="L314" s="48"/>
      <c r="M314" s="49"/>
      <c r="N314" s="49"/>
      <c r="O314" s="36"/>
      <c r="P314" s="49"/>
      <c r="Q314" s="49"/>
      <c r="S314" s="0"/>
    </row>
    <row r="315" customFormat="false" ht="19.85" hidden="false" customHeight="true" outlineLevel="0" collapsed="false">
      <c r="A315" s="0" t="n">
        <v>30</v>
      </c>
      <c r="B315" s="34" t="n">
        <v>42156</v>
      </c>
      <c r="C315" s="56" t="n">
        <v>1579890</v>
      </c>
      <c r="D315" s="57" t="s">
        <v>42</v>
      </c>
      <c r="E315" s="33" t="n">
        <f aca="false">IF(D315="totale",(C315/(A315*24))/F315,IF(D315="marché libre",(C315/(A315*24))/G315,"spécifier histo"))</f>
        <v>1.09714583333333</v>
      </c>
      <c r="F315" s="9" t="n">
        <f aca="false">G315+H315</f>
        <v>2960</v>
      </c>
      <c r="G315" s="9" t="n">
        <v>2000</v>
      </c>
      <c r="H315" s="9" t="n">
        <v>960</v>
      </c>
      <c r="J315" s="55"/>
      <c r="L315" s="48"/>
      <c r="M315" s="49"/>
      <c r="N315" s="49"/>
      <c r="O315" s="36"/>
      <c r="P315" s="49"/>
      <c r="Q315" s="49"/>
      <c r="S315" s="0"/>
    </row>
    <row r="316" customFormat="false" ht="19.85" hidden="false" customHeight="true" outlineLevel="0" collapsed="false">
      <c r="A316" s="0" t="n">
        <v>31</v>
      </c>
      <c r="B316" s="31" t="n">
        <v>42186</v>
      </c>
      <c r="C316" s="56" t="n">
        <v>1105469</v>
      </c>
      <c r="D316" s="57" t="s">
        <v>42</v>
      </c>
      <c r="E316" s="33" t="n">
        <f aca="false">IF(D316="totale",(C316/(A316*24))/F316,IF(D316="marché libre",(C316/(A316*24))/G316,"spécifier histo"))</f>
        <v>0.742922715053764</v>
      </c>
      <c r="F316" s="9" t="n">
        <f aca="false">G316+H316</f>
        <v>2960</v>
      </c>
      <c r="G316" s="9" t="n">
        <v>2000</v>
      </c>
      <c r="H316" s="9" t="n">
        <v>960</v>
      </c>
      <c r="J316" s="55"/>
      <c r="L316" s="48"/>
      <c r="M316" s="49"/>
      <c r="N316" s="49"/>
      <c r="O316" s="36"/>
      <c r="P316" s="49"/>
      <c r="Q316" s="49"/>
      <c r="S316" s="0"/>
    </row>
    <row r="317" customFormat="false" ht="19.85" hidden="false" customHeight="true" outlineLevel="0" collapsed="false">
      <c r="A317" s="0" t="n">
        <v>31</v>
      </c>
      <c r="B317" s="34" t="n">
        <v>42217</v>
      </c>
      <c r="C317" s="56" t="n">
        <v>1467011</v>
      </c>
      <c r="D317" s="57" t="s">
        <v>42</v>
      </c>
      <c r="E317" s="33" t="n">
        <f aca="false">IF(D317="totale",(C317/(A317*24))/F317,IF(D317="marché libre",(C317/(A317*24))/G317,"spécifier histo"))</f>
        <v>0.985894489247312</v>
      </c>
      <c r="F317" s="9" t="n">
        <f aca="false">G317+H317</f>
        <v>2960</v>
      </c>
      <c r="G317" s="9" t="n">
        <v>2000</v>
      </c>
      <c r="H317" s="9" t="n">
        <v>960</v>
      </c>
      <c r="J317" s="55"/>
      <c r="L317" s="48"/>
      <c r="M317" s="49"/>
      <c r="N317" s="49"/>
      <c r="O317" s="36"/>
      <c r="P317" s="49"/>
      <c r="Q317" s="49"/>
      <c r="R317" s="0"/>
      <c r="S317" s="0"/>
      <c r="T317" s="0"/>
    </row>
    <row r="318" customFormat="false" ht="19.85" hidden="false" customHeight="true" outlineLevel="0" collapsed="false">
      <c r="A318" s="0" t="n">
        <v>30</v>
      </c>
      <c r="B318" s="31" t="n">
        <v>42248</v>
      </c>
      <c r="C318" s="56" t="n">
        <v>1015061</v>
      </c>
      <c r="D318" s="57" t="s">
        <v>42</v>
      </c>
      <c r="E318" s="33" t="n">
        <f aca="false">IF(D318="totale",(C318/(A318*24))/F318,IF(D318="marché libre",(C318/(A318*24))/G318,"spécifier histo"))</f>
        <v>0.704903472222222</v>
      </c>
      <c r="F318" s="9" t="n">
        <f aca="false">G318+H318</f>
        <v>2960</v>
      </c>
      <c r="G318" s="9" t="n">
        <v>2000</v>
      </c>
      <c r="H318" s="9" t="n">
        <v>960</v>
      </c>
      <c r="J318" s="55"/>
      <c r="L318" s="51"/>
      <c r="M318" s="49"/>
      <c r="N318" s="49"/>
      <c r="O318" s="36"/>
      <c r="P318" s="49"/>
      <c r="Q318" s="49"/>
      <c r="R318" s="0"/>
      <c r="S318" s="0"/>
      <c r="T318" s="0"/>
    </row>
    <row r="319" customFormat="false" ht="19.85" hidden="false" customHeight="true" outlineLevel="0" collapsed="false">
      <c r="A319" s="0" t="n">
        <v>31</v>
      </c>
      <c r="B319" s="34" t="n">
        <v>42278</v>
      </c>
      <c r="C319" s="56" t="n">
        <v>767762</v>
      </c>
      <c r="D319" s="57" t="s">
        <v>42</v>
      </c>
      <c r="E319" s="33" t="n">
        <f aca="false">IF(D319="totale",(C307/(A319*24))/F319,IF(D319="marché libre",(C307/(A319*24))/G319,"spécifier histo"))</f>
        <v>0.435022849462366</v>
      </c>
      <c r="F319" s="9" t="n">
        <f aca="false">G319+H319</f>
        <v>2960</v>
      </c>
      <c r="G319" s="9" t="n">
        <v>2000</v>
      </c>
      <c r="H319" s="9" t="n">
        <v>960</v>
      </c>
      <c r="J319" s="55"/>
      <c r="K319" s="55"/>
      <c r="L319" s="48"/>
      <c r="M319" s="49"/>
      <c r="N319" s="49"/>
      <c r="O319" s="36"/>
      <c r="P319" s="49"/>
      <c r="Q319" s="49"/>
      <c r="R319" s="0"/>
      <c r="S319" s="0"/>
      <c r="T319" s="0"/>
    </row>
    <row r="320" customFormat="false" ht="19.85" hidden="false" customHeight="true" outlineLevel="0" collapsed="false">
      <c r="A320" s="0" t="n">
        <v>30</v>
      </c>
      <c r="B320" s="31" t="n">
        <v>42309</v>
      </c>
      <c r="C320" s="59" t="n">
        <v>651639</v>
      </c>
      <c r="D320" s="57" t="s">
        <v>42</v>
      </c>
      <c r="E320" s="33" t="n">
        <f aca="false">IF(D320="totale",(C308/(A320*24))/F320,IF(D320="marché libre",(C308/(A320*24))/G320,"spécifier histo"))</f>
        <v>0.527578472222222</v>
      </c>
      <c r="F320" s="9" t="n">
        <f aca="false">G320+H320</f>
        <v>2960</v>
      </c>
      <c r="G320" s="9" t="n">
        <v>2000</v>
      </c>
      <c r="H320" s="9" t="n">
        <v>960</v>
      </c>
      <c r="J320" s="55"/>
      <c r="K320" s="55"/>
      <c r="L320" s="48"/>
      <c r="M320" s="49"/>
      <c r="N320" s="49"/>
      <c r="O320" s="36"/>
      <c r="P320" s="49"/>
      <c r="Q320" s="49"/>
      <c r="R320" s="0"/>
      <c r="S320" s="0"/>
      <c r="T320" s="0"/>
    </row>
    <row r="321" customFormat="false" ht="19.85" hidden="false" customHeight="true" outlineLevel="0" collapsed="false">
      <c r="A321" s="0" t="n">
        <v>31</v>
      </c>
      <c r="B321" s="34" t="n">
        <v>42339</v>
      </c>
      <c r="C321" s="128" t="n">
        <v>59926</v>
      </c>
      <c r="D321" s="57" t="s">
        <v>42</v>
      </c>
      <c r="E321" s="33" t="n">
        <f aca="false">IF(D321="totale",(C309/(A321*24))/F321,IF(D321="marché libre",(C309/(A321*24))/G321,"spécifier histo"))</f>
        <v>0.27475</v>
      </c>
      <c r="F321" s="9" t="n">
        <f aca="false">G321+H321</f>
        <v>2960</v>
      </c>
      <c r="G321" s="9" t="n">
        <v>2000</v>
      </c>
      <c r="H321" s="9" t="n">
        <v>960</v>
      </c>
      <c r="J321" s="55"/>
      <c r="K321" s="55"/>
      <c r="L321" s="48"/>
      <c r="M321" s="49"/>
      <c r="N321" s="49"/>
      <c r="O321" s="36"/>
      <c r="P321" s="49"/>
      <c r="Q321" s="49"/>
      <c r="R321" s="0"/>
      <c r="S321" s="0"/>
      <c r="T321" s="0"/>
    </row>
    <row r="322" customFormat="false" ht="19.85" hidden="false" customHeight="true" outlineLevel="0" collapsed="false">
      <c r="A322" s="0" t="n">
        <v>31</v>
      </c>
      <c r="B322" s="31" t="n">
        <v>42370</v>
      </c>
      <c r="C322" s="56" t="n">
        <v>480602</v>
      </c>
      <c r="D322" s="57" t="s">
        <v>42</v>
      </c>
      <c r="E322" s="33" t="n">
        <f aca="false">IF(D322="totale",(C322/(A322*24))/F322,IF(D322="marché libre",(C322/(A322*24))/G322,"spécifier histo"))</f>
        <v>0.322985215053763</v>
      </c>
      <c r="F322" s="9" t="n">
        <f aca="false">G322+H322</f>
        <v>2960</v>
      </c>
      <c r="G322" s="9" t="n">
        <v>2000</v>
      </c>
      <c r="H322" s="9" t="n">
        <v>960</v>
      </c>
      <c r="J322" s="55"/>
      <c r="K322" s="55"/>
      <c r="L322" s="48"/>
      <c r="M322" s="49"/>
      <c r="N322" s="49"/>
      <c r="O322" s="36"/>
      <c r="P322" s="49"/>
      <c r="Q322" s="49"/>
      <c r="R322" s="0"/>
      <c r="S322" s="0"/>
      <c r="T322" s="0"/>
    </row>
    <row r="323" customFormat="false" ht="19.85" hidden="false" customHeight="true" outlineLevel="0" collapsed="false">
      <c r="A323" s="0" t="n">
        <v>28</v>
      </c>
      <c r="B323" s="34" t="n">
        <v>42401</v>
      </c>
      <c r="C323" s="56" t="n">
        <v>52318</v>
      </c>
      <c r="D323" s="57" t="s">
        <v>42</v>
      </c>
      <c r="E323" s="33" t="n">
        <f aca="false">IF(D323="totale",(C323/(A323*24))/F323,IF(D323="marché libre",(C323/(A323*24))/G323,"spécifier histo"))</f>
        <v>0.0389270833333333</v>
      </c>
      <c r="F323" s="9" t="n">
        <f aca="false">G323+H323</f>
        <v>2960</v>
      </c>
      <c r="G323" s="9" t="n">
        <v>2000</v>
      </c>
      <c r="H323" s="9" t="n">
        <v>960</v>
      </c>
      <c r="J323" s="55"/>
      <c r="K323" s="55"/>
      <c r="L323" s="52"/>
      <c r="M323" s="53"/>
      <c r="N323" s="53"/>
      <c r="O323" s="36"/>
      <c r="P323" s="53"/>
      <c r="Q323" s="53"/>
      <c r="R323" s="0"/>
      <c r="S323" s="0"/>
      <c r="T323" s="0"/>
    </row>
    <row r="324" customFormat="false" ht="19.85" hidden="false" customHeight="true" outlineLevel="0" collapsed="false">
      <c r="A324" s="0" t="n">
        <v>31</v>
      </c>
      <c r="B324" s="31" t="n">
        <v>42430</v>
      </c>
      <c r="C324" s="56" t="n">
        <v>145624</v>
      </c>
      <c r="D324" s="57" t="s">
        <v>42</v>
      </c>
      <c r="E324" s="33" t="n">
        <f aca="false">IF(D324="totale",(C324/(A324*24))/F324,IF(D324="marché libre",(C324/(A324*24))/G324,"spécifier histo"))</f>
        <v>0.0978655913978495</v>
      </c>
      <c r="F324" s="9" t="n">
        <f aca="false">G324+H324</f>
        <v>2960</v>
      </c>
      <c r="G324" s="9" t="n">
        <v>2000</v>
      </c>
      <c r="H324" s="9" t="n">
        <v>960</v>
      </c>
      <c r="J324" s="55"/>
      <c r="K324" s="55"/>
      <c r="L324" s="0"/>
      <c r="M324" s="0"/>
      <c r="N324" s="0"/>
      <c r="O324" s="0"/>
      <c r="P324" s="0"/>
      <c r="Q324" s="0"/>
      <c r="R324" s="0"/>
      <c r="S324" s="0"/>
      <c r="T324" s="0"/>
    </row>
    <row r="325" customFormat="false" ht="19.85" hidden="false" customHeight="true" outlineLevel="0" collapsed="false">
      <c r="A325" s="0" t="n">
        <v>30</v>
      </c>
      <c r="B325" s="34" t="n">
        <v>42461</v>
      </c>
      <c r="C325" s="56" t="n">
        <v>1423705</v>
      </c>
      <c r="D325" s="57" t="s">
        <v>42</v>
      </c>
      <c r="E325" s="33" t="n">
        <f aca="false">IF(D325="totale",(C325/(A325*24))/F325,IF(D325="marché libre",(C325/(A325*24))/G325,"spécifier histo"))</f>
        <v>0.988684027777778</v>
      </c>
      <c r="F325" s="9" t="n">
        <f aca="false">G325+H325</f>
        <v>2960</v>
      </c>
      <c r="G325" s="9" t="n">
        <v>2000</v>
      </c>
      <c r="H325" s="9" t="n">
        <v>960</v>
      </c>
      <c r="J325" s="55"/>
      <c r="K325" s="55"/>
      <c r="L325" s="0"/>
      <c r="M325" s="0"/>
      <c r="N325" s="0"/>
      <c r="O325" s="0"/>
      <c r="P325" s="0"/>
      <c r="Q325" s="0"/>
      <c r="R325" s="0"/>
      <c r="S325" s="0"/>
      <c r="T325" s="0"/>
    </row>
    <row r="326" customFormat="false" ht="19.85" hidden="false" customHeight="true" outlineLevel="0" collapsed="false">
      <c r="A326" s="0" t="n">
        <v>31</v>
      </c>
      <c r="B326" s="31" t="n">
        <v>42491</v>
      </c>
      <c r="C326" s="56" t="n">
        <v>1558336</v>
      </c>
      <c r="D326" s="57" t="s">
        <v>42</v>
      </c>
      <c r="E326" s="33" t="n">
        <f aca="false">IF(D326="totale",(C326/(A326*24))/F326,IF(D326="marché libre",(C326/(A326*24))/G326,"spécifier histo"))</f>
        <v>1.0472688172043</v>
      </c>
      <c r="F326" s="9" t="n">
        <f aca="false">G326+H326</f>
        <v>2960</v>
      </c>
      <c r="G326" s="9" t="n">
        <v>2000</v>
      </c>
      <c r="H326" s="9" t="n">
        <v>960</v>
      </c>
      <c r="J326" s="55"/>
      <c r="K326" s="55"/>
      <c r="L326" s="0"/>
      <c r="M326" s="0"/>
      <c r="N326" s="0"/>
      <c r="O326" s="0"/>
      <c r="P326" s="0"/>
      <c r="Q326" s="0"/>
      <c r="R326" s="0"/>
      <c r="S326" s="0"/>
      <c r="T326" s="0"/>
    </row>
    <row r="327" customFormat="false" ht="19.85" hidden="false" customHeight="true" outlineLevel="0" collapsed="false">
      <c r="A327" s="0" t="n">
        <v>30</v>
      </c>
      <c r="B327" s="34" t="n">
        <v>42522</v>
      </c>
      <c r="C327" s="56" t="n">
        <v>1545138</v>
      </c>
      <c r="D327" s="57" t="s">
        <v>42</v>
      </c>
      <c r="E327" s="33" t="n">
        <f aca="false">IF(D327="totale",(C327/(A327*24))/F327,IF(D327="marché libre",(C327/(A327*24))/G327,"spécifier histo"))</f>
        <v>1.0730125</v>
      </c>
      <c r="F327" s="9" t="n">
        <f aca="false">G327+H327</f>
        <v>2960</v>
      </c>
      <c r="G327" s="9" t="n">
        <v>2000</v>
      </c>
      <c r="H327" s="9" t="n">
        <v>960</v>
      </c>
      <c r="I327" s="58"/>
      <c r="J327" s="55"/>
      <c r="K327" s="55"/>
      <c r="L327" s="0"/>
      <c r="M327" s="0"/>
      <c r="N327" s="0"/>
      <c r="O327" s="0"/>
      <c r="P327" s="0"/>
      <c r="Q327" s="0"/>
      <c r="R327" s="0"/>
      <c r="S327" s="0"/>
      <c r="T327" s="0"/>
    </row>
    <row r="328" customFormat="false" ht="19.85" hidden="false" customHeight="true" outlineLevel="0" collapsed="false">
      <c r="A328" s="0" t="n">
        <v>31</v>
      </c>
      <c r="B328" s="31" t="n">
        <v>42552</v>
      </c>
      <c r="C328" s="56" t="n">
        <v>1288312</v>
      </c>
      <c r="D328" s="57" t="s">
        <v>42</v>
      </c>
      <c r="E328" s="33" t="n">
        <f aca="false">IF(D328="totale",(C328/(A328*24))/F328,IF(D328="marché libre",(C328/(A328*24))/G328,"spécifier histo"))</f>
        <v>0.865801075268817</v>
      </c>
      <c r="F328" s="9" t="n">
        <f aca="false">G328+H328</f>
        <v>2960</v>
      </c>
      <c r="G328" s="9" t="n">
        <v>2000</v>
      </c>
      <c r="H328" s="9" t="n">
        <v>960</v>
      </c>
      <c r="I328" s="58"/>
      <c r="J328" s="55"/>
      <c r="K328" s="55"/>
      <c r="L328" s="0"/>
      <c r="M328" s="0"/>
      <c r="N328" s="0"/>
      <c r="O328" s="0"/>
      <c r="P328" s="0"/>
      <c r="Q328" s="0"/>
      <c r="R328" s="0"/>
      <c r="S328" s="0"/>
      <c r="T328" s="0"/>
    </row>
    <row r="329" customFormat="false" ht="19.85" hidden="false" customHeight="true" outlineLevel="0" collapsed="false">
      <c r="A329" s="0" t="n">
        <v>31</v>
      </c>
      <c r="B329" s="34" t="n">
        <v>42583</v>
      </c>
      <c r="C329" s="56" t="n">
        <v>173643</v>
      </c>
      <c r="D329" s="57" t="s">
        <v>42</v>
      </c>
      <c r="E329" s="33" t="n">
        <f aca="false">IF(D329="totale",(C329/(A329*24))/F329,IF(D329="marché libre",(C329/(A329*24))/G329,"spécifier histo"))</f>
        <v>0.116695564516129</v>
      </c>
      <c r="F329" s="9" t="n">
        <f aca="false">G329+H329</f>
        <v>2960</v>
      </c>
      <c r="G329" s="9" t="n">
        <v>2000</v>
      </c>
      <c r="H329" s="9" t="n">
        <v>960</v>
      </c>
      <c r="I329" s="58"/>
      <c r="J329" s="55"/>
      <c r="K329" s="55"/>
      <c r="L329" s="0"/>
      <c r="M329" s="0"/>
      <c r="N329" s="0"/>
      <c r="O329" s="0"/>
      <c r="P329" s="0"/>
      <c r="Q329" s="0"/>
      <c r="R329" s="0"/>
      <c r="S329" s="0"/>
      <c r="T329" s="0"/>
    </row>
    <row r="330" customFormat="false" ht="19.85" hidden="false" customHeight="true" outlineLevel="0" collapsed="false">
      <c r="A330" s="0" t="n">
        <v>30</v>
      </c>
      <c r="B330" s="31" t="n">
        <v>42614</v>
      </c>
      <c r="C330" s="56" t="n">
        <v>37794</v>
      </c>
      <c r="D330" s="57" t="s">
        <v>42</v>
      </c>
      <c r="E330" s="33" t="n">
        <f aca="false">IF(D330="totale",(C330/(A330*24))/F330,IF(D330="marché libre",(C330/(A330*24))/G330,"spécifier histo"))</f>
        <v>0.0262458333333333</v>
      </c>
      <c r="F330" s="9" t="n">
        <f aca="false">G330+H330</f>
        <v>2960</v>
      </c>
      <c r="G330" s="9" t="n">
        <v>2000</v>
      </c>
      <c r="H330" s="9" t="n">
        <v>960</v>
      </c>
      <c r="I330" s="58"/>
      <c r="J330" s="55"/>
      <c r="K330" s="55"/>
      <c r="L330" s="0"/>
      <c r="M330" s="0"/>
      <c r="N330" s="0"/>
      <c r="O330" s="0"/>
      <c r="P330" s="0"/>
      <c r="Q330" s="0"/>
      <c r="R330" s="0"/>
      <c r="S330" s="0"/>
      <c r="T330" s="0"/>
    </row>
    <row r="331" customFormat="false" ht="19.85" hidden="false" customHeight="true" outlineLevel="0" collapsed="false">
      <c r="A331" s="0" t="n">
        <v>31</v>
      </c>
      <c r="B331" s="34" t="n">
        <v>42644</v>
      </c>
      <c r="C331" s="1" t="n">
        <v>303388</v>
      </c>
      <c r="D331" s="57" t="s">
        <v>42</v>
      </c>
      <c r="E331" s="33" t="n">
        <f aca="false">IF(D331="totale",(C319/(A331*24))/F331,IF(D331="marché libre",(C319/(A331*24))/G331,"spécifier histo"))</f>
        <v>0.515969086021505</v>
      </c>
      <c r="F331" s="9" t="n">
        <f aca="false">G331+H331</f>
        <v>2960</v>
      </c>
      <c r="G331" s="9" t="n">
        <v>2000</v>
      </c>
      <c r="H331" s="9" t="n">
        <v>960</v>
      </c>
      <c r="I331" s="58"/>
      <c r="J331" s="55"/>
      <c r="K331" s="55"/>
      <c r="L331" s="0"/>
      <c r="M331" s="0"/>
      <c r="N331" s="0"/>
      <c r="O331" s="0"/>
      <c r="P331" s="0"/>
      <c r="Q331" s="0"/>
      <c r="R331" s="0"/>
      <c r="S331" s="0"/>
      <c r="T331" s="0"/>
    </row>
    <row r="332" customFormat="false" ht="19.85" hidden="false" customHeight="true" outlineLevel="0" collapsed="false">
      <c r="A332" s="0" t="n">
        <v>30</v>
      </c>
      <c r="B332" s="31" t="n">
        <v>42675</v>
      </c>
      <c r="C332" s="1" t="n">
        <v>827201</v>
      </c>
      <c r="D332" s="57" t="s">
        <v>42</v>
      </c>
      <c r="E332" s="33" t="n">
        <f aca="false">IF(D332="totale",(C320/(A332*24))/F332,IF(D332="marché libre",(C320/(A332*24))/G332,"spécifier histo"))</f>
        <v>0.452527083333333</v>
      </c>
      <c r="F332" s="9" t="n">
        <f aca="false">G332+H332</f>
        <v>2960</v>
      </c>
      <c r="G332" s="9" t="n">
        <v>2000</v>
      </c>
      <c r="H332" s="9" t="n">
        <v>960</v>
      </c>
      <c r="I332" s="58"/>
      <c r="J332" s="55"/>
      <c r="K332" s="55"/>
      <c r="L332" s="0"/>
      <c r="M332" s="0"/>
      <c r="N332" s="0"/>
      <c r="O332" s="0"/>
      <c r="P332" s="0"/>
      <c r="Q332" s="0"/>
      <c r="R332" s="0"/>
      <c r="S332" s="0"/>
      <c r="T332" s="0"/>
    </row>
    <row r="333" customFormat="false" ht="19.85" hidden="false" customHeight="true" outlineLevel="0" collapsed="false">
      <c r="A333" s="0" t="n">
        <v>31</v>
      </c>
      <c r="B333" s="34" t="n">
        <v>42705</v>
      </c>
      <c r="C333" s="1" t="n">
        <v>201058</v>
      </c>
      <c r="D333" s="57" t="s">
        <v>42</v>
      </c>
      <c r="E333" s="33" t="n">
        <f aca="false">IF(D333="totale",(C321/(A333*24))/F333,IF(D333="marché libre",(C321/(A333*24))/G333,"spécifier histo"))</f>
        <v>0.0402728494623656</v>
      </c>
      <c r="F333" s="9" t="n">
        <f aca="false">G333+H333</f>
        <v>2960</v>
      </c>
      <c r="G333" s="9" t="n">
        <v>2000</v>
      </c>
      <c r="H333" s="9" t="n">
        <v>960</v>
      </c>
      <c r="I333" s="58"/>
      <c r="J333" s="55"/>
      <c r="K333" s="55"/>
      <c r="L333" s="0"/>
      <c r="O333" s="0"/>
      <c r="Q333" s="0"/>
    </row>
    <row r="334" customFormat="false" ht="19.85" hidden="false" customHeight="true" outlineLevel="0" collapsed="false">
      <c r="A334" s="0" t="n">
        <v>31</v>
      </c>
      <c r="B334" s="31" t="n">
        <v>42736</v>
      </c>
      <c r="C334" s="9" t="n">
        <v>54</v>
      </c>
      <c r="D334" s="57" t="s">
        <v>42</v>
      </c>
      <c r="E334" s="33" t="n">
        <f aca="false">IF(D334="totale",(C334/(A334*24))/F334,IF(D334="marché libre",(C334/(A334*24))/G334,"spécifier histo"))</f>
        <v>3.62903225806452E-005</v>
      </c>
      <c r="F334" s="9" t="n">
        <f aca="false">G334+H334</f>
        <v>2960</v>
      </c>
      <c r="G334" s="9" t="n">
        <v>2000</v>
      </c>
      <c r="H334" s="9" t="n">
        <v>960</v>
      </c>
      <c r="I334" s="58"/>
      <c r="J334" s="30"/>
      <c r="L334" s="0"/>
      <c r="O334" s="0"/>
      <c r="Q334" s="0"/>
    </row>
    <row r="335" customFormat="false" ht="19.85" hidden="false" customHeight="true" outlineLevel="0" collapsed="false">
      <c r="A335" s="0" t="n">
        <v>28</v>
      </c>
      <c r="B335" s="34" t="n">
        <v>42767</v>
      </c>
      <c r="C335" s="1" t="n">
        <v>528158</v>
      </c>
      <c r="D335" s="57" t="s">
        <v>42</v>
      </c>
      <c r="E335" s="33" t="n">
        <f aca="false">IF(D335="totale",(C335/(A335*24))/F335,IF(D335="marché libre",(C335/(A335*24))/G335,"spécifier histo"))</f>
        <v>0.392974702380952</v>
      </c>
      <c r="F335" s="9" t="n">
        <f aca="false">G335+H335</f>
        <v>2960</v>
      </c>
      <c r="G335" s="9" t="n">
        <v>2000</v>
      </c>
      <c r="H335" s="9" t="n">
        <v>960</v>
      </c>
      <c r="I335" s="58"/>
      <c r="J335" s="55"/>
      <c r="L335" s="0"/>
      <c r="O335" s="0"/>
      <c r="Q335" s="0"/>
    </row>
    <row r="336" customFormat="false" ht="19.85" hidden="false" customHeight="true" outlineLevel="0" collapsed="false">
      <c r="A336" s="0" t="n">
        <v>31</v>
      </c>
      <c r="B336" s="31" t="n">
        <v>42795</v>
      </c>
      <c r="C336" s="1" t="n">
        <v>1141113</v>
      </c>
      <c r="D336" s="57" t="s">
        <v>42</v>
      </c>
      <c r="E336" s="33" t="n">
        <f aca="false">IF(D336="totale",(C336/(A336*24))/F336,IF(D336="marché libre",(C336/(A336*24))/G336,"spécifier histo"))</f>
        <v>0.766877016129032</v>
      </c>
      <c r="F336" s="9" t="n">
        <f aca="false">G336+H336</f>
        <v>2960</v>
      </c>
      <c r="G336" s="9" t="n">
        <v>2000</v>
      </c>
      <c r="H336" s="9" t="n">
        <v>960</v>
      </c>
      <c r="I336" s="58"/>
      <c r="J336" s="55"/>
      <c r="L336" s="0"/>
      <c r="O336" s="0"/>
      <c r="Q336" s="0"/>
    </row>
    <row r="337" customFormat="false" ht="19.85" hidden="false" customHeight="true" outlineLevel="0" collapsed="false">
      <c r="A337" s="0" t="n">
        <v>30</v>
      </c>
      <c r="B337" s="34" t="n">
        <v>42826</v>
      </c>
      <c r="C337" s="1" t="n">
        <v>1418807</v>
      </c>
      <c r="D337" s="57" t="s">
        <v>42</v>
      </c>
      <c r="E337" s="33" t="n">
        <f aca="false">IF(D337="totale",(C337/(A337*24))/F337,IF(D337="marché libre",(C337/(A337*24))/G337,"spécifier histo"))</f>
        <v>0.985282638888889</v>
      </c>
      <c r="F337" s="9" t="n">
        <f aca="false">G337+H337</f>
        <v>2960</v>
      </c>
      <c r="G337" s="9" t="n">
        <v>2000</v>
      </c>
      <c r="H337" s="9" t="n">
        <v>960</v>
      </c>
      <c r="I337" s="58"/>
      <c r="J337" s="55"/>
      <c r="L337" s="0"/>
      <c r="O337" s="0"/>
      <c r="Q337" s="0"/>
    </row>
    <row r="338" customFormat="false" ht="19.85" hidden="false" customHeight="true" outlineLevel="0" collapsed="false">
      <c r="A338" s="0" t="n">
        <v>31</v>
      </c>
      <c r="B338" s="31" t="n">
        <v>42856</v>
      </c>
      <c r="C338" s="1" t="n">
        <v>1468835</v>
      </c>
      <c r="D338" s="57" t="s">
        <v>42</v>
      </c>
      <c r="E338" s="33" t="n">
        <f aca="false">IF(D338="totale",(C338/(A338*24))/F338,IF(D338="marché libre",(C338/(A338*24))/G338,"spécifier histo"))</f>
        <v>0.987120295698925</v>
      </c>
      <c r="F338" s="9" t="n">
        <f aca="false">G338+H338</f>
        <v>2960</v>
      </c>
      <c r="G338" s="9" t="n">
        <v>2000</v>
      </c>
      <c r="H338" s="9" t="n">
        <v>960</v>
      </c>
      <c r="I338" s="58"/>
      <c r="J338" s="55"/>
      <c r="L338" s="0"/>
      <c r="O338" s="0"/>
      <c r="Q338" s="0"/>
    </row>
    <row r="339" customFormat="false" ht="22.45" hidden="false" customHeight="true" outlineLevel="0" collapsed="false">
      <c r="A339" s="0" t="n">
        <v>30</v>
      </c>
      <c r="B339" s="34" t="n">
        <v>42887</v>
      </c>
      <c r="C339" s="1" t="n">
        <v>1221570</v>
      </c>
      <c r="D339" s="57" t="s">
        <v>42</v>
      </c>
      <c r="E339" s="33" t="n">
        <f aca="false">IF(D339="totale",(C339/(A339*24))/F339,IF(D339="marché libre",(C339/(A339*24))/G339,"spécifier histo"))</f>
        <v>0.8483125</v>
      </c>
      <c r="F339" s="9" t="n">
        <f aca="false">G339+H339</f>
        <v>2960</v>
      </c>
      <c r="G339" s="9" t="n">
        <v>2000</v>
      </c>
      <c r="H339" s="9" t="n">
        <v>960</v>
      </c>
      <c r="I339" s="58"/>
      <c r="J339" s="55"/>
      <c r="L339" s="0"/>
      <c r="O339" s="0"/>
      <c r="Q339" s="0"/>
    </row>
    <row r="340" customFormat="false" ht="21.65" hidden="false" customHeight="true" outlineLevel="0" collapsed="false">
      <c r="A340" s="0" t="n">
        <v>31</v>
      </c>
      <c r="B340" s="31" t="n">
        <v>42917</v>
      </c>
      <c r="C340" s="1" t="n">
        <v>757988</v>
      </c>
      <c r="D340" s="57" t="s">
        <v>42</v>
      </c>
      <c r="E340" s="33" t="n">
        <f aca="false">IF(D340="totale",(C340/(A340*24))/F340,IF(D340="marché libre",(C340/(A340*24))/G340,"spécifier histo"))</f>
        <v>0.509400537634409</v>
      </c>
      <c r="F340" s="9" t="n">
        <f aca="false">G340+H340</f>
        <v>2960</v>
      </c>
      <c r="G340" s="9" t="n">
        <v>2000</v>
      </c>
      <c r="H340" s="9" t="n">
        <v>960</v>
      </c>
      <c r="I340" s="58"/>
      <c r="J340" s="55"/>
      <c r="L340" s="0"/>
      <c r="O340" s="0"/>
      <c r="Q340" s="0"/>
    </row>
    <row r="341" customFormat="false" ht="21.65" hidden="false" customHeight="true" outlineLevel="0" collapsed="false">
      <c r="A341" s="0" t="n">
        <v>31</v>
      </c>
      <c r="B341" s="34" t="n">
        <v>42948</v>
      </c>
      <c r="C341" s="1" t="n">
        <v>185901</v>
      </c>
      <c r="D341" s="57" t="s">
        <v>42</v>
      </c>
      <c r="E341" s="33" t="n">
        <f aca="false">IF(D341="totale",(C341/(A341*24))/F341,IF(D341="marché libre",(C341/(A341*24))/G341,"spécifier histo"))</f>
        <v>0.124933467741935</v>
      </c>
      <c r="F341" s="9" t="n">
        <f aca="false">G341+H341</f>
        <v>2960</v>
      </c>
      <c r="G341" s="9" t="n">
        <v>2000</v>
      </c>
      <c r="H341" s="9" t="n">
        <v>960</v>
      </c>
      <c r="I341" s="58"/>
      <c r="J341" s="55"/>
      <c r="L341" s="0"/>
      <c r="O341" s="0"/>
      <c r="Q341" s="0"/>
    </row>
    <row r="342" customFormat="false" ht="21.65" hidden="false" customHeight="true" outlineLevel="0" collapsed="false">
      <c r="A342" s="0" t="n">
        <v>30</v>
      </c>
      <c r="B342" s="31" t="n">
        <v>42979</v>
      </c>
      <c r="C342" s="1" t="n">
        <v>3137</v>
      </c>
      <c r="D342" s="57" t="s">
        <v>42</v>
      </c>
      <c r="E342" s="33" t="n">
        <f aca="false">IF(D342="totale",(C342/(A342*24))/F342,IF(D342="marché libre",(C342/(A342*24))/G342,"spécifier histo"))</f>
        <v>0.00217847222222222</v>
      </c>
      <c r="F342" s="9" t="n">
        <f aca="false">G342+H342</f>
        <v>2960</v>
      </c>
      <c r="G342" s="9" t="n">
        <v>2000</v>
      </c>
      <c r="H342" s="9" t="n">
        <v>960</v>
      </c>
      <c r="J342" s="55"/>
      <c r="L342" s="0"/>
      <c r="O342" s="0"/>
      <c r="Q342" s="0"/>
    </row>
    <row r="343" customFormat="false" ht="21.65" hidden="false" customHeight="true" outlineLevel="0" collapsed="false">
      <c r="A343" s="0" t="n">
        <v>31</v>
      </c>
      <c r="B343" s="34" t="n">
        <v>43009</v>
      </c>
      <c r="C343" s="26" t="n">
        <v>126578</v>
      </c>
      <c r="D343" s="57" t="s">
        <v>42</v>
      </c>
      <c r="E343" s="33" t="n">
        <f aca="false">IF(D343="totale",(C331/(A343*24))/F343,IF(D343="marché libre",(C331/(A343*24))/G343,"spécifier histo"))</f>
        <v>0.203889784946237</v>
      </c>
      <c r="F343" s="9" t="n">
        <f aca="false">G343+H343</f>
        <v>2960</v>
      </c>
      <c r="G343" s="9" t="n">
        <v>2000</v>
      </c>
      <c r="H343" s="9" t="n">
        <v>960</v>
      </c>
      <c r="J343" s="55"/>
      <c r="L343" s="0"/>
      <c r="O343" s="0"/>
      <c r="Q343" s="0"/>
    </row>
    <row r="344" customFormat="false" ht="21.65" hidden="false" customHeight="true" outlineLevel="0" collapsed="false">
      <c r="A344" s="0" t="n">
        <v>30</v>
      </c>
      <c r="B344" s="31" t="n">
        <v>43040</v>
      </c>
      <c r="C344" s="26" t="n">
        <v>372</v>
      </c>
      <c r="D344" s="57" t="s">
        <v>42</v>
      </c>
      <c r="E344" s="33" t="n">
        <f aca="false">IF(D344="totale",(C332/(A344*24))/F344,IF(D344="marché libre",(C332/(A344*24))/G344,"spécifier histo"))</f>
        <v>0.574445138888889</v>
      </c>
      <c r="F344" s="9" t="n">
        <f aca="false">G344+H344</f>
        <v>2960</v>
      </c>
      <c r="G344" s="9" t="n">
        <v>2000</v>
      </c>
      <c r="H344" s="9" t="n">
        <v>960</v>
      </c>
      <c r="J344" s="55"/>
      <c r="L344" s="0"/>
      <c r="O344" s="0"/>
      <c r="Q344" s="0"/>
    </row>
    <row r="345" customFormat="false" ht="21.65" hidden="false" customHeight="true" outlineLevel="0" collapsed="false">
      <c r="A345" s="0" t="n">
        <v>31</v>
      </c>
      <c r="B345" s="34" t="n">
        <v>43070</v>
      </c>
      <c r="C345" s="26" t="n">
        <v>41757</v>
      </c>
      <c r="D345" s="57" t="s">
        <v>42</v>
      </c>
      <c r="E345" s="33" t="n">
        <f aca="false">IF(D345="totale",(C333/(A345*24))/F345,IF(D345="marché libre",(C333/(A345*24))/G345,"spécifier histo"))</f>
        <v>0.135119623655914</v>
      </c>
      <c r="F345" s="9" t="n">
        <f aca="false">G345+H345</f>
        <v>2960</v>
      </c>
      <c r="G345" s="9" t="n">
        <v>2000</v>
      </c>
      <c r="H345" s="9" t="n">
        <v>960</v>
      </c>
      <c r="J345" s="55"/>
      <c r="L345" s="0"/>
      <c r="Q345" s="0"/>
    </row>
    <row r="346" customFormat="false" ht="28.35" hidden="false" customHeight="true" outlineLevel="0" collapsed="false">
      <c r="A346" s="0" t="n">
        <v>31</v>
      </c>
      <c r="B346" s="31" t="n">
        <v>43101</v>
      </c>
      <c r="C346" s="26" t="n">
        <v>378022</v>
      </c>
      <c r="D346" s="57" t="s">
        <v>42</v>
      </c>
      <c r="E346" s="33" t="n">
        <f aca="false">IF(D346="totale",(C346/(A346*24))/F346,IF(D346="marché libre",(C346/(A346*24))/G346,"spécifier histo"))</f>
        <v>0.254047043010753</v>
      </c>
      <c r="F346" s="9" t="n">
        <f aca="false">G346+H346</f>
        <v>2960</v>
      </c>
      <c r="G346" s="9" t="n">
        <v>2000</v>
      </c>
      <c r="H346" s="9" t="n">
        <v>960</v>
      </c>
      <c r="J346" s="30"/>
      <c r="L346" s="0"/>
      <c r="Q346" s="0"/>
    </row>
    <row r="347" customFormat="false" ht="28.35" hidden="false" customHeight="true" outlineLevel="0" collapsed="false">
      <c r="A347" s="0" t="n">
        <v>28</v>
      </c>
      <c r="B347" s="34" t="n">
        <v>43132</v>
      </c>
      <c r="C347" s="26" t="n">
        <v>159000</v>
      </c>
      <c r="D347" s="57" t="s">
        <v>42</v>
      </c>
      <c r="E347" s="33" t="n">
        <f aca="false">IF(D347="totale",(C347/(A347*24))/F347,IF(D347="marché libre",(C347/(A347*24))/G347,"spécifier histo"))</f>
        <v>0.118303571428571</v>
      </c>
      <c r="F347" s="9" t="n">
        <f aca="false">G347+H347</f>
        <v>2960</v>
      </c>
      <c r="G347" s="9" t="n">
        <v>2000</v>
      </c>
      <c r="H347" s="9" t="n">
        <v>960</v>
      </c>
      <c r="L347" s="0"/>
      <c r="Q347" s="0"/>
    </row>
    <row r="348" customFormat="false" ht="28.35" hidden="false" customHeight="true" outlineLevel="0" collapsed="false">
      <c r="A348" s="0" t="n">
        <v>31</v>
      </c>
      <c r="B348" s="31" t="n">
        <v>43160</v>
      </c>
      <c r="C348" s="26" t="n">
        <v>737453</v>
      </c>
      <c r="D348" s="57" t="s">
        <v>42</v>
      </c>
      <c r="E348" s="33" t="n">
        <f aca="false">IF(D348="totale",(C348/(A348*24))/F348,IF(D348="marché libre",(C348/(A348*24))/G348,"spécifier histo"))</f>
        <v>0.495600134408602</v>
      </c>
      <c r="F348" s="9" t="n">
        <f aca="false">G348+H348</f>
        <v>2960</v>
      </c>
      <c r="G348" s="9" t="n">
        <v>2000</v>
      </c>
      <c r="H348" s="9" t="n">
        <v>960</v>
      </c>
      <c r="L348" s="0"/>
      <c r="Q348" s="0"/>
    </row>
    <row r="349" customFormat="false" ht="28.35" hidden="false" customHeight="true" outlineLevel="0" collapsed="false">
      <c r="A349" s="0" t="n">
        <v>30</v>
      </c>
      <c r="B349" s="34" t="n">
        <v>43191</v>
      </c>
      <c r="C349" s="26" t="n">
        <v>1303246</v>
      </c>
      <c r="D349" s="57" t="s">
        <v>42</v>
      </c>
      <c r="E349" s="33" t="n">
        <f aca="false">IF(D349="totale",(C349/(A349*24))/F349,IF(D349="marché libre",(C349/(A349*24))/G349,"spécifier histo"))</f>
        <v>0.905031944444444</v>
      </c>
      <c r="F349" s="9" t="n">
        <f aca="false">G349+H349</f>
        <v>2960</v>
      </c>
      <c r="G349" s="9" t="n">
        <v>2000</v>
      </c>
      <c r="H349" s="9" t="n">
        <v>960</v>
      </c>
      <c r="L349" s="0"/>
      <c r="Q349" s="0"/>
    </row>
    <row r="350" customFormat="false" ht="28.35" hidden="false" customHeight="true" outlineLevel="0" collapsed="false">
      <c r="A350" s="0" t="n">
        <v>31</v>
      </c>
      <c r="B350" s="31" t="n">
        <v>43221</v>
      </c>
      <c r="C350" s="26" t="n">
        <v>1590000</v>
      </c>
      <c r="D350" s="57" t="s">
        <v>42</v>
      </c>
      <c r="E350" s="33" t="n">
        <f aca="false">IF(D350="totale",(C350/(A350*24))/F350,IF(D350="marché libre",(C350/(A350*24))/G350,"spécifier histo"))</f>
        <v>1.06854838709677</v>
      </c>
      <c r="F350" s="9" t="n">
        <f aca="false">G350+H350</f>
        <v>2960</v>
      </c>
      <c r="G350" s="9" t="n">
        <v>2000</v>
      </c>
      <c r="H350" s="9" t="n">
        <v>960</v>
      </c>
      <c r="L350" s="0"/>
      <c r="Q350" s="0"/>
    </row>
    <row r="351" customFormat="false" ht="28.35" hidden="false" customHeight="true" outlineLevel="0" collapsed="false">
      <c r="A351" s="0" t="n">
        <v>30</v>
      </c>
      <c r="B351" s="34" t="n">
        <v>43252</v>
      </c>
      <c r="C351" s="26" t="n">
        <v>1580593</v>
      </c>
      <c r="D351" s="57" t="s">
        <v>42</v>
      </c>
      <c r="E351" s="33" t="n">
        <f aca="false">IF(D351="totale",(C351/(A351*24))/F351,IF(D351="marché libre",(C351/(A351*24))/G351,"spécifier histo"))</f>
        <v>1.09763402777778</v>
      </c>
      <c r="F351" s="9" t="n">
        <f aca="false">G351+H351</f>
        <v>2960</v>
      </c>
      <c r="G351" s="9" t="n">
        <v>2000</v>
      </c>
      <c r="H351" s="9" t="n">
        <v>960</v>
      </c>
      <c r="L351" s="0"/>
      <c r="Q351" s="0"/>
    </row>
    <row r="352" customFormat="false" ht="28.35" hidden="false" customHeight="true" outlineLevel="0" collapsed="false">
      <c r="A352" s="0" t="n">
        <v>31</v>
      </c>
      <c r="B352" s="31" t="n">
        <v>43282</v>
      </c>
      <c r="C352" s="26" t="n">
        <v>1459192</v>
      </c>
      <c r="D352" s="57" t="s">
        <v>42</v>
      </c>
      <c r="E352" s="33" t="n">
        <f aca="false">IF(D352="totale",(C352/(A352*24))/F352,IF(D352="marché libre",(C352/(A352*24))/G352,"spécifier histo"))</f>
        <v>0.980639784946236</v>
      </c>
      <c r="F352" s="9" t="n">
        <f aca="false">G352+H352</f>
        <v>2960</v>
      </c>
      <c r="G352" s="9" t="n">
        <v>2000</v>
      </c>
      <c r="H352" s="9" t="n">
        <v>960</v>
      </c>
      <c r="L352" s="0"/>
      <c r="Q352" s="0"/>
    </row>
    <row r="353" customFormat="false" ht="28.35" hidden="false" customHeight="true" outlineLevel="0" collapsed="false">
      <c r="A353" s="0" t="n">
        <v>31</v>
      </c>
      <c r="B353" s="34" t="n">
        <v>43313</v>
      </c>
      <c r="C353" s="26" t="n">
        <v>500000</v>
      </c>
      <c r="D353" s="57" t="s">
        <v>42</v>
      </c>
      <c r="E353" s="33" t="n">
        <f aca="false">IF(D353="totale",(C353/(A353*24))/F353,IF(D353="marché libre",(C353/(A353*24))/G353,"spécifier histo"))</f>
        <v>0.336021505376344</v>
      </c>
      <c r="F353" s="9" t="n">
        <f aca="false">G353+H353</f>
        <v>2960</v>
      </c>
      <c r="G353" s="9" t="n">
        <v>2000</v>
      </c>
      <c r="H353" s="9" t="n">
        <v>960</v>
      </c>
      <c r="L353" s="0"/>
      <c r="Q353" s="0"/>
    </row>
    <row r="354" customFormat="false" ht="12.8" hidden="false" customHeight="false" outlineLevel="0" collapsed="false">
      <c r="A354" s="0"/>
    </row>
    <row r="355" customFormat="false" ht="12.8" hidden="false" customHeight="false" outlineLevel="0" collapsed="false">
      <c r="A355" s="0"/>
    </row>
    <row r="356" customFormat="false" ht="12.8" hidden="false" customHeight="false" outlineLevel="0" collapsed="false">
      <c r="A356" s="0"/>
    </row>
    <row r="357" customFormat="false" ht="12.8" hidden="false" customHeight="false" outlineLevel="0" collapsed="false">
      <c r="A357" s="0"/>
    </row>
    <row r="358" customFormat="false" ht="12.8" hidden="false" customHeight="false" outlineLevel="0" collapsed="false">
      <c r="A358" s="0"/>
    </row>
    <row r="359" customFormat="false" ht="12.8" hidden="false" customHeight="false" outlineLevel="0" collapsed="false">
      <c r="A359" s="0"/>
    </row>
    <row r="360" customFormat="false" ht="12.8" hidden="false" customHeight="false" outlineLevel="0" collapsed="false">
      <c r="A360" s="0"/>
    </row>
    <row r="361" customFormat="false" ht="12.8" hidden="false" customHeight="false" outlineLevel="0" collapsed="false">
      <c r="A361" s="0"/>
    </row>
    <row r="362" customFormat="false" ht="12.8" hidden="false" customHeight="false" outlineLevel="0" collapsed="false">
      <c r="A362" s="0"/>
    </row>
    <row r="363" customFormat="false" ht="12.8" hidden="false" customHeight="false" outlineLevel="0" collapsed="false">
      <c r="A363" s="0"/>
    </row>
  </sheetData>
  <mergeCells count="14">
    <mergeCell ref="B1:E2"/>
    <mergeCell ref="F1:N1"/>
    <mergeCell ref="F2:I2"/>
    <mergeCell ref="J2:K2"/>
    <mergeCell ref="L2:M2"/>
    <mergeCell ref="N2:N3"/>
    <mergeCell ref="U2:U3"/>
    <mergeCell ref="T4:V4"/>
    <mergeCell ref="C6:D6"/>
    <mergeCell ref="F6:F7"/>
    <mergeCell ref="G6:N7"/>
    <mergeCell ref="C7:D7"/>
    <mergeCell ref="M307:N307"/>
    <mergeCell ref="P307:Q307"/>
  </mergeCells>
  <conditionalFormatting sqref="E10:E35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6.xml><?xml version="1.0" encoding="utf-8"?>
<worksheet xmlns="http://schemas.openxmlformats.org/spreadsheetml/2006/main" xmlns:r="http://schemas.openxmlformats.org/officeDocument/2006/relationships">
  <sheetPr filterMode="false">
    <tabColor rgb="FF00CC33"/>
    <pageSetUpPr fitToPage="false"/>
  </sheetPr>
  <dimension ref="A1:V19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G10" activeCellId="0" sqref="G10"/>
    </sheetView>
  </sheetViews>
  <sheetFormatPr defaultRowHeight="12.8" zeroHeight="false" outlineLevelRow="0" outlineLevelCol="0"/>
  <cols>
    <col collapsed="false" customWidth="true" hidden="false" outlineLevel="0" max="1" min="1" style="1" width="4.32"/>
    <col collapsed="false" customWidth="true" hidden="false" outlineLevel="0" max="2" min="2" style="1" width="17.13"/>
    <col collapsed="false" customWidth="true" hidden="false" outlineLevel="0" max="3" min="3" style="1" width="14.81"/>
    <col collapsed="false" customWidth="true" hidden="false" outlineLevel="0" max="4" min="4" style="1" width="18.06"/>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18.2"/>
    <col collapsed="false" customWidth="true" hidden="false" outlineLevel="0" max="10" min="10" style="1" width="24.68"/>
    <col collapsed="false" customWidth="true" hidden="false" outlineLevel="0" max="11" min="11" style="1" width="16.98"/>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17"/>
    <col collapsed="false" customWidth="false" hidden="false" outlineLevel="0" max="16" min="16" style="1" width="11.52"/>
    <col collapsed="false" customWidth="true" hidden="false" outlineLevel="0" max="17" min="17" style="1" width="15.28"/>
    <col collapsed="false" customWidth="true" hidden="false" outlineLevel="0" max="18" min="18" style="1" width="4.47"/>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t="s">
        <v>653</v>
      </c>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5.8" hidden="false" customHeight="true" outlineLevel="0" collapsed="false">
      <c r="A4" s="0"/>
      <c r="B4" s="16" t="s">
        <v>654</v>
      </c>
      <c r="C4" s="16" t="n">
        <v>62084</v>
      </c>
      <c r="D4" s="5" t="s">
        <v>655</v>
      </c>
      <c r="E4" s="14" t="s">
        <v>45</v>
      </c>
      <c r="F4" s="15" t="n">
        <v>2247</v>
      </c>
      <c r="G4" s="15" t="n">
        <v>2247</v>
      </c>
      <c r="H4" s="15" t="n">
        <v>1847</v>
      </c>
      <c r="I4" s="16" t="s">
        <v>656</v>
      </c>
      <c r="J4" s="15" t="n">
        <v>1847</v>
      </c>
      <c r="K4" s="16" t="s">
        <v>657</v>
      </c>
      <c r="L4" s="16" t="s">
        <v>19</v>
      </c>
      <c r="M4" s="16" t="n">
        <v>1847</v>
      </c>
      <c r="N4" s="17"/>
      <c r="P4" s="17"/>
      <c r="Q4" s="16" t="s">
        <v>23</v>
      </c>
      <c r="S4" s="18"/>
      <c r="T4" s="19" t="s">
        <v>24</v>
      </c>
      <c r="U4" s="19"/>
      <c r="V4" s="19"/>
    </row>
    <row r="5" customFormat="false" ht="28.35" hidden="false" customHeight="true" outlineLevel="0" collapsed="false">
      <c r="A5" s="0"/>
      <c r="F5" s="9"/>
      <c r="G5" s="9"/>
      <c r="H5" s="9"/>
      <c r="J5" s="9"/>
      <c r="P5" s="9"/>
      <c r="Q5" s="9"/>
    </row>
    <row r="6" customFormat="false" ht="36.65" hidden="false" customHeight="true" outlineLevel="0" collapsed="false">
      <c r="A6" s="0"/>
      <c r="B6" s="0"/>
      <c r="C6" s="10" t="s">
        <v>25</v>
      </c>
      <c r="D6" s="10"/>
      <c r="F6" s="20" t="s">
        <v>26</v>
      </c>
      <c r="G6" s="19" t="s">
        <v>658</v>
      </c>
      <c r="H6" s="19"/>
      <c r="I6" s="19"/>
      <c r="J6" s="19"/>
      <c r="K6" s="19"/>
      <c r="L6" s="19"/>
      <c r="M6" s="19"/>
      <c r="N6" s="19"/>
      <c r="P6" s="21" t="n">
        <v>42370</v>
      </c>
      <c r="Q6" s="19" t="s">
        <v>27</v>
      </c>
      <c r="R6" s="9"/>
      <c r="S6" s="22"/>
      <c r="T6" s="5" t="s">
        <v>28</v>
      </c>
    </row>
    <row r="7" customFormat="false" ht="77.25" hidden="false" customHeight="true" outlineLevel="0" collapsed="false">
      <c r="A7" s="0"/>
      <c r="B7" s="0"/>
      <c r="C7" s="23" t="s">
        <v>659</v>
      </c>
      <c r="D7" s="23"/>
      <c r="F7" s="20"/>
      <c r="G7" s="20"/>
      <c r="H7" s="19"/>
      <c r="I7" s="19"/>
      <c r="J7" s="19"/>
      <c r="K7" s="19"/>
      <c r="L7" s="19"/>
      <c r="M7" s="19"/>
      <c r="N7" s="19"/>
      <c r="P7" s="24"/>
      <c r="Q7" s="5" t="s">
        <v>29</v>
      </c>
      <c r="R7" s="9"/>
      <c r="S7" s="25"/>
      <c r="T7" s="5" t="s">
        <v>30</v>
      </c>
    </row>
    <row r="8" customFormat="false" ht="41.65" hidden="false" customHeight="true" outlineLevel="0" collapsed="false">
      <c r="A8" s="26"/>
      <c r="F8" s="9"/>
      <c r="G8" s="9"/>
      <c r="H8" s="9"/>
      <c r="J8" s="9"/>
      <c r="R8" s="9"/>
      <c r="S8" s="27"/>
      <c r="T8" s="16" t="s">
        <v>31</v>
      </c>
    </row>
    <row r="9" customFormat="false" ht="38.3" hidden="false" customHeight="true" outlineLevel="0" collapsed="false">
      <c r="B9" s="9" t="s">
        <v>32</v>
      </c>
      <c r="C9" s="9" t="s">
        <v>51</v>
      </c>
      <c r="D9" s="29" t="s">
        <v>52</v>
      </c>
      <c r="E9" s="1" t="s">
        <v>35</v>
      </c>
      <c r="F9" s="9" t="s">
        <v>36</v>
      </c>
      <c r="G9" s="9" t="s">
        <v>37</v>
      </c>
      <c r="H9" s="9" t="s">
        <v>38</v>
      </c>
      <c r="I9" s="9" t="s">
        <v>39</v>
      </c>
      <c r="J9" s="30" t="s">
        <v>40</v>
      </c>
    </row>
    <row r="10" customFormat="false" ht="19.85" hidden="false" customHeight="true" outlineLevel="0" collapsed="false">
      <c r="A10" s="1" t="n">
        <v>31</v>
      </c>
      <c r="B10" s="414" t="s">
        <v>660</v>
      </c>
      <c r="C10" s="56" t="n">
        <v>746080</v>
      </c>
      <c r="D10" s="26" t="s">
        <v>41</v>
      </c>
      <c r="E10" s="33" t="n">
        <f aca="false">IF(D10="totale",(C10/(A10*24))/F10,IF(D10="marché libre",(C10/(A10*24))/G10,"spécifier histo"))</f>
        <v>0.453753709920693</v>
      </c>
      <c r="F10" s="59" t="n">
        <f aca="false">H10</f>
        <v>2210</v>
      </c>
      <c r="G10" s="59" t="n">
        <f aca="false">F10-H10</f>
        <v>0</v>
      </c>
      <c r="H10" s="59" t="n">
        <f aca="false">660+1050+500</f>
        <v>2210</v>
      </c>
      <c r="J10" s="415"/>
      <c r="K10" s="117"/>
      <c r="L10" s="117"/>
      <c r="M10" s="117"/>
      <c r="N10" s="117"/>
    </row>
    <row r="11" customFormat="false" ht="19.85" hidden="false" customHeight="true" outlineLevel="0" collapsed="false">
      <c r="A11" s="1" t="n">
        <v>28</v>
      </c>
      <c r="B11" s="416" t="s">
        <v>661</v>
      </c>
      <c r="C11" s="56" t="n">
        <v>418552</v>
      </c>
      <c r="D11" s="26" t="s">
        <v>41</v>
      </c>
      <c r="E11" s="33" t="n">
        <f aca="false">IF(D11="totale",(C11/(A11*24))/F11,IF(D11="marché libre",(C11/(A11*24))/G11,"spécifier histo"))</f>
        <v>0.281830424477483</v>
      </c>
      <c r="F11" s="59" t="n">
        <f aca="false">H11</f>
        <v>2210</v>
      </c>
      <c r="G11" s="59" t="n">
        <f aca="false">F11-H11</f>
        <v>0</v>
      </c>
      <c r="H11" s="59" t="n">
        <f aca="false">660+1050+500</f>
        <v>2210</v>
      </c>
      <c r="J11" s="178"/>
      <c r="K11" s="117"/>
      <c r="L11" s="117"/>
      <c r="M11" s="117"/>
      <c r="N11" s="117"/>
    </row>
    <row r="12" customFormat="false" ht="19.85" hidden="false" customHeight="true" outlineLevel="0" collapsed="false">
      <c r="A12" s="1" t="n">
        <v>31</v>
      </c>
      <c r="B12" s="417" t="s">
        <v>662</v>
      </c>
      <c r="C12" s="56" t="n">
        <v>464246</v>
      </c>
      <c r="D12" s="26" t="s">
        <v>41</v>
      </c>
      <c r="E12" s="33" t="n">
        <f aca="false">IF(D12="totale",(C12/(A12*24))/F12,IF(D12="marché libre",(C12/(A12*24))/G12,"spécifier histo"))</f>
        <v>0.282346859339269</v>
      </c>
      <c r="F12" s="59" t="n">
        <f aca="false">H12</f>
        <v>2210</v>
      </c>
      <c r="G12" s="59" t="n">
        <f aca="false">F12-H12</f>
        <v>0</v>
      </c>
      <c r="H12" s="59" t="n">
        <f aca="false">660+1050+500</f>
        <v>2210</v>
      </c>
      <c r="J12" s="178" t="s">
        <v>663</v>
      </c>
      <c r="K12" s="58" t="s">
        <v>161</v>
      </c>
      <c r="L12" s="58" t="s">
        <v>162</v>
      </c>
      <c r="M12" s="58" t="s">
        <v>160</v>
      </c>
      <c r="N12" s="117"/>
    </row>
    <row r="13" customFormat="false" ht="19.85" hidden="false" customHeight="true" outlineLevel="0" collapsed="false">
      <c r="A13" s="1" t="n">
        <v>30</v>
      </c>
      <c r="B13" s="418" t="s">
        <v>664</v>
      </c>
      <c r="C13" s="56" t="n">
        <v>1257383</v>
      </c>
      <c r="D13" s="26" t="s">
        <v>41</v>
      </c>
      <c r="E13" s="33" t="n">
        <f aca="false">IF(D13="totale",(C13/(A13*24))/F13,IF(D13="marché libre",(C13/(A13*24))/G13,"spécifier histo"))</f>
        <v>0.790210532931121</v>
      </c>
      <c r="F13" s="59" t="n">
        <f aca="false">H13</f>
        <v>2210</v>
      </c>
      <c r="G13" s="59" t="n">
        <f aca="false">F13-H13</f>
        <v>0</v>
      </c>
      <c r="H13" s="59" t="n">
        <f aca="false">660+1050+500</f>
        <v>2210</v>
      </c>
      <c r="J13" s="178"/>
      <c r="K13" s="58" t="n">
        <v>1060</v>
      </c>
      <c r="L13" s="58" t="n">
        <v>933</v>
      </c>
      <c r="M13" s="58" t="n">
        <v>0.88</v>
      </c>
      <c r="N13" s="117"/>
    </row>
    <row r="14" customFormat="false" ht="19.85" hidden="false" customHeight="true" outlineLevel="0" collapsed="false">
      <c r="A14" s="1" t="n">
        <v>31</v>
      </c>
      <c r="B14" s="419" t="s">
        <v>665</v>
      </c>
      <c r="C14" s="56" t="n">
        <v>1441616</v>
      </c>
      <c r="D14" s="26" t="s">
        <v>41</v>
      </c>
      <c r="E14" s="33" t="n">
        <f aca="false">IF(D14="totale",(C14/(A14*24))/F14,IF(D14="marché libre",(C14/(A14*24))/G14,"spécifier histo"))</f>
        <v>0.876767381890721</v>
      </c>
      <c r="F14" s="59" t="n">
        <f aca="false">H14</f>
        <v>2210</v>
      </c>
      <c r="G14" s="59" t="n">
        <f aca="false">F14-H14</f>
        <v>0</v>
      </c>
      <c r="H14" s="59" t="n">
        <f aca="false">660+1050+500</f>
        <v>2210</v>
      </c>
      <c r="J14" s="178"/>
      <c r="K14" s="58" t="n">
        <v>787</v>
      </c>
      <c r="L14" s="58" t="n">
        <v>653</v>
      </c>
      <c r="M14" s="58" t="n">
        <v>0.83</v>
      </c>
      <c r="N14" s="117"/>
    </row>
    <row r="15" customFormat="false" ht="19.85" hidden="false" customHeight="true" outlineLevel="0" collapsed="false">
      <c r="A15" s="1" t="n">
        <v>30</v>
      </c>
      <c r="B15" s="420" t="s">
        <v>666</v>
      </c>
      <c r="C15" s="56" t="n">
        <v>627939</v>
      </c>
      <c r="D15" s="26" t="s">
        <v>41</v>
      </c>
      <c r="E15" s="33" t="n">
        <f aca="false">IF(D15="totale",(C15/(A15*24))/F15,IF(D15="marché libre",(C15/(A15*24))/G15,"spécifier histo"))</f>
        <v>0.394632352941176</v>
      </c>
      <c r="F15" s="59" t="n">
        <f aca="false">H15</f>
        <v>2210</v>
      </c>
      <c r="G15" s="59" t="n">
        <f aca="false">F15-H15</f>
        <v>0</v>
      </c>
      <c r="H15" s="59" t="n">
        <f aca="false">660+1050+500</f>
        <v>2210</v>
      </c>
      <c r="J15" s="178"/>
      <c r="K15" s="58" t="n">
        <v>500</v>
      </c>
      <c r="L15" s="58" t="n">
        <v>400</v>
      </c>
      <c r="M15" s="58" t="n">
        <v>0.8</v>
      </c>
      <c r="N15" s="117"/>
    </row>
    <row r="16" customFormat="false" ht="19.85" hidden="false" customHeight="true" outlineLevel="0" collapsed="false">
      <c r="A16" s="1" t="n">
        <v>31</v>
      </c>
      <c r="B16" s="421" t="s">
        <v>667</v>
      </c>
      <c r="C16" s="56" t="n">
        <v>241967</v>
      </c>
      <c r="D16" s="26" t="s">
        <v>41</v>
      </c>
      <c r="E16" s="33" t="n">
        <f aca="false">IF(D16="totale",(C16/(A16*24))/F16,IF(D16="marché libre",(C16/(A16*24))/G16,"spécifier histo"))</f>
        <v>0.147160390210675</v>
      </c>
      <c r="F16" s="59" t="n">
        <f aca="false">H16</f>
        <v>2210</v>
      </c>
      <c r="G16" s="59" t="n">
        <f aca="false">F16-H16</f>
        <v>0</v>
      </c>
      <c r="H16" s="59" t="n">
        <f aca="false">660+1050+500</f>
        <v>2210</v>
      </c>
      <c r="J16" s="178"/>
      <c r="K16" s="58" t="s">
        <v>668</v>
      </c>
      <c r="L16" s="58" t="s">
        <v>669</v>
      </c>
      <c r="M16" s="117"/>
      <c r="N16" s="117"/>
    </row>
    <row r="17" customFormat="false" ht="19.85" hidden="false" customHeight="true" outlineLevel="0" collapsed="false">
      <c r="A17" s="1" t="n">
        <v>31</v>
      </c>
      <c r="B17" s="422" t="s">
        <v>670</v>
      </c>
      <c r="C17" s="56" t="n">
        <v>146763</v>
      </c>
      <c r="D17" s="26" t="s">
        <v>41</v>
      </c>
      <c r="E17" s="33" t="n">
        <f aca="false">IF(D17="totale",(C17/(A17*24))/F17,IF(D17="marché libre",(C17/(A17*24))/G17,"spécifier histo"))</f>
        <v>0.0892588673186396</v>
      </c>
      <c r="F17" s="59" t="n">
        <f aca="false">H17</f>
        <v>2210</v>
      </c>
      <c r="G17" s="59" t="n">
        <f aca="false">F17-H17</f>
        <v>0</v>
      </c>
      <c r="H17" s="59" t="n">
        <f aca="false">660+1050+500</f>
        <v>2210</v>
      </c>
      <c r="J17" s="178"/>
      <c r="K17" s="117"/>
      <c r="L17" s="117"/>
      <c r="M17" s="117"/>
      <c r="N17" s="117"/>
    </row>
    <row r="18" customFormat="false" ht="19.85" hidden="false" customHeight="true" outlineLevel="0" collapsed="false">
      <c r="A18" s="1" t="n">
        <v>30</v>
      </c>
      <c r="B18" s="423" t="s">
        <v>671</v>
      </c>
      <c r="C18" s="56" t="n">
        <v>160228</v>
      </c>
      <c r="D18" s="26" t="s">
        <v>41</v>
      </c>
      <c r="E18" s="33" t="n">
        <f aca="false">IF(D18="totale",(C18/(A18*24))/F18,IF(D18="marché libre",(C18/(A18*24))/G18,"spécifier histo"))</f>
        <v>0.100696329813977</v>
      </c>
      <c r="F18" s="59" t="n">
        <f aca="false">H18</f>
        <v>2210</v>
      </c>
      <c r="G18" s="59" t="n">
        <f aca="false">F18-H18</f>
        <v>0</v>
      </c>
      <c r="H18" s="59" t="n">
        <f aca="false">660+1050+500</f>
        <v>2210</v>
      </c>
      <c r="J18" s="178"/>
      <c r="K18" s="117"/>
      <c r="L18" s="117"/>
      <c r="M18" s="117"/>
      <c r="N18" s="117"/>
    </row>
    <row r="19" customFormat="false" ht="19.85" hidden="false" customHeight="true" outlineLevel="0" collapsed="false">
      <c r="A19" s="1" t="n">
        <v>31</v>
      </c>
      <c r="B19" s="424" t="s">
        <v>672</v>
      </c>
      <c r="C19" s="56" t="n">
        <v>162046</v>
      </c>
      <c r="D19" s="26" t="s">
        <v>41</v>
      </c>
      <c r="E19" s="33" t="n">
        <f aca="false">IF(D19="totale",(C19/(A19*24))/F19,IF(D19="marché libre",(C19/(A19*24))/G19,"spécifier histo"))</f>
        <v>0.0985537391135114</v>
      </c>
      <c r="F19" s="59" t="n">
        <f aca="false">H19</f>
        <v>2210</v>
      </c>
      <c r="G19" s="59" t="n">
        <f aca="false">F19-H19</f>
        <v>0</v>
      </c>
      <c r="H19" s="59" t="n">
        <f aca="false">660+1050+500</f>
        <v>2210</v>
      </c>
      <c r="J19" s="178"/>
      <c r="K19" s="117"/>
      <c r="L19" s="117"/>
      <c r="M19" s="117"/>
      <c r="N19" s="117"/>
    </row>
    <row r="20" customFormat="false" ht="19.85" hidden="false" customHeight="true" outlineLevel="0" collapsed="false">
      <c r="A20" s="1" t="n">
        <v>30</v>
      </c>
      <c r="B20" s="425" t="s">
        <v>673</v>
      </c>
      <c r="C20" s="56" t="n">
        <v>289137</v>
      </c>
      <c r="D20" s="26" t="s">
        <v>41</v>
      </c>
      <c r="E20" s="33" t="n">
        <f aca="false">IF(D20="totale",(C20/(A20*24))/F20,IF(D20="marché libre",(C20/(A20*24))/G20,"spécifier histo"))</f>
        <v>0.181710030165912</v>
      </c>
      <c r="F20" s="59" t="n">
        <f aca="false">H20</f>
        <v>2210</v>
      </c>
      <c r="G20" s="59" t="n">
        <f aca="false">F20-H20</f>
        <v>0</v>
      </c>
      <c r="H20" s="59" t="n">
        <f aca="false">660+1050+500</f>
        <v>2210</v>
      </c>
      <c r="J20" s="178"/>
      <c r="K20" s="117"/>
      <c r="L20" s="117"/>
      <c r="M20" s="117"/>
      <c r="N20" s="117"/>
    </row>
    <row r="21" customFormat="false" ht="19.85" hidden="false" customHeight="true" outlineLevel="0" collapsed="false">
      <c r="A21" s="1" t="n">
        <v>31</v>
      </c>
      <c r="B21" s="426" t="s">
        <v>674</v>
      </c>
      <c r="C21" s="56" t="n">
        <v>498834</v>
      </c>
      <c r="D21" s="26" t="s">
        <v>41</v>
      </c>
      <c r="E21" s="33" t="n">
        <f aca="false">IF(D21="totale",(C21/(A21*24))/F21,IF(D21="marché libre",(C21/(A21*24))/G21,"spécifier histo"))</f>
        <v>0.303382717851409</v>
      </c>
      <c r="F21" s="59" t="n">
        <f aca="false">H21</f>
        <v>2210</v>
      </c>
      <c r="G21" s="59" t="n">
        <f aca="false">F21-H21</f>
        <v>0</v>
      </c>
      <c r="H21" s="59" t="n">
        <f aca="false">660+1050+500</f>
        <v>2210</v>
      </c>
      <c r="J21" s="178"/>
      <c r="K21" s="117"/>
      <c r="L21" s="117"/>
      <c r="M21" s="117"/>
      <c r="N21" s="117"/>
    </row>
    <row r="22" customFormat="false" ht="19.85" hidden="false" customHeight="true" outlineLevel="0" collapsed="false">
      <c r="A22" s="1" t="n">
        <v>31</v>
      </c>
      <c r="B22" s="414" t="s">
        <v>675</v>
      </c>
      <c r="C22" s="56" t="n">
        <v>504514</v>
      </c>
      <c r="D22" s="26" t="s">
        <v>41</v>
      </c>
      <c r="E22" s="33" t="n">
        <f aca="false">IF(D22="totale",(C22/(A22*24))/F22,IF(D22="marché libre",(C22/(A22*24))/G22,"spécifier histo"))</f>
        <v>0.306837201381793</v>
      </c>
      <c r="F22" s="59" t="n">
        <f aca="false">H22</f>
        <v>2210</v>
      </c>
      <c r="G22" s="59" t="n">
        <f aca="false">F22-H22</f>
        <v>0</v>
      </c>
      <c r="H22" s="59" t="n">
        <f aca="false">660+1050+500</f>
        <v>2210</v>
      </c>
      <c r="J22" s="183"/>
      <c r="K22" s="58"/>
      <c r="L22" s="427"/>
      <c r="M22" s="58"/>
      <c r="N22" s="117"/>
    </row>
    <row r="23" customFormat="false" ht="19.85" hidden="false" customHeight="true" outlineLevel="0" collapsed="false">
      <c r="A23" s="1" t="n">
        <v>28</v>
      </c>
      <c r="B23" s="416" t="s">
        <v>676</v>
      </c>
      <c r="C23" s="56" t="n">
        <v>310038</v>
      </c>
      <c r="D23" s="26" t="s">
        <v>41</v>
      </c>
      <c r="E23" s="33" t="n">
        <f aca="false">IF(D23="totale",(C23/(A23*24))/F23,IF(D23="marché libre",(C23/(A23*24))/G23,"spécifier histo"))</f>
        <v>0.208762928248222</v>
      </c>
      <c r="F23" s="59" t="n">
        <f aca="false">H23</f>
        <v>2210</v>
      </c>
      <c r="G23" s="59" t="n">
        <f aca="false">F23-H23</f>
        <v>0</v>
      </c>
      <c r="H23" s="59" t="n">
        <f aca="false">660+1050+500</f>
        <v>2210</v>
      </c>
      <c r="J23" s="183"/>
      <c r="K23" s="58"/>
      <c r="L23" s="427"/>
      <c r="M23" s="58"/>
      <c r="N23" s="117"/>
    </row>
    <row r="24" customFormat="false" ht="19.85" hidden="false" customHeight="true" outlineLevel="0" collapsed="false">
      <c r="A24" s="1" t="n">
        <v>31</v>
      </c>
      <c r="B24" s="417" t="s">
        <v>677</v>
      </c>
      <c r="C24" s="56" t="n">
        <v>991498</v>
      </c>
      <c r="D24" s="26" t="s">
        <v>41</v>
      </c>
      <c r="E24" s="33" t="n">
        <f aca="false">IF(D24="totale",(C24/(A24*24))/F24,IF(D24="marché libre",(C24/(A24*24))/G24,"spécifier histo"))</f>
        <v>0.603012942149565</v>
      </c>
      <c r="F24" s="59" t="n">
        <f aca="false">H24</f>
        <v>2210</v>
      </c>
      <c r="G24" s="59" t="n">
        <f aca="false">F24-H24</f>
        <v>0</v>
      </c>
      <c r="H24" s="59" t="n">
        <f aca="false">660+1050+500</f>
        <v>2210</v>
      </c>
      <c r="J24" s="183"/>
      <c r="K24" s="58"/>
      <c r="L24" s="427"/>
      <c r="M24" s="58"/>
      <c r="N24" s="117"/>
    </row>
    <row r="25" customFormat="false" ht="19.85" hidden="false" customHeight="true" outlineLevel="0" collapsed="false">
      <c r="A25" s="1" t="n">
        <v>30</v>
      </c>
      <c r="B25" s="418" t="s">
        <v>678</v>
      </c>
      <c r="C25" s="56" t="n">
        <v>934440</v>
      </c>
      <c r="D25" s="26" t="s">
        <v>41</v>
      </c>
      <c r="E25" s="33" t="n">
        <f aca="false">IF(D25="totale",(C25/(A25*24))/F25,IF(D25="marché libre",(C25/(A25*24))/G25,"spécifier histo"))</f>
        <v>0.587254901960784</v>
      </c>
      <c r="F25" s="59" t="n">
        <f aca="false">H25</f>
        <v>2210</v>
      </c>
      <c r="G25" s="59" t="n">
        <f aca="false">F25-H25</f>
        <v>0</v>
      </c>
      <c r="H25" s="59" t="n">
        <f aca="false">660+1050+500</f>
        <v>2210</v>
      </c>
      <c r="J25" s="183"/>
      <c r="K25" s="58"/>
      <c r="L25" s="427"/>
      <c r="M25" s="58"/>
      <c r="N25" s="117"/>
    </row>
    <row r="26" customFormat="false" ht="19.85" hidden="false" customHeight="true" outlineLevel="0" collapsed="false">
      <c r="A26" s="1" t="n">
        <v>31</v>
      </c>
      <c r="B26" s="419" t="s">
        <v>679</v>
      </c>
      <c r="C26" s="56" t="n">
        <v>690084</v>
      </c>
      <c r="D26" s="26" t="s">
        <v>41</v>
      </c>
      <c r="E26" s="33" t="n">
        <f aca="false">IF(D26="totale",(C26/(A26*24))/F26,IF(D26="marché libre",(C26/(A26*24))/G26,"spécifier histo"))</f>
        <v>0.419697854327835</v>
      </c>
      <c r="F26" s="59" t="n">
        <f aca="false">H26</f>
        <v>2210</v>
      </c>
      <c r="G26" s="59" t="n">
        <f aca="false">F26-H26</f>
        <v>0</v>
      </c>
      <c r="H26" s="59" t="n">
        <f aca="false">660+1050+500</f>
        <v>2210</v>
      </c>
      <c r="J26" s="183"/>
      <c r="K26" s="58"/>
      <c r="L26" s="427"/>
      <c r="M26" s="58"/>
      <c r="N26" s="117"/>
    </row>
    <row r="27" customFormat="false" ht="19.85" hidden="false" customHeight="true" outlineLevel="0" collapsed="false">
      <c r="A27" s="1" t="n">
        <v>30</v>
      </c>
      <c r="B27" s="420" t="s">
        <v>680</v>
      </c>
      <c r="C27" s="56" t="n">
        <v>232128</v>
      </c>
      <c r="D27" s="26" t="s">
        <v>41</v>
      </c>
      <c r="E27" s="33" t="n">
        <f aca="false">IF(D27="totale",(C27/(A27*24))/F27,IF(D27="marché libre",(C27/(A27*24))/G27,"spécifier histo"))</f>
        <v>0.145882352941176</v>
      </c>
      <c r="F27" s="59" t="n">
        <f aca="false">H27</f>
        <v>2210</v>
      </c>
      <c r="G27" s="59" t="n">
        <f aca="false">F27-H27</f>
        <v>0</v>
      </c>
      <c r="H27" s="59" t="n">
        <f aca="false">660+1050+500</f>
        <v>2210</v>
      </c>
      <c r="J27" s="183"/>
      <c r="K27" s="58"/>
      <c r="L27" s="427"/>
      <c r="M27" s="58"/>
      <c r="N27" s="117"/>
    </row>
    <row r="28" customFormat="false" ht="19.85" hidden="false" customHeight="true" outlineLevel="0" collapsed="false">
      <c r="A28" s="1" t="n">
        <v>31</v>
      </c>
      <c r="B28" s="421" t="s">
        <v>681</v>
      </c>
      <c r="C28" s="56" t="n">
        <v>213644</v>
      </c>
      <c r="D28" s="26" t="s">
        <v>41</v>
      </c>
      <c r="E28" s="33" t="n">
        <f aca="false">IF(D28="totale",(C28/(A28*24))/F28,IF(D28="marché libre",(C28/(A28*24))/G28,"spécifier histo"))</f>
        <v>0.129934802705201</v>
      </c>
      <c r="F28" s="59" t="n">
        <f aca="false">H28</f>
        <v>2210</v>
      </c>
      <c r="G28" s="59" t="n">
        <f aca="false">F28-H28</f>
        <v>0</v>
      </c>
      <c r="H28" s="59" t="n">
        <f aca="false">660+1050+500</f>
        <v>2210</v>
      </c>
      <c r="J28" s="183"/>
      <c r="K28" s="58"/>
      <c r="L28" s="427"/>
      <c r="M28" s="58"/>
      <c r="N28" s="117"/>
    </row>
    <row r="29" customFormat="false" ht="19.85" hidden="false" customHeight="true" outlineLevel="0" collapsed="false">
      <c r="A29" s="1" t="n">
        <v>31</v>
      </c>
      <c r="B29" s="422" t="s">
        <v>682</v>
      </c>
      <c r="C29" s="56" t="n">
        <v>159084</v>
      </c>
      <c r="D29" s="26" t="s">
        <v>41</v>
      </c>
      <c r="E29" s="33" t="n">
        <f aca="false">IF(D29="totale",(C29/(A29*24))/F29,IF(D29="marché libre",(C29/(A29*24))/G29,"spécifier histo"))</f>
        <v>0.0967522989344621</v>
      </c>
      <c r="F29" s="59" t="n">
        <f aca="false">H29</f>
        <v>2210</v>
      </c>
      <c r="G29" s="59" t="n">
        <f aca="false">F29-H29</f>
        <v>0</v>
      </c>
      <c r="H29" s="59" t="n">
        <f aca="false">660+1050+500</f>
        <v>2210</v>
      </c>
      <c r="J29" s="183"/>
      <c r="K29" s="58"/>
      <c r="L29" s="427"/>
      <c r="M29" s="58"/>
      <c r="N29" s="117"/>
    </row>
    <row r="30" customFormat="false" ht="19.85" hidden="false" customHeight="true" outlineLevel="0" collapsed="false">
      <c r="A30" s="1" t="n">
        <v>30</v>
      </c>
      <c r="B30" s="423" t="s">
        <v>683</v>
      </c>
      <c r="C30" s="56" t="n">
        <v>193003</v>
      </c>
      <c r="D30" s="26" t="s">
        <v>41</v>
      </c>
      <c r="E30" s="33" t="n">
        <f aca="false">IF(D30="totale",(C30/(A30*24))/F30,IF(D30="marché libre",(C30/(A30*24))/G30,"spécifier histo"))</f>
        <v>0.121293991955757</v>
      </c>
      <c r="F30" s="59" t="n">
        <f aca="false">H30</f>
        <v>2210</v>
      </c>
      <c r="G30" s="59" t="n">
        <f aca="false">F30-H30</f>
        <v>0</v>
      </c>
      <c r="H30" s="59" t="n">
        <f aca="false">660+1050+500</f>
        <v>2210</v>
      </c>
      <c r="J30" s="183"/>
      <c r="K30" s="58"/>
      <c r="L30" s="427"/>
      <c r="M30" s="58"/>
      <c r="N30" s="117"/>
    </row>
    <row r="31" customFormat="false" ht="19.85" hidden="false" customHeight="true" outlineLevel="0" collapsed="false">
      <c r="A31" s="1" t="n">
        <v>31</v>
      </c>
      <c r="B31" s="424" t="s">
        <v>684</v>
      </c>
      <c r="C31" s="56" t="n">
        <v>306472</v>
      </c>
      <c r="D31" s="26" t="s">
        <v>41</v>
      </c>
      <c r="E31" s="33" t="n">
        <f aca="false">IF(D31="totale",(C31/(A31*24))/F31,IF(D31="marché libre",(C31/(A31*24))/G31,"spécifier histo"))</f>
        <v>0.186391281078188</v>
      </c>
      <c r="F31" s="59" t="n">
        <f aca="false">H31</f>
        <v>2210</v>
      </c>
      <c r="G31" s="59" t="n">
        <f aca="false">F31-H31</f>
        <v>0</v>
      </c>
      <c r="H31" s="59" t="n">
        <f aca="false">660+1050+500</f>
        <v>2210</v>
      </c>
      <c r="J31" s="183"/>
      <c r="K31" s="58"/>
      <c r="L31" s="427"/>
      <c r="M31" s="58"/>
      <c r="N31" s="117"/>
    </row>
    <row r="32" customFormat="false" ht="19.85" hidden="false" customHeight="true" outlineLevel="0" collapsed="false">
      <c r="A32" s="1" t="n">
        <v>30</v>
      </c>
      <c r="B32" s="425" t="s">
        <v>685</v>
      </c>
      <c r="C32" s="56" t="n">
        <v>334861</v>
      </c>
      <c r="D32" s="26" t="s">
        <v>41</v>
      </c>
      <c r="E32" s="33" t="n">
        <f aca="false">IF(D32="totale",(C32/(A32*24))/F32,IF(D32="marché libre",(C32/(A32*24))/G32,"spécifier histo"))</f>
        <v>0.210445575666164</v>
      </c>
      <c r="F32" s="59" t="n">
        <f aca="false">H32</f>
        <v>2210</v>
      </c>
      <c r="G32" s="59" t="n">
        <f aca="false">F32-H32</f>
        <v>0</v>
      </c>
      <c r="H32" s="59" t="n">
        <f aca="false">660+1050+500</f>
        <v>2210</v>
      </c>
      <c r="J32" s="183"/>
      <c r="K32" s="58"/>
      <c r="L32" s="427"/>
      <c r="M32" s="58"/>
      <c r="N32" s="117"/>
    </row>
    <row r="33" customFormat="false" ht="19.85" hidden="false" customHeight="true" outlineLevel="0" collapsed="false">
      <c r="A33" s="1" t="n">
        <v>31</v>
      </c>
      <c r="B33" s="426" t="s">
        <v>686</v>
      </c>
      <c r="C33" s="56" t="n">
        <v>539143</v>
      </c>
      <c r="D33" s="26" t="s">
        <v>41</v>
      </c>
      <c r="E33" s="33" t="n">
        <f aca="false">IF(D33="totale",(C33/(A33*24))/F33,IF(D33="marché libre",(C33/(A33*24))/G33,"spécifier histo"))</f>
        <v>0.327897995426458</v>
      </c>
      <c r="F33" s="59" t="n">
        <f aca="false">H33</f>
        <v>2210</v>
      </c>
      <c r="G33" s="59" t="n">
        <f aca="false">F33-H33</f>
        <v>0</v>
      </c>
      <c r="H33" s="59" t="n">
        <f aca="false">660+1050+500</f>
        <v>2210</v>
      </c>
      <c r="J33" s="183"/>
      <c r="K33" s="58"/>
      <c r="L33" s="427"/>
      <c r="M33" s="58"/>
      <c r="N33" s="117"/>
    </row>
    <row r="34" customFormat="false" ht="19.85" hidden="false" customHeight="true" outlineLevel="0" collapsed="false">
      <c r="A34" s="1" t="n">
        <v>31</v>
      </c>
      <c r="B34" s="414" t="s">
        <v>687</v>
      </c>
      <c r="C34" s="56" t="n">
        <v>303298</v>
      </c>
      <c r="D34" s="26" t="s">
        <v>41</v>
      </c>
      <c r="E34" s="33" t="n">
        <f aca="false">IF(D34="totale",(C34/(A34*24))/F34,IF(D34="marché libre",(C34/(A34*24))/G34,"spécifier histo"))</f>
        <v>0.18446090595047</v>
      </c>
      <c r="F34" s="59" t="n">
        <f aca="false">H34</f>
        <v>2210</v>
      </c>
      <c r="G34" s="59" t="n">
        <f aca="false">F34-H34</f>
        <v>0</v>
      </c>
      <c r="H34" s="59" t="n">
        <f aca="false">660+1050+500</f>
        <v>2210</v>
      </c>
      <c r="J34" s="183"/>
      <c r="K34" s="117"/>
      <c r="L34" s="117"/>
      <c r="M34" s="117"/>
      <c r="N34" s="117"/>
    </row>
    <row r="35" customFormat="false" ht="19.85" hidden="false" customHeight="true" outlineLevel="0" collapsed="false">
      <c r="A35" s="1" t="n">
        <v>28</v>
      </c>
      <c r="B35" s="416" t="s">
        <v>688</v>
      </c>
      <c r="C35" s="56" t="n">
        <v>320700</v>
      </c>
      <c r="D35" s="26" t="s">
        <v>41</v>
      </c>
      <c r="E35" s="33" t="n">
        <f aca="false">IF(D35="totale",(C35/(A35*24))/F35,IF(D35="marché libre",(C35/(A35*24))/G35,"spécifier histo"))</f>
        <v>0.215942146089205</v>
      </c>
      <c r="F35" s="59" t="n">
        <f aca="false">H35</f>
        <v>2210</v>
      </c>
      <c r="G35" s="59" t="n">
        <f aca="false">F35-H35</f>
        <v>0</v>
      </c>
      <c r="H35" s="59" t="n">
        <f aca="false">660+1050+500</f>
        <v>2210</v>
      </c>
      <c r="J35" s="183"/>
      <c r="K35" s="117"/>
      <c r="L35" s="117"/>
      <c r="M35" s="117"/>
      <c r="N35" s="117"/>
    </row>
    <row r="36" customFormat="false" ht="19.85" hidden="false" customHeight="true" outlineLevel="0" collapsed="false">
      <c r="A36" s="1" t="n">
        <v>31</v>
      </c>
      <c r="B36" s="417" t="s">
        <v>689</v>
      </c>
      <c r="C36" s="56" t="n">
        <v>804205</v>
      </c>
      <c r="D36" s="26" t="s">
        <v>41</v>
      </c>
      <c r="E36" s="33" t="n">
        <f aca="false">IF(D36="totale",(C36/(A36*24))/F36,IF(D36="marché libre",(C36/(A36*24))/G36,"spécifier histo"))</f>
        <v>0.489104388653725</v>
      </c>
      <c r="F36" s="59" t="n">
        <f aca="false">H36</f>
        <v>2210</v>
      </c>
      <c r="G36" s="59" t="n">
        <f aca="false">F36-H36</f>
        <v>0</v>
      </c>
      <c r="H36" s="59" t="n">
        <f aca="false">660+1050+500</f>
        <v>2210</v>
      </c>
      <c r="J36" s="183"/>
      <c r="K36" s="117"/>
      <c r="L36" s="117"/>
      <c r="M36" s="117"/>
      <c r="N36" s="117"/>
    </row>
    <row r="37" customFormat="false" ht="19.85" hidden="false" customHeight="true" outlineLevel="0" collapsed="false">
      <c r="A37" s="1" t="n">
        <v>30</v>
      </c>
      <c r="B37" s="418" t="s">
        <v>690</v>
      </c>
      <c r="C37" s="56" t="n">
        <v>1305332</v>
      </c>
      <c r="D37" s="26" t="s">
        <v>41</v>
      </c>
      <c r="E37" s="33" t="n">
        <f aca="false">IF(D37="totale",(C37/(A37*24))/F37,IF(D37="marché libre",(C37/(A37*24))/G37,"spécifier histo"))</f>
        <v>0.820344394167924</v>
      </c>
      <c r="F37" s="59" t="n">
        <f aca="false">H37</f>
        <v>2210</v>
      </c>
      <c r="G37" s="59" t="n">
        <f aca="false">F37-H37</f>
        <v>0</v>
      </c>
      <c r="H37" s="59" t="n">
        <f aca="false">660+1050+500</f>
        <v>2210</v>
      </c>
      <c r="J37" s="183"/>
      <c r="K37" s="117"/>
      <c r="L37" s="117"/>
      <c r="M37" s="117"/>
      <c r="N37" s="117"/>
    </row>
    <row r="38" customFormat="false" ht="19.85" hidden="false" customHeight="true" outlineLevel="0" collapsed="false">
      <c r="A38" s="1" t="n">
        <v>31</v>
      </c>
      <c r="B38" s="419" t="s">
        <v>691</v>
      </c>
      <c r="C38" s="56" t="n">
        <v>1276000</v>
      </c>
      <c r="D38" s="26" t="s">
        <v>41</v>
      </c>
      <c r="E38" s="33" t="n">
        <f aca="false">IF(D38="totale",(C38/(A38*24))/F38,IF(D38="marché libre",(C38/(A38*24))/G38,"spécifier histo"))</f>
        <v>0.776042426896317</v>
      </c>
      <c r="F38" s="59" t="n">
        <f aca="false">H38</f>
        <v>2210</v>
      </c>
      <c r="G38" s="59" t="n">
        <f aca="false">F38-H38</f>
        <v>0</v>
      </c>
      <c r="H38" s="59" t="n">
        <f aca="false">660+1050+500</f>
        <v>2210</v>
      </c>
      <c r="J38" s="183"/>
      <c r="K38" s="117"/>
      <c r="L38" s="117"/>
      <c r="M38" s="117"/>
      <c r="N38" s="117"/>
    </row>
    <row r="39" customFormat="false" ht="19.85" hidden="false" customHeight="true" outlineLevel="0" collapsed="false">
      <c r="A39" s="1" t="n">
        <v>30</v>
      </c>
      <c r="B39" s="420" t="s">
        <v>692</v>
      </c>
      <c r="C39" s="56" t="n">
        <v>836000</v>
      </c>
      <c r="D39" s="26" t="s">
        <v>41</v>
      </c>
      <c r="E39" s="33" t="n">
        <f aca="false">IF(D39="totale",(C39/(A39*24))/F39,IF(D39="marché libre",(C39/(A39*24))/G39,"spécifier histo"))</f>
        <v>0.525389643036702</v>
      </c>
      <c r="F39" s="59" t="n">
        <f aca="false">H39</f>
        <v>2210</v>
      </c>
      <c r="G39" s="59" t="n">
        <f aca="false">F39-H39</f>
        <v>0</v>
      </c>
      <c r="H39" s="59" t="n">
        <f aca="false">660+1050+500</f>
        <v>2210</v>
      </c>
      <c r="J39" s="183"/>
      <c r="K39" s="117"/>
      <c r="L39" s="117"/>
      <c r="M39" s="117"/>
      <c r="N39" s="117"/>
    </row>
    <row r="40" customFormat="false" ht="19.85" hidden="false" customHeight="true" outlineLevel="0" collapsed="false">
      <c r="A40" s="1" t="n">
        <v>31</v>
      </c>
      <c r="B40" s="421" t="s">
        <v>693</v>
      </c>
      <c r="C40" s="56" t="n">
        <v>349000</v>
      </c>
      <c r="D40" s="26" t="s">
        <v>41</v>
      </c>
      <c r="E40" s="33" t="n">
        <f aca="false">IF(D40="totale",(C40/(A40*24))/F40,IF(D40="marché libre",(C40/(A40*24))/G40,"spécifier histo"))</f>
        <v>0.212256118328225</v>
      </c>
      <c r="F40" s="59" t="n">
        <f aca="false">H40</f>
        <v>2210</v>
      </c>
      <c r="G40" s="59" t="n">
        <f aca="false">F40-H40</f>
        <v>0</v>
      </c>
      <c r="H40" s="59" t="n">
        <f aca="false">660+1050+500</f>
        <v>2210</v>
      </c>
      <c r="J40" s="183"/>
      <c r="K40" s="117"/>
      <c r="L40" s="117"/>
      <c r="M40" s="117"/>
      <c r="N40" s="117"/>
    </row>
    <row r="41" customFormat="false" ht="19.85" hidden="false" customHeight="true" outlineLevel="0" collapsed="false">
      <c r="A41" s="1" t="n">
        <v>31</v>
      </c>
      <c r="B41" s="422" t="s">
        <v>694</v>
      </c>
      <c r="C41" s="56" t="n">
        <v>272400</v>
      </c>
      <c r="D41" s="26" t="s">
        <v>41</v>
      </c>
      <c r="E41" s="33" t="n">
        <f aca="false">IF(D41="totale",(C41/(A41*24))/F41,IF(D41="marché libre",(C41/(A41*24))/G41,"spécifier histo"))</f>
        <v>0.16566924536564</v>
      </c>
      <c r="F41" s="59" t="n">
        <f aca="false">H41</f>
        <v>2210</v>
      </c>
      <c r="G41" s="59" t="n">
        <f aca="false">F41-H41</f>
        <v>0</v>
      </c>
      <c r="H41" s="59" t="n">
        <f aca="false">660+1050+500</f>
        <v>2210</v>
      </c>
      <c r="J41" s="183"/>
      <c r="K41" s="117"/>
      <c r="L41" s="117"/>
      <c r="M41" s="117"/>
      <c r="N41" s="117"/>
    </row>
    <row r="42" customFormat="false" ht="19.85" hidden="false" customHeight="true" outlineLevel="0" collapsed="false">
      <c r="A42" s="1" t="n">
        <v>30</v>
      </c>
      <c r="B42" s="423" t="s">
        <v>695</v>
      </c>
      <c r="C42" s="56" t="n">
        <v>195600</v>
      </c>
      <c r="D42" s="26" t="s">
        <v>41</v>
      </c>
      <c r="E42" s="33" t="n">
        <f aca="false">IF(D42="totale",(C42/(A42*24))/F42,IF(D42="marché libre",(C42/(A42*24))/G42,"spécifier histo"))</f>
        <v>0.122926093514329</v>
      </c>
      <c r="F42" s="59" t="n">
        <f aca="false">H42</f>
        <v>2210</v>
      </c>
      <c r="G42" s="59" t="n">
        <f aca="false">F42-H42</f>
        <v>0</v>
      </c>
      <c r="H42" s="59" t="n">
        <f aca="false">660+1050+500</f>
        <v>2210</v>
      </c>
      <c r="J42" s="183"/>
      <c r="K42" s="117"/>
      <c r="L42" s="117"/>
      <c r="M42" s="117"/>
      <c r="N42" s="117"/>
    </row>
    <row r="43" customFormat="false" ht="19.85" hidden="false" customHeight="true" outlineLevel="0" collapsed="false">
      <c r="A43" s="1" t="n">
        <v>31</v>
      </c>
      <c r="B43" s="424" t="s">
        <v>696</v>
      </c>
      <c r="C43" s="56" t="n">
        <v>510600</v>
      </c>
      <c r="D43" s="26" t="s">
        <v>41</v>
      </c>
      <c r="E43" s="33" t="n">
        <f aca="false">IF(D43="totale",(C43/(A43*24))/F43,IF(D43="marché libre",(C43/(A43*24))/G43,"spécifier histo"))</f>
        <v>0.310538607502554</v>
      </c>
      <c r="F43" s="59" t="n">
        <f aca="false">H43</f>
        <v>2210</v>
      </c>
      <c r="G43" s="59" t="n">
        <f aca="false">F43-H43</f>
        <v>0</v>
      </c>
      <c r="H43" s="59" t="n">
        <f aca="false">660+1050+500</f>
        <v>2210</v>
      </c>
      <c r="J43" s="183"/>
      <c r="K43" s="117"/>
      <c r="L43" s="117"/>
      <c r="M43" s="117"/>
      <c r="N43" s="117"/>
    </row>
    <row r="44" customFormat="false" ht="19.85" hidden="false" customHeight="true" outlineLevel="0" collapsed="false">
      <c r="A44" s="1" t="n">
        <v>30</v>
      </c>
      <c r="B44" s="425" t="s">
        <v>697</v>
      </c>
      <c r="C44" s="56" t="n">
        <v>184000</v>
      </c>
      <c r="D44" s="26" t="s">
        <v>41</v>
      </c>
      <c r="E44" s="33" t="n">
        <f aca="false">IF(D44="totale",(C44/(A44*24))/F44,IF(D44="marché libre",(C44/(A44*24))/G44,"spécifier histo"))</f>
        <v>0.115635997988939</v>
      </c>
      <c r="F44" s="59" t="n">
        <f aca="false">H44</f>
        <v>2210</v>
      </c>
      <c r="G44" s="59" t="n">
        <f aca="false">F44-H44</f>
        <v>0</v>
      </c>
      <c r="H44" s="59" t="n">
        <f aca="false">660+1050+500</f>
        <v>2210</v>
      </c>
      <c r="J44" s="183"/>
      <c r="K44" s="117"/>
      <c r="L44" s="117"/>
      <c r="M44" s="117"/>
      <c r="N44" s="117"/>
    </row>
    <row r="45" customFormat="false" ht="19.85" hidden="false" customHeight="true" outlineLevel="0" collapsed="false">
      <c r="A45" s="1" t="n">
        <v>31</v>
      </c>
      <c r="B45" s="426" t="s">
        <v>698</v>
      </c>
      <c r="C45" s="56" t="n">
        <v>539100</v>
      </c>
      <c r="D45" s="26" t="s">
        <v>41</v>
      </c>
      <c r="E45" s="33" t="n">
        <f aca="false">IF(D45="totale",(C45/(A45*24))/F45,IF(D45="marché libre",(C45/(A45*24))/G45,"spécifier histo"))</f>
        <v>0.327871843526492</v>
      </c>
      <c r="F45" s="59" t="n">
        <f aca="false">H45</f>
        <v>2210</v>
      </c>
      <c r="G45" s="59" t="n">
        <f aca="false">F45-H45</f>
        <v>0</v>
      </c>
      <c r="H45" s="59" t="n">
        <f aca="false">660+1050+500</f>
        <v>2210</v>
      </c>
      <c r="J45" s="183"/>
      <c r="K45" s="117"/>
      <c r="L45" s="117"/>
      <c r="M45" s="117"/>
      <c r="N45" s="117"/>
    </row>
    <row r="46" customFormat="false" ht="19.85" hidden="false" customHeight="true" outlineLevel="0" collapsed="false">
      <c r="A46" s="1" t="n">
        <v>31</v>
      </c>
      <c r="B46" s="414" t="s">
        <v>699</v>
      </c>
      <c r="C46" s="56" t="n">
        <v>787300</v>
      </c>
      <c r="D46" s="26" t="s">
        <v>41</v>
      </c>
      <c r="E46" s="33" t="n">
        <f aca="false">IF(D46="totale",(C46/(A46*24))/F46,IF(D46="marché libre",(C46/(A46*24))/G46,"spécifier histo"))</f>
        <v>0.478823042864789</v>
      </c>
      <c r="F46" s="59" t="n">
        <f aca="false">H46</f>
        <v>2210</v>
      </c>
      <c r="G46" s="59" t="n">
        <f aca="false">F46-H46</f>
        <v>0</v>
      </c>
      <c r="H46" s="59" t="n">
        <f aca="false">660+1050+500</f>
        <v>2210</v>
      </c>
      <c r="J46" s="183"/>
      <c r="K46" s="117"/>
      <c r="L46" s="117"/>
      <c r="M46" s="117"/>
      <c r="N46" s="117"/>
    </row>
    <row r="47" customFormat="false" ht="19.85" hidden="false" customHeight="true" outlineLevel="0" collapsed="false">
      <c r="A47" s="1" t="n">
        <v>28</v>
      </c>
      <c r="B47" s="416" t="s">
        <v>700</v>
      </c>
      <c r="C47" s="56" t="n">
        <v>447400</v>
      </c>
      <c r="D47" s="26" t="s">
        <v>41</v>
      </c>
      <c r="E47" s="33" t="n">
        <f aca="false">IF(D47="totale",(C47/(A47*24))/F47,IF(D47="marché libre",(C47/(A47*24))/G47,"spécifier histo"))</f>
        <v>0.301255117431588</v>
      </c>
      <c r="F47" s="59" t="n">
        <f aca="false">H47</f>
        <v>2210</v>
      </c>
      <c r="G47" s="59" t="n">
        <f aca="false">F47-H47</f>
        <v>0</v>
      </c>
      <c r="H47" s="59" t="n">
        <f aca="false">660+1050+500</f>
        <v>2210</v>
      </c>
      <c r="J47" s="183"/>
      <c r="K47" s="117"/>
      <c r="L47" s="117"/>
      <c r="M47" s="117"/>
      <c r="N47" s="117"/>
    </row>
    <row r="48" customFormat="false" ht="19.85" hidden="false" customHeight="true" outlineLevel="0" collapsed="false">
      <c r="A48" s="1" t="n">
        <v>31</v>
      </c>
      <c r="B48" s="417" t="s">
        <v>701</v>
      </c>
      <c r="C48" s="56" t="n">
        <v>734500</v>
      </c>
      <c r="D48" s="26" t="s">
        <v>41</v>
      </c>
      <c r="E48" s="33" t="n">
        <f aca="false">IF(D48="totale",(C48/(A48*24))/F48,IF(D48="marché libre",(C48/(A48*24))/G48,"spécifier histo"))</f>
        <v>0.446710942441493</v>
      </c>
      <c r="F48" s="59" t="n">
        <f aca="false">H48</f>
        <v>2210</v>
      </c>
      <c r="G48" s="59" t="n">
        <f aca="false">F48-H48</f>
        <v>0</v>
      </c>
      <c r="H48" s="59" t="n">
        <f aca="false">660+1050+500</f>
        <v>2210</v>
      </c>
      <c r="J48" s="183"/>
      <c r="K48" s="117"/>
      <c r="L48" s="117"/>
      <c r="M48" s="117"/>
      <c r="N48" s="117"/>
    </row>
    <row r="49" customFormat="false" ht="19.85" hidden="false" customHeight="true" outlineLevel="0" collapsed="false">
      <c r="A49" s="1" t="n">
        <v>30</v>
      </c>
      <c r="B49" s="418" t="s">
        <v>702</v>
      </c>
      <c r="C49" s="56" t="n">
        <v>1395600</v>
      </c>
      <c r="D49" s="26" t="s">
        <v>41</v>
      </c>
      <c r="E49" s="33" t="n">
        <f aca="false">IF(D49="totale",(C49/(A49*24))/F49,IF(D49="marché libre",(C49/(A49*24))/G49,"spécifier histo"))</f>
        <v>0.877073906485671</v>
      </c>
      <c r="F49" s="59" t="n">
        <f aca="false">H49</f>
        <v>2210</v>
      </c>
      <c r="G49" s="59" t="n">
        <f aca="false">F49-H49</f>
        <v>0</v>
      </c>
      <c r="H49" s="59" t="n">
        <f aca="false">660+1050+500</f>
        <v>2210</v>
      </c>
      <c r="J49" s="183"/>
      <c r="K49" s="117"/>
      <c r="L49" s="117"/>
      <c r="M49" s="117"/>
      <c r="N49" s="117"/>
    </row>
    <row r="50" customFormat="false" ht="19.85" hidden="false" customHeight="true" outlineLevel="0" collapsed="false">
      <c r="A50" s="1" t="n">
        <v>31</v>
      </c>
      <c r="B50" s="419" t="s">
        <v>703</v>
      </c>
      <c r="C50" s="56" t="n">
        <v>1369000</v>
      </c>
      <c r="D50" s="26" t="s">
        <v>41</v>
      </c>
      <c r="E50" s="33" t="n">
        <f aca="false">IF(D50="totale",(C50/(A50*24))/F50,IF(D50="marché libre",(C50/(A50*24))/G50,"spécifier histo"))</f>
        <v>0.832603512869167</v>
      </c>
      <c r="F50" s="59" t="n">
        <f aca="false">H50</f>
        <v>2210</v>
      </c>
      <c r="G50" s="59" t="n">
        <f aca="false">F50-H50</f>
        <v>0</v>
      </c>
      <c r="H50" s="59" t="n">
        <f aca="false">660+1050+500</f>
        <v>2210</v>
      </c>
      <c r="J50" s="183"/>
      <c r="K50" s="117"/>
      <c r="L50" s="117"/>
      <c r="M50" s="117"/>
      <c r="N50" s="117"/>
    </row>
    <row r="51" customFormat="false" ht="19.85" hidden="false" customHeight="true" outlineLevel="0" collapsed="false">
      <c r="A51" s="1" t="n">
        <v>30</v>
      </c>
      <c r="B51" s="420" t="s">
        <v>704</v>
      </c>
      <c r="C51" s="56" t="n">
        <v>1090500</v>
      </c>
      <c r="D51" s="26" t="s">
        <v>41</v>
      </c>
      <c r="E51" s="33" t="n">
        <f aca="false">IF(D51="totale",(C51/(A51*24))/F51,IF(D51="marché libre",(C51/(A51*24))/G51,"spécifier histo"))</f>
        <v>0.685331825037707</v>
      </c>
      <c r="F51" s="59" t="n">
        <f aca="false">H51</f>
        <v>2210</v>
      </c>
      <c r="G51" s="59" t="n">
        <f aca="false">F51-H51</f>
        <v>0</v>
      </c>
      <c r="H51" s="59" t="n">
        <f aca="false">660+1050+500</f>
        <v>2210</v>
      </c>
      <c r="J51" s="183"/>
      <c r="K51" s="117"/>
      <c r="L51" s="117"/>
      <c r="M51" s="117"/>
      <c r="N51" s="117"/>
    </row>
    <row r="52" customFormat="false" ht="19.85" hidden="false" customHeight="true" outlineLevel="0" collapsed="false">
      <c r="A52" s="1" t="n">
        <v>31</v>
      </c>
      <c r="B52" s="421" t="s">
        <v>705</v>
      </c>
      <c r="C52" s="56" t="n">
        <v>611000</v>
      </c>
      <c r="D52" s="26" t="s">
        <v>41</v>
      </c>
      <c r="E52" s="33" t="n">
        <f aca="false">IF(D52="totale",(C52/(A52*24))/F52,IF(D52="marché libre",(C52/(A52*24))/G52,"spécifier histo"))</f>
        <v>0.371600253004428</v>
      </c>
      <c r="F52" s="59" t="n">
        <f aca="false">H52</f>
        <v>2210</v>
      </c>
      <c r="G52" s="59" t="n">
        <f aca="false">F52-H52</f>
        <v>0</v>
      </c>
      <c r="H52" s="59" t="n">
        <f aca="false">660+1050+500</f>
        <v>2210</v>
      </c>
      <c r="J52" s="183"/>
      <c r="K52" s="117"/>
      <c r="L52" s="117"/>
      <c r="M52" s="117"/>
      <c r="N52" s="117"/>
    </row>
    <row r="53" customFormat="false" ht="19.85" hidden="false" customHeight="true" outlineLevel="0" collapsed="false">
      <c r="A53" s="1" t="n">
        <v>31</v>
      </c>
      <c r="B53" s="422" t="s">
        <v>706</v>
      </c>
      <c r="C53" s="56" t="n">
        <v>261000</v>
      </c>
      <c r="D53" s="26" t="s">
        <v>41</v>
      </c>
      <c r="E53" s="33" t="n">
        <f aca="false">IF(D53="totale",(C53/(A53*24))/F53,IF(D53="marché libre",(C53/(A53*24))/G53,"spécifier histo"))</f>
        <v>0.158735950956065</v>
      </c>
      <c r="F53" s="59" t="n">
        <f aca="false">H53</f>
        <v>2210</v>
      </c>
      <c r="G53" s="59" t="n">
        <f aca="false">F53-H53</f>
        <v>0</v>
      </c>
      <c r="H53" s="59" t="n">
        <f aca="false">660+1050+500</f>
        <v>2210</v>
      </c>
      <c r="J53" s="183"/>
      <c r="K53" s="117"/>
      <c r="L53" s="117"/>
      <c r="M53" s="117"/>
      <c r="N53" s="117"/>
    </row>
    <row r="54" customFormat="false" ht="19.85" hidden="false" customHeight="true" outlineLevel="0" collapsed="false">
      <c r="A54" s="1" t="n">
        <v>30</v>
      </c>
      <c r="B54" s="423" t="s">
        <v>707</v>
      </c>
      <c r="C54" s="56" t="n">
        <v>34400</v>
      </c>
      <c r="D54" s="26" t="s">
        <v>41</v>
      </c>
      <c r="E54" s="33" t="n">
        <f aca="false">IF(D54="totale",(C54/(A54*24))/F54,IF(D54="marché libre",(C54/(A54*24))/G54,"spécifier histo"))</f>
        <v>0.0216189039718451</v>
      </c>
      <c r="F54" s="59" t="n">
        <f aca="false">H54</f>
        <v>2210</v>
      </c>
      <c r="G54" s="59" t="n">
        <f aca="false">F54-H54</f>
        <v>0</v>
      </c>
      <c r="H54" s="59" t="n">
        <f aca="false">660+1050+500</f>
        <v>2210</v>
      </c>
      <c r="J54" s="183"/>
      <c r="K54" s="117"/>
      <c r="L54" s="117"/>
      <c r="M54" s="117"/>
      <c r="N54" s="117"/>
    </row>
    <row r="55" customFormat="false" ht="19.85" hidden="false" customHeight="true" outlineLevel="0" collapsed="false">
      <c r="A55" s="1" t="n">
        <v>31</v>
      </c>
      <c r="B55" s="424" t="s">
        <v>708</v>
      </c>
      <c r="C55" s="56" t="n">
        <v>103000</v>
      </c>
      <c r="D55" s="26" t="s">
        <v>41</v>
      </c>
      <c r="E55" s="33" t="n">
        <f aca="false">IF(D55="totale",(C55/(A55*24))/F55,IF(D55="marché libre",(C55/(A55*24))/G55,"spécifier histo"))</f>
        <v>0.0626429231742325</v>
      </c>
      <c r="F55" s="59" t="n">
        <f aca="false">H55</f>
        <v>2210</v>
      </c>
      <c r="G55" s="59" t="n">
        <f aca="false">F55-H55</f>
        <v>0</v>
      </c>
      <c r="H55" s="59" t="n">
        <f aca="false">660+1050+500</f>
        <v>2210</v>
      </c>
      <c r="J55" s="183"/>
      <c r="K55" s="117"/>
      <c r="L55" s="117"/>
      <c r="M55" s="117"/>
      <c r="N55" s="117"/>
    </row>
    <row r="56" customFormat="false" ht="19.85" hidden="false" customHeight="true" outlineLevel="0" collapsed="false">
      <c r="A56" s="1" t="n">
        <v>30</v>
      </c>
      <c r="B56" s="425" t="s">
        <v>709</v>
      </c>
      <c r="C56" s="56" t="n">
        <v>1000000</v>
      </c>
      <c r="D56" s="26" t="s">
        <v>41</v>
      </c>
      <c r="E56" s="33" t="n">
        <f aca="false">IF(D56="totale",(C56/(A56*24))/F56,IF(D56="marché libre",(C56/(A56*24))/G56,"spécifier histo"))</f>
        <v>0.628456510809452</v>
      </c>
      <c r="F56" s="59" t="n">
        <f aca="false">H56</f>
        <v>2210</v>
      </c>
      <c r="G56" s="59" t="n">
        <f aca="false">F56-H56</f>
        <v>0</v>
      </c>
      <c r="H56" s="59" t="n">
        <f aca="false">660+1050+500</f>
        <v>2210</v>
      </c>
      <c r="J56" s="183"/>
      <c r="K56" s="117"/>
      <c r="L56" s="117"/>
      <c r="M56" s="117"/>
      <c r="N56" s="117"/>
    </row>
    <row r="57" customFormat="false" ht="19.85" hidden="false" customHeight="true" outlineLevel="0" collapsed="false">
      <c r="A57" s="1" t="n">
        <v>31</v>
      </c>
      <c r="B57" s="426" t="s">
        <v>710</v>
      </c>
      <c r="C57" s="56" t="n">
        <v>1022000</v>
      </c>
      <c r="D57" s="26" t="s">
        <v>41</v>
      </c>
      <c r="E57" s="33" t="n">
        <f aca="false">IF(D57="totale",(C57/(A57*24))/F57,IF(D57="marché libre",(C57/(A57*24))/G57,"spécifier histo"))</f>
        <v>0.621563761981219</v>
      </c>
      <c r="F57" s="59" t="n">
        <f aca="false">H57</f>
        <v>2210</v>
      </c>
      <c r="G57" s="59" t="n">
        <f aca="false">F57-H57</f>
        <v>0</v>
      </c>
      <c r="H57" s="59" t="n">
        <f aca="false">660+1050+500</f>
        <v>2210</v>
      </c>
      <c r="J57" s="183"/>
      <c r="K57" s="117"/>
      <c r="L57" s="117"/>
      <c r="M57" s="117"/>
      <c r="N57" s="117"/>
    </row>
    <row r="58" customFormat="false" ht="19.85" hidden="false" customHeight="true" outlineLevel="0" collapsed="false">
      <c r="A58" s="1" t="n">
        <v>31</v>
      </c>
      <c r="B58" s="414" t="s">
        <v>711</v>
      </c>
      <c r="C58" s="56" t="n">
        <v>745000</v>
      </c>
      <c r="D58" s="26" t="s">
        <v>41</v>
      </c>
      <c r="E58" s="33" t="n">
        <f aca="false">IF(D58="totale",(C58/(A58*24))/F58,IF(D58="marché libre",(C58/(A58*24))/G58,"spécifier histo"))</f>
        <v>0.453096871502944</v>
      </c>
      <c r="F58" s="59" t="n">
        <f aca="false">H58</f>
        <v>2210</v>
      </c>
      <c r="G58" s="59" t="n">
        <f aca="false">F58-H58</f>
        <v>0</v>
      </c>
      <c r="H58" s="59" t="n">
        <f aca="false">660+1050+500</f>
        <v>2210</v>
      </c>
      <c r="J58" s="183"/>
      <c r="K58" s="117"/>
      <c r="L58" s="117"/>
      <c r="M58" s="117"/>
      <c r="N58" s="117"/>
    </row>
    <row r="59" customFormat="false" ht="19.85" hidden="false" customHeight="true" outlineLevel="0" collapsed="false">
      <c r="A59" s="1" t="n">
        <v>28</v>
      </c>
      <c r="B59" s="416" t="s">
        <v>712</v>
      </c>
      <c r="C59" s="56" t="n">
        <v>899000</v>
      </c>
      <c r="D59" s="26" t="s">
        <v>41</v>
      </c>
      <c r="E59" s="33" t="n">
        <f aca="false">IF(D59="totale",(C59/(A59*24))/F59,IF(D59="marché libre",(C59/(A59*24))/G59,"spécifier histo"))</f>
        <v>0.605338289161818</v>
      </c>
      <c r="F59" s="59" t="n">
        <f aca="false">H59</f>
        <v>2210</v>
      </c>
      <c r="G59" s="59" t="n">
        <f aca="false">F59-H59</f>
        <v>0</v>
      </c>
      <c r="H59" s="59" t="n">
        <f aca="false">660+1050+500</f>
        <v>2210</v>
      </c>
      <c r="J59" s="183"/>
      <c r="K59" s="117"/>
      <c r="L59" s="117"/>
      <c r="M59" s="117"/>
      <c r="N59" s="117"/>
    </row>
    <row r="60" customFormat="false" ht="19.85" hidden="false" customHeight="true" outlineLevel="0" collapsed="false">
      <c r="A60" s="1" t="n">
        <v>31</v>
      </c>
      <c r="B60" s="417" t="s">
        <v>713</v>
      </c>
      <c r="C60" s="56" t="n">
        <v>1085000</v>
      </c>
      <c r="D60" s="26" t="s">
        <v>41</v>
      </c>
      <c r="E60" s="33" t="n">
        <f aca="false">IF(D60="totale",(C60/(A60*24))/F60,IF(D60="marché libre",(C60/(A60*24))/G60,"spécifier histo"))</f>
        <v>0.659879336349925</v>
      </c>
      <c r="F60" s="59" t="n">
        <f aca="false">H60</f>
        <v>2210</v>
      </c>
      <c r="G60" s="59" t="n">
        <f aca="false">F60-H60</f>
        <v>0</v>
      </c>
      <c r="H60" s="59" t="n">
        <f aca="false">660+1050+500</f>
        <v>2210</v>
      </c>
      <c r="J60" s="183"/>
      <c r="K60" s="117"/>
      <c r="L60" s="117"/>
      <c r="M60" s="117"/>
      <c r="N60" s="117"/>
    </row>
    <row r="61" customFormat="false" ht="19.85" hidden="false" customHeight="true" outlineLevel="0" collapsed="false">
      <c r="A61" s="1" t="n">
        <v>30</v>
      </c>
      <c r="B61" s="418" t="s">
        <v>714</v>
      </c>
      <c r="C61" s="56" t="n">
        <v>1341000</v>
      </c>
      <c r="D61" s="26" t="s">
        <v>41</v>
      </c>
      <c r="E61" s="33" t="n">
        <f aca="false">IF(D61="totale",(C61/(A61*24))/F61,IF(D61="marché libre",(C61/(A61*24))/G61,"spécifier histo"))</f>
        <v>0.842760180995475</v>
      </c>
      <c r="F61" s="59" t="n">
        <f aca="false">H61</f>
        <v>2210</v>
      </c>
      <c r="G61" s="59" t="n">
        <f aca="false">F61-H61</f>
        <v>0</v>
      </c>
      <c r="H61" s="59" t="n">
        <f aca="false">660+1050+500</f>
        <v>2210</v>
      </c>
      <c r="J61" s="183"/>
      <c r="K61" s="117"/>
      <c r="L61" s="117"/>
      <c r="M61" s="117"/>
      <c r="N61" s="117"/>
    </row>
    <row r="62" customFormat="false" ht="19.85" hidden="false" customHeight="true" outlineLevel="0" collapsed="false">
      <c r="A62" s="1" t="n">
        <v>31</v>
      </c>
      <c r="B62" s="419" t="s">
        <v>715</v>
      </c>
      <c r="C62" s="56" t="n">
        <v>1602000</v>
      </c>
      <c r="D62" s="26" t="s">
        <v>41</v>
      </c>
      <c r="E62" s="33" t="n">
        <f aca="false">IF(D62="totale",(C62/(A62*24))/F62,IF(D62="marché libre",(C62/(A62*24))/G62,"spécifier histo"))</f>
        <v>0.974310319661363</v>
      </c>
      <c r="F62" s="59" t="n">
        <f aca="false">H62</f>
        <v>2210</v>
      </c>
      <c r="G62" s="59" t="n">
        <f aca="false">F62-H62</f>
        <v>0</v>
      </c>
      <c r="H62" s="59" t="n">
        <f aca="false">660+1050+500</f>
        <v>2210</v>
      </c>
      <c r="J62" s="183"/>
      <c r="K62" s="117"/>
      <c r="L62" s="117"/>
      <c r="M62" s="117"/>
      <c r="N62" s="117"/>
    </row>
    <row r="63" customFormat="false" ht="19.85" hidden="false" customHeight="true" outlineLevel="0" collapsed="false">
      <c r="A63" s="1" t="n">
        <v>30</v>
      </c>
      <c r="B63" s="420" t="s">
        <v>716</v>
      </c>
      <c r="C63" s="56" t="n">
        <v>825000</v>
      </c>
      <c r="D63" s="26" t="s">
        <v>41</v>
      </c>
      <c r="E63" s="33" t="n">
        <f aca="false">IF(D63="totale",(C63/(A63*24))/F63,IF(D63="marché libre",(C63/(A63*24))/G63,"spécifier histo"))</f>
        <v>0.518476621417798</v>
      </c>
      <c r="F63" s="59" t="n">
        <f aca="false">H63</f>
        <v>2210</v>
      </c>
      <c r="G63" s="59" t="n">
        <f aca="false">F63-H63</f>
        <v>0</v>
      </c>
      <c r="H63" s="59" t="n">
        <f aca="false">660+1050+500</f>
        <v>2210</v>
      </c>
      <c r="J63" s="183"/>
      <c r="K63" s="117"/>
      <c r="L63" s="117"/>
      <c r="M63" s="117"/>
      <c r="N63" s="117"/>
    </row>
    <row r="64" customFormat="false" ht="19.85" hidden="false" customHeight="true" outlineLevel="0" collapsed="false">
      <c r="A64" s="1" t="n">
        <v>31</v>
      </c>
      <c r="B64" s="421" t="s">
        <v>717</v>
      </c>
      <c r="C64" s="56" t="n">
        <v>361000</v>
      </c>
      <c r="D64" s="26" t="s">
        <v>41</v>
      </c>
      <c r="E64" s="33" t="n">
        <f aca="false">IF(D64="totale",(C64/(A64*24))/F64,IF(D64="marché libre",(C64/(A64*24))/G64,"spécifier histo"))</f>
        <v>0.219554322969883</v>
      </c>
      <c r="F64" s="59" t="n">
        <f aca="false">H64</f>
        <v>2210</v>
      </c>
      <c r="G64" s="59" t="n">
        <f aca="false">F64-H64</f>
        <v>0</v>
      </c>
      <c r="H64" s="59" t="n">
        <f aca="false">660+1050+500</f>
        <v>2210</v>
      </c>
      <c r="J64" s="183"/>
      <c r="K64" s="117"/>
      <c r="L64" s="117"/>
      <c r="M64" s="117"/>
      <c r="N64" s="117"/>
    </row>
    <row r="65" customFormat="false" ht="19.85" hidden="false" customHeight="true" outlineLevel="0" collapsed="false">
      <c r="A65" s="1" t="n">
        <v>31</v>
      </c>
      <c r="B65" s="422" t="s">
        <v>718</v>
      </c>
      <c r="C65" s="56" t="n">
        <v>167000</v>
      </c>
      <c r="D65" s="26" t="s">
        <v>41</v>
      </c>
      <c r="E65" s="33" t="n">
        <f aca="false">IF(D65="totale",(C65/(A65*24))/F65,IF(D65="marché libre",(C65/(A65*24))/G65,"spécifier histo"))</f>
        <v>0.101566681263076</v>
      </c>
      <c r="F65" s="59" t="n">
        <f aca="false">H65</f>
        <v>2210</v>
      </c>
      <c r="G65" s="59" t="n">
        <f aca="false">F65-H65</f>
        <v>0</v>
      </c>
      <c r="H65" s="59" t="n">
        <f aca="false">660+1050+500</f>
        <v>2210</v>
      </c>
      <c r="J65" s="183"/>
      <c r="K65" s="117"/>
      <c r="L65" s="117"/>
      <c r="M65" s="117"/>
      <c r="N65" s="117"/>
    </row>
    <row r="66" customFormat="false" ht="19.85" hidden="false" customHeight="true" outlineLevel="0" collapsed="false">
      <c r="A66" s="1" t="n">
        <v>30</v>
      </c>
      <c r="B66" s="423" t="s">
        <v>719</v>
      </c>
      <c r="C66" s="56" t="n">
        <v>36000</v>
      </c>
      <c r="D66" s="26" t="s">
        <v>41</v>
      </c>
      <c r="E66" s="33" t="n">
        <f aca="false">IF(D66="totale",(C66/(A66*24))/F66,IF(D66="marché libre",(C66/(A66*24))/G66,"spécifier histo"))</f>
        <v>0.0226244343891403</v>
      </c>
      <c r="F66" s="59" t="n">
        <f aca="false">H66</f>
        <v>2210</v>
      </c>
      <c r="G66" s="59" t="n">
        <f aca="false">F66-H66</f>
        <v>0</v>
      </c>
      <c r="H66" s="59" t="n">
        <f aca="false">660+1050+500</f>
        <v>2210</v>
      </c>
      <c r="J66" s="183"/>
      <c r="K66" s="117"/>
      <c r="L66" s="117"/>
      <c r="M66" s="117"/>
      <c r="N66" s="117"/>
    </row>
    <row r="67" customFormat="false" ht="19.85" hidden="false" customHeight="true" outlineLevel="0" collapsed="false">
      <c r="A67" s="1" t="n">
        <v>31</v>
      </c>
      <c r="B67" s="424" t="s">
        <v>720</v>
      </c>
      <c r="C67" s="56" t="n">
        <v>128000</v>
      </c>
      <c r="D67" s="26" t="s">
        <v>41</v>
      </c>
      <c r="E67" s="33" t="n">
        <f aca="false">IF(D67="totale",(C67/(A67*24))/F67,IF(D67="marché libre",(C67/(A67*24))/G67,"spécifier histo"))</f>
        <v>0.077847516177687</v>
      </c>
      <c r="F67" s="59" t="n">
        <f aca="false">H67</f>
        <v>2210</v>
      </c>
      <c r="G67" s="59" t="n">
        <f aca="false">F67-H67</f>
        <v>0</v>
      </c>
      <c r="H67" s="59" t="n">
        <f aca="false">660+1050+500</f>
        <v>2210</v>
      </c>
      <c r="J67" s="183"/>
      <c r="K67" s="117"/>
      <c r="L67" s="117"/>
      <c r="M67" s="117"/>
      <c r="N67" s="117"/>
    </row>
    <row r="68" customFormat="false" ht="19.85" hidden="false" customHeight="true" outlineLevel="0" collapsed="false">
      <c r="A68" s="1" t="n">
        <v>30</v>
      </c>
      <c r="B68" s="425" t="s">
        <v>721</v>
      </c>
      <c r="C68" s="56" t="n">
        <v>1051000</v>
      </c>
      <c r="D68" s="26" t="s">
        <v>41</v>
      </c>
      <c r="E68" s="33" t="n">
        <f aca="false">IF(D68="totale",(C68/(A68*24))/F68,IF(D68="marché libre",(C68/(A68*24))/G68,"spécifier histo"))</f>
        <v>0.660507792860734</v>
      </c>
      <c r="F68" s="59" t="n">
        <f aca="false">H68</f>
        <v>2210</v>
      </c>
      <c r="G68" s="59" t="n">
        <f aca="false">F68-H68</f>
        <v>0</v>
      </c>
      <c r="H68" s="59" t="n">
        <f aca="false">660+1050+500</f>
        <v>2210</v>
      </c>
      <c r="J68" s="183"/>
      <c r="K68" s="117"/>
      <c r="L68" s="117"/>
      <c r="M68" s="117"/>
      <c r="N68" s="117"/>
    </row>
    <row r="69" customFormat="false" ht="19.85" hidden="false" customHeight="true" outlineLevel="0" collapsed="false">
      <c r="A69" s="1" t="n">
        <v>31</v>
      </c>
      <c r="B69" s="426" t="s">
        <v>722</v>
      </c>
      <c r="C69" s="56" t="n">
        <v>1091000</v>
      </c>
      <c r="D69" s="26" t="s">
        <v>41</v>
      </c>
      <c r="E69" s="33" t="n">
        <f aca="false">IF(D69="totale",(C69/(A69*24))/F69,IF(D69="marché libre",(C69/(A69*24))/G69,"spécifier histo"))</f>
        <v>0.663528438670754</v>
      </c>
      <c r="F69" s="59" t="n">
        <f aca="false">H69</f>
        <v>2210</v>
      </c>
      <c r="G69" s="59" t="n">
        <f aca="false">F69-H69</f>
        <v>0</v>
      </c>
      <c r="H69" s="59" t="n">
        <f aca="false">660+1050+500</f>
        <v>2210</v>
      </c>
      <c r="J69" s="183"/>
      <c r="K69" s="117"/>
      <c r="L69" s="117"/>
      <c r="M69" s="117"/>
      <c r="N69" s="117"/>
    </row>
    <row r="70" customFormat="false" ht="19.85" hidden="false" customHeight="true" outlineLevel="0" collapsed="false">
      <c r="A70" s="1" t="n">
        <v>31</v>
      </c>
      <c r="B70" s="414" t="s">
        <v>723</v>
      </c>
      <c r="C70" s="56" t="n">
        <v>1002000</v>
      </c>
      <c r="D70" s="26" t="s">
        <v>41</v>
      </c>
      <c r="E70" s="33" t="n">
        <f aca="false">IF(D70="totale",(C70/(A70*24))/F70,IF(D70="marché libre",(C70/(A70*24))/G70,"spécifier histo"))</f>
        <v>0.609400087578456</v>
      </c>
      <c r="F70" s="59" t="n">
        <f aca="false">H70</f>
        <v>2210</v>
      </c>
      <c r="G70" s="59" t="n">
        <f aca="false">F70-H70</f>
        <v>0</v>
      </c>
      <c r="H70" s="59" t="n">
        <f aca="false">660+1050+500</f>
        <v>2210</v>
      </c>
      <c r="J70" s="183"/>
      <c r="K70" s="117"/>
      <c r="L70" s="117"/>
      <c r="M70" s="117"/>
      <c r="N70" s="117"/>
    </row>
    <row r="71" customFormat="false" ht="19.85" hidden="false" customHeight="true" outlineLevel="0" collapsed="false">
      <c r="A71" s="1" t="n">
        <v>28</v>
      </c>
      <c r="B71" s="416" t="s">
        <v>724</v>
      </c>
      <c r="C71" s="56" t="n">
        <v>701000</v>
      </c>
      <c r="D71" s="26" t="s">
        <v>41</v>
      </c>
      <c r="E71" s="33" t="n">
        <f aca="false">IF(D71="totale",(C71/(A71*24))/F71,IF(D71="marché libre",(C71/(A71*24))/G71,"spécifier histo"))</f>
        <v>0.47201572936867</v>
      </c>
      <c r="F71" s="59" t="n">
        <f aca="false">H71</f>
        <v>2210</v>
      </c>
      <c r="G71" s="59" t="n">
        <f aca="false">F71-H71</f>
        <v>0</v>
      </c>
      <c r="H71" s="59" t="n">
        <f aca="false">660+1050+500</f>
        <v>2210</v>
      </c>
      <c r="J71" s="183"/>
      <c r="K71" s="117"/>
      <c r="L71" s="117"/>
      <c r="M71" s="117"/>
      <c r="N71" s="117"/>
    </row>
    <row r="72" customFormat="false" ht="19.85" hidden="false" customHeight="true" outlineLevel="0" collapsed="false">
      <c r="A72" s="1" t="n">
        <v>31</v>
      </c>
      <c r="B72" s="417" t="s">
        <v>725</v>
      </c>
      <c r="C72" s="56" t="n">
        <v>881000</v>
      </c>
      <c r="D72" s="26" t="s">
        <v>41</v>
      </c>
      <c r="E72" s="33" t="n">
        <f aca="false">IF(D72="totale",(C72/(A72*24))/F72,IF(D72="marché libre",(C72/(A72*24))/G72,"spécifier histo"))</f>
        <v>0.535809857441736</v>
      </c>
      <c r="F72" s="59" t="n">
        <f aca="false">H72</f>
        <v>2210</v>
      </c>
      <c r="G72" s="59" t="n">
        <f aca="false">F72-H72</f>
        <v>0</v>
      </c>
      <c r="H72" s="59" t="n">
        <f aca="false">660+1050+500</f>
        <v>2210</v>
      </c>
      <c r="J72" s="183"/>
      <c r="K72" s="117"/>
      <c r="L72" s="117"/>
      <c r="M72" s="117"/>
      <c r="N72" s="117"/>
    </row>
    <row r="73" customFormat="false" ht="19.85" hidden="false" customHeight="true" outlineLevel="0" collapsed="false">
      <c r="A73" s="1" t="n">
        <v>30</v>
      </c>
      <c r="B73" s="418" t="s">
        <v>726</v>
      </c>
      <c r="C73" s="56" t="n">
        <v>864000</v>
      </c>
      <c r="D73" s="26" t="s">
        <v>41</v>
      </c>
      <c r="E73" s="33" t="n">
        <f aca="false">IF(D73="totale",(C73/(A73*24))/F73,IF(D73="marché libre",(C73/(A73*24))/G73,"spécifier histo"))</f>
        <v>0.542986425339366</v>
      </c>
      <c r="F73" s="59" t="n">
        <f aca="false">H73</f>
        <v>2210</v>
      </c>
      <c r="G73" s="59" t="n">
        <f aca="false">F73-H73</f>
        <v>0</v>
      </c>
      <c r="H73" s="59" t="n">
        <f aca="false">660+1050+500</f>
        <v>2210</v>
      </c>
      <c r="J73" s="183"/>
      <c r="K73" s="117"/>
      <c r="L73" s="117"/>
      <c r="M73" s="117"/>
      <c r="N73" s="117"/>
    </row>
    <row r="74" customFormat="false" ht="19.85" hidden="false" customHeight="true" outlineLevel="0" collapsed="false">
      <c r="A74" s="1" t="n">
        <v>31</v>
      </c>
      <c r="B74" s="419" t="s">
        <v>727</v>
      </c>
      <c r="C74" s="56" t="n">
        <v>1325000</v>
      </c>
      <c r="D74" s="26" t="s">
        <v>41</v>
      </c>
      <c r="E74" s="33" t="n">
        <f aca="false">IF(D74="totale",(C74/(A74*24))/F74,IF(D74="marché libre",(C74/(A74*24))/G74,"spécifier histo"))</f>
        <v>0.805843429183088</v>
      </c>
      <c r="F74" s="59" t="n">
        <f aca="false">H74</f>
        <v>2210</v>
      </c>
      <c r="G74" s="59" t="n">
        <f aca="false">F74-H74</f>
        <v>0</v>
      </c>
      <c r="H74" s="59" t="n">
        <f aca="false">660+1050+500</f>
        <v>2210</v>
      </c>
      <c r="J74" s="183"/>
      <c r="K74" s="117"/>
      <c r="L74" s="117"/>
      <c r="M74" s="117"/>
      <c r="N74" s="117"/>
    </row>
    <row r="75" customFormat="false" ht="19.85" hidden="false" customHeight="true" outlineLevel="0" collapsed="false">
      <c r="A75" s="1" t="n">
        <v>30</v>
      </c>
      <c r="B75" s="420" t="s">
        <v>728</v>
      </c>
      <c r="C75" s="56" t="n">
        <v>1290000</v>
      </c>
      <c r="D75" s="26" t="s">
        <v>41</v>
      </c>
      <c r="E75" s="33" t="n">
        <f aca="false">IF(D75="totale",(C75/(A75*24))/F75,IF(D75="marché libre",(C75/(A75*24))/G75,"spécifier histo"))</f>
        <v>0.810708898944193</v>
      </c>
      <c r="F75" s="59" t="n">
        <f aca="false">H75</f>
        <v>2210</v>
      </c>
      <c r="G75" s="59" t="n">
        <f aca="false">F75-H75</f>
        <v>0</v>
      </c>
      <c r="H75" s="59" t="n">
        <f aca="false">660+1050+500</f>
        <v>2210</v>
      </c>
      <c r="J75" s="183"/>
      <c r="K75" s="117"/>
      <c r="L75" s="117"/>
      <c r="M75" s="117"/>
      <c r="N75" s="117"/>
    </row>
    <row r="76" customFormat="false" ht="19.85" hidden="false" customHeight="true" outlineLevel="0" collapsed="false">
      <c r="A76" s="1" t="n">
        <v>31</v>
      </c>
      <c r="B76" s="421" t="s">
        <v>729</v>
      </c>
      <c r="C76" s="56" t="n">
        <v>597000</v>
      </c>
      <c r="D76" s="26" t="s">
        <v>41</v>
      </c>
      <c r="E76" s="33" t="n">
        <f aca="false">IF(D76="totale",(C76/(A76*24))/F76,IF(D76="marché libre",(C76/(A76*24))/G76,"spécifier histo"))</f>
        <v>0.363085680922493</v>
      </c>
      <c r="F76" s="59" t="n">
        <f aca="false">H76</f>
        <v>2210</v>
      </c>
      <c r="G76" s="59" t="n">
        <f aca="false">F76-H76</f>
        <v>0</v>
      </c>
      <c r="H76" s="59" t="n">
        <f aca="false">660+1050+500</f>
        <v>2210</v>
      </c>
      <c r="J76" s="183"/>
      <c r="K76" s="117"/>
      <c r="L76" s="117"/>
      <c r="M76" s="117"/>
      <c r="N76" s="117"/>
    </row>
    <row r="77" customFormat="false" ht="19.85" hidden="false" customHeight="true" outlineLevel="0" collapsed="false">
      <c r="A77" s="1" t="n">
        <v>31</v>
      </c>
      <c r="B77" s="422" t="s">
        <v>730</v>
      </c>
      <c r="C77" s="56" t="n">
        <v>270000</v>
      </c>
      <c r="D77" s="26" t="s">
        <v>41</v>
      </c>
      <c r="E77" s="33" t="n">
        <f aca="false">IF(D77="totale",(C77/(A77*24))/F77,IF(D77="marché libre",(C77/(A77*24))/G77,"spécifier histo"))</f>
        <v>0.164209604437308</v>
      </c>
      <c r="F77" s="59" t="n">
        <f aca="false">H77</f>
        <v>2210</v>
      </c>
      <c r="G77" s="59" t="n">
        <f aca="false">F77-H77</f>
        <v>0</v>
      </c>
      <c r="H77" s="59" t="n">
        <f aca="false">660+1050+500</f>
        <v>2210</v>
      </c>
      <c r="J77" s="183"/>
      <c r="K77" s="117"/>
      <c r="L77" s="117"/>
      <c r="M77" s="117"/>
      <c r="N77" s="117"/>
    </row>
    <row r="78" customFormat="false" ht="19.85" hidden="false" customHeight="true" outlineLevel="0" collapsed="false">
      <c r="A78" s="1" t="n">
        <v>30</v>
      </c>
      <c r="B78" s="423" t="s">
        <v>731</v>
      </c>
      <c r="C78" s="56" t="n">
        <v>152000</v>
      </c>
      <c r="D78" s="26" t="s">
        <v>41</v>
      </c>
      <c r="E78" s="33" t="n">
        <f aca="false">IF(D78="totale",(C78/(A78*24))/F78,IF(D78="marché libre",(C78/(A78*24))/G78,"spécifier histo"))</f>
        <v>0.0955253896430367</v>
      </c>
      <c r="F78" s="59" t="n">
        <f aca="false">H78</f>
        <v>2210</v>
      </c>
      <c r="G78" s="59" t="n">
        <f aca="false">F78-H78</f>
        <v>0</v>
      </c>
      <c r="H78" s="59" t="n">
        <f aca="false">660+1050+500</f>
        <v>2210</v>
      </c>
      <c r="J78" s="183"/>
      <c r="K78" s="117"/>
      <c r="L78" s="117"/>
      <c r="M78" s="117"/>
      <c r="N78" s="117"/>
    </row>
    <row r="79" customFormat="false" ht="19.85" hidden="false" customHeight="true" outlineLevel="0" collapsed="false">
      <c r="A79" s="1" t="n">
        <v>31</v>
      </c>
      <c r="B79" s="424" t="s">
        <v>732</v>
      </c>
      <c r="C79" s="56" t="n">
        <v>180000</v>
      </c>
      <c r="D79" s="26" t="s">
        <v>41</v>
      </c>
      <c r="E79" s="33" t="n">
        <f aca="false">IF(D79="totale",(C79/(A79*24))/F79,IF(D79="marché libre",(C79/(A79*24))/G79,"spécifier histo"))</f>
        <v>0.109473069624872</v>
      </c>
      <c r="F79" s="59" t="n">
        <f aca="false">H79</f>
        <v>2210</v>
      </c>
      <c r="G79" s="59" t="n">
        <f aca="false">F79-H79</f>
        <v>0</v>
      </c>
      <c r="H79" s="59" t="n">
        <f aca="false">660+1050+500</f>
        <v>2210</v>
      </c>
      <c r="J79" s="183"/>
      <c r="K79" s="117"/>
      <c r="L79" s="117"/>
      <c r="M79" s="117"/>
      <c r="N79" s="117"/>
    </row>
    <row r="80" customFormat="false" ht="19.85" hidden="false" customHeight="true" outlineLevel="0" collapsed="false">
      <c r="A80" s="1" t="n">
        <v>30</v>
      </c>
      <c r="B80" s="425" t="s">
        <v>733</v>
      </c>
      <c r="C80" s="56" t="n">
        <v>986000</v>
      </c>
      <c r="D80" s="26" t="s">
        <v>41</v>
      </c>
      <c r="E80" s="33" t="n">
        <f aca="false">IF(D80="totale",(C80/(A80*24))/F80,IF(D80="marché libre",(C80/(A80*24))/G80,"spécifier histo"))</f>
        <v>0.61965811965812</v>
      </c>
      <c r="F80" s="59" t="n">
        <f aca="false">H80</f>
        <v>2210</v>
      </c>
      <c r="G80" s="59" t="n">
        <f aca="false">F80-H80</f>
        <v>0</v>
      </c>
      <c r="H80" s="59" t="n">
        <f aca="false">660+1050+500</f>
        <v>2210</v>
      </c>
      <c r="J80" s="183"/>
      <c r="K80" s="117"/>
      <c r="L80" s="117"/>
      <c r="M80" s="117"/>
      <c r="N80" s="117"/>
    </row>
    <row r="81" customFormat="false" ht="19.85" hidden="false" customHeight="true" outlineLevel="0" collapsed="false">
      <c r="A81" s="1" t="n">
        <v>31</v>
      </c>
      <c r="B81" s="426" t="s">
        <v>734</v>
      </c>
      <c r="C81" s="56" t="n">
        <v>898000</v>
      </c>
      <c r="D81" s="26" t="s">
        <v>41</v>
      </c>
      <c r="E81" s="33" t="n">
        <f aca="false">IF(D81="totale",(C81/(A81*24))/F81,IF(D81="marché libre",(C81/(A81*24))/G81,"spécifier histo"))</f>
        <v>0.546148980684085</v>
      </c>
      <c r="F81" s="59" t="n">
        <f aca="false">H81</f>
        <v>2210</v>
      </c>
      <c r="G81" s="59" t="n">
        <f aca="false">F81-H81</f>
        <v>0</v>
      </c>
      <c r="H81" s="59" t="n">
        <f aca="false">660+1050+500</f>
        <v>2210</v>
      </c>
      <c r="J81" s="183"/>
      <c r="K81" s="117"/>
      <c r="L81" s="117"/>
      <c r="M81" s="117"/>
      <c r="N81" s="117"/>
    </row>
    <row r="82" customFormat="false" ht="19.85" hidden="false" customHeight="true" outlineLevel="0" collapsed="false">
      <c r="A82" s="1" t="n">
        <v>31</v>
      </c>
      <c r="B82" s="414" t="s">
        <v>735</v>
      </c>
      <c r="C82" s="56" t="n">
        <v>610000</v>
      </c>
      <c r="D82" s="26" t="s">
        <v>41</v>
      </c>
      <c r="E82" s="33" t="n">
        <f aca="false">IF(D82="totale",(C82/(A82*24))/F82,IF(D82="marché libre",(C82/(A82*24))/G82,"spécifier histo"))</f>
        <v>0.370992069284289</v>
      </c>
      <c r="F82" s="59" t="n">
        <f aca="false">H82</f>
        <v>2210</v>
      </c>
      <c r="G82" s="59" t="n">
        <f aca="false">F82-H82</f>
        <v>0</v>
      </c>
      <c r="H82" s="59" t="n">
        <f aca="false">660+1050+500</f>
        <v>2210</v>
      </c>
      <c r="J82" s="183"/>
      <c r="K82" s="117"/>
      <c r="L82" s="117"/>
      <c r="M82" s="117"/>
      <c r="N82" s="117"/>
    </row>
    <row r="83" customFormat="false" ht="19.85" hidden="false" customHeight="true" outlineLevel="0" collapsed="false">
      <c r="A83" s="1" t="n">
        <v>28</v>
      </c>
      <c r="B83" s="416" t="s">
        <v>736</v>
      </c>
      <c r="C83" s="56" t="n">
        <v>648000</v>
      </c>
      <c r="D83" s="26" t="s">
        <v>41</v>
      </c>
      <c r="E83" s="33" t="n">
        <f aca="false">IF(D83="totale",(C83/(A83*24))/F83,IF(D83="marché libre",(C83/(A83*24))/G83,"spécifier histo"))</f>
        <v>0.436328377504848</v>
      </c>
      <c r="F83" s="59" t="n">
        <f aca="false">H83</f>
        <v>2210</v>
      </c>
      <c r="G83" s="59" t="n">
        <f aca="false">F83-H83</f>
        <v>0</v>
      </c>
      <c r="H83" s="59" t="n">
        <f aca="false">660+1050+500</f>
        <v>2210</v>
      </c>
      <c r="J83" s="183"/>
      <c r="K83" s="117"/>
      <c r="L83" s="117"/>
      <c r="M83" s="117"/>
      <c r="N83" s="117"/>
    </row>
    <row r="84" customFormat="false" ht="19.85" hidden="false" customHeight="true" outlineLevel="0" collapsed="false">
      <c r="A84" s="1" t="n">
        <v>31</v>
      </c>
      <c r="B84" s="417" t="s">
        <v>737</v>
      </c>
      <c r="C84" s="56" t="n">
        <v>1279000</v>
      </c>
      <c r="D84" s="26" t="s">
        <v>41</v>
      </c>
      <c r="E84" s="33" t="n">
        <f aca="false">IF(D84="totale",(C84/(A84*24))/F84,IF(D84="marché libre",(C84/(A84*24))/G84,"spécifier histo"))</f>
        <v>0.777866978056731</v>
      </c>
      <c r="F84" s="59" t="n">
        <f aca="false">H84</f>
        <v>2210</v>
      </c>
      <c r="G84" s="59" t="n">
        <f aca="false">F84-H84</f>
        <v>0</v>
      </c>
      <c r="H84" s="59" t="n">
        <f aca="false">660+1050+500</f>
        <v>2210</v>
      </c>
      <c r="J84" s="183"/>
      <c r="K84" s="117"/>
      <c r="L84" s="117"/>
      <c r="M84" s="117"/>
      <c r="N84" s="117"/>
    </row>
    <row r="85" customFormat="false" ht="19.85" hidden="false" customHeight="true" outlineLevel="0" collapsed="false">
      <c r="A85" s="1" t="n">
        <v>30</v>
      </c>
      <c r="B85" s="418" t="s">
        <v>738</v>
      </c>
      <c r="C85" s="56" t="n">
        <v>1215000</v>
      </c>
      <c r="D85" s="26" t="s">
        <v>41</v>
      </c>
      <c r="E85" s="33" t="n">
        <f aca="false">IF(D85="totale",(C85/(A85*24))/F85,IF(D85="marché libre",(C85/(A85*24))/G85,"spécifier histo"))</f>
        <v>0.763574660633484</v>
      </c>
      <c r="F85" s="59" t="n">
        <f aca="false">H85</f>
        <v>2210</v>
      </c>
      <c r="G85" s="59" t="n">
        <f aca="false">F85-H85</f>
        <v>0</v>
      </c>
      <c r="H85" s="59" t="n">
        <f aca="false">660+1050+500</f>
        <v>2210</v>
      </c>
      <c r="J85" s="183"/>
      <c r="K85" s="117"/>
      <c r="L85" s="117"/>
      <c r="M85" s="117"/>
      <c r="N85" s="117"/>
    </row>
    <row r="86" customFormat="false" ht="19.85" hidden="false" customHeight="true" outlineLevel="0" collapsed="false">
      <c r="A86" s="1" t="n">
        <v>31</v>
      </c>
      <c r="B86" s="419" t="s">
        <v>739</v>
      </c>
      <c r="C86" s="56" t="n">
        <v>708000</v>
      </c>
      <c r="D86" s="26" t="s">
        <v>41</v>
      </c>
      <c r="E86" s="33" t="n">
        <f aca="false">IF(D86="totale",(C86/(A86*24))/F86,IF(D86="marché libre",(C86/(A86*24))/G86,"spécifier histo"))</f>
        <v>0.430594073857831</v>
      </c>
      <c r="F86" s="59" t="n">
        <f aca="false">H86</f>
        <v>2210</v>
      </c>
      <c r="G86" s="59" t="n">
        <f aca="false">F86-H86</f>
        <v>0</v>
      </c>
      <c r="H86" s="59" t="n">
        <f aca="false">660+1050+500</f>
        <v>2210</v>
      </c>
      <c r="J86" s="183"/>
      <c r="K86" s="117"/>
      <c r="L86" s="117"/>
      <c r="M86" s="117"/>
      <c r="N86" s="117"/>
    </row>
    <row r="87" customFormat="false" ht="19.85" hidden="false" customHeight="true" outlineLevel="0" collapsed="false">
      <c r="A87" s="1" t="n">
        <v>30</v>
      </c>
      <c r="B87" s="420" t="s">
        <v>740</v>
      </c>
      <c r="C87" s="56" t="n">
        <v>755000</v>
      </c>
      <c r="D87" s="26" t="s">
        <v>41</v>
      </c>
      <c r="E87" s="33" t="n">
        <f aca="false">IF(D87="totale",(C87/(A87*24))/F87,IF(D87="marché libre",(C87/(A87*24))/G87,"spécifier histo"))</f>
        <v>0.474484665661136</v>
      </c>
      <c r="F87" s="59" t="n">
        <f aca="false">H87</f>
        <v>2210</v>
      </c>
      <c r="G87" s="59" t="n">
        <f aca="false">F87-H87</f>
        <v>0</v>
      </c>
      <c r="H87" s="59" t="n">
        <f aca="false">660+1050+500</f>
        <v>2210</v>
      </c>
      <c r="J87" s="183"/>
      <c r="K87" s="117"/>
      <c r="L87" s="117"/>
      <c r="M87" s="117"/>
      <c r="N87" s="117"/>
    </row>
    <row r="88" customFormat="false" ht="19.85" hidden="false" customHeight="true" outlineLevel="0" collapsed="false">
      <c r="A88" s="1" t="n">
        <v>31</v>
      </c>
      <c r="B88" s="421" t="s">
        <v>741</v>
      </c>
      <c r="C88" s="56" t="n">
        <v>757000</v>
      </c>
      <c r="D88" s="26" t="s">
        <v>41</v>
      </c>
      <c r="E88" s="33" t="n">
        <f aca="false">IF(D88="totale",(C88/(A88*24))/F88,IF(D88="marché libre",(C88/(A88*24))/G88,"spécifier histo"))</f>
        <v>0.460395076144602</v>
      </c>
      <c r="F88" s="59" t="n">
        <f aca="false">H88</f>
        <v>2210</v>
      </c>
      <c r="G88" s="59" t="n">
        <f aca="false">F88-H88</f>
        <v>0</v>
      </c>
      <c r="H88" s="59" t="n">
        <f aca="false">660+1050+500</f>
        <v>2210</v>
      </c>
      <c r="J88" s="183"/>
      <c r="K88" s="117"/>
      <c r="L88" s="117"/>
      <c r="M88" s="117"/>
      <c r="N88" s="117"/>
    </row>
    <row r="89" customFormat="false" ht="19.85" hidden="false" customHeight="true" outlineLevel="0" collapsed="false">
      <c r="A89" s="1" t="n">
        <v>31</v>
      </c>
      <c r="B89" s="422" t="s">
        <v>742</v>
      </c>
      <c r="C89" s="56" t="n">
        <v>663000</v>
      </c>
      <c r="D89" s="26" t="s">
        <v>41</v>
      </c>
      <c r="E89" s="33" t="n">
        <f aca="false">IF(D89="totale",(C89/(A89*24))/F89,IF(D89="marché libre",(C89/(A89*24))/G89,"spécifier histo"))</f>
        <v>0.403225806451613</v>
      </c>
      <c r="F89" s="59" t="n">
        <f aca="false">H89</f>
        <v>2210</v>
      </c>
      <c r="G89" s="59" t="n">
        <f aca="false">F89-H89</f>
        <v>0</v>
      </c>
      <c r="H89" s="59" t="n">
        <f aca="false">660+1050+500</f>
        <v>2210</v>
      </c>
      <c r="J89" s="183"/>
      <c r="K89" s="117"/>
      <c r="L89" s="117"/>
      <c r="M89" s="117"/>
      <c r="N89" s="117"/>
    </row>
    <row r="90" customFormat="false" ht="19.85" hidden="false" customHeight="true" outlineLevel="0" collapsed="false">
      <c r="A90" s="1" t="n">
        <v>30</v>
      </c>
      <c r="B90" s="423" t="s">
        <v>743</v>
      </c>
      <c r="C90" s="56" t="n">
        <v>315000</v>
      </c>
      <c r="D90" s="26" t="s">
        <v>41</v>
      </c>
      <c r="E90" s="33" t="n">
        <f aca="false">IF(D90="totale",(C90/(A90*24))/F90,IF(D90="marché libre",(C90/(A90*24))/G90,"spécifier histo"))</f>
        <v>0.197963800904977</v>
      </c>
      <c r="F90" s="59" t="n">
        <f aca="false">H90</f>
        <v>2210</v>
      </c>
      <c r="G90" s="59" t="n">
        <f aca="false">F90-H90</f>
        <v>0</v>
      </c>
      <c r="H90" s="59" t="n">
        <f aca="false">660+1050+500</f>
        <v>2210</v>
      </c>
      <c r="J90" s="183"/>
      <c r="K90" s="117"/>
      <c r="L90" s="117"/>
      <c r="M90" s="117"/>
      <c r="N90" s="117"/>
    </row>
    <row r="91" customFormat="false" ht="19.85" hidden="false" customHeight="true" outlineLevel="0" collapsed="false">
      <c r="A91" s="1" t="n">
        <v>31</v>
      </c>
      <c r="B91" s="424" t="s">
        <v>744</v>
      </c>
      <c r="C91" s="56" t="n">
        <v>150000</v>
      </c>
      <c r="D91" s="26" t="s">
        <v>41</v>
      </c>
      <c r="E91" s="33" t="n">
        <f aca="false">IF(D91="totale",(C91/(A91*24))/F91,IF(D91="marché libre",(C91/(A91*24))/G91,"spécifier histo"))</f>
        <v>0.0912275580207269</v>
      </c>
      <c r="F91" s="59" t="n">
        <f aca="false">H91</f>
        <v>2210</v>
      </c>
      <c r="G91" s="59" t="n">
        <f aca="false">F91-H91</f>
        <v>0</v>
      </c>
      <c r="H91" s="59" t="n">
        <f aca="false">660+1050+500</f>
        <v>2210</v>
      </c>
      <c r="J91" s="183"/>
      <c r="K91" s="117"/>
      <c r="L91" s="117"/>
      <c r="M91" s="117"/>
      <c r="N91" s="117"/>
    </row>
    <row r="92" customFormat="false" ht="19.85" hidden="false" customHeight="true" outlineLevel="0" collapsed="false">
      <c r="A92" s="1" t="n">
        <v>30</v>
      </c>
      <c r="B92" s="425" t="s">
        <v>745</v>
      </c>
      <c r="C92" s="56" t="n">
        <v>796700</v>
      </c>
      <c r="D92" s="26" t="s">
        <v>41</v>
      </c>
      <c r="E92" s="33" t="n">
        <f aca="false">IF(D92="totale",(C92/(A92*24))/F92,IF(D92="marché libre",(C92/(A92*24))/G92,"spécifier histo"))</f>
        <v>0.50069130216189</v>
      </c>
      <c r="F92" s="59" t="n">
        <f aca="false">H92</f>
        <v>2210</v>
      </c>
      <c r="G92" s="59" t="n">
        <f aca="false">F92-H92</f>
        <v>0</v>
      </c>
      <c r="H92" s="59" t="n">
        <f aca="false">660+1050+500</f>
        <v>2210</v>
      </c>
      <c r="J92" s="183"/>
      <c r="K92" s="117"/>
      <c r="L92" s="117"/>
      <c r="M92" s="117"/>
      <c r="N92" s="117"/>
    </row>
    <row r="93" customFormat="false" ht="19.85" hidden="false" customHeight="true" outlineLevel="0" collapsed="false">
      <c r="A93" s="1" t="n">
        <v>31</v>
      </c>
      <c r="B93" s="426" t="s">
        <v>746</v>
      </c>
      <c r="C93" s="56" t="n">
        <v>656200</v>
      </c>
      <c r="D93" s="26" t="s">
        <v>41</v>
      </c>
      <c r="E93" s="33" t="n">
        <f aca="false">IF(D93="totale",(C93/(A93*24))/F93,IF(D93="marché libre",(C93/(A93*24))/G93,"spécifier histo"))</f>
        <v>0.399090157154673</v>
      </c>
      <c r="F93" s="59" t="n">
        <f aca="false">H93</f>
        <v>2210</v>
      </c>
      <c r="G93" s="59" t="n">
        <f aca="false">F93-H93</f>
        <v>0</v>
      </c>
      <c r="H93" s="59" t="n">
        <f aca="false">660+1050+500</f>
        <v>2210</v>
      </c>
      <c r="J93" s="183"/>
      <c r="K93" s="117"/>
      <c r="L93" s="117"/>
      <c r="M93" s="117"/>
      <c r="N93" s="117"/>
    </row>
    <row r="94" customFormat="false" ht="19.85" hidden="false" customHeight="true" outlineLevel="0" collapsed="false">
      <c r="A94" s="1" t="n">
        <v>31</v>
      </c>
      <c r="B94" s="414" t="s">
        <v>747</v>
      </c>
      <c r="C94" s="56" t="n">
        <v>871489</v>
      </c>
      <c r="D94" s="26" t="s">
        <v>41</v>
      </c>
      <c r="E94" s="33" t="n">
        <f aca="false">IF(D94="totale",(C94/(A94*24))/F94,IF(D94="marché libre",(C94/(A94*24))/G94,"spécifier histo"))</f>
        <v>0.530025422079502</v>
      </c>
      <c r="F94" s="59" t="n">
        <f aca="false">H94</f>
        <v>2210</v>
      </c>
      <c r="G94" s="59" t="n">
        <f aca="false">F94-H94</f>
        <v>0</v>
      </c>
      <c r="H94" s="59" t="n">
        <f aca="false">660+1050+500</f>
        <v>2210</v>
      </c>
      <c r="J94" s="183"/>
      <c r="K94" s="117"/>
      <c r="L94" s="117"/>
      <c r="M94" s="117"/>
      <c r="N94" s="117"/>
    </row>
    <row r="95" customFormat="false" ht="19.85" hidden="false" customHeight="true" outlineLevel="0" collapsed="false">
      <c r="A95" s="1" t="n">
        <v>28</v>
      </c>
      <c r="B95" s="416" t="s">
        <v>748</v>
      </c>
      <c r="C95" s="56" t="n">
        <v>484729</v>
      </c>
      <c r="D95" s="26" t="s">
        <v>41</v>
      </c>
      <c r="E95" s="33" t="n">
        <f aca="false">IF(D95="totale",(C95/(A95*24))/F95,IF(D95="marché libre",(C95/(A95*24))/G95,"spécifier histo"))</f>
        <v>0.326390460030166</v>
      </c>
      <c r="F95" s="59" t="n">
        <f aca="false">H95</f>
        <v>2210</v>
      </c>
      <c r="G95" s="59" t="n">
        <f aca="false">F95-H95</f>
        <v>0</v>
      </c>
      <c r="H95" s="59" t="n">
        <f aca="false">660+1050+500</f>
        <v>2210</v>
      </c>
      <c r="J95" s="183"/>
      <c r="K95" s="117"/>
      <c r="L95" s="117"/>
      <c r="M95" s="117"/>
      <c r="N95" s="117"/>
    </row>
    <row r="96" customFormat="false" ht="19.85" hidden="false" customHeight="true" outlineLevel="0" collapsed="false">
      <c r="A96" s="1" t="n">
        <v>31</v>
      </c>
      <c r="B96" s="417" t="s">
        <v>749</v>
      </c>
      <c r="C96" s="56" t="n">
        <v>796868</v>
      </c>
      <c r="D96" s="26" t="s">
        <v>41</v>
      </c>
      <c r="E96" s="33" t="n">
        <f aca="false">IF(D96="totale",(C96/(A96*24))/F96,IF(D96="marché libre",(C96/(A96*24))/G96,"spécifier histo"))</f>
        <v>0.484642144699071</v>
      </c>
      <c r="F96" s="59" t="n">
        <f aca="false">H96</f>
        <v>2210</v>
      </c>
      <c r="G96" s="59" t="n">
        <f aca="false">F96-H96</f>
        <v>0</v>
      </c>
      <c r="H96" s="59" t="n">
        <f aca="false">660+1050+500</f>
        <v>2210</v>
      </c>
      <c r="J96" s="183"/>
      <c r="K96" s="117"/>
      <c r="L96" s="117"/>
      <c r="M96" s="117"/>
      <c r="N96" s="117"/>
    </row>
    <row r="97" customFormat="false" ht="19.85" hidden="false" customHeight="true" outlineLevel="0" collapsed="false">
      <c r="A97" s="1" t="n">
        <v>30</v>
      </c>
      <c r="B97" s="418" t="s">
        <v>750</v>
      </c>
      <c r="C97" s="56" t="n">
        <v>1035911</v>
      </c>
      <c r="D97" s="26" t="s">
        <v>41</v>
      </c>
      <c r="E97" s="33" t="n">
        <f aca="false">IF(D97="totale",(C97/(A97*24))/F97,IF(D97="marché libre",(C97/(A97*24))/G97,"spécifier histo"))</f>
        <v>0.65102501256913</v>
      </c>
      <c r="F97" s="59" t="n">
        <f aca="false">H97</f>
        <v>2210</v>
      </c>
      <c r="G97" s="59" t="n">
        <f aca="false">F97-H97</f>
        <v>0</v>
      </c>
      <c r="H97" s="59" t="n">
        <f aca="false">660+1050+500</f>
        <v>2210</v>
      </c>
      <c r="J97" s="183"/>
      <c r="K97" s="117"/>
      <c r="L97" s="117"/>
      <c r="M97" s="117"/>
      <c r="N97" s="117"/>
    </row>
    <row r="98" customFormat="false" ht="19.85" hidden="false" customHeight="true" outlineLevel="0" collapsed="false">
      <c r="A98" s="1" t="n">
        <v>31</v>
      </c>
      <c r="B98" s="419" t="s">
        <v>751</v>
      </c>
      <c r="C98" s="56" t="n">
        <v>1459205</v>
      </c>
      <c r="D98" s="26" t="s">
        <v>41</v>
      </c>
      <c r="E98" s="33" t="n">
        <f aca="false">IF(D98="totale",(C98/(A98*24))/F98,IF(D98="marché libre",(C98/(A98*24))/G98,"spécifier histo"))</f>
        <v>0.887464725344232</v>
      </c>
      <c r="F98" s="59" t="n">
        <f aca="false">H98</f>
        <v>2210</v>
      </c>
      <c r="G98" s="59" t="n">
        <f aca="false">F98-H98</f>
        <v>0</v>
      </c>
      <c r="H98" s="59" t="n">
        <f aca="false">660+1050+500</f>
        <v>2210</v>
      </c>
      <c r="J98" s="183"/>
      <c r="K98" s="117"/>
      <c r="L98" s="117"/>
      <c r="M98" s="117"/>
      <c r="N98" s="117"/>
    </row>
    <row r="99" customFormat="false" ht="19.85" hidden="false" customHeight="true" outlineLevel="0" collapsed="false">
      <c r="A99" s="1" t="n">
        <v>30</v>
      </c>
      <c r="B99" s="420" t="s">
        <v>752</v>
      </c>
      <c r="C99" s="56" t="n">
        <v>736331</v>
      </c>
      <c r="D99" s="26" t="s">
        <v>41</v>
      </c>
      <c r="E99" s="33" t="n">
        <f aca="false">IF(D99="totale",(C99/(A99*24))/F99,IF(D99="marché libre",(C99/(A99*24))/G99,"spécifier histo"))</f>
        <v>0.462752011060835</v>
      </c>
      <c r="F99" s="59" t="n">
        <f aca="false">H99</f>
        <v>2210</v>
      </c>
      <c r="G99" s="59" t="n">
        <f aca="false">F99-H99</f>
        <v>0</v>
      </c>
      <c r="H99" s="59" t="n">
        <f aca="false">660+1050+500</f>
        <v>2210</v>
      </c>
      <c r="J99" s="183"/>
      <c r="K99" s="117"/>
      <c r="L99" s="117"/>
      <c r="M99" s="117"/>
      <c r="N99" s="117"/>
    </row>
    <row r="100" customFormat="false" ht="19.85" hidden="false" customHeight="true" outlineLevel="0" collapsed="false">
      <c r="A100" s="1" t="n">
        <v>31</v>
      </c>
      <c r="B100" s="421" t="s">
        <v>753</v>
      </c>
      <c r="C100" s="56" t="n">
        <v>427578</v>
      </c>
      <c r="D100" s="26" t="s">
        <v>41</v>
      </c>
      <c r="E100" s="33" t="n">
        <f aca="false">IF(D100="totale",(C100/(A100*24))/F100,IF(D100="marché libre",(C100/(A100*24))/G100,"spécifier histo"))</f>
        <v>0.260045978689242</v>
      </c>
      <c r="F100" s="59" t="n">
        <f aca="false">H100</f>
        <v>2210</v>
      </c>
      <c r="G100" s="59" t="n">
        <f aca="false">F100-H100</f>
        <v>0</v>
      </c>
      <c r="H100" s="59" t="n">
        <f aca="false">660+1050+500</f>
        <v>2210</v>
      </c>
      <c r="J100" s="183"/>
      <c r="K100" s="117"/>
      <c r="L100" s="117"/>
      <c r="M100" s="117"/>
      <c r="N100" s="117"/>
    </row>
    <row r="101" customFormat="false" ht="19.85" hidden="false" customHeight="true" outlineLevel="0" collapsed="false">
      <c r="A101" s="1" t="n">
        <v>31</v>
      </c>
      <c r="B101" s="422" t="s">
        <v>754</v>
      </c>
      <c r="C101" s="56" t="n">
        <v>227477</v>
      </c>
      <c r="D101" s="26" t="s">
        <v>41</v>
      </c>
      <c r="E101" s="33" t="n">
        <f aca="false">IF(D101="totale",(C101/(A101*24))/F101,IF(D101="marché libre",(C101/(A101*24))/G101,"spécifier histo"))</f>
        <v>0.138347808105873</v>
      </c>
      <c r="F101" s="59" t="n">
        <f aca="false">H101</f>
        <v>2210</v>
      </c>
      <c r="G101" s="59" t="n">
        <f aca="false">F101-H101</f>
        <v>0</v>
      </c>
      <c r="H101" s="59" t="n">
        <f aca="false">660+1050+500</f>
        <v>2210</v>
      </c>
      <c r="J101" s="183"/>
      <c r="K101" s="117"/>
      <c r="L101" s="117"/>
      <c r="M101" s="117"/>
      <c r="N101" s="117"/>
    </row>
    <row r="102" customFormat="false" ht="19.85" hidden="false" customHeight="true" outlineLevel="0" collapsed="false">
      <c r="A102" s="1" t="n">
        <v>30</v>
      </c>
      <c r="B102" s="423" t="s">
        <v>755</v>
      </c>
      <c r="C102" s="56" t="n">
        <v>88112</v>
      </c>
      <c r="D102" s="26" t="s">
        <v>41</v>
      </c>
      <c r="E102" s="33" t="n">
        <f aca="false">IF(D102="totale",(C102/(A102*24))/F102,IF(D102="marché libre",(C102/(A102*24))/G102,"spécifier histo"))</f>
        <v>0.0553745600804424</v>
      </c>
      <c r="F102" s="59" t="n">
        <f aca="false">H102</f>
        <v>2210</v>
      </c>
      <c r="G102" s="59" t="n">
        <f aca="false">F102-H102</f>
        <v>0</v>
      </c>
      <c r="H102" s="59" t="n">
        <f aca="false">660+1050+500</f>
        <v>2210</v>
      </c>
      <c r="J102" s="428" t="s">
        <v>756</v>
      </c>
      <c r="K102" s="117"/>
      <c r="L102" s="117"/>
      <c r="M102" s="117"/>
      <c r="N102" s="117"/>
    </row>
    <row r="103" customFormat="false" ht="19.85" hidden="false" customHeight="true" outlineLevel="0" collapsed="false">
      <c r="A103" s="1" t="n">
        <v>31</v>
      </c>
      <c r="B103" s="424" t="s">
        <v>757</v>
      </c>
      <c r="C103" s="56" t="n">
        <v>359000</v>
      </c>
      <c r="D103" s="26" t="s">
        <v>41</v>
      </c>
      <c r="E103" s="33" t="n">
        <f aca="false">IF(D103="totale",(C103/(A103*24))/F103,IF(D103="marché libre",(C103/(A103*24))/G103,"spécifier histo"))</f>
        <v>0.228685725933853</v>
      </c>
      <c r="F103" s="59" t="n">
        <f aca="false">G103+H103</f>
        <v>2110</v>
      </c>
      <c r="G103" s="59" t="n">
        <f aca="false">1050+660</f>
        <v>1710</v>
      </c>
      <c r="H103" s="59" t="n">
        <v>400</v>
      </c>
      <c r="J103" s="183" t="s">
        <v>758</v>
      </c>
      <c r="K103" s="117"/>
      <c r="L103" s="117"/>
      <c r="M103" s="117"/>
      <c r="N103" s="117"/>
    </row>
    <row r="104" customFormat="false" ht="19.85" hidden="false" customHeight="true" outlineLevel="0" collapsed="false">
      <c r="A104" s="1" t="n">
        <v>30</v>
      </c>
      <c r="B104" s="425" t="s">
        <v>759</v>
      </c>
      <c r="C104" s="56" t="n">
        <v>548000</v>
      </c>
      <c r="D104" s="26" t="s">
        <v>41</v>
      </c>
      <c r="E104" s="33" t="n">
        <f aca="false">IF(D104="totale",(C104/(A104*24))/F104,IF(D104="marché libre",(C104/(A104*24))/G104,"spécifier histo"))</f>
        <v>0.36071616640337</v>
      </c>
      <c r="F104" s="59" t="n">
        <f aca="false">G104+H104</f>
        <v>2110</v>
      </c>
      <c r="G104" s="59" t="n">
        <f aca="false">1050+660</f>
        <v>1710</v>
      </c>
      <c r="H104" s="59" t="n">
        <v>400</v>
      </c>
      <c r="J104" s="183"/>
      <c r="K104" s="117"/>
      <c r="L104" s="117"/>
      <c r="M104" s="117"/>
      <c r="N104" s="117"/>
    </row>
    <row r="105" customFormat="false" ht="19.85" hidden="false" customHeight="true" outlineLevel="0" collapsed="false">
      <c r="A105" s="1" t="n">
        <v>31</v>
      </c>
      <c r="B105" s="426" t="s">
        <v>760</v>
      </c>
      <c r="C105" s="56" t="n">
        <v>1235000</v>
      </c>
      <c r="D105" s="26" t="s">
        <v>41</v>
      </c>
      <c r="E105" s="33" t="n">
        <f aca="false">IF(D105="totale",(C105/(A105*24))/F105,IF(D105="marché libre",(C105/(A105*24))/G105,"spécifier histo"))</f>
        <v>0.78670437751618</v>
      </c>
      <c r="F105" s="59" t="n">
        <f aca="false">G105+H105</f>
        <v>2110</v>
      </c>
      <c r="G105" s="59" t="n">
        <f aca="false">1050+660</f>
        <v>1710</v>
      </c>
      <c r="H105" s="59" t="n">
        <v>400</v>
      </c>
      <c r="J105" s="183"/>
      <c r="K105" s="117"/>
      <c r="L105" s="117"/>
      <c r="M105" s="117"/>
      <c r="N105" s="117"/>
    </row>
    <row r="106" customFormat="false" ht="19.85" hidden="false" customHeight="true" outlineLevel="0" collapsed="false">
      <c r="A106" s="1" t="n">
        <v>31</v>
      </c>
      <c r="B106" s="414" t="s">
        <v>761</v>
      </c>
      <c r="C106" s="56" t="n">
        <v>1105300</v>
      </c>
      <c r="D106" s="26" t="s">
        <v>41</v>
      </c>
      <c r="E106" s="33" t="n">
        <f aca="false">IF(D106="totale",(C106/(A106*24))/F106,IF(D106="marché libre",(C106/(A106*24))/G106,"spécifier histo"))</f>
        <v>0.704084492687153</v>
      </c>
      <c r="F106" s="59" t="n">
        <f aca="false">G106+H106</f>
        <v>2110</v>
      </c>
      <c r="G106" s="59" t="n">
        <f aca="false">1050+660</f>
        <v>1710</v>
      </c>
      <c r="H106" s="59" t="n">
        <v>400</v>
      </c>
      <c r="J106" s="183"/>
      <c r="K106" s="117"/>
      <c r="L106" s="117"/>
      <c r="M106" s="117"/>
      <c r="N106" s="117"/>
    </row>
    <row r="107" customFormat="false" ht="19.85" hidden="false" customHeight="true" outlineLevel="0" collapsed="false">
      <c r="A107" s="1" t="n">
        <v>28</v>
      </c>
      <c r="B107" s="416" t="s">
        <v>762</v>
      </c>
      <c r="C107" s="56" t="n">
        <v>1029800</v>
      </c>
      <c r="D107" s="26" t="s">
        <v>41</v>
      </c>
      <c r="E107" s="33" t="n">
        <f aca="false">IF(D107="totale",(C107/(A107*24))/F107,IF(D107="marché libre",(C107/(A107*24))/G107,"spécifier histo"))</f>
        <v>0.726275107199278</v>
      </c>
      <c r="F107" s="59" t="n">
        <f aca="false">G107+H107</f>
        <v>2110</v>
      </c>
      <c r="G107" s="59" t="n">
        <f aca="false">1050+660</f>
        <v>1710</v>
      </c>
      <c r="H107" s="59" t="n">
        <v>400</v>
      </c>
      <c r="J107" s="183"/>
      <c r="K107" s="117"/>
      <c r="L107" s="117"/>
      <c r="M107" s="117"/>
      <c r="N107" s="117"/>
    </row>
    <row r="108" customFormat="false" ht="19.85" hidden="false" customHeight="true" outlineLevel="0" collapsed="false">
      <c r="A108" s="1" t="n">
        <v>31</v>
      </c>
      <c r="B108" s="417" t="s">
        <v>763</v>
      </c>
      <c r="C108" s="56" t="n">
        <v>1373400</v>
      </c>
      <c r="D108" s="26" t="s">
        <v>41</v>
      </c>
      <c r="E108" s="33" t="n">
        <f aca="false">IF(D108="totale",(C108/(A108*24))/F108,IF(D108="marché libre",(C108/(A108*24))/G108,"spécifier histo"))</f>
        <v>0.874866228405443</v>
      </c>
      <c r="F108" s="59" t="n">
        <f aca="false">G108+H108</f>
        <v>2110</v>
      </c>
      <c r="G108" s="59" t="n">
        <f aca="false">1050+660</f>
        <v>1710</v>
      </c>
      <c r="H108" s="59" t="n">
        <v>400</v>
      </c>
      <c r="J108" s="183"/>
      <c r="K108" s="117"/>
      <c r="L108" s="117"/>
      <c r="M108" s="117"/>
      <c r="N108" s="117"/>
    </row>
    <row r="109" customFormat="false" ht="19.85" hidden="false" customHeight="true" outlineLevel="0" collapsed="false">
      <c r="A109" s="1" t="n">
        <v>30</v>
      </c>
      <c r="B109" s="418" t="s">
        <v>764</v>
      </c>
      <c r="C109" s="56" t="n">
        <v>1533200</v>
      </c>
      <c r="D109" s="26" t="s">
        <v>41</v>
      </c>
      <c r="E109" s="33" t="n">
        <f aca="false">IF(D109="totale",(C109/(A109*24))/F109,IF(D109="marché libre",(C109/(A109*24))/G109,"spécifier histo"))</f>
        <v>1.00921537651395</v>
      </c>
      <c r="F109" s="59" t="n">
        <f aca="false">G109+H109</f>
        <v>2110</v>
      </c>
      <c r="G109" s="59" t="n">
        <f aca="false">1050+660</f>
        <v>1710</v>
      </c>
      <c r="H109" s="59" t="n">
        <v>400</v>
      </c>
      <c r="J109" s="183"/>
      <c r="K109" s="117"/>
      <c r="L109" s="117"/>
      <c r="M109" s="117"/>
      <c r="N109" s="117"/>
    </row>
    <row r="110" customFormat="false" ht="19.85" hidden="false" customHeight="true" outlineLevel="0" collapsed="false">
      <c r="A110" s="1" t="n">
        <v>31</v>
      </c>
      <c r="B110" s="419" t="s">
        <v>765</v>
      </c>
      <c r="C110" s="56" t="n">
        <v>1516000</v>
      </c>
      <c r="D110" s="26" t="s">
        <v>41</v>
      </c>
      <c r="E110" s="33" t="n">
        <f aca="false">IF(D110="totale",(C110/(A110*24))/F110,IF(D110="marché libre",(C110/(A110*24))/G110,"spécifier histo"))</f>
        <v>0.965703511185853</v>
      </c>
      <c r="F110" s="59" t="n">
        <f aca="false">G110+H110</f>
        <v>2110</v>
      </c>
      <c r="G110" s="59" t="n">
        <f aca="false">1050+660</f>
        <v>1710</v>
      </c>
      <c r="H110" s="59" t="n">
        <v>400</v>
      </c>
      <c r="J110" s="183"/>
      <c r="K110" s="117"/>
      <c r="L110" s="117"/>
      <c r="M110" s="117"/>
      <c r="N110" s="117"/>
    </row>
    <row r="111" customFormat="false" ht="19.85" hidden="false" customHeight="true" outlineLevel="0" collapsed="false">
      <c r="A111" s="1" t="n">
        <v>30</v>
      </c>
      <c r="B111" s="420" t="s">
        <v>766</v>
      </c>
      <c r="C111" s="56" t="n">
        <v>1433400</v>
      </c>
      <c r="D111" s="26" t="s">
        <v>41</v>
      </c>
      <c r="E111" s="33" t="n">
        <f aca="false">IF(D111="totale",(C111/(A111*24))/F111,IF(D111="marché libre",(C111/(A111*24))/G111,"spécifier histo"))</f>
        <v>0.943522906793049</v>
      </c>
      <c r="F111" s="59" t="n">
        <f aca="false">G111+H111</f>
        <v>2110</v>
      </c>
      <c r="G111" s="59" t="n">
        <f aca="false">1050+660</f>
        <v>1710</v>
      </c>
      <c r="H111" s="59" t="n">
        <v>400</v>
      </c>
      <c r="J111" s="183"/>
      <c r="K111" s="117"/>
      <c r="L111" s="117"/>
      <c r="M111" s="117"/>
      <c r="N111" s="117"/>
    </row>
    <row r="112" customFormat="false" ht="19.85" hidden="false" customHeight="true" outlineLevel="0" collapsed="false">
      <c r="A112" s="1" t="n">
        <v>31</v>
      </c>
      <c r="B112" s="421" t="s">
        <v>767</v>
      </c>
      <c r="C112" s="56" t="n">
        <v>946300</v>
      </c>
      <c r="D112" s="26" t="s">
        <v>41</v>
      </c>
      <c r="E112" s="33" t="n">
        <f aca="false">IF(D112="totale",(C112/(A112*24))/F112,IF(D112="marché libre",(C112/(A112*24))/G112,"spécifier histo"))</f>
        <v>0.602800285379402</v>
      </c>
      <c r="F112" s="59" t="n">
        <f aca="false">G112+H112</f>
        <v>2110</v>
      </c>
      <c r="G112" s="59" t="n">
        <f aca="false">1050+660</f>
        <v>1710</v>
      </c>
      <c r="H112" s="59" t="n">
        <v>400</v>
      </c>
      <c r="J112" s="183"/>
      <c r="K112" s="117"/>
      <c r="L112" s="117"/>
      <c r="M112" s="117"/>
      <c r="N112" s="117"/>
    </row>
    <row r="113" customFormat="false" ht="19.85" hidden="false" customHeight="true" outlineLevel="0" collapsed="false">
      <c r="A113" s="1" t="n">
        <v>31</v>
      </c>
      <c r="B113" s="422" t="s">
        <v>768</v>
      </c>
      <c r="C113" s="56" t="n">
        <v>448000</v>
      </c>
      <c r="D113" s="26" t="s">
        <v>41</v>
      </c>
      <c r="E113" s="33" t="n">
        <f aca="false">IF(D113="totale",(C113/(A113*24))/F113,IF(D113="marché libre",(C113/(A113*24))/G113,"spécifier histo"))</f>
        <v>0.285379401722468</v>
      </c>
      <c r="F113" s="59" t="n">
        <f aca="false">G113+H113</f>
        <v>2110</v>
      </c>
      <c r="G113" s="59" t="n">
        <f aca="false">1050+660</f>
        <v>1710</v>
      </c>
      <c r="H113" s="59" t="n">
        <v>400</v>
      </c>
      <c r="J113" s="183"/>
      <c r="K113" s="117"/>
      <c r="L113" s="117"/>
      <c r="M113" s="117"/>
      <c r="N113" s="117"/>
    </row>
    <row r="114" customFormat="false" ht="19.85" hidden="false" customHeight="true" outlineLevel="0" collapsed="false">
      <c r="A114" s="1" t="n">
        <v>30</v>
      </c>
      <c r="B114" s="423" t="s">
        <v>769</v>
      </c>
      <c r="C114" s="56" t="n">
        <v>224500</v>
      </c>
      <c r="D114" s="26" t="s">
        <v>41</v>
      </c>
      <c r="E114" s="33" t="n">
        <f aca="false">IF(D114="totale",(C114/(A114*24))/F114,IF(D114="marché libre",(C114/(A114*24))/G114,"spécifier histo"))</f>
        <v>0.147775144813059</v>
      </c>
      <c r="F114" s="59" t="n">
        <f aca="false">G114+H114</f>
        <v>2110</v>
      </c>
      <c r="G114" s="59" t="n">
        <f aca="false">1050+660</f>
        <v>1710</v>
      </c>
      <c r="H114" s="59" t="n">
        <v>400</v>
      </c>
      <c r="J114" s="183"/>
      <c r="K114" s="117"/>
      <c r="L114" s="117"/>
      <c r="M114" s="117"/>
      <c r="N114" s="117"/>
    </row>
    <row r="115" customFormat="false" ht="19.85" hidden="false" customHeight="true" outlineLevel="0" collapsed="false">
      <c r="A115" s="1" t="n">
        <v>31</v>
      </c>
      <c r="B115" s="424" t="s">
        <v>770</v>
      </c>
      <c r="C115" s="56" t="n">
        <v>315500</v>
      </c>
      <c r="D115" s="26" t="s">
        <v>41</v>
      </c>
      <c r="E115" s="33" t="n">
        <f aca="false">IF(D115="totale",(C115/(A115*24))/F115,IF(D115="marché libre",(C115/(A115*24))/G115,"spécifier histo"))</f>
        <v>0.200975895632676</v>
      </c>
      <c r="F115" s="59" t="n">
        <f aca="false">G115+H115</f>
        <v>2110</v>
      </c>
      <c r="G115" s="59" t="n">
        <f aca="false">1050+660</f>
        <v>1710</v>
      </c>
      <c r="H115" s="59" t="n">
        <v>400</v>
      </c>
      <c r="J115" s="183"/>
      <c r="K115" s="117"/>
      <c r="L115" s="117"/>
      <c r="M115" s="117"/>
      <c r="N115" s="117"/>
    </row>
    <row r="116" customFormat="false" ht="19.85" hidden="false" customHeight="true" outlineLevel="0" collapsed="false">
      <c r="A116" s="1" t="n">
        <v>30</v>
      </c>
      <c r="B116" s="425" t="s">
        <v>771</v>
      </c>
      <c r="C116" s="56" t="n">
        <v>676200</v>
      </c>
      <c r="D116" s="26" t="s">
        <v>41</v>
      </c>
      <c r="E116" s="33" t="n">
        <f aca="false">IF(D116="totale",(C116/(A116*24))/F116,IF(D116="marché libre",(C116/(A116*24))/G116,"spécifier histo"))</f>
        <v>0.445102685624013</v>
      </c>
      <c r="F116" s="59" t="n">
        <f aca="false">G116+H116</f>
        <v>2110</v>
      </c>
      <c r="G116" s="59" t="n">
        <f aca="false">1050+660</f>
        <v>1710</v>
      </c>
      <c r="H116" s="59" t="n">
        <v>400</v>
      </c>
      <c r="J116" s="183"/>
      <c r="K116" s="117"/>
      <c r="L116" s="117"/>
      <c r="M116" s="117"/>
      <c r="N116" s="117"/>
    </row>
    <row r="117" customFormat="false" ht="19.85" hidden="false" customHeight="true" outlineLevel="0" collapsed="false">
      <c r="A117" s="1" t="n">
        <v>31</v>
      </c>
      <c r="B117" s="426" t="s">
        <v>772</v>
      </c>
      <c r="C117" s="56" t="n">
        <v>912100</v>
      </c>
      <c r="D117" s="26" t="s">
        <v>41</v>
      </c>
      <c r="E117" s="33" t="n">
        <f aca="false">IF(D117="totale",(C117/(A117*24))/F117,IF(D117="marché libre",(C117/(A117*24))/G117,"spécifier histo"))</f>
        <v>0.581014625694338</v>
      </c>
      <c r="F117" s="59" t="n">
        <f aca="false">G117+H117</f>
        <v>2110</v>
      </c>
      <c r="G117" s="59" t="n">
        <f aca="false">1050+660</f>
        <v>1710</v>
      </c>
      <c r="H117" s="59" t="n">
        <v>400</v>
      </c>
      <c r="J117" s="183"/>
      <c r="K117" s="117"/>
      <c r="L117" s="117"/>
      <c r="M117" s="117"/>
      <c r="N117" s="117"/>
    </row>
    <row r="118" customFormat="false" ht="19.85" hidden="false" customHeight="true" outlineLevel="0" collapsed="false">
      <c r="A118" s="1" t="n">
        <v>31</v>
      </c>
      <c r="B118" s="414" t="s">
        <v>773</v>
      </c>
      <c r="C118" s="56" t="n">
        <v>1310900</v>
      </c>
      <c r="D118" s="26" t="s">
        <v>41</v>
      </c>
      <c r="E118" s="33" t="n">
        <f aca="false">IF(D118="totale",(C118/(A118*24))/F118,IF(D118="marché libre",(C118/(A118*24))/G118,"spécifier histo"))</f>
        <v>0.835053253834786</v>
      </c>
      <c r="F118" s="59" t="n">
        <f aca="false">G118+H118</f>
        <v>2110</v>
      </c>
      <c r="G118" s="59" t="n">
        <f aca="false">1050+660</f>
        <v>1710</v>
      </c>
      <c r="H118" s="59" t="n">
        <v>400</v>
      </c>
      <c r="J118" s="183"/>
      <c r="K118" s="117"/>
      <c r="L118" s="117"/>
      <c r="M118" s="117"/>
      <c r="N118" s="117"/>
    </row>
    <row r="119" customFormat="false" ht="19.85" hidden="false" customHeight="true" outlineLevel="0" collapsed="false">
      <c r="A119" s="1" t="n">
        <v>28</v>
      </c>
      <c r="B119" s="416" t="s">
        <v>774</v>
      </c>
      <c r="C119" s="56" t="n">
        <v>1359500</v>
      </c>
      <c r="D119" s="26" t="s">
        <v>41</v>
      </c>
      <c r="E119" s="33" t="n">
        <f aca="false">IF(D119="totale",(C119/(A119*24))/F119,IF(D119="marché libre",(C119/(A119*24))/G119,"spécifier histo"))</f>
        <v>0.958798803881742</v>
      </c>
      <c r="F119" s="59" t="n">
        <f aca="false">G119+H119</f>
        <v>2110</v>
      </c>
      <c r="G119" s="59" t="n">
        <f aca="false">1050+660</f>
        <v>1710</v>
      </c>
      <c r="H119" s="59" t="n">
        <v>400</v>
      </c>
      <c r="J119" s="183"/>
      <c r="K119" s="117"/>
      <c r="L119" s="117"/>
      <c r="M119" s="117"/>
      <c r="N119" s="117"/>
    </row>
    <row r="120" customFormat="false" ht="19.85" hidden="false" customHeight="true" outlineLevel="0" collapsed="false">
      <c r="A120" s="1" t="n">
        <v>31</v>
      </c>
      <c r="B120" s="417" t="s">
        <v>775</v>
      </c>
      <c r="C120" s="56" t="n">
        <v>796700</v>
      </c>
      <c r="D120" s="26" t="s">
        <v>41</v>
      </c>
      <c r="E120" s="33" t="n">
        <f aca="false">IF(D120="totale",(C120/(A120*24))/F120,IF(D120="marché libre",(C120/(A120*24))/G120,"spécifier histo"))</f>
        <v>0.507503949447077</v>
      </c>
      <c r="F120" s="59" t="n">
        <f aca="false">G120+H120</f>
        <v>2110</v>
      </c>
      <c r="G120" s="59" t="n">
        <f aca="false">1050+660</f>
        <v>1710</v>
      </c>
      <c r="H120" s="59" t="n">
        <v>400</v>
      </c>
      <c r="J120" s="183"/>
      <c r="K120" s="117"/>
      <c r="L120" s="117"/>
      <c r="M120" s="117"/>
      <c r="N120" s="117"/>
    </row>
    <row r="121" customFormat="false" ht="19.85" hidden="false" customHeight="true" outlineLevel="0" collapsed="false">
      <c r="A121" s="1" t="n">
        <v>30</v>
      </c>
      <c r="B121" s="418" t="s">
        <v>776</v>
      </c>
      <c r="C121" s="56" t="n">
        <v>1385700</v>
      </c>
      <c r="D121" s="26" t="s">
        <v>41</v>
      </c>
      <c r="E121" s="33" t="n">
        <f aca="false">IF(D121="totale",(C121/(A121*24))/F121,IF(D121="marché libre",(C121/(A121*24))/G121,"spécifier histo"))</f>
        <v>0.912124802527646</v>
      </c>
      <c r="F121" s="59" t="n">
        <f aca="false">G121+H121</f>
        <v>2110</v>
      </c>
      <c r="G121" s="59" t="n">
        <f aca="false">1050+660</f>
        <v>1710</v>
      </c>
      <c r="H121" s="59" t="n">
        <v>400</v>
      </c>
      <c r="J121" s="183"/>
      <c r="K121" s="117"/>
      <c r="L121" s="117"/>
      <c r="M121" s="117"/>
      <c r="N121" s="117"/>
    </row>
    <row r="122" customFormat="false" ht="19.85" hidden="false" customHeight="true" outlineLevel="0" collapsed="false">
      <c r="A122" s="1" t="n">
        <v>31</v>
      </c>
      <c r="B122" s="419" t="s">
        <v>777</v>
      </c>
      <c r="C122" s="56" t="n">
        <v>1475600</v>
      </c>
      <c r="D122" s="26" t="s">
        <v>41</v>
      </c>
      <c r="E122" s="33" t="n">
        <f aca="false">IF(D122="totale",(C122/(A122*24))/F122,IF(D122="marché libre",(C122/(A122*24))/G122,"spécifier histo"))</f>
        <v>0.939968404423381</v>
      </c>
      <c r="F122" s="59" t="n">
        <f aca="false">G122+H122</f>
        <v>2110</v>
      </c>
      <c r="G122" s="59" t="n">
        <f aca="false">1050+660</f>
        <v>1710</v>
      </c>
      <c r="H122" s="59" t="n">
        <v>400</v>
      </c>
      <c r="J122" s="183"/>
      <c r="K122" s="117"/>
      <c r="L122" s="117"/>
      <c r="M122" s="117"/>
      <c r="N122" s="117"/>
    </row>
    <row r="123" customFormat="false" ht="19.85" hidden="false" customHeight="true" outlineLevel="0" collapsed="false">
      <c r="A123" s="1" t="n">
        <v>30</v>
      </c>
      <c r="B123" s="420" t="s">
        <v>778</v>
      </c>
      <c r="C123" s="56" t="n">
        <v>1390000</v>
      </c>
      <c r="D123" s="26" t="s">
        <v>41</v>
      </c>
      <c r="E123" s="33" t="n">
        <f aca="false">IF(D123="totale",(C123/(A123*24))/F123,IF(D123="marché libre",(C123/(A123*24))/G123,"spécifier histo"))</f>
        <v>0.914955239599789</v>
      </c>
      <c r="F123" s="59" t="n">
        <f aca="false">G123+H123</f>
        <v>2110</v>
      </c>
      <c r="G123" s="59" t="n">
        <f aca="false">1050+660</f>
        <v>1710</v>
      </c>
      <c r="H123" s="59" t="n">
        <v>400</v>
      </c>
      <c r="J123" s="183"/>
      <c r="K123" s="117"/>
      <c r="L123" s="117"/>
      <c r="M123" s="117"/>
      <c r="N123" s="117"/>
    </row>
    <row r="124" customFormat="false" ht="19.85" hidden="false" customHeight="true" outlineLevel="0" collapsed="false">
      <c r="A124" s="1" t="n">
        <v>31</v>
      </c>
      <c r="B124" s="421" t="s">
        <v>779</v>
      </c>
      <c r="C124" s="56" t="n">
        <v>1210100</v>
      </c>
      <c r="D124" s="26" t="s">
        <v>41</v>
      </c>
      <c r="E124" s="33" t="n">
        <f aca="false">IF(D124="totale",(C124/(A124*24))/F124,IF(D124="marché libre",(C124/(A124*24))/G124,"spécifier histo"))</f>
        <v>0.77084288844723</v>
      </c>
      <c r="F124" s="59" t="n">
        <f aca="false">G124+H124</f>
        <v>2110</v>
      </c>
      <c r="G124" s="59" t="n">
        <f aca="false">1050+660</f>
        <v>1710</v>
      </c>
      <c r="H124" s="59" t="n">
        <v>400</v>
      </c>
      <c r="J124" s="183"/>
      <c r="K124" s="117"/>
      <c r="L124" s="117"/>
      <c r="M124" s="117"/>
      <c r="N124" s="117"/>
    </row>
    <row r="125" customFormat="false" ht="19.85" hidden="false" customHeight="true" outlineLevel="0" collapsed="false">
      <c r="A125" s="1" t="n">
        <v>31</v>
      </c>
      <c r="B125" s="422" t="s">
        <v>780</v>
      </c>
      <c r="C125" s="56" t="n">
        <v>601700</v>
      </c>
      <c r="D125" s="26" t="s">
        <v>41</v>
      </c>
      <c r="E125" s="33" t="n">
        <f aca="false">IF(D125="totale",(C125/(A125*24))/F125,IF(D125="marché libre",(C125/(A125*24))/G125,"spécifier histo"))</f>
        <v>0.383287468786628</v>
      </c>
      <c r="F125" s="59" t="n">
        <f aca="false">G125+H125</f>
        <v>2110</v>
      </c>
      <c r="G125" s="59" t="n">
        <f aca="false">1050+660</f>
        <v>1710</v>
      </c>
      <c r="H125" s="59" t="n">
        <v>400</v>
      </c>
      <c r="J125" s="183"/>
      <c r="K125" s="117"/>
      <c r="L125" s="117"/>
      <c r="M125" s="117"/>
      <c r="N125" s="117"/>
    </row>
    <row r="126" customFormat="false" ht="19.85" hidden="false" customHeight="true" outlineLevel="0" collapsed="false">
      <c r="A126" s="1" t="n">
        <v>30</v>
      </c>
      <c r="B126" s="423" t="s">
        <v>781</v>
      </c>
      <c r="C126" s="56" t="n">
        <v>117000</v>
      </c>
      <c r="D126" s="26" t="s">
        <v>41</v>
      </c>
      <c r="E126" s="33" t="n">
        <f aca="false">IF(D126="totale",(C126/(A126*24))/F126,IF(D126="marché libre",(C126/(A126*24))/G126,"spécifier histo"))</f>
        <v>0.0770142180094787</v>
      </c>
      <c r="F126" s="59" t="n">
        <f aca="false">G126+H126</f>
        <v>2110</v>
      </c>
      <c r="G126" s="59" t="n">
        <f aca="false">1050+660</f>
        <v>1710</v>
      </c>
      <c r="H126" s="59" t="n">
        <v>400</v>
      </c>
      <c r="J126" s="183"/>
      <c r="K126" s="117"/>
      <c r="L126" s="117"/>
      <c r="M126" s="117"/>
      <c r="N126" s="117"/>
    </row>
    <row r="127" customFormat="false" ht="19.85" hidden="false" customHeight="true" outlineLevel="0" collapsed="false">
      <c r="A127" s="1" t="n">
        <v>31</v>
      </c>
      <c r="B127" s="424" t="s">
        <v>782</v>
      </c>
      <c r="C127" s="56" t="n">
        <v>31900</v>
      </c>
      <c r="D127" s="26" t="s">
        <v>41</v>
      </c>
      <c r="E127" s="33" t="n">
        <f aca="false">IF(D127="totale",(C127/(A127*24))/F127,IF(D127="marché libre",(C127/(A127*24))/G127,"spécifier histo"))</f>
        <v>0.0203205422208633</v>
      </c>
      <c r="F127" s="59" t="n">
        <f aca="false">G127+H127</f>
        <v>2110</v>
      </c>
      <c r="G127" s="59" t="n">
        <f aca="false">1050+660</f>
        <v>1710</v>
      </c>
      <c r="H127" s="59" t="n">
        <v>400</v>
      </c>
      <c r="J127" s="183"/>
      <c r="K127" s="117"/>
      <c r="L127" s="117"/>
      <c r="M127" s="117"/>
      <c r="N127" s="117"/>
    </row>
    <row r="128" customFormat="false" ht="19.85" hidden="false" customHeight="true" outlineLevel="0" collapsed="false">
      <c r="A128" s="1" t="n">
        <v>30</v>
      </c>
      <c r="B128" s="425" t="s">
        <v>783</v>
      </c>
      <c r="C128" s="56" t="n">
        <v>70100</v>
      </c>
      <c r="D128" s="26" t="s">
        <v>41</v>
      </c>
      <c r="E128" s="33" t="n">
        <f aca="false">IF(D128="totale",(C128/(A128*24))/F128,IF(D128="marché libre",(C128/(A128*24))/G128,"spécifier histo"))</f>
        <v>0.0461427066877304</v>
      </c>
      <c r="F128" s="59" t="n">
        <f aca="false">G128+H128</f>
        <v>2110</v>
      </c>
      <c r="G128" s="59" t="n">
        <f aca="false">1050+660</f>
        <v>1710</v>
      </c>
      <c r="H128" s="59" t="n">
        <v>400</v>
      </c>
      <c r="J128" s="183"/>
      <c r="K128" s="117"/>
      <c r="L128" s="117"/>
      <c r="M128" s="117"/>
      <c r="N128" s="117"/>
    </row>
    <row r="129" customFormat="false" ht="19.85" hidden="false" customHeight="true" outlineLevel="0" collapsed="false">
      <c r="A129" s="1" t="n">
        <v>31</v>
      </c>
      <c r="B129" s="426" t="s">
        <v>784</v>
      </c>
      <c r="C129" s="56" t="n">
        <v>799300</v>
      </c>
      <c r="D129" s="26" t="s">
        <v>41</v>
      </c>
      <c r="E129" s="33" t="n">
        <f aca="false">IF(D129="totale",(C129/(A129*24))/F129,IF(D129="marché libre",(C129/(A129*24))/G129,"spécifier histo"))</f>
        <v>0.509160169189217</v>
      </c>
      <c r="F129" s="59" t="n">
        <f aca="false">G129+H129</f>
        <v>2110</v>
      </c>
      <c r="G129" s="59" t="n">
        <f aca="false">1050+660</f>
        <v>1710</v>
      </c>
      <c r="H129" s="59" t="n">
        <v>400</v>
      </c>
      <c r="J129" s="183"/>
      <c r="K129" s="117"/>
      <c r="L129" s="117"/>
      <c r="M129" s="117"/>
      <c r="N129" s="117"/>
    </row>
    <row r="130" customFormat="false" ht="19.85" hidden="false" customHeight="true" outlineLevel="0" collapsed="false">
      <c r="A130" s="1" t="n">
        <v>31</v>
      </c>
      <c r="B130" s="414" t="s">
        <v>785</v>
      </c>
      <c r="C130" s="56" t="n">
        <v>580000</v>
      </c>
      <c r="D130" s="26" t="s">
        <v>41</v>
      </c>
      <c r="E130" s="33" t="n">
        <f aca="false">IF(D130="totale",(C130/(A130*24))/F130,IF(D130="marché libre",(C130/(A130*24))/G130,"spécifier histo"))</f>
        <v>0.369464404015696</v>
      </c>
      <c r="F130" s="59" t="n">
        <f aca="false">G130+H130</f>
        <v>2110</v>
      </c>
      <c r="G130" s="59" t="n">
        <f aca="false">1050+660</f>
        <v>1710</v>
      </c>
      <c r="H130" s="59" t="n">
        <v>400</v>
      </c>
      <c r="J130" s="183"/>
      <c r="K130" s="117"/>
      <c r="L130" s="117"/>
      <c r="M130" s="117"/>
      <c r="N130" s="117"/>
    </row>
    <row r="131" customFormat="false" ht="19.85" hidden="false" customHeight="true" outlineLevel="0" collapsed="false">
      <c r="A131" s="1" t="n">
        <v>28</v>
      </c>
      <c r="B131" s="416" t="s">
        <v>786</v>
      </c>
      <c r="C131" s="56" t="n">
        <v>707300</v>
      </c>
      <c r="D131" s="26" t="s">
        <v>41</v>
      </c>
      <c r="E131" s="33" t="n">
        <f aca="false">IF(D131="totale",(C131/(A131*24))/F131,IF(D131="marché libre",(C131/(A131*24))/G131,"spécifier histo"))</f>
        <v>0.498829271044911</v>
      </c>
      <c r="F131" s="59" t="n">
        <f aca="false">G131+H131</f>
        <v>2110</v>
      </c>
      <c r="G131" s="59" t="n">
        <f aca="false">1050+660</f>
        <v>1710</v>
      </c>
      <c r="H131" s="59" t="n">
        <v>400</v>
      </c>
      <c r="J131" s="183"/>
      <c r="K131" s="117"/>
      <c r="L131" s="117"/>
      <c r="M131" s="117"/>
      <c r="N131" s="117"/>
    </row>
    <row r="132" customFormat="false" ht="19.85" hidden="false" customHeight="true" outlineLevel="0" collapsed="false">
      <c r="A132" s="1" t="n">
        <v>31</v>
      </c>
      <c r="B132" s="417" t="s">
        <v>787</v>
      </c>
      <c r="C132" s="56" t="n">
        <v>1500000</v>
      </c>
      <c r="D132" s="26" t="s">
        <v>41</v>
      </c>
      <c r="E132" s="33" t="n">
        <f aca="false">IF(D132="totale",(C132/(A132*24))/F132,IF(D132="marché libre",(C132/(A132*24))/G132,"spécifier histo"))</f>
        <v>0.955511389695765</v>
      </c>
      <c r="F132" s="59" t="n">
        <f aca="false">G132+H132</f>
        <v>2110</v>
      </c>
      <c r="G132" s="59" t="n">
        <f aca="false">1050+660</f>
        <v>1710</v>
      </c>
      <c r="H132" s="59" t="n">
        <v>400</v>
      </c>
      <c r="J132" s="183"/>
      <c r="K132" s="117"/>
      <c r="L132" s="117"/>
      <c r="M132" s="117"/>
      <c r="N132" s="117"/>
    </row>
    <row r="133" customFormat="false" ht="19.85" hidden="false" customHeight="true" outlineLevel="0" collapsed="false">
      <c r="A133" s="1" t="n">
        <v>30</v>
      </c>
      <c r="B133" s="418" t="s">
        <v>788</v>
      </c>
      <c r="C133" s="56" t="n">
        <v>1348200</v>
      </c>
      <c r="D133" s="26" t="s">
        <v>41</v>
      </c>
      <c r="E133" s="33" t="n">
        <f aca="false">IF(D133="totale",(C133/(A133*24))/F133,IF(D133="marché libre",(C133/(A133*24))/G133,"spécifier histo"))</f>
        <v>0.887440758293839</v>
      </c>
      <c r="F133" s="59" t="n">
        <f aca="false">G133+H133</f>
        <v>2110</v>
      </c>
      <c r="G133" s="59" t="n">
        <f aca="false">1050+660</f>
        <v>1710</v>
      </c>
      <c r="H133" s="59" t="n">
        <v>400</v>
      </c>
      <c r="J133" s="183"/>
      <c r="K133" s="117"/>
      <c r="L133" s="117"/>
      <c r="M133" s="117"/>
      <c r="N133" s="117"/>
    </row>
    <row r="134" customFormat="false" ht="19.85" hidden="false" customHeight="true" outlineLevel="0" collapsed="false">
      <c r="A134" s="1" t="n">
        <v>31</v>
      </c>
      <c r="B134" s="419" t="s">
        <v>789</v>
      </c>
      <c r="C134" s="56" t="n">
        <v>1278400</v>
      </c>
      <c r="D134" s="26" t="s">
        <v>41</v>
      </c>
      <c r="E134" s="33" t="n">
        <f aca="false">IF(D134="totale",(C134/(A134*24))/F134,IF(D134="marché libre",(C134/(A134*24))/G134,"spécifier histo"))</f>
        <v>0.814350507058044</v>
      </c>
      <c r="F134" s="59" t="n">
        <f aca="false">G134+H134</f>
        <v>2110</v>
      </c>
      <c r="G134" s="59" t="n">
        <f aca="false">1050+660</f>
        <v>1710</v>
      </c>
      <c r="H134" s="59" t="n">
        <v>400</v>
      </c>
      <c r="J134" s="183"/>
      <c r="K134" s="117"/>
      <c r="L134" s="117"/>
      <c r="M134" s="117"/>
      <c r="N134" s="117"/>
    </row>
    <row r="135" customFormat="false" ht="19.85" hidden="false" customHeight="true" outlineLevel="0" collapsed="false">
      <c r="A135" s="1" t="n">
        <v>30</v>
      </c>
      <c r="B135" s="420" t="s">
        <v>790</v>
      </c>
      <c r="C135" s="56" t="n">
        <v>665300</v>
      </c>
      <c r="D135" s="26" t="s">
        <v>41</v>
      </c>
      <c r="E135" s="33" t="n">
        <f aca="false">IF(D135="totale",(C135/(A135*24))/F135,IF(D135="marché libre",(C135/(A135*24))/G135,"spécifier histo"))</f>
        <v>0.437927856766719</v>
      </c>
      <c r="F135" s="59" t="n">
        <f aca="false">G135+H135</f>
        <v>2110</v>
      </c>
      <c r="G135" s="59" t="n">
        <f aca="false">1050+660</f>
        <v>1710</v>
      </c>
      <c r="H135" s="59" t="n">
        <v>400</v>
      </c>
      <c r="J135" s="183"/>
      <c r="K135" s="117"/>
      <c r="L135" s="117"/>
      <c r="M135" s="117"/>
      <c r="N135" s="117"/>
    </row>
    <row r="136" customFormat="false" ht="19.85" hidden="false" customHeight="true" outlineLevel="0" collapsed="false">
      <c r="A136" s="1" t="n">
        <v>31</v>
      </c>
      <c r="B136" s="421" t="s">
        <v>791</v>
      </c>
      <c r="C136" s="56" t="n">
        <v>282200</v>
      </c>
      <c r="D136" s="26" t="s">
        <v>41</v>
      </c>
      <c r="E136" s="33" t="n">
        <f aca="false">IF(D136="totale",(C136/(A136*24))/F136,IF(D136="marché libre",(C136/(A136*24))/G136,"spécifier histo"))</f>
        <v>0.17976354278143</v>
      </c>
      <c r="F136" s="59" t="n">
        <f aca="false">G136+H136</f>
        <v>2110</v>
      </c>
      <c r="G136" s="59" t="n">
        <f aca="false">1050+660</f>
        <v>1710</v>
      </c>
      <c r="H136" s="59" t="n">
        <v>400</v>
      </c>
      <c r="J136" s="183"/>
      <c r="K136" s="117"/>
      <c r="L136" s="117"/>
      <c r="M136" s="117"/>
      <c r="N136" s="117"/>
    </row>
    <row r="137" customFormat="false" ht="19.85" hidden="false" customHeight="true" outlineLevel="0" collapsed="false">
      <c r="A137" s="1" t="n">
        <v>31</v>
      </c>
      <c r="B137" s="422" t="s">
        <v>792</v>
      </c>
      <c r="C137" s="56" t="n">
        <v>162000</v>
      </c>
      <c r="D137" s="26" t="s">
        <v>41</v>
      </c>
      <c r="E137" s="33" t="n">
        <f aca="false">IF(D137="totale",(C137/(A137*24))/F137,IF(D137="marché libre",(C137/(A137*24))/G137,"spécifier histo"))</f>
        <v>0.103195230087143</v>
      </c>
      <c r="F137" s="59" t="n">
        <f aca="false">G137+H137</f>
        <v>2110</v>
      </c>
      <c r="G137" s="59" t="n">
        <f aca="false">1050+660</f>
        <v>1710</v>
      </c>
      <c r="H137" s="59" t="n">
        <v>400</v>
      </c>
      <c r="J137" s="183"/>
      <c r="K137" s="117"/>
      <c r="L137" s="117"/>
      <c r="M137" s="117"/>
      <c r="N137" s="117"/>
    </row>
    <row r="138" customFormat="false" ht="19.85" hidden="false" customHeight="true" outlineLevel="0" collapsed="false">
      <c r="A138" s="1" t="n">
        <v>30</v>
      </c>
      <c r="B138" s="423" t="s">
        <v>793</v>
      </c>
      <c r="C138" s="56" t="n">
        <v>154700</v>
      </c>
      <c r="D138" s="26" t="s">
        <v>41</v>
      </c>
      <c r="E138" s="33" t="n">
        <f aca="false">IF(D138="totale",(C138/(A138*24))/F138,IF(D138="marché libre",(C138/(A138*24))/G138,"spécifier histo"))</f>
        <v>0.1018299104792</v>
      </c>
      <c r="F138" s="59" t="n">
        <f aca="false">G138+H138</f>
        <v>2110</v>
      </c>
      <c r="G138" s="59" t="n">
        <f aca="false">1050+660</f>
        <v>1710</v>
      </c>
      <c r="H138" s="59" t="n">
        <v>400</v>
      </c>
      <c r="J138" s="183"/>
      <c r="K138" s="117"/>
      <c r="L138" s="117"/>
      <c r="M138" s="117"/>
      <c r="N138" s="117"/>
    </row>
    <row r="139" customFormat="false" ht="19.85" hidden="false" customHeight="true" outlineLevel="0" collapsed="false">
      <c r="A139" s="1" t="n">
        <v>31</v>
      </c>
      <c r="B139" s="424" t="s">
        <v>794</v>
      </c>
      <c r="C139" s="56" t="n">
        <v>164700</v>
      </c>
      <c r="D139" s="26" t="s">
        <v>41</v>
      </c>
      <c r="E139" s="33" t="n">
        <f aca="false">IF(D139="totale",(C139/(A139*24))/F139,IF(D139="marché libre",(C139/(A139*24))/G139,"spécifier histo"))</f>
        <v>0.104915150588595</v>
      </c>
      <c r="F139" s="59" t="n">
        <f aca="false">G139+H139</f>
        <v>2110</v>
      </c>
      <c r="G139" s="59" t="n">
        <f aca="false">1050+660</f>
        <v>1710</v>
      </c>
      <c r="H139" s="59" t="n">
        <v>400</v>
      </c>
      <c r="J139" s="183"/>
      <c r="K139" s="117"/>
      <c r="L139" s="117"/>
      <c r="M139" s="117"/>
      <c r="N139" s="117"/>
    </row>
    <row r="140" customFormat="false" ht="19.85" hidden="false" customHeight="true" outlineLevel="0" collapsed="false">
      <c r="A140" s="1" t="n">
        <v>30</v>
      </c>
      <c r="B140" s="425" t="s">
        <v>795</v>
      </c>
      <c r="C140" s="56" t="n">
        <v>6700</v>
      </c>
      <c r="D140" s="26" t="s">
        <v>41</v>
      </c>
      <c r="E140" s="33" t="n">
        <f aca="false">IF(D140="totale",(C140/(A140*24))/F140,IF(D140="marché libre",(C140/(A140*24))/G140,"spécifier histo"))</f>
        <v>0.0044102159031069</v>
      </c>
      <c r="F140" s="59" t="n">
        <f aca="false">G140+H140</f>
        <v>2110</v>
      </c>
      <c r="G140" s="59" t="n">
        <f aca="false">1050+660</f>
        <v>1710</v>
      </c>
      <c r="H140" s="59" t="n">
        <v>400</v>
      </c>
      <c r="J140" s="183"/>
      <c r="K140" s="117"/>
      <c r="L140" s="117"/>
      <c r="M140" s="117"/>
      <c r="N140" s="117"/>
    </row>
    <row r="141" customFormat="false" ht="19.85" hidden="false" customHeight="true" outlineLevel="0" collapsed="false">
      <c r="A141" s="1" t="n">
        <v>31</v>
      </c>
      <c r="B141" s="426" t="s">
        <v>796</v>
      </c>
      <c r="C141" s="56" t="n">
        <v>458700</v>
      </c>
      <c r="D141" s="26" t="s">
        <v>41</v>
      </c>
      <c r="E141" s="33" t="n">
        <f aca="false">IF(D141="totale",(C141/(A141*24))/F141,IF(D141="marché libre",(C141/(A141*24))/G141,"spécifier histo"))</f>
        <v>0.292195382968965</v>
      </c>
      <c r="F141" s="59" t="n">
        <f aca="false">G141+H141</f>
        <v>2110</v>
      </c>
      <c r="G141" s="59" t="n">
        <f aca="false">1050+660</f>
        <v>1710</v>
      </c>
      <c r="H141" s="59" t="n">
        <v>400</v>
      </c>
      <c r="J141" s="183"/>
      <c r="K141" s="117"/>
      <c r="L141" s="117"/>
      <c r="M141" s="117"/>
      <c r="N141" s="117"/>
    </row>
    <row r="142" customFormat="false" ht="19.85" hidden="false" customHeight="true" outlineLevel="0" collapsed="false">
      <c r="A142" s="1" t="n">
        <v>31</v>
      </c>
      <c r="B142" s="414" t="s">
        <v>797</v>
      </c>
      <c r="C142" s="429" t="n">
        <v>426424.333333333</v>
      </c>
      <c r="D142" s="250" t="s">
        <v>42</v>
      </c>
      <c r="E142" s="33" t="n">
        <f aca="false">IF(D142="totale",(C142/(A142*24))/F142,IF(D142="marché libre",(C142/(A142*24))/G142,"spécifier histo"))</f>
        <v>0.33517601500765</v>
      </c>
      <c r="F142" s="228" t="n">
        <f aca="false">G142+H142</f>
        <v>2110</v>
      </c>
      <c r="G142" s="228" t="n">
        <f aca="false">1050+660</f>
        <v>1710</v>
      </c>
      <c r="H142" s="228" t="n">
        <v>400</v>
      </c>
      <c r="J142" s="183"/>
      <c r="K142" s="117"/>
      <c r="L142" s="117"/>
      <c r="M142" s="117"/>
      <c r="N142" s="117"/>
    </row>
    <row r="143" customFormat="false" ht="19.85" hidden="false" customHeight="true" outlineLevel="0" collapsed="false">
      <c r="A143" s="1" t="n">
        <v>28</v>
      </c>
      <c r="B143" s="416" t="s">
        <v>798</v>
      </c>
      <c r="C143" s="56" t="n">
        <v>863771</v>
      </c>
      <c r="D143" s="250" t="s">
        <v>42</v>
      </c>
      <c r="E143" s="33" t="n">
        <f aca="false">IF(D143="totale",(C143/(A143*24))/F143,IF(D143="marché libre",(C143/(A143*24))/G143,"spécifier histo"))</f>
        <v>0.751680416318574</v>
      </c>
      <c r="F143" s="59" t="n">
        <f aca="false">G143+H143</f>
        <v>2110</v>
      </c>
      <c r="G143" s="59" t="n">
        <f aca="false">1050+660</f>
        <v>1710</v>
      </c>
      <c r="H143" s="59" t="n">
        <v>400</v>
      </c>
      <c r="J143" s="183"/>
      <c r="K143" s="117"/>
      <c r="L143" s="117"/>
      <c r="M143" s="117"/>
      <c r="N143" s="117"/>
    </row>
    <row r="144" customFormat="false" ht="19.85" hidden="false" customHeight="true" outlineLevel="0" collapsed="false">
      <c r="A144" s="1" t="n">
        <v>31</v>
      </c>
      <c r="B144" s="417" t="s">
        <v>799</v>
      </c>
      <c r="C144" s="56" t="n">
        <v>934722.833333333</v>
      </c>
      <c r="D144" s="250" t="s">
        <v>42</v>
      </c>
      <c r="E144" s="33" t="n">
        <f aca="false">IF(D144="totale",(C144/(A144*24))/F144,IF(D144="marché libre",(C144/(A144*24))/G144,"spécifier histo"))</f>
        <v>0.734706370915341</v>
      </c>
      <c r="F144" s="59" t="n">
        <f aca="false">G144+H144</f>
        <v>2110</v>
      </c>
      <c r="G144" s="59" t="n">
        <f aca="false">1050+660</f>
        <v>1710</v>
      </c>
      <c r="H144" s="59" t="n">
        <v>400</v>
      </c>
      <c r="J144" s="183"/>
      <c r="K144" s="117"/>
      <c r="L144" s="117"/>
      <c r="M144" s="117"/>
      <c r="N144" s="117"/>
    </row>
    <row r="145" customFormat="false" ht="19.85" hidden="false" customHeight="true" outlineLevel="0" collapsed="false">
      <c r="A145" s="1" t="n">
        <v>30</v>
      </c>
      <c r="B145" s="418" t="s">
        <v>800</v>
      </c>
      <c r="C145" s="56" t="n">
        <v>1139073.83333333</v>
      </c>
      <c r="D145" s="250" t="s">
        <v>42</v>
      </c>
      <c r="E145" s="33" t="n">
        <f aca="false">IF(D145="totale",(C145/(A145*24))/F145,IF(D145="marché libre",(C145/(A145*24))/G145,"spécifier histo"))</f>
        <v>0.925173678795752</v>
      </c>
      <c r="F145" s="59" t="n">
        <f aca="false">G145+H145</f>
        <v>2110</v>
      </c>
      <c r="G145" s="59" t="n">
        <f aca="false">1050+660</f>
        <v>1710</v>
      </c>
      <c r="H145" s="59" t="n">
        <v>400</v>
      </c>
      <c r="J145" s="183"/>
      <c r="K145" s="117"/>
      <c r="L145" s="117"/>
      <c r="M145" s="117"/>
      <c r="N145" s="117"/>
    </row>
    <row r="146" customFormat="false" ht="19.85" hidden="false" customHeight="true" outlineLevel="0" collapsed="false">
      <c r="A146" s="1" t="n">
        <v>31</v>
      </c>
      <c r="B146" s="419" t="s">
        <v>801</v>
      </c>
      <c r="C146" s="56" t="n">
        <v>795599</v>
      </c>
      <c r="D146" s="250" t="s">
        <v>42</v>
      </c>
      <c r="E146" s="33" t="n">
        <f aca="false">IF(D146="totale",(C146/(A146*24))/F146,IF(D146="marché libre",(C146/(A146*24))/G146,"spécifier histo"))</f>
        <v>0.625352920832547</v>
      </c>
      <c r="F146" s="59" t="n">
        <f aca="false">G146+H146</f>
        <v>2110</v>
      </c>
      <c r="G146" s="59" t="n">
        <f aca="false">1050+660</f>
        <v>1710</v>
      </c>
      <c r="H146" s="59" t="n">
        <v>400</v>
      </c>
      <c r="J146" s="183"/>
      <c r="K146" s="117"/>
      <c r="L146" s="117"/>
      <c r="M146" s="117"/>
      <c r="N146" s="117"/>
    </row>
    <row r="147" customFormat="false" ht="19.85" hidden="false" customHeight="true" outlineLevel="0" collapsed="false">
      <c r="A147" s="1" t="n">
        <v>30</v>
      </c>
      <c r="B147" s="420" t="s">
        <v>802</v>
      </c>
      <c r="C147" s="56" t="n">
        <v>366402.833333333</v>
      </c>
      <c r="D147" s="250" t="s">
        <v>42</v>
      </c>
      <c r="E147" s="33" t="n">
        <f aca="false">IF(D147="totale",(C147/(A147*24))/F147,IF(D147="marché libre",(C147/(A147*24))/G147,"spécifier histo"))</f>
        <v>0.297598142733376</v>
      </c>
      <c r="F147" s="59" t="n">
        <f aca="false">G147+H147</f>
        <v>2110</v>
      </c>
      <c r="G147" s="59" t="n">
        <f aca="false">1050+660</f>
        <v>1710</v>
      </c>
      <c r="H147" s="59" t="n">
        <v>400</v>
      </c>
      <c r="J147" s="183"/>
      <c r="K147" s="117"/>
      <c r="L147" s="117"/>
      <c r="M147" s="117"/>
      <c r="N147" s="117"/>
    </row>
    <row r="148" customFormat="false" ht="19.85" hidden="false" customHeight="true" outlineLevel="0" collapsed="false">
      <c r="A148" s="1" t="n">
        <v>31</v>
      </c>
      <c r="B148" s="421" t="s">
        <v>803</v>
      </c>
      <c r="C148" s="56" t="n">
        <v>100744.166666667</v>
      </c>
      <c r="D148" s="250" t="s">
        <v>42</v>
      </c>
      <c r="E148" s="33" t="n">
        <f aca="false">IF(D148="totale",(C148/(A148*24))/F148,IF(D148="marché libre",(C148/(A148*24))/G148,"spécifier histo"))</f>
        <v>0.0791864480496345</v>
      </c>
      <c r="F148" s="59" t="n">
        <f aca="false">G148+H148</f>
        <v>2110</v>
      </c>
      <c r="G148" s="59" t="n">
        <f aca="false">1050+660</f>
        <v>1710</v>
      </c>
      <c r="H148" s="59" t="n">
        <v>400</v>
      </c>
      <c r="J148" s="183"/>
      <c r="K148" s="117"/>
      <c r="L148" s="117"/>
      <c r="M148" s="117"/>
      <c r="N148" s="117"/>
    </row>
    <row r="149" customFormat="false" ht="19.85" hidden="false" customHeight="true" outlineLevel="0" collapsed="false">
      <c r="A149" s="1" t="n">
        <v>31</v>
      </c>
      <c r="B149" s="422" t="s">
        <v>804</v>
      </c>
      <c r="C149" s="56" t="n">
        <v>1636.66666666667</v>
      </c>
      <c r="D149" s="250" t="s">
        <v>42</v>
      </c>
      <c r="E149" s="33" t="n">
        <f aca="false">IF(D149="totale",(C149/(A149*24))/F149,IF(D149="marché libre",(C149/(A149*24))/G149,"spécifier histo"))</f>
        <v>0.00128644490557337</v>
      </c>
      <c r="F149" s="59" t="n">
        <f aca="false">G149+H149</f>
        <v>2110</v>
      </c>
      <c r="G149" s="59" t="n">
        <f aca="false">1050+660</f>
        <v>1710</v>
      </c>
      <c r="H149" s="59" t="n">
        <v>400</v>
      </c>
      <c r="J149" s="55"/>
      <c r="K149" s="117"/>
      <c r="L149" s="117"/>
      <c r="M149" s="117"/>
      <c r="N149" s="117"/>
    </row>
    <row r="150" customFormat="false" ht="19.85" hidden="false" customHeight="true" outlineLevel="0" collapsed="false">
      <c r="A150" s="1" t="n">
        <v>30</v>
      </c>
      <c r="B150" s="423" t="s">
        <v>805</v>
      </c>
      <c r="C150" s="56" t="n">
        <v>16436.1666666667</v>
      </c>
      <c r="D150" s="250" t="s">
        <v>42</v>
      </c>
      <c r="E150" s="33" t="n">
        <f aca="false">IF(D150="totale",(C150/(A150*24))/F150,IF(D150="marché libre",(C150/(A150*24))/G150,"spécifier histo"))</f>
        <v>0.0133497130171107</v>
      </c>
      <c r="F150" s="59" t="n">
        <f aca="false">G150+H150</f>
        <v>2110</v>
      </c>
      <c r="G150" s="59" t="n">
        <f aca="false">1050+660</f>
        <v>1710</v>
      </c>
      <c r="H150" s="59" t="n">
        <v>400</v>
      </c>
      <c r="J150" s="183"/>
      <c r="K150" s="117"/>
      <c r="L150" s="117"/>
      <c r="M150" s="117"/>
      <c r="N150" s="117"/>
    </row>
    <row r="151" customFormat="false" ht="19.85" hidden="false" customHeight="true" outlineLevel="0" collapsed="false">
      <c r="A151" s="1" t="n">
        <v>31</v>
      </c>
      <c r="B151" s="424" t="s">
        <v>806</v>
      </c>
      <c r="C151" s="56" t="n">
        <v>19476</v>
      </c>
      <c r="D151" s="250" t="s">
        <v>42</v>
      </c>
      <c r="E151" s="33" t="n">
        <f aca="false">IF(D151="totale",(C151/(A151*24))/F151,IF(D151="marché libre",(C151/(A151*24))/G151,"spécifier histo"))</f>
        <v>0.0153084323712507</v>
      </c>
      <c r="F151" s="59" t="n">
        <f aca="false">G151+H151</f>
        <v>2110</v>
      </c>
      <c r="G151" s="59" t="n">
        <f aca="false">1050+660</f>
        <v>1710</v>
      </c>
      <c r="H151" s="59" t="n">
        <v>400</v>
      </c>
      <c r="J151" s="183"/>
      <c r="K151" s="117"/>
      <c r="L151" s="117"/>
      <c r="M151" s="117"/>
      <c r="N151" s="117"/>
    </row>
    <row r="152" customFormat="false" ht="19.85" hidden="false" customHeight="true" outlineLevel="0" collapsed="false">
      <c r="A152" s="1" t="n">
        <v>30</v>
      </c>
      <c r="B152" s="425" t="s">
        <v>807</v>
      </c>
      <c r="C152" s="56" t="n">
        <v>238542</v>
      </c>
      <c r="D152" s="250" t="s">
        <v>42</v>
      </c>
      <c r="E152" s="33" t="n">
        <f aca="false">IF(D152="totale",(C152/(A152*24))/F152,IF(D152="marché libre",(C152/(A152*24))/G152,"spécifier histo"))</f>
        <v>0.193747563352827</v>
      </c>
      <c r="F152" s="59" t="n">
        <f aca="false">G152+H152</f>
        <v>2110</v>
      </c>
      <c r="G152" s="59" t="n">
        <f aca="false">1050+660</f>
        <v>1710</v>
      </c>
      <c r="H152" s="59" t="n">
        <v>400</v>
      </c>
      <c r="J152" s="183"/>
      <c r="K152" s="117"/>
      <c r="L152" s="117"/>
      <c r="M152" s="117"/>
      <c r="N152" s="117"/>
    </row>
    <row r="153" customFormat="false" ht="19.85" hidden="false" customHeight="true" outlineLevel="0" collapsed="false">
      <c r="A153" s="1" t="n">
        <v>31</v>
      </c>
      <c r="B153" s="426" t="s">
        <v>808</v>
      </c>
      <c r="C153" s="56" t="n">
        <v>1720</v>
      </c>
      <c r="D153" s="250" t="s">
        <v>42</v>
      </c>
      <c r="E153" s="33" t="n">
        <f aca="false">IF(D153="totale",(C153/(A153*24))/F153,IF(D153="marché libre",(C153/(A153*24))/G153,"spécifier histo"))</f>
        <v>0.00135194617367792</v>
      </c>
      <c r="F153" s="59" t="n">
        <f aca="false">G153+H153</f>
        <v>2110</v>
      </c>
      <c r="G153" s="59" t="n">
        <f aca="false">1050+660</f>
        <v>1710</v>
      </c>
      <c r="H153" s="59" t="n">
        <v>400</v>
      </c>
      <c r="J153" s="183"/>
      <c r="K153" s="117"/>
      <c r="L153" s="117"/>
      <c r="M153" s="117"/>
      <c r="N153" s="117"/>
    </row>
    <row r="154" customFormat="false" ht="19.85" hidden="false" customHeight="true" outlineLevel="0" collapsed="false">
      <c r="A154" s="1" t="n">
        <v>31</v>
      </c>
      <c r="B154" s="430" t="n">
        <v>42736</v>
      </c>
      <c r="C154" s="56" t="n">
        <v>39434</v>
      </c>
      <c r="D154" s="250" t="s">
        <v>42</v>
      </c>
      <c r="E154" s="33" t="n">
        <f aca="false">IF(D154="totale",(C154/(A154*24))/F154,IF(D154="marché libre",(C154/(A154*24))/G154,"spécifier histo"))</f>
        <v>0.0309957240772181</v>
      </c>
      <c r="F154" s="59" t="n">
        <f aca="false">G154+H154</f>
        <v>2110</v>
      </c>
      <c r="G154" s="59" t="n">
        <f aca="false">1050+660</f>
        <v>1710</v>
      </c>
      <c r="H154" s="59" t="n">
        <v>400</v>
      </c>
      <c r="J154" s="183"/>
      <c r="K154" s="117"/>
      <c r="L154" s="117"/>
      <c r="M154" s="117"/>
      <c r="N154" s="117"/>
    </row>
    <row r="155" customFormat="false" ht="19.85" hidden="false" customHeight="true" outlineLevel="0" collapsed="false">
      <c r="A155" s="1" t="n">
        <v>28</v>
      </c>
      <c r="B155" s="431" t="n">
        <v>42767</v>
      </c>
      <c r="C155" s="56" t="n">
        <v>492796</v>
      </c>
      <c r="D155" s="250" t="s">
        <v>42</v>
      </c>
      <c r="E155" s="33" t="n">
        <f aca="false">IF(D155="totale",(C155/(A155*24))/F155,IF(D155="marché libre",(C155/(A155*24))/G155,"spécifier histo"))</f>
        <v>0.42884642160958</v>
      </c>
      <c r="F155" s="59" t="n">
        <f aca="false">G155+H155</f>
        <v>2110</v>
      </c>
      <c r="G155" s="59" t="n">
        <f aca="false">1050+660</f>
        <v>1710</v>
      </c>
      <c r="H155" s="59" t="n">
        <v>400</v>
      </c>
      <c r="J155" s="183"/>
      <c r="K155" s="117"/>
      <c r="L155" s="117"/>
      <c r="M155" s="117"/>
      <c r="N155" s="117"/>
    </row>
    <row r="156" customFormat="false" ht="19.85" hidden="false" customHeight="true" outlineLevel="0" collapsed="false">
      <c r="A156" s="1" t="n">
        <v>31</v>
      </c>
      <c r="B156" s="432" t="n">
        <v>42795</v>
      </c>
      <c r="C156" s="56" t="n">
        <v>628911</v>
      </c>
      <c r="D156" s="250" t="s">
        <v>42</v>
      </c>
      <c r="E156" s="33" t="n">
        <f aca="false">IF(D156="totale",(C156/(A156*24))/F156,IF(D156="marché libre",(C156/(A156*24))/G156,"spécifier histo"))</f>
        <v>0.494333616298812</v>
      </c>
      <c r="F156" s="59" t="n">
        <f aca="false">G156+H156</f>
        <v>2110</v>
      </c>
      <c r="G156" s="59" t="n">
        <f aca="false">1050+660</f>
        <v>1710</v>
      </c>
      <c r="H156" s="59" t="n">
        <v>400</v>
      </c>
      <c r="J156" s="183"/>
      <c r="K156" s="117"/>
      <c r="L156" s="117"/>
      <c r="M156" s="117"/>
      <c r="N156" s="117"/>
    </row>
    <row r="157" customFormat="false" ht="19.85" hidden="false" customHeight="true" outlineLevel="0" collapsed="false">
      <c r="A157" s="1" t="n">
        <v>30</v>
      </c>
      <c r="B157" s="433" t="n">
        <v>42826</v>
      </c>
      <c r="C157" s="56" t="n">
        <v>434527</v>
      </c>
      <c r="D157" s="250" t="s">
        <v>42</v>
      </c>
      <c r="E157" s="33" t="n">
        <f aca="false">IF(D157="totale",(C157/(A157*24))/F157,IF(D157="marché libre",(C157/(A157*24))/G157,"spécifier histo"))</f>
        <v>0.352929662118259</v>
      </c>
      <c r="F157" s="59" t="n">
        <f aca="false">G157+H157</f>
        <v>2110</v>
      </c>
      <c r="G157" s="59" t="n">
        <f aca="false">1050+660</f>
        <v>1710</v>
      </c>
      <c r="H157" s="59" t="n">
        <v>400</v>
      </c>
      <c r="J157" s="183"/>
      <c r="K157" s="117"/>
      <c r="L157" s="117"/>
      <c r="M157" s="117"/>
      <c r="N157" s="117"/>
    </row>
    <row r="158" customFormat="false" ht="19.85" hidden="false" customHeight="true" outlineLevel="0" collapsed="false">
      <c r="A158" s="1" t="n">
        <v>31</v>
      </c>
      <c r="B158" s="434" t="n">
        <v>42856</v>
      </c>
      <c r="C158" s="9" t="n">
        <v>122705</v>
      </c>
      <c r="D158" s="250" t="s">
        <v>42</v>
      </c>
      <c r="E158" s="33" t="n">
        <f aca="false">IF(D158="totale",(C158/(A158*24))/F158,IF(D158="marché libre",(C158/(A158*24))/G158,"spécifier histo"))</f>
        <v>0.0964479972332265</v>
      </c>
      <c r="F158" s="59" t="n">
        <f aca="false">G158+H158</f>
        <v>2110</v>
      </c>
      <c r="G158" s="59" t="n">
        <f aca="false">1050+660</f>
        <v>1710</v>
      </c>
      <c r="H158" s="59" t="n">
        <v>400</v>
      </c>
      <c r="J158" s="183"/>
      <c r="K158" s="117"/>
      <c r="L158" s="117"/>
      <c r="M158" s="117"/>
      <c r="N158" s="117"/>
    </row>
    <row r="159" customFormat="false" ht="22.45" hidden="false" customHeight="true" outlineLevel="0" collapsed="false">
      <c r="A159" s="1" t="n">
        <v>30</v>
      </c>
      <c r="B159" s="435" t="n">
        <v>42887</v>
      </c>
      <c r="C159" s="1" t="n">
        <v>65818</v>
      </c>
      <c r="D159" s="250" t="s">
        <v>42</v>
      </c>
      <c r="E159" s="33" t="n">
        <f aca="false">IF(D159="totale",(C159/(A159*24))/F159,IF(D159="marché libre",(C159/(A159*24))/G159,"spécifier histo"))</f>
        <v>0.0534584145549058</v>
      </c>
      <c r="F159" s="59" t="n">
        <f aca="false">G159+H159</f>
        <v>2110</v>
      </c>
      <c r="G159" s="59" t="n">
        <f aca="false">1050+660</f>
        <v>1710</v>
      </c>
      <c r="H159" s="59" t="n">
        <v>400</v>
      </c>
      <c r="J159" s="183"/>
      <c r="K159" s="117"/>
      <c r="L159" s="117"/>
      <c r="M159" s="117"/>
      <c r="N159" s="117"/>
    </row>
    <row r="160" customFormat="false" ht="21.65" hidden="false" customHeight="true" outlineLevel="0" collapsed="false">
      <c r="A160" s="1" t="n">
        <v>31</v>
      </c>
      <c r="B160" s="436" t="n">
        <v>42917</v>
      </c>
      <c r="C160" s="1" t="n">
        <v>10888</v>
      </c>
      <c r="D160" s="250" t="s">
        <v>42</v>
      </c>
      <c r="E160" s="33" t="n">
        <f aca="false">IF(D160="totale",(C160/(A160*24))/F160,IF(D160="marché libre",(C160/(A160*24))/G160,"spécifier histo"))</f>
        <v>0.00855813368546815</v>
      </c>
      <c r="F160" s="59" t="n">
        <f aca="false">G160+H160</f>
        <v>2110</v>
      </c>
      <c r="G160" s="59" t="n">
        <f aca="false">1050+660</f>
        <v>1710</v>
      </c>
      <c r="H160" s="59" t="n">
        <v>400</v>
      </c>
      <c r="J160" s="183"/>
      <c r="K160" s="117"/>
      <c r="L160" s="117"/>
      <c r="M160" s="117"/>
      <c r="N160" s="117"/>
    </row>
    <row r="161" customFormat="false" ht="21.65" hidden="false" customHeight="true" outlineLevel="0" collapsed="false">
      <c r="A161" s="1" t="n">
        <v>31</v>
      </c>
      <c r="B161" s="437" t="n">
        <v>42948</v>
      </c>
      <c r="C161" s="1" t="n">
        <v>1898</v>
      </c>
      <c r="D161" s="250" t="s">
        <v>42</v>
      </c>
      <c r="E161" s="33" t="n">
        <f aca="false">IF(D161="totale",(C161/(A161*24))/F161,IF(D161="marché libre",(C161/(A161*24))/G161,"spécifier histo"))</f>
        <v>0.00149185688234924</v>
      </c>
      <c r="F161" s="59" t="n">
        <f aca="false">G161+H161</f>
        <v>2110</v>
      </c>
      <c r="G161" s="59" t="n">
        <f aca="false">1050+660</f>
        <v>1710</v>
      </c>
      <c r="H161" s="59" t="n">
        <v>400</v>
      </c>
      <c r="J161" s="183"/>
      <c r="K161" s="117"/>
      <c r="L161" s="117"/>
      <c r="M161" s="117"/>
      <c r="N161" s="117"/>
    </row>
    <row r="162" customFormat="false" ht="21.65" hidden="false" customHeight="true" outlineLevel="0" collapsed="false">
      <c r="A162" s="1" t="n">
        <v>30</v>
      </c>
      <c r="B162" s="438" t="n">
        <v>42979</v>
      </c>
      <c r="C162" s="1" t="n">
        <v>990</v>
      </c>
      <c r="D162" s="250" t="s">
        <v>42</v>
      </c>
      <c r="E162" s="33" t="n">
        <f aca="false">IF(D162="totale",(C162/(A162*24))/F162,IF(D162="marché libre",(C162/(A162*24))/G162,"spécifier histo"))</f>
        <v>0.000804093567251462</v>
      </c>
      <c r="F162" s="59" t="n">
        <f aca="false">G162+H162</f>
        <v>2110</v>
      </c>
      <c r="G162" s="59" t="n">
        <f aca="false">1050+660</f>
        <v>1710</v>
      </c>
      <c r="H162" s="59" t="n">
        <v>400</v>
      </c>
      <c r="J162" s="183"/>
      <c r="K162" s="117"/>
      <c r="L162" s="117"/>
      <c r="M162" s="117"/>
      <c r="N162" s="117"/>
    </row>
    <row r="163" customFormat="false" ht="21.65" hidden="false" customHeight="true" outlineLevel="0" collapsed="false">
      <c r="A163" s="1" t="n">
        <v>31</v>
      </c>
      <c r="B163" s="439" t="n">
        <v>43009</v>
      </c>
      <c r="C163" s="1" t="n">
        <v>7479</v>
      </c>
      <c r="D163" s="250" t="s">
        <v>42</v>
      </c>
      <c r="E163" s="33" t="n">
        <f aca="false">IF(D163="totale",(C163/(A163*24))/F163,IF(D163="marché libre",(C163/(A163*24))/G163,"spécifier histo"))</f>
        <v>0.0058786078098472</v>
      </c>
      <c r="F163" s="59" t="n">
        <f aca="false">G163+H163</f>
        <v>2110</v>
      </c>
      <c r="G163" s="59" t="n">
        <f aca="false">1050+660</f>
        <v>1710</v>
      </c>
      <c r="H163" s="59" t="n">
        <v>400</v>
      </c>
      <c r="J163" s="183"/>
      <c r="K163" s="117"/>
      <c r="L163" s="117"/>
      <c r="M163" s="117"/>
      <c r="N163" s="117"/>
    </row>
    <row r="164" customFormat="false" ht="21.65" hidden="false" customHeight="true" outlineLevel="0" collapsed="false">
      <c r="A164" s="1" t="n">
        <v>30</v>
      </c>
      <c r="B164" s="440" t="n">
        <v>43040</v>
      </c>
      <c r="C164" s="1" t="n">
        <v>247244</v>
      </c>
      <c r="D164" s="250" t="s">
        <v>42</v>
      </c>
      <c r="E164" s="33" t="n">
        <f aca="false">IF(D164="totale",(C164/(A164*24))/F164,IF(D164="marché libre",(C164/(A164*24))/G164,"spécifier histo"))</f>
        <v>0.200815464587394</v>
      </c>
      <c r="F164" s="59" t="n">
        <f aca="false">G164+H164</f>
        <v>2110</v>
      </c>
      <c r="G164" s="59" t="n">
        <f aca="false">1050+660</f>
        <v>1710</v>
      </c>
      <c r="H164" s="59" t="n">
        <v>400</v>
      </c>
      <c r="J164" s="183"/>
      <c r="K164" s="117"/>
      <c r="L164" s="117"/>
      <c r="M164" s="117"/>
      <c r="N164" s="117"/>
    </row>
    <row r="165" customFormat="false" ht="21.65" hidden="false" customHeight="true" outlineLevel="0" collapsed="false">
      <c r="A165" s="1" t="n">
        <v>28</v>
      </c>
      <c r="B165" s="441" t="n">
        <v>43070</v>
      </c>
      <c r="C165" s="1" t="n">
        <v>631950</v>
      </c>
      <c r="D165" s="250" t="s">
        <v>42</v>
      </c>
      <c r="E165" s="33" t="n">
        <f aca="false">IF(D165="totale",(C165/(A165*24))/F165,IF(D165="marché libre",(C165/(A165*24))/G165,"spécifier histo"))</f>
        <v>0.549942564745196</v>
      </c>
      <c r="F165" s="59" t="n">
        <f aca="false">G165+H165</f>
        <v>2110</v>
      </c>
      <c r="G165" s="59" t="n">
        <f aca="false">1050+660</f>
        <v>1710</v>
      </c>
      <c r="H165" s="59" t="n">
        <v>400</v>
      </c>
      <c r="J165" s="183"/>
      <c r="K165" s="117"/>
      <c r="L165" s="117"/>
      <c r="M165" s="117"/>
      <c r="N165" s="117"/>
    </row>
    <row r="166" customFormat="false" ht="21.65" hidden="false" customHeight="true" outlineLevel="0" collapsed="false">
      <c r="A166" s="1" t="n">
        <v>31</v>
      </c>
      <c r="B166" s="430" t="n">
        <v>43101</v>
      </c>
      <c r="C166" s="1" t="n">
        <v>1014420</v>
      </c>
      <c r="D166" s="250" t="s">
        <v>42</v>
      </c>
      <c r="E166" s="33" t="n">
        <f aca="false">IF(D166="totale",(C166/(A166*24))/F166,IF(D166="marché libre",(C166/(A166*24))/G166,"spécifier histo"))</f>
        <v>0.797349556687417</v>
      </c>
      <c r="F166" s="59" t="n">
        <f aca="false">G166+H166</f>
        <v>2110</v>
      </c>
      <c r="G166" s="59" t="n">
        <f aca="false">1050+660</f>
        <v>1710</v>
      </c>
      <c r="H166" s="59" t="n">
        <v>400</v>
      </c>
      <c r="J166" s="183"/>
      <c r="K166" s="117"/>
      <c r="L166" s="117"/>
      <c r="M166" s="117"/>
      <c r="N166" s="117"/>
    </row>
    <row r="167" customFormat="false" ht="21.65" hidden="false" customHeight="true" outlineLevel="0" collapsed="false">
      <c r="A167" s="1" t="n">
        <v>30</v>
      </c>
      <c r="B167" s="431" t="n">
        <v>43132</v>
      </c>
      <c r="C167" s="1" t="n">
        <v>684685</v>
      </c>
      <c r="D167" s="250" t="s">
        <v>42</v>
      </c>
      <c r="E167" s="33" t="n">
        <f aca="false">IF(D167="totale",(C167/(A167*24))/F167,IF(D167="marché libre",(C167/(A167*24))/G167,"spécifier histo"))</f>
        <v>0.556111923326836</v>
      </c>
      <c r="F167" s="59" t="n">
        <f aca="false">G167+H167</f>
        <v>2110</v>
      </c>
      <c r="G167" s="59" t="n">
        <f aca="false">1050+660</f>
        <v>1710</v>
      </c>
      <c r="H167" s="59" t="n">
        <v>400</v>
      </c>
      <c r="J167" s="183"/>
      <c r="K167" s="117"/>
      <c r="L167" s="117"/>
      <c r="M167" s="117"/>
      <c r="N167" s="117"/>
    </row>
    <row r="168" customFormat="false" ht="21.65" hidden="false" customHeight="true" outlineLevel="0" collapsed="false">
      <c r="A168" s="1" t="n">
        <v>31</v>
      </c>
      <c r="B168" s="432" t="n">
        <v>43160</v>
      </c>
      <c r="C168" s="1" t="n">
        <v>940753</v>
      </c>
      <c r="D168" s="250" t="s">
        <v>42</v>
      </c>
      <c r="E168" s="33" t="n">
        <f aca="false">IF(D168="totale",(C168/(A168*24))/F168,IF(D168="marché libre",(C168/(A168*24))/G168,"spécifier histo"))</f>
        <v>0.739446173677922</v>
      </c>
      <c r="F168" s="59" t="n">
        <f aca="false">G168+H168</f>
        <v>2110</v>
      </c>
      <c r="G168" s="59" t="n">
        <f aca="false">1050+660</f>
        <v>1710</v>
      </c>
      <c r="H168" s="59" t="n">
        <v>400</v>
      </c>
      <c r="J168" s="183"/>
      <c r="K168" s="117"/>
      <c r="L168" s="117"/>
      <c r="M168" s="117"/>
      <c r="N168" s="117"/>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row r="173" customFormat="false" ht="12.8" hidden="false" customHeight="false" outlineLevel="0" collapsed="false">
      <c r="A173" s="0"/>
    </row>
    <row r="174" customFormat="false" ht="12.8" hidden="false" customHeight="false" outlineLevel="0" collapsed="false">
      <c r="A174" s="0"/>
    </row>
    <row r="175" customFormat="false" ht="12.8" hidden="false" customHeight="false" outlineLevel="0" collapsed="false">
      <c r="A175" s="0"/>
    </row>
    <row r="176" customFormat="false" ht="12.8" hidden="false" customHeight="false" outlineLevel="0" collapsed="false">
      <c r="A176" s="0"/>
    </row>
    <row r="177" customFormat="false" ht="12.8" hidden="false" customHeight="false" outlineLevel="0" collapsed="false">
      <c r="A177" s="0"/>
    </row>
    <row r="178" customFormat="false" ht="12.8" hidden="false" customHeight="false" outlineLevel="0" collapsed="false">
      <c r="A178" s="0"/>
    </row>
    <row r="179" customFormat="false" ht="12.8" hidden="false" customHeight="false" outlineLevel="0" collapsed="false">
      <c r="A179" s="0"/>
    </row>
    <row r="180" customFormat="false" ht="12.8" hidden="false" customHeight="false" outlineLevel="0" collapsed="false">
      <c r="A180" s="0"/>
    </row>
    <row r="181" customFormat="false" ht="12.8" hidden="false" customHeight="false" outlineLevel="0" collapsed="false">
      <c r="A181" s="0"/>
    </row>
    <row r="182" customFormat="false" ht="12.8" hidden="false" customHeight="false" outlineLevel="0" collapsed="false">
      <c r="A182" s="0"/>
    </row>
    <row r="183" customFormat="false" ht="12.8" hidden="false" customHeight="fals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row r="188" customFormat="false" ht="12.8" hidden="false" customHeight="false" outlineLevel="0" collapsed="false">
      <c r="A188" s="0"/>
    </row>
    <row r="189" customFormat="false" ht="12.8" hidden="false" customHeight="false" outlineLevel="0" collapsed="false">
      <c r="A189" s="0"/>
    </row>
    <row r="190" customFormat="false" ht="12.8" hidden="false" customHeight="false" outlineLevel="0" collapsed="false">
      <c r="A190" s="0"/>
    </row>
    <row r="191" customFormat="false" ht="12.8" hidden="false" customHeight="false" outlineLevel="0" collapsed="false">
      <c r="A191" s="0"/>
    </row>
    <row r="192" customFormat="false" ht="12.8" hidden="false" customHeight="false" outlineLevel="0" collapsed="false">
      <c r="A192" s="0"/>
    </row>
    <row r="193" customFormat="false" ht="12.8" hidden="false" customHeight="false" outlineLevel="0" collapsed="false">
      <c r="A193" s="0"/>
    </row>
    <row r="194" customFormat="false" ht="12.8" hidden="false" customHeight="false" outlineLevel="0" collapsed="false">
      <c r="A194" s="0"/>
    </row>
    <row r="195" customFormat="false" ht="12.8" hidden="false" customHeight="false" outlineLevel="0" collapsed="false">
      <c r="A195" s="0"/>
    </row>
    <row r="196" customFormat="false" ht="12.8" hidden="false" customHeight="false" outlineLevel="0" collapsed="false">
      <c r="A196"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43:E16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42">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94">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96:E118">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conditionalFormatting sqref="E95">
    <cfRule type="cellIs" priority="18" operator="greaterThan" aboveAverage="0" equalAverage="0" bottom="0" percent="0" rank="0" text="" dxfId="0">
      <formula>1</formula>
    </cfRule>
    <cfRule type="cellIs" priority="19" operator="equal" aboveAverage="0" equalAverage="0" bottom="0" percent="0" rank="0" text="" dxfId="1">
      <formula>0</formula>
    </cfRule>
    <cfRule type="cellIs" priority="20" operator="lessThan" aboveAverage="0" equalAverage="0" bottom="0" percent="0" rank="0" text="" dxfId="2">
      <formula>0.2</formula>
    </cfRule>
    <cfRule type="cellIs" priority="21" operator="greaterThan" aboveAverage="0" equalAverage="0" bottom="0" percent="0" rank="0" text="" dxfId="3">
      <formula>0.8</formula>
    </cfRule>
  </conditionalFormatting>
  <conditionalFormatting sqref="E37:E59">
    <cfRule type="cellIs" priority="22" operator="greaterThan" aboveAverage="0" equalAverage="0" bottom="0" percent="0" rank="0" text="" dxfId="0">
      <formula>1</formula>
    </cfRule>
    <cfRule type="cellIs" priority="23" operator="equal" aboveAverage="0" equalAverage="0" bottom="0" percent="0" rank="0" text="" dxfId="1">
      <formula>0</formula>
    </cfRule>
    <cfRule type="cellIs" priority="24" operator="lessThan" aboveAverage="0" equalAverage="0" bottom="0" percent="0" rank="0" text="" dxfId="2">
      <formula>0.2</formula>
    </cfRule>
    <cfRule type="cellIs" priority="25" operator="greaterThan" aboveAverage="0" equalAverage="0" bottom="0" percent="0" rank="0" text="" dxfId="3">
      <formula>0.8</formula>
    </cfRule>
  </conditionalFormatting>
  <conditionalFormatting sqref="E36">
    <cfRule type="cellIs" priority="26" operator="greaterThan" aboveAverage="0" equalAverage="0" bottom="0" percent="0" rank="0" text="" dxfId="0">
      <formula>1</formula>
    </cfRule>
    <cfRule type="cellIs" priority="27" operator="equal" aboveAverage="0" equalAverage="0" bottom="0" percent="0" rank="0" text="" dxfId="1">
      <formula>0</formula>
    </cfRule>
    <cfRule type="cellIs" priority="28" operator="lessThan" aboveAverage="0" equalAverage="0" bottom="0" percent="0" rank="0" text="" dxfId="2">
      <formula>0.2</formula>
    </cfRule>
    <cfRule type="cellIs" priority="29" operator="greaterThan" aboveAverage="0" equalAverage="0" bottom="0" percent="0" rank="0" text="" dxfId="3">
      <formula>0.8</formula>
    </cfRule>
  </conditionalFormatting>
  <conditionalFormatting sqref="E10:E12">
    <cfRule type="cellIs" priority="30" operator="greaterThan" aboveAverage="0" equalAverage="0" bottom="0" percent="0" rank="0" text="" dxfId="0">
      <formula>1</formula>
    </cfRule>
    <cfRule type="cellIs" priority="31" operator="equal" aboveAverage="0" equalAverage="0" bottom="0" percent="0" rank="0" text="" dxfId="1">
      <formula>0</formula>
    </cfRule>
    <cfRule type="cellIs" priority="32" operator="lessThan" aboveAverage="0" equalAverage="0" bottom="0" percent="0" rank="0" text="" dxfId="2">
      <formula>0.2</formula>
    </cfRule>
    <cfRule type="cellIs" priority="33" operator="greaterThan" aboveAverage="0" equalAverage="0" bottom="0" percent="0" rank="0" text="" dxfId="3">
      <formula>0.8</formula>
    </cfRule>
  </conditionalFormatting>
  <conditionalFormatting sqref="E166">
    <cfRule type="cellIs" priority="34" operator="greaterThan" aboveAverage="0" equalAverage="0" bottom="0" percent="0" rank="0" text="" dxfId="0">
      <formula>1</formula>
    </cfRule>
    <cfRule type="cellIs" priority="35" operator="equal" aboveAverage="0" equalAverage="0" bottom="0" percent="0" rank="0" text="" dxfId="1">
      <formula>0</formula>
    </cfRule>
    <cfRule type="cellIs" priority="36" operator="lessThan" aboveAverage="0" equalAverage="0" bottom="0" percent="0" rank="0" text="" dxfId="2">
      <formula>0.2</formula>
    </cfRule>
    <cfRule type="cellIs" priority="37" operator="greaterThan" aboveAverage="0" equalAverage="0" bottom="0" percent="0" rank="0" text="" dxfId="3">
      <formula>0.8</formula>
    </cfRule>
  </conditionalFormatting>
  <conditionalFormatting sqref="E167">
    <cfRule type="cellIs" priority="38" operator="greaterThan" aboveAverage="0" equalAverage="0" bottom="0" percent="0" rank="0" text="" dxfId="0">
      <formula>1</formula>
    </cfRule>
    <cfRule type="cellIs" priority="39" operator="equal" aboveAverage="0" equalAverage="0" bottom="0" percent="0" rank="0" text="" dxfId="1">
      <formula>0</formula>
    </cfRule>
    <cfRule type="cellIs" priority="40" operator="lessThan" aboveAverage="0" equalAverage="0" bottom="0" percent="0" rank="0" text="" dxfId="2">
      <formula>0.2</formula>
    </cfRule>
    <cfRule type="cellIs" priority="41" operator="greaterThan" aboveAverage="0" equalAverage="0" bottom="0" percent="0" rank="0" text="" dxfId="3">
      <formula>0.8</formula>
    </cfRule>
  </conditionalFormatting>
  <conditionalFormatting sqref="E168">
    <cfRule type="cellIs" priority="42" operator="greaterThan" aboveAverage="0" equalAverage="0" bottom="0" percent="0" rank="0" text="" dxfId="0">
      <formula>1</formula>
    </cfRule>
    <cfRule type="cellIs" priority="43" operator="equal" aboveAverage="0" equalAverage="0" bottom="0" percent="0" rank="0" text="" dxfId="1">
      <formula>0</formula>
    </cfRule>
    <cfRule type="cellIs" priority="44" operator="lessThan" aboveAverage="0" equalAverage="0" bottom="0" percent="0" rank="0" text="" dxfId="2">
      <formula>0.2</formula>
    </cfRule>
    <cfRule type="cellIs" priority="4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7.xml><?xml version="1.0" encoding="utf-8"?>
<worksheet xmlns="http://schemas.openxmlformats.org/spreadsheetml/2006/main" xmlns:r="http://schemas.openxmlformats.org/officeDocument/2006/relationships">
  <sheetPr filterMode="false">
    <tabColor rgb="FF3FAF46"/>
    <pageSetUpPr fitToPage="false"/>
  </sheetPr>
  <dimension ref="A1:AA30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32" activePane="bottomRight" state="frozen"/>
      <selection pane="topLeft" activeCell="A1" activeCellId="0" sqref="A1"/>
      <selection pane="topRight" activeCell="B1" activeCellId="0" sqref="B1"/>
      <selection pane="bottomLeft" activeCell="A232" activeCellId="0" sqref="A232"/>
      <selection pane="bottomRight" activeCell="B240" activeCellId="0" sqref="B24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3" hidden="false" customHeight="true" outlineLevel="0" collapsed="false">
      <c r="A4" s="0"/>
      <c r="B4" s="16" t="s">
        <v>809</v>
      </c>
      <c r="C4" s="16" t="n">
        <v>62099</v>
      </c>
      <c r="D4" s="5" t="s">
        <v>810</v>
      </c>
      <c r="E4" s="14" t="s">
        <v>811</v>
      </c>
      <c r="F4" s="15" t="n">
        <v>103</v>
      </c>
      <c r="G4" s="15" t="n">
        <v>103</v>
      </c>
      <c r="H4" s="15" t="n">
        <v>103</v>
      </c>
      <c r="I4" s="16" t="s">
        <v>812</v>
      </c>
      <c r="J4" s="15" t="n">
        <v>103</v>
      </c>
      <c r="K4" s="16" t="s">
        <v>812</v>
      </c>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291" t="s">
        <v>118</v>
      </c>
      <c r="H6" s="291"/>
      <c r="I6" s="291"/>
      <c r="J6" s="291"/>
      <c r="K6" s="291"/>
      <c r="L6" s="291"/>
      <c r="M6" s="291"/>
      <c r="N6" s="291"/>
      <c r="P6" s="21" t="n">
        <v>41127</v>
      </c>
      <c r="Q6" s="19" t="s">
        <v>27</v>
      </c>
      <c r="R6" s="9"/>
      <c r="S6" s="22"/>
      <c r="T6" s="5" t="s">
        <v>28</v>
      </c>
    </row>
    <row r="7" customFormat="false" ht="41.65" hidden="false" customHeight="true" outlineLevel="0" collapsed="false">
      <c r="A7" s="0"/>
      <c r="B7" s="0"/>
      <c r="C7" s="126" t="s">
        <v>813</v>
      </c>
      <c r="D7" s="126"/>
      <c r="F7" s="20"/>
      <c r="G7" s="20"/>
      <c r="H7" s="291"/>
      <c r="I7" s="291"/>
      <c r="J7" s="291"/>
      <c r="K7" s="291"/>
      <c r="L7" s="291"/>
      <c r="M7" s="291"/>
      <c r="N7" s="291"/>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205" t="s">
        <v>40</v>
      </c>
      <c r="K9" s="206"/>
    </row>
    <row r="10" customFormat="false" ht="20" hidden="false" customHeight="true" outlineLevel="0" collapsed="false">
      <c r="A10" s="0" t="n">
        <v>31</v>
      </c>
      <c r="B10" s="31" t="n">
        <v>36526</v>
      </c>
      <c r="C10" s="442" t="n">
        <v>43586</v>
      </c>
      <c r="D10" s="1" t="s">
        <v>42</v>
      </c>
      <c r="E10" s="33" t="n">
        <f aca="false">IF(D10="totale",(C10/(A10*24))/F10,IF(D10="marché libre",(C10/(A10*24))/G10,"spécifier histo"))</f>
        <v>0.568770226537217</v>
      </c>
      <c r="F10" s="57" t="n">
        <v>103</v>
      </c>
      <c r="G10" s="57" t="n">
        <f aca="false">F10-H10</f>
        <v>103</v>
      </c>
      <c r="H10" s="9" t="n">
        <f aca="false">0</f>
        <v>0</v>
      </c>
      <c r="I10" s="9"/>
      <c r="J10" s="205"/>
      <c r="K10" s="206"/>
    </row>
    <row r="11" customFormat="false" ht="20" hidden="false" customHeight="true" outlineLevel="0" collapsed="false">
      <c r="A11" s="0" t="n">
        <v>28</v>
      </c>
      <c r="B11" s="160" t="n">
        <v>36557</v>
      </c>
      <c r="C11" s="442" t="n">
        <v>47376</v>
      </c>
      <c r="D11" s="1" t="s">
        <v>42</v>
      </c>
      <c r="E11" s="33" t="n">
        <f aca="false">IF(D11="totale",(C11/(A11*24))/F11,IF(D11="marché libre",(C11/(A11*24))/G11,"spécifier histo"))</f>
        <v>0.684466019417476</v>
      </c>
      <c r="F11" s="57" t="n">
        <v>103</v>
      </c>
      <c r="G11" s="57" t="n">
        <f aca="false">F11-H11</f>
        <v>103</v>
      </c>
      <c r="H11" s="9" t="n">
        <f aca="false">0</f>
        <v>0</v>
      </c>
      <c r="I11" s="9"/>
      <c r="J11" s="205"/>
      <c r="K11" s="206"/>
    </row>
    <row r="12" customFormat="false" ht="20" hidden="false" customHeight="true" outlineLevel="0" collapsed="false">
      <c r="A12" s="0" t="n">
        <v>31</v>
      </c>
      <c r="B12" s="31" t="n">
        <v>36586</v>
      </c>
      <c r="C12" s="442" t="n">
        <v>46641</v>
      </c>
      <c r="D12" s="1" t="s">
        <v>42</v>
      </c>
      <c r="E12" s="33" t="n">
        <f aca="false">IF(D12="totale",(C12/(A12*24))/F12,IF(D12="marché libre",(C12/(A12*24))/G12,"spécifier histo"))</f>
        <v>0.608636078922643</v>
      </c>
      <c r="F12" s="57" t="n">
        <v>103</v>
      </c>
      <c r="G12" s="57" t="n">
        <f aca="false">F12-H12</f>
        <v>103</v>
      </c>
      <c r="H12" s="9" t="n">
        <f aca="false">0</f>
        <v>0</v>
      </c>
      <c r="I12" s="9"/>
      <c r="J12" s="205"/>
      <c r="K12" s="206"/>
    </row>
    <row r="13" customFormat="false" ht="22" hidden="false" customHeight="true" outlineLevel="0" collapsed="false">
      <c r="A13" s="0" t="n">
        <v>30</v>
      </c>
      <c r="B13" s="160" t="n">
        <v>36617</v>
      </c>
      <c r="C13" s="442" t="n">
        <v>63249</v>
      </c>
      <c r="D13" s="1" t="s">
        <v>42</v>
      </c>
      <c r="E13" s="33" t="n">
        <f aca="false">IF(D13="totale",(C13/(A13*24))/F13,IF(D13="marché libre",(C13/(A13*24))/G13,"spécifier histo"))</f>
        <v>0.85287216828479</v>
      </c>
      <c r="F13" s="57" t="n">
        <v>103</v>
      </c>
      <c r="G13" s="57" t="n">
        <f aca="false">F13-H13</f>
        <v>103</v>
      </c>
      <c r="H13" s="9" t="n">
        <f aca="false">0</f>
        <v>0</v>
      </c>
      <c r="I13" s="9"/>
      <c r="J13" s="205"/>
      <c r="K13" s="206"/>
    </row>
    <row r="14" customFormat="false" ht="22" hidden="false" customHeight="true" outlineLevel="0" collapsed="false">
      <c r="A14" s="0" t="n">
        <v>31</v>
      </c>
      <c r="B14" s="31" t="n">
        <v>36647</v>
      </c>
      <c r="C14" s="442" t="n">
        <v>61012</v>
      </c>
      <c r="D14" s="1" t="s">
        <v>42</v>
      </c>
      <c r="E14" s="33" t="n">
        <f aca="false">IF(D14="totale",(C14/(A14*24))/F14,IF(D14="marché libre",(C14/(A14*24))/G14,"spécifier histo"))</f>
        <v>0.796168702369767</v>
      </c>
      <c r="F14" s="57" t="n">
        <v>103</v>
      </c>
      <c r="G14" s="57" t="n">
        <f aca="false">F14-H14</f>
        <v>103</v>
      </c>
      <c r="H14" s="9" t="n">
        <f aca="false">0</f>
        <v>0</v>
      </c>
      <c r="I14" s="9"/>
      <c r="J14" s="205"/>
      <c r="K14" s="206"/>
    </row>
    <row r="15" customFormat="false" ht="22" hidden="false" customHeight="true" outlineLevel="0" collapsed="false">
      <c r="A15" s="0" t="n">
        <v>30</v>
      </c>
      <c r="B15" s="160" t="n">
        <v>36678</v>
      </c>
      <c r="C15" s="442" t="n">
        <v>54891</v>
      </c>
      <c r="D15" s="1" t="s">
        <v>42</v>
      </c>
      <c r="E15" s="33" t="n">
        <f aca="false">IF(D15="totale",(C15/(A15*24))/F15,IF(D15="marché libre",(C15/(A15*24))/G15,"spécifier histo"))</f>
        <v>0.740169902912621</v>
      </c>
      <c r="F15" s="57" t="n">
        <v>103</v>
      </c>
      <c r="G15" s="57" t="n">
        <f aca="false">F15-H15</f>
        <v>103</v>
      </c>
      <c r="H15" s="9" t="n">
        <f aca="false">0</f>
        <v>0</v>
      </c>
      <c r="I15" s="9"/>
      <c r="J15" s="205"/>
      <c r="K15" s="206"/>
    </row>
    <row r="16" customFormat="false" ht="22" hidden="false" customHeight="true" outlineLevel="0" collapsed="false">
      <c r="A16" s="0" t="n">
        <v>31</v>
      </c>
      <c r="B16" s="31" t="n">
        <v>36708</v>
      </c>
      <c r="C16" s="442" t="n">
        <v>47912</v>
      </c>
      <c r="D16" s="1" t="s">
        <v>42</v>
      </c>
      <c r="E16" s="33" t="n">
        <f aca="false">IF(D16="totale",(C16/(A16*24))/F16,IF(D16="marché libre",(C16/(A16*24))/G16,"spécifier histo"))</f>
        <v>0.625221839440443</v>
      </c>
      <c r="F16" s="57" t="n">
        <v>103</v>
      </c>
      <c r="G16" s="57" t="n">
        <f aca="false">F16-H16</f>
        <v>103</v>
      </c>
      <c r="H16" s="9" t="n">
        <f aca="false">0</f>
        <v>0</v>
      </c>
      <c r="I16" s="9"/>
      <c r="J16" s="205"/>
      <c r="K16" s="206"/>
    </row>
    <row r="17" customFormat="false" ht="22" hidden="false" customHeight="true" outlineLevel="0" collapsed="false">
      <c r="A17" s="0" t="n">
        <v>31</v>
      </c>
      <c r="B17" s="160" t="n">
        <v>36739</v>
      </c>
      <c r="C17" s="442" t="n">
        <v>38710</v>
      </c>
      <c r="D17" s="1" t="s">
        <v>42</v>
      </c>
      <c r="E17" s="33" t="n">
        <f aca="false">IF(D17="totale",(C17/(A17*24))/F17,IF(D17="marché libre",(C17/(A17*24))/G17,"spécifier histo"))</f>
        <v>0.505141455266729</v>
      </c>
      <c r="F17" s="57" t="n">
        <v>103</v>
      </c>
      <c r="G17" s="57" t="n">
        <f aca="false">F17-H17</f>
        <v>103</v>
      </c>
      <c r="H17" s="9" t="n">
        <f aca="false">0</f>
        <v>0</v>
      </c>
      <c r="I17" s="9"/>
      <c r="J17" s="205"/>
      <c r="K17" s="206"/>
    </row>
    <row r="18" customFormat="false" ht="22" hidden="false" customHeight="true" outlineLevel="0" collapsed="false">
      <c r="A18" s="0" t="n">
        <v>30</v>
      </c>
      <c r="B18" s="31" t="n">
        <v>36770</v>
      </c>
      <c r="C18" s="442" t="n">
        <v>23617</v>
      </c>
      <c r="D18" s="1" t="s">
        <v>42</v>
      </c>
      <c r="E18" s="33" t="n">
        <f aca="false">IF(D18="totale",(C18/(A18*24))/F18,IF(D18="marché libre",(C18/(A18*24))/G18,"spécifier histo"))</f>
        <v>0.318460086299892</v>
      </c>
      <c r="F18" s="57" t="n">
        <v>103</v>
      </c>
      <c r="G18" s="57" t="n">
        <f aca="false">F18-H18</f>
        <v>103</v>
      </c>
      <c r="H18" s="9" t="n">
        <f aca="false">0</f>
        <v>0</v>
      </c>
      <c r="I18" s="9"/>
      <c r="J18" s="205"/>
      <c r="K18" s="206"/>
    </row>
    <row r="19" customFormat="false" ht="22" hidden="false" customHeight="true" outlineLevel="0" collapsed="false">
      <c r="A19" s="0" t="n">
        <v>31</v>
      </c>
      <c r="B19" s="160" t="n">
        <v>36800</v>
      </c>
      <c r="C19" s="442" t="n">
        <v>27066</v>
      </c>
      <c r="D19" s="1" t="s">
        <v>42</v>
      </c>
      <c r="E19" s="33" t="n">
        <f aca="false">IF(D19="totale",(C19/(A19*24))/F19,IF(D19="marché libre",(C19/(A19*24))/G19,"spécifier histo"))</f>
        <v>0.353194487942374</v>
      </c>
      <c r="F19" s="57" t="n">
        <v>103</v>
      </c>
      <c r="G19" s="57" t="n">
        <f aca="false">F19-H19</f>
        <v>103</v>
      </c>
      <c r="H19" s="9" t="n">
        <f aca="false">0</f>
        <v>0</v>
      </c>
      <c r="I19" s="9"/>
      <c r="J19" s="205"/>
      <c r="K19" s="206"/>
    </row>
    <row r="20" customFormat="false" ht="22" hidden="false" customHeight="true" outlineLevel="0" collapsed="false">
      <c r="A20" s="0" t="n">
        <v>30</v>
      </c>
      <c r="B20" s="31" t="n">
        <v>36831</v>
      </c>
      <c r="C20" s="442" t="n">
        <v>41506</v>
      </c>
      <c r="D20" s="1" t="s">
        <v>42</v>
      </c>
      <c r="E20" s="33" t="n">
        <f aca="false">IF(D20="totale",(C20/(A20*24))/F20,IF(D20="marché libre",(C20/(A20*24))/G20,"spécifier histo"))</f>
        <v>0.559681769147789</v>
      </c>
      <c r="F20" s="57" t="n">
        <v>103</v>
      </c>
      <c r="G20" s="57" t="n">
        <f aca="false">F20-H20</f>
        <v>103</v>
      </c>
      <c r="H20" s="9" t="n">
        <f aca="false">0</f>
        <v>0</v>
      </c>
      <c r="I20" s="9"/>
      <c r="J20" s="205"/>
      <c r="K20" s="206"/>
    </row>
    <row r="21" customFormat="false" ht="22" hidden="false" customHeight="true" outlineLevel="0" collapsed="false">
      <c r="A21" s="0" t="n">
        <v>31</v>
      </c>
      <c r="B21" s="160" t="n">
        <v>36861</v>
      </c>
      <c r="C21" s="442" t="n">
        <v>51632</v>
      </c>
      <c r="D21" s="1" t="s">
        <v>42</v>
      </c>
      <c r="E21" s="33" t="n">
        <f aca="false">IF(D21="totale",(C21/(A21*24))/F21,IF(D21="marché libre",(C21/(A21*24))/G21,"spécifier histo"))</f>
        <v>0.673765528760831</v>
      </c>
      <c r="F21" s="57" t="n">
        <v>103</v>
      </c>
      <c r="G21" s="57" t="n">
        <f aca="false">F21-H21</f>
        <v>103</v>
      </c>
      <c r="H21" s="9" t="n">
        <f aca="false">0</f>
        <v>0</v>
      </c>
      <c r="I21" s="9"/>
      <c r="J21" s="205"/>
      <c r="K21" s="206"/>
    </row>
    <row r="22" customFormat="false" ht="22" hidden="false" customHeight="true" outlineLevel="0" collapsed="false">
      <c r="A22" s="0" t="n">
        <v>31</v>
      </c>
      <c r="B22" s="31" t="n">
        <v>36892</v>
      </c>
      <c r="C22" s="442" t="n">
        <v>66447</v>
      </c>
      <c r="D22" s="1" t="s">
        <v>42</v>
      </c>
      <c r="E22" s="33" t="n">
        <f aca="false">IF(D22="totale",(C22/(A22*24))/F22,IF(D22="marché libre",(C22/(A22*24))/G22,"spécifier histo"))</f>
        <v>0.867092076417162</v>
      </c>
      <c r="F22" s="57" t="n">
        <v>103</v>
      </c>
      <c r="G22" s="57" t="n">
        <f aca="false">F22-H22</f>
        <v>103</v>
      </c>
      <c r="H22" s="9" t="n">
        <f aca="false">0</f>
        <v>0</v>
      </c>
      <c r="I22" s="9"/>
      <c r="J22" s="205"/>
      <c r="K22" s="206"/>
    </row>
    <row r="23" customFormat="false" ht="22" hidden="false" customHeight="true" outlineLevel="0" collapsed="false">
      <c r="A23" s="0" t="n">
        <v>28</v>
      </c>
      <c r="B23" s="160" t="n">
        <v>36923</v>
      </c>
      <c r="C23" s="442" t="n">
        <v>50522</v>
      </c>
      <c r="D23" s="1" t="s">
        <v>42</v>
      </c>
      <c r="E23" s="33" t="n">
        <f aca="false">IF(D23="totale",(C23/(A23*24))/F23,IF(D23="marché libre",(C23/(A23*24))/G23,"spécifier histo"))</f>
        <v>0.729917938049006</v>
      </c>
      <c r="F23" s="57" t="n">
        <v>103</v>
      </c>
      <c r="G23" s="57" t="n">
        <f aca="false">F23-H23</f>
        <v>103</v>
      </c>
      <c r="H23" s="9" t="n">
        <f aca="false">0</f>
        <v>0</v>
      </c>
      <c r="I23" s="9"/>
      <c r="J23" s="205"/>
      <c r="K23" s="206"/>
    </row>
    <row r="24" customFormat="false" ht="22" hidden="false" customHeight="true" outlineLevel="0" collapsed="false">
      <c r="A24" s="0" t="n">
        <v>31</v>
      </c>
      <c r="B24" s="31" t="n">
        <v>36951</v>
      </c>
      <c r="C24" s="442" t="n">
        <v>63935</v>
      </c>
      <c r="D24" s="1" t="s">
        <v>42</v>
      </c>
      <c r="E24" s="33" t="n">
        <f aca="false">IF(D24="totale",(C24/(A24*24))/F24,IF(D24="marché libre",(C24/(A24*24))/G24,"spécifier histo"))</f>
        <v>0.834312036747051</v>
      </c>
      <c r="F24" s="57" t="n">
        <v>103</v>
      </c>
      <c r="G24" s="57" t="n">
        <f aca="false">F24-H24</f>
        <v>103</v>
      </c>
      <c r="H24" s="9" t="n">
        <f aca="false">0</f>
        <v>0</v>
      </c>
      <c r="I24" s="9"/>
      <c r="J24" s="205"/>
      <c r="K24" s="206"/>
    </row>
    <row r="25" customFormat="false" ht="22" hidden="false" customHeight="true" outlineLevel="0" collapsed="false">
      <c r="A25" s="0" t="n">
        <v>30</v>
      </c>
      <c r="B25" s="160" t="n">
        <v>36982</v>
      </c>
      <c r="C25" s="442" t="n">
        <v>59180</v>
      </c>
      <c r="D25" s="1" t="s">
        <v>42</v>
      </c>
      <c r="E25" s="33" t="n">
        <f aca="false">IF(D25="totale",(C25/(A25*24))/F25,IF(D25="marché libre",(C25/(A25*24))/G25,"spécifier histo"))</f>
        <v>0.798004314994606</v>
      </c>
      <c r="F25" s="57" t="n">
        <v>103</v>
      </c>
      <c r="G25" s="57" t="n">
        <f aca="false">F25-H25</f>
        <v>103</v>
      </c>
      <c r="H25" s="9" t="n">
        <f aca="false">0</f>
        <v>0</v>
      </c>
      <c r="I25" s="9"/>
      <c r="J25" s="205"/>
      <c r="K25" s="206"/>
    </row>
    <row r="26" customFormat="false" ht="22" hidden="false" customHeight="true" outlineLevel="0" collapsed="false">
      <c r="A26" s="0" t="n">
        <v>31</v>
      </c>
      <c r="B26" s="31" t="n">
        <v>37012</v>
      </c>
      <c r="C26" s="442" t="n">
        <v>62331</v>
      </c>
      <c r="D26" s="1" t="s">
        <v>42</v>
      </c>
      <c r="E26" s="33" t="n">
        <f aca="false">IF(D26="totale",(C26/(A26*24))/F26,IF(D26="marché libre",(C26/(A26*24))/G26,"spécifier histo"))</f>
        <v>0.813380833072346</v>
      </c>
      <c r="F26" s="57" t="n">
        <v>103</v>
      </c>
      <c r="G26" s="57" t="n">
        <f aca="false">F26-H26</f>
        <v>103</v>
      </c>
      <c r="H26" s="9" t="n">
        <f aca="false">0</f>
        <v>0</v>
      </c>
      <c r="I26" s="9"/>
      <c r="J26" s="205"/>
      <c r="K26" s="206"/>
    </row>
    <row r="27" customFormat="false" ht="22" hidden="false" customHeight="true" outlineLevel="0" collapsed="false">
      <c r="A27" s="0" t="n">
        <v>30</v>
      </c>
      <c r="B27" s="160" t="n">
        <v>37043</v>
      </c>
      <c r="C27" s="442" t="n">
        <v>54939</v>
      </c>
      <c r="D27" s="1" t="s">
        <v>42</v>
      </c>
      <c r="E27" s="33" t="n">
        <f aca="false">IF(D27="totale",(C27/(A27*24))/F27,IF(D27="marché libre",(C27/(A27*24))/G27,"spécifier histo"))</f>
        <v>0.74081715210356</v>
      </c>
      <c r="F27" s="57" t="n">
        <v>103</v>
      </c>
      <c r="G27" s="57" t="n">
        <f aca="false">F27-H27</f>
        <v>103</v>
      </c>
      <c r="H27" s="9" t="n">
        <f aca="false">0</f>
        <v>0</v>
      </c>
      <c r="I27" s="9"/>
      <c r="J27" s="205"/>
      <c r="K27" s="206"/>
    </row>
    <row r="28" customFormat="false" ht="22" hidden="false" customHeight="true" outlineLevel="0" collapsed="false">
      <c r="A28" s="0" t="n">
        <v>31</v>
      </c>
      <c r="B28" s="31" t="n">
        <v>37073</v>
      </c>
      <c r="C28" s="442" t="n">
        <v>51078</v>
      </c>
      <c r="D28" s="1" t="s">
        <v>42</v>
      </c>
      <c r="E28" s="33" t="n">
        <f aca="false">IF(D28="totale",(C28/(A28*24))/F28,IF(D28="marché libre",(C28/(A28*24))/G28,"spécifier histo"))</f>
        <v>0.666536172878171</v>
      </c>
      <c r="F28" s="57" t="n">
        <v>103</v>
      </c>
      <c r="G28" s="57" t="n">
        <f aca="false">F28-H28</f>
        <v>103</v>
      </c>
      <c r="H28" s="9" t="n">
        <f aca="false">0</f>
        <v>0</v>
      </c>
      <c r="I28" s="9"/>
      <c r="J28" s="205"/>
      <c r="K28" s="206"/>
    </row>
    <row r="29" customFormat="false" ht="22" hidden="false" customHeight="true" outlineLevel="0" collapsed="false">
      <c r="A29" s="0" t="n">
        <v>31</v>
      </c>
      <c r="B29" s="160" t="n">
        <v>37104</v>
      </c>
      <c r="C29" s="442" t="n">
        <v>60825</v>
      </c>
      <c r="D29" s="1" t="s">
        <v>42</v>
      </c>
      <c r="E29" s="33" t="n">
        <f aca="false">IF(D29="totale",(C29/(A29*24))/F29,IF(D29="marché libre",(C29/(A29*24))/G29,"spécifier histo"))</f>
        <v>0.793728468524898</v>
      </c>
      <c r="F29" s="57" t="n">
        <v>103</v>
      </c>
      <c r="G29" s="57" t="n">
        <f aca="false">F29-H29</f>
        <v>103</v>
      </c>
      <c r="H29" s="9" t="n">
        <f aca="false">0</f>
        <v>0</v>
      </c>
      <c r="I29" s="9"/>
      <c r="J29" s="205"/>
      <c r="K29" s="206"/>
    </row>
    <row r="30" customFormat="false" ht="22" hidden="false" customHeight="true" outlineLevel="0" collapsed="false">
      <c r="A30" s="0" t="n">
        <v>30</v>
      </c>
      <c r="B30" s="31" t="n">
        <v>37135</v>
      </c>
      <c r="C30" s="442" t="n">
        <v>31668</v>
      </c>
      <c r="D30" s="1" t="s">
        <v>42</v>
      </c>
      <c r="E30" s="33" t="n">
        <f aca="false">IF(D30="totale",(C30/(A30*24))/F30,IF(D30="marché libre",(C30/(A30*24))/G30,"spécifier histo"))</f>
        <v>0.427022653721683</v>
      </c>
      <c r="F30" s="57" t="n">
        <v>103</v>
      </c>
      <c r="G30" s="57" t="n">
        <f aca="false">F30-H30</f>
        <v>103</v>
      </c>
      <c r="H30" s="9" t="n">
        <f aca="false">0</f>
        <v>0</v>
      </c>
      <c r="I30" s="9"/>
      <c r="J30" s="205"/>
      <c r="K30" s="206"/>
    </row>
    <row r="31" customFormat="false" ht="22" hidden="false" customHeight="true" outlineLevel="0" collapsed="false">
      <c r="A31" s="0" t="n">
        <v>31</v>
      </c>
      <c r="B31" s="160" t="n">
        <v>37165</v>
      </c>
      <c r="C31" s="442" t="n">
        <v>18256</v>
      </c>
      <c r="D31" s="1" t="s">
        <v>42</v>
      </c>
      <c r="E31" s="33" t="n">
        <f aca="false">IF(D31="totale",(C31/(A31*24))/F31,IF(D31="marché libre",(C31/(A31*24))/G31,"spécifier histo"))</f>
        <v>0.238229460277691</v>
      </c>
      <c r="F31" s="57" t="n">
        <v>103</v>
      </c>
      <c r="G31" s="57" t="n">
        <f aca="false">F31-H31</f>
        <v>103</v>
      </c>
      <c r="H31" s="9" t="n">
        <f aca="false">0</f>
        <v>0</v>
      </c>
      <c r="I31" s="9"/>
      <c r="J31" s="205"/>
      <c r="K31" s="206"/>
    </row>
    <row r="32" customFormat="false" ht="22" hidden="false" customHeight="true" outlineLevel="0" collapsed="false">
      <c r="A32" s="0" t="n">
        <v>30</v>
      </c>
      <c r="B32" s="31" t="n">
        <v>37196</v>
      </c>
      <c r="C32" s="442" t="n">
        <v>18477</v>
      </c>
      <c r="D32" s="1" t="s">
        <v>42</v>
      </c>
      <c r="E32" s="33" t="n">
        <f aca="false">IF(D32="totale",(C32/(A32*24))/F32,IF(D32="marché libre",(C32/(A32*24))/G32,"spécifier histo"))</f>
        <v>0.249150485436893</v>
      </c>
      <c r="F32" s="57" t="n">
        <v>103</v>
      </c>
      <c r="G32" s="57" t="n">
        <f aca="false">F32-H32</f>
        <v>103</v>
      </c>
      <c r="H32" s="9" t="n">
        <f aca="false">0</f>
        <v>0</v>
      </c>
      <c r="I32" s="9"/>
      <c r="J32" s="205"/>
      <c r="K32" s="206"/>
    </row>
    <row r="33" customFormat="false" ht="22" hidden="false" customHeight="true" outlineLevel="0" collapsed="false">
      <c r="A33" s="0" t="n">
        <v>31</v>
      </c>
      <c r="B33" s="160" t="n">
        <v>37226</v>
      </c>
      <c r="C33" s="442" t="n">
        <v>9488</v>
      </c>
      <c r="D33" s="1" t="s">
        <v>42</v>
      </c>
      <c r="E33" s="33" t="n">
        <f aca="false">IF(D33="totale",(C33/(A33*24))/F33,IF(D33="marché libre",(C33/(A33*24))/G33,"spécifier histo"))</f>
        <v>0.123812506524689</v>
      </c>
      <c r="F33" s="57" t="n">
        <v>103</v>
      </c>
      <c r="G33" s="57" t="n">
        <f aca="false">F33-H33</f>
        <v>103</v>
      </c>
      <c r="H33" s="9" t="n">
        <f aca="false">0</f>
        <v>0</v>
      </c>
      <c r="I33" s="9"/>
      <c r="J33" s="205"/>
      <c r="K33" s="206"/>
    </row>
    <row r="34" customFormat="false" ht="22" hidden="false" customHeight="true" outlineLevel="0" collapsed="false">
      <c r="A34" s="0" t="n">
        <v>31</v>
      </c>
      <c r="B34" s="31" t="n">
        <v>37257</v>
      </c>
      <c r="C34" s="442" t="n">
        <v>11595</v>
      </c>
      <c r="D34" s="1" t="s">
        <v>42</v>
      </c>
      <c r="E34" s="33" t="n">
        <f aca="false">IF(D34="totale",(C34/(A34*24))/F34,IF(D34="marché libre",(C34/(A34*24))/G34,"spécifier histo"))</f>
        <v>0.151307547760727</v>
      </c>
      <c r="F34" s="57" t="n">
        <v>103</v>
      </c>
      <c r="G34" s="57" t="n">
        <f aca="false">F34-H34</f>
        <v>103</v>
      </c>
      <c r="H34" s="9" t="n">
        <f aca="false">0</f>
        <v>0</v>
      </c>
      <c r="I34" s="9"/>
      <c r="J34" s="205"/>
      <c r="K34" s="206"/>
    </row>
    <row r="35" customFormat="false" ht="22" hidden="false" customHeight="true" outlineLevel="0" collapsed="false">
      <c r="A35" s="0" t="n">
        <v>28</v>
      </c>
      <c r="B35" s="160" t="n">
        <v>37288</v>
      </c>
      <c r="C35" s="442" t="n">
        <v>38891</v>
      </c>
      <c r="D35" s="1" t="s">
        <v>42</v>
      </c>
      <c r="E35" s="33" t="n">
        <f aca="false">IF(D35="totale",(C35/(A35*24))/F35,IF(D35="marché libre",(C35/(A35*24))/G35,"spécifier histo"))</f>
        <v>0.561878756356912</v>
      </c>
      <c r="F35" s="57" t="n">
        <v>103</v>
      </c>
      <c r="G35" s="57" t="n">
        <f aca="false">F35-H35</f>
        <v>103</v>
      </c>
      <c r="H35" s="9" t="n">
        <f aca="false">0</f>
        <v>0</v>
      </c>
      <c r="I35" s="9"/>
      <c r="J35" s="205"/>
      <c r="K35" s="206"/>
    </row>
    <row r="36" customFormat="false" ht="22" hidden="false" customHeight="true" outlineLevel="0" collapsed="false">
      <c r="A36" s="0" t="n">
        <v>31</v>
      </c>
      <c r="B36" s="31" t="n">
        <v>37316</v>
      </c>
      <c r="C36" s="442" t="n">
        <v>43141</v>
      </c>
      <c r="D36" s="1" t="s">
        <v>42</v>
      </c>
      <c r="E36" s="33" t="n">
        <f aca="false">IF(D36="totale",(C36/(A36*24))/F36,IF(D36="marché libre",(C36/(A36*24))/G36,"spécifier histo"))</f>
        <v>0.56296325294916</v>
      </c>
      <c r="F36" s="57" t="n">
        <v>103</v>
      </c>
      <c r="G36" s="57" t="n">
        <f aca="false">F36-H36</f>
        <v>103</v>
      </c>
      <c r="H36" s="9" t="n">
        <f aca="false">0</f>
        <v>0</v>
      </c>
      <c r="I36" s="9"/>
      <c r="J36" s="205"/>
      <c r="K36" s="206"/>
    </row>
    <row r="37" customFormat="false" ht="22" hidden="false" customHeight="true" outlineLevel="0" collapsed="false">
      <c r="A37" s="0" t="n">
        <v>30</v>
      </c>
      <c r="B37" s="160" t="n">
        <v>37347</v>
      </c>
      <c r="C37" s="442" t="n">
        <v>52604</v>
      </c>
      <c r="D37" s="1" t="s">
        <v>42</v>
      </c>
      <c r="E37" s="33" t="n">
        <f aca="false">IF(D37="totale",(C37/(A37*24))/F37,IF(D37="marché libre",(C37/(A37*24))/G37,"spécifier histo"))</f>
        <v>0.70933117583603</v>
      </c>
      <c r="F37" s="57" t="n">
        <v>103</v>
      </c>
      <c r="G37" s="57" t="n">
        <f aca="false">F37-H37</f>
        <v>103</v>
      </c>
      <c r="H37" s="9" t="n">
        <f aca="false">0</f>
        <v>0</v>
      </c>
      <c r="I37" s="9"/>
      <c r="J37" s="205"/>
      <c r="K37" s="206"/>
    </row>
    <row r="38" customFormat="false" ht="22" hidden="false" customHeight="true" outlineLevel="0" collapsed="false">
      <c r="A38" s="0" t="n">
        <v>31</v>
      </c>
      <c r="B38" s="31" t="n">
        <v>37377</v>
      </c>
      <c r="C38" s="442" t="n">
        <v>56726</v>
      </c>
      <c r="D38" s="1" t="s">
        <v>42</v>
      </c>
      <c r="E38" s="33" t="n">
        <f aca="false">IF(D38="totale",(C38/(A38*24))/F38,IF(D38="marché libre",(C38/(A38*24))/G38,"spécifier histo"))</f>
        <v>0.740239064620524</v>
      </c>
      <c r="F38" s="57" t="n">
        <v>103</v>
      </c>
      <c r="G38" s="57" t="n">
        <f aca="false">F38-H38</f>
        <v>103</v>
      </c>
      <c r="H38" s="9" t="n">
        <f aca="false">0</f>
        <v>0</v>
      </c>
      <c r="I38" s="9"/>
      <c r="J38" s="205"/>
      <c r="K38" s="206"/>
    </row>
    <row r="39" customFormat="false" ht="22" hidden="false" customHeight="true" outlineLevel="0" collapsed="false">
      <c r="A39" s="0" t="n">
        <v>30</v>
      </c>
      <c r="B39" s="160" t="n">
        <v>37408</v>
      </c>
      <c r="C39" s="442" t="n">
        <v>50854</v>
      </c>
      <c r="D39" s="1" t="s">
        <v>42</v>
      </c>
      <c r="E39" s="33" t="n">
        <f aca="false">IF(D39="totale",(C39/(A39*24))/F39,IF(D39="marché libre",(C39/(A39*24))/G39,"spécifier histo"))</f>
        <v>0.685733549083064</v>
      </c>
      <c r="F39" s="57" t="n">
        <v>103</v>
      </c>
      <c r="G39" s="57" t="n">
        <f aca="false">F39-H39</f>
        <v>103</v>
      </c>
      <c r="H39" s="9" t="n">
        <f aca="false">0</f>
        <v>0</v>
      </c>
      <c r="I39" s="9"/>
      <c r="J39" s="205"/>
      <c r="K39" s="206"/>
    </row>
    <row r="40" customFormat="false" ht="22" hidden="false" customHeight="true" outlineLevel="0" collapsed="false">
      <c r="A40" s="0" t="n">
        <v>31</v>
      </c>
      <c r="B40" s="31" t="n">
        <v>37438</v>
      </c>
      <c r="C40" s="442" t="n">
        <v>44378</v>
      </c>
      <c r="D40" s="1" t="s">
        <v>42</v>
      </c>
      <c r="E40" s="33" t="n">
        <f aca="false">IF(D40="totale",(C40/(A40*24))/F40,IF(D40="marché libre",(C40/(A40*24))/G40,"spécifier histo"))</f>
        <v>0.579105334586074</v>
      </c>
      <c r="F40" s="57" t="n">
        <v>103</v>
      </c>
      <c r="G40" s="57" t="n">
        <f aca="false">F40-H40</f>
        <v>103</v>
      </c>
      <c r="H40" s="9" t="n">
        <f aca="false">0</f>
        <v>0</v>
      </c>
      <c r="I40" s="9"/>
      <c r="J40" s="205"/>
      <c r="K40" s="206"/>
    </row>
    <row r="41" customFormat="false" ht="22" hidden="false" customHeight="true" outlineLevel="0" collapsed="false">
      <c r="A41" s="0" t="n">
        <v>31</v>
      </c>
      <c r="B41" s="160" t="n">
        <v>37469</v>
      </c>
      <c r="C41" s="442" t="n">
        <v>50098</v>
      </c>
      <c r="D41" s="1" t="s">
        <v>42</v>
      </c>
      <c r="E41" s="33" t="n">
        <f aca="false">IF(D41="totale",(C41/(A41*24))/F41,IF(D41="marché libre",(C41/(A41*24))/G41,"spécifier histo"))</f>
        <v>0.653747781605596</v>
      </c>
      <c r="F41" s="57" t="n">
        <v>103</v>
      </c>
      <c r="G41" s="57" t="n">
        <f aca="false">F41-H41</f>
        <v>103</v>
      </c>
      <c r="H41" s="9" t="n">
        <f aca="false">0</f>
        <v>0</v>
      </c>
      <c r="I41" s="9"/>
      <c r="J41" s="205"/>
      <c r="K41" s="206"/>
    </row>
    <row r="42" customFormat="false" ht="22" hidden="false" customHeight="true" outlineLevel="0" collapsed="false">
      <c r="A42" s="0" t="n">
        <v>30</v>
      </c>
      <c r="B42" s="31" t="n">
        <v>37500</v>
      </c>
      <c r="C42" s="442" t="n">
        <v>38535</v>
      </c>
      <c r="D42" s="1" t="s">
        <v>42</v>
      </c>
      <c r="E42" s="33" t="n">
        <f aca="false">IF(D42="totale",(C42/(A42*24))/F42,IF(D42="marché libre",(C42/(A42*24))/G42,"spécifier histo"))</f>
        <v>0.519619741100324</v>
      </c>
      <c r="F42" s="57" t="n">
        <v>103</v>
      </c>
      <c r="G42" s="57" t="n">
        <f aca="false">F42-H42</f>
        <v>103</v>
      </c>
      <c r="H42" s="9" t="n">
        <f aca="false">0</f>
        <v>0</v>
      </c>
      <c r="I42" s="9"/>
      <c r="J42" s="205"/>
      <c r="K42" s="206"/>
    </row>
    <row r="43" customFormat="false" ht="22" hidden="false" customHeight="true" outlineLevel="0" collapsed="false">
      <c r="A43" s="0" t="n">
        <v>31</v>
      </c>
      <c r="B43" s="160" t="n">
        <v>37530</v>
      </c>
      <c r="C43" s="442" t="n">
        <v>45554</v>
      </c>
      <c r="D43" s="1" t="s">
        <v>42</v>
      </c>
      <c r="E43" s="33" t="n">
        <f aca="false">IF(D43="totale",(C43/(A43*24))/F43,IF(D43="marché libre",(C43/(A43*24))/G43,"spécifier histo"))</f>
        <v>0.594451404113164</v>
      </c>
      <c r="F43" s="57" t="n">
        <v>103</v>
      </c>
      <c r="G43" s="57" t="n">
        <f aca="false">F43-H43</f>
        <v>103</v>
      </c>
      <c r="H43" s="9" t="n">
        <f aca="false">0</f>
        <v>0</v>
      </c>
      <c r="I43" s="9"/>
      <c r="J43" s="205"/>
      <c r="K43" s="206"/>
    </row>
    <row r="44" customFormat="false" ht="22" hidden="false" customHeight="true" outlineLevel="0" collapsed="false">
      <c r="A44" s="0" t="n">
        <v>30</v>
      </c>
      <c r="B44" s="31" t="n">
        <v>37561</v>
      </c>
      <c r="C44" s="442" t="n">
        <v>45627</v>
      </c>
      <c r="D44" s="1" t="s">
        <v>42</v>
      </c>
      <c r="E44" s="33" t="n">
        <f aca="false">IF(D44="totale",(C44/(A44*24))/F44,IF(D44="marché libre",(C44/(A44*24))/G44,"spécifier histo"))</f>
        <v>0.615250809061489</v>
      </c>
      <c r="F44" s="57" t="n">
        <v>103</v>
      </c>
      <c r="G44" s="57" t="n">
        <f aca="false">F44-H44</f>
        <v>103</v>
      </c>
      <c r="H44" s="9" t="n">
        <f aca="false">0</f>
        <v>0</v>
      </c>
      <c r="I44" s="9"/>
      <c r="J44" s="205"/>
      <c r="K44" s="206"/>
    </row>
    <row r="45" customFormat="false" ht="22" hidden="false" customHeight="true" outlineLevel="0" collapsed="false">
      <c r="A45" s="0" t="n">
        <v>31</v>
      </c>
      <c r="B45" s="160" t="n">
        <v>37591</v>
      </c>
      <c r="C45" s="442" t="n">
        <v>46918</v>
      </c>
      <c r="D45" s="1" t="s">
        <v>42</v>
      </c>
      <c r="E45" s="33" t="n">
        <f aca="false">IF(D45="totale",(C45/(A45*24))/F45,IF(D45="marché libre",(C45/(A45*24))/G45,"spécifier histo"))</f>
        <v>0.612250756863973</v>
      </c>
      <c r="F45" s="57" t="n">
        <v>103</v>
      </c>
      <c r="G45" s="57" t="n">
        <f aca="false">F45-H45</f>
        <v>103</v>
      </c>
      <c r="H45" s="9" t="n">
        <f aca="false">0</f>
        <v>0</v>
      </c>
      <c r="I45" s="9"/>
      <c r="J45" s="205"/>
      <c r="K45" s="206"/>
    </row>
    <row r="46" customFormat="false" ht="22" hidden="false" customHeight="true" outlineLevel="0" collapsed="false">
      <c r="A46" s="0" t="n">
        <v>31</v>
      </c>
      <c r="B46" s="31" t="n">
        <v>37622</v>
      </c>
      <c r="C46" s="442" t="n">
        <v>56149</v>
      </c>
      <c r="D46" s="1" t="s">
        <v>42</v>
      </c>
      <c r="E46" s="33" t="n">
        <f aca="false">IF(D46="totale",(C46/(A46*24))/F46,IF(D46="marché libre",(C46/(A46*24))/G46,"spécifier histo"))</f>
        <v>0.732709573024324</v>
      </c>
      <c r="F46" s="57" t="n">
        <v>103</v>
      </c>
      <c r="G46" s="57" t="n">
        <f aca="false">F46-H46</f>
        <v>103</v>
      </c>
      <c r="H46" s="9" t="n">
        <f aca="false">0</f>
        <v>0</v>
      </c>
      <c r="I46" s="9"/>
      <c r="J46" s="205"/>
      <c r="K46" s="206"/>
    </row>
    <row r="47" customFormat="false" ht="22" hidden="false" customHeight="true" outlineLevel="0" collapsed="false">
      <c r="A47" s="0" t="n">
        <v>28</v>
      </c>
      <c r="B47" s="160" t="n">
        <v>37653</v>
      </c>
      <c r="C47" s="442" t="n">
        <v>43094</v>
      </c>
      <c r="D47" s="1" t="s">
        <v>42</v>
      </c>
      <c r="E47" s="33" t="n">
        <f aca="false">IF(D47="totale",(C47/(A47*24))/F47,IF(D47="marché libre",(C47/(A47*24))/G47,"spécifier histo"))</f>
        <v>0.622601710587148</v>
      </c>
      <c r="F47" s="57" t="n">
        <v>103</v>
      </c>
      <c r="G47" s="57" t="n">
        <f aca="false">F47-H47</f>
        <v>103</v>
      </c>
      <c r="H47" s="9" t="n">
        <f aca="false">0</f>
        <v>0</v>
      </c>
      <c r="I47" s="9"/>
      <c r="J47" s="205"/>
      <c r="K47" s="206"/>
    </row>
    <row r="48" customFormat="false" ht="22" hidden="false" customHeight="true" outlineLevel="0" collapsed="false">
      <c r="A48" s="0" t="n">
        <v>31</v>
      </c>
      <c r="B48" s="31" t="n">
        <v>37681</v>
      </c>
      <c r="C48" s="442" t="n">
        <v>30791</v>
      </c>
      <c r="D48" s="1" t="s">
        <v>42</v>
      </c>
      <c r="E48" s="33" t="n">
        <f aca="false">IF(D48="totale",(C48/(A48*24))/F48,IF(D48="marché libre",(C48/(A48*24))/G48,"spécifier histo"))</f>
        <v>0.40180342415701</v>
      </c>
      <c r="F48" s="57" t="n">
        <v>103</v>
      </c>
      <c r="G48" s="57" t="n">
        <f aca="false">F48-H48</f>
        <v>103</v>
      </c>
      <c r="H48" s="9" t="n">
        <f aca="false">0</f>
        <v>0</v>
      </c>
      <c r="I48" s="9"/>
      <c r="J48" s="205"/>
      <c r="K48" s="206"/>
    </row>
    <row r="49" customFormat="false" ht="22" hidden="false" customHeight="true" outlineLevel="0" collapsed="false">
      <c r="A49" s="0" t="n">
        <v>30</v>
      </c>
      <c r="B49" s="160" t="n">
        <v>37712</v>
      </c>
      <c r="C49" s="442" t="n">
        <v>28560</v>
      </c>
      <c r="D49" s="1" t="s">
        <v>42</v>
      </c>
      <c r="E49" s="33" t="n">
        <f aca="false">IF(D49="totale",(C49/(A49*24))/F49,IF(D49="marché libre",(C49/(A49*24))/G49,"spécifier histo"))</f>
        <v>0.385113268608414</v>
      </c>
      <c r="F49" s="57" t="n">
        <v>103</v>
      </c>
      <c r="G49" s="57" t="n">
        <f aca="false">F49-H49</f>
        <v>103</v>
      </c>
      <c r="H49" s="9" t="n">
        <f aca="false">0</f>
        <v>0</v>
      </c>
      <c r="I49" s="9"/>
      <c r="J49" s="205"/>
      <c r="K49" s="206"/>
    </row>
    <row r="50" customFormat="false" ht="22" hidden="false" customHeight="true" outlineLevel="0" collapsed="false">
      <c r="A50" s="0" t="n">
        <v>31</v>
      </c>
      <c r="B50" s="31" t="n">
        <v>37742</v>
      </c>
      <c r="C50" s="442" t="n">
        <v>48002</v>
      </c>
      <c r="D50" s="1" t="s">
        <v>42</v>
      </c>
      <c r="E50" s="33" t="n">
        <f aca="false">IF(D50="totale",(C50/(A50*24))/F50,IF(D50="marché libre",(C50/(A50*24))/G50,"spécifier histo"))</f>
        <v>0.626396283536904</v>
      </c>
      <c r="F50" s="57" t="n">
        <v>103</v>
      </c>
      <c r="G50" s="57" t="n">
        <f aca="false">F50-H50</f>
        <v>103</v>
      </c>
      <c r="H50" s="9" t="n">
        <f aca="false">0</f>
        <v>0</v>
      </c>
      <c r="I50" s="9"/>
      <c r="J50" s="205"/>
      <c r="K50" s="206"/>
    </row>
    <row r="51" customFormat="false" ht="22" hidden="false" customHeight="true" outlineLevel="0" collapsed="false">
      <c r="A51" s="0" t="n">
        <v>30</v>
      </c>
      <c r="B51" s="160" t="n">
        <v>37773</v>
      </c>
      <c r="C51" s="442" t="n">
        <v>47611</v>
      </c>
      <c r="D51" s="1" t="s">
        <v>42</v>
      </c>
      <c r="E51" s="33" t="n">
        <f aca="false">IF(D51="totale",(C51/(A51*24))/F51,IF(D51="marché libre",(C51/(A51*24))/G51,"spécifier histo"))</f>
        <v>0.64200377562028</v>
      </c>
      <c r="F51" s="57" t="n">
        <v>103</v>
      </c>
      <c r="G51" s="57" t="n">
        <f aca="false">F51-H51</f>
        <v>103</v>
      </c>
      <c r="H51" s="9" t="n">
        <f aca="false">0</f>
        <v>0</v>
      </c>
      <c r="I51" s="9"/>
      <c r="J51" s="205"/>
      <c r="K51" s="206"/>
    </row>
    <row r="52" customFormat="false" ht="22" hidden="false" customHeight="true" outlineLevel="0" collapsed="false">
      <c r="A52" s="0" t="n">
        <v>31</v>
      </c>
      <c r="B52" s="31" t="n">
        <v>37803</v>
      </c>
      <c r="C52" s="442" t="n">
        <v>39783</v>
      </c>
      <c r="D52" s="1" t="s">
        <v>42</v>
      </c>
      <c r="E52" s="33" t="n">
        <f aca="false">IF(D52="totale",(C52/(A52*24))/F52,IF(D52="marché libre",(C52/(A52*24))/G52,"spécifier histo"))</f>
        <v>0.519143438772314</v>
      </c>
      <c r="F52" s="57" t="n">
        <v>103</v>
      </c>
      <c r="G52" s="57" t="n">
        <f aca="false">F52-H52</f>
        <v>103</v>
      </c>
      <c r="H52" s="9" t="n">
        <f aca="false">0</f>
        <v>0</v>
      </c>
      <c r="I52" s="9"/>
      <c r="J52" s="205"/>
      <c r="K52" s="206"/>
    </row>
    <row r="53" customFormat="false" ht="22" hidden="false" customHeight="true" outlineLevel="0" collapsed="false">
      <c r="A53" s="0" t="n">
        <v>31</v>
      </c>
      <c r="B53" s="160" t="n">
        <v>37834</v>
      </c>
      <c r="C53" s="442" t="n">
        <v>25619</v>
      </c>
      <c r="D53" s="1" t="s">
        <v>42</v>
      </c>
      <c r="E53" s="33" t="n">
        <f aca="false">IF(D53="totale",(C53/(A53*24))/F53,IF(D53="marché libre",(C53/(A53*24))/G53,"spécifier histo"))</f>
        <v>0.334312036747051</v>
      </c>
      <c r="F53" s="57" t="n">
        <v>103</v>
      </c>
      <c r="G53" s="57" t="n">
        <f aca="false">F53-H53</f>
        <v>103</v>
      </c>
      <c r="H53" s="9" t="n">
        <f aca="false">0</f>
        <v>0</v>
      </c>
      <c r="I53" s="9"/>
      <c r="J53" s="205"/>
      <c r="K53" s="206"/>
    </row>
    <row r="54" customFormat="false" ht="22" hidden="false" customHeight="true" outlineLevel="0" collapsed="false">
      <c r="A54" s="0" t="n">
        <v>30</v>
      </c>
      <c r="B54" s="31" t="n">
        <v>37865</v>
      </c>
      <c r="C54" s="442" t="n">
        <v>18998</v>
      </c>
      <c r="D54" s="1" t="s">
        <v>42</v>
      </c>
      <c r="E54" s="33" t="n">
        <f aca="false">IF(D54="totale",(C54/(A54*24))/F54,IF(D54="marché libre",(C54/(A54*24))/G54,"spécifier histo"))</f>
        <v>0.256175836030205</v>
      </c>
      <c r="F54" s="57" t="n">
        <v>103</v>
      </c>
      <c r="G54" s="57" t="n">
        <f aca="false">F54-H54</f>
        <v>103</v>
      </c>
      <c r="H54" s="9" t="n">
        <f aca="false">0</f>
        <v>0</v>
      </c>
      <c r="I54" s="9"/>
      <c r="J54" s="205"/>
      <c r="K54" s="206"/>
    </row>
    <row r="55" customFormat="false" ht="22" hidden="false" customHeight="true" outlineLevel="0" collapsed="false">
      <c r="A55" s="0" t="n">
        <v>31</v>
      </c>
      <c r="B55" s="160" t="n">
        <v>37895</v>
      </c>
      <c r="C55" s="442" t="n">
        <v>26308</v>
      </c>
      <c r="D55" s="1" t="s">
        <v>42</v>
      </c>
      <c r="E55" s="33" t="n">
        <f aca="false">IF(D55="totale",(C55/(A55*24))/F55,IF(D55="marché libre",(C55/(A55*24))/G55,"spécifier histo"))</f>
        <v>0.343303058774402</v>
      </c>
      <c r="F55" s="57" t="n">
        <v>103</v>
      </c>
      <c r="G55" s="57" t="n">
        <f aca="false">F55-H55</f>
        <v>103</v>
      </c>
      <c r="H55" s="9" t="n">
        <f aca="false">0</f>
        <v>0</v>
      </c>
      <c r="I55" s="9"/>
      <c r="J55" s="205"/>
      <c r="K55" s="206"/>
    </row>
    <row r="56" customFormat="false" ht="22" hidden="false" customHeight="true" outlineLevel="0" collapsed="false">
      <c r="A56" s="0" t="n">
        <v>30</v>
      </c>
      <c r="B56" s="31" t="n">
        <v>37926</v>
      </c>
      <c r="C56" s="442" t="n">
        <v>24708</v>
      </c>
      <c r="D56" s="1" t="s">
        <v>42</v>
      </c>
      <c r="E56" s="33" t="n">
        <f aca="false">IF(D56="totale",(C56/(A56*24))/F56,IF(D56="marché libre",(C56/(A56*24))/G56,"spécifier histo"))</f>
        <v>0.333171521035599</v>
      </c>
      <c r="F56" s="57" t="n">
        <v>103</v>
      </c>
      <c r="G56" s="57" t="n">
        <f aca="false">F56-H56</f>
        <v>103</v>
      </c>
      <c r="H56" s="9" t="n">
        <f aca="false">0</f>
        <v>0</v>
      </c>
      <c r="I56" s="9"/>
      <c r="J56" s="205"/>
      <c r="K56" s="206"/>
    </row>
    <row r="57" customFormat="false" ht="22" hidden="false" customHeight="true" outlineLevel="0" collapsed="false">
      <c r="A57" s="0" t="n">
        <v>31</v>
      </c>
      <c r="B57" s="160" t="n">
        <v>37956</v>
      </c>
      <c r="C57" s="442" t="n">
        <v>53916</v>
      </c>
      <c r="D57" s="1" t="s">
        <v>42</v>
      </c>
      <c r="E57" s="33" t="n">
        <f aca="false">IF(D57="totale",(C57/(A57*24))/F57,IF(D57="marché libre",(C57/(A57*24))/G57,"spécifier histo"))</f>
        <v>0.703570310053241</v>
      </c>
      <c r="F57" s="57" t="n">
        <v>103</v>
      </c>
      <c r="G57" s="57" t="n">
        <f aca="false">F57-H57</f>
        <v>103</v>
      </c>
      <c r="H57" s="9" t="n">
        <f aca="false">0</f>
        <v>0</v>
      </c>
      <c r="I57" s="9"/>
      <c r="J57" s="205"/>
      <c r="K57" s="206"/>
    </row>
    <row r="58" customFormat="false" ht="22" hidden="false" customHeight="true" outlineLevel="0" collapsed="false">
      <c r="A58" s="0" t="n">
        <v>31</v>
      </c>
      <c r="B58" s="31" t="n">
        <v>37987</v>
      </c>
      <c r="C58" s="442" t="n">
        <v>49027</v>
      </c>
      <c r="D58" s="1" t="s">
        <v>42</v>
      </c>
      <c r="E58" s="33" t="n">
        <f aca="false">IF(D58="totale",(C58/(A58*24))/F58,IF(D58="marché libre",(C58/(A58*24))/G58,"spécifier histo"))</f>
        <v>0.63977189685771</v>
      </c>
      <c r="F58" s="57" t="n">
        <v>103</v>
      </c>
      <c r="G58" s="57" t="n">
        <f aca="false">F58-H58</f>
        <v>103</v>
      </c>
      <c r="H58" s="9" t="n">
        <f aca="false">0</f>
        <v>0</v>
      </c>
      <c r="I58" s="9"/>
      <c r="J58" s="205"/>
      <c r="K58" s="206"/>
    </row>
    <row r="59" customFormat="false" ht="22" hidden="false" customHeight="true" outlineLevel="0" collapsed="false">
      <c r="A59" s="0" t="n">
        <v>28</v>
      </c>
      <c r="B59" s="160" t="n">
        <v>38018</v>
      </c>
      <c r="C59" s="442" t="n">
        <v>37067</v>
      </c>
      <c r="D59" s="1" t="s">
        <v>42</v>
      </c>
      <c r="E59" s="33" t="n">
        <f aca="false">IF(D59="totale",(C59/(A59*24))/F59,IF(D59="marché libre",(C59/(A59*24))/G59,"spécifier histo"))</f>
        <v>0.535526467868701</v>
      </c>
      <c r="F59" s="57" t="n">
        <v>103</v>
      </c>
      <c r="G59" s="57" t="n">
        <f aca="false">F59-H59</f>
        <v>103</v>
      </c>
      <c r="H59" s="9" t="n">
        <f aca="false">0</f>
        <v>0</v>
      </c>
      <c r="I59" s="9"/>
      <c r="J59" s="205"/>
      <c r="K59" s="206"/>
    </row>
    <row r="60" customFormat="false" ht="22" hidden="false" customHeight="true" outlineLevel="0" collapsed="false">
      <c r="A60" s="0" t="n">
        <v>31</v>
      </c>
      <c r="B60" s="31" t="n">
        <v>38047</v>
      </c>
      <c r="C60" s="442" t="n">
        <v>43788</v>
      </c>
      <c r="D60" s="1" t="s">
        <v>42</v>
      </c>
      <c r="E60" s="33" t="n">
        <f aca="false">IF(D60="totale",(C60/(A60*24))/F60,IF(D60="marché libre",(C60/(A60*24))/G60,"spécifier histo"))</f>
        <v>0.571406201064829</v>
      </c>
      <c r="F60" s="57" t="n">
        <v>103</v>
      </c>
      <c r="G60" s="57" t="n">
        <f aca="false">F60-H60</f>
        <v>103</v>
      </c>
      <c r="H60" s="9" t="n">
        <f aca="false">0</f>
        <v>0</v>
      </c>
      <c r="I60" s="9"/>
      <c r="J60" s="205"/>
      <c r="K60" s="206"/>
    </row>
    <row r="61" customFormat="false" ht="22" hidden="false" customHeight="true" outlineLevel="0" collapsed="false">
      <c r="A61" s="0" t="n">
        <v>30</v>
      </c>
      <c r="B61" s="160" t="n">
        <v>38078</v>
      </c>
      <c r="C61" s="442" t="n">
        <v>40360</v>
      </c>
      <c r="D61" s="1" t="s">
        <v>42</v>
      </c>
      <c r="E61" s="33" t="n">
        <f aca="false">IF(D61="totale",(C61/(A61*24))/F61,IF(D61="marché libre",(C61/(A61*24))/G61,"spécifier histo"))</f>
        <v>0.544228694714132</v>
      </c>
      <c r="F61" s="57" t="n">
        <v>103</v>
      </c>
      <c r="G61" s="57" t="n">
        <f aca="false">F61-H61</f>
        <v>103</v>
      </c>
      <c r="H61" s="9" t="n">
        <f aca="false">0</f>
        <v>0</v>
      </c>
      <c r="I61" s="9"/>
      <c r="J61" s="205"/>
      <c r="K61" s="206"/>
    </row>
    <row r="62" customFormat="false" ht="22" hidden="false" customHeight="true" outlineLevel="0" collapsed="false">
      <c r="A62" s="0" t="n">
        <v>31</v>
      </c>
      <c r="B62" s="31" t="n">
        <v>38108</v>
      </c>
      <c r="C62" s="442" t="n">
        <v>49587</v>
      </c>
      <c r="D62" s="1" t="s">
        <v>42</v>
      </c>
      <c r="E62" s="33" t="n">
        <f aca="false">IF(D62="totale",(C62/(A62*24))/F62,IF(D62="marché libre",(C62/(A62*24))/G62,"spécifier histo"))</f>
        <v>0.647079549013467</v>
      </c>
      <c r="F62" s="57" t="n">
        <v>103</v>
      </c>
      <c r="G62" s="57" t="n">
        <f aca="false">F62-H62</f>
        <v>103</v>
      </c>
      <c r="H62" s="9" t="n">
        <f aca="false">0</f>
        <v>0</v>
      </c>
      <c r="I62" s="9"/>
      <c r="J62" s="205"/>
      <c r="K62" s="206"/>
    </row>
    <row r="63" customFormat="false" ht="22" hidden="false" customHeight="true" outlineLevel="0" collapsed="false">
      <c r="A63" s="0" t="n">
        <v>30</v>
      </c>
      <c r="B63" s="160" t="n">
        <v>38139</v>
      </c>
      <c r="C63" s="442" t="n">
        <v>48264</v>
      </c>
      <c r="D63" s="1" t="s">
        <v>42</v>
      </c>
      <c r="E63" s="33" t="n">
        <f aca="false">IF(D63="totale",(C63/(A63*24))/F63,IF(D63="marché libre",(C63/(A63*24))/G63,"spécifier histo"))</f>
        <v>0.650809061488673</v>
      </c>
      <c r="F63" s="57" t="n">
        <v>103</v>
      </c>
      <c r="G63" s="57" t="n">
        <f aca="false">F63-H63</f>
        <v>103</v>
      </c>
      <c r="H63" s="9" t="n">
        <f aca="false">0</f>
        <v>0</v>
      </c>
      <c r="I63" s="9"/>
      <c r="J63" s="205"/>
      <c r="K63" s="206"/>
    </row>
    <row r="64" customFormat="false" ht="22" hidden="false" customHeight="true" outlineLevel="0" collapsed="false">
      <c r="A64" s="0" t="n">
        <v>31</v>
      </c>
      <c r="B64" s="31" t="n">
        <v>38169</v>
      </c>
      <c r="C64" s="442" t="n">
        <v>47930</v>
      </c>
      <c r="D64" s="1" t="s">
        <v>42</v>
      </c>
      <c r="E64" s="33" t="n">
        <f aca="false">IF(D64="totale",(C64/(A64*24))/F64,IF(D64="marché libre",(C64/(A64*24))/G64,"spécifier histo"))</f>
        <v>0.625456728259735</v>
      </c>
      <c r="F64" s="57" t="n">
        <v>103</v>
      </c>
      <c r="G64" s="57" t="n">
        <f aca="false">F64-H64</f>
        <v>103</v>
      </c>
      <c r="H64" s="9" t="n">
        <f aca="false">0</f>
        <v>0</v>
      </c>
      <c r="I64" s="9"/>
      <c r="J64" s="205"/>
      <c r="K64" s="206"/>
    </row>
    <row r="65" customFormat="false" ht="22" hidden="false" customHeight="true" outlineLevel="0" collapsed="false">
      <c r="A65" s="0" t="n">
        <v>31</v>
      </c>
      <c r="B65" s="160" t="n">
        <v>38200</v>
      </c>
      <c r="C65" s="442" t="n">
        <v>40647</v>
      </c>
      <c r="D65" s="1" t="s">
        <v>42</v>
      </c>
      <c r="E65" s="33" t="n">
        <f aca="false">IF(D65="totale",(C65/(A65*24))/F65,IF(D65="marché libre",(C65/(A65*24))/G65,"spécifier histo"))</f>
        <v>0.53041810209834</v>
      </c>
      <c r="F65" s="57" t="n">
        <v>103</v>
      </c>
      <c r="G65" s="57" t="n">
        <f aca="false">F65-H65</f>
        <v>103</v>
      </c>
      <c r="H65" s="9" t="n">
        <f aca="false">0</f>
        <v>0</v>
      </c>
      <c r="I65" s="9"/>
      <c r="J65" s="205"/>
      <c r="K65" s="206"/>
    </row>
    <row r="66" customFormat="false" ht="22" hidden="false" customHeight="true" outlineLevel="0" collapsed="false">
      <c r="A66" s="0" t="n">
        <v>30</v>
      </c>
      <c r="B66" s="31" t="n">
        <v>38231</v>
      </c>
      <c r="C66" s="442" t="n">
        <v>21561</v>
      </c>
      <c r="D66" s="1" t="s">
        <v>42</v>
      </c>
      <c r="E66" s="33" t="n">
        <f aca="false">IF(D66="totale",(C66/(A66*24))/F66,IF(D66="marché libre",(C66/(A66*24))/G66,"spécifier histo"))</f>
        <v>0.290736245954693</v>
      </c>
      <c r="F66" s="57" t="n">
        <v>103</v>
      </c>
      <c r="G66" s="57" t="n">
        <f aca="false">F66-H66</f>
        <v>103</v>
      </c>
      <c r="H66" s="9" t="n">
        <f aca="false">0</f>
        <v>0</v>
      </c>
      <c r="I66" s="9"/>
      <c r="J66" s="205"/>
      <c r="K66" s="206"/>
    </row>
    <row r="67" customFormat="false" ht="22" hidden="false" customHeight="true" outlineLevel="0" collapsed="false">
      <c r="A67" s="0" t="n">
        <v>31</v>
      </c>
      <c r="B67" s="160" t="n">
        <v>38261</v>
      </c>
      <c r="C67" s="442" t="n">
        <v>14339</v>
      </c>
      <c r="D67" s="1" t="s">
        <v>42</v>
      </c>
      <c r="E67" s="33" t="n">
        <f aca="false">IF(D67="totale",(C67/(A67*24))/F67,IF(D67="marché libre",(C67/(A67*24))/G67,"spécifier histo"))</f>
        <v>0.187115043323938</v>
      </c>
      <c r="F67" s="57" t="n">
        <v>103</v>
      </c>
      <c r="G67" s="57" t="n">
        <f aca="false">F67-H67</f>
        <v>103</v>
      </c>
      <c r="H67" s="9" t="n">
        <f aca="false">0</f>
        <v>0</v>
      </c>
      <c r="I67" s="9"/>
      <c r="J67" s="205"/>
      <c r="K67" s="206"/>
    </row>
    <row r="68" customFormat="false" ht="22" hidden="false" customHeight="true" outlineLevel="0" collapsed="false">
      <c r="A68" s="0" t="n">
        <v>30</v>
      </c>
      <c r="B68" s="31" t="n">
        <v>38292</v>
      </c>
      <c r="C68" s="442" t="n">
        <v>28549</v>
      </c>
      <c r="D68" s="1" t="s">
        <v>42</v>
      </c>
      <c r="E68" s="33" t="n">
        <f aca="false">IF(D68="totale",(C68/(A68*24))/F68,IF(D68="marché libre",(C68/(A68*24))/G68,"spécifier histo"))</f>
        <v>0.384964940668824</v>
      </c>
      <c r="F68" s="57" t="n">
        <v>103</v>
      </c>
      <c r="G68" s="57" t="n">
        <f aca="false">F68-H68</f>
        <v>103</v>
      </c>
      <c r="H68" s="9" t="n">
        <f aca="false">0</f>
        <v>0</v>
      </c>
      <c r="I68" s="9"/>
      <c r="J68" s="205"/>
      <c r="K68" s="206"/>
    </row>
    <row r="69" customFormat="false" ht="22" hidden="false" customHeight="true" outlineLevel="0" collapsed="false">
      <c r="A69" s="0" t="n">
        <v>31</v>
      </c>
      <c r="B69" s="160" t="n">
        <v>38322</v>
      </c>
      <c r="C69" s="442" t="n">
        <v>32166</v>
      </c>
      <c r="D69" s="1" t="s">
        <v>42</v>
      </c>
      <c r="E69" s="33" t="n">
        <f aca="false">IF(D69="totale",(C69/(A69*24))/F69,IF(D69="marché libre",(C69/(A69*24))/G69,"spécifier histo"))</f>
        <v>0.419746320075164</v>
      </c>
      <c r="F69" s="57" t="n">
        <v>103</v>
      </c>
      <c r="G69" s="57" t="n">
        <f aca="false">F69-H69</f>
        <v>103</v>
      </c>
      <c r="H69" s="9" t="n">
        <f aca="false">0</f>
        <v>0</v>
      </c>
      <c r="I69" s="9"/>
      <c r="J69" s="205"/>
      <c r="K69" s="206"/>
    </row>
    <row r="70" customFormat="false" ht="22" hidden="false" customHeight="true" outlineLevel="0" collapsed="false">
      <c r="A70" s="0" t="n">
        <v>31</v>
      </c>
      <c r="B70" s="31" t="n">
        <v>38353</v>
      </c>
      <c r="C70" s="442" t="n">
        <v>38484</v>
      </c>
      <c r="D70" s="1" t="s">
        <v>42</v>
      </c>
      <c r="E70" s="33" t="n">
        <f aca="false">IF(D70="totale",(C70/(A70*24))/F70,IF(D70="marché libre",(C70/(A70*24))/G70,"spécifier histo"))</f>
        <v>0.502192295646727</v>
      </c>
      <c r="F70" s="57" t="n">
        <v>103</v>
      </c>
      <c r="G70" s="57" t="n">
        <f aca="false">F70-H70</f>
        <v>103</v>
      </c>
      <c r="H70" s="9" t="n">
        <f aca="false">0</f>
        <v>0</v>
      </c>
      <c r="I70" s="9"/>
      <c r="J70" s="205"/>
      <c r="K70" s="206"/>
    </row>
    <row r="71" customFormat="false" ht="22" hidden="false" customHeight="true" outlineLevel="0" collapsed="false">
      <c r="A71" s="0" t="n">
        <v>28</v>
      </c>
      <c r="B71" s="160" t="n">
        <v>38384</v>
      </c>
      <c r="C71" s="442" t="n">
        <v>43101</v>
      </c>
      <c r="D71" s="1" t="s">
        <v>42</v>
      </c>
      <c r="E71" s="33" t="n">
        <f aca="false">IF(D71="totale",(C71/(A71*24))/F71,IF(D71="marché libre",(C71/(A71*24))/G71,"spécifier histo"))</f>
        <v>0.622702843273232</v>
      </c>
      <c r="F71" s="57" t="n">
        <v>103</v>
      </c>
      <c r="G71" s="57" t="n">
        <f aca="false">F71-H71</f>
        <v>103</v>
      </c>
      <c r="H71" s="9" t="n">
        <f aca="false">0</f>
        <v>0</v>
      </c>
      <c r="I71" s="9"/>
      <c r="J71" s="205"/>
      <c r="K71" s="206"/>
    </row>
    <row r="72" customFormat="false" ht="22" hidden="false" customHeight="true" outlineLevel="0" collapsed="false">
      <c r="A72" s="0" t="n">
        <v>31</v>
      </c>
      <c r="B72" s="31" t="n">
        <v>38412</v>
      </c>
      <c r="C72" s="442" t="n">
        <v>43966</v>
      </c>
      <c r="D72" s="1" t="s">
        <v>42</v>
      </c>
      <c r="E72" s="33" t="n">
        <f aca="false">IF(D72="totale",(C72/(A72*24))/F72,IF(D72="marché libre",(C72/(A72*24))/G72,"spécifier histo"))</f>
        <v>0.573728990500052</v>
      </c>
      <c r="F72" s="57" t="n">
        <v>103</v>
      </c>
      <c r="G72" s="57" t="n">
        <f aca="false">F72-H72</f>
        <v>103</v>
      </c>
      <c r="H72" s="9" t="n">
        <f aca="false">0</f>
        <v>0</v>
      </c>
      <c r="I72" s="9"/>
      <c r="J72" s="205"/>
      <c r="K72" s="206"/>
    </row>
    <row r="73" customFormat="false" ht="22" hidden="false" customHeight="true" outlineLevel="0" collapsed="false">
      <c r="A73" s="0" t="n">
        <v>30</v>
      </c>
      <c r="B73" s="160" t="n">
        <v>38443</v>
      </c>
      <c r="C73" s="442" t="n">
        <v>52543</v>
      </c>
      <c r="D73" s="1" t="s">
        <v>42</v>
      </c>
      <c r="E73" s="33" t="n">
        <f aca="false">IF(D73="totale",(C73/(A73*24))/F73,IF(D73="marché libre",(C73/(A73*24))/G73,"spécifier histo"))</f>
        <v>0.708508629989213</v>
      </c>
      <c r="F73" s="57" t="n">
        <v>103</v>
      </c>
      <c r="G73" s="57" t="n">
        <f aca="false">F73-H73</f>
        <v>103</v>
      </c>
      <c r="H73" s="9" t="n">
        <f aca="false">0</f>
        <v>0</v>
      </c>
      <c r="I73" s="9"/>
      <c r="J73" s="205"/>
      <c r="K73" s="206"/>
    </row>
    <row r="74" customFormat="false" ht="22" hidden="false" customHeight="true" outlineLevel="0" collapsed="false">
      <c r="A74" s="0" t="n">
        <v>31</v>
      </c>
      <c r="B74" s="31" t="n">
        <v>38473</v>
      </c>
      <c r="C74" s="442" t="n">
        <v>48692</v>
      </c>
      <c r="D74" s="1" t="s">
        <v>42</v>
      </c>
      <c r="E74" s="33" t="n">
        <f aca="false">IF(D74="totale",(C74/(A74*24))/F74,IF(D74="marché libre",(C74/(A74*24))/G74,"spécifier histo"))</f>
        <v>0.635400354943105</v>
      </c>
      <c r="F74" s="57" t="n">
        <v>103</v>
      </c>
      <c r="G74" s="57" t="n">
        <f aca="false">F74-H74</f>
        <v>103</v>
      </c>
      <c r="H74" s="9" t="n">
        <f aca="false">0</f>
        <v>0</v>
      </c>
      <c r="I74" s="9"/>
      <c r="J74" s="205"/>
      <c r="K74" s="206"/>
    </row>
    <row r="75" customFormat="false" ht="22" hidden="false" customHeight="true" outlineLevel="0" collapsed="false">
      <c r="A75" s="0" t="n">
        <v>30</v>
      </c>
      <c r="B75" s="160" t="n">
        <v>38504</v>
      </c>
      <c r="C75" s="442" t="n">
        <v>49846</v>
      </c>
      <c r="D75" s="1" t="s">
        <v>42</v>
      </c>
      <c r="E75" s="33" t="n">
        <f aca="false">IF(D75="totale",(C75/(A75*24))/F75,IF(D75="marché libre",(C75/(A75*24))/G75,"spécifier histo"))</f>
        <v>0.672141316073355</v>
      </c>
      <c r="F75" s="57" t="n">
        <v>103</v>
      </c>
      <c r="G75" s="57" t="n">
        <f aca="false">F75-H75</f>
        <v>103</v>
      </c>
      <c r="H75" s="9" t="n">
        <f aca="false">0</f>
        <v>0</v>
      </c>
      <c r="I75" s="9"/>
      <c r="J75" s="205"/>
      <c r="K75" s="206"/>
    </row>
    <row r="76" customFormat="false" ht="22" hidden="false" customHeight="true" outlineLevel="0" collapsed="false">
      <c r="A76" s="0" t="n">
        <v>31</v>
      </c>
      <c r="B76" s="31" t="n">
        <v>38534</v>
      </c>
      <c r="C76" s="442" t="n">
        <v>45504</v>
      </c>
      <c r="D76" s="1" t="s">
        <v>42</v>
      </c>
      <c r="E76" s="33" t="n">
        <f aca="false">IF(D76="totale",(C76/(A76*24))/F76,IF(D76="marché libre",(C76/(A76*24))/G76,"spécifier histo"))</f>
        <v>0.593798935170686</v>
      </c>
      <c r="F76" s="57" t="n">
        <v>103</v>
      </c>
      <c r="G76" s="57" t="n">
        <f aca="false">F76-H76</f>
        <v>103</v>
      </c>
      <c r="H76" s="9" t="n">
        <f aca="false">0</f>
        <v>0</v>
      </c>
      <c r="I76" s="9"/>
      <c r="J76" s="205"/>
      <c r="K76" s="206"/>
    </row>
    <row r="77" customFormat="false" ht="22" hidden="false" customHeight="true" outlineLevel="0" collapsed="false">
      <c r="A77" s="0" t="n">
        <v>31</v>
      </c>
      <c r="B77" s="160" t="n">
        <v>38565</v>
      </c>
      <c r="C77" s="442" t="n">
        <v>30664</v>
      </c>
      <c r="D77" s="1" t="s">
        <v>42</v>
      </c>
      <c r="E77" s="33" t="n">
        <f aca="false">IF(D77="totale",(C77/(A77*24))/F77,IF(D77="marché libre",(C77/(A77*24))/G77,"spécifier histo"))</f>
        <v>0.400146153043115</v>
      </c>
      <c r="F77" s="57" t="n">
        <v>103</v>
      </c>
      <c r="G77" s="57" t="n">
        <f aca="false">F77-H77</f>
        <v>103</v>
      </c>
      <c r="H77" s="9" t="n">
        <f aca="false">0</f>
        <v>0</v>
      </c>
      <c r="I77" s="9"/>
      <c r="J77" s="205"/>
      <c r="K77" s="206"/>
    </row>
    <row r="78" customFormat="false" ht="22" hidden="false" customHeight="true" outlineLevel="0" collapsed="false">
      <c r="A78" s="0" t="n">
        <v>30</v>
      </c>
      <c r="B78" s="31" t="n">
        <v>38596</v>
      </c>
      <c r="C78" s="442" t="n">
        <v>17589</v>
      </c>
      <c r="D78" s="1" t="s">
        <v>42</v>
      </c>
      <c r="E78" s="33" t="n">
        <f aca="false">IF(D78="totale",(C78/(A78*24))/F78,IF(D78="marché libre",(C78/(A78*24))/G78,"spécifier histo"))</f>
        <v>0.237176375404531</v>
      </c>
      <c r="F78" s="57" t="n">
        <v>103</v>
      </c>
      <c r="G78" s="57" t="n">
        <f aca="false">F78-H78</f>
        <v>103</v>
      </c>
      <c r="H78" s="9" t="n">
        <f aca="false">0</f>
        <v>0</v>
      </c>
      <c r="I78" s="9"/>
      <c r="J78" s="205"/>
      <c r="K78" s="206"/>
    </row>
    <row r="79" customFormat="false" ht="22" hidden="false" customHeight="true" outlineLevel="0" collapsed="false">
      <c r="A79" s="0" t="n">
        <v>31</v>
      </c>
      <c r="B79" s="160" t="n">
        <v>38626</v>
      </c>
      <c r="C79" s="442" t="n">
        <v>18750</v>
      </c>
      <c r="D79" s="1" t="s">
        <v>42</v>
      </c>
      <c r="E79" s="33" t="n">
        <f aca="false">IF(D79="totale",(C79/(A79*24))/F79,IF(D79="marché libre",(C79/(A79*24))/G79,"spécifier histo"))</f>
        <v>0.244675853429377</v>
      </c>
      <c r="F79" s="57" t="n">
        <v>103</v>
      </c>
      <c r="G79" s="57" t="n">
        <f aca="false">F79-H79</f>
        <v>103</v>
      </c>
      <c r="H79" s="9" t="n">
        <f aca="false">0</f>
        <v>0</v>
      </c>
      <c r="I79" s="9"/>
      <c r="J79" s="205"/>
      <c r="K79" s="206"/>
    </row>
    <row r="80" customFormat="false" ht="22" hidden="false" customHeight="true" outlineLevel="0" collapsed="false">
      <c r="A80" s="0" t="n">
        <v>30</v>
      </c>
      <c r="B80" s="31" t="n">
        <v>38657</v>
      </c>
      <c r="C80" s="442" t="n">
        <v>30678</v>
      </c>
      <c r="D80" s="1" t="s">
        <v>42</v>
      </c>
      <c r="E80" s="33" t="n">
        <f aca="false">IF(D80="totale",(C80/(A80*24))/F80,IF(D80="marché libre",(C80/(A80*24))/G80,"spécifier histo"))</f>
        <v>0.413673139158576</v>
      </c>
      <c r="F80" s="57" t="n">
        <v>103</v>
      </c>
      <c r="G80" s="57" t="n">
        <f aca="false">F80-H80</f>
        <v>103</v>
      </c>
      <c r="H80" s="9" t="n">
        <f aca="false">0</f>
        <v>0</v>
      </c>
      <c r="I80" s="9"/>
      <c r="J80" s="205"/>
      <c r="K80" s="206"/>
    </row>
    <row r="81" customFormat="false" ht="22" hidden="false" customHeight="true" outlineLevel="0" collapsed="false">
      <c r="A81" s="0" t="n">
        <v>31</v>
      </c>
      <c r="B81" s="160" t="n">
        <v>38687</v>
      </c>
      <c r="C81" s="442" t="n">
        <v>37194</v>
      </c>
      <c r="D81" s="1" t="s">
        <v>42</v>
      </c>
      <c r="E81" s="33" t="n">
        <f aca="false">IF(D81="totale",(C81/(A81*24))/F81,IF(D81="marché libre",(C81/(A81*24))/G81,"spécifier histo"))</f>
        <v>0.485358596930786</v>
      </c>
      <c r="F81" s="57" t="n">
        <v>103</v>
      </c>
      <c r="G81" s="57" t="n">
        <f aca="false">F81-H81</f>
        <v>103</v>
      </c>
      <c r="H81" s="9" t="n">
        <f aca="false">0</f>
        <v>0</v>
      </c>
      <c r="I81" s="9"/>
      <c r="J81" s="205"/>
      <c r="K81" s="206"/>
    </row>
    <row r="82" customFormat="false" ht="22" hidden="false" customHeight="true" outlineLevel="0" collapsed="false">
      <c r="A82" s="0" t="n">
        <v>31</v>
      </c>
      <c r="B82" s="31" t="n">
        <v>38718</v>
      </c>
      <c r="C82" s="442" t="n">
        <v>40291</v>
      </c>
      <c r="D82" s="1" t="s">
        <v>42</v>
      </c>
      <c r="E82" s="33" t="n">
        <f aca="false">IF(D82="totale",(C82/(A82*24))/F82,IF(D82="marché libre",(C82/(A82*24))/G82,"spécifier histo"))</f>
        <v>0.525772523227894</v>
      </c>
      <c r="F82" s="57" t="n">
        <v>103</v>
      </c>
      <c r="G82" s="57" t="n">
        <f aca="false">F82-H82</f>
        <v>103</v>
      </c>
      <c r="H82" s="9" t="n">
        <f aca="false">0</f>
        <v>0</v>
      </c>
      <c r="I82" s="9"/>
      <c r="J82" s="205"/>
      <c r="K82" s="206"/>
    </row>
    <row r="83" customFormat="false" ht="22" hidden="false" customHeight="true" outlineLevel="0" collapsed="false">
      <c r="A83" s="0" t="n">
        <v>28</v>
      </c>
      <c r="B83" s="160" t="n">
        <v>38749</v>
      </c>
      <c r="C83" s="442" t="n">
        <v>22541</v>
      </c>
      <c r="D83" s="1" t="s">
        <v>42</v>
      </c>
      <c r="E83" s="33" t="n">
        <f aca="false">IF(D83="totale",(C83/(A83*24))/F83,IF(D83="marché libre",(C83/(A83*24))/G83,"spécifier histo"))</f>
        <v>0.325661696717522</v>
      </c>
      <c r="F83" s="57" t="n">
        <v>103</v>
      </c>
      <c r="G83" s="57" t="n">
        <f aca="false">F83-H83</f>
        <v>103</v>
      </c>
      <c r="H83" s="9" t="n">
        <f aca="false">0</f>
        <v>0</v>
      </c>
      <c r="I83" s="9"/>
      <c r="J83" s="205"/>
      <c r="K83" s="206"/>
    </row>
    <row r="84" customFormat="false" ht="22" hidden="false" customHeight="true" outlineLevel="0" collapsed="false">
      <c r="A84" s="0" t="n">
        <v>31</v>
      </c>
      <c r="B84" s="31" t="n">
        <v>38777</v>
      </c>
      <c r="C84" s="442" t="n">
        <v>46176</v>
      </c>
      <c r="D84" s="1" t="s">
        <v>42</v>
      </c>
      <c r="E84" s="33" t="n">
        <f aca="false">IF(D84="totale",(C84/(A84*24))/F84,IF(D84="marché libre",(C84/(A84*24))/G84,"spécifier histo"))</f>
        <v>0.602568117757595</v>
      </c>
      <c r="F84" s="57" t="n">
        <v>103</v>
      </c>
      <c r="G84" s="57" t="n">
        <f aca="false">F84-H84</f>
        <v>103</v>
      </c>
      <c r="H84" s="9" t="n">
        <f aca="false">0</f>
        <v>0</v>
      </c>
      <c r="I84" s="9"/>
      <c r="J84" s="205"/>
      <c r="K84" s="206"/>
    </row>
    <row r="85" customFormat="false" ht="22" hidden="false" customHeight="true" outlineLevel="0" collapsed="false">
      <c r="A85" s="0" t="n">
        <v>30</v>
      </c>
      <c r="B85" s="160" t="n">
        <v>38808</v>
      </c>
      <c r="C85" s="442" t="n">
        <v>44331</v>
      </c>
      <c r="D85" s="1" t="s">
        <v>42</v>
      </c>
      <c r="E85" s="33" t="n">
        <f aca="false">IF(D85="totale",(C85/(A85*24))/F85,IF(D85="marché libre",(C85/(A85*24))/G85,"spécifier histo"))</f>
        <v>0.597775080906149</v>
      </c>
      <c r="F85" s="57" t="n">
        <v>103</v>
      </c>
      <c r="G85" s="57" t="n">
        <f aca="false">F85-H85</f>
        <v>103</v>
      </c>
      <c r="H85" s="9" t="n">
        <f aca="false">0</f>
        <v>0</v>
      </c>
      <c r="I85" s="9"/>
      <c r="J85" s="205"/>
      <c r="K85" s="206"/>
    </row>
    <row r="86" customFormat="false" ht="22" hidden="false" customHeight="true" outlineLevel="0" collapsed="false">
      <c r="A86" s="0" t="n">
        <v>31</v>
      </c>
      <c r="B86" s="31" t="n">
        <v>38838</v>
      </c>
      <c r="C86" s="442" t="n">
        <v>50516</v>
      </c>
      <c r="D86" s="1" t="s">
        <v>42</v>
      </c>
      <c r="E86" s="33" t="n">
        <f aca="false">IF(D86="totale",(C86/(A86*24))/F86,IF(D86="marché libre",(C86/(A86*24))/G86,"spécifier histo"))</f>
        <v>0.659202421964714</v>
      </c>
      <c r="F86" s="57" t="n">
        <v>103</v>
      </c>
      <c r="G86" s="57" t="n">
        <f aca="false">F86-H86</f>
        <v>103</v>
      </c>
      <c r="H86" s="9" t="n">
        <f aca="false">0</f>
        <v>0</v>
      </c>
      <c r="I86" s="9"/>
      <c r="J86" s="205"/>
      <c r="K86" s="206"/>
    </row>
    <row r="87" customFormat="false" ht="22" hidden="false" customHeight="true" outlineLevel="0" collapsed="false">
      <c r="A87" s="0" t="n">
        <v>30</v>
      </c>
      <c r="B87" s="160" t="n">
        <v>38869</v>
      </c>
      <c r="C87" s="442" t="n">
        <v>41185</v>
      </c>
      <c r="D87" s="1" t="s">
        <v>42</v>
      </c>
      <c r="E87" s="33" t="n">
        <f aca="false">IF(D87="totale",(C87/(A87*24))/F87,IF(D87="marché libre",(C87/(A87*24))/G87,"spécifier histo"))</f>
        <v>0.555353290183387</v>
      </c>
      <c r="F87" s="57" t="n">
        <v>103</v>
      </c>
      <c r="G87" s="57" t="n">
        <f aca="false">F87-H87</f>
        <v>103</v>
      </c>
      <c r="H87" s="9" t="n">
        <f aca="false">0</f>
        <v>0</v>
      </c>
      <c r="I87" s="9"/>
      <c r="J87" s="205"/>
      <c r="K87" s="206"/>
    </row>
    <row r="88" customFormat="false" ht="22" hidden="false" customHeight="true" outlineLevel="0" collapsed="false">
      <c r="A88" s="0" t="n">
        <v>31</v>
      </c>
      <c r="B88" s="31" t="n">
        <v>38899</v>
      </c>
      <c r="C88" s="442" t="n">
        <v>47384</v>
      </c>
      <c r="D88" s="1" t="s">
        <v>42</v>
      </c>
      <c r="E88" s="33" t="n">
        <f aca="false">IF(D88="totale",(C88/(A88*24))/F88,IF(D88="marché libre",(C88/(A88*24))/G88,"spécifier histo"))</f>
        <v>0.618331767407871</v>
      </c>
      <c r="F88" s="57" t="n">
        <v>103</v>
      </c>
      <c r="G88" s="57" t="n">
        <f aca="false">F88-H88</f>
        <v>103</v>
      </c>
      <c r="H88" s="9" t="n">
        <f aca="false">0</f>
        <v>0</v>
      </c>
      <c r="I88" s="9"/>
      <c r="J88" s="205"/>
      <c r="K88" s="206"/>
    </row>
    <row r="89" customFormat="false" ht="22" hidden="false" customHeight="true" outlineLevel="0" collapsed="false">
      <c r="A89" s="0" t="n">
        <v>31</v>
      </c>
      <c r="B89" s="160" t="n">
        <v>38930</v>
      </c>
      <c r="C89" s="442" t="n">
        <v>36123</v>
      </c>
      <c r="D89" s="1" t="s">
        <v>42</v>
      </c>
      <c r="E89" s="33" t="n">
        <f aca="false">IF(D89="totale",(C89/(A89*24))/F89,IF(D89="marché libre",(C89/(A89*24))/G89,"spécifier histo"))</f>
        <v>0.4713827121829</v>
      </c>
      <c r="F89" s="57" t="n">
        <v>103</v>
      </c>
      <c r="G89" s="57" t="n">
        <f aca="false">F89-H89</f>
        <v>103</v>
      </c>
      <c r="H89" s="9" t="n">
        <f aca="false">0</f>
        <v>0</v>
      </c>
      <c r="I89" s="9"/>
      <c r="J89" s="205"/>
      <c r="K89" s="206"/>
    </row>
    <row r="90" customFormat="false" ht="22" hidden="false" customHeight="true" outlineLevel="0" collapsed="false">
      <c r="A90" s="0" t="n">
        <v>30</v>
      </c>
      <c r="B90" s="31" t="n">
        <v>38961</v>
      </c>
      <c r="C90" s="442" t="n">
        <v>35750</v>
      </c>
      <c r="D90" s="1" t="s">
        <v>42</v>
      </c>
      <c r="E90" s="33" t="n">
        <f aca="false">IF(D90="totale",(C90/(A90*24))/F90,IF(D90="marché libre",(C90/(A90*24))/G90,"spécifier histo"))</f>
        <v>0.482065803667745</v>
      </c>
      <c r="F90" s="57" t="n">
        <v>103</v>
      </c>
      <c r="G90" s="57" t="n">
        <f aca="false">F90-H90</f>
        <v>103</v>
      </c>
      <c r="H90" s="9" t="n">
        <f aca="false">0</f>
        <v>0</v>
      </c>
      <c r="I90" s="9"/>
      <c r="J90" s="205"/>
      <c r="K90" s="206"/>
    </row>
    <row r="91" customFormat="false" ht="22" hidden="false" customHeight="true" outlineLevel="0" collapsed="false">
      <c r="A91" s="0" t="n">
        <v>31</v>
      </c>
      <c r="B91" s="160" t="n">
        <v>38991</v>
      </c>
      <c r="C91" s="442" t="n">
        <v>39763</v>
      </c>
      <c r="D91" s="1" t="s">
        <v>42</v>
      </c>
      <c r="E91" s="33" t="n">
        <f aca="false">IF(D91="totale",(C91/(A91*24))/F91,IF(D91="marché libre",(C91/(A91*24))/G91,"spécifier histo"))</f>
        <v>0.518882451195323</v>
      </c>
      <c r="F91" s="57" t="n">
        <v>103</v>
      </c>
      <c r="G91" s="57" t="n">
        <f aca="false">F91-H91</f>
        <v>103</v>
      </c>
      <c r="H91" s="9" t="n">
        <f aca="false">0</f>
        <v>0</v>
      </c>
      <c r="I91" s="9"/>
      <c r="J91" s="205"/>
      <c r="K91" s="206"/>
    </row>
    <row r="92" customFormat="false" ht="22" hidden="false" customHeight="true" outlineLevel="0" collapsed="false">
      <c r="A92" s="0" t="n">
        <v>30</v>
      </c>
      <c r="B92" s="31" t="n">
        <v>39022</v>
      </c>
      <c r="C92" s="442" t="n">
        <v>33942</v>
      </c>
      <c r="D92" s="1" t="s">
        <v>42</v>
      </c>
      <c r="E92" s="33" t="n">
        <f aca="false">IF(D92="totale",(C92/(A92*24))/F92,IF(D92="marché libre",(C92/(A92*24))/G92,"spécifier histo"))</f>
        <v>0.457686084142395</v>
      </c>
      <c r="F92" s="57" t="n">
        <v>103</v>
      </c>
      <c r="G92" s="57" t="n">
        <f aca="false">F92-H92</f>
        <v>103</v>
      </c>
      <c r="H92" s="9" t="n">
        <f aca="false">0</f>
        <v>0</v>
      </c>
      <c r="I92" s="9"/>
      <c r="J92" s="205"/>
      <c r="K92" s="206"/>
    </row>
    <row r="93" customFormat="false" ht="22" hidden="false" customHeight="true" outlineLevel="0" collapsed="false">
      <c r="A93" s="0" t="n">
        <v>31</v>
      </c>
      <c r="B93" s="160" t="n">
        <v>39052</v>
      </c>
      <c r="C93" s="442" t="n">
        <v>43568</v>
      </c>
      <c r="D93" s="1" t="s">
        <v>42</v>
      </c>
      <c r="E93" s="33" t="n">
        <f aca="false">IF(D93="totale",(C93/(A93*24))/F93,IF(D93="marché libre",(C93/(A93*24))/G93,"spécifier histo"))</f>
        <v>0.568535337717925</v>
      </c>
      <c r="F93" s="57" t="n">
        <v>103</v>
      </c>
      <c r="G93" s="57" t="n">
        <f aca="false">F93-H93</f>
        <v>103</v>
      </c>
      <c r="H93" s="9" t="n">
        <f aca="false">0</f>
        <v>0</v>
      </c>
      <c r="I93" s="9"/>
      <c r="J93" s="205"/>
      <c r="K93" s="206"/>
    </row>
    <row r="94" customFormat="false" ht="22" hidden="false" customHeight="true" outlineLevel="0" collapsed="false">
      <c r="A94" s="0" t="n">
        <v>31</v>
      </c>
      <c r="B94" s="31" t="n">
        <v>39083</v>
      </c>
      <c r="C94" s="442" t="n">
        <v>24215</v>
      </c>
      <c r="D94" s="1" t="s">
        <v>42</v>
      </c>
      <c r="E94" s="33" t="n">
        <f aca="false">IF(D94="totale",(C94/(A94*24))/F94,IF(D94="marché libre",(C94/(A94*24))/G94,"spécifier histo"))</f>
        <v>0.315990708842259</v>
      </c>
      <c r="F94" s="57" t="n">
        <v>103</v>
      </c>
      <c r="G94" s="57" t="n">
        <f aca="false">F94-H94</f>
        <v>103</v>
      </c>
      <c r="H94" s="9" t="n">
        <f aca="false">0</f>
        <v>0</v>
      </c>
      <c r="I94" s="9"/>
      <c r="J94" s="205"/>
      <c r="K94" s="206"/>
    </row>
    <row r="95" customFormat="false" ht="22" hidden="false" customHeight="true" outlineLevel="0" collapsed="false">
      <c r="A95" s="0" t="n">
        <v>28</v>
      </c>
      <c r="B95" s="160" t="n">
        <v>39114</v>
      </c>
      <c r="C95" s="442" t="n">
        <v>37660</v>
      </c>
      <c r="D95" s="1" t="s">
        <v>42</v>
      </c>
      <c r="E95" s="33" t="n">
        <f aca="false">IF(D95="totale",(C95/(A95*24))/F95,IF(D95="marché libre",(C95/(A95*24))/G95,"spécifier histo"))</f>
        <v>0.544093851132686</v>
      </c>
      <c r="F95" s="57" t="n">
        <v>103</v>
      </c>
      <c r="G95" s="57" t="n">
        <f aca="false">F95-H95</f>
        <v>103</v>
      </c>
      <c r="H95" s="9" t="n">
        <f aca="false">0</f>
        <v>0</v>
      </c>
      <c r="I95" s="9"/>
      <c r="J95" s="205"/>
      <c r="K95" s="206"/>
    </row>
    <row r="96" customFormat="false" ht="22" hidden="false" customHeight="true" outlineLevel="0" collapsed="false">
      <c r="A96" s="0" t="n">
        <v>31</v>
      </c>
      <c r="B96" s="31" t="n">
        <v>39142</v>
      </c>
      <c r="C96" s="442" t="n">
        <v>50267</v>
      </c>
      <c r="D96" s="1" t="s">
        <v>42</v>
      </c>
      <c r="E96" s="33" t="n">
        <f aca="false">IF(D96="totale",(C96/(A96*24))/F96,IF(D96="marché libre",(C96/(A96*24))/G96,"spécifier histo"))</f>
        <v>0.655953126631172</v>
      </c>
      <c r="F96" s="57" t="n">
        <v>103</v>
      </c>
      <c r="G96" s="57" t="n">
        <f aca="false">F96-H96</f>
        <v>103</v>
      </c>
      <c r="H96" s="9" t="n">
        <f aca="false">0</f>
        <v>0</v>
      </c>
      <c r="I96" s="9"/>
      <c r="J96" s="205"/>
      <c r="K96" s="206"/>
    </row>
    <row r="97" customFormat="false" ht="22" hidden="false" customHeight="true" outlineLevel="0" collapsed="false">
      <c r="A97" s="0" t="n">
        <v>30</v>
      </c>
      <c r="B97" s="160" t="n">
        <v>39173</v>
      </c>
      <c r="C97" s="442" t="n">
        <v>54519</v>
      </c>
      <c r="D97" s="1" t="s">
        <v>42</v>
      </c>
      <c r="E97" s="33" t="n">
        <f aca="false">IF(D97="totale",(C97/(A97*24))/F97,IF(D97="marché libre",(C97/(A97*24))/G97,"spécifier histo"))</f>
        <v>0.735153721682848</v>
      </c>
      <c r="F97" s="57" t="n">
        <v>103</v>
      </c>
      <c r="G97" s="57" t="n">
        <f aca="false">F97-H97</f>
        <v>103</v>
      </c>
      <c r="H97" s="9" t="n">
        <f aca="false">0</f>
        <v>0</v>
      </c>
      <c r="I97" s="9"/>
      <c r="J97" s="205"/>
      <c r="K97" s="206"/>
    </row>
    <row r="98" customFormat="false" ht="22" hidden="false" customHeight="true" outlineLevel="0" collapsed="false">
      <c r="A98" s="0" t="n">
        <v>31</v>
      </c>
      <c r="B98" s="31" t="n">
        <v>39203</v>
      </c>
      <c r="C98" s="442" t="n">
        <v>52856</v>
      </c>
      <c r="D98" s="1" t="s">
        <v>42</v>
      </c>
      <c r="E98" s="33" t="n">
        <f aca="false">IF(D98="totale",(C98/(A98*24))/F98,IF(D98="marché libre",(C98/(A98*24))/G98,"spécifier histo"))</f>
        <v>0.689737968472701</v>
      </c>
      <c r="F98" s="57" t="n">
        <v>103</v>
      </c>
      <c r="G98" s="57" t="n">
        <f aca="false">F98-H98</f>
        <v>103</v>
      </c>
      <c r="H98" s="9" t="n">
        <f aca="false">0</f>
        <v>0</v>
      </c>
      <c r="I98" s="9"/>
      <c r="J98" s="205"/>
      <c r="K98" s="206"/>
    </row>
    <row r="99" customFormat="false" ht="22" hidden="false" customHeight="true" outlineLevel="0" collapsed="false">
      <c r="A99" s="0" t="n">
        <v>30</v>
      </c>
      <c r="B99" s="160" t="n">
        <v>39234</v>
      </c>
      <c r="C99" s="442" t="n">
        <v>55985</v>
      </c>
      <c r="D99" s="1" t="s">
        <v>42</v>
      </c>
      <c r="E99" s="33" t="n">
        <f aca="false">IF(D99="totale",(C99/(A99*24))/F99,IF(D99="marché libre",(C99/(A99*24))/G99,"spécifier histo"))</f>
        <v>0.754921790722762</v>
      </c>
      <c r="F99" s="57" t="n">
        <v>103</v>
      </c>
      <c r="G99" s="57" t="n">
        <f aca="false">F99-H99</f>
        <v>103</v>
      </c>
      <c r="H99" s="9" t="n">
        <f aca="false">0</f>
        <v>0</v>
      </c>
      <c r="I99" s="9"/>
      <c r="J99" s="205"/>
      <c r="K99" s="206"/>
    </row>
    <row r="100" customFormat="false" ht="22" hidden="false" customHeight="true" outlineLevel="0" collapsed="false">
      <c r="A100" s="0" t="n">
        <v>31</v>
      </c>
      <c r="B100" s="31" t="n">
        <v>39264</v>
      </c>
      <c r="C100" s="442" t="n">
        <v>43645</v>
      </c>
      <c r="D100" s="1" t="s">
        <v>42</v>
      </c>
      <c r="E100" s="33" t="n">
        <f aca="false">IF(D100="totale",(C100/(A100*24))/F100,IF(D100="marché libre",(C100/(A100*24))/G100,"spécifier histo"))</f>
        <v>0.569540139889341</v>
      </c>
      <c r="F100" s="57" t="n">
        <v>103</v>
      </c>
      <c r="G100" s="57" t="n">
        <f aca="false">F100-H100</f>
        <v>103</v>
      </c>
      <c r="H100" s="9" t="n">
        <f aca="false">0</f>
        <v>0</v>
      </c>
      <c r="I100" s="9"/>
      <c r="J100" s="205"/>
      <c r="K100" s="206"/>
    </row>
    <row r="101" customFormat="false" ht="22" hidden="false" customHeight="true" outlineLevel="0" collapsed="false">
      <c r="A101" s="0" t="n">
        <v>31</v>
      </c>
      <c r="B101" s="160" t="n">
        <v>39295</v>
      </c>
      <c r="C101" s="442" t="n">
        <v>49228</v>
      </c>
      <c r="D101" s="1" t="s">
        <v>42</v>
      </c>
      <c r="E101" s="33" t="n">
        <f aca="false">IF(D101="totale",(C101/(A101*24))/F101,IF(D101="marché libre",(C101/(A101*24))/G101,"spécifier histo"))</f>
        <v>0.642394822006473</v>
      </c>
      <c r="F101" s="57" t="n">
        <v>103</v>
      </c>
      <c r="G101" s="57" t="n">
        <f aca="false">F101-H101</f>
        <v>103</v>
      </c>
      <c r="H101" s="9" t="n">
        <f aca="false">0</f>
        <v>0</v>
      </c>
      <c r="I101" s="9"/>
      <c r="J101" s="205"/>
      <c r="K101" s="206"/>
    </row>
    <row r="102" customFormat="false" ht="22" hidden="false" customHeight="true" outlineLevel="0" collapsed="false">
      <c r="A102" s="0" t="n">
        <v>30</v>
      </c>
      <c r="B102" s="31" t="n">
        <v>39326</v>
      </c>
      <c r="C102" s="442" t="n">
        <v>26967</v>
      </c>
      <c r="D102" s="1" t="s">
        <v>42</v>
      </c>
      <c r="E102" s="33" t="n">
        <f aca="false">IF(D102="totale",(C102/(A102*24))/F102,IF(D102="marché libre",(C102/(A102*24))/G102,"spécifier histo"))</f>
        <v>0.363632686084142</v>
      </c>
      <c r="F102" s="57" t="n">
        <v>103</v>
      </c>
      <c r="G102" s="57" t="n">
        <f aca="false">F102-H102</f>
        <v>103</v>
      </c>
      <c r="H102" s="9" t="n">
        <f aca="false">0</f>
        <v>0</v>
      </c>
      <c r="I102" s="9"/>
      <c r="J102" s="205"/>
      <c r="K102" s="206"/>
    </row>
    <row r="103" customFormat="false" ht="22" hidden="false" customHeight="true" outlineLevel="0" collapsed="false">
      <c r="A103" s="0" t="n">
        <v>31</v>
      </c>
      <c r="B103" s="160" t="n">
        <v>39356</v>
      </c>
      <c r="C103" s="442" t="n">
        <v>12829</v>
      </c>
      <c r="D103" s="1" t="s">
        <v>42</v>
      </c>
      <c r="E103" s="33" t="n">
        <f aca="false">IF(D103="totale",(C103/(A103*24))/F103,IF(D103="marché libre",(C103/(A103*24))/G103,"spécifier histo"))</f>
        <v>0.167410481261092</v>
      </c>
      <c r="F103" s="57" t="n">
        <v>103</v>
      </c>
      <c r="G103" s="57" t="n">
        <f aca="false">F103-H103</f>
        <v>103</v>
      </c>
      <c r="H103" s="9" t="n">
        <f aca="false">0</f>
        <v>0</v>
      </c>
      <c r="I103" s="9"/>
      <c r="J103" s="205"/>
      <c r="K103" s="206"/>
    </row>
    <row r="104" customFormat="false" ht="22" hidden="false" customHeight="true" outlineLevel="0" collapsed="false">
      <c r="A104" s="0" t="n">
        <v>30</v>
      </c>
      <c r="B104" s="31" t="n">
        <v>39387</v>
      </c>
      <c r="C104" s="442" t="n">
        <v>9136</v>
      </c>
      <c r="D104" s="1" t="s">
        <v>42</v>
      </c>
      <c r="E104" s="33" t="n">
        <f aca="false">IF(D104="totale",(C104/(A104*24))/F104,IF(D104="marché libre",(C104/(A104*24))/G104,"spécifier histo"))</f>
        <v>0.12319309600863</v>
      </c>
      <c r="F104" s="57" t="n">
        <v>103</v>
      </c>
      <c r="G104" s="57" t="n">
        <f aca="false">F104-H104</f>
        <v>103</v>
      </c>
      <c r="H104" s="9" t="n">
        <f aca="false">0</f>
        <v>0</v>
      </c>
      <c r="I104" s="9"/>
      <c r="J104" s="205"/>
      <c r="K104" s="206"/>
    </row>
    <row r="105" customFormat="false" ht="22" hidden="false" customHeight="true" outlineLevel="0" collapsed="false">
      <c r="A105" s="0" t="n">
        <v>31</v>
      </c>
      <c r="B105" s="160" t="n">
        <v>39417</v>
      </c>
      <c r="C105" s="442" t="n">
        <v>21799</v>
      </c>
      <c r="D105" s="1" t="s">
        <v>42</v>
      </c>
      <c r="E105" s="33" t="n">
        <f aca="false">IF(D105="totale",(C105/(A105*24))/F105,IF(D105="marché libre",(C105/(A105*24))/G105,"spécifier histo"))</f>
        <v>0.284463409541706</v>
      </c>
      <c r="F105" s="57" t="n">
        <v>103</v>
      </c>
      <c r="G105" s="57" t="n">
        <f aca="false">F105-H105</f>
        <v>103</v>
      </c>
      <c r="H105" s="9" t="n">
        <f aca="false">0</f>
        <v>0</v>
      </c>
      <c r="I105" s="9"/>
      <c r="J105" s="205"/>
      <c r="K105" s="206"/>
    </row>
    <row r="106" customFormat="false" ht="22" hidden="false" customHeight="true" outlineLevel="0" collapsed="false">
      <c r="A106" s="0" t="n">
        <v>31</v>
      </c>
      <c r="B106" s="31" t="n">
        <v>39448</v>
      </c>
      <c r="C106" s="442" t="n">
        <v>41315</v>
      </c>
      <c r="D106" s="1" t="s">
        <v>42</v>
      </c>
      <c r="E106" s="33" t="n">
        <f aca="false">IF(D106="totale",(C106/(A106*24))/F106,IF(D106="marché libre",(C106/(A106*24))/G106,"spécifier histo"))</f>
        <v>0.539135087169851</v>
      </c>
      <c r="F106" s="57" t="n">
        <v>103</v>
      </c>
      <c r="G106" s="57" t="n">
        <f aca="false">F106-H106</f>
        <v>103</v>
      </c>
      <c r="H106" s="9" t="n">
        <f aca="false">0</f>
        <v>0</v>
      </c>
      <c r="I106" s="9"/>
      <c r="J106" s="205"/>
      <c r="K106" s="206"/>
    </row>
    <row r="107" customFormat="false" ht="22" hidden="false" customHeight="true" outlineLevel="0" collapsed="false">
      <c r="A107" s="0" t="n">
        <v>28</v>
      </c>
      <c r="B107" s="160" t="n">
        <v>39479</v>
      </c>
      <c r="C107" s="442" t="n">
        <v>26113</v>
      </c>
      <c r="D107" s="1" t="s">
        <v>42</v>
      </c>
      <c r="E107" s="33" t="n">
        <f aca="false">IF(D107="totale",(C107/(A107*24))/F107,IF(D107="marché libre",(C107/(A107*24))/G107,"spécifier histo"))</f>
        <v>0.377268261673601</v>
      </c>
      <c r="F107" s="57" t="n">
        <v>103</v>
      </c>
      <c r="G107" s="57" t="n">
        <f aca="false">F107-H107</f>
        <v>103</v>
      </c>
      <c r="H107" s="9" t="n">
        <f aca="false">0</f>
        <v>0</v>
      </c>
      <c r="I107" s="9"/>
      <c r="J107" s="205"/>
      <c r="K107" s="206"/>
    </row>
    <row r="108" customFormat="false" ht="22" hidden="false" customHeight="true" outlineLevel="0" collapsed="false">
      <c r="A108" s="0" t="n">
        <v>31</v>
      </c>
      <c r="B108" s="31" t="n">
        <v>39508</v>
      </c>
      <c r="C108" s="442" t="n">
        <v>34587</v>
      </c>
      <c r="D108" s="1" t="s">
        <v>42</v>
      </c>
      <c r="E108" s="33" t="n">
        <f aca="false">IF(D108="totale",(C108/(A108*24))/F108,IF(D108="marché libre",(C108/(A108*24))/G108,"spécifier histo"))</f>
        <v>0.451338866269966</v>
      </c>
      <c r="F108" s="57" t="n">
        <v>103</v>
      </c>
      <c r="G108" s="57" t="n">
        <f aca="false">F108-H108</f>
        <v>103</v>
      </c>
      <c r="H108" s="9" t="n">
        <f aca="false">0</f>
        <v>0</v>
      </c>
      <c r="I108" s="9"/>
      <c r="J108" s="205"/>
      <c r="K108" s="206"/>
    </row>
    <row r="109" customFormat="false" ht="22" hidden="false" customHeight="true" outlineLevel="0" collapsed="false">
      <c r="A109" s="0" t="n">
        <v>30</v>
      </c>
      <c r="B109" s="160" t="n">
        <v>39539</v>
      </c>
      <c r="C109" s="442" t="n">
        <v>60164</v>
      </c>
      <c r="D109" s="1" t="s">
        <v>42</v>
      </c>
      <c r="E109" s="33" t="n">
        <f aca="false">IF(D109="totale",(C109/(A109*24))/F109,IF(D109="marché libre",(C109/(A109*24))/G109,"spécifier histo"))</f>
        <v>0.811272923408846</v>
      </c>
      <c r="F109" s="57" t="n">
        <v>103</v>
      </c>
      <c r="G109" s="57" t="n">
        <f aca="false">F109-H109</f>
        <v>103</v>
      </c>
      <c r="H109" s="9" t="n">
        <f aca="false">0</f>
        <v>0</v>
      </c>
      <c r="I109" s="9"/>
      <c r="J109" s="205"/>
      <c r="K109" s="206"/>
    </row>
    <row r="110" customFormat="false" ht="22" hidden="false" customHeight="true" outlineLevel="0" collapsed="false">
      <c r="A110" s="0" t="n">
        <v>31</v>
      </c>
      <c r="B110" s="31" t="n">
        <v>39569</v>
      </c>
      <c r="C110" s="442" t="n">
        <v>53945</v>
      </c>
      <c r="D110" s="1" t="s">
        <v>42</v>
      </c>
      <c r="E110" s="33" t="n">
        <f aca="false">IF(D110="totale",(C110/(A110*24))/F110,IF(D110="marché libre",(C110/(A110*24))/G110,"spécifier histo"))</f>
        <v>0.703948742039879</v>
      </c>
      <c r="F110" s="57" t="n">
        <v>103</v>
      </c>
      <c r="G110" s="57" t="n">
        <f aca="false">F110-H110</f>
        <v>103</v>
      </c>
      <c r="H110" s="9" t="n">
        <f aca="false">0</f>
        <v>0</v>
      </c>
      <c r="I110" s="9"/>
      <c r="J110" s="205"/>
      <c r="K110" s="206"/>
    </row>
    <row r="111" customFormat="false" ht="22" hidden="false" customHeight="true" outlineLevel="0" collapsed="false">
      <c r="A111" s="0" t="n">
        <v>30</v>
      </c>
      <c r="B111" s="160" t="n">
        <v>39600</v>
      </c>
      <c r="C111" s="442" t="n">
        <v>54893</v>
      </c>
      <c r="D111" s="1" t="s">
        <v>42</v>
      </c>
      <c r="E111" s="33" t="n">
        <f aca="false">IF(D111="totale",(C111/(A111*24))/F111,IF(D111="marché libre",(C111/(A111*24))/G111,"spécifier histo"))</f>
        <v>0.74019687162891</v>
      </c>
      <c r="F111" s="57" t="n">
        <v>103</v>
      </c>
      <c r="G111" s="57" t="n">
        <f aca="false">F111-H111</f>
        <v>103</v>
      </c>
      <c r="H111" s="9" t="n">
        <f aca="false">0</f>
        <v>0</v>
      </c>
      <c r="I111" s="9"/>
      <c r="J111" s="205"/>
      <c r="K111" s="206"/>
    </row>
    <row r="112" customFormat="false" ht="22" hidden="false" customHeight="true" outlineLevel="0" collapsed="false">
      <c r="A112" s="0" t="n">
        <v>31</v>
      </c>
      <c r="B112" s="31" t="n">
        <v>39630</v>
      </c>
      <c r="C112" s="442" t="n">
        <v>55860</v>
      </c>
      <c r="D112" s="1" t="s">
        <v>42</v>
      </c>
      <c r="E112" s="33" t="n">
        <f aca="false">IF(D112="totale",(C112/(A112*24))/F112,IF(D112="marché libre",(C112/(A112*24))/G112,"spécifier histo"))</f>
        <v>0.728938302536799</v>
      </c>
      <c r="F112" s="57" t="n">
        <v>103</v>
      </c>
      <c r="G112" s="57" t="n">
        <f aca="false">F112-H112</f>
        <v>103</v>
      </c>
      <c r="H112" s="9" t="n">
        <f aca="false">0</f>
        <v>0</v>
      </c>
      <c r="I112" s="9"/>
      <c r="J112" s="205"/>
      <c r="K112" s="206"/>
    </row>
    <row r="113" customFormat="false" ht="22" hidden="false" customHeight="true" outlineLevel="0" collapsed="false">
      <c r="A113" s="0" t="n">
        <v>31</v>
      </c>
      <c r="B113" s="160" t="n">
        <v>39661</v>
      </c>
      <c r="C113" s="442" t="n">
        <v>46285</v>
      </c>
      <c r="D113" s="1" t="s">
        <v>42</v>
      </c>
      <c r="E113" s="33" t="n">
        <f aca="false">IF(D113="totale",(C113/(A113*24))/F113,IF(D113="marché libre",(C113/(A113*24))/G113,"spécifier histo"))</f>
        <v>0.603990500052198</v>
      </c>
      <c r="F113" s="57" t="n">
        <v>103</v>
      </c>
      <c r="G113" s="57" t="n">
        <f aca="false">F113-H113</f>
        <v>103</v>
      </c>
      <c r="H113" s="9" t="n">
        <f aca="false">0</f>
        <v>0</v>
      </c>
      <c r="I113" s="9"/>
      <c r="J113" s="205"/>
      <c r="K113" s="206"/>
    </row>
    <row r="114" customFormat="false" ht="22" hidden="false" customHeight="true" outlineLevel="0" collapsed="false">
      <c r="A114" s="0" t="n">
        <v>30</v>
      </c>
      <c r="B114" s="31" t="n">
        <v>39692</v>
      </c>
      <c r="C114" s="442" t="n">
        <v>32330</v>
      </c>
      <c r="D114" s="1" t="s">
        <v>42</v>
      </c>
      <c r="E114" s="33" t="n">
        <f aca="false">IF(D114="totale",(C114/(A114*24))/F114,IF(D114="marché libre",(C114/(A114*24))/G114,"spécifier histo"))</f>
        <v>0.435949298813376</v>
      </c>
      <c r="F114" s="57" t="n">
        <v>103</v>
      </c>
      <c r="G114" s="57" t="n">
        <f aca="false">F114-H114</f>
        <v>103</v>
      </c>
      <c r="H114" s="9" t="n">
        <f aca="false">0</f>
        <v>0</v>
      </c>
      <c r="I114" s="9"/>
      <c r="J114" s="205"/>
      <c r="K114" s="206"/>
    </row>
    <row r="115" customFormat="false" ht="22" hidden="false" customHeight="true" outlineLevel="0" collapsed="false">
      <c r="A115" s="0" t="n">
        <v>31</v>
      </c>
      <c r="B115" s="160" t="n">
        <v>39722</v>
      </c>
      <c r="C115" s="442" t="n">
        <v>11351</v>
      </c>
      <c r="D115" s="1" t="s">
        <v>42</v>
      </c>
      <c r="E115" s="33" t="n">
        <f aca="false">IF(D115="totale",(C115/(A115*24))/F115,IF(D115="marché libre",(C115/(A115*24))/G115,"spécifier histo"))</f>
        <v>0.148123499321432</v>
      </c>
      <c r="F115" s="57" t="n">
        <v>103</v>
      </c>
      <c r="G115" s="57" t="n">
        <f aca="false">F115-H115</f>
        <v>103</v>
      </c>
      <c r="H115" s="9" t="n">
        <f aca="false">0</f>
        <v>0</v>
      </c>
      <c r="I115" s="9"/>
      <c r="J115" s="205"/>
      <c r="K115" s="206"/>
    </row>
    <row r="116" customFormat="false" ht="22" hidden="false" customHeight="true" outlineLevel="0" collapsed="false">
      <c r="A116" s="0" t="n">
        <v>30</v>
      </c>
      <c r="B116" s="31" t="n">
        <v>39753</v>
      </c>
      <c r="C116" s="442" t="n">
        <v>47489</v>
      </c>
      <c r="D116" s="1" t="s">
        <v>42</v>
      </c>
      <c r="E116" s="33" t="n">
        <f aca="false">IF(D116="totale",(C116/(A116*24))/F116,IF(D116="marché libre",(C116/(A116*24))/G116,"spécifier histo"))</f>
        <v>0.640358683926645</v>
      </c>
      <c r="F116" s="57" t="n">
        <v>103</v>
      </c>
      <c r="G116" s="57" t="n">
        <f aca="false">F116-H116</f>
        <v>103</v>
      </c>
      <c r="H116" s="9" t="n">
        <f aca="false">0</f>
        <v>0</v>
      </c>
      <c r="I116" s="9"/>
      <c r="J116" s="205"/>
      <c r="K116" s="206"/>
    </row>
    <row r="117" customFormat="false" ht="22" hidden="false" customHeight="true" outlineLevel="0" collapsed="false">
      <c r="A117" s="0" t="n">
        <v>31</v>
      </c>
      <c r="B117" s="160" t="n">
        <v>39783</v>
      </c>
      <c r="C117" s="442" t="n">
        <v>54656</v>
      </c>
      <c r="D117" s="1" t="s">
        <v>42</v>
      </c>
      <c r="E117" s="33" t="n">
        <f aca="false">IF(D117="totale",(C117/(A117*24))/F117,IF(D117="marché libre",(C117/(A117*24))/G117,"spécifier histo"))</f>
        <v>0.713226850401921</v>
      </c>
      <c r="F117" s="57" t="n">
        <v>103</v>
      </c>
      <c r="G117" s="57" t="n">
        <f aca="false">F117-H117</f>
        <v>103</v>
      </c>
      <c r="H117" s="9" t="n">
        <f aca="false">0</f>
        <v>0</v>
      </c>
      <c r="I117" s="9"/>
      <c r="J117" s="205"/>
      <c r="K117" s="206"/>
    </row>
    <row r="118" customFormat="false" ht="22" hidden="false" customHeight="true" outlineLevel="0" collapsed="false">
      <c r="A118" s="0" t="n">
        <v>31</v>
      </c>
      <c r="B118" s="31" t="n">
        <v>39814</v>
      </c>
      <c r="C118" s="442" t="n">
        <v>37235</v>
      </c>
      <c r="D118" s="1" t="s">
        <v>42</v>
      </c>
      <c r="E118" s="33" t="n">
        <f aca="false">IF(D118="totale",(C118/(A118*24))/F118,IF(D118="marché libre",(C118/(A118*24))/G118,"spécifier histo"))</f>
        <v>0.485893621463618</v>
      </c>
      <c r="F118" s="57" t="n">
        <v>103</v>
      </c>
      <c r="G118" s="57" t="n">
        <f aca="false">F118-H118</f>
        <v>103</v>
      </c>
      <c r="H118" s="9" t="n">
        <f aca="false">0</f>
        <v>0</v>
      </c>
      <c r="I118" s="9"/>
      <c r="J118" s="205"/>
      <c r="K118" s="206"/>
    </row>
    <row r="119" customFormat="false" ht="22" hidden="false" customHeight="true" outlineLevel="0" collapsed="false">
      <c r="A119" s="0" t="n">
        <v>28</v>
      </c>
      <c r="B119" s="160" t="n">
        <v>39845</v>
      </c>
      <c r="C119" s="442" t="n">
        <v>48040</v>
      </c>
      <c r="D119" s="1" t="s">
        <v>42</v>
      </c>
      <c r="E119" s="33" t="n">
        <f aca="false">IF(D119="totale",(C119/(A119*24))/F119,IF(D119="marché libre",(C119/(A119*24))/G119,"spécifier histo"))</f>
        <v>0.694059177068886</v>
      </c>
      <c r="F119" s="57" t="n">
        <v>103</v>
      </c>
      <c r="G119" s="57" t="n">
        <f aca="false">F119-H119</f>
        <v>103</v>
      </c>
      <c r="H119" s="9" t="n">
        <f aca="false">0</f>
        <v>0</v>
      </c>
      <c r="I119" s="9"/>
      <c r="J119" s="205"/>
      <c r="K119" s="206"/>
    </row>
    <row r="120" customFormat="false" ht="22" hidden="false" customHeight="true" outlineLevel="0" collapsed="false">
      <c r="A120" s="0" t="n">
        <v>31</v>
      </c>
      <c r="B120" s="31" t="n">
        <v>39873</v>
      </c>
      <c r="C120" s="442" t="n">
        <v>28192</v>
      </c>
      <c r="D120" s="1" t="s">
        <v>42</v>
      </c>
      <c r="E120" s="33" t="n">
        <f aca="false">IF(D120="totale",(C120/(A120*24))/F120,IF(D120="marché libre",(C120/(A120*24))/G120,"spécifier histo"))</f>
        <v>0.367888088526986</v>
      </c>
      <c r="F120" s="57" t="n">
        <v>103</v>
      </c>
      <c r="G120" s="57" t="n">
        <f aca="false">F120-H120</f>
        <v>103</v>
      </c>
      <c r="H120" s="9" t="n">
        <f aca="false">0</f>
        <v>0</v>
      </c>
      <c r="I120" s="9"/>
      <c r="J120" s="205"/>
      <c r="K120" s="206"/>
    </row>
    <row r="121" customFormat="false" ht="22" hidden="false" customHeight="true" outlineLevel="0" collapsed="false">
      <c r="A121" s="0" t="n">
        <v>30</v>
      </c>
      <c r="B121" s="160" t="n">
        <v>39904</v>
      </c>
      <c r="C121" s="442" t="n">
        <v>49587</v>
      </c>
      <c r="D121" s="1" t="s">
        <v>42</v>
      </c>
      <c r="E121" s="33" t="n">
        <f aca="false">IF(D121="totale",(C121/(A121*24))/F121,IF(D121="marché libre",(C121/(A121*24))/G121,"spécifier histo"))</f>
        <v>0.668648867313916</v>
      </c>
      <c r="F121" s="57" t="n">
        <v>103</v>
      </c>
      <c r="G121" s="57" t="n">
        <f aca="false">F121-H121</f>
        <v>103</v>
      </c>
      <c r="H121" s="9" t="n">
        <f aca="false">0</f>
        <v>0</v>
      </c>
      <c r="I121" s="9"/>
      <c r="J121" s="205"/>
      <c r="K121" s="206"/>
    </row>
    <row r="122" customFormat="false" ht="22" hidden="false" customHeight="true" outlineLevel="0" collapsed="false">
      <c r="A122" s="0" t="n">
        <v>31</v>
      </c>
      <c r="B122" s="31" t="n">
        <v>39934</v>
      </c>
      <c r="C122" s="442" t="n">
        <v>51597</v>
      </c>
      <c r="D122" s="1" t="s">
        <v>42</v>
      </c>
      <c r="E122" s="33" t="n">
        <f aca="false">IF(D122="totale",(C122/(A122*24))/F122,IF(D122="marché libre",(C122/(A122*24))/G122,"spécifier histo"))</f>
        <v>0.673308800501096</v>
      </c>
      <c r="F122" s="57" t="n">
        <v>103</v>
      </c>
      <c r="G122" s="57" t="n">
        <f aca="false">F122-H122</f>
        <v>103</v>
      </c>
      <c r="H122" s="9" t="n">
        <f aca="false">0</f>
        <v>0</v>
      </c>
      <c r="I122" s="9"/>
      <c r="J122" s="205"/>
      <c r="K122" s="206"/>
    </row>
    <row r="123" customFormat="false" ht="22" hidden="false" customHeight="true" outlineLevel="0" collapsed="false">
      <c r="A123" s="0" t="n">
        <v>30</v>
      </c>
      <c r="B123" s="160" t="n">
        <v>39965</v>
      </c>
      <c r="C123" s="442" t="n">
        <v>50472</v>
      </c>
      <c r="D123" s="1" t="s">
        <v>42</v>
      </c>
      <c r="E123" s="33" t="n">
        <f aca="false">IF(D123="totale",(C123/(A123*24))/F123,IF(D123="marché libre",(C123/(A123*24))/G123,"spécifier histo"))</f>
        <v>0.680582524271845</v>
      </c>
      <c r="F123" s="57" t="n">
        <v>103</v>
      </c>
      <c r="G123" s="57" t="n">
        <f aca="false">F123-H123</f>
        <v>103</v>
      </c>
      <c r="H123" s="9" t="n">
        <f aca="false">0</f>
        <v>0</v>
      </c>
      <c r="I123" s="9"/>
      <c r="J123" s="205"/>
      <c r="K123" s="206"/>
    </row>
    <row r="124" customFormat="false" ht="22" hidden="false" customHeight="true" outlineLevel="0" collapsed="false">
      <c r="A124" s="0" t="n">
        <v>31</v>
      </c>
      <c r="B124" s="31" t="n">
        <v>39995</v>
      </c>
      <c r="C124" s="442" t="n">
        <v>49827</v>
      </c>
      <c r="D124" s="1" t="s">
        <v>42</v>
      </c>
      <c r="E124" s="33" t="n">
        <f aca="false">IF(D124="totale",(C124/(A124*24))/F124,IF(D124="marché libre",(C124/(A124*24))/G124,"spécifier histo"))</f>
        <v>0.650211399937363</v>
      </c>
      <c r="F124" s="57" t="n">
        <v>103</v>
      </c>
      <c r="G124" s="57" t="n">
        <f aca="false">F124-H124</f>
        <v>103</v>
      </c>
      <c r="H124" s="9" t="n">
        <f aca="false">0</f>
        <v>0</v>
      </c>
      <c r="I124" s="9"/>
      <c r="J124" s="205"/>
      <c r="K124" s="206"/>
    </row>
    <row r="125" customFormat="false" ht="22" hidden="false" customHeight="true" outlineLevel="0" collapsed="false">
      <c r="A125" s="0" t="n">
        <v>31</v>
      </c>
      <c r="B125" s="160" t="n">
        <v>40026</v>
      </c>
      <c r="C125" s="442" t="n">
        <v>41008</v>
      </c>
      <c r="D125" s="1" t="s">
        <v>42</v>
      </c>
      <c r="E125" s="33" t="n">
        <f aca="false">IF(D125="totale",(C125/(A125*24))/F125,IF(D125="marché libre",(C125/(A125*24))/G125,"spécifier histo"))</f>
        <v>0.535128927863034</v>
      </c>
      <c r="F125" s="57" t="n">
        <v>103</v>
      </c>
      <c r="G125" s="57" t="n">
        <f aca="false">F125-H125</f>
        <v>103</v>
      </c>
      <c r="H125" s="9" t="n">
        <f aca="false">0</f>
        <v>0</v>
      </c>
      <c r="I125" s="9"/>
      <c r="J125" s="205"/>
      <c r="K125" s="206"/>
    </row>
    <row r="126" customFormat="false" ht="22" hidden="false" customHeight="true" outlineLevel="0" collapsed="false">
      <c r="A126" s="0" t="n">
        <v>30</v>
      </c>
      <c r="B126" s="31" t="n">
        <v>40057</v>
      </c>
      <c r="C126" s="442" t="n">
        <v>21646</v>
      </c>
      <c r="D126" s="1" t="s">
        <v>42</v>
      </c>
      <c r="E126" s="33" t="n">
        <f aca="false">IF(D126="totale",(C126/(A126*24))/F126,IF(D126="marché libre",(C126/(A126*24))/G126,"spécifier histo"))</f>
        <v>0.29188241639698</v>
      </c>
      <c r="F126" s="57" t="n">
        <v>103</v>
      </c>
      <c r="G126" s="57" t="n">
        <f aca="false">F126-H126</f>
        <v>103</v>
      </c>
      <c r="H126" s="9" t="n">
        <f aca="false">0</f>
        <v>0</v>
      </c>
      <c r="I126" s="9"/>
      <c r="J126" s="205"/>
      <c r="K126" s="206"/>
    </row>
    <row r="127" customFormat="false" ht="22" hidden="false" customHeight="true" outlineLevel="0" collapsed="false">
      <c r="A127" s="0" t="n">
        <v>31</v>
      </c>
      <c r="B127" s="160" t="n">
        <v>40087</v>
      </c>
      <c r="C127" s="442" t="n">
        <v>17165</v>
      </c>
      <c r="D127" s="1" t="s">
        <v>42</v>
      </c>
      <c r="E127" s="33" t="n">
        <f aca="false">IF(D127="totale",(C127/(A127*24))/F127,IF(D127="marché libre",(C127/(A127*24))/G127,"spécifier histo"))</f>
        <v>0.223992587952813</v>
      </c>
      <c r="F127" s="57" t="n">
        <v>103</v>
      </c>
      <c r="G127" s="57" t="n">
        <f aca="false">F127-H127</f>
        <v>103</v>
      </c>
      <c r="H127" s="9" t="n">
        <f aca="false">0</f>
        <v>0</v>
      </c>
      <c r="I127" s="9"/>
      <c r="J127" s="205"/>
      <c r="K127" s="206"/>
    </row>
    <row r="128" customFormat="false" ht="22" hidden="false" customHeight="true" outlineLevel="0" collapsed="false">
      <c r="A128" s="0" t="n">
        <v>30</v>
      </c>
      <c r="B128" s="31" t="n">
        <v>40118</v>
      </c>
      <c r="C128" s="442" t="n">
        <v>39628</v>
      </c>
      <c r="D128" s="1" t="s">
        <v>42</v>
      </c>
      <c r="E128" s="33" t="n">
        <f aca="false">IF(D128="totale",(C128/(A128*24))/F128,IF(D128="marché libre",(C128/(A128*24))/G128,"spécifier histo"))</f>
        <v>0.534358144552319</v>
      </c>
      <c r="F128" s="57" t="n">
        <v>103</v>
      </c>
      <c r="G128" s="57" t="n">
        <f aca="false">F128-H128</f>
        <v>103</v>
      </c>
      <c r="H128" s="9" t="n">
        <f aca="false">0</f>
        <v>0</v>
      </c>
      <c r="I128" s="9"/>
      <c r="J128" s="205"/>
      <c r="K128" s="206"/>
    </row>
    <row r="129" customFormat="false" ht="22" hidden="false" customHeight="true" outlineLevel="0" collapsed="false">
      <c r="A129" s="0" t="n">
        <v>31</v>
      </c>
      <c r="B129" s="160" t="n">
        <v>40148</v>
      </c>
      <c r="C129" s="442" t="n">
        <v>45685</v>
      </c>
      <c r="D129" s="1" t="s">
        <v>42</v>
      </c>
      <c r="E129" s="33" t="n">
        <f aca="false">IF(D129="totale",(C129/(A129*24))/F129,IF(D129="marché libre",(C129/(A129*24))/G129,"spécifier histo"))</f>
        <v>0.596160872742457</v>
      </c>
      <c r="F129" s="57" t="n">
        <v>103</v>
      </c>
      <c r="G129" s="57" t="n">
        <f aca="false">F129-H129</f>
        <v>103</v>
      </c>
      <c r="H129" s="9" t="n">
        <f aca="false">0</f>
        <v>0</v>
      </c>
      <c r="I129" s="9"/>
      <c r="J129" s="205"/>
      <c r="K129" s="206"/>
    </row>
    <row r="130" customFormat="false" ht="22" hidden="false" customHeight="true" outlineLevel="0" collapsed="false">
      <c r="A130" s="0" t="n">
        <v>31</v>
      </c>
      <c r="B130" s="31" t="n">
        <v>40179</v>
      </c>
      <c r="C130" s="442" t="n">
        <v>53585</v>
      </c>
      <c r="D130" s="1" t="s">
        <v>42</v>
      </c>
      <c r="E130" s="33" t="n">
        <f aca="false">IF(D130="totale",(C130/(A130*24))/F130,IF(D130="marché libre",(C130/(A130*24))/G130,"spécifier histo"))</f>
        <v>0.699250965654035</v>
      </c>
      <c r="F130" s="57" t="n">
        <v>103</v>
      </c>
      <c r="G130" s="57" t="n">
        <f aca="false">F130-H130</f>
        <v>103</v>
      </c>
      <c r="H130" s="9" t="n">
        <f aca="false">0</f>
        <v>0</v>
      </c>
      <c r="I130" s="9"/>
      <c r="J130" s="205"/>
      <c r="K130" s="206"/>
    </row>
    <row r="131" customFormat="false" ht="22" hidden="false" customHeight="true" outlineLevel="0" collapsed="false">
      <c r="A131" s="0" t="n">
        <v>28</v>
      </c>
      <c r="B131" s="160" t="n">
        <v>40210</v>
      </c>
      <c r="C131" s="442" t="n">
        <v>46427</v>
      </c>
      <c r="D131" s="1" t="s">
        <v>42</v>
      </c>
      <c r="E131" s="33" t="n">
        <f aca="false">IF(D131="totale",(C131/(A131*24))/F131,IF(D131="marché libre",(C131/(A131*24))/G131,"spécifier histo"))</f>
        <v>0.670755316689783</v>
      </c>
      <c r="F131" s="57" t="n">
        <v>103</v>
      </c>
      <c r="G131" s="57" t="n">
        <f aca="false">F131-H131</f>
        <v>103</v>
      </c>
      <c r="H131" s="9" t="n">
        <f aca="false">0</f>
        <v>0</v>
      </c>
      <c r="I131" s="9"/>
      <c r="J131" s="205"/>
      <c r="K131" s="206"/>
    </row>
    <row r="132" customFormat="false" ht="22" hidden="false" customHeight="true" outlineLevel="0" collapsed="false">
      <c r="A132" s="0" t="n">
        <v>31</v>
      </c>
      <c r="B132" s="31" t="n">
        <v>40238</v>
      </c>
      <c r="C132" s="442" t="n">
        <v>39044</v>
      </c>
      <c r="D132" s="1" t="s">
        <v>42</v>
      </c>
      <c r="E132" s="33" t="n">
        <f aca="false">IF(D132="totale",(C132/(A132*24))/F132,IF(D132="marché libre",(C132/(A132*24))/G132,"spécifier histo"))</f>
        <v>0.509499947802485</v>
      </c>
      <c r="F132" s="57" t="n">
        <v>103</v>
      </c>
      <c r="G132" s="57" t="n">
        <f aca="false">F132-H132</f>
        <v>103</v>
      </c>
      <c r="H132" s="9" t="n">
        <f aca="false">0</f>
        <v>0</v>
      </c>
      <c r="I132" s="9"/>
      <c r="J132" s="205"/>
      <c r="K132" s="206"/>
    </row>
    <row r="133" customFormat="false" ht="22" hidden="false" customHeight="true" outlineLevel="0" collapsed="false">
      <c r="A133" s="0" t="n">
        <v>30</v>
      </c>
      <c r="B133" s="160" t="n">
        <v>40269</v>
      </c>
      <c r="C133" s="442" t="n">
        <v>46609</v>
      </c>
      <c r="D133" s="1" t="s">
        <v>42</v>
      </c>
      <c r="E133" s="33" t="n">
        <f aca="false">IF(D133="totale",(C133/(A133*24))/F133,IF(D133="marché libre",(C133/(A133*24))/G133,"spécifier histo"))</f>
        <v>0.628492448759439</v>
      </c>
      <c r="F133" s="57" t="n">
        <v>103</v>
      </c>
      <c r="G133" s="57" t="n">
        <f aca="false">F133-H133</f>
        <v>103</v>
      </c>
      <c r="H133" s="9" t="n">
        <f aca="false">0</f>
        <v>0</v>
      </c>
      <c r="I133" s="9"/>
      <c r="J133" s="205"/>
      <c r="K133" s="206"/>
    </row>
    <row r="134" customFormat="false" ht="22" hidden="false" customHeight="true" outlineLevel="0" collapsed="false">
      <c r="A134" s="0" t="n">
        <v>31</v>
      </c>
      <c r="B134" s="31" t="n">
        <v>40299</v>
      </c>
      <c r="C134" s="442" t="n">
        <v>50809</v>
      </c>
      <c r="D134" s="1" t="s">
        <v>42</v>
      </c>
      <c r="E134" s="33" t="n">
        <f aca="false">IF(D134="totale",(C134/(A134*24))/F134,IF(D134="marché libre",(C134/(A134*24))/G134,"spécifier histo"))</f>
        <v>0.663025889967638</v>
      </c>
      <c r="F134" s="57" t="n">
        <v>103</v>
      </c>
      <c r="G134" s="57" t="n">
        <f aca="false">F134-H134</f>
        <v>103</v>
      </c>
      <c r="H134" s="9" t="n">
        <f aca="false">0</f>
        <v>0</v>
      </c>
      <c r="I134" s="9"/>
      <c r="J134" s="205"/>
      <c r="K134" s="206"/>
    </row>
    <row r="135" customFormat="false" ht="22" hidden="false" customHeight="true" outlineLevel="0" collapsed="false">
      <c r="A135" s="0" t="n">
        <v>30</v>
      </c>
      <c r="B135" s="160" t="n">
        <v>40330</v>
      </c>
      <c r="C135" s="442" t="n">
        <v>58362</v>
      </c>
      <c r="D135" s="1" t="s">
        <v>42</v>
      </c>
      <c r="E135" s="33" t="n">
        <f aca="false">IF(D135="totale",(C135/(A135*24))/F135,IF(D135="marché libre",(C135/(A135*24))/G135,"spécifier histo"))</f>
        <v>0.786974110032362</v>
      </c>
      <c r="F135" s="57" t="n">
        <v>103</v>
      </c>
      <c r="G135" s="57" t="n">
        <f aca="false">F135-H135</f>
        <v>103</v>
      </c>
      <c r="H135" s="9" t="n">
        <f aca="false">0</f>
        <v>0</v>
      </c>
      <c r="I135" s="9"/>
      <c r="J135" s="205"/>
      <c r="K135" s="206"/>
    </row>
    <row r="136" customFormat="false" ht="22" hidden="false" customHeight="true" outlineLevel="0" collapsed="false">
      <c r="A136" s="0" t="n">
        <v>31</v>
      </c>
      <c r="B136" s="31" t="n">
        <v>40360</v>
      </c>
      <c r="C136" s="442" t="n">
        <v>54897</v>
      </c>
      <c r="D136" s="1" t="s">
        <v>42</v>
      </c>
      <c r="E136" s="33" t="n">
        <f aca="false">IF(D136="totale",(C136/(A136*24))/F136,IF(D136="marché libre",(C136/(A136*24))/G136,"spécifier histo"))</f>
        <v>0.716371750704666</v>
      </c>
      <c r="F136" s="57" t="n">
        <v>103</v>
      </c>
      <c r="G136" s="57" t="n">
        <f aca="false">F136-H136</f>
        <v>103</v>
      </c>
      <c r="H136" s="9" t="n">
        <f aca="false">0</f>
        <v>0</v>
      </c>
      <c r="I136" s="9"/>
      <c r="J136" s="205"/>
      <c r="K136" s="206"/>
    </row>
    <row r="137" customFormat="false" ht="22" hidden="false" customHeight="true" outlineLevel="0" collapsed="false">
      <c r="A137" s="0" t="n">
        <v>31</v>
      </c>
      <c r="B137" s="160" t="n">
        <v>40391</v>
      </c>
      <c r="C137" s="442" t="n">
        <v>45359</v>
      </c>
      <c r="D137" s="1" t="s">
        <v>42</v>
      </c>
      <c r="E137" s="33" t="n">
        <f aca="false">IF(D137="totale",(C137/(A137*24))/F137,IF(D137="marché libre",(C137/(A137*24))/G137,"spécifier histo"))</f>
        <v>0.591906775237499</v>
      </c>
      <c r="F137" s="57" t="n">
        <v>103</v>
      </c>
      <c r="G137" s="57" t="n">
        <f aca="false">F137-H137</f>
        <v>103</v>
      </c>
      <c r="H137" s="9" t="n">
        <f aca="false">0</f>
        <v>0</v>
      </c>
      <c r="I137" s="9"/>
      <c r="J137" s="205"/>
      <c r="K137" s="206"/>
    </row>
    <row r="138" customFormat="false" ht="22" hidden="false" customHeight="true" outlineLevel="0" collapsed="false">
      <c r="A138" s="0" t="n">
        <v>30</v>
      </c>
      <c r="B138" s="31" t="n">
        <v>40422</v>
      </c>
      <c r="C138" s="442" t="n">
        <v>27478</v>
      </c>
      <c r="D138" s="1" t="s">
        <v>42</v>
      </c>
      <c r="E138" s="33" t="n">
        <f aca="false">IF(D138="totale",(C138/(A138*24))/F138,IF(D138="marché libre",(C138/(A138*24))/G138,"spécifier histo"))</f>
        <v>0.370523193096009</v>
      </c>
      <c r="F138" s="57" t="n">
        <v>103</v>
      </c>
      <c r="G138" s="57" t="n">
        <f aca="false">F138-H138</f>
        <v>103</v>
      </c>
      <c r="H138" s="9" t="n">
        <f aca="false">0</f>
        <v>0</v>
      </c>
      <c r="I138" s="9"/>
      <c r="J138" s="205"/>
      <c r="K138" s="206"/>
    </row>
    <row r="139" customFormat="false" ht="22" hidden="false" customHeight="true" outlineLevel="0" collapsed="false">
      <c r="A139" s="0" t="n">
        <v>31</v>
      </c>
      <c r="B139" s="160" t="n">
        <v>40452</v>
      </c>
      <c r="C139" s="442" t="n">
        <v>28369</v>
      </c>
      <c r="D139" s="1" t="s">
        <v>42</v>
      </c>
      <c r="E139" s="33" t="n">
        <f aca="false">IF(D139="totale",(C139/(A139*24))/F139,IF(D139="marché libre",(C139/(A139*24))/G139,"spécifier histo"))</f>
        <v>0.370197828583359</v>
      </c>
      <c r="F139" s="57" t="n">
        <v>103</v>
      </c>
      <c r="G139" s="57" t="n">
        <f aca="false">F139-H139</f>
        <v>103</v>
      </c>
      <c r="H139" s="9" t="n">
        <f aca="false">0</f>
        <v>0</v>
      </c>
      <c r="I139" s="9"/>
      <c r="J139" s="205"/>
      <c r="K139" s="206"/>
    </row>
    <row r="140" customFormat="false" ht="22" hidden="false" customHeight="true" outlineLevel="0" collapsed="false">
      <c r="A140" s="0" t="n">
        <v>30</v>
      </c>
      <c r="B140" s="31" t="n">
        <v>40483</v>
      </c>
      <c r="C140" s="442" t="n">
        <v>44536</v>
      </c>
      <c r="D140" s="1" t="s">
        <v>42</v>
      </c>
      <c r="E140" s="33" t="n">
        <f aca="false">IF(D140="totale",(C140/(A140*24))/F140,IF(D140="marché libre",(C140/(A140*24))/G140,"spécifier histo"))</f>
        <v>0.600539374325782</v>
      </c>
      <c r="F140" s="57" t="n">
        <v>103</v>
      </c>
      <c r="G140" s="57" t="n">
        <f aca="false">F140-H140</f>
        <v>103</v>
      </c>
      <c r="H140" s="9" t="n">
        <f aca="false">0</f>
        <v>0</v>
      </c>
      <c r="I140" s="9"/>
      <c r="J140" s="205"/>
      <c r="K140" s="206"/>
    </row>
    <row r="141" customFormat="false" ht="22" hidden="false" customHeight="true" outlineLevel="0" collapsed="false">
      <c r="A141" s="0" t="n">
        <v>31</v>
      </c>
      <c r="B141" s="160" t="n">
        <v>40513</v>
      </c>
      <c r="C141" s="442" t="n">
        <v>51304</v>
      </c>
      <c r="D141" s="1" t="s">
        <v>42</v>
      </c>
      <c r="E141" s="33" t="n">
        <f aca="false">IF(D141="totale",(C141/(A141*24))/F141,IF(D141="marché libre",(C141/(A141*24))/G141,"spécifier histo"))</f>
        <v>0.669485332498173</v>
      </c>
      <c r="F141" s="57" t="n">
        <v>103</v>
      </c>
      <c r="G141" s="57" t="n">
        <f aca="false">F141-H141</f>
        <v>103</v>
      </c>
      <c r="H141" s="9" t="n">
        <f aca="false">0</f>
        <v>0</v>
      </c>
      <c r="I141" s="9"/>
      <c r="J141" s="205"/>
      <c r="K141" s="206"/>
    </row>
    <row r="142" customFormat="false" ht="22" hidden="false" customHeight="true" outlineLevel="0" collapsed="false">
      <c r="A142" s="0" t="n">
        <v>31</v>
      </c>
      <c r="B142" s="31" t="n">
        <v>40544</v>
      </c>
      <c r="C142" s="442" t="n">
        <v>36400</v>
      </c>
      <c r="D142" s="1" t="s">
        <v>42</v>
      </c>
      <c r="E142" s="33" t="n">
        <f aca="false">IF(D142="totale",(C142/(A142*24))/F142,IF(D142="marché libre",(C142/(A142*24))/G142,"spécifier histo"))</f>
        <v>0.47499739012423</v>
      </c>
      <c r="F142" s="57" t="n">
        <v>103</v>
      </c>
      <c r="G142" s="57" t="n">
        <f aca="false">F142-H142</f>
        <v>103</v>
      </c>
      <c r="H142" s="9" t="n">
        <f aca="false">0</f>
        <v>0</v>
      </c>
      <c r="I142" s="9"/>
      <c r="J142" s="205"/>
      <c r="K142" s="206"/>
    </row>
    <row r="143" customFormat="false" ht="22" hidden="false" customHeight="true" outlineLevel="0" collapsed="false">
      <c r="A143" s="0" t="n">
        <v>28</v>
      </c>
      <c r="B143" s="160" t="n">
        <v>40575</v>
      </c>
      <c r="C143" s="442" t="n">
        <v>31632</v>
      </c>
      <c r="D143" s="1" t="s">
        <v>42</v>
      </c>
      <c r="E143" s="33" t="n">
        <f aca="false">IF(D143="totale",(C143/(A143*24))/F143,IF(D143="marché libre",(C143/(A143*24))/G143,"spécifier histo"))</f>
        <v>0.457004160887656</v>
      </c>
      <c r="F143" s="57" t="n">
        <v>103</v>
      </c>
      <c r="G143" s="57" t="n">
        <f aca="false">F143-H143</f>
        <v>103</v>
      </c>
      <c r="H143" s="9" t="n">
        <f aca="false">0</f>
        <v>0</v>
      </c>
      <c r="I143" s="9"/>
      <c r="J143" s="205"/>
      <c r="K143" s="206"/>
    </row>
    <row r="144" customFormat="false" ht="22" hidden="false" customHeight="true" outlineLevel="0" collapsed="false">
      <c r="A144" s="0" t="n">
        <v>31</v>
      </c>
      <c r="B144" s="31" t="n">
        <v>40603</v>
      </c>
      <c r="C144" s="442" t="n">
        <v>42598</v>
      </c>
      <c r="D144" s="1" t="s">
        <v>42</v>
      </c>
      <c r="E144" s="33" t="n">
        <f aca="false">IF(D144="totale",(C144/(A144*24))/F144,IF(D144="marché libre",(C144/(A144*24))/G144,"spécifier histo"))</f>
        <v>0.555877440233845</v>
      </c>
      <c r="F144" s="57" t="n">
        <v>103</v>
      </c>
      <c r="G144" s="57" t="n">
        <f aca="false">F144-H144</f>
        <v>103</v>
      </c>
      <c r="H144" s="9" t="n">
        <f aca="false">0</f>
        <v>0</v>
      </c>
      <c r="I144" s="9"/>
      <c r="J144" s="205"/>
      <c r="K144" s="206"/>
    </row>
    <row r="145" customFormat="false" ht="22" hidden="false" customHeight="true" outlineLevel="0" collapsed="false">
      <c r="A145" s="0" t="n">
        <v>30</v>
      </c>
      <c r="B145" s="160" t="n">
        <v>40634</v>
      </c>
      <c r="C145" s="442" t="n">
        <v>17455</v>
      </c>
      <c r="D145" s="1" t="s">
        <v>42</v>
      </c>
      <c r="E145" s="33" t="n">
        <f aca="false">IF(D145="totale",(C145/(A145*24))/F145,IF(D145="marché libre",(C145/(A145*24))/G145,"spécifier histo"))</f>
        <v>0.235369471413161</v>
      </c>
      <c r="F145" s="57" t="n">
        <v>103</v>
      </c>
      <c r="G145" s="57" t="n">
        <f aca="false">F145-H145</f>
        <v>103</v>
      </c>
      <c r="H145" s="9" t="n">
        <f aca="false">0</f>
        <v>0</v>
      </c>
      <c r="I145" s="9"/>
      <c r="J145" s="205"/>
      <c r="K145" s="206"/>
    </row>
    <row r="146" customFormat="false" ht="22" hidden="false" customHeight="true" outlineLevel="0" collapsed="false">
      <c r="A146" s="0" t="n">
        <v>31</v>
      </c>
      <c r="B146" s="31" t="n">
        <v>40664</v>
      </c>
      <c r="C146" s="442" t="n">
        <v>55712</v>
      </c>
      <c r="D146" s="1" t="s">
        <v>42</v>
      </c>
      <c r="E146" s="33" t="n">
        <f aca="false">IF(D146="totale",(C146/(A146*24))/F146,IF(D146="marché libre",(C146/(A146*24))/G146,"spécifier histo"))</f>
        <v>0.727006994467063</v>
      </c>
      <c r="F146" s="57" t="n">
        <v>103</v>
      </c>
      <c r="G146" s="57" t="n">
        <f aca="false">F146-H146</f>
        <v>103</v>
      </c>
      <c r="H146" s="9" t="n">
        <f aca="false">0</f>
        <v>0</v>
      </c>
      <c r="I146" s="9"/>
      <c r="J146" s="205"/>
      <c r="K146" s="206"/>
    </row>
    <row r="147" customFormat="false" ht="22" hidden="false" customHeight="true" outlineLevel="0" collapsed="false">
      <c r="A147" s="0" t="n">
        <v>30</v>
      </c>
      <c r="B147" s="160" t="n">
        <v>40695</v>
      </c>
      <c r="C147" s="442" t="n">
        <v>54784</v>
      </c>
      <c r="D147" s="1" t="s">
        <v>42</v>
      </c>
      <c r="E147" s="33" t="n">
        <f aca="false">IF(D147="totale",(C147/(A147*24))/F147,IF(D147="marché libre",(C147/(A147*24))/G147,"spécifier histo"))</f>
        <v>0.738727076591154</v>
      </c>
      <c r="F147" s="57" t="n">
        <v>103</v>
      </c>
      <c r="G147" s="57" t="n">
        <f aca="false">F147-H147</f>
        <v>103</v>
      </c>
      <c r="H147" s="9" t="n">
        <f aca="false">0</f>
        <v>0</v>
      </c>
      <c r="I147" s="9"/>
      <c r="J147" s="205"/>
      <c r="K147" s="206"/>
    </row>
    <row r="148" customFormat="false" ht="22" hidden="false" customHeight="true" outlineLevel="0" collapsed="false">
      <c r="A148" s="0" t="n">
        <v>31</v>
      </c>
      <c r="B148" s="31" t="n">
        <v>40725</v>
      </c>
      <c r="C148" s="442" t="n">
        <v>54081</v>
      </c>
      <c r="D148" s="1" t="s">
        <v>42</v>
      </c>
      <c r="E148" s="33" t="n">
        <f aca="false">IF(D148="totale",(C148/(A148*24))/F148,IF(D148="marché libre",(C148/(A148*24))/G148,"spécifier histo"))</f>
        <v>0.70572345756342</v>
      </c>
      <c r="F148" s="57" t="n">
        <v>103</v>
      </c>
      <c r="G148" s="57" t="n">
        <f aca="false">F148-H148</f>
        <v>103</v>
      </c>
      <c r="H148" s="9" t="n">
        <f aca="false">0</f>
        <v>0</v>
      </c>
      <c r="I148" s="9"/>
      <c r="J148" s="205"/>
      <c r="K148" s="206"/>
    </row>
    <row r="149" customFormat="false" ht="22" hidden="false" customHeight="true" outlineLevel="0" collapsed="false">
      <c r="A149" s="0" t="n">
        <v>31</v>
      </c>
      <c r="B149" s="160" t="n">
        <v>40756</v>
      </c>
      <c r="C149" s="442" t="n">
        <v>44716</v>
      </c>
      <c r="D149" s="1" t="s">
        <v>42</v>
      </c>
      <c r="E149" s="33" t="n">
        <f aca="false">IF(D149="totale",(C149/(A149*24))/F149,IF(D149="marché libre",(C149/(A149*24))/G149,"spécifier histo"))</f>
        <v>0.583516024637227</v>
      </c>
      <c r="F149" s="57" t="n">
        <v>103</v>
      </c>
      <c r="G149" s="57" t="n">
        <f aca="false">F149-H149</f>
        <v>103</v>
      </c>
      <c r="H149" s="9" t="n">
        <f aca="false">0</f>
        <v>0</v>
      </c>
      <c r="I149" s="9"/>
      <c r="J149" s="205"/>
      <c r="K149" s="206"/>
    </row>
    <row r="150" customFormat="false" ht="22" hidden="false" customHeight="true" outlineLevel="0" collapsed="false">
      <c r="A150" s="0" t="n">
        <v>30</v>
      </c>
      <c r="B150" s="31" t="n">
        <v>40787</v>
      </c>
      <c r="C150" s="442" t="n">
        <v>28300</v>
      </c>
      <c r="D150" s="1" t="s">
        <v>42</v>
      </c>
      <c r="E150" s="33" t="n">
        <f aca="false">IF(D150="totale",(C150/(A150*24))/F150,IF(D150="marché libre",(C150/(A150*24))/G150,"spécifier histo"))</f>
        <v>0.381607335490831</v>
      </c>
      <c r="F150" s="57" t="n">
        <v>103</v>
      </c>
      <c r="G150" s="57" t="n">
        <f aca="false">F150-H150</f>
        <v>103</v>
      </c>
      <c r="H150" s="9" t="n">
        <f aca="false">0</f>
        <v>0</v>
      </c>
      <c r="I150" s="9"/>
      <c r="J150" s="205"/>
      <c r="K150" s="206"/>
    </row>
    <row r="151" customFormat="false" ht="22" hidden="false" customHeight="true" outlineLevel="0" collapsed="false">
      <c r="A151" s="0" t="n">
        <v>31</v>
      </c>
      <c r="B151" s="160" t="n">
        <v>40817</v>
      </c>
      <c r="C151" s="442" t="n">
        <v>12629</v>
      </c>
      <c r="D151" s="1" t="s">
        <v>42</v>
      </c>
      <c r="E151" s="33" t="n">
        <f aca="false">IF(D151="totale",(C151/(A151*24))/F151,IF(D151="marché libre",(C151/(A151*24))/G151,"spécifier histo"))</f>
        <v>0.164800605491179</v>
      </c>
      <c r="F151" s="57" t="n">
        <v>103</v>
      </c>
      <c r="G151" s="57" t="n">
        <f aca="false">F151-H151</f>
        <v>103</v>
      </c>
      <c r="H151" s="9" t="n">
        <f aca="false">0</f>
        <v>0</v>
      </c>
      <c r="I151" s="9"/>
      <c r="J151" s="205"/>
      <c r="K151" s="206"/>
    </row>
    <row r="152" customFormat="false" ht="22" hidden="false" customHeight="true" outlineLevel="0" collapsed="false">
      <c r="A152" s="0" t="n">
        <v>30</v>
      </c>
      <c r="B152" s="31" t="n">
        <v>40848</v>
      </c>
      <c r="C152" s="442" t="n">
        <v>27866</v>
      </c>
      <c r="D152" s="1" t="s">
        <v>42</v>
      </c>
      <c r="E152" s="33" t="n">
        <f aca="false">IF(D152="totale",(C152/(A152*24))/F152,IF(D152="marché libre",(C152/(A152*24))/G152,"spécifier histo"))</f>
        <v>0.375755124056095</v>
      </c>
      <c r="F152" s="57" t="n">
        <v>103</v>
      </c>
      <c r="G152" s="57" t="n">
        <f aca="false">F152-H152</f>
        <v>103</v>
      </c>
      <c r="H152" s="9" t="n">
        <f aca="false">0</f>
        <v>0</v>
      </c>
      <c r="I152" s="9"/>
      <c r="J152" s="205"/>
      <c r="K152" s="206"/>
    </row>
    <row r="153" customFormat="false" ht="22" hidden="false" customHeight="true" outlineLevel="0" collapsed="false">
      <c r="A153" s="0" t="n">
        <v>31</v>
      </c>
      <c r="B153" s="160" t="n">
        <v>40878</v>
      </c>
      <c r="C153" s="442" t="n">
        <v>33159</v>
      </c>
      <c r="D153" s="1" t="s">
        <v>42</v>
      </c>
      <c r="E153" s="33" t="n">
        <f aca="false">IF(D153="totale",(C153/(A153*24))/F153,IF(D153="marché libre",(C153/(A153*24))/G153,"spécifier histo"))</f>
        <v>0.432704353272784</v>
      </c>
      <c r="F153" s="57" t="n">
        <v>103</v>
      </c>
      <c r="G153" s="57" t="n">
        <f aca="false">F153-H153</f>
        <v>103</v>
      </c>
      <c r="H153" s="9" t="n">
        <f aca="false">0</f>
        <v>0</v>
      </c>
      <c r="I153" s="9"/>
      <c r="J153" s="205"/>
      <c r="K153" s="206"/>
    </row>
    <row r="154" customFormat="false" ht="22" hidden="false" customHeight="true" outlineLevel="0" collapsed="false">
      <c r="A154" s="0" t="n">
        <v>31</v>
      </c>
      <c r="B154" s="31" t="n">
        <v>40909</v>
      </c>
      <c r="C154" s="292" t="n">
        <v>38957</v>
      </c>
      <c r="D154" s="1" t="s">
        <v>42</v>
      </c>
      <c r="E154" s="33" t="n">
        <f aca="false">IF(D154="totale",(C154/(A154*24))/F154,IF(D154="marché libre",(C154/(A154*24))/G154,"spécifier histo"))</f>
        <v>0.508364651842572</v>
      </c>
      <c r="F154" s="57" t="n">
        <v>103</v>
      </c>
      <c r="G154" s="57" t="n">
        <f aca="false">F154-H154</f>
        <v>103</v>
      </c>
      <c r="H154" s="9" t="n">
        <f aca="false">0</f>
        <v>0</v>
      </c>
      <c r="I154" s="9"/>
      <c r="J154" s="205"/>
      <c r="K154" s="443" t="s">
        <v>814</v>
      </c>
    </row>
    <row r="155" customFormat="false" ht="22" hidden="false" customHeight="true" outlineLevel="0" collapsed="false">
      <c r="A155" s="0" t="n">
        <v>28</v>
      </c>
      <c r="B155" s="160" t="n">
        <v>40940</v>
      </c>
      <c r="C155" s="292" t="n">
        <v>33097</v>
      </c>
      <c r="D155" s="1" t="s">
        <v>42</v>
      </c>
      <c r="E155" s="33" t="n">
        <f aca="false">IF(D155="totale",(C155/(A155*24))/F155,IF(D155="marché libre",(C155/(A155*24))/G155,"spécifier histo"))</f>
        <v>0.478169787332409</v>
      </c>
      <c r="F155" s="57" t="n">
        <v>103</v>
      </c>
      <c r="G155" s="57" t="n">
        <f aca="false">F155-H155</f>
        <v>103</v>
      </c>
      <c r="H155" s="9" t="n">
        <f aca="false">0</f>
        <v>0</v>
      </c>
      <c r="I155" s="9"/>
      <c r="J155" s="205"/>
      <c r="K155" s="206"/>
    </row>
    <row r="156" customFormat="false" ht="22" hidden="false" customHeight="true" outlineLevel="0" collapsed="false">
      <c r="A156" s="0" t="n">
        <v>31</v>
      </c>
      <c r="B156" s="31" t="n">
        <v>40969</v>
      </c>
      <c r="C156" s="292" t="n">
        <v>32635</v>
      </c>
      <c r="D156" s="1" t="s">
        <v>42</v>
      </c>
      <c r="E156" s="33" t="n">
        <f aca="false">IF(D156="totale",(C156/(A156*24))/F156,IF(D156="marché libre",(C156/(A156*24))/G156,"spécifier histo"))</f>
        <v>0.425866478755611</v>
      </c>
      <c r="F156" s="57" t="n">
        <v>103</v>
      </c>
      <c r="G156" s="57" t="n">
        <f aca="false">F156-H156</f>
        <v>103</v>
      </c>
      <c r="H156" s="9" t="n">
        <f aca="false">0</f>
        <v>0</v>
      </c>
      <c r="I156" s="9"/>
      <c r="J156" s="205"/>
      <c r="K156" s="206"/>
    </row>
    <row r="157" customFormat="false" ht="22" hidden="false" customHeight="true" outlineLevel="0" collapsed="false">
      <c r="A157" s="0" t="n">
        <v>30</v>
      </c>
      <c r="B157" s="160" t="n">
        <v>41000</v>
      </c>
      <c r="C157" s="292" t="n">
        <v>41702</v>
      </c>
      <c r="D157" s="1" t="s">
        <v>42</v>
      </c>
      <c r="E157" s="33" t="n">
        <f aca="false">IF(D157="totale",(C157/(A157*24))/F157,IF(D157="marché libre",(C157/(A157*24))/G157,"spécifier histo"))</f>
        <v>0.562324703344121</v>
      </c>
      <c r="F157" s="57" t="n">
        <v>103</v>
      </c>
      <c r="G157" s="57" t="n">
        <f aca="false">F157-H157</f>
        <v>103</v>
      </c>
      <c r="H157" s="9" t="n">
        <f aca="false">0</f>
        <v>0</v>
      </c>
      <c r="I157" s="9"/>
      <c r="J157" s="205"/>
      <c r="K157" s="206"/>
    </row>
    <row r="158" customFormat="false" ht="22" hidden="false" customHeight="true" outlineLevel="0" collapsed="false">
      <c r="A158" s="0" t="n">
        <v>31</v>
      </c>
      <c r="B158" s="31" t="n">
        <v>41030</v>
      </c>
      <c r="C158" s="292" t="n">
        <v>51532</v>
      </c>
      <c r="D158" s="1" t="s">
        <v>42</v>
      </c>
      <c r="E158" s="33" t="n">
        <f aca="false">IF(D158="totale",(C158/(A158*24))/F158,IF(D158="marché libre",(C158/(A158*24))/G158,"spécifier histo"))</f>
        <v>0.672460590875874</v>
      </c>
      <c r="F158" s="57" t="n">
        <v>103</v>
      </c>
      <c r="G158" s="57" t="n">
        <f aca="false">F158-H158</f>
        <v>103</v>
      </c>
      <c r="H158" s="9" t="n">
        <f aca="false">0</f>
        <v>0</v>
      </c>
      <c r="I158" s="9"/>
      <c r="J158" s="205"/>
      <c r="K158" s="206"/>
    </row>
    <row r="159" customFormat="false" ht="22" hidden="false" customHeight="true" outlineLevel="0" collapsed="false">
      <c r="A159" s="0" t="n">
        <v>30</v>
      </c>
      <c r="B159" s="160" t="n">
        <v>41061</v>
      </c>
      <c r="C159" s="292" t="n">
        <v>38251</v>
      </c>
      <c r="D159" s="1" t="s">
        <v>42</v>
      </c>
      <c r="E159" s="33" t="n">
        <f aca="false">IF(D159="totale",(C159/(A159*24))/F159,IF(D159="marché libre",(C159/(A159*24))/G159,"spécifier histo"))</f>
        <v>0.515790183387271</v>
      </c>
      <c r="F159" s="57" t="n">
        <v>103</v>
      </c>
      <c r="G159" s="57" t="n">
        <f aca="false">F159-H159</f>
        <v>103</v>
      </c>
      <c r="H159" s="9" t="n">
        <f aca="false">0</f>
        <v>0</v>
      </c>
      <c r="I159" s="9"/>
      <c r="J159" s="205"/>
      <c r="K159" s="206"/>
    </row>
    <row r="160" customFormat="false" ht="22" hidden="false" customHeight="true" outlineLevel="0" collapsed="false">
      <c r="A160" s="0" t="n">
        <v>31</v>
      </c>
      <c r="B160" s="31" t="n">
        <v>41091</v>
      </c>
      <c r="C160" s="292" t="n">
        <v>41263</v>
      </c>
      <c r="D160" s="1" t="s">
        <v>42</v>
      </c>
      <c r="E160" s="33" t="n">
        <f aca="false">IF(D160="totale",(C160/(A160*24))/F160,IF(D160="marché libre",(C160/(A160*24))/G160,"spécifier histo"))</f>
        <v>0.538456519469673</v>
      </c>
      <c r="F160" s="57" t="n">
        <v>103</v>
      </c>
      <c r="G160" s="57" t="n">
        <f aca="false">F160-H160</f>
        <v>103</v>
      </c>
      <c r="H160" s="9" t="n">
        <f aca="false">0</f>
        <v>0</v>
      </c>
      <c r="I160" s="9"/>
      <c r="J160" s="205"/>
      <c r="K160" s="206"/>
    </row>
    <row r="161" customFormat="false" ht="22" hidden="false" customHeight="true" outlineLevel="0" collapsed="false">
      <c r="A161" s="0" t="n">
        <v>31</v>
      </c>
      <c r="B161" s="160" t="n">
        <v>41122</v>
      </c>
      <c r="C161" s="292" t="n">
        <v>38738</v>
      </c>
      <c r="D161" s="1" t="s">
        <v>42</v>
      </c>
      <c r="E161" s="33" t="n">
        <f aca="false">IF(D161="totale",(C161/(A161*24))/F161,IF(D161="marché libre",(C161/(A161*24))/G161,"spécifier histo"))</f>
        <v>0.505506837874517</v>
      </c>
      <c r="F161" s="57" t="n">
        <v>103</v>
      </c>
      <c r="G161" s="57" t="n">
        <f aca="false">F161-H161</f>
        <v>103</v>
      </c>
      <c r="H161" s="9" t="n">
        <f aca="false">0</f>
        <v>0</v>
      </c>
      <c r="I161" s="9"/>
      <c r="J161" s="205"/>
      <c r="K161" s="206"/>
    </row>
    <row r="162" customFormat="false" ht="22" hidden="false" customHeight="true" outlineLevel="0" collapsed="false">
      <c r="A162" s="0" t="n">
        <v>30</v>
      </c>
      <c r="B162" s="31" t="n">
        <v>41153</v>
      </c>
      <c r="C162" s="292" t="n">
        <v>18169</v>
      </c>
      <c r="D162" s="1" t="s">
        <v>42</v>
      </c>
      <c r="E162" s="33" t="n">
        <f aca="false">IF(D162="totale",(C162/(A162*24))/F162,IF(D162="marché libre",(C162/(A162*24))/G162,"spécifier histo"))</f>
        <v>0.244997303128371</v>
      </c>
      <c r="F162" s="57" t="n">
        <v>103</v>
      </c>
      <c r="G162" s="57" t="n">
        <f aca="false">F162-H162</f>
        <v>103</v>
      </c>
      <c r="H162" s="9" t="n">
        <f aca="false">0</f>
        <v>0</v>
      </c>
      <c r="I162" s="9"/>
      <c r="J162" s="205"/>
      <c r="K162" s="206"/>
    </row>
    <row r="163" customFormat="false" ht="20.5" hidden="false" customHeight="true" outlineLevel="0" collapsed="false">
      <c r="A163" s="0" t="n">
        <v>31</v>
      </c>
      <c r="B163" s="160" t="n">
        <v>41183</v>
      </c>
      <c r="C163" s="444" t="n">
        <v>22962</v>
      </c>
      <c r="D163" s="283" t="s">
        <v>42</v>
      </c>
      <c r="E163" s="163" t="n">
        <f aca="false">IF(D163="totale",(C163/(A163*24))/F163,IF(D163="marché libre",(C163/(A163*24))/G163,"spécifier histo"))</f>
        <v>0.299639837143752</v>
      </c>
      <c r="F163" s="284" t="n">
        <v>103</v>
      </c>
      <c r="G163" s="284" t="n">
        <f aca="false">F163-H163</f>
        <v>103</v>
      </c>
      <c r="H163" s="9" t="n">
        <f aca="false">0</f>
        <v>0</v>
      </c>
      <c r="I163" s="9"/>
      <c r="J163" s="0"/>
      <c r="K163" s="445"/>
      <c r="L163" s="445"/>
      <c r="M163" s="445"/>
      <c r="N163" s="445"/>
    </row>
    <row r="164" customFormat="false" ht="20.5" hidden="false" customHeight="true" outlineLevel="0" collapsed="false">
      <c r="A164" s="0" t="n">
        <v>30</v>
      </c>
      <c r="B164" s="31" t="n">
        <v>41214</v>
      </c>
      <c r="C164" s="292" t="n">
        <v>30479</v>
      </c>
      <c r="D164" s="1" t="s">
        <v>42</v>
      </c>
      <c r="E164" s="33" t="n">
        <f aca="false">IF(D164="totale",(C164/(A164*24))/F164,IF(D164="marché libre",(C164/(A164*24))/G164,"spécifier histo"))</f>
        <v>0.41098975188781</v>
      </c>
      <c r="F164" s="57" t="n">
        <v>103</v>
      </c>
      <c r="G164" s="57" t="n">
        <f aca="false">F164-H164</f>
        <v>103</v>
      </c>
      <c r="H164" s="9" t="n">
        <f aca="false">0</f>
        <v>0</v>
      </c>
      <c r="I164" s="9"/>
      <c r="J164" s="0"/>
      <c r="K164" s="445"/>
      <c r="L164" s="445"/>
      <c r="M164" s="445"/>
      <c r="N164" s="445"/>
    </row>
    <row r="165" customFormat="false" ht="20.5" hidden="false" customHeight="true" outlineLevel="0" collapsed="false">
      <c r="A165" s="0" t="n">
        <v>31</v>
      </c>
      <c r="B165" s="34" t="n">
        <v>41244</v>
      </c>
      <c r="C165" s="292" t="n">
        <v>47054</v>
      </c>
      <c r="D165" s="1" t="s">
        <v>42</v>
      </c>
      <c r="E165" s="33" t="n">
        <f aca="false">IF(D165="totale",(C165/(A165*24))/F165,IF(D165="marché libre",(C165/(A165*24))/G165,"spécifier histo"))</f>
        <v>0.614025472387514</v>
      </c>
      <c r="F165" s="57" t="n">
        <v>103</v>
      </c>
      <c r="G165" s="59" t="n">
        <f aca="false">F165-H165</f>
        <v>103</v>
      </c>
      <c r="H165" s="9" t="n">
        <f aca="false">0</f>
        <v>0</v>
      </c>
      <c r="I165" s="9"/>
      <c r="J165" s="0"/>
      <c r="K165" s="445"/>
      <c r="L165" s="445"/>
      <c r="M165" s="445"/>
      <c r="P165" s="445"/>
      <c r="Q165" s="445"/>
      <c r="R165" s="445"/>
      <c r="U165" s="445"/>
      <c r="V165" s="445"/>
      <c r="W165" s="445"/>
    </row>
    <row r="166" customFormat="false" ht="20.5" hidden="false" customHeight="true" outlineLevel="0" collapsed="false">
      <c r="A166" s="0" t="n">
        <v>31</v>
      </c>
      <c r="B166" s="31" t="n">
        <v>41275</v>
      </c>
      <c r="C166" s="446" t="n">
        <v>44174</v>
      </c>
      <c r="D166" s="1" t="s">
        <v>42</v>
      </c>
      <c r="E166" s="33" t="n">
        <f aca="false">IF(D166="totale",(C166/(A166*24))/F166,IF(D166="marché libre",(C166/(A166*24))/G166,"spécifier histo"))</f>
        <v>0.576443261300762</v>
      </c>
      <c r="F166" s="57" t="n">
        <v>103</v>
      </c>
      <c r="G166" s="59" t="n">
        <f aca="false">F166-H166</f>
        <v>103</v>
      </c>
      <c r="H166" s="9" t="n">
        <f aca="false">0</f>
        <v>0</v>
      </c>
      <c r="I166" s="9"/>
      <c r="J166" s="0"/>
      <c r="K166" s="445"/>
      <c r="L166" s="445"/>
      <c r="M166" s="445"/>
      <c r="P166" s="445"/>
      <c r="Q166" s="445"/>
      <c r="R166" s="445"/>
      <c r="U166" s="445"/>
      <c r="V166" s="445"/>
      <c r="W166" s="445"/>
    </row>
    <row r="167" customFormat="false" ht="20.5" hidden="false" customHeight="true" outlineLevel="0" collapsed="false">
      <c r="A167" s="0" t="n">
        <v>28</v>
      </c>
      <c r="B167" s="34" t="n">
        <v>41306</v>
      </c>
      <c r="C167" s="446" t="n">
        <v>46157</v>
      </c>
      <c r="D167" s="1" t="s">
        <v>42</v>
      </c>
      <c r="E167" s="33" t="n">
        <f aca="false">IF(D167="totale",(C167/(A167*24))/F167,IF(D167="marché libre",(C167/(A167*24))/G167,"spécifier histo"))</f>
        <v>0.666854484512252</v>
      </c>
      <c r="F167" s="57" t="n">
        <v>103</v>
      </c>
      <c r="G167" s="59" t="n">
        <f aca="false">F167-H167</f>
        <v>103</v>
      </c>
      <c r="H167" s="9" t="n">
        <f aca="false">0</f>
        <v>0</v>
      </c>
      <c r="I167" s="9"/>
      <c r="J167" s="0"/>
      <c r="K167" s="445"/>
      <c r="L167" s="445"/>
      <c r="M167" s="445"/>
      <c r="P167" s="445"/>
      <c r="Q167" s="445"/>
      <c r="R167" s="445"/>
      <c r="U167" s="445"/>
      <c r="V167" s="445"/>
      <c r="W167" s="445"/>
    </row>
    <row r="168" customFormat="false" ht="20.5" hidden="false" customHeight="true" outlineLevel="0" collapsed="false">
      <c r="A168" s="0" t="n">
        <v>31</v>
      </c>
      <c r="B168" s="31" t="n">
        <v>41334</v>
      </c>
      <c r="C168" s="446" t="n">
        <v>58786</v>
      </c>
      <c r="D168" s="1" t="s">
        <v>42</v>
      </c>
      <c r="E168" s="33" t="n">
        <f aca="false">IF(D168="totale",(C168/(A168*24))/F168,IF(D168="marché libre",(C168/(A168*24))/G168,"spécifier histo"))</f>
        <v>0.767120785050632</v>
      </c>
      <c r="F168" s="57" t="n">
        <v>103</v>
      </c>
      <c r="G168" s="59" t="n">
        <f aca="false">F168-H168</f>
        <v>103</v>
      </c>
      <c r="H168" s="9" t="n">
        <f aca="false">0</f>
        <v>0</v>
      </c>
      <c r="I168" s="9"/>
      <c r="J168" s="0"/>
      <c r="K168" s="445"/>
      <c r="L168" s="445"/>
      <c r="M168" s="445"/>
      <c r="P168" s="445"/>
      <c r="Q168" s="445"/>
      <c r="R168" s="445"/>
      <c r="U168" s="445"/>
      <c r="V168" s="445"/>
      <c r="W168" s="445"/>
    </row>
    <row r="169" customFormat="false" ht="20.5" hidden="false" customHeight="true" outlineLevel="0" collapsed="false">
      <c r="A169" s="0" t="n">
        <v>30</v>
      </c>
      <c r="B169" s="34" t="n">
        <v>41365</v>
      </c>
      <c r="C169" s="446" t="n">
        <v>56220</v>
      </c>
      <c r="D169" s="1" t="s">
        <v>42</v>
      </c>
      <c r="E169" s="33" t="n">
        <f aca="false">IF(D169="totale",(C169/(A169*24))/F169,IF(D169="marché libre",(C169/(A169*24))/G169,"spécifier histo"))</f>
        <v>0.758090614886731</v>
      </c>
      <c r="F169" s="57" t="n">
        <v>103</v>
      </c>
      <c r="G169" s="59" t="n">
        <f aca="false">F169-H169</f>
        <v>103</v>
      </c>
      <c r="H169" s="9" t="n">
        <f aca="false">0</f>
        <v>0</v>
      </c>
      <c r="I169" s="9"/>
      <c r="J169" s="0"/>
      <c r="K169" s="445"/>
      <c r="L169" s="445"/>
      <c r="M169" s="445"/>
      <c r="P169" s="445"/>
      <c r="Q169" s="445"/>
      <c r="R169" s="445"/>
      <c r="U169" s="445"/>
      <c r="V169" s="445"/>
      <c r="W169" s="445"/>
    </row>
    <row r="170" customFormat="false" ht="20.5" hidden="false" customHeight="true" outlineLevel="0" collapsed="false">
      <c r="A170" s="0" t="n">
        <v>31</v>
      </c>
      <c r="B170" s="31" t="n">
        <v>41395</v>
      </c>
      <c r="C170" s="446" t="n">
        <v>58776</v>
      </c>
      <c r="D170" s="1" t="s">
        <v>42</v>
      </c>
      <c r="E170" s="33" t="n">
        <f aca="false">IF(D170="totale",(C170/(A170*24))/F170,IF(D170="marché libre",(C170/(A170*24))/G170,"spécifier histo"))</f>
        <v>0.766990291262136</v>
      </c>
      <c r="F170" s="57" t="n">
        <v>103</v>
      </c>
      <c r="G170" s="59" t="n">
        <f aca="false">F170-H170</f>
        <v>103</v>
      </c>
      <c r="H170" s="9" t="n">
        <f aca="false">0</f>
        <v>0</v>
      </c>
      <c r="I170" s="9"/>
      <c r="J170" s="0"/>
      <c r="K170" s="445"/>
      <c r="L170" s="445"/>
      <c r="M170" s="445"/>
      <c r="P170" s="445"/>
      <c r="Q170" s="445"/>
      <c r="R170" s="445"/>
      <c r="U170" s="445"/>
      <c r="V170" s="445"/>
      <c r="W170" s="445"/>
    </row>
    <row r="171" customFormat="false" ht="20.5" hidden="false" customHeight="true" outlineLevel="0" collapsed="false">
      <c r="A171" s="0" t="n">
        <v>30</v>
      </c>
      <c r="B171" s="34" t="n">
        <v>41426</v>
      </c>
      <c r="C171" s="446" t="n">
        <v>55724</v>
      </c>
      <c r="D171" s="1" t="s">
        <v>42</v>
      </c>
      <c r="E171" s="33" t="n">
        <f aca="false">IF(D171="totale",(C171/(A171*24))/F171,IF(D171="marché libre",(C171/(A171*24))/G171,"spécifier histo"))</f>
        <v>0.751402373247033</v>
      </c>
      <c r="F171" s="57" t="n">
        <v>103</v>
      </c>
      <c r="G171" s="59" t="n">
        <f aca="false">F171-H171</f>
        <v>103</v>
      </c>
      <c r="H171" s="9" t="n">
        <f aca="false">0</f>
        <v>0</v>
      </c>
      <c r="I171" s="9"/>
      <c r="J171" s="0"/>
      <c r="K171" s="445"/>
      <c r="L171" s="445"/>
      <c r="M171" s="445"/>
      <c r="P171" s="445"/>
      <c r="Q171" s="445"/>
      <c r="R171" s="445"/>
      <c r="U171" s="445"/>
      <c r="V171" s="445"/>
      <c r="W171" s="445"/>
    </row>
    <row r="172" customFormat="false" ht="20.5" hidden="false" customHeight="true" outlineLevel="0" collapsed="false">
      <c r="A172" s="0" t="n">
        <v>31</v>
      </c>
      <c r="B172" s="31" t="n">
        <v>41456</v>
      </c>
      <c r="C172" s="446" t="n">
        <v>19864</v>
      </c>
      <c r="D172" s="1" t="s">
        <v>42</v>
      </c>
      <c r="E172" s="33" t="n">
        <f aca="false">IF(D172="totale",(C172/(A172*24))/F172,IF(D172="marché libre",(C172/(A172*24))/G172,"spécifier histo"))</f>
        <v>0.259212861467794</v>
      </c>
      <c r="F172" s="57" t="n">
        <v>103</v>
      </c>
      <c r="G172" s="59" t="n">
        <f aca="false">F172-H172</f>
        <v>103</v>
      </c>
      <c r="H172" s="9" t="n">
        <f aca="false">0</f>
        <v>0</v>
      </c>
      <c r="I172" s="9"/>
      <c r="J172" s="0"/>
      <c r="K172" s="445"/>
      <c r="L172" s="445"/>
      <c r="M172" s="445"/>
      <c r="P172" s="445"/>
      <c r="Q172" s="445"/>
      <c r="R172" s="445"/>
      <c r="U172" s="445"/>
      <c r="V172" s="445"/>
      <c r="W172" s="445"/>
    </row>
    <row r="173" customFormat="false" ht="20.5" hidden="false" customHeight="true" outlineLevel="0" collapsed="false">
      <c r="A173" s="0" t="n">
        <v>31</v>
      </c>
      <c r="B173" s="34" t="n">
        <v>41487</v>
      </c>
      <c r="C173" s="446" t="n">
        <v>45409</v>
      </c>
      <c r="D173" s="1" t="s">
        <v>42</v>
      </c>
      <c r="E173" s="33" t="n">
        <f aca="false">IF(D173="totale",(C173/(A173*24))/F173,IF(D173="marché libre",(C173/(A173*24))/G173,"spécifier histo"))</f>
        <v>0.592559244179977</v>
      </c>
      <c r="F173" s="57" t="n">
        <v>103</v>
      </c>
      <c r="G173" s="59" t="n">
        <f aca="false">F173-H173</f>
        <v>103</v>
      </c>
      <c r="H173" s="9" t="n">
        <f aca="false">0</f>
        <v>0</v>
      </c>
      <c r="I173" s="9"/>
      <c r="J173" s="0"/>
      <c r="K173" s="445"/>
      <c r="L173" s="445"/>
      <c r="M173" s="445"/>
      <c r="P173" s="445"/>
      <c r="Q173" s="445"/>
      <c r="R173" s="445"/>
      <c r="U173" s="445"/>
      <c r="V173" s="445"/>
      <c r="W173" s="445"/>
    </row>
    <row r="174" customFormat="false" ht="20.5" hidden="false" customHeight="true" outlineLevel="0" collapsed="false">
      <c r="A174" s="0" t="n">
        <v>30</v>
      </c>
      <c r="B174" s="31" t="n">
        <v>41518</v>
      </c>
      <c r="C174" s="446" t="n">
        <v>30412</v>
      </c>
      <c r="D174" s="1" t="s">
        <v>42</v>
      </c>
      <c r="E174" s="33" t="n">
        <f aca="false">IF(D174="totale",(C174/(A174*24))/F174,IF(D174="marché libre",(C174/(A174*24))/G174,"spécifier histo"))</f>
        <v>0.410086299892125</v>
      </c>
      <c r="F174" s="57" t="n">
        <v>103</v>
      </c>
      <c r="G174" s="59" t="n">
        <f aca="false">F174-H174</f>
        <v>103</v>
      </c>
      <c r="H174" s="9" t="n">
        <f aca="false">0</f>
        <v>0</v>
      </c>
      <c r="I174" s="9"/>
      <c r="J174" s="0"/>
      <c r="K174" s="445"/>
      <c r="L174" s="445"/>
      <c r="M174" s="445"/>
      <c r="P174" s="445"/>
      <c r="Q174" s="445"/>
      <c r="R174" s="445"/>
      <c r="U174" s="445"/>
      <c r="V174" s="445"/>
      <c r="W174" s="445"/>
    </row>
    <row r="175" customFormat="false" ht="20.5" hidden="false" customHeight="true" outlineLevel="0" collapsed="false">
      <c r="A175" s="0" t="n">
        <v>31</v>
      </c>
      <c r="B175" s="34" t="n">
        <v>41548</v>
      </c>
      <c r="C175" s="446" t="n">
        <v>22044</v>
      </c>
      <c r="D175" s="1" t="s">
        <v>42</v>
      </c>
      <c r="E175" s="33" t="n">
        <f aca="false">IF(D175="totale",(C175/(A175*24))/F175,IF(D175="marché libre",(C175/(A175*24))/G175,"spécifier histo"))</f>
        <v>0.28766050735985</v>
      </c>
      <c r="F175" s="57" t="n">
        <v>103</v>
      </c>
      <c r="G175" s="59" t="n">
        <f aca="false">F175-H175</f>
        <v>103</v>
      </c>
      <c r="H175" s="9" t="n">
        <f aca="false">0</f>
        <v>0</v>
      </c>
      <c r="I175" s="9"/>
      <c r="J175" s="0"/>
      <c r="K175" s="445"/>
      <c r="L175" s="445"/>
      <c r="M175" s="445"/>
      <c r="P175" s="445"/>
      <c r="Q175" s="445"/>
      <c r="R175" s="445"/>
      <c r="U175" s="445"/>
      <c r="V175" s="445"/>
      <c r="W175" s="445"/>
    </row>
    <row r="176" customFormat="false" ht="20.5" hidden="false" customHeight="true" outlineLevel="0" collapsed="false">
      <c r="A176" s="0" t="n">
        <v>30</v>
      </c>
      <c r="B176" s="31" t="n">
        <v>41579</v>
      </c>
      <c r="C176" s="446" t="n">
        <v>56847.78</v>
      </c>
      <c r="D176" s="1" t="s">
        <v>42</v>
      </c>
      <c r="E176" s="33" t="n">
        <f aca="false">IF(D176="totale",(C176/(A176*24))/F176,IF(D176="marché libre",(C176/(A176*24))/G176,"spécifier histo"))</f>
        <v>0.766555825242718</v>
      </c>
      <c r="F176" s="57" t="n">
        <v>103</v>
      </c>
      <c r="G176" s="59" t="n">
        <f aca="false">F176-H176</f>
        <v>103</v>
      </c>
      <c r="H176" s="9" t="n">
        <f aca="false">0</f>
        <v>0</v>
      </c>
      <c r="I176" s="9"/>
      <c r="J176" s="0"/>
      <c r="K176" s="445"/>
      <c r="L176" s="445"/>
      <c r="M176" s="445"/>
      <c r="P176" s="445"/>
      <c r="Q176" s="445"/>
      <c r="R176" s="445"/>
      <c r="U176" s="445"/>
      <c r="V176" s="445"/>
      <c r="W176" s="445"/>
    </row>
    <row r="177" customFormat="false" ht="20.5" hidden="false" customHeight="true" outlineLevel="0" collapsed="false">
      <c r="A177" s="0" t="n">
        <v>31</v>
      </c>
      <c r="B177" s="34" t="n">
        <v>41609</v>
      </c>
      <c r="C177" s="446" t="n">
        <v>44636</v>
      </c>
      <c r="D177" s="1" t="s">
        <v>42</v>
      </c>
      <c r="E177" s="33" t="n">
        <f aca="false">IF(D177="totale",(C177/(A177*24))/F177,IF(D177="marché libre",(C177/(A177*24))/G177,"spécifier histo"))</f>
        <v>0.582472074329262</v>
      </c>
      <c r="F177" s="57" t="n">
        <v>103</v>
      </c>
      <c r="G177" s="59" t="n">
        <f aca="false">F177-H177</f>
        <v>103</v>
      </c>
      <c r="H177" s="9" t="n">
        <f aca="false">0</f>
        <v>0</v>
      </c>
      <c r="I177" s="9"/>
      <c r="J177" s="0"/>
      <c r="K177" s="445"/>
      <c r="L177" s="445"/>
      <c r="M177" s="445"/>
      <c r="P177" s="445"/>
      <c r="Q177" s="445"/>
      <c r="R177" s="445"/>
      <c r="U177" s="445"/>
      <c r="V177" s="445"/>
      <c r="W177" s="445"/>
    </row>
    <row r="178" customFormat="false" ht="20.5" hidden="false" customHeight="true" outlineLevel="0" collapsed="false">
      <c r="A178" s="0" t="n">
        <v>31</v>
      </c>
      <c r="B178" s="31" t="n">
        <v>41640</v>
      </c>
      <c r="C178" s="446" t="n">
        <v>55856</v>
      </c>
      <c r="D178" s="1" t="s">
        <v>42</v>
      </c>
      <c r="E178" s="33" t="n">
        <f aca="false">IF(D178="totale",(C178/(A178*24))/F178,IF(D178="marché libre",(C178/(A178*24))/G178,"spécifier histo"))</f>
        <v>0.728886105021401</v>
      </c>
      <c r="F178" s="57" t="n">
        <v>103</v>
      </c>
      <c r="G178" s="59" t="n">
        <f aca="false">F178-H178</f>
        <v>103</v>
      </c>
      <c r="H178" s="9" t="n">
        <f aca="false">0</f>
        <v>0</v>
      </c>
      <c r="I178" s="9"/>
      <c r="J178" s="0"/>
      <c r="K178" s="445"/>
      <c r="L178" s="445"/>
      <c r="M178" s="445"/>
      <c r="P178" s="445"/>
      <c r="Q178" s="445"/>
      <c r="R178" s="445"/>
      <c r="U178" s="445"/>
      <c r="V178" s="445"/>
      <c r="W178" s="445"/>
    </row>
    <row r="179" customFormat="false" ht="20.5" hidden="false" customHeight="true" outlineLevel="0" collapsed="false">
      <c r="A179" s="0" t="n">
        <v>28</v>
      </c>
      <c r="B179" s="34" t="n">
        <v>41671</v>
      </c>
      <c r="C179" s="446" t="n">
        <v>56564</v>
      </c>
      <c r="D179" s="1" t="s">
        <v>42</v>
      </c>
      <c r="E179" s="33" t="n">
        <f aca="false">IF(D179="totale",(C179/(A179*24))/F179,IF(D179="marché libre",(C179/(A179*24))/G179,"spécifier histo"))</f>
        <v>0.817209893666204</v>
      </c>
      <c r="F179" s="57" t="n">
        <v>103</v>
      </c>
      <c r="G179" s="59" t="n">
        <f aca="false">F179-H179</f>
        <v>103</v>
      </c>
      <c r="H179" s="9" t="n">
        <f aca="false">0</f>
        <v>0</v>
      </c>
      <c r="I179" s="9"/>
      <c r="J179" s="0"/>
      <c r="K179" s="445"/>
      <c r="L179" s="445"/>
      <c r="M179" s="445"/>
      <c r="P179" s="445"/>
      <c r="Q179" s="445"/>
      <c r="R179" s="445"/>
      <c r="U179" s="445"/>
      <c r="V179" s="445"/>
      <c r="W179" s="445"/>
    </row>
    <row r="180" customFormat="false" ht="20.5" hidden="false" customHeight="true" outlineLevel="0" collapsed="false">
      <c r="A180" s="0" t="n">
        <v>31</v>
      </c>
      <c r="B180" s="31" t="n">
        <v>41699</v>
      </c>
      <c r="C180" s="446" t="n">
        <v>53745</v>
      </c>
      <c r="D180" s="1" t="s">
        <v>42</v>
      </c>
      <c r="E180" s="33" t="n">
        <f aca="false">IF(D180="totale",(C180/(A180*24))/F180,IF(D180="marché libre",(C180/(A180*24))/G180,"spécifier histo"))</f>
        <v>0.701338866269966</v>
      </c>
      <c r="F180" s="57" t="n">
        <v>103</v>
      </c>
      <c r="G180" s="59" t="n">
        <f aca="false">F180-H180</f>
        <v>103</v>
      </c>
      <c r="H180" s="9" t="n">
        <f aca="false">0</f>
        <v>0</v>
      </c>
      <c r="I180" s="9"/>
      <c r="J180" s="0"/>
      <c r="K180" s="0"/>
      <c r="L180" s="0"/>
      <c r="M180" s="0"/>
      <c r="N180" s="0"/>
      <c r="O180" s="0"/>
      <c r="P180" s="0"/>
      <c r="Q180" s="0"/>
      <c r="R180" s="0"/>
      <c r="S180" s="0"/>
      <c r="T180" s="0"/>
      <c r="U180" s="0"/>
      <c r="V180" s="0"/>
      <c r="W180" s="0"/>
    </row>
    <row r="181" customFormat="false" ht="20.5" hidden="false" customHeight="true" outlineLevel="0" collapsed="false">
      <c r="A181" s="0" t="n">
        <v>30</v>
      </c>
      <c r="B181" s="34" t="n">
        <v>41730</v>
      </c>
      <c r="C181" s="446" t="n">
        <v>54232</v>
      </c>
      <c r="D181" s="1" t="s">
        <v>42</v>
      </c>
      <c r="E181" s="33" t="n">
        <f aca="false">IF(D181="totale",(C181/(A181*24))/F181,IF(D181="marché libre",(C181/(A181*24))/G181,"spécifier histo"))</f>
        <v>0.731283710895361</v>
      </c>
      <c r="F181" s="57" t="n">
        <v>103</v>
      </c>
      <c r="G181" s="59" t="n">
        <f aca="false">F181-H181</f>
        <v>103</v>
      </c>
      <c r="H181" s="9" t="n">
        <f aca="false">0</f>
        <v>0</v>
      </c>
      <c r="I181" s="9"/>
      <c r="J181" s="0"/>
      <c r="K181" s="0"/>
      <c r="L181" s="0"/>
      <c r="M181" s="0"/>
      <c r="N181" s="0"/>
      <c r="O181" s="0"/>
      <c r="P181" s="0"/>
      <c r="Q181" s="0"/>
      <c r="R181" s="0"/>
      <c r="S181" s="0"/>
      <c r="T181" s="0"/>
      <c r="U181" s="0"/>
      <c r="V181" s="0"/>
      <c r="W181" s="0"/>
    </row>
    <row r="182" customFormat="false" ht="20.5" hidden="false" customHeight="true" outlineLevel="0" collapsed="false">
      <c r="A182" s="0" t="n">
        <v>31</v>
      </c>
      <c r="B182" s="31" t="n">
        <v>41760</v>
      </c>
      <c r="C182" s="446" t="n">
        <v>44640</v>
      </c>
      <c r="D182" s="1" t="s">
        <v>42</v>
      </c>
      <c r="E182" s="33" t="n">
        <f aca="false">IF(D182="totale",(C182/(A182*24))/F182,IF(D182="marché libre",(C182/(A182*24))/G182,"spécifier histo"))</f>
        <v>0.58252427184466</v>
      </c>
      <c r="F182" s="57" t="n">
        <v>103</v>
      </c>
      <c r="G182" s="59" t="n">
        <f aca="false">F182-H182</f>
        <v>103</v>
      </c>
      <c r="H182" s="9" t="n">
        <f aca="false">0</f>
        <v>0</v>
      </c>
      <c r="I182" s="9"/>
      <c r="J182" s="0"/>
      <c r="K182" s="0"/>
      <c r="L182" s="0"/>
      <c r="M182" s="0"/>
      <c r="N182" s="0"/>
      <c r="O182" s="0"/>
      <c r="P182" s="0"/>
      <c r="Q182" s="0"/>
      <c r="R182" s="0"/>
      <c r="S182" s="0"/>
      <c r="T182" s="0"/>
      <c r="U182" s="0"/>
      <c r="V182" s="0"/>
      <c r="W182" s="0"/>
    </row>
    <row r="183" customFormat="false" ht="20.5" hidden="false" customHeight="true" outlineLevel="0" collapsed="false">
      <c r="A183" s="0" t="n">
        <v>30</v>
      </c>
      <c r="B183" s="34" t="n">
        <v>41791</v>
      </c>
      <c r="C183" s="446" t="n">
        <v>39515</v>
      </c>
      <c r="D183" s="1" t="s">
        <v>42</v>
      </c>
      <c r="E183" s="33" t="n">
        <f aca="false">IF(D183="totale",(C183/(A183*24))/F183,IF(D183="marché libre",(C183/(A183*24))/G183,"spécifier histo"))</f>
        <v>0.532834412081985</v>
      </c>
      <c r="F183" s="57" t="n">
        <v>103</v>
      </c>
      <c r="G183" s="59" t="n">
        <f aca="false">F183-H183</f>
        <v>103</v>
      </c>
      <c r="H183" s="9" t="n">
        <f aca="false">0</f>
        <v>0</v>
      </c>
      <c r="I183" s="9"/>
      <c r="J183" s="0"/>
      <c r="K183" s="0"/>
      <c r="L183" s="0"/>
      <c r="M183" s="0"/>
      <c r="N183" s="0"/>
      <c r="O183" s="0"/>
      <c r="P183" s="0"/>
      <c r="Q183" s="0"/>
      <c r="R183" s="0"/>
      <c r="S183" s="0"/>
      <c r="T183" s="0"/>
      <c r="U183" s="0"/>
      <c r="V183" s="0"/>
      <c r="W183" s="0"/>
    </row>
    <row r="184" customFormat="false" ht="20.5" hidden="false" customHeight="true" outlineLevel="0" collapsed="false">
      <c r="A184" s="0" t="n">
        <v>31</v>
      </c>
      <c r="B184" s="31" t="n">
        <v>41821</v>
      </c>
      <c r="C184" s="446" t="n">
        <v>46206</v>
      </c>
      <c r="D184" s="1" t="s">
        <v>42</v>
      </c>
      <c r="E184" s="33" t="n">
        <f aca="false">IF(D184="totale",(C184/(A184*24))/F184,IF(D184="marché libre",(C184/(A184*24))/G184,"spécifier histo"))</f>
        <v>0.602959599123082</v>
      </c>
      <c r="F184" s="57" t="n">
        <v>103</v>
      </c>
      <c r="G184" s="59" t="n">
        <f aca="false">F184-H184</f>
        <v>103</v>
      </c>
      <c r="H184" s="9" t="n">
        <f aca="false">0</f>
        <v>0</v>
      </c>
      <c r="I184" s="9"/>
      <c r="J184" s="0"/>
      <c r="K184" s="0"/>
      <c r="L184" s="0"/>
      <c r="M184" s="0"/>
      <c r="N184" s="0"/>
      <c r="O184" s="0"/>
      <c r="P184" s="0"/>
      <c r="Q184" s="0"/>
      <c r="R184" s="0"/>
      <c r="S184" s="0"/>
      <c r="T184" s="0"/>
      <c r="U184" s="0"/>
      <c r="V184" s="0"/>
      <c r="W184" s="0"/>
    </row>
    <row r="185" customFormat="false" ht="20.5" hidden="false" customHeight="true" outlineLevel="0" collapsed="false">
      <c r="A185" s="0" t="n">
        <v>31</v>
      </c>
      <c r="B185" s="34" t="n">
        <v>41852</v>
      </c>
      <c r="C185" s="446" t="n">
        <v>44623</v>
      </c>
      <c r="D185" s="1" t="s">
        <v>42</v>
      </c>
      <c r="E185" s="33" t="n">
        <f aca="false">IF(D185="totale",(C185/(A185*24))/F185,IF(D185="marché libre",(C185/(A185*24))/G185,"spécifier histo"))</f>
        <v>0.582302432404217</v>
      </c>
      <c r="F185" s="57" t="n">
        <v>103</v>
      </c>
      <c r="G185" s="59" t="n">
        <f aca="false">F185-H185</f>
        <v>103</v>
      </c>
      <c r="H185" s="9" t="n">
        <f aca="false">0</f>
        <v>0</v>
      </c>
      <c r="I185" s="9"/>
      <c r="J185" s="0"/>
      <c r="K185" s="0"/>
      <c r="L185" s="0"/>
      <c r="M185" s="0"/>
      <c r="N185" s="0"/>
      <c r="O185" s="0"/>
      <c r="P185" s="0"/>
      <c r="Q185" s="0"/>
      <c r="R185" s="0"/>
      <c r="S185" s="0"/>
      <c r="T185" s="0"/>
      <c r="U185" s="0"/>
      <c r="V185" s="0"/>
      <c r="W185" s="0"/>
    </row>
    <row r="186" customFormat="false" ht="20.5" hidden="false" customHeight="true" outlineLevel="0" collapsed="false">
      <c r="A186" s="0" t="n">
        <v>30</v>
      </c>
      <c r="B186" s="31" t="n">
        <v>41883</v>
      </c>
      <c r="C186" s="446" t="n">
        <v>31344</v>
      </c>
      <c r="D186" s="1" t="s">
        <v>42</v>
      </c>
      <c r="E186" s="33" t="n">
        <f aca="false">IF(D186="totale",(C186/(A186*24))/F186,IF(D186="marché libre",(C186/(A186*24))/G186,"spécifier histo"))</f>
        <v>0.422653721682848</v>
      </c>
      <c r="F186" s="57" t="n">
        <v>103</v>
      </c>
      <c r="G186" s="59" t="n">
        <f aca="false">F186-H186</f>
        <v>103</v>
      </c>
      <c r="H186" s="9" t="n">
        <f aca="false">0</f>
        <v>0</v>
      </c>
      <c r="I186" s="9"/>
      <c r="J186" s="205"/>
      <c r="K186" s="0"/>
      <c r="L186" s="0"/>
      <c r="M186" s="0"/>
      <c r="N186" s="0"/>
      <c r="O186" s="0"/>
      <c r="P186" s="0"/>
      <c r="Q186" s="0"/>
      <c r="R186" s="0"/>
      <c r="S186" s="0"/>
      <c r="T186" s="0"/>
      <c r="U186" s="0"/>
      <c r="V186" s="0"/>
      <c r="W186" s="0"/>
    </row>
    <row r="187" customFormat="false" ht="20.5" hidden="false" customHeight="true" outlineLevel="0" collapsed="false">
      <c r="A187" s="0" t="n">
        <v>31</v>
      </c>
      <c r="B187" s="34" t="n">
        <v>41913</v>
      </c>
      <c r="C187" s="446" t="n">
        <v>17618</v>
      </c>
      <c r="D187" s="1" t="s">
        <v>42</v>
      </c>
      <c r="E187" s="33" t="n">
        <f aca="false">IF(D187="totale",(C187/(A187*24))/F187,IF(D187="marché libre",(C187/(A187*24))/G187,"spécifier histo"))</f>
        <v>0.229903956571667</v>
      </c>
      <c r="F187" s="57" t="n">
        <v>103</v>
      </c>
      <c r="G187" s="59" t="n">
        <f aca="false">F187-H187</f>
        <v>103</v>
      </c>
      <c r="H187" s="9" t="n">
        <f aca="false">0</f>
        <v>0</v>
      </c>
      <c r="I187" s="9"/>
      <c r="J187" s="205"/>
      <c r="K187" s="206"/>
      <c r="L187" s="0"/>
      <c r="P187" s="0"/>
      <c r="R187" s="0"/>
      <c r="U187" s="0"/>
      <c r="V187" s="0"/>
    </row>
    <row r="188" customFormat="false" ht="20.5" hidden="false" customHeight="true" outlineLevel="0" collapsed="false">
      <c r="A188" s="0" t="n">
        <v>30</v>
      </c>
      <c r="B188" s="31" t="n">
        <v>41944</v>
      </c>
      <c r="C188" s="446" t="n">
        <v>21731</v>
      </c>
      <c r="D188" s="1" t="s">
        <v>42</v>
      </c>
      <c r="E188" s="33" t="n">
        <f aca="false">IF(D188="totale",(C188/(A188*24))/F188,IF(D188="marché libre",(C188/(A188*24))/G188,"spécifier histo"))</f>
        <v>0.293028586839266</v>
      </c>
      <c r="F188" s="57" t="n">
        <v>103</v>
      </c>
      <c r="G188" s="59" t="n">
        <f aca="false">F188-H188</f>
        <v>103</v>
      </c>
      <c r="H188" s="9" t="n">
        <f aca="false">0</f>
        <v>0</v>
      </c>
      <c r="I188" s="9"/>
      <c r="J188" s="205"/>
      <c r="K188" s="206"/>
      <c r="L188" s="0"/>
      <c r="P188" s="0"/>
      <c r="R188" s="0"/>
      <c r="U188" s="0"/>
      <c r="V188" s="0"/>
    </row>
    <row r="189" customFormat="false" ht="20.5" hidden="false" customHeight="true" outlineLevel="0" collapsed="false">
      <c r="A189" s="0" t="n">
        <v>31</v>
      </c>
      <c r="B189" s="34" t="n">
        <v>41974</v>
      </c>
      <c r="C189" s="446" t="n">
        <v>47712</v>
      </c>
      <c r="D189" s="1" t="s">
        <v>42</v>
      </c>
      <c r="E189" s="33" t="n">
        <f aca="false">IF(D189="totale",(C189/(A189*24))/F189,IF(D189="marché libre",(C189/(A189*24))/G189,"spécifier histo"))</f>
        <v>0.622611963670529</v>
      </c>
      <c r="F189" s="57" t="n">
        <v>103</v>
      </c>
      <c r="G189" s="59" t="n">
        <f aca="false">F189-H189</f>
        <v>103</v>
      </c>
      <c r="H189" s="9" t="n">
        <f aca="false">0</f>
        <v>0</v>
      </c>
      <c r="I189" s="9"/>
      <c r="J189" s="205"/>
      <c r="K189" s="206"/>
      <c r="L189" s="0"/>
      <c r="P189" s="0"/>
      <c r="R189" s="0"/>
      <c r="U189" s="0"/>
      <c r="V189" s="0"/>
    </row>
    <row r="190" customFormat="false" ht="15.75" hidden="false" customHeight="true" outlineLevel="0" collapsed="false">
      <c r="A190" s="0" t="n">
        <v>31</v>
      </c>
      <c r="B190" s="31" t="n">
        <v>42005</v>
      </c>
      <c r="C190" s="121" t="n">
        <v>33810</v>
      </c>
      <c r="D190" s="1" t="s">
        <v>42</v>
      </c>
      <c r="E190" s="33" t="n">
        <f aca="false">IF(D190="totale",(C190/(A190*24))/F190,IF(D190="marché libre",(C190/(A190*24))/G190,"spécifier histo"))</f>
        <v>0.441199498903852</v>
      </c>
      <c r="F190" s="57" t="n">
        <v>103</v>
      </c>
      <c r="G190" s="59" t="n">
        <f aca="false">F190-H190</f>
        <v>103</v>
      </c>
      <c r="H190" s="9" t="n">
        <f aca="false">0</f>
        <v>0</v>
      </c>
      <c r="I190" s="9"/>
      <c r="J190" s="205"/>
      <c r="K190" s="206"/>
      <c r="L190" s="0"/>
      <c r="P190" s="0"/>
      <c r="R190" s="0"/>
      <c r="U190" s="0"/>
      <c r="V190" s="0"/>
    </row>
    <row r="191" customFormat="false" ht="15.75" hidden="false" customHeight="true" outlineLevel="0" collapsed="false">
      <c r="A191" s="0" t="n">
        <v>28</v>
      </c>
      <c r="B191" s="34" t="n">
        <v>42036</v>
      </c>
      <c r="C191" s="121" t="n">
        <v>47694</v>
      </c>
      <c r="D191" s="1" t="s">
        <v>42</v>
      </c>
      <c r="E191" s="33" t="n">
        <f aca="false">IF(D191="totale",(C191/(A191*24))/F191,IF(D191="marché libre",(C191/(A191*24))/G191,"spécifier histo"))</f>
        <v>0.689060332871013</v>
      </c>
      <c r="F191" s="57" t="n">
        <v>103</v>
      </c>
      <c r="G191" s="59" t="n">
        <f aca="false">F191-H191</f>
        <v>103</v>
      </c>
      <c r="H191" s="9" t="n">
        <f aca="false">0</f>
        <v>0</v>
      </c>
      <c r="I191" s="9"/>
      <c r="J191" s="205"/>
      <c r="K191" s="206"/>
      <c r="L191" s="0"/>
      <c r="P191" s="0"/>
      <c r="R191" s="0"/>
      <c r="U191" s="0"/>
      <c r="V191" s="0"/>
    </row>
    <row r="192" customFormat="false" ht="15.75" hidden="false" customHeight="true" outlineLevel="0" collapsed="false">
      <c r="A192" s="0" t="n">
        <v>31</v>
      </c>
      <c r="B192" s="31" t="n">
        <v>42064</v>
      </c>
      <c r="C192" s="121" t="n">
        <v>56355</v>
      </c>
      <c r="D192" s="1" t="s">
        <v>42</v>
      </c>
      <c r="E192" s="33" t="n">
        <f aca="false">IF(D192="totale",(C192/(A192*24))/F192,IF(D192="marché libre",(C192/(A192*24))/G192,"spécifier histo"))</f>
        <v>0.735397745067335</v>
      </c>
      <c r="F192" s="57" t="n">
        <v>103</v>
      </c>
      <c r="G192" s="57" t="n">
        <f aca="false">F192-H192</f>
        <v>103</v>
      </c>
      <c r="H192" s="9" t="n">
        <f aca="false">0</f>
        <v>0</v>
      </c>
      <c r="I192" s="9"/>
      <c r="J192" s="0"/>
      <c r="K192" s="0"/>
      <c r="L192" s="0"/>
      <c r="M192" s="0"/>
      <c r="N192" s="0"/>
      <c r="O192" s="0"/>
      <c r="P192" s="0"/>
      <c r="Q192" s="0"/>
      <c r="R192" s="0"/>
      <c r="S192" s="0"/>
      <c r="T192" s="0"/>
      <c r="U192" s="0"/>
      <c r="V192" s="0"/>
      <c r="W192" s="0"/>
      <c r="X192" s="0"/>
      <c r="Y192" s="0"/>
      <c r="Z192" s="0"/>
      <c r="AA192" s="0"/>
    </row>
    <row r="193" customFormat="false" ht="15.75" hidden="false" customHeight="true" outlineLevel="0" collapsed="false">
      <c r="A193" s="0" t="n">
        <v>30</v>
      </c>
      <c r="B193" s="31" t="n">
        <v>42095</v>
      </c>
      <c r="C193" s="121" t="n">
        <v>47789</v>
      </c>
      <c r="D193" s="1" t="s">
        <v>42</v>
      </c>
      <c r="E193" s="33" t="n">
        <f aca="false">IF(D193="totale",(C193/(A193*24))/F193,IF(D193="marché libre",(C193/(A193*24))/G193,"spécifier histo"))</f>
        <v>0.644403991370011</v>
      </c>
      <c r="F193" s="57" t="n">
        <v>103</v>
      </c>
      <c r="G193" s="59" t="n">
        <f aca="false">F193-H193</f>
        <v>103</v>
      </c>
      <c r="H193" s="9" t="n">
        <f aca="false">0</f>
        <v>0</v>
      </c>
      <c r="I193" s="9"/>
      <c r="J193" s="0"/>
      <c r="K193" s="0"/>
      <c r="L193" s="0"/>
      <c r="M193" s="0"/>
      <c r="N193" s="0"/>
      <c r="O193" s="0"/>
      <c r="P193" s="0"/>
      <c r="Q193" s="0"/>
      <c r="R193" s="0"/>
      <c r="S193" s="0"/>
      <c r="T193" s="0"/>
      <c r="U193" s="0"/>
      <c r="V193" s="0"/>
      <c r="W193" s="0"/>
      <c r="X193" s="0"/>
      <c r="Y193" s="0"/>
      <c r="Z193" s="0"/>
      <c r="AA193" s="0"/>
    </row>
    <row r="194" customFormat="false" ht="15.75" hidden="false" customHeight="true" outlineLevel="0" collapsed="false">
      <c r="A194" s="0" t="n">
        <v>31</v>
      </c>
      <c r="B194" s="34" t="n">
        <v>42125</v>
      </c>
      <c r="C194" s="121" t="n">
        <v>39007</v>
      </c>
      <c r="D194" s="1" t="s">
        <v>42</v>
      </c>
      <c r="E194" s="33" t="n">
        <f aca="false">IF(D194="totale",(C194/(A194*24))/F194,IF(D194="marché libre",(C194/(A194*24))/G194,"spécifier histo"))</f>
        <v>0.509017120785051</v>
      </c>
      <c r="F194" s="57" t="n">
        <v>103</v>
      </c>
      <c r="G194" s="59" t="n">
        <f aca="false">F194-H194</f>
        <v>103</v>
      </c>
      <c r="H194" s="9" t="n">
        <f aca="false">0</f>
        <v>0</v>
      </c>
      <c r="I194" s="9"/>
      <c r="J194" s="0"/>
      <c r="K194" s="0"/>
      <c r="L194" s="0"/>
      <c r="M194" s="0"/>
      <c r="N194" s="0"/>
      <c r="O194" s="0"/>
      <c r="P194" s="0"/>
      <c r="Q194" s="0"/>
      <c r="R194" s="0"/>
      <c r="S194" s="0"/>
      <c r="T194" s="0"/>
      <c r="U194" s="0"/>
      <c r="V194" s="0"/>
      <c r="W194" s="0"/>
      <c r="X194" s="0"/>
      <c r="Y194" s="0"/>
      <c r="Z194" s="0"/>
      <c r="AA194" s="0"/>
    </row>
    <row r="195" customFormat="false" ht="15.75" hidden="false" customHeight="true" outlineLevel="0" collapsed="false">
      <c r="A195" s="0" t="n">
        <v>30</v>
      </c>
      <c r="B195" s="31" t="n">
        <v>42156</v>
      </c>
      <c r="C195" s="121" t="n">
        <v>39445</v>
      </c>
      <c r="D195" s="1" t="s">
        <v>42</v>
      </c>
      <c r="E195" s="33" t="n">
        <f aca="false">IF(D195="totale",(C195/(A195*24))/F195,IF(D195="marché libre",(C195/(A195*24))/G195,"spécifier histo"))</f>
        <v>0.531890507011866</v>
      </c>
      <c r="F195" s="57" t="n">
        <v>103</v>
      </c>
      <c r="G195" s="59" t="n">
        <f aca="false">F195-H195</f>
        <v>103</v>
      </c>
      <c r="H195" s="9" t="n">
        <f aca="false">0</f>
        <v>0</v>
      </c>
      <c r="I195" s="9"/>
      <c r="J195" s="0"/>
      <c r="K195" s="0"/>
      <c r="L195" s="0"/>
      <c r="M195" s="0"/>
      <c r="N195" s="0"/>
      <c r="O195" s="0"/>
      <c r="P195" s="0"/>
      <c r="Q195" s="0"/>
      <c r="R195" s="0"/>
      <c r="S195" s="0"/>
      <c r="T195" s="0"/>
      <c r="U195" s="0"/>
      <c r="V195" s="0"/>
      <c r="W195" s="0"/>
      <c r="X195" s="0"/>
      <c r="Y195" s="0"/>
      <c r="Z195" s="0"/>
      <c r="AA195" s="0"/>
    </row>
    <row r="196" customFormat="false" ht="15.75" hidden="false" customHeight="true" outlineLevel="0" collapsed="false">
      <c r="A196" s="0" t="n">
        <v>31</v>
      </c>
      <c r="B196" s="31" t="n">
        <v>42186</v>
      </c>
      <c r="C196" s="121" t="n">
        <v>40853</v>
      </c>
      <c r="D196" s="1" t="s">
        <v>42</v>
      </c>
      <c r="E196" s="33" t="n">
        <f aca="false">IF(D196="totale",(C196/(A196*24))/F196,IF(D196="marché libre",(C196/(A196*24))/G196,"spécifier histo"))</f>
        <v>0.533106274141351</v>
      </c>
      <c r="F196" s="57" t="n">
        <v>103</v>
      </c>
      <c r="G196" s="59" t="n">
        <f aca="false">F196-H196</f>
        <v>103</v>
      </c>
      <c r="H196" s="9" t="n">
        <f aca="false">0</f>
        <v>0</v>
      </c>
      <c r="I196" s="9"/>
      <c r="J196" s="0"/>
      <c r="K196" s="0"/>
      <c r="L196" s="0"/>
      <c r="M196" s="0"/>
      <c r="N196" s="0"/>
      <c r="O196" s="0"/>
      <c r="P196" s="0"/>
      <c r="Q196" s="0"/>
      <c r="R196" s="0"/>
      <c r="S196" s="0"/>
      <c r="T196" s="0"/>
      <c r="U196" s="0"/>
      <c r="V196" s="0"/>
      <c r="W196" s="0"/>
      <c r="X196" s="0"/>
      <c r="Y196" s="0"/>
      <c r="Z196" s="0"/>
      <c r="AA196" s="0"/>
    </row>
    <row r="197" customFormat="false" ht="15.75" hidden="false" customHeight="true" outlineLevel="0" collapsed="false">
      <c r="A197" s="0" t="n">
        <v>31</v>
      </c>
      <c r="B197" s="34" t="n">
        <v>42217</v>
      </c>
      <c r="C197" s="121" t="n">
        <v>34612</v>
      </c>
      <c r="D197" s="1" t="s">
        <v>42</v>
      </c>
      <c r="E197" s="33" t="n">
        <f aca="false">IF(D197="totale",(C197/(A197*24))/F197,IF(D197="marché libre",(C197/(A197*24))/G197,"spécifier histo"))</f>
        <v>0.451665100741205</v>
      </c>
      <c r="F197" s="57" t="n">
        <v>103</v>
      </c>
      <c r="G197" s="59" t="n">
        <f aca="false">F197-H197</f>
        <v>103</v>
      </c>
      <c r="H197" s="9" t="n">
        <f aca="false">0</f>
        <v>0</v>
      </c>
      <c r="I197" s="9"/>
      <c r="J197" s="0"/>
      <c r="K197" s="0"/>
      <c r="L197" s="0"/>
      <c r="M197" s="0"/>
      <c r="N197" s="0"/>
      <c r="O197" s="0"/>
      <c r="P197" s="0"/>
      <c r="Q197" s="0"/>
      <c r="R197" s="0"/>
      <c r="S197" s="0"/>
      <c r="T197" s="0"/>
      <c r="U197" s="0"/>
      <c r="V197" s="0"/>
      <c r="W197" s="0"/>
      <c r="X197" s="0"/>
      <c r="Y197" s="0"/>
      <c r="Z197" s="0"/>
      <c r="AA197" s="0"/>
    </row>
    <row r="198" customFormat="false" ht="15.75" hidden="false" customHeight="true" outlineLevel="0" collapsed="false">
      <c r="A198" s="0" t="n">
        <v>30</v>
      </c>
      <c r="B198" s="31" t="n">
        <v>42248</v>
      </c>
      <c r="C198" s="121" t="n">
        <v>27005</v>
      </c>
      <c r="D198" s="1" t="s">
        <v>42</v>
      </c>
      <c r="E198" s="33" t="n">
        <f aca="false">IF(D198="totale",(C198/(A198*24))/F198,IF(D198="marché libre",(C198/(A198*24))/G198,"spécifier histo"))</f>
        <v>0.364145091693635</v>
      </c>
      <c r="F198" s="57" t="n">
        <v>103</v>
      </c>
      <c r="G198" s="59" t="n">
        <f aca="false">F198-H198</f>
        <v>103</v>
      </c>
      <c r="H198" s="9" t="n">
        <f aca="false">0</f>
        <v>0</v>
      </c>
      <c r="I198" s="9"/>
      <c r="J198" s="0"/>
      <c r="K198" s="0"/>
      <c r="L198" s="0"/>
      <c r="M198" s="0"/>
      <c r="N198" s="0"/>
      <c r="O198" s="0"/>
      <c r="P198" s="0"/>
      <c r="Q198" s="0"/>
      <c r="R198" s="0"/>
      <c r="S198" s="0"/>
      <c r="T198" s="0"/>
      <c r="U198" s="0"/>
      <c r="V198" s="0"/>
      <c r="W198" s="0"/>
      <c r="X198" s="0"/>
      <c r="Y198" s="0"/>
      <c r="Z198" s="0"/>
      <c r="AA198" s="0"/>
    </row>
    <row r="199" customFormat="false" ht="15.75" hidden="false" customHeight="true" outlineLevel="0" collapsed="false">
      <c r="A199" s="0" t="n">
        <v>31</v>
      </c>
      <c r="B199" s="31" t="n">
        <v>42278</v>
      </c>
      <c r="C199" s="121" t="n">
        <v>18193</v>
      </c>
      <c r="D199" s="1" t="s">
        <v>42</v>
      </c>
      <c r="E199" s="33" t="n">
        <f aca="false">IF(D199="totale",(C199/(A199*24))/F199,IF(D199="marché libre",(C199/(A199*24))/G199,"spécifier histo"))</f>
        <v>0.237407349410168</v>
      </c>
      <c r="F199" s="57" t="n">
        <v>103</v>
      </c>
      <c r="G199" s="59" t="n">
        <f aca="false">F199-H199</f>
        <v>103</v>
      </c>
      <c r="H199" s="9" t="n">
        <f aca="false">0</f>
        <v>0</v>
      </c>
      <c r="I199" s="9"/>
      <c r="J199" s="0"/>
      <c r="K199" s="0"/>
      <c r="L199" s="0"/>
      <c r="M199" s="0"/>
      <c r="N199" s="0"/>
      <c r="O199" s="0"/>
      <c r="P199" s="0"/>
      <c r="Q199" s="0"/>
      <c r="R199" s="0"/>
      <c r="S199" s="0"/>
      <c r="T199" s="0"/>
      <c r="U199" s="0"/>
      <c r="V199" s="0"/>
      <c r="W199" s="0"/>
      <c r="X199" s="0"/>
      <c r="Y199" s="0"/>
      <c r="Z199" s="0"/>
      <c r="AA199" s="292"/>
    </row>
    <row r="200" customFormat="false" ht="15.75" hidden="false" customHeight="true" outlineLevel="0" collapsed="false">
      <c r="A200" s="0" t="n">
        <v>30</v>
      </c>
      <c r="B200" s="34" t="n">
        <v>42309</v>
      </c>
      <c r="C200" s="121" t="n">
        <v>25383</v>
      </c>
      <c r="D200" s="1" t="s">
        <v>42</v>
      </c>
      <c r="E200" s="33" t="n">
        <f aca="false">IF(D200="totale",(C200/(A200*24))/F200,IF(D200="marché libre",(C200/(A200*24))/G200,"spécifier histo"))</f>
        <v>0.342273462783172</v>
      </c>
      <c r="F200" s="57" t="n">
        <v>103</v>
      </c>
      <c r="G200" s="59" t="n">
        <f aca="false">F200-H200</f>
        <v>103</v>
      </c>
      <c r="H200" s="9" t="n">
        <f aca="false">0</f>
        <v>0</v>
      </c>
      <c r="I200" s="9"/>
      <c r="J200" s="0"/>
      <c r="K200" s="0"/>
      <c r="L200" s="0"/>
      <c r="M200" s="0"/>
      <c r="N200" s="0"/>
      <c r="O200" s="0"/>
      <c r="P200" s="0"/>
      <c r="Q200" s="0"/>
      <c r="R200" s="0"/>
      <c r="S200" s="0"/>
      <c r="T200" s="0"/>
      <c r="U200" s="0"/>
      <c r="V200" s="0"/>
      <c r="W200" s="0"/>
      <c r="X200" s="0"/>
      <c r="Y200" s="0"/>
      <c r="Z200" s="0"/>
      <c r="AA200" s="292"/>
    </row>
    <row r="201" customFormat="false" ht="15.75" hidden="false" customHeight="true" outlineLevel="0" collapsed="false">
      <c r="A201" s="0" t="n">
        <v>31</v>
      </c>
      <c r="B201" s="31" t="n">
        <v>42339</v>
      </c>
      <c r="C201" s="121" t="n">
        <v>18823</v>
      </c>
      <c r="D201" s="1" t="s">
        <v>42</v>
      </c>
      <c r="E201" s="33" t="n">
        <f aca="false">IF(D201="totale",(C201/(A201*24))/F201,IF(D201="marché libre",(C201/(A201*24))/G201,"spécifier histo"))</f>
        <v>0.245628458085395</v>
      </c>
      <c r="F201" s="57" t="n">
        <v>103</v>
      </c>
      <c r="G201" s="59" t="n">
        <f aca="false">F201-H201</f>
        <v>103</v>
      </c>
      <c r="H201" s="9" t="n">
        <f aca="false">0</f>
        <v>0</v>
      </c>
      <c r="I201" s="9"/>
      <c r="J201" s="0"/>
      <c r="K201" s="0"/>
      <c r="L201" s="0"/>
      <c r="M201" s="0"/>
      <c r="N201" s="0"/>
      <c r="O201" s="0"/>
      <c r="P201" s="0"/>
      <c r="Q201" s="0"/>
      <c r="R201" s="0"/>
      <c r="S201" s="0"/>
      <c r="T201" s="0"/>
      <c r="U201" s="0"/>
      <c r="V201" s="0"/>
      <c r="W201" s="0"/>
      <c r="X201" s="0"/>
      <c r="Y201" s="0"/>
      <c r="Z201" s="0"/>
      <c r="AA201" s="292"/>
    </row>
    <row r="202" customFormat="false" ht="15.75" hidden="false" customHeight="true" outlineLevel="0" collapsed="false">
      <c r="A202" s="0" t="n">
        <v>31</v>
      </c>
      <c r="B202" s="31" t="n">
        <v>42370</v>
      </c>
      <c r="C202" s="121" t="n">
        <v>50716</v>
      </c>
      <c r="D202" s="1" t="s">
        <v>42</v>
      </c>
      <c r="E202" s="33" t="n">
        <f aca="false">IF(D202="totale",(C202/(A202*24))/F202,IF(D202="marché libre",(C202/(A202*24))/G202,"spécifier histo"))</f>
        <v>0.661812297734628</v>
      </c>
      <c r="F202" s="57" t="n">
        <v>103</v>
      </c>
      <c r="G202" s="59" t="n">
        <f aca="false">F202-H202</f>
        <v>103</v>
      </c>
      <c r="H202" s="9" t="n">
        <f aca="false">0</f>
        <v>0</v>
      </c>
      <c r="I202" s="9"/>
      <c r="J202" s="0"/>
      <c r="K202" s="0"/>
      <c r="L202" s="0"/>
      <c r="M202" s="0"/>
      <c r="N202" s="0"/>
      <c r="O202" s="0"/>
      <c r="P202" s="0"/>
      <c r="Q202" s="0"/>
      <c r="R202" s="0"/>
      <c r="S202" s="0"/>
      <c r="T202" s="0"/>
      <c r="U202" s="0"/>
      <c r="V202" s="0"/>
      <c r="W202" s="0"/>
      <c r="X202" s="0"/>
      <c r="Y202" s="0"/>
      <c r="Z202" s="0"/>
      <c r="AA202" s="292"/>
    </row>
    <row r="203" customFormat="false" ht="15.75" hidden="false" customHeight="true" outlineLevel="0" collapsed="false">
      <c r="A203" s="0" t="n">
        <v>28</v>
      </c>
      <c r="B203" s="34" t="n">
        <v>42401</v>
      </c>
      <c r="C203" s="121" t="n">
        <v>49529</v>
      </c>
      <c r="D203" s="1" t="s">
        <v>42</v>
      </c>
      <c r="E203" s="33" t="n">
        <f aca="false">IF(D203="totale",(C203/(A203*24))/F203,IF(D203="marché libre",(C203/(A203*24))/G203,"spécifier histo"))</f>
        <v>0.715571544151641</v>
      </c>
      <c r="F203" s="57" t="n">
        <v>103</v>
      </c>
      <c r="G203" s="59" t="n">
        <f aca="false">F203-H203</f>
        <v>103</v>
      </c>
      <c r="H203" s="9" t="n">
        <f aca="false">0</f>
        <v>0</v>
      </c>
      <c r="I203" s="9"/>
      <c r="J203" s="0"/>
      <c r="K203" s="0"/>
      <c r="L203" s="0"/>
      <c r="M203" s="0"/>
      <c r="N203" s="0"/>
      <c r="O203" s="0"/>
      <c r="P203" s="0"/>
      <c r="Q203" s="0"/>
      <c r="R203" s="0"/>
      <c r="S203" s="0"/>
      <c r="T203" s="0"/>
      <c r="U203" s="0"/>
      <c r="V203" s="0"/>
      <c r="W203" s="0"/>
      <c r="X203" s="0"/>
      <c r="Y203" s="0"/>
      <c r="Z203" s="0"/>
      <c r="AA203" s="292"/>
    </row>
    <row r="204" customFormat="false" ht="15.75" hidden="false" customHeight="true" outlineLevel="0" collapsed="false">
      <c r="A204" s="0" t="n">
        <v>31</v>
      </c>
      <c r="B204" s="31" t="n">
        <v>42430</v>
      </c>
      <c r="C204" s="121" t="n">
        <v>47462</v>
      </c>
      <c r="D204" s="1" t="s">
        <v>42</v>
      </c>
      <c r="E204" s="33" t="n">
        <f aca="false">IF(D204="totale",(C204/(A204*24))/F204,IF(D204="marché libre",(C204/(A204*24))/G204,"spécifier histo"))</f>
        <v>0.619349618958138</v>
      </c>
      <c r="F204" s="57" t="n">
        <v>103</v>
      </c>
      <c r="G204" s="59" t="n">
        <f aca="false">F204-H204</f>
        <v>103</v>
      </c>
      <c r="H204" s="9" t="n">
        <f aca="false">0</f>
        <v>0</v>
      </c>
      <c r="I204" s="9"/>
      <c r="J204" s="0"/>
      <c r="K204" s="293"/>
      <c r="L204" s="0"/>
      <c r="M204" s="292"/>
      <c r="N204" s="0"/>
      <c r="O204" s="292"/>
      <c r="P204" s="0"/>
      <c r="Q204" s="0"/>
      <c r="R204" s="0"/>
      <c r="S204" s="0"/>
      <c r="T204" s="292"/>
      <c r="U204" s="292"/>
      <c r="V204" s="0"/>
      <c r="Y204" s="0"/>
    </row>
    <row r="205" customFormat="false" ht="15.75" hidden="false" customHeight="true" outlineLevel="0" collapsed="false">
      <c r="A205" s="0" t="n">
        <v>30</v>
      </c>
      <c r="B205" s="31" t="n">
        <v>42461</v>
      </c>
      <c r="C205" s="121" t="n">
        <v>34569</v>
      </c>
      <c r="D205" s="1" t="s">
        <v>42</v>
      </c>
      <c r="E205" s="33" t="n">
        <f aca="false">IF(D205="totale",(C205/(A205*24))/F205,IF(D205="marché libre",(C205/(A205*24))/G205,"spécifier histo"))</f>
        <v>0.466140776699029</v>
      </c>
      <c r="F205" s="57" t="n">
        <v>103</v>
      </c>
      <c r="G205" s="59" t="n">
        <f aca="false">F205-H205</f>
        <v>103</v>
      </c>
      <c r="H205" s="9" t="n">
        <f aca="false">0</f>
        <v>0</v>
      </c>
      <c r="I205" s="9"/>
      <c r="J205" s="0"/>
      <c r="K205" s="293"/>
      <c r="L205" s="0"/>
      <c r="M205" s="292"/>
      <c r="N205" s="0"/>
      <c r="O205" s="292"/>
      <c r="P205" s="0"/>
      <c r="Q205" s="0"/>
      <c r="R205" s="0"/>
      <c r="S205" s="0"/>
      <c r="T205" s="292"/>
      <c r="U205" s="292"/>
      <c r="V205" s="0"/>
      <c r="Y205" s="0"/>
    </row>
    <row r="206" customFormat="false" ht="15.75" hidden="false" customHeight="true" outlineLevel="0" collapsed="false">
      <c r="A206" s="0" t="n">
        <v>31</v>
      </c>
      <c r="B206" s="34" t="n">
        <v>42491</v>
      </c>
      <c r="C206" s="121" t="n">
        <v>39200</v>
      </c>
      <c r="D206" s="1" t="s">
        <v>42</v>
      </c>
      <c r="E206" s="33" t="n">
        <f aca="false">IF(D206="totale",(C206/(A206*24))/F206,IF(D206="marché libre",(C206/(A206*24))/G206,"spécifier histo"))</f>
        <v>0.511535650903017</v>
      </c>
      <c r="F206" s="57" t="n">
        <v>103</v>
      </c>
      <c r="G206" s="59" t="n">
        <f aca="false">F206-H206</f>
        <v>103</v>
      </c>
      <c r="H206" s="9" t="n">
        <f aca="false">0</f>
        <v>0</v>
      </c>
      <c r="I206" s="9"/>
      <c r="J206" s="0"/>
      <c r="K206" s="293"/>
      <c r="L206" s="0"/>
      <c r="M206" s="292"/>
      <c r="N206" s="0"/>
      <c r="O206" s="292"/>
      <c r="P206" s="0"/>
      <c r="Q206" s="0"/>
      <c r="R206" s="0"/>
      <c r="S206" s="0"/>
      <c r="T206" s="292"/>
      <c r="U206" s="292"/>
      <c r="V206" s="0"/>
      <c r="Y206" s="0"/>
    </row>
    <row r="207" customFormat="false" ht="15.75" hidden="false" customHeight="true" outlineLevel="0" collapsed="false">
      <c r="A207" s="0" t="n">
        <v>30</v>
      </c>
      <c r="B207" s="31" t="n">
        <v>42522</v>
      </c>
      <c r="C207" s="121" t="n">
        <v>41909</v>
      </c>
      <c r="D207" s="1" t="s">
        <v>42</v>
      </c>
      <c r="E207" s="33" t="n">
        <f aca="false">IF(D207="totale",(C207/(A207*24))/F207,IF(D207="marché libre",(C207/(A207*24))/G207,"spécifier histo"))</f>
        <v>0.565115965480043</v>
      </c>
      <c r="F207" s="57" t="n">
        <v>103</v>
      </c>
      <c r="G207" s="59" t="n">
        <f aca="false">F207-H207</f>
        <v>103</v>
      </c>
      <c r="H207" s="9" t="n">
        <f aca="false">0</f>
        <v>0</v>
      </c>
      <c r="I207" s="9"/>
      <c r="J207" s="0"/>
      <c r="K207" s="293"/>
      <c r="L207" s="0"/>
      <c r="M207" s="292"/>
      <c r="N207" s="0"/>
      <c r="O207" s="292"/>
      <c r="P207" s="0"/>
      <c r="Q207" s="0"/>
      <c r="R207" s="0"/>
      <c r="S207" s="0"/>
      <c r="T207" s="292"/>
      <c r="U207" s="292"/>
      <c r="V207" s="0"/>
      <c r="Y207" s="0"/>
    </row>
    <row r="208" customFormat="false" ht="15.75" hidden="false" customHeight="true" outlineLevel="0" collapsed="false">
      <c r="A208" s="0" t="n">
        <v>31</v>
      </c>
      <c r="B208" s="31" t="n">
        <v>42552</v>
      </c>
      <c r="C208" s="121" t="n">
        <v>41749</v>
      </c>
      <c r="D208" s="1" t="s">
        <v>42</v>
      </c>
      <c r="E208" s="33" t="n">
        <f aca="false">IF(D208="totale",(C208/(A208*24))/F208,IF(D208="marché libre",(C208/(A208*24))/G208,"spécifier histo"))</f>
        <v>0.544798517590563</v>
      </c>
      <c r="F208" s="57" t="n">
        <v>103</v>
      </c>
      <c r="G208" s="59" t="n">
        <f aca="false">F208-H208</f>
        <v>103</v>
      </c>
      <c r="H208" s="9" t="n">
        <f aca="false">0</f>
        <v>0</v>
      </c>
      <c r="I208" s="9"/>
      <c r="J208" s="0"/>
      <c r="K208" s="293"/>
      <c r="L208" s="0"/>
      <c r="M208" s="292"/>
      <c r="N208" s="0"/>
      <c r="O208" s="292"/>
      <c r="P208" s="0"/>
      <c r="Q208" s="0"/>
      <c r="R208" s="0"/>
      <c r="S208" s="0"/>
      <c r="T208" s="292"/>
      <c r="U208" s="292"/>
      <c r="V208" s="0"/>
      <c r="Y208" s="0"/>
    </row>
    <row r="209" customFormat="false" ht="15.75" hidden="false" customHeight="true" outlineLevel="0" collapsed="false">
      <c r="A209" s="0" t="n">
        <v>31</v>
      </c>
      <c r="B209" s="34" t="n">
        <v>42583</v>
      </c>
      <c r="C209" s="121" t="n">
        <v>33569</v>
      </c>
      <c r="D209" s="1" t="s">
        <v>42</v>
      </c>
      <c r="E209" s="33" t="n">
        <f aca="false">IF(D209="totale",(C209/(A209*24))/F209,IF(D209="marché libre",(C209/(A209*24))/G209,"spécifier histo"))</f>
        <v>0.438054598601107</v>
      </c>
      <c r="F209" s="57" t="n">
        <v>103</v>
      </c>
      <c r="G209" s="59" t="n">
        <f aca="false">F209-H209</f>
        <v>103</v>
      </c>
      <c r="H209" s="9" t="n">
        <f aca="false">0</f>
        <v>0</v>
      </c>
      <c r="I209" s="9"/>
      <c r="J209" s="0"/>
      <c r="K209" s="293"/>
      <c r="L209" s="0"/>
      <c r="M209" s="292"/>
      <c r="N209" s="0"/>
      <c r="O209" s="292"/>
      <c r="P209" s="0"/>
      <c r="Q209" s="0"/>
      <c r="R209" s="0"/>
      <c r="S209" s="0"/>
      <c r="T209" s="292"/>
      <c r="U209" s="292"/>
      <c r="V209" s="0"/>
      <c r="Y209" s="0"/>
    </row>
    <row r="210" customFormat="false" ht="15.75" hidden="false" customHeight="true" outlineLevel="0" collapsed="false">
      <c r="A210" s="0" t="n">
        <v>30</v>
      </c>
      <c r="B210" s="31" t="n">
        <v>42614</v>
      </c>
      <c r="C210" s="121" t="n">
        <v>13548</v>
      </c>
      <c r="D210" s="1" t="s">
        <v>42</v>
      </c>
      <c r="E210" s="33" t="n">
        <f aca="false">IF(D210="totale",(C210/(A210*24))/F210,IF(D210="marché libre",(C210/(A210*24))/G210,"spécifier histo"))</f>
        <v>0.182686084142395</v>
      </c>
      <c r="F210" s="57" t="n">
        <v>103</v>
      </c>
      <c r="G210" s="59" t="n">
        <f aca="false">F210-H210</f>
        <v>103</v>
      </c>
      <c r="H210" s="9" t="n">
        <f aca="false">0</f>
        <v>0</v>
      </c>
      <c r="I210" s="9"/>
      <c r="J210" s="0"/>
      <c r="K210" s="206"/>
      <c r="L210" s="0"/>
      <c r="N210" s="0"/>
      <c r="P210" s="0"/>
      <c r="Q210" s="0"/>
      <c r="R210" s="0"/>
      <c r="S210" s="0"/>
      <c r="V210" s="0"/>
      <c r="Y210" s="0"/>
    </row>
    <row r="211" customFormat="false" ht="15.75" hidden="false" customHeight="true" outlineLevel="0" collapsed="false">
      <c r="A211" s="0" t="n">
        <v>31</v>
      </c>
      <c r="B211" s="31" t="n">
        <v>42644</v>
      </c>
      <c r="C211" s="121" t="n">
        <v>5435</v>
      </c>
      <c r="D211" s="1" t="s">
        <v>42</v>
      </c>
      <c r="E211" s="33" t="n">
        <f aca="false">IF(D211="totale",(C211/(A211*24))/F211,IF(D211="marché libre",(C211/(A211*24))/G211,"spécifier histo"))</f>
        <v>0.0709233740473953</v>
      </c>
      <c r="F211" s="57" t="n">
        <v>103</v>
      </c>
      <c r="G211" s="59" t="n">
        <f aca="false">F211-H211</f>
        <v>103</v>
      </c>
      <c r="H211" s="9" t="n">
        <f aca="false">0</f>
        <v>0</v>
      </c>
      <c r="I211" s="9"/>
      <c r="J211" s="0"/>
      <c r="K211" s="206"/>
      <c r="L211" s="0"/>
      <c r="N211" s="0"/>
      <c r="P211" s="0"/>
      <c r="Q211" s="0"/>
      <c r="R211" s="0"/>
      <c r="S211" s="0"/>
      <c r="V211" s="0"/>
      <c r="Y211" s="0"/>
    </row>
    <row r="212" customFormat="false" ht="15.75" hidden="false" customHeight="true" outlineLevel="0" collapsed="false">
      <c r="A212" s="0" t="n">
        <v>30</v>
      </c>
      <c r="B212" s="34" t="n">
        <v>42675</v>
      </c>
      <c r="C212" s="121" t="n">
        <v>24801</v>
      </c>
      <c r="D212" s="1" t="s">
        <v>42</v>
      </c>
      <c r="E212" s="33" t="n">
        <f aca="false">IF(D212="totale",(C212/(A212*24))/F212,IF(D212="marché libre",(C212/(A212*24))/G212,"spécifier histo"))</f>
        <v>0.334425566343042</v>
      </c>
      <c r="F212" s="57" t="n">
        <v>103</v>
      </c>
      <c r="G212" s="59" t="n">
        <f aca="false">F212-H212</f>
        <v>103</v>
      </c>
      <c r="H212" s="9" t="n">
        <f aca="false">0</f>
        <v>0</v>
      </c>
      <c r="I212" s="9"/>
      <c r="J212" s="0"/>
      <c r="K212" s="206"/>
      <c r="L212" s="0"/>
      <c r="N212" s="0"/>
      <c r="P212" s="0"/>
      <c r="Q212" s="0"/>
      <c r="R212" s="0"/>
      <c r="S212" s="0"/>
      <c r="V212" s="0"/>
      <c r="Y212" s="0"/>
    </row>
    <row r="213" customFormat="false" ht="15.75" hidden="false" customHeight="true" outlineLevel="0" collapsed="false">
      <c r="A213" s="0" t="n">
        <v>31</v>
      </c>
      <c r="B213" s="31" t="n">
        <v>42705</v>
      </c>
      <c r="C213" s="121" t="n">
        <v>9214</v>
      </c>
      <c r="D213" s="1" t="s">
        <v>42</v>
      </c>
      <c r="E213" s="33" t="n">
        <f aca="false">IF(D213="totale",(C213/(A213*24))/F213,IF(D213="marché libre",(C213/(A213*24))/G213,"spécifier histo"))</f>
        <v>0.120236976719908</v>
      </c>
      <c r="F213" s="57" t="n">
        <v>103</v>
      </c>
      <c r="G213" s="59" t="n">
        <f aca="false">F213-H213</f>
        <v>103</v>
      </c>
      <c r="H213" s="9" t="n">
        <f aca="false">0</f>
        <v>0</v>
      </c>
      <c r="I213" s="9"/>
      <c r="J213" s="0"/>
      <c r="K213" s="206"/>
      <c r="L213" s="0"/>
      <c r="N213" s="0"/>
      <c r="P213" s="0"/>
      <c r="Q213" s="0"/>
      <c r="R213" s="0"/>
      <c r="S213" s="0"/>
      <c r="V213" s="0"/>
      <c r="Y213" s="0"/>
    </row>
    <row r="214" customFormat="false" ht="15.75" hidden="false" customHeight="true" outlineLevel="0" collapsed="false">
      <c r="A214" s="0" t="n">
        <v>31</v>
      </c>
      <c r="B214" s="31" t="n">
        <v>42736</v>
      </c>
      <c r="C214" s="121" t="n">
        <v>18629</v>
      </c>
      <c r="D214" s="1" t="s">
        <v>42</v>
      </c>
      <c r="E214" s="33" t="n">
        <f aca="false">IF(D214="totale",(C214/(A214*24))/F214,IF(D214="marché libre",(C214/(A214*24))/G214,"spécifier histo"))</f>
        <v>0.243096878588579</v>
      </c>
      <c r="F214" s="57" t="n">
        <v>103</v>
      </c>
      <c r="G214" s="59" t="n">
        <f aca="false">F214-H214</f>
        <v>103</v>
      </c>
      <c r="H214" s="9" t="n">
        <f aca="false">0</f>
        <v>0</v>
      </c>
      <c r="J214" s="0"/>
      <c r="K214" s="206"/>
      <c r="L214" s="0"/>
      <c r="N214" s="0"/>
      <c r="P214" s="0"/>
      <c r="Q214" s="0"/>
      <c r="R214" s="0"/>
      <c r="S214" s="0"/>
      <c r="V214" s="0"/>
      <c r="Y214" s="0"/>
    </row>
    <row r="215" customFormat="false" ht="15.75" hidden="false" customHeight="true" outlineLevel="0" collapsed="false">
      <c r="A215" s="0" t="n">
        <v>28</v>
      </c>
      <c r="B215" s="34" t="n">
        <v>42767</v>
      </c>
      <c r="C215" s="121" t="n">
        <v>34921</v>
      </c>
      <c r="D215" s="1" t="s">
        <v>42</v>
      </c>
      <c r="E215" s="33" t="n">
        <f aca="false">IF(D215="totale",(C215/(A215*24))/F215,IF(D215="marché libre",(C215/(A215*24))/G215,"spécifier histo"))</f>
        <v>0.504522075820619</v>
      </c>
      <c r="F215" s="57" t="n">
        <v>103</v>
      </c>
      <c r="G215" s="59" t="n">
        <f aca="false">F215-H215</f>
        <v>103</v>
      </c>
      <c r="H215" s="9" t="n">
        <f aca="false">0</f>
        <v>0</v>
      </c>
      <c r="I215" s="206"/>
      <c r="J215" s="0"/>
      <c r="K215" s="206"/>
      <c r="L215" s="0"/>
      <c r="M215" s="206"/>
      <c r="N215" s="0"/>
      <c r="P215" s="0"/>
      <c r="Q215" s="0"/>
      <c r="R215" s="0"/>
      <c r="S215" s="0"/>
      <c r="V215" s="0"/>
      <c r="Y215" s="0"/>
    </row>
    <row r="216" customFormat="false" ht="15.75" hidden="false" customHeight="true" outlineLevel="0" collapsed="false">
      <c r="A216" s="0" t="n">
        <v>31</v>
      </c>
      <c r="B216" s="31" t="n">
        <v>42795</v>
      </c>
      <c r="C216" s="121" t="n">
        <v>49689</v>
      </c>
      <c r="D216" s="1" t="s">
        <v>42</v>
      </c>
      <c r="E216" s="33" t="n">
        <f aca="false">IF(D216="totale",(C216/(A216*24))/F216,IF(D216="marché libre",(C216/(A216*24))/G216,"spécifier histo"))</f>
        <v>0.648410585656123</v>
      </c>
      <c r="F216" s="57" t="n">
        <v>103</v>
      </c>
      <c r="G216" s="59" t="n">
        <f aca="false">F216-H216</f>
        <v>103</v>
      </c>
      <c r="H216" s="9" t="n">
        <f aca="false">0</f>
        <v>0</v>
      </c>
      <c r="J216" s="0"/>
      <c r="K216" s="206"/>
      <c r="L216" s="0"/>
      <c r="N216" s="0"/>
      <c r="P216" s="0"/>
      <c r="Q216" s="0"/>
      <c r="R216" s="0"/>
      <c r="S216" s="0"/>
      <c r="V216" s="0"/>
      <c r="Y216" s="0"/>
    </row>
    <row r="217" customFormat="false" ht="19.85" hidden="false" customHeight="true" outlineLevel="0" collapsed="false">
      <c r="A217" s="0" t="n">
        <v>30</v>
      </c>
      <c r="B217" s="34" t="n">
        <v>42826</v>
      </c>
      <c r="C217" s="121" t="n">
        <v>42458</v>
      </c>
      <c r="D217" s="1" t="s">
        <v>42</v>
      </c>
      <c r="E217" s="33" t="n">
        <f aca="false">IF(D217="totale",(C217/(A217*24))/F217,IF(D217="marché libre",(C217/(A217*24))/G217,"spécifier histo"))</f>
        <v>0.572518878101402</v>
      </c>
      <c r="F217" s="57" t="n">
        <v>103</v>
      </c>
      <c r="G217" s="59" t="n">
        <f aca="false">F217-H217</f>
        <v>103</v>
      </c>
      <c r="H217" s="9" t="n">
        <f aca="false">0</f>
        <v>0</v>
      </c>
      <c r="J217" s="0"/>
      <c r="K217" s="206"/>
      <c r="L217" s="0"/>
      <c r="N217" s="0"/>
      <c r="P217" s="0"/>
      <c r="Q217" s="0"/>
      <c r="R217" s="0"/>
      <c r="S217" s="0"/>
      <c r="V217" s="0"/>
      <c r="Y217" s="0"/>
    </row>
    <row r="218" customFormat="false" ht="19.85" hidden="false" customHeight="true" outlineLevel="0" collapsed="false">
      <c r="A218" s="0" t="n">
        <v>31</v>
      </c>
      <c r="B218" s="31" t="n">
        <v>42856</v>
      </c>
      <c r="C218" s="121" t="n">
        <v>49043</v>
      </c>
      <c r="D218" s="1" t="s">
        <v>42</v>
      </c>
      <c r="E218" s="33" t="n">
        <f aca="false">IF(D218="totale",(C218/(A218*24))/F218,IF(D218="marché libre",(C218/(A218*24))/G218,"spécifier histo"))</f>
        <v>0.639980686919303</v>
      </c>
      <c r="F218" s="57" t="n">
        <v>103</v>
      </c>
      <c r="G218" s="59" t="n">
        <f aca="false">F218-H218</f>
        <v>103</v>
      </c>
      <c r="H218" s="9" t="n">
        <f aca="false">0</f>
        <v>0</v>
      </c>
      <c r="J218" s="0"/>
      <c r="K218" s="206"/>
      <c r="L218" s="0"/>
      <c r="N218" s="0"/>
      <c r="P218" s="0"/>
      <c r="Q218" s="0"/>
      <c r="R218" s="0"/>
      <c r="S218" s="0"/>
      <c r="V218" s="0"/>
      <c r="Y218" s="0"/>
    </row>
    <row r="219" customFormat="false" ht="22.45" hidden="false" customHeight="true" outlineLevel="0" collapsed="false">
      <c r="A219" s="0" t="n">
        <v>30</v>
      </c>
      <c r="B219" s="34" t="n">
        <v>42887</v>
      </c>
      <c r="C219" s="121" t="n">
        <v>41702</v>
      </c>
      <c r="D219" s="1" t="s">
        <v>42</v>
      </c>
      <c r="E219" s="33" t="n">
        <f aca="false">IF(D219="totale",(C219/(A219*24))/F219,IF(D219="marché libre",(C219/(A219*24))/G219,"spécifier histo"))</f>
        <v>0.562324703344121</v>
      </c>
      <c r="F219" s="57" t="n">
        <v>103</v>
      </c>
      <c r="G219" s="59" t="n">
        <f aca="false">F219-H219</f>
        <v>103</v>
      </c>
      <c r="H219" s="9" t="n">
        <f aca="false">0</f>
        <v>0</v>
      </c>
      <c r="J219" s="0"/>
      <c r="K219" s="206"/>
      <c r="L219" s="0"/>
      <c r="N219" s="0"/>
      <c r="P219" s="0"/>
      <c r="Q219" s="0"/>
      <c r="R219" s="0"/>
      <c r="S219" s="0"/>
      <c r="V219" s="0"/>
      <c r="Y219" s="0"/>
    </row>
    <row r="220" customFormat="false" ht="21.65" hidden="false" customHeight="true" outlineLevel="0" collapsed="false">
      <c r="A220" s="0" t="n">
        <v>31</v>
      </c>
      <c r="B220" s="31" t="n">
        <v>42917</v>
      </c>
      <c r="C220" s="121" t="n">
        <v>24969</v>
      </c>
      <c r="D220" s="1" t="s">
        <v>42</v>
      </c>
      <c r="E220" s="33" t="n">
        <f aca="false">IF(D220="totale",(C220/(A220*24))/F220,IF(D220="marché libre",(C220/(A220*24))/G220,"spécifier histo"))</f>
        <v>0.325829940494832</v>
      </c>
      <c r="F220" s="57" t="n">
        <v>103</v>
      </c>
      <c r="G220" s="59" t="n">
        <f aca="false">F220-H220</f>
        <v>103</v>
      </c>
      <c r="H220" s="9" t="n">
        <f aca="false">0</f>
        <v>0</v>
      </c>
      <c r="J220" s="0"/>
      <c r="K220" s="206"/>
      <c r="L220" s="0"/>
      <c r="N220" s="0"/>
      <c r="P220" s="0"/>
      <c r="Q220" s="0"/>
      <c r="R220" s="0"/>
      <c r="S220" s="0"/>
      <c r="V220" s="0"/>
      <c r="Y220" s="0"/>
    </row>
    <row r="221" customFormat="false" ht="21.65" hidden="false" customHeight="true" outlineLevel="0" collapsed="false">
      <c r="A221" s="0" t="n">
        <v>31</v>
      </c>
      <c r="B221" s="34" t="n">
        <v>42948</v>
      </c>
      <c r="C221" s="121" t="n">
        <v>26098</v>
      </c>
      <c r="D221" s="1" t="s">
        <v>42</v>
      </c>
      <c r="E221" s="33" t="n">
        <f aca="false">IF(D221="totale",(C221/(A221*24))/F221,IF(D221="marché libre",(C221/(A221*24))/G221,"spécifier histo"))</f>
        <v>0.340562689215993</v>
      </c>
      <c r="F221" s="57" t="n">
        <v>103</v>
      </c>
      <c r="G221" s="59" t="n">
        <f aca="false">F221-H221</f>
        <v>103</v>
      </c>
      <c r="H221" s="9" t="n">
        <f aca="false">0</f>
        <v>0</v>
      </c>
      <c r="J221" s="0"/>
      <c r="K221" s="206"/>
      <c r="L221" s="0"/>
      <c r="N221" s="0"/>
      <c r="P221" s="0"/>
      <c r="Q221" s="0"/>
      <c r="R221" s="0"/>
      <c r="S221" s="0"/>
      <c r="V221" s="0"/>
      <c r="Y221" s="0"/>
    </row>
    <row r="222" customFormat="false" ht="21.65" hidden="false" customHeight="true" outlineLevel="0" collapsed="false">
      <c r="A222" s="0" t="n">
        <v>30</v>
      </c>
      <c r="B222" s="31" t="n">
        <v>42979</v>
      </c>
      <c r="C222" s="121" t="n">
        <v>11468</v>
      </c>
      <c r="D222" s="1" t="s">
        <v>42</v>
      </c>
      <c r="E222" s="33" t="n">
        <f aca="false">IF(D222="totale",(C222/(A222*24))/F222,IF(D222="marché libre",(C222/(A222*24))/G222,"spécifier histo"))</f>
        <v>0.154638619201726</v>
      </c>
      <c r="F222" s="57" t="n">
        <v>103</v>
      </c>
      <c r="G222" s="59" t="n">
        <f aca="false">F222-H222</f>
        <v>103</v>
      </c>
      <c r="H222" s="9" t="n">
        <f aca="false">0</f>
        <v>0</v>
      </c>
      <c r="J222" s="0"/>
      <c r="K222" s="206"/>
      <c r="L222" s="0"/>
      <c r="N222" s="0"/>
      <c r="P222" s="0"/>
      <c r="Q222" s="0"/>
      <c r="R222" s="0"/>
      <c r="S222" s="0"/>
      <c r="V222" s="0"/>
      <c r="Y222" s="0"/>
    </row>
    <row r="223" customFormat="false" ht="21.65" hidden="false" customHeight="true" outlineLevel="0" collapsed="false">
      <c r="A223" s="0" t="n">
        <v>31</v>
      </c>
      <c r="B223" s="34" t="n">
        <v>43009</v>
      </c>
      <c r="C223" s="121" t="n">
        <v>7373</v>
      </c>
      <c r="D223" s="1" t="s">
        <v>42</v>
      </c>
      <c r="E223" s="33" t="n">
        <f aca="false">IF(D223="totale",(C223/(A223*24))/F223,IF(D223="marché libre",(C223/(A223*24))/G223,"spécifier histo"))</f>
        <v>0.0962130702578557</v>
      </c>
      <c r="F223" s="57" t="n">
        <v>103</v>
      </c>
      <c r="G223" s="59" t="n">
        <f aca="false">F223-H223</f>
        <v>103</v>
      </c>
      <c r="H223" s="9" t="n">
        <f aca="false">0</f>
        <v>0</v>
      </c>
      <c r="J223" s="0"/>
      <c r="K223" s="206"/>
      <c r="L223" s="0"/>
      <c r="N223" s="0"/>
      <c r="P223" s="0"/>
      <c r="Q223" s="0"/>
      <c r="R223" s="0"/>
      <c r="S223" s="0"/>
      <c r="V223" s="0"/>
      <c r="Y223" s="0"/>
    </row>
    <row r="224" customFormat="false" ht="21.65" hidden="false" customHeight="true" outlineLevel="0" collapsed="false">
      <c r="A224" s="0" t="n">
        <v>30</v>
      </c>
      <c r="B224" s="31" t="n">
        <v>43040</v>
      </c>
      <c r="C224" s="121" t="n">
        <v>15784</v>
      </c>
      <c r="D224" s="1" t="s">
        <v>42</v>
      </c>
      <c r="E224" s="33" t="n">
        <f aca="false">IF(D224="totale",(C224/(A224*24))/F224,IF(D224="marché libre",(C224/(A224*24))/G224,"spécifier histo"))</f>
        <v>0.212837108953614</v>
      </c>
      <c r="F224" s="57" t="n">
        <v>103</v>
      </c>
      <c r="G224" s="59" t="n">
        <f aca="false">F224-H224</f>
        <v>103</v>
      </c>
      <c r="H224" s="9" t="n">
        <f aca="false">0</f>
        <v>0</v>
      </c>
      <c r="J224" s="0"/>
      <c r="K224" s="206"/>
      <c r="L224" s="0"/>
      <c r="N224" s="0"/>
      <c r="P224" s="0"/>
      <c r="Q224" s="0"/>
      <c r="S224" s="0"/>
      <c r="V224" s="0"/>
    </row>
    <row r="225" customFormat="false" ht="21.65" hidden="false" customHeight="true" outlineLevel="0" collapsed="false">
      <c r="A225" s="0" t="n">
        <v>31</v>
      </c>
      <c r="B225" s="34" t="n">
        <v>43070</v>
      </c>
      <c r="C225" s="121" t="n">
        <v>38090</v>
      </c>
      <c r="D225" s="1" t="s">
        <v>42</v>
      </c>
      <c r="E225" s="33" t="n">
        <f aca="false">IF(D225="totale",(C225/(A225*24))/F225,IF(D225="marché libre",(C225/(A225*24))/G225,"spécifier histo"))</f>
        <v>0.497050840379998</v>
      </c>
      <c r="F225" s="57" t="n">
        <v>103</v>
      </c>
      <c r="G225" s="59" t="n">
        <f aca="false">F225-H225</f>
        <v>103</v>
      </c>
      <c r="H225" s="9" t="n">
        <f aca="false">0</f>
        <v>0</v>
      </c>
      <c r="J225" s="0"/>
      <c r="K225" s="206"/>
      <c r="L225" s="0"/>
      <c r="N225" s="0"/>
      <c r="P225" s="0"/>
      <c r="Q225" s="0"/>
      <c r="S225" s="0"/>
      <c r="V225" s="0"/>
    </row>
    <row r="226" customFormat="false" ht="28.35" hidden="false" customHeight="true" outlineLevel="0" collapsed="false">
      <c r="A226" s="0" t="n">
        <v>31</v>
      </c>
      <c r="B226" s="31" t="n">
        <v>43101</v>
      </c>
      <c r="C226" s="1" t="n">
        <v>55824</v>
      </c>
      <c r="D226" s="1" t="s">
        <v>42</v>
      </c>
      <c r="E226" s="33" t="n">
        <f aca="false">IF(D226="totale",(C226/(A226*24))/F226,IF(D226="marché libre",(C226/(A226*24))/G226,"spécifier histo"))</f>
        <v>0.728468524898215</v>
      </c>
      <c r="F226" s="57" t="n">
        <v>103</v>
      </c>
      <c r="G226" s="59" t="n">
        <f aca="false">F226-H226</f>
        <v>103</v>
      </c>
      <c r="H226" s="9" t="n">
        <f aca="false">0</f>
        <v>0</v>
      </c>
      <c r="J226" s="0"/>
      <c r="K226" s="206"/>
      <c r="L226" s="0"/>
      <c r="N226" s="0"/>
      <c r="P226" s="0"/>
      <c r="Q226" s="0"/>
      <c r="S226" s="0"/>
      <c r="V226" s="0"/>
    </row>
    <row r="227" customFormat="false" ht="28.35" hidden="false" customHeight="true" outlineLevel="0" collapsed="false">
      <c r="A227" s="0" t="n">
        <v>28</v>
      </c>
      <c r="B227" s="34" t="n">
        <v>43132</v>
      </c>
      <c r="C227" s="1" t="n">
        <v>47644</v>
      </c>
      <c r="D227" s="1" t="s">
        <v>42</v>
      </c>
      <c r="E227" s="33" t="n">
        <f aca="false">IF(D227="totale",(C227/(A227*24))/F227,IF(D227="marché libre",(C227/(A227*24))/G227,"spécifier histo"))</f>
        <v>0.68833795654184</v>
      </c>
      <c r="F227" s="57" t="n">
        <v>103</v>
      </c>
      <c r="G227" s="59" t="n">
        <f aca="false">F227-H227</f>
        <v>103</v>
      </c>
      <c r="H227" s="9" t="n">
        <f aca="false">0</f>
        <v>0</v>
      </c>
      <c r="J227" s="0"/>
      <c r="K227" s="206"/>
      <c r="L227" s="0"/>
      <c r="N227" s="0"/>
      <c r="P227" s="0"/>
      <c r="Q227" s="0"/>
      <c r="S227" s="0"/>
      <c r="V227" s="0"/>
    </row>
    <row r="228" customFormat="false" ht="28.35" hidden="false" customHeight="true" outlineLevel="0" collapsed="false">
      <c r="A228" s="0" t="n">
        <v>31</v>
      </c>
      <c r="B228" s="31" t="n">
        <v>43160</v>
      </c>
      <c r="C228" s="1" t="n">
        <v>50019</v>
      </c>
      <c r="D228" s="1" t="s">
        <v>42</v>
      </c>
      <c r="E228" s="33" t="n">
        <f aca="false">IF(D228="totale",(C228/(A228*24))/F228,IF(D228="marché libre",(C228/(A228*24))/G228,"spécifier histo"))</f>
        <v>0.65271688067648</v>
      </c>
      <c r="F228" s="57" t="n">
        <v>103</v>
      </c>
      <c r="G228" s="59" t="n">
        <f aca="false">F228-H228</f>
        <v>103</v>
      </c>
      <c r="H228" s="9" t="n">
        <f aca="false">0</f>
        <v>0</v>
      </c>
      <c r="J228" s="0"/>
      <c r="K228" s="206"/>
      <c r="L228" s="0"/>
      <c r="P228" s="292"/>
      <c r="Q228" s="0"/>
      <c r="S228" s="0"/>
      <c r="V228" s="0"/>
    </row>
    <row r="229" customFormat="false" ht="28.35" hidden="false" customHeight="true" outlineLevel="0" collapsed="false">
      <c r="A229" s="0" t="n">
        <v>30</v>
      </c>
      <c r="B229" s="34" t="n">
        <v>43191</v>
      </c>
      <c r="C229" s="1" t="n">
        <v>50952</v>
      </c>
      <c r="D229" s="1" t="s">
        <v>42</v>
      </c>
      <c r="E229" s="33" t="n">
        <f aca="false">IF(D229="totale",(C229/(A229*24))/F229,IF(D229="marché libre",(C229/(A229*24))/G229,"spécifier histo"))</f>
        <v>0.68705501618123</v>
      </c>
      <c r="F229" s="57" t="n">
        <v>103</v>
      </c>
      <c r="G229" s="59" t="n">
        <f aca="false">F229-H229</f>
        <v>103</v>
      </c>
      <c r="H229" s="9" t="n">
        <f aca="false">0</f>
        <v>0</v>
      </c>
      <c r="J229" s="0"/>
      <c r="K229" s="206"/>
      <c r="L229" s="0"/>
      <c r="P229" s="292"/>
      <c r="Q229" s="0"/>
      <c r="S229" s="0"/>
    </row>
    <row r="230" customFormat="false" ht="28.35" hidden="false" customHeight="true" outlineLevel="0" collapsed="false">
      <c r="A230" s="0" t="n">
        <v>31</v>
      </c>
      <c r="B230" s="31" t="n">
        <v>43221</v>
      </c>
      <c r="C230" s="1" t="n">
        <v>53662</v>
      </c>
      <c r="D230" s="1" t="s">
        <v>42</v>
      </c>
      <c r="E230" s="33" t="n">
        <f aca="false">IF(D230="totale",(C230/(A230*24))/F230,IF(D230="marché libre",(C230/(A230*24))/G230,"spécifier histo"))</f>
        <v>0.700255767825452</v>
      </c>
      <c r="F230" s="57" t="n">
        <v>103</v>
      </c>
      <c r="G230" s="59" t="n">
        <f aca="false">F230-H230</f>
        <v>103</v>
      </c>
      <c r="H230" s="9" t="n">
        <f aca="false">0</f>
        <v>0</v>
      </c>
      <c r="J230" s="0"/>
      <c r="K230" s="206"/>
      <c r="L230" s="0"/>
      <c r="P230" s="292"/>
      <c r="Q230" s="0"/>
      <c r="S230" s="0"/>
    </row>
    <row r="231" customFormat="false" ht="28.35" hidden="false" customHeight="true" outlineLevel="0" collapsed="false">
      <c r="A231" s="0" t="n">
        <v>30</v>
      </c>
      <c r="B231" s="34" t="n">
        <v>43252</v>
      </c>
      <c r="C231" s="1" t="n">
        <v>50185</v>
      </c>
      <c r="D231" s="1" t="s">
        <v>42</v>
      </c>
      <c r="E231" s="33" t="n">
        <f aca="false">IF(D231="totale",(C231/(A231*24))/F231,IF(D231="marché libre",(C231/(A231*24))/G231,"spécifier histo"))</f>
        <v>0.676712513484358</v>
      </c>
      <c r="F231" s="57" t="n">
        <v>103</v>
      </c>
      <c r="G231" s="59" t="n">
        <f aca="false">F231-H231</f>
        <v>103</v>
      </c>
      <c r="H231" s="9" t="n">
        <f aca="false">0</f>
        <v>0</v>
      </c>
      <c r="J231" s="0"/>
      <c r="L231" s="0"/>
      <c r="P231" s="292"/>
      <c r="Q231" s="0"/>
      <c r="S231" s="0"/>
    </row>
    <row r="232" customFormat="false" ht="28.35" hidden="false" customHeight="true" outlineLevel="0" collapsed="false">
      <c r="A232" s="0" t="n">
        <v>31</v>
      </c>
      <c r="B232" s="31" t="n">
        <v>43282</v>
      </c>
      <c r="C232" s="1" t="n">
        <v>50097</v>
      </c>
      <c r="D232" s="1" t="s">
        <v>42</v>
      </c>
      <c r="E232" s="33" t="n">
        <f aca="false">IF(D232="totale",(C232/(A232*24))/F232,IF(D232="marché libre",(C232/(A232*24))/G232,"spécifier histo"))</f>
        <v>0.653734732226746</v>
      </c>
      <c r="F232" s="57" t="n">
        <v>103</v>
      </c>
      <c r="G232" s="59" t="n">
        <f aca="false">F232-H232</f>
        <v>103</v>
      </c>
      <c r="H232" s="9" t="n">
        <f aca="false">0</f>
        <v>0</v>
      </c>
      <c r="J232" s="0"/>
      <c r="L232" s="0"/>
      <c r="P232" s="292"/>
      <c r="Q232" s="0"/>
      <c r="S232" s="0"/>
    </row>
    <row r="233" customFormat="false" ht="28.35" hidden="false" customHeight="true" outlineLevel="0" collapsed="false">
      <c r="A233" s="0" t="n">
        <v>31</v>
      </c>
      <c r="B233" s="34" t="n">
        <v>43313</v>
      </c>
      <c r="C233" s="1" t="n">
        <v>33744</v>
      </c>
      <c r="D233" s="1" t="s">
        <v>42</v>
      </c>
      <c r="E233" s="33" t="n">
        <f aca="false">IF(D233="totale",(C233/(A233*24))/F233,IF(D233="marché libre",(C233/(A233*24))/G233,"spécifier histo"))</f>
        <v>0.440338239899781</v>
      </c>
      <c r="F233" s="57" t="n">
        <v>103</v>
      </c>
      <c r="G233" s="59" t="n">
        <f aca="false">F233-H233</f>
        <v>103</v>
      </c>
      <c r="H233" s="9" t="n">
        <f aca="false">0</f>
        <v>0</v>
      </c>
      <c r="J233" s="0"/>
      <c r="L233" s="0"/>
      <c r="P233" s="292"/>
      <c r="Q233" s="0"/>
      <c r="S233" s="0"/>
    </row>
    <row r="234" customFormat="false" ht="28.35" hidden="false" customHeight="true" outlineLevel="0" collapsed="false">
      <c r="A234" s="0" t="n">
        <v>30</v>
      </c>
      <c r="B234" s="31" t="n">
        <v>43344</v>
      </c>
      <c r="C234" s="1" t="n">
        <v>21420</v>
      </c>
      <c r="D234" s="1" t="s">
        <v>42</v>
      </c>
      <c r="E234" s="33" t="n">
        <f aca="false">IF(D234="totale",(C234/(A234*24))/F234,IF(D234="marché libre",(C234/(A234*24))/G234,"spécifier histo"))</f>
        <v>0.288834951456311</v>
      </c>
      <c r="F234" s="57" t="n">
        <v>103</v>
      </c>
      <c r="G234" s="59" t="n">
        <f aca="false">F234-H234</f>
        <v>103</v>
      </c>
      <c r="H234" s="9" t="n">
        <f aca="false">0</f>
        <v>0</v>
      </c>
      <c r="J234" s="0"/>
      <c r="L234" s="0"/>
      <c r="Q234" s="0"/>
      <c r="S234" s="0"/>
    </row>
    <row r="235" customFormat="false" ht="12.8" hidden="false" customHeight="false" outlineLevel="0" collapsed="false">
      <c r="A235" s="0"/>
      <c r="J235" s="0"/>
      <c r="L235" s="0"/>
      <c r="Q235" s="0"/>
      <c r="S235" s="0"/>
    </row>
    <row r="236" customFormat="false" ht="12.8" hidden="false" customHeight="false" outlineLevel="0" collapsed="false">
      <c r="A236" s="0"/>
      <c r="J236" s="0"/>
      <c r="L236" s="0"/>
      <c r="Q236" s="0"/>
      <c r="S236" s="0"/>
    </row>
    <row r="237" customFormat="false" ht="12.8" hidden="false" customHeight="false" outlineLevel="0" collapsed="false">
      <c r="A237" s="0"/>
      <c r="J237" s="0"/>
      <c r="L237" s="0"/>
      <c r="Q237" s="0"/>
      <c r="S237" s="0"/>
    </row>
    <row r="238" customFormat="false" ht="12.8" hidden="false" customHeight="false" outlineLevel="0" collapsed="false">
      <c r="A238" s="0"/>
      <c r="J238" s="0"/>
      <c r="L238" s="0"/>
      <c r="Q238" s="0"/>
      <c r="S238" s="0"/>
    </row>
    <row r="239" customFormat="false" ht="12.8" hidden="false" customHeight="false" outlineLevel="0" collapsed="false">
      <c r="A239" s="0"/>
      <c r="J239" s="0"/>
      <c r="L239" s="0"/>
      <c r="Q239" s="0"/>
      <c r="S239" s="0"/>
    </row>
    <row r="240" customFormat="false" ht="12.8" hidden="false" customHeight="false" outlineLevel="0" collapsed="false">
      <c r="A240" s="0"/>
      <c r="J240" s="0"/>
      <c r="L240" s="0"/>
      <c r="Q240" s="0"/>
      <c r="S240" s="0"/>
    </row>
    <row r="241" customFormat="false" ht="12.8" hidden="false" customHeight="false" outlineLevel="0" collapsed="false">
      <c r="A241" s="0"/>
      <c r="J241" s="0"/>
      <c r="L241" s="0"/>
      <c r="Q241" s="0"/>
      <c r="S241" s="0"/>
    </row>
    <row r="242" customFormat="false" ht="12.8" hidden="false" customHeight="false" outlineLevel="0" collapsed="false">
      <c r="A242" s="0"/>
      <c r="J242" s="0"/>
      <c r="L242" s="0"/>
      <c r="Q242" s="0"/>
      <c r="S242" s="0"/>
    </row>
    <row r="243" customFormat="false" ht="12.8" hidden="false" customHeight="false" outlineLevel="0" collapsed="false">
      <c r="A243" s="0"/>
      <c r="J243" s="0"/>
      <c r="Q243" s="0"/>
      <c r="S243" s="0"/>
    </row>
    <row r="244" customFormat="false" ht="12.8" hidden="false" customHeight="false" outlineLevel="0" collapsed="false">
      <c r="A244" s="0"/>
      <c r="J244" s="0"/>
      <c r="Q244" s="0"/>
      <c r="S244" s="0"/>
    </row>
    <row r="245" customFormat="false" ht="12.8" hidden="false" customHeight="false" outlineLevel="0" collapsed="false">
      <c r="A245" s="0"/>
      <c r="J245" s="0"/>
      <c r="Q245" s="0"/>
      <c r="S245" s="0"/>
    </row>
    <row r="246" customFormat="false" ht="12.8" hidden="false" customHeight="false" outlineLevel="0" collapsed="false">
      <c r="A246" s="0"/>
      <c r="J246" s="0"/>
      <c r="Q246" s="0"/>
      <c r="S246" s="0"/>
    </row>
    <row r="247" customFormat="false" ht="12.8" hidden="false" customHeight="false" outlineLevel="0" collapsed="false">
      <c r="A247" s="0"/>
      <c r="J247" s="0"/>
      <c r="Q247" s="0"/>
      <c r="S247" s="0"/>
    </row>
    <row r="248" customFormat="false" ht="12.8" hidden="false" customHeight="false" outlineLevel="0" collapsed="false">
      <c r="A248" s="0"/>
      <c r="J248" s="0"/>
      <c r="Q248" s="0"/>
      <c r="S248" s="0"/>
    </row>
    <row r="249" customFormat="false" ht="12.8" hidden="false" customHeight="false" outlineLevel="0" collapsed="false">
      <c r="A249" s="0"/>
      <c r="J249" s="0"/>
      <c r="Q249" s="0"/>
      <c r="S249" s="0"/>
    </row>
    <row r="250" customFormat="false" ht="12.8" hidden="false" customHeight="false" outlineLevel="0" collapsed="false">
      <c r="A250" s="0"/>
      <c r="J250" s="0"/>
      <c r="Q250" s="0"/>
      <c r="S250" s="0"/>
    </row>
    <row r="251" customFormat="false" ht="12.8" hidden="false" customHeight="false" outlineLevel="0" collapsed="false">
      <c r="A251" s="0"/>
      <c r="J251" s="0"/>
      <c r="Q251" s="0"/>
      <c r="S251" s="0"/>
    </row>
    <row r="252" customFormat="false" ht="12.8" hidden="false" customHeight="false" outlineLevel="0" collapsed="false">
      <c r="A252" s="0"/>
      <c r="J252" s="0"/>
      <c r="Q252" s="0"/>
      <c r="S252" s="0"/>
    </row>
    <row r="253" customFormat="false" ht="12.8" hidden="false" customHeight="false" outlineLevel="0" collapsed="false">
      <c r="A253" s="0"/>
      <c r="J253" s="0"/>
      <c r="Q253" s="0"/>
      <c r="S253" s="0"/>
    </row>
    <row r="254" customFormat="false" ht="12.8" hidden="false" customHeight="false" outlineLevel="0" collapsed="false">
      <c r="A254" s="0"/>
      <c r="J254" s="0"/>
      <c r="Q254" s="0"/>
      <c r="S254" s="0"/>
    </row>
    <row r="255" customFormat="false" ht="12.8" hidden="false" customHeight="false" outlineLevel="0" collapsed="false">
      <c r="A255" s="0"/>
      <c r="J255" s="0"/>
      <c r="Q255" s="0"/>
      <c r="S255" s="0"/>
    </row>
    <row r="256" customFormat="false" ht="12.8" hidden="false" customHeight="false" outlineLevel="0" collapsed="false">
      <c r="A256" s="0"/>
      <c r="J256" s="0"/>
      <c r="Q256" s="0"/>
      <c r="S256" s="0"/>
    </row>
    <row r="257" customFormat="false" ht="12.8" hidden="false" customHeight="false" outlineLevel="0" collapsed="false">
      <c r="A257" s="0"/>
      <c r="J257" s="0"/>
      <c r="Q257" s="0"/>
      <c r="S257" s="0"/>
    </row>
    <row r="258" customFormat="false" ht="12.8" hidden="false" customHeight="false" outlineLevel="0" collapsed="false">
      <c r="A258" s="0"/>
      <c r="J258" s="0"/>
      <c r="Q258" s="0"/>
      <c r="S258" s="0"/>
    </row>
    <row r="259" customFormat="false" ht="12.8" hidden="false" customHeight="false" outlineLevel="0" collapsed="false">
      <c r="A259" s="0"/>
      <c r="J259" s="0"/>
      <c r="Q259" s="0"/>
      <c r="S259" s="0"/>
    </row>
    <row r="260" customFormat="false" ht="12.8" hidden="false" customHeight="false" outlineLevel="0" collapsed="false">
      <c r="A260" s="0"/>
      <c r="J260" s="0"/>
      <c r="Q260" s="0"/>
      <c r="S260" s="0"/>
    </row>
    <row r="261" customFormat="false" ht="12.8" hidden="false" customHeight="false" outlineLevel="0" collapsed="false">
      <c r="A261" s="0"/>
      <c r="J261" s="0"/>
      <c r="Q261" s="0"/>
      <c r="S261" s="0"/>
    </row>
    <row r="262" customFormat="false" ht="12.8" hidden="false" customHeight="false" outlineLevel="0" collapsed="false">
      <c r="A262" s="0"/>
      <c r="J262" s="0"/>
      <c r="Q262" s="0"/>
      <c r="S262" s="0"/>
    </row>
    <row r="263" customFormat="false" ht="12.8" hidden="false" customHeight="false" outlineLevel="0" collapsed="false">
      <c r="J263" s="0"/>
      <c r="Q263" s="0"/>
      <c r="S263" s="0"/>
    </row>
    <row r="264" customFormat="false" ht="12.8" hidden="false" customHeight="false" outlineLevel="0" collapsed="false">
      <c r="J264" s="0"/>
      <c r="Q264" s="0"/>
    </row>
    <row r="265" customFormat="false" ht="12.8" hidden="false" customHeight="false" outlineLevel="0" collapsed="false">
      <c r="J265" s="0"/>
      <c r="Q265" s="0"/>
    </row>
    <row r="266" customFormat="false" ht="12.8" hidden="false" customHeight="false" outlineLevel="0" collapsed="false">
      <c r="J266" s="0"/>
      <c r="Q266" s="0"/>
    </row>
    <row r="267" customFormat="false" ht="12.8" hidden="false" customHeight="false" outlineLevel="0" collapsed="false">
      <c r="Q267" s="0"/>
    </row>
    <row r="268" customFormat="false" ht="12.8" hidden="false" customHeight="false" outlineLevel="0" collapsed="false">
      <c r="Q268" s="0"/>
    </row>
    <row r="269" customFormat="false" ht="12.8" hidden="false" customHeight="false" outlineLevel="0" collapsed="false">
      <c r="Q269" s="0"/>
    </row>
    <row r="270" customFormat="false" ht="12.8" hidden="false" customHeight="false" outlineLevel="0" collapsed="false">
      <c r="Q270" s="0"/>
    </row>
    <row r="271" customFormat="false" ht="12.8" hidden="false" customHeight="false" outlineLevel="0" collapsed="false">
      <c r="Q271" s="0"/>
    </row>
    <row r="272" customFormat="false" ht="12.8" hidden="false" customHeight="false" outlineLevel="0" collapsed="false">
      <c r="Q272" s="0"/>
    </row>
    <row r="273" customFormat="false" ht="12.8" hidden="false" customHeight="false" outlineLevel="0" collapsed="false">
      <c r="Q273" s="0"/>
    </row>
    <row r="274" customFormat="false" ht="12.8" hidden="false" customHeight="false" outlineLevel="0" collapsed="false">
      <c r="Q274" s="0"/>
    </row>
    <row r="275" customFormat="false" ht="12.8" hidden="false" customHeight="false" outlineLevel="0" collapsed="false">
      <c r="Q275" s="0"/>
    </row>
    <row r="276" customFormat="false" ht="12.8" hidden="false" customHeight="false" outlineLevel="0" collapsed="false">
      <c r="Q276" s="0"/>
    </row>
    <row r="277" customFormat="false" ht="12.8" hidden="false" customHeight="false" outlineLevel="0" collapsed="false">
      <c r="Q277" s="0"/>
    </row>
    <row r="278" customFormat="false" ht="12.8" hidden="false" customHeight="false" outlineLevel="0" collapsed="false">
      <c r="Q278" s="0"/>
    </row>
    <row r="279" customFormat="false" ht="12.8" hidden="false" customHeight="false" outlineLevel="0" collapsed="false">
      <c r="Q279" s="0"/>
    </row>
    <row r="280" customFormat="false" ht="12.8" hidden="false" customHeight="false" outlineLevel="0" collapsed="false">
      <c r="Q280" s="0"/>
    </row>
    <row r="281" customFormat="false" ht="12.8" hidden="false" customHeight="false" outlineLevel="0" collapsed="false">
      <c r="Q281" s="0"/>
    </row>
    <row r="282" customFormat="false" ht="12.8" hidden="false" customHeight="false" outlineLevel="0" collapsed="false">
      <c r="Q282" s="0"/>
    </row>
    <row r="283" customFormat="false" ht="12.8" hidden="false" customHeight="false" outlineLevel="0" collapsed="false">
      <c r="Q283" s="0"/>
    </row>
    <row r="284" customFormat="false" ht="12.8" hidden="false" customHeight="false" outlineLevel="0" collapsed="false">
      <c r="Q284" s="0"/>
    </row>
    <row r="285" customFormat="false" ht="12.8" hidden="false" customHeight="false" outlineLevel="0" collapsed="false">
      <c r="Q285" s="0"/>
    </row>
    <row r="286" customFormat="false" ht="12.8" hidden="false" customHeight="false" outlineLevel="0" collapsed="false">
      <c r="Q286" s="0"/>
    </row>
    <row r="287" customFormat="false" ht="12.8" hidden="false" customHeight="false" outlineLevel="0" collapsed="false">
      <c r="Q287" s="0"/>
    </row>
    <row r="288" customFormat="false" ht="12.8" hidden="false" customHeight="false" outlineLevel="0" collapsed="false">
      <c r="Q288" s="0"/>
    </row>
    <row r="289" customFormat="false" ht="12.8" hidden="false" customHeight="false" outlineLevel="0" collapsed="false">
      <c r="Q289" s="0"/>
    </row>
    <row r="290" customFormat="false" ht="12.8" hidden="false" customHeight="false" outlineLevel="0" collapsed="false">
      <c r="Q290" s="0"/>
    </row>
    <row r="291" customFormat="false" ht="12.8" hidden="false" customHeight="false" outlineLevel="0" collapsed="false">
      <c r="Q291" s="0"/>
    </row>
    <row r="292" customFormat="false" ht="12.8" hidden="false" customHeight="false" outlineLevel="0" collapsed="false">
      <c r="Q292" s="0"/>
    </row>
    <row r="293" customFormat="false" ht="12.8" hidden="false" customHeight="false" outlineLevel="0" collapsed="false">
      <c r="Q293" s="0"/>
    </row>
    <row r="294" customFormat="false" ht="12.8" hidden="false" customHeight="false" outlineLevel="0" collapsed="false">
      <c r="Q294" s="0"/>
    </row>
    <row r="295" customFormat="false" ht="12.8" hidden="false" customHeight="false" outlineLevel="0" collapsed="false">
      <c r="Q295" s="0"/>
    </row>
    <row r="296" customFormat="false" ht="12.8" hidden="false" customHeight="false" outlineLevel="0" collapsed="false">
      <c r="Q296" s="0"/>
    </row>
    <row r="297" customFormat="false" ht="12.8" hidden="false" customHeight="false" outlineLevel="0" collapsed="false">
      <c r="Q297" s="0"/>
    </row>
    <row r="298" customFormat="false" ht="12.8" hidden="false" customHeight="false" outlineLevel="0" collapsed="false">
      <c r="Q298" s="0"/>
    </row>
    <row r="299" customFormat="false" ht="12.8" hidden="false" customHeight="false" outlineLevel="0" collapsed="false">
      <c r="Q299" s="0"/>
    </row>
    <row r="300" customFormat="false" ht="12.8" hidden="false" customHeight="false" outlineLevel="0" collapsed="false">
      <c r="Q300" s="0"/>
    </row>
    <row r="301" customFormat="false" ht="12.8" hidden="false" customHeight="false" outlineLevel="0" collapsed="false">
      <c r="Q301" s="0"/>
    </row>
    <row r="302" customFormat="false" ht="12.8" hidden="false" customHeight="false" outlineLevel="0" collapsed="false">
      <c r="Q302" s="0"/>
    </row>
    <row r="303" customFormat="false" ht="12.8" hidden="false" customHeight="false" outlineLevel="0" collapsed="false">
      <c r="Q303" s="0"/>
    </row>
    <row r="304" customFormat="false" ht="12.8" hidden="false" customHeight="false" outlineLevel="0" collapsed="false">
      <c r="Q304" s="0"/>
    </row>
    <row r="305" customFormat="false" ht="12.8" hidden="false" customHeight="false" outlineLevel="0" collapsed="false">
      <c r="Q305" s="0"/>
    </row>
    <row r="306" customFormat="false" ht="12.8" hidden="false" customHeight="false" outlineLevel="0" collapsed="false">
      <c r="Q306" s="0"/>
    </row>
    <row r="307" customFormat="false" ht="12.8" hidden="false" customHeight="false" outlineLevel="0" collapsed="false">
      <c r="Q307" s="0"/>
    </row>
    <row r="308" customFormat="false" ht="12.8" hidden="false" customHeight="false" outlineLevel="0" collapsed="false">
      <c r="Q308" s="0"/>
    </row>
    <row r="309" customFormat="false" ht="12.8" hidden="false" customHeight="false" outlineLevel="0" collapsed="false">
      <c r="Q309"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3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8.xml><?xml version="1.0" encoding="utf-8"?>
<worksheet xmlns="http://schemas.openxmlformats.org/spreadsheetml/2006/main" xmlns:r="http://schemas.openxmlformats.org/officeDocument/2006/relationships">
  <sheetPr filterMode="false">
    <tabColor rgb="FF00CC33"/>
    <pageSetUpPr fitToPage="false"/>
  </sheetPr>
  <dimension ref="A1:AD14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8" topLeftCell="B138" activePane="bottomRight" state="frozen"/>
      <selection pane="topLeft" activeCell="A1" activeCellId="0" sqref="A1"/>
      <selection pane="topRight" activeCell="B1" activeCellId="0" sqref="B1"/>
      <selection pane="bottomLeft" activeCell="A138" activeCellId="0" sqref="A138"/>
      <selection pane="bottomRight" activeCell="C145" activeCellId="0" sqref="C145"/>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52"/>
    <col collapsed="false" customWidth="true" hidden="false" outlineLevel="0" max="5" min="5" style="1" width="18.38"/>
    <col collapsed="false" customWidth="true" hidden="false" outlineLevel="0" max="6" min="6" style="1" width="16.07"/>
    <col collapsed="false" customWidth="true" hidden="false" outlineLevel="0" max="7" min="7" style="1" width="14.66"/>
    <col collapsed="false" customWidth="true" hidden="false" outlineLevel="0" max="8" min="8" style="1" width="16.67"/>
    <col collapsed="false" customWidth="true" hidden="false" outlineLevel="0" max="9" min="9" style="1" width="19.31"/>
    <col collapsed="false" customWidth="true" hidden="false" outlineLevel="0" max="10" min="10" style="29" width="23.46"/>
    <col collapsed="false" customWidth="true" hidden="false" outlineLevel="0" max="11" min="11" style="1" width="19.77"/>
    <col collapsed="false" customWidth="true" hidden="false" outlineLevel="0" max="12" min="12" style="1" width="24.54"/>
    <col collapsed="false" customWidth="false" hidden="false" outlineLevel="0" max="13" min="13" style="1" width="11.52"/>
    <col collapsed="false" customWidth="true" hidden="false" outlineLevel="0" max="14" min="14" style="1" width="9.4"/>
    <col collapsed="false" customWidth="true" hidden="false" outlineLevel="0" max="15" min="15" style="1" width="5.24"/>
    <col collapsed="false" customWidth="false" hidden="false" outlineLevel="0" max="16" min="16" style="1" width="11.52"/>
    <col collapsed="false" customWidth="true" hidden="false" outlineLevel="0" max="17" min="17" style="1" width="15.42"/>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197"/>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40" t="s">
        <v>3</v>
      </c>
      <c r="K2" s="340"/>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341" t="s">
        <v>17</v>
      </c>
      <c r="K3" s="10" t="s">
        <v>18</v>
      </c>
      <c r="L3" s="10" t="s">
        <v>19</v>
      </c>
      <c r="M3" s="10" t="s">
        <v>17</v>
      </c>
      <c r="N3" s="3"/>
      <c r="P3" s="12"/>
      <c r="Q3" s="5" t="s">
        <v>20</v>
      </c>
      <c r="S3" s="13"/>
      <c r="T3" s="7" t="s">
        <v>21</v>
      </c>
      <c r="U3" s="8"/>
      <c r="V3" s="9"/>
    </row>
    <row r="4" customFormat="false" ht="42.45" hidden="false" customHeight="true" outlineLevel="0" collapsed="false">
      <c r="A4" s="0"/>
      <c r="B4" s="5" t="s">
        <v>815</v>
      </c>
      <c r="C4" s="5" t="n">
        <v>62150</v>
      </c>
      <c r="D4" s="5" t="s">
        <v>816</v>
      </c>
      <c r="E4" s="14" t="s">
        <v>501</v>
      </c>
      <c r="F4" s="15" t="n">
        <v>3800</v>
      </c>
      <c r="G4" s="15" t="n">
        <v>3700</v>
      </c>
      <c r="H4" s="15" t="n">
        <v>1850</v>
      </c>
      <c r="I4" s="16"/>
      <c r="J4" s="342" t="n">
        <v>1900</v>
      </c>
      <c r="K4" s="16"/>
      <c r="L4" s="16" t="n">
        <v>1900</v>
      </c>
      <c r="M4" s="16"/>
      <c r="N4" s="17"/>
      <c r="P4" s="17"/>
      <c r="Q4" s="16" t="s">
        <v>23</v>
      </c>
      <c r="S4" s="18"/>
      <c r="T4" s="19" t="s">
        <v>24</v>
      </c>
      <c r="U4" s="19"/>
      <c r="V4" s="19"/>
    </row>
    <row r="5" customFormat="false" ht="28.35" hidden="false" customHeight="true" outlineLevel="0" collapsed="false">
      <c r="A5" s="0"/>
      <c r="F5" s="9"/>
      <c r="G5" s="9"/>
      <c r="H5" s="9"/>
      <c r="J5" s="59"/>
      <c r="P5" s="9"/>
      <c r="Q5" s="9"/>
    </row>
    <row r="6" customFormat="false" ht="44.95" hidden="false" customHeight="true" outlineLevel="0" collapsed="false">
      <c r="A6" s="0"/>
      <c r="B6" s="0"/>
      <c r="C6" s="10" t="s">
        <v>25</v>
      </c>
      <c r="D6" s="10"/>
      <c r="F6" s="20" t="s">
        <v>26</v>
      </c>
      <c r="G6" s="19" t="s">
        <v>570</v>
      </c>
      <c r="H6" s="19"/>
      <c r="I6" s="19"/>
      <c r="J6" s="19"/>
      <c r="K6" s="19"/>
      <c r="L6" s="19"/>
      <c r="M6" s="19"/>
      <c r="N6" s="19"/>
      <c r="P6" s="21"/>
      <c r="Q6" s="19" t="s">
        <v>27</v>
      </c>
      <c r="R6" s="9"/>
      <c r="S6" s="22"/>
      <c r="T6" s="5" t="s">
        <v>28</v>
      </c>
    </row>
    <row r="7" customFormat="false" ht="66.9" hidden="false" customHeight="true" outlineLevel="0" collapsed="false">
      <c r="A7" s="0"/>
      <c r="B7" s="0"/>
      <c r="C7" s="126" t="s">
        <v>817</v>
      </c>
      <c r="D7" s="126"/>
      <c r="F7" s="20"/>
      <c r="G7" s="20"/>
      <c r="H7" s="19"/>
      <c r="I7" s="19"/>
      <c r="J7" s="19"/>
      <c r="K7" s="19"/>
      <c r="L7" s="19"/>
      <c r="M7" s="19"/>
      <c r="N7" s="19"/>
      <c r="P7" s="24"/>
      <c r="Q7" s="5" t="s">
        <v>29</v>
      </c>
      <c r="R7" s="9"/>
      <c r="S7" s="25"/>
      <c r="T7" s="5" t="s">
        <v>30</v>
      </c>
    </row>
    <row r="8" customFormat="false" ht="43.3" hidden="false" customHeight="true" outlineLevel="0" collapsed="false">
      <c r="C8" s="0"/>
      <c r="G8" s="9"/>
      <c r="H8" s="9"/>
      <c r="I8" s="9"/>
      <c r="K8" s="9"/>
      <c r="R8" s="9"/>
      <c r="S8" s="27"/>
      <c r="T8" s="16" t="s">
        <v>31</v>
      </c>
    </row>
    <row r="9" customFormat="false" ht="40.8" hidden="false" customHeight="true" outlineLevel="0" collapsed="false">
      <c r="B9" s="9" t="s">
        <v>32</v>
      </c>
      <c r="C9" s="1" t="s">
        <v>33</v>
      </c>
      <c r="D9" s="0"/>
      <c r="E9" s="1" t="s">
        <v>35</v>
      </c>
      <c r="F9" s="9" t="s">
        <v>97</v>
      </c>
      <c r="G9" s="9" t="s">
        <v>37</v>
      </c>
      <c r="H9" s="9" t="s">
        <v>38</v>
      </c>
      <c r="I9" s="9" t="s">
        <v>39</v>
      </c>
      <c r="J9" s="205" t="s">
        <v>40</v>
      </c>
    </row>
    <row r="10" customFormat="false" ht="19.85" hidden="false" customHeight="true" outlineLevel="0" collapsed="false">
      <c r="A10" s="1" t="n">
        <v>31</v>
      </c>
      <c r="B10" s="31" t="n">
        <v>39448</v>
      </c>
      <c r="C10" s="1" t="n">
        <v>1102618</v>
      </c>
      <c r="D10" s="9" t="s">
        <v>41</v>
      </c>
      <c r="E10" s="33" t="n">
        <f aca="false">IF(D10="totale",(C10/(A10*24))/F10,IF(D10="marché libre",(C10/(A10*24))/G10,"spécifier histo"))</f>
        <v>0.400544173205464</v>
      </c>
      <c r="F10" s="59" t="n">
        <v>3700</v>
      </c>
      <c r="G10" s="59" t="n">
        <v>3700</v>
      </c>
      <c r="H10" s="9" t="n">
        <v>0</v>
      </c>
      <c r="I10" s="9"/>
      <c r="J10" s="216"/>
      <c r="L10" s="0"/>
      <c r="M10" s="0"/>
      <c r="P10" s="0"/>
      <c r="S10" s="0"/>
      <c r="V10" s="0"/>
      <c r="X10" s="0"/>
      <c r="AD10" s="0"/>
    </row>
    <row r="11" customFormat="false" ht="19.85" hidden="false" customHeight="true" outlineLevel="0" collapsed="false">
      <c r="A11" s="1" t="n">
        <v>28</v>
      </c>
      <c r="B11" s="34" t="n">
        <v>39479</v>
      </c>
      <c r="C11" s="1" t="n">
        <v>482820</v>
      </c>
      <c r="D11" s="9" t="s">
        <v>41</v>
      </c>
      <c r="E11" s="33" t="n">
        <f aca="false">IF(D11="totale",(C11/(A11*24))/F11,IF(D11="marché libre",(C11/(A11*24))/G11,"spécifier histo"))</f>
        <v>0.194184362934363</v>
      </c>
      <c r="F11" s="59" t="n">
        <v>3700</v>
      </c>
      <c r="G11" s="59" t="n">
        <v>3700</v>
      </c>
      <c r="H11" s="9" t="n">
        <v>0</v>
      </c>
      <c r="I11" s="9"/>
      <c r="J11" s="216"/>
      <c r="L11" s="0"/>
      <c r="M11" s="0"/>
      <c r="P11" s="0"/>
      <c r="S11" s="0"/>
      <c r="V11" s="0"/>
      <c r="X11" s="0"/>
      <c r="AD11" s="0"/>
    </row>
    <row r="12" customFormat="false" ht="19.85" hidden="false" customHeight="true" outlineLevel="0" collapsed="false">
      <c r="A12" s="1" t="n">
        <v>31</v>
      </c>
      <c r="B12" s="31" t="n">
        <v>39508</v>
      </c>
      <c r="C12" s="1" t="n">
        <v>1147012</v>
      </c>
      <c r="D12" s="9" t="s">
        <v>41</v>
      </c>
      <c r="E12" s="33" t="n">
        <f aca="false">IF(D12="totale",(C12/(A12*24))/F12,IF(D12="marché libre",(C12/(A12*24))/G12,"spécifier histo"))</f>
        <v>0.416671025864574</v>
      </c>
      <c r="F12" s="59" t="n">
        <v>3700</v>
      </c>
      <c r="G12" s="59" t="n">
        <v>3700</v>
      </c>
      <c r="H12" s="9" t="n">
        <v>0</v>
      </c>
      <c r="I12" s="9"/>
      <c r="J12" s="216"/>
      <c r="L12" s="0"/>
      <c r="M12" s="0"/>
      <c r="P12" s="0"/>
      <c r="S12" s="0"/>
      <c r="V12" s="0"/>
      <c r="X12" s="0"/>
      <c r="AD12" s="0"/>
    </row>
    <row r="13" customFormat="false" ht="19.85" hidden="false" customHeight="true" outlineLevel="0" collapsed="false">
      <c r="A13" s="1" t="n">
        <v>30</v>
      </c>
      <c r="B13" s="34" t="n">
        <v>39539</v>
      </c>
      <c r="C13" s="1" t="n">
        <v>1994064</v>
      </c>
      <c r="D13" s="9" t="s">
        <v>41</v>
      </c>
      <c r="E13" s="33" t="n">
        <f aca="false">IF(D13="totale",(C13/(A13*24))/F13,IF(D13="marché libre",(C13/(A13*24))/G13,"spécifier histo"))</f>
        <v>0.748522522522523</v>
      </c>
      <c r="F13" s="59" t="n">
        <v>3700</v>
      </c>
      <c r="G13" s="59" t="n">
        <v>3700</v>
      </c>
      <c r="H13" s="9" t="n">
        <v>0</v>
      </c>
      <c r="I13" s="9"/>
      <c r="J13" s="216"/>
      <c r="L13" s="0"/>
      <c r="M13" s="0"/>
      <c r="P13" s="0"/>
      <c r="S13" s="0"/>
      <c r="V13" s="0"/>
      <c r="X13" s="0"/>
      <c r="AD13" s="0"/>
    </row>
    <row r="14" customFormat="false" ht="19.85" hidden="false" customHeight="true" outlineLevel="0" collapsed="false">
      <c r="A14" s="1" t="n">
        <v>31</v>
      </c>
      <c r="B14" s="31" t="n">
        <v>39569</v>
      </c>
      <c r="C14" s="1" t="n">
        <v>2095398</v>
      </c>
      <c r="D14" s="9" t="s">
        <v>41</v>
      </c>
      <c r="E14" s="33" t="n">
        <f aca="false">IF(D14="totale",(C14/(A14*24))/F14,IF(D14="marché libre",(C14/(A14*24))/G14,"spécifier histo"))</f>
        <v>0.761187881429817</v>
      </c>
      <c r="F14" s="59" t="n">
        <v>3700</v>
      </c>
      <c r="G14" s="59" t="n">
        <v>3700</v>
      </c>
      <c r="H14" s="9" t="n">
        <v>0</v>
      </c>
      <c r="I14" s="9"/>
      <c r="J14" s="216"/>
      <c r="L14" s="0"/>
      <c r="M14" s="0"/>
      <c r="P14" s="0"/>
      <c r="S14" s="0"/>
      <c r="V14" s="0"/>
      <c r="X14" s="0"/>
    </row>
    <row r="15" customFormat="false" ht="19.85" hidden="false" customHeight="true" outlineLevel="0" collapsed="false">
      <c r="A15" s="1" t="n">
        <v>30</v>
      </c>
      <c r="B15" s="34" t="n">
        <v>39600</v>
      </c>
      <c r="C15" s="1" t="n">
        <v>1941780</v>
      </c>
      <c r="D15" s="9" t="s">
        <v>41</v>
      </c>
      <c r="E15" s="33" t="n">
        <f aca="false">IF(D15="totale",(C15/(A15*24))/F15,IF(D15="marché libre",(C15/(A15*24))/G15,"spécifier histo"))</f>
        <v>0.728896396396396</v>
      </c>
      <c r="F15" s="59" t="n">
        <v>3700</v>
      </c>
      <c r="G15" s="59" t="n">
        <v>3700</v>
      </c>
      <c r="H15" s="9" t="n">
        <v>0</v>
      </c>
      <c r="I15" s="9"/>
      <c r="J15" s="216"/>
      <c r="L15" s="0"/>
      <c r="M15" s="0"/>
      <c r="P15" s="0"/>
      <c r="S15" s="0"/>
      <c r="V15" s="0"/>
      <c r="X15" s="0"/>
    </row>
    <row r="16" customFormat="false" ht="19.85" hidden="false" customHeight="true" outlineLevel="0" collapsed="false">
      <c r="A16" s="1" t="n">
        <v>31</v>
      </c>
      <c r="B16" s="31" t="n">
        <v>39630</v>
      </c>
      <c r="C16" s="1" t="n">
        <v>1219242</v>
      </c>
      <c r="D16" s="9" t="s">
        <v>41</v>
      </c>
      <c r="E16" s="33" t="n">
        <f aca="false">IF(D16="totale",(C16/(A16*24))/F16,IF(D16="marché libre",(C16/(A16*24))/G16,"spécifier histo"))</f>
        <v>0.442909764603313</v>
      </c>
      <c r="F16" s="59" t="n">
        <v>3700</v>
      </c>
      <c r="G16" s="59" t="n">
        <v>3700</v>
      </c>
      <c r="H16" s="9" t="n">
        <v>0</v>
      </c>
      <c r="I16" s="9"/>
      <c r="J16" s="216"/>
      <c r="L16" s="0"/>
      <c r="M16" s="0"/>
      <c r="P16" s="0"/>
      <c r="S16" s="0"/>
      <c r="V16" s="0"/>
      <c r="X16" s="0"/>
    </row>
    <row r="17" customFormat="false" ht="19.85" hidden="false" customHeight="true" outlineLevel="0" collapsed="false">
      <c r="A17" s="1" t="n">
        <v>31</v>
      </c>
      <c r="B17" s="34" t="n">
        <v>39661</v>
      </c>
      <c r="C17" s="1" t="n">
        <v>483170</v>
      </c>
      <c r="D17" s="9" t="s">
        <v>41</v>
      </c>
      <c r="E17" s="33" t="n">
        <f aca="false">IF(D17="totale",(C17/(A17*24))/F17,IF(D17="marché libre",(C17/(A17*24))/G17,"spécifier histo"))</f>
        <v>0.175519471083987</v>
      </c>
      <c r="F17" s="59" t="n">
        <v>3700</v>
      </c>
      <c r="G17" s="59" t="n">
        <v>3700</v>
      </c>
      <c r="H17" s="9" t="n">
        <v>0</v>
      </c>
      <c r="I17" s="9"/>
      <c r="J17" s="216"/>
      <c r="L17" s="0"/>
      <c r="M17" s="0"/>
      <c r="P17" s="0"/>
      <c r="S17" s="0"/>
      <c r="V17" s="0"/>
      <c r="X17" s="0"/>
    </row>
    <row r="18" customFormat="false" ht="19.85" hidden="false" customHeight="true" outlineLevel="0" collapsed="false">
      <c r="A18" s="1" t="n">
        <v>30</v>
      </c>
      <c r="B18" s="31" t="n">
        <v>39692</v>
      </c>
      <c r="C18" s="1" t="n">
        <v>68548</v>
      </c>
      <c r="D18" s="9" t="s">
        <v>41</v>
      </c>
      <c r="E18" s="33" t="n">
        <f aca="false">IF(D18="totale",(C18/(A18*24))/F18,IF(D18="marché libre",(C18/(A18*24))/G18,"spécifier histo"))</f>
        <v>0.0257312312312312</v>
      </c>
      <c r="F18" s="59" t="n">
        <v>3700</v>
      </c>
      <c r="G18" s="59" t="n">
        <v>3700</v>
      </c>
      <c r="H18" s="9" t="n">
        <v>0</v>
      </c>
      <c r="I18" s="9"/>
      <c r="J18" s="216"/>
      <c r="L18" s="0"/>
      <c r="M18" s="0"/>
      <c r="P18" s="0"/>
      <c r="S18" s="0"/>
      <c r="V18" s="0"/>
      <c r="X18" s="0"/>
    </row>
    <row r="19" customFormat="false" ht="19.85" hidden="false" customHeight="true" outlineLevel="0" collapsed="false">
      <c r="A19" s="1" t="n">
        <v>31</v>
      </c>
      <c r="B19" s="34" t="n">
        <v>39722</v>
      </c>
      <c r="C19" s="1" t="n">
        <v>190644</v>
      </c>
      <c r="D19" s="9" t="s">
        <v>41</v>
      </c>
      <c r="E19" s="33" t="n">
        <f aca="false">IF(D19="totale",(C19/(A19*24))/F19,IF(D19="marché libre",(C19/(A19*24))/G19,"spécifier histo"))</f>
        <v>0.069254577157803</v>
      </c>
      <c r="F19" s="59" t="n">
        <v>3700</v>
      </c>
      <c r="G19" s="59" t="n">
        <v>3700</v>
      </c>
      <c r="H19" s="9" t="n">
        <v>0</v>
      </c>
      <c r="I19" s="9"/>
      <c r="J19" s="216"/>
      <c r="L19" s="0"/>
      <c r="M19" s="0"/>
      <c r="P19" s="0"/>
      <c r="S19" s="0"/>
      <c r="V19" s="0"/>
      <c r="X19" s="0"/>
    </row>
    <row r="20" customFormat="false" ht="19.85" hidden="false" customHeight="true" outlineLevel="0" collapsed="false">
      <c r="A20" s="1" t="n">
        <v>30</v>
      </c>
      <c r="B20" s="31" t="n">
        <v>39753</v>
      </c>
      <c r="C20" s="1" t="n">
        <v>1342205</v>
      </c>
      <c r="D20" s="9" t="s">
        <v>41</v>
      </c>
      <c r="E20" s="33" t="n">
        <f aca="false">IF(D20="totale",(C20/(A20*24))/F20,IF(D20="marché libre",(C20/(A20*24))/G20,"spécifier histo"))</f>
        <v>0.503830705705706</v>
      </c>
      <c r="F20" s="59" t="n">
        <v>3700</v>
      </c>
      <c r="G20" s="59" t="n">
        <v>3700</v>
      </c>
      <c r="H20" s="9" t="n">
        <v>0</v>
      </c>
      <c r="I20" s="9"/>
      <c r="J20" s="216"/>
      <c r="L20" s="0"/>
      <c r="M20" s="0"/>
      <c r="P20" s="0"/>
      <c r="S20" s="0"/>
      <c r="V20" s="0"/>
      <c r="X20" s="0"/>
    </row>
    <row r="21" customFormat="false" ht="19.85" hidden="false" customHeight="true" outlineLevel="0" collapsed="false">
      <c r="A21" s="1" t="n">
        <v>31</v>
      </c>
      <c r="B21" s="34" t="n">
        <v>39783</v>
      </c>
      <c r="C21" s="1" t="n">
        <v>1271047</v>
      </c>
      <c r="D21" s="9" t="s">
        <v>41</v>
      </c>
      <c r="E21" s="33" t="n">
        <f aca="false">IF(D21="totale",(C21/(A21*24))/F21,IF(D21="marché libre",(C21/(A21*24))/G21,"spécifier histo"))</f>
        <v>0.46172878523685</v>
      </c>
      <c r="F21" s="59" t="n">
        <v>3700</v>
      </c>
      <c r="G21" s="59" t="n">
        <v>3700</v>
      </c>
      <c r="H21" s="9" t="n">
        <v>0</v>
      </c>
      <c r="I21" s="9"/>
      <c r="J21" s="216"/>
      <c r="L21" s="0"/>
      <c r="M21" s="0"/>
      <c r="P21" s="0"/>
      <c r="S21" s="0"/>
      <c r="V21" s="0"/>
      <c r="X21" s="0"/>
    </row>
    <row r="22" customFormat="false" ht="19.85" hidden="false" customHeight="true" outlineLevel="0" collapsed="false">
      <c r="A22" s="1" t="n">
        <v>31</v>
      </c>
      <c r="B22" s="31" t="n">
        <v>39814</v>
      </c>
      <c r="C22" s="1" t="n">
        <v>908772</v>
      </c>
      <c r="D22" s="9" t="s">
        <v>41</v>
      </c>
      <c r="E22" s="33" t="n">
        <f aca="false">IF(D22="totale",(C22/(A22*24))/F22,IF(D22="marché libre",(C22/(A22*24))/G22,"spécifier histo"))</f>
        <v>0.33012641673932</v>
      </c>
      <c r="F22" s="59" t="n">
        <v>3700</v>
      </c>
      <c r="G22" s="59" t="n">
        <v>3700</v>
      </c>
      <c r="H22" s="9" t="n">
        <v>0</v>
      </c>
      <c r="I22" s="9"/>
      <c r="J22" s="216"/>
      <c r="L22" s="0"/>
      <c r="M22" s="0"/>
      <c r="P22" s="0"/>
      <c r="S22" s="0"/>
      <c r="V22" s="0"/>
      <c r="X22" s="0"/>
    </row>
    <row r="23" customFormat="false" ht="19.85" hidden="false" customHeight="true" outlineLevel="0" collapsed="false">
      <c r="A23" s="1" t="n">
        <v>28</v>
      </c>
      <c r="B23" s="34" t="n">
        <v>39845</v>
      </c>
      <c r="C23" s="1" t="n">
        <v>1367084</v>
      </c>
      <c r="D23" s="9" t="s">
        <v>41</v>
      </c>
      <c r="E23" s="33" t="n">
        <f aca="false">IF(D23="totale",(C23/(A23*24))/F23,IF(D23="marché libre",(C23/(A23*24))/G23,"spécifier histo"))</f>
        <v>0.549824646074646</v>
      </c>
      <c r="F23" s="59" t="n">
        <v>3700</v>
      </c>
      <c r="G23" s="59" t="n">
        <v>3700</v>
      </c>
      <c r="H23" s="9" t="n">
        <v>0</v>
      </c>
      <c r="I23" s="9"/>
      <c r="J23" s="216"/>
      <c r="L23" s="0"/>
      <c r="M23" s="0"/>
      <c r="P23" s="0"/>
      <c r="S23" s="0"/>
      <c r="V23" s="0"/>
      <c r="X23" s="0"/>
    </row>
    <row r="24" customFormat="false" ht="19.85" hidden="false" customHeight="true" outlineLevel="0" collapsed="false">
      <c r="A24" s="1" t="n">
        <v>31</v>
      </c>
      <c r="B24" s="31" t="n">
        <v>39873</v>
      </c>
      <c r="C24" s="1" t="n">
        <v>1224262</v>
      </c>
      <c r="D24" s="9" t="s">
        <v>41</v>
      </c>
      <c r="E24" s="33" t="n">
        <f aca="false">IF(D24="totale",(C24/(A24*24))/F24,IF(D24="marché libre",(C24/(A24*24))/G24,"spécifier histo"))</f>
        <v>0.444733362394653</v>
      </c>
      <c r="F24" s="59" t="n">
        <v>3700</v>
      </c>
      <c r="G24" s="59" t="n">
        <v>3700</v>
      </c>
      <c r="H24" s="9" t="n">
        <v>0</v>
      </c>
      <c r="I24" s="9"/>
      <c r="J24" s="216"/>
      <c r="L24" s="0"/>
      <c r="M24" s="0"/>
      <c r="P24" s="0"/>
      <c r="S24" s="0"/>
      <c r="V24" s="0"/>
      <c r="X24" s="0"/>
    </row>
    <row r="25" customFormat="false" ht="19.85" hidden="false" customHeight="true" outlineLevel="0" collapsed="false">
      <c r="A25" s="1" t="n">
        <v>30</v>
      </c>
      <c r="B25" s="34" t="n">
        <v>39904</v>
      </c>
      <c r="C25" s="1" t="n">
        <v>1660264</v>
      </c>
      <c r="D25" s="9" t="s">
        <v>41</v>
      </c>
      <c r="E25" s="33" t="n">
        <f aca="false">IF(D25="totale",(C25/(A25*24))/F25,IF(D25="marché libre",(C25/(A25*24))/G25,"spécifier histo"))</f>
        <v>0.623222222222222</v>
      </c>
      <c r="F25" s="59" t="n">
        <v>3700</v>
      </c>
      <c r="G25" s="59" t="n">
        <v>3700</v>
      </c>
      <c r="H25" s="9" t="n">
        <v>0</v>
      </c>
      <c r="I25" s="9"/>
      <c r="J25" s="216"/>
      <c r="L25" s="0"/>
      <c r="M25" s="0"/>
      <c r="P25" s="0"/>
      <c r="S25" s="0"/>
      <c r="V25" s="0"/>
      <c r="X25" s="0"/>
    </row>
    <row r="26" customFormat="false" ht="19.85" hidden="false" customHeight="true" outlineLevel="0" collapsed="false">
      <c r="A26" s="1" t="n">
        <v>31</v>
      </c>
      <c r="B26" s="31" t="n">
        <v>39934</v>
      </c>
      <c r="C26" s="1" t="n">
        <v>2176225</v>
      </c>
      <c r="D26" s="9" t="s">
        <v>41</v>
      </c>
      <c r="E26" s="33" t="n">
        <f aca="false">IF(D26="totale",(C26/(A26*24))/F26,IF(D26="marché libre",(C26/(A26*24))/G26,"spécifier histo"))</f>
        <v>0.790549622202848</v>
      </c>
      <c r="F26" s="59" t="n">
        <v>3700</v>
      </c>
      <c r="G26" s="59" t="n">
        <v>3700</v>
      </c>
      <c r="H26" s="9" t="n">
        <v>0</v>
      </c>
      <c r="I26" s="9"/>
      <c r="J26" s="216"/>
      <c r="L26" s="0"/>
      <c r="M26" s="0"/>
      <c r="P26" s="0"/>
      <c r="S26" s="0"/>
      <c r="V26" s="0"/>
      <c r="X26" s="0"/>
    </row>
    <row r="27" customFormat="false" ht="19.85" hidden="false" customHeight="true" outlineLevel="0" collapsed="false">
      <c r="A27" s="1" t="n">
        <v>30</v>
      </c>
      <c r="B27" s="34" t="n">
        <v>39965</v>
      </c>
      <c r="C27" s="1" t="n">
        <v>1930162</v>
      </c>
      <c r="D27" s="9" t="s">
        <v>41</v>
      </c>
      <c r="E27" s="33" t="n">
        <f aca="false">IF(D27="totale",(C27/(A27*24))/F27,IF(D27="marché libre",(C27/(A27*24))/G27,"spécifier histo"))</f>
        <v>0.724535285285285</v>
      </c>
      <c r="F27" s="59" t="n">
        <v>3700</v>
      </c>
      <c r="G27" s="59" t="n">
        <v>3700</v>
      </c>
      <c r="H27" s="9" t="n">
        <v>0</v>
      </c>
      <c r="I27" s="9"/>
      <c r="J27" s="216"/>
      <c r="L27" s="0"/>
      <c r="M27" s="0"/>
      <c r="P27" s="0"/>
      <c r="S27" s="0"/>
      <c r="V27" s="0"/>
      <c r="X27" s="0"/>
    </row>
    <row r="28" customFormat="false" ht="19.85" hidden="false" customHeight="true" outlineLevel="0" collapsed="false">
      <c r="A28" s="1" t="n">
        <v>31</v>
      </c>
      <c r="B28" s="31" t="n">
        <v>39995</v>
      </c>
      <c r="C28" s="1" t="n">
        <v>787454</v>
      </c>
      <c r="D28" s="9" t="s">
        <v>41</v>
      </c>
      <c r="E28" s="33" t="n">
        <f aca="false">IF(D28="totale",(C28/(A28*24))/F28,IF(D28="marché libre",(C28/(A28*24))/G28,"spécifier histo"))</f>
        <v>0.28605565242662</v>
      </c>
      <c r="F28" s="59" t="n">
        <v>3700</v>
      </c>
      <c r="G28" s="59" t="n">
        <v>3700</v>
      </c>
      <c r="H28" s="9" t="n">
        <v>0</v>
      </c>
      <c r="I28" s="9"/>
      <c r="J28" s="216"/>
      <c r="L28" s="0"/>
      <c r="M28" s="0"/>
      <c r="P28" s="0"/>
      <c r="S28" s="0"/>
      <c r="V28" s="0"/>
      <c r="X28" s="0"/>
    </row>
    <row r="29" customFormat="false" ht="19.85" hidden="false" customHeight="true" outlineLevel="0" collapsed="false">
      <c r="A29" s="1" t="n">
        <v>31</v>
      </c>
      <c r="B29" s="34" t="n">
        <v>40026</v>
      </c>
      <c r="C29" s="1" t="n">
        <v>208225</v>
      </c>
      <c r="D29" s="9" t="s">
        <v>41</v>
      </c>
      <c r="E29" s="33" t="n">
        <f aca="false">IF(D29="totale",(C29/(A29*24))/F29,IF(D29="marché libre",(C29/(A29*24))/G29,"spécifier histo"))</f>
        <v>0.0756411653589073</v>
      </c>
      <c r="F29" s="59" t="n">
        <v>3700</v>
      </c>
      <c r="G29" s="59" t="n">
        <v>3700</v>
      </c>
      <c r="H29" s="9" t="n">
        <v>0</v>
      </c>
      <c r="I29" s="9"/>
      <c r="J29" s="216"/>
      <c r="L29" s="0"/>
      <c r="M29" s="0"/>
      <c r="P29" s="0"/>
      <c r="S29" s="0"/>
      <c r="V29" s="0"/>
      <c r="X29" s="0"/>
    </row>
    <row r="30" customFormat="false" ht="19.85" hidden="false" customHeight="true" outlineLevel="0" collapsed="false">
      <c r="A30" s="1" t="n">
        <v>30</v>
      </c>
      <c r="B30" s="31" t="n">
        <v>40057</v>
      </c>
      <c r="C30" s="1" t="n">
        <v>0.01</v>
      </c>
      <c r="D30" s="9" t="s">
        <v>41</v>
      </c>
      <c r="E30" s="33" t="n">
        <f aca="false">IF(D30="totale",(C30/(A30*24))/F30,IF(D30="marché libre",(C30/(A30*24))/G30,"spécifier histo"))</f>
        <v>3.75375375375375E-009</v>
      </c>
      <c r="F30" s="59" t="n">
        <v>3700</v>
      </c>
      <c r="G30" s="59" t="n">
        <v>3700</v>
      </c>
      <c r="H30" s="9" t="n">
        <v>0</v>
      </c>
      <c r="I30" s="9"/>
      <c r="J30" s="216"/>
      <c r="L30" s="0"/>
      <c r="M30" s="0"/>
      <c r="P30" s="0"/>
      <c r="S30" s="0"/>
      <c r="V30" s="0"/>
      <c r="X30" s="0"/>
    </row>
    <row r="31" customFormat="false" ht="19.85" hidden="false" customHeight="true" outlineLevel="0" collapsed="false">
      <c r="A31" s="1" t="n">
        <v>31</v>
      </c>
      <c r="B31" s="34" t="n">
        <v>40087</v>
      </c>
      <c r="C31" s="1" t="n">
        <v>365666</v>
      </c>
      <c r="D31" s="9" t="s">
        <v>41</v>
      </c>
      <c r="E31" s="33" t="n">
        <f aca="false">IF(D31="totale",(C31/(A31*24))/F31,IF(D31="marché libre",(C31/(A31*24))/G31,"spécifier histo"))</f>
        <v>0.132834205172915</v>
      </c>
      <c r="F31" s="59" t="n">
        <v>3700</v>
      </c>
      <c r="G31" s="59" t="n">
        <v>3700</v>
      </c>
      <c r="H31" s="9" t="n">
        <v>0</v>
      </c>
      <c r="I31" s="9"/>
      <c r="J31" s="216"/>
      <c r="L31" s="0"/>
      <c r="M31" s="0"/>
      <c r="P31" s="0"/>
      <c r="S31" s="0"/>
      <c r="V31" s="0"/>
      <c r="X31" s="0"/>
    </row>
    <row r="32" customFormat="false" ht="19.85" hidden="false" customHeight="true" outlineLevel="0" collapsed="false">
      <c r="A32" s="1" t="n">
        <v>30</v>
      </c>
      <c r="B32" s="31" t="n">
        <v>40118</v>
      </c>
      <c r="C32" s="1" t="n">
        <v>1482509</v>
      </c>
      <c r="D32" s="9" t="s">
        <v>41</v>
      </c>
      <c r="E32" s="33" t="n">
        <f aca="false">IF(D32="totale",(C32/(A32*24))/F32,IF(D32="marché libre",(C32/(A32*24))/G32,"spécifier histo"))</f>
        <v>0.556497372372372</v>
      </c>
      <c r="F32" s="59" t="n">
        <v>3700</v>
      </c>
      <c r="G32" s="59" t="n">
        <v>3700</v>
      </c>
      <c r="H32" s="9" t="n">
        <v>0</v>
      </c>
      <c r="I32" s="9"/>
      <c r="J32" s="216"/>
      <c r="L32" s="0"/>
      <c r="M32" s="0"/>
      <c r="P32" s="0"/>
      <c r="S32" s="0"/>
      <c r="V32" s="0"/>
      <c r="X32" s="0"/>
    </row>
    <row r="33" customFormat="false" ht="19.85" hidden="false" customHeight="true" outlineLevel="0" collapsed="false">
      <c r="A33" s="1" t="n">
        <v>31</v>
      </c>
      <c r="B33" s="34" t="n">
        <v>40148</v>
      </c>
      <c r="C33" s="1" t="n">
        <v>1316374</v>
      </c>
      <c r="D33" s="9" t="s">
        <v>41</v>
      </c>
      <c r="E33" s="33" t="n">
        <f aca="false">IF(D33="totale",(C33/(A33*24))/F33,IF(D33="marché libre",(C33/(A33*24))/G33,"spécifier histo"))</f>
        <v>0.478194565533275</v>
      </c>
      <c r="F33" s="59" t="n">
        <v>3700</v>
      </c>
      <c r="G33" s="59" t="n">
        <v>3700</v>
      </c>
      <c r="H33" s="9" t="n">
        <v>0</v>
      </c>
      <c r="I33" s="9"/>
      <c r="J33" s="216"/>
      <c r="L33" s="0"/>
      <c r="M33" s="0"/>
      <c r="P33" s="0"/>
      <c r="S33" s="0"/>
      <c r="V33" s="0"/>
      <c r="X33" s="0"/>
    </row>
    <row r="34" customFormat="false" ht="19.85" hidden="false" customHeight="true" outlineLevel="0" collapsed="false">
      <c r="A34" s="1" t="n">
        <v>31</v>
      </c>
      <c r="B34" s="31" t="n">
        <v>40179</v>
      </c>
      <c r="C34" s="1" t="n">
        <v>1460512</v>
      </c>
      <c r="D34" s="9" t="s">
        <v>41</v>
      </c>
      <c r="E34" s="33" t="n">
        <f aca="false">IF(D34="totale",(C34/(A34*24))/F34,IF(D34="marché libre",(C34/(A34*24))/G34,"spécifier histo"))</f>
        <v>0.530555071200233</v>
      </c>
      <c r="F34" s="59" t="n">
        <v>3700</v>
      </c>
      <c r="G34" s="59" t="n">
        <v>3700</v>
      </c>
      <c r="H34" s="9" t="n">
        <v>0</v>
      </c>
      <c r="I34" s="9"/>
      <c r="J34" s="216"/>
      <c r="L34" s="0"/>
      <c r="M34" s="0"/>
      <c r="P34" s="0"/>
      <c r="S34" s="0"/>
      <c r="V34" s="0"/>
      <c r="X34" s="0"/>
    </row>
    <row r="35" customFormat="false" ht="19.85" hidden="false" customHeight="true" outlineLevel="0" collapsed="false">
      <c r="A35" s="1" t="n">
        <v>28</v>
      </c>
      <c r="B35" s="34" t="n">
        <v>40210</v>
      </c>
      <c r="C35" s="1" t="n">
        <v>1092958</v>
      </c>
      <c r="D35" s="9" t="s">
        <v>41</v>
      </c>
      <c r="E35" s="33" t="n">
        <f aca="false">IF(D35="totale",(C35/(A35*24))/F35,IF(D35="marché libre",(C35/(A35*24))/G35,"spécifier histo"))</f>
        <v>0.439574485199485</v>
      </c>
      <c r="F35" s="59" t="n">
        <v>3700</v>
      </c>
      <c r="G35" s="59" t="n">
        <v>3700</v>
      </c>
      <c r="H35" s="9" t="n">
        <v>0</v>
      </c>
      <c r="I35" s="9"/>
      <c r="J35" s="216"/>
      <c r="L35" s="0"/>
      <c r="M35" s="0"/>
      <c r="P35" s="0"/>
      <c r="S35" s="0"/>
      <c r="V35" s="0"/>
      <c r="X35" s="0"/>
    </row>
    <row r="36" customFormat="false" ht="19.85" hidden="false" customHeight="true" outlineLevel="0" collapsed="false">
      <c r="A36" s="1" t="n">
        <v>31</v>
      </c>
      <c r="B36" s="31" t="n">
        <v>40238</v>
      </c>
      <c r="C36" s="1" t="n">
        <v>1062932</v>
      </c>
      <c r="D36" s="9" t="s">
        <v>41</v>
      </c>
      <c r="E36" s="33" t="n">
        <f aca="false">IF(D36="totale",(C36/(A36*24))/F36,IF(D36="marché libre",(C36/(A36*24))/G36,"spécifier histo"))</f>
        <v>0.386127579192095</v>
      </c>
      <c r="F36" s="59" t="n">
        <v>3700</v>
      </c>
      <c r="G36" s="59" t="n">
        <v>3700</v>
      </c>
      <c r="H36" s="9" t="n">
        <v>0</v>
      </c>
      <c r="I36" s="9"/>
      <c r="J36" s="216"/>
      <c r="L36" s="0"/>
      <c r="M36" s="0"/>
      <c r="P36" s="0"/>
      <c r="S36" s="0"/>
      <c r="V36" s="0"/>
      <c r="X36" s="0"/>
    </row>
    <row r="37" customFormat="false" ht="19.85" hidden="false" customHeight="true" outlineLevel="0" collapsed="false">
      <c r="A37" s="1" t="n">
        <v>30</v>
      </c>
      <c r="B37" s="34" t="n">
        <v>40269</v>
      </c>
      <c r="C37" s="1" t="n">
        <v>1074236</v>
      </c>
      <c r="D37" s="9" t="s">
        <v>41</v>
      </c>
      <c r="E37" s="33" t="n">
        <f aca="false">IF(D37="totale",(C37/(A37*24))/F37,IF(D37="marché libre",(C37/(A37*24))/G37,"spécifier histo"))</f>
        <v>0.403241741741742</v>
      </c>
      <c r="F37" s="59" t="n">
        <v>3700</v>
      </c>
      <c r="G37" s="59" t="n">
        <v>3700</v>
      </c>
      <c r="H37" s="9" t="n">
        <v>0</v>
      </c>
      <c r="I37" s="9"/>
      <c r="J37" s="216"/>
      <c r="L37" s="0"/>
      <c r="M37" s="0"/>
      <c r="P37" s="0"/>
      <c r="S37" s="0"/>
      <c r="V37" s="0"/>
      <c r="X37" s="0"/>
    </row>
    <row r="38" customFormat="false" ht="19.85" hidden="false" customHeight="true" outlineLevel="0" collapsed="false">
      <c r="A38" s="1" t="n">
        <v>31</v>
      </c>
      <c r="B38" s="31" t="n">
        <v>40299</v>
      </c>
      <c r="C38" s="1" t="n">
        <v>2189459</v>
      </c>
      <c r="D38" s="9" t="s">
        <v>41</v>
      </c>
      <c r="E38" s="33" t="n">
        <f aca="false">IF(D38="totale",(C38/(A38*24))/F38,IF(D38="marché libre",(C38/(A38*24))/G38,"spécifier histo"))</f>
        <v>0.79535709096193</v>
      </c>
      <c r="F38" s="59" t="n">
        <v>3700</v>
      </c>
      <c r="G38" s="59" t="n">
        <v>3700</v>
      </c>
      <c r="H38" s="9" t="n">
        <v>0</v>
      </c>
      <c r="I38" s="9"/>
      <c r="J38" s="216"/>
      <c r="L38" s="0"/>
      <c r="M38" s="0"/>
      <c r="P38" s="0"/>
      <c r="S38" s="0"/>
      <c r="V38" s="0"/>
    </row>
    <row r="39" customFormat="false" ht="19.85" hidden="false" customHeight="true" outlineLevel="0" collapsed="false">
      <c r="A39" s="1" t="n">
        <v>30</v>
      </c>
      <c r="B39" s="34" t="n">
        <v>40330</v>
      </c>
      <c r="C39" s="1" t="n">
        <v>1896993</v>
      </c>
      <c r="D39" s="9" t="s">
        <v>41</v>
      </c>
      <c r="E39" s="33" t="n">
        <f aca="false">IF(D39="totale",(C39/(A39*24))/F39,IF(D39="marché libre",(C39/(A39*24))/G39,"spécifier histo"))</f>
        <v>0.71208445945946</v>
      </c>
      <c r="F39" s="59" t="n">
        <v>3700</v>
      </c>
      <c r="G39" s="59" t="n">
        <v>3700</v>
      </c>
      <c r="H39" s="9" t="n">
        <v>0</v>
      </c>
      <c r="I39" s="9"/>
      <c r="J39" s="216"/>
      <c r="L39" s="0"/>
      <c r="M39" s="0"/>
      <c r="P39" s="0"/>
      <c r="S39" s="0"/>
      <c r="V39" s="0"/>
    </row>
    <row r="40" customFormat="false" ht="19.85" hidden="false" customHeight="true" outlineLevel="0" collapsed="false">
      <c r="A40" s="1" t="n">
        <v>31</v>
      </c>
      <c r="B40" s="31" t="n">
        <v>40360</v>
      </c>
      <c r="C40" s="1" t="n">
        <v>1268899</v>
      </c>
      <c r="D40" s="9" t="s">
        <v>41</v>
      </c>
      <c r="E40" s="33" t="n">
        <f aca="false">IF(D40="totale",(C40/(A40*24))/F40,IF(D40="marché libre",(C40/(A40*24))/G40,"spécifier histo"))</f>
        <v>0.460948488811392</v>
      </c>
      <c r="F40" s="59" t="n">
        <v>3700</v>
      </c>
      <c r="G40" s="59" t="n">
        <v>3700</v>
      </c>
      <c r="H40" s="9" t="n">
        <v>0</v>
      </c>
      <c r="I40" s="9"/>
      <c r="J40" s="216"/>
      <c r="L40" s="0"/>
      <c r="M40" s="0"/>
      <c r="P40" s="0"/>
      <c r="S40" s="0"/>
      <c r="V40" s="0"/>
    </row>
    <row r="41" customFormat="false" ht="19.85" hidden="false" customHeight="true" outlineLevel="0" collapsed="false">
      <c r="A41" s="1" t="n">
        <v>31</v>
      </c>
      <c r="B41" s="34" t="n">
        <v>40391</v>
      </c>
      <c r="C41" s="1" t="n">
        <v>375388</v>
      </c>
      <c r="D41" s="9" t="s">
        <v>41</v>
      </c>
      <c r="E41" s="33" t="n">
        <f aca="false">IF(D41="totale",(C41/(A41*24))/F41,IF(D41="marché libre",(C41/(A41*24))/G41,"spécifier histo"))</f>
        <v>0.136365882011043</v>
      </c>
      <c r="F41" s="59" t="n">
        <v>3700</v>
      </c>
      <c r="G41" s="59" t="n">
        <v>3700</v>
      </c>
      <c r="H41" s="9" t="n">
        <v>0</v>
      </c>
      <c r="I41" s="9"/>
      <c r="J41" s="216"/>
      <c r="L41" s="0"/>
      <c r="M41" s="0"/>
      <c r="P41" s="0"/>
      <c r="S41" s="0"/>
      <c r="V41" s="0"/>
    </row>
    <row r="42" customFormat="false" ht="19.85" hidden="false" customHeight="true" outlineLevel="0" collapsed="false">
      <c r="A42" s="1" t="n">
        <v>30</v>
      </c>
      <c r="B42" s="31" t="n">
        <v>40422</v>
      </c>
      <c r="C42" s="1" t="n">
        <v>49531</v>
      </c>
      <c r="D42" s="9" t="s">
        <v>41</v>
      </c>
      <c r="E42" s="33" t="n">
        <f aca="false">IF(D42="totale",(C42/(A42*24))/F42,IF(D42="marché libre",(C42/(A42*24))/G42,"spécifier histo"))</f>
        <v>0.0185927177177177</v>
      </c>
      <c r="F42" s="59" t="n">
        <v>3700</v>
      </c>
      <c r="G42" s="59" t="n">
        <v>3700</v>
      </c>
      <c r="H42" s="9" t="n">
        <v>0</v>
      </c>
      <c r="I42" s="9"/>
      <c r="J42" s="216"/>
      <c r="L42" s="0"/>
      <c r="M42" s="0"/>
      <c r="P42" s="0"/>
      <c r="S42" s="0"/>
      <c r="V42" s="0"/>
    </row>
    <row r="43" customFormat="false" ht="19.85" hidden="false" customHeight="true" outlineLevel="0" collapsed="false">
      <c r="A43" s="1" t="n">
        <v>31</v>
      </c>
      <c r="B43" s="34" t="n">
        <v>40452</v>
      </c>
      <c r="C43" s="1" t="n">
        <v>416329</v>
      </c>
      <c r="D43" s="9" t="s">
        <v>41</v>
      </c>
      <c r="E43" s="33" t="n">
        <f aca="false">IF(D43="totale",(C43/(A43*24))/F43,IF(D43="marché libre",(C43/(A43*24))/G43,"spécifier histo"))</f>
        <v>0.151238375472246</v>
      </c>
      <c r="F43" s="59" t="n">
        <v>3700</v>
      </c>
      <c r="G43" s="59" t="n">
        <v>3700</v>
      </c>
      <c r="H43" s="9" t="n">
        <v>0</v>
      </c>
      <c r="I43" s="9"/>
      <c r="J43" s="216"/>
      <c r="L43" s="0"/>
      <c r="M43" s="0"/>
      <c r="P43" s="0"/>
      <c r="S43" s="0"/>
      <c r="V43" s="0"/>
    </row>
    <row r="44" customFormat="false" ht="19.85" hidden="false" customHeight="true" outlineLevel="0" collapsed="false">
      <c r="A44" s="1" t="n">
        <v>30</v>
      </c>
      <c r="B44" s="31" t="n">
        <v>40483</v>
      </c>
      <c r="C44" s="1" t="n">
        <v>1259506</v>
      </c>
      <c r="D44" s="9" t="s">
        <v>41</v>
      </c>
      <c r="E44" s="33" t="n">
        <f aca="false">IF(D44="totale",(C44/(A44*24))/F44,IF(D44="marché libre",(C44/(A44*24))/G44,"spécifier histo"))</f>
        <v>0.472787537537538</v>
      </c>
      <c r="F44" s="59" t="n">
        <v>3700</v>
      </c>
      <c r="G44" s="59" t="n">
        <v>3700</v>
      </c>
      <c r="H44" s="9" t="n">
        <v>0</v>
      </c>
      <c r="I44" s="9"/>
      <c r="J44" s="216"/>
      <c r="L44" s="0"/>
      <c r="M44" s="0"/>
      <c r="P44" s="0"/>
      <c r="S44" s="0"/>
      <c r="V44" s="0"/>
    </row>
    <row r="45" customFormat="false" ht="19.85" hidden="false" customHeight="true" outlineLevel="0" collapsed="false">
      <c r="A45" s="1" t="n">
        <v>31</v>
      </c>
      <c r="B45" s="34" t="n">
        <v>40513</v>
      </c>
      <c r="C45" s="1" t="n">
        <v>1270403</v>
      </c>
      <c r="D45" s="9" t="s">
        <v>41</v>
      </c>
      <c r="E45" s="33" t="n">
        <f aca="false">IF(D45="totale",(C45/(A45*24))/F45,IF(D45="marché libre",(C45/(A45*24))/G45,"spécifier histo"))</f>
        <v>0.461494841615809</v>
      </c>
      <c r="F45" s="59" t="n">
        <v>3700</v>
      </c>
      <c r="G45" s="59" t="n">
        <v>3700</v>
      </c>
      <c r="H45" s="9" t="n">
        <v>0</v>
      </c>
      <c r="I45" s="9"/>
      <c r="J45" s="216"/>
      <c r="L45" s="0"/>
      <c r="M45" s="0"/>
      <c r="P45" s="0"/>
      <c r="S45" s="0"/>
      <c r="V45" s="0"/>
    </row>
    <row r="46" customFormat="false" ht="19.85" hidden="false" customHeight="true" outlineLevel="0" collapsed="false">
      <c r="A46" s="1" t="n">
        <v>31</v>
      </c>
      <c r="B46" s="31" t="n">
        <v>40544</v>
      </c>
      <c r="C46" s="1" t="n">
        <v>686679</v>
      </c>
      <c r="D46" s="9" t="s">
        <v>41</v>
      </c>
      <c r="E46" s="33" t="n">
        <f aca="false">IF(D46="totale",(C46/(A46*24))/F46,IF(D46="marché libre",(C46/(A46*24))/G46,"spécifier histo"))</f>
        <v>0.249447471665214</v>
      </c>
      <c r="F46" s="59" t="n">
        <v>3700</v>
      </c>
      <c r="G46" s="59" t="n">
        <v>3700</v>
      </c>
      <c r="H46" s="9" t="n">
        <v>0</v>
      </c>
      <c r="I46" s="9"/>
      <c r="J46" s="216"/>
      <c r="L46" s="0"/>
      <c r="M46" s="0"/>
      <c r="P46" s="0"/>
      <c r="S46" s="0"/>
      <c r="V46" s="0"/>
    </row>
    <row r="47" customFormat="false" ht="19.85" hidden="false" customHeight="true" outlineLevel="0" collapsed="false">
      <c r="A47" s="1" t="n">
        <v>28</v>
      </c>
      <c r="B47" s="34" t="n">
        <v>40575</v>
      </c>
      <c r="C47" s="1" t="n">
        <v>811321</v>
      </c>
      <c r="D47" s="9" t="s">
        <v>41</v>
      </c>
      <c r="E47" s="33" t="n">
        <f aca="false">IF(D47="totale",(C47/(A47*24))/F47,IF(D47="marché libre",(C47/(A47*24))/G47,"spécifier histo"))</f>
        <v>0.326303490990991</v>
      </c>
      <c r="F47" s="59" t="n">
        <v>3700</v>
      </c>
      <c r="G47" s="59" t="n">
        <v>3700</v>
      </c>
      <c r="H47" s="9" t="n">
        <v>0</v>
      </c>
      <c r="I47" s="9"/>
      <c r="J47" s="216"/>
      <c r="L47" s="0"/>
      <c r="M47" s="0"/>
      <c r="P47" s="0"/>
      <c r="S47" s="0"/>
      <c r="V47" s="0"/>
    </row>
    <row r="48" customFormat="false" ht="19.85" hidden="false" customHeight="true" outlineLevel="0" collapsed="false">
      <c r="A48" s="1" t="n">
        <v>31</v>
      </c>
      <c r="B48" s="31" t="n">
        <v>40603</v>
      </c>
      <c r="C48" s="1" t="n">
        <v>1335734</v>
      </c>
      <c r="D48" s="9" t="s">
        <v>41</v>
      </c>
      <c r="E48" s="33" t="n">
        <f aca="false">IF(D48="totale",(C48/(A48*24))/F48,IF(D48="marché libre",(C48/(A48*24))/G48,"spécifier histo"))</f>
        <v>0.485227404824179</v>
      </c>
      <c r="F48" s="59" t="n">
        <v>3700</v>
      </c>
      <c r="G48" s="59" t="n">
        <v>3700</v>
      </c>
      <c r="H48" s="9" t="n">
        <v>0</v>
      </c>
      <c r="I48" s="9"/>
      <c r="J48" s="216"/>
      <c r="L48" s="0"/>
      <c r="M48" s="0"/>
      <c r="P48" s="0"/>
      <c r="S48" s="0"/>
      <c r="V48" s="0"/>
    </row>
    <row r="49" customFormat="false" ht="19.85" hidden="false" customHeight="true" outlineLevel="0" collapsed="false">
      <c r="A49" s="1" t="n">
        <v>30</v>
      </c>
      <c r="B49" s="34" t="n">
        <v>40634</v>
      </c>
      <c r="C49" s="1" t="n">
        <v>1458726</v>
      </c>
      <c r="D49" s="9" t="s">
        <v>41</v>
      </c>
      <c r="E49" s="33" t="n">
        <f aca="false">IF(D49="totale",(C49/(A49*24))/F49,IF(D49="marché libre",(C49/(A49*24))/G49,"spécifier histo"))</f>
        <v>0.54756981981982</v>
      </c>
      <c r="F49" s="59" t="n">
        <v>3700</v>
      </c>
      <c r="G49" s="59" t="n">
        <v>3700</v>
      </c>
      <c r="H49" s="9" t="n">
        <v>0</v>
      </c>
      <c r="I49" s="9"/>
      <c r="J49" s="216"/>
      <c r="L49" s="0"/>
      <c r="M49" s="0"/>
      <c r="P49" s="0"/>
      <c r="S49" s="0"/>
      <c r="V49" s="0"/>
    </row>
    <row r="50" customFormat="false" ht="19.85" hidden="false" customHeight="true" outlineLevel="0" collapsed="false">
      <c r="A50" s="1" t="n">
        <v>31</v>
      </c>
      <c r="B50" s="31" t="n">
        <v>40664</v>
      </c>
      <c r="C50" s="1" t="n">
        <v>1295421</v>
      </c>
      <c r="D50" s="9" t="s">
        <v>41</v>
      </c>
      <c r="E50" s="33" t="n">
        <f aca="false">IF(D50="totale",(C50/(A50*24))/F50,IF(D50="marché libre",(C50/(A50*24))/G50,"spécifier histo"))</f>
        <v>0.47058304272014</v>
      </c>
      <c r="F50" s="59" t="n">
        <v>3700</v>
      </c>
      <c r="G50" s="59" t="n">
        <v>3700</v>
      </c>
      <c r="H50" s="9" t="n">
        <v>0</v>
      </c>
      <c r="I50" s="9"/>
      <c r="J50" s="216"/>
      <c r="L50" s="0"/>
      <c r="M50" s="0"/>
      <c r="P50" s="0"/>
      <c r="S50" s="0"/>
      <c r="V50" s="0"/>
    </row>
    <row r="51" customFormat="false" ht="19.85" hidden="false" customHeight="true" outlineLevel="0" collapsed="false">
      <c r="A51" s="1" t="n">
        <v>30</v>
      </c>
      <c r="B51" s="34" t="n">
        <v>40695</v>
      </c>
      <c r="C51" s="1" t="n">
        <v>1182703</v>
      </c>
      <c r="D51" s="9" t="s">
        <v>41</v>
      </c>
      <c r="E51" s="33" t="n">
        <f aca="false">IF(D51="totale",(C51/(A51*24))/F51,IF(D51="marché libre",(C51/(A51*24))/G51,"spécifier histo"))</f>
        <v>0.443957582582583</v>
      </c>
      <c r="F51" s="59" t="n">
        <v>3700</v>
      </c>
      <c r="G51" s="59" t="n">
        <v>3700</v>
      </c>
      <c r="H51" s="9" t="n">
        <v>0</v>
      </c>
      <c r="I51" s="9"/>
      <c r="J51" s="216"/>
      <c r="L51" s="0"/>
      <c r="M51" s="0"/>
      <c r="P51" s="0"/>
      <c r="S51" s="0"/>
      <c r="V51" s="0"/>
    </row>
    <row r="52" customFormat="false" ht="19.85" hidden="false" customHeight="true" outlineLevel="0" collapsed="false">
      <c r="A52" s="1" t="n">
        <v>31</v>
      </c>
      <c r="B52" s="31" t="n">
        <v>40725</v>
      </c>
      <c r="C52" s="1" t="n">
        <v>993460</v>
      </c>
      <c r="D52" s="9" t="s">
        <v>41</v>
      </c>
      <c r="E52" s="33" t="n">
        <f aca="false">IF(D52="totale",(C52/(A52*24))/F52,IF(D52="marché libre",(C52/(A52*24))/G52,"spécifier histo"))</f>
        <v>0.360890729439116</v>
      </c>
      <c r="F52" s="59" t="n">
        <v>3700</v>
      </c>
      <c r="G52" s="59" t="n">
        <v>3700</v>
      </c>
      <c r="H52" s="9" t="n">
        <v>0</v>
      </c>
      <c r="I52" s="9"/>
      <c r="J52" s="216"/>
      <c r="L52" s="0"/>
      <c r="M52" s="0"/>
      <c r="P52" s="0"/>
      <c r="S52" s="0"/>
      <c r="V52" s="0"/>
    </row>
    <row r="53" customFormat="false" ht="19.85" hidden="false" customHeight="true" outlineLevel="0" collapsed="false">
      <c r="A53" s="1" t="n">
        <v>31</v>
      </c>
      <c r="B53" s="34" t="n">
        <v>40756</v>
      </c>
      <c r="C53" s="1" t="n">
        <v>447726</v>
      </c>
      <c r="D53" s="9" t="s">
        <v>41</v>
      </c>
      <c r="E53" s="33" t="n">
        <f aca="false">IF(D53="totale",(C53/(A53*24))/F53,IF(D53="marché libre",(C53/(A53*24))/G53,"spécifier histo"))</f>
        <v>0.16264385353095</v>
      </c>
      <c r="F53" s="59" t="n">
        <v>3700</v>
      </c>
      <c r="G53" s="59" t="n">
        <v>3700</v>
      </c>
      <c r="H53" s="9" t="n">
        <v>0</v>
      </c>
      <c r="I53" s="9"/>
      <c r="J53" s="216"/>
      <c r="L53" s="0"/>
      <c r="M53" s="0"/>
      <c r="P53" s="0"/>
      <c r="S53" s="0"/>
      <c r="V53" s="0"/>
    </row>
    <row r="54" customFormat="false" ht="19.85" hidden="false" customHeight="true" outlineLevel="0" collapsed="false">
      <c r="A54" s="1" t="n">
        <v>30</v>
      </c>
      <c r="B54" s="31" t="n">
        <v>40787</v>
      </c>
      <c r="C54" s="1" t="n">
        <v>35421</v>
      </c>
      <c r="D54" s="9" t="s">
        <v>41</v>
      </c>
      <c r="E54" s="33" t="n">
        <f aca="false">IF(D54="totale",(C54/(A54*24))/F54,IF(D54="marché libre",(C54/(A54*24))/G54,"spécifier histo"))</f>
        <v>0.0132961711711712</v>
      </c>
      <c r="F54" s="59" t="n">
        <v>3700</v>
      </c>
      <c r="G54" s="59" t="n">
        <v>3700</v>
      </c>
      <c r="H54" s="9" t="n">
        <v>0</v>
      </c>
      <c r="I54" s="9"/>
      <c r="J54" s="216"/>
      <c r="L54" s="0"/>
      <c r="M54" s="0"/>
      <c r="P54" s="0"/>
      <c r="S54" s="0"/>
      <c r="V54" s="0"/>
    </row>
    <row r="55" customFormat="false" ht="19.85" hidden="false" customHeight="true" outlineLevel="0" collapsed="false">
      <c r="A55" s="1" t="n">
        <v>31</v>
      </c>
      <c r="B55" s="34" t="n">
        <v>40817</v>
      </c>
      <c r="C55" s="1" t="n">
        <v>19338</v>
      </c>
      <c r="D55" s="9" t="s">
        <v>41</v>
      </c>
      <c r="E55" s="33" t="n">
        <f aca="false">IF(D55="totale",(C55/(A55*24))/F55,IF(D55="marché libre",(C55/(A55*24))/G55,"spécifier histo"))</f>
        <v>0.00702484742807324</v>
      </c>
      <c r="F55" s="59" t="n">
        <v>3700</v>
      </c>
      <c r="G55" s="59" t="n">
        <v>3700</v>
      </c>
      <c r="H55" s="9" t="n">
        <v>0</v>
      </c>
      <c r="I55" s="9"/>
      <c r="J55" s="216"/>
      <c r="L55" s="0"/>
      <c r="M55" s="0"/>
      <c r="P55" s="0"/>
      <c r="S55" s="0"/>
      <c r="V55" s="0"/>
    </row>
    <row r="56" customFormat="false" ht="19.85" hidden="false" customHeight="true" outlineLevel="0" collapsed="false">
      <c r="A56" s="1" t="n">
        <v>30</v>
      </c>
      <c r="B56" s="31" t="n">
        <v>40848</v>
      </c>
      <c r="C56" s="1" t="n">
        <v>931366</v>
      </c>
      <c r="D56" s="9" t="s">
        <v>41</v>
      </c>
      <c r="E56" s="33" t="n">
        <f aca="false">IF(D56="totale",(C56/(A56*24))/F56,IF(D56="marché libre",(C56/(A56*24))/G56,"spécifier histo"))</f>
        <v>0.349611861861862</v>
      </c>
      <c r="F56" s="59" t="n">
        <v>3700</v>
      </c>
      <c r="G56" s="59" t="n">
        <v>3700</v>
      </c>
      <c r="H56" s="9" t="n">
        <v>0</v>
      </c>
      <c r="I56" s="9"/>
      <c r="J56" s="216"/>
      <c r="L56" s="0"/>
      <c r="M56" s="0"/>
      <c r="P56" s="0"/>
      <c r="S56" s="0"/>
      <c r="V56" s="0"/>
    </row>
    <row r="57" customFormat="false" ht="19.85" hidden="false" customHeight="true" outlineLevel="0" collapsed="false">
      <c r="A57" s="1" t="n">
        <v>31</v>
      </c>
      <c r="B57" s="34" t="n">
        <v>40878</v>
      </c>
      <c r="C57" s="1" t="n">
        <v>1013000</v>
      </c>
      <c r="D57" s="9" t="s">
        <v>41</v>
      </c>
      <c r="E57" s="33" t="n">
        <f aca="false">IF(D57="totale",(C57/(A57*24))/F57,IF(D57="marché libre",(C57/(A57*24))/G57,"spécifier histo"))</f>
        <v>0.367988956698634</v>
      </c>
      <c r="F57" s="59" t="n">
        <v>3700</v>
      </c>
      <c r="G57" s="59" t="n">
        <v>3700</v>
      </c>
      <c r="H57" s="9" t="n">
        <v>0</v>
      </c>
      <c r="I57" s="9"/>
      <c r="J57" s="216"/>
      <c r="L57" s="0"/>
      <c r="M57" s="0"/>
      <c r="P57" s="0"/>
      <c r="S57" s="0"/>
      <c r="V57" s="0"/>
    </row>
    <row r="58" customFormat="false" ht="19.85" hidden="false" customHeight="true" outlineLevel="0" collapsed="false">
      <c r="A58" s="1" t="n">
        <v>31</v>
      </c>
      <c r="B58" s="31" t="n">
        <v>40909</v>
      </c>
      <c r="C58" s="1" t="n">
        <v>1141557</v>
      </c>
      <c r="D58" s="9" t="s">
        <v>41</v>
      </c>
      <c r="E58" s="33" t="n">
        <f aca="false">IF(D58="totale",(C58/(A58*24))/F58,IF(D58="marché libre",(C58/(A58*24))/G58,"spécifier histo"))</f>
        <v>0.414689407149085</v>
      </c>
      <c r="F58" s="59" t="n">
        <v>3700</v>
      </c>
      <c r="G58" s="59" t="n">
        <v>3700</v>
      </c>
      <c r="H58" s="9" t="n">
        <v>0</v>
      </c>
      <c r="I58" s="9"/>
      <c r="J58" s="216"/>
      <c r="L58" s="0"/>
      <c r="M58" s="0"/>
      <c r="P58" s="0"/>
      <c r="S58" s="0"/>
      <c r="V58" s="0"/>
    </row>
    <row r="59" customFormat="false" ht="19.85" hidden="false" customHeight="true" outlineLevel="0" collapsed="false">
      <c r="A59" s="1" t="n">
        <v>28</v>
      </c>
      <c r="B59" s="34" t="n">
        <v>40940</v>
      </c>
      <c r="C59" s="1" t="n">
        <v>763860</v>
      </c>
      <c r="D59" s="9" t="s">
        <v>41</v>
      </c>
      <c r="E59" s="33" t="n">
        <f aca="false">IF(D59="totale",(C59/(A59*24))/F59,IF(D59="marché libre",(C59/(A59*24))/G59,"spécifier histo"))</f>
        <v>0.307215250965251</v>
      </c>
      <c r="F59" s="59" t="n">
        <v>3700</v>
      </c>
      <c r="G59" s="59" t="n">
        <v>3700</v>
      </c>
      <c r="H59" s="9" t="n">
        <v>0</v>
      </c>
      <c r="I59" s="9"/>
      <c r="J59" s="216"/>
      <c r="L59" s="0"/>
      <c r="M59" s="0"/>
      <c r="P59" s="0"/>
      <c r="S59" s="0"/>
      <c r="V59" s="0"/>
    </row>
    <row r="60" customFormat="false" ht="19.85" hidden="false" customHeight="true" outlineLevel="0" collapsed="false">
      <c r="A60" s="1" t="n">
        <v>31</v>
      </c>
      <c r="B60" s="31" t="n">
        <v>40969</v>
      </c>
      <c r="C60" s="1" t="n">
        <v>716486</v>
      </c>
      <c r="D60" s="9" t="s">
        <v>41</v>
      </c>
      <c r="E60" s="33" t="n">
        <f aca="false">IF(D60="totale",(C60/(A60*24))/F60,IF(D60="marché libre",(C60/(A60*24))/G60,"spécifier histo"))</f>
        <v>0.260275356001162</v>
      </c>
      <c r="F60" s="59" t="n">
        <v>3700</v>
      </c>
      <c r="G60" s="59" t="n">
        <v>3700</v>
      </c>
      <c r="H60" s="9" t="n">
        <v>0</v>
      </c>
      <c r="I60" s="9"/>
      <c r="J60" s="216"/>
      <c r="L60" s="0"/>
      <c r="M60" s="0"/>
      <c r="P60" s="0"/>
      <c r="S60" s="0"/>
      <c r="V60" s="0"/>
    </row>
    <row r="61" customFormat="false" ht="19.85" hidden="false" customHeight="true" outlineLevel="0" collapsed="false">
      <c r="A61" s="1" t="n">
        <v>30</v>
      </c>
      <c r="B61" s="34" t="n">
        <v>41000</v>
      </c>
      <c r="C61" s="1" t="n">
        <v>1179951</v>
      </c>
      <c r="D61" s="9" t="s">
        <v>41</v>
      </c>
      <c r="E61" s="33" t="n">
        <f aca="false">IF(D61="totale",(C61/(A61*24))/F61,IF(D61="marché libre",(C61/(A61*24))/G61,"spécifier histo"))</f>
        <v>0.44292454954955</v>
      </c>
      <c r="F61" s="59" t="n">
        <v>3700</v>
      </c>
      <c r="G61" s="59" t="n">
        <v>3700</v>
      </c>
      <c r="H61" s="9" t="n">
        <v>0</v>
      </c>
      <c r="I61" s="9"/>
      <c r="J61" s="216"/>
      <c r="L61" s="0"/>
      <c r="M61" s="0"/>
      <c r="P61" s="0"/>
      <c r="S61" s="0"/>
      <c r="V61" s="0"/>
    </row>
    <row r="62" customFormat="false" ht="19.85" hidden="false" customHeight="true" outlineLevel="0" collapsed="false">
      <c r="A62" s="1" t="n">
        <v>31</v>
      </c>
      <c r="B62" s="31" t="n">
        <v>41030</v>
      </c>
      <c r="C62" s="1" t="n">
        <v>1941089</v>
      </c>
      <c r="D62" s="9" t="s">
        <v>41</v>
      </c>
      <c r="E62" s="33" t="n">
        <f aca="false">IF(D62="totale",(C62/(A62*24))/F62,IF(D62="marché libre",(C62/(A62*24))/G62,"spécifier histo"))</f>
        <v>0.705132592269689</v>
      </c>
      <c r="F62" s="59" t="n">
        <v>3700</v>
      </c>
      <c r="G62" s="59" t="n">
        <v>3700</v>
      </c>
      <c r="H62" s="9" t="n">
        <v>0</v>
      </c>
      <c r="I62" s="9"/>
      <c r="J62" s="216"/>
      <c r="L62" s="0"/>
      <c r="M62" s="0"/>
      <c r="P62" s="0"/>
      <c r="S62" s="0"/>
      <c r="V62" s="0"/>
    </row>
    <row r="63" customFormat="false" ht="19.85" hidden="false" customHeight="true" outlineLevel="0" collapsed="false">
      <c r="A63" s="1" t="n">
        <v>30</v>
      </c>
      <c r="B63" s="34" t="n">
        <v>41061</v>
      </c>
      <c r="C63" s="1" t="n">
        <v>1324374</v>
      </c>
      <c r="D63" s="9" t="s">
        <v>41</v>
      </c>
      <c r="E63" s="33" t="n">
        <f aca="false">IF(D63="totale",(C63/(A63*24))/F63,IF(D63="marché libre",(C63/(A63*24))/G63,"spécifier histo"))</f>
        <v>0.497137387387387</v>
      </c>
      <c r="F63" s="59" t="n">
        <v>3700</v>
      </c>
      <c r="G63" s="59" t="n">
        <v>3700</v>
      </c>
      <c r="H63" s="9" t="n">
        <v>0</v>
      </c>
      <c r="I63" s="9"/>
      <c r="J63" s="216"/>
      <c r="L63" s="0"/>
      <c r="M63" s="0"/>
      <c r="P63" s="0"/>
      <c r="S63" s="0"/>
      <c r="V63" s="0"/>
    </row>
    <row r="64" customFormat="false" ht="19.85" hidden="false" customHeight="true" outlineLevel="0" collapsed="false">
      <c r="A64" s="1" t="n">
        <v>31</v>
      </c>
      <c r="B64" s="31" t="n">
        <v>41091</v>
      </c>
      <c r="C64" s="1" t="n">
        <v>640417</v>
      </c>
      <c r="D64" s="9" t="s">
        <v>41</v>
      </c>
      <c r="E64" s="33" t="n">
        <f aca="false">IF(D64="totale",(C64/(A64*24))/F64,IF(D64="marché libre",(C64/(A64*24))/G64,"spécifier histo"))</f>
        <v>0.232642037198489</v>
      </c>
      <c r="F64" s="59" t="n">
        <v>3700</v>
      </c>
      <c r="G64" s="59" t="n">
        <v>3700</v>
      </c>
      <c r="H64" s="9" t="n">
        <v>0</v>
      </c>
      <c r="I64" s="9"/>
      <c r="J64" s="216"/>
      <c r="L64" s="0"/>
      <c r="M64" s="0"/>
      <c r="P64" s="0"/>
      <c r="S64" s="0"/>
      <c r="V64" s="0"/>
    </row>
    <row r="65" customFormat="false" ht="19.85" hidden="false" customHeight="true" outlineLevel="0" collapsed="false">
      <c r="A65" s="1" t="n">
        <v>31</v>
      </c>
      <c r="B65" s="34" t="n">
        <v>41122</v>
      </c>
      <c r="C65" s="1" t="n">
        <v>203055</v>
      </c>
      <c r="D65" s="9" t="s">
        <v>41</v>
      </c>
      <c r="E65" s="33" t="n">
        <f aca="false">IF(D65="totale",(C65/(A65*24))/F65,IF(D65="marché libre",(C65/(A65*24))/G65,"spécifier histo"))</f>
        <v>0.0737630775937228</v>
      </c>
      <c r="F65" s="59" t="n">
        <v>3700</v>
      </c>
      <c r="G65" s="59" t="n">
        <v>3700</v>
      </c>
      <c r="H65" s="9" t="n">
        <v>0</v>
      </c>
      <c r="I65" s="9"/>
      <c r="J65" s="216"/>
      <c r="L65" s="0"/>
      <c r="M65" s="0"/>
      <c r="P65" s="0"/>
      <c r="S65" s="0"/>
      <c r="V65" s="0"/>
    </row>
    <row r="66" customFormat="false" ht="19.85" hidden="false" customHeight="true" outlineLevel="0" collapsed="false">
      <c r="A66" s="1" t="n">
        <v>30</v>
      </c>
      <c r="B66" s="31" t="n">
        <v>41153</v>
      </c>
      <c r="C66" s="1" t="n">
        <v>58061</v>
      </c>
      <c r="D66" s="9" t="s">
        <v>41</v>
      </c>
      <c r="E66" s="33" t="n">
        <f aca="false">IF(D66="totale",(C66/(A66*24))/F66,IF(D66="marché libre",(C66/(A66*24))/G66,"spécifier histo"))</f>
        <v>0.0217946696696697</v>
      </c>
      <c r="F66" s="59" t="n">
        <v>3700</v>
      </c>
      <c r="G66" s="59" t="n">
        <v>3700</v>
      </c>
      <c r="H66" s="9" t="n">
        <v>0</v>
      </c>
      <c r="I66" s="9"/>
      <c r="J66" s="216"/>
      <c r="L66" s="0"/>
      <c r="M66" s="0"/>
      <c r="P66" s="0"/>
      <c r="S66" s="0"/>
      <c r="V66" s="0"/>
    </row>
    <row r="67" customFormat="false" ht="19.85" hidden="false" customHeight="true" outlineLevel="0" collapsed="false">
      <c r="A67" s="1" t="n">
        <v>31</v>
      </c>
      <c r="B67" s="34" t="n">
        <v>41183</v>
      </c>
      <c r="C67" s="1" t="n">
        <v>637004</v>
      </c>
      <c r="D67" s="9" t="s">
        <v>41</v>
      </c>
      <c r="E67" s="33" t="n">
        <f aca="false">IF(D67="totale",(C67/(A67*24))/F67,IF(D67="marché libre",(C67/(A67*24))/G67,"spécifier histo"))</f>
        <v>0.231402208660273</v>
      </c>
      <c r="F67" s="59" t="n">
        <v>3700</v>
      </c>
      <c r="G67" s="59" t="n">
        <v>3700</v>
      </c>
      <c r="H67" s="9" t="n">
        <v>0</v>
      </c>
      <c r="I67" s="9"/>
      <c r="J67" s="216"/>
      <c r="L67" s="0"/>
      <c r="M67" s="0"/>
      <c r="P67" s="0"/>
      <c r="S67" s="0"/>
      <c r="V67" s="0"/>
    </row>
    <row r="68" customFormat="false" ht="19.85" hidden="false" customHeight="true" outlineLevel="0" collapsed="false">
      <c r="A68" s="1" t="n">
        <v>30</v>
      </c>
      <c r="B68" s="31" t="n">
        <v>41214</v>
      </c>
      <c r="C68" s="1" t="n">
        <v>976533</v>
      </c>
      <c r="D68" s="9" t="s">
        <v>41</v>
      </c>
      <c r="E68" s="33" t="n">
        <f aca="false">IF(D68="totale",(C68/(A68*24))/F68,IF(D68="marché libre",(C68/(A68*24))/G68,"spécifier histo"))</f>
        <v>0.366566441441441</v>
      </c>
      <c r="F68" s="59" t="n">
        <v>3700</v>
      </c>
      <c r="G68" s="59" t="n">
        <v>3700</v>
      </c>
      <c r="H68" s="9" t="n">
        <v>0</v>
      </c>
      <c r="I68" s="9"/>
      <c r="J68" s="216"/>
      <c r="L68" s="0"/>
      <c r="M68" s="0"/>
      <c r="P68" s="0"/>
      <c r="S68" s="0"/>
      <c r="V68" s="0"/>
    </row>
    <row r="69" customFormat="false" ht="19.85" hidden="false" customHeight="true" outlineLevel="0" collapsed="false">
      <c r="A69" s="1" t="n">
        <v>31</v>
      </c>
      <c r="B69" s="34" t="n">
        <v>41244</v>
      </c>
      <c r="C69" s="1" t="n">
        <v>1257658</v>
      </c>
      <c r="D69" s="9" t="s">
        <v>41</v>
      </c>
      <c r="E69" s="33" t="n">
        <f aca="false">IF(D69="totale",(C69/(A69*24))/F69,IF(D69="marché libre",(C69/(A69*24))/G69,"spécifier histo"))</f>
        <v>0.456865010171462</v>
      </c>
      <c r="F69" s="59" t="n">
        <v>3700</v>
      </c>
      <c r="G69" s="59" t="n">
        <v>3700</v>
      </c>
      <c r="H69" s="9" t="n">
        <v>0</v>
      </c>
      <c r="I69" s="9"/>
      <c r="J69" s="216"/>
      <c r="L69" s="0"/>
      <c r="M69" s="0"/>
      <c r="P69" s="0"/>
      <c r="S69" s="0"/>
      <c r="V69" s="0"/>
    </row>
    <row r="70" customFormat="false" ht="19.85" hidden="false" customHeight="true" outlineLevel="0" collapsed="false">
      <c r="A70" s="1" t="n">
        <v>31</v>
      </c>
      <c r="B70" s="31" t="n">
        <v>41275</v>
      </c>
      <c r="C70" s="1" t="n">
        <v>1105131</v>
      </c>
      <c r="D70" s="9" t="s">
        <v>41</v>
      </c>
      <c r="E70" s="33" t="n">
        <f aca="false">IF(D70="totale",(C70/(A70*24))/F70,IF(D70="marché libre",(C70/(A70*24))/G70,"spécifier histo"))</f>
        <v>0.40145706190061</v>
      </c>
      <c r="F70" s="59" t="n">
        <v>3700</v>
      </c>
      <c r="G70" s="59" t="n">
        <v>3700</v>
      </c>
      <c r="H70" s="9" t="n">
        <v>0</v>
      </c>
      <c r="I70" s="9"/>
      <c r="J70" s="216"/>
      <c r="L70" s="0"/>
      <c r="M70" s="0"/>
      <c r="P70" s="0"/>
      <c r="S70" s="0"/>
      <c r="V70" s="0"/>
    </row>
    <row r="71" customFormat="false" ht="19.85" hidden="false" customHeight="true" outlineLevel="0" collapsed="false">
      <c r="A71" s="1" t="n">
        <v>28</v>
      </c>
      <c r="B71" s="34" t="n">
        <v>41306</v>
      </c>
      <c r="C71" s="1" t="n">
        <v>1672362</v>
      </c>
      <c r="D71" s="9" t="s">
        <v>41</v>
      </c>
      <c r="E71" s="33" t="n">
        <f aca="false">IF(D71="totale",(C71/(A71*24))/F71,IF(D71="marché libre",(C71/(A71*24))/G71,"spécifier histo"))</f>
        <v>0.672603764478764</v>
      </c>
      <c r="F71" s="59" t="n">
        <v>3700</v>
      </c>
      <c r="G71" s="59" t="n">
        <v>3700</v>
      </c>
      <c r="H71" s="9" t="n">
        <v>0</v>
      </c>
      <c r="I71" s="9"/>
      <c r="J71" s="216"/>
      <c r="L71" s="0"/>
      <c r="M71" s="0"/>
      <c r="P71" s="0"/>
      <c r="S71" s="0"/>
      <c r="V71" s="0"/>
    </row>
    <row r="72" customFormat="false" ht="19.85" hidden="false" customHeight="true" outlineLevel="0" collapsed="false">
      <c r="A72" s="1" t="n">
        <v>31</v>
      </c>
      <c r="B72" s="31" t="n">
        <v>41334</v>
      </c>
      <c r="C72" s="1" t="n">
        <v>1801944</v>
      </c>
      <c r="D72" s="9" t="s">
        <v>41</v>
      </c>
      <c r="E72" s="33" t="n">
        <f aca="false">IF(D72="totale",(C72/(A72*24))/F72,IF(D72="marché libre",(C72/(A72*24))/G72,"spécifier histo"))</f>
        <v>0.654585876198779</v>
      </c>
      <c r="F72" s="59" t="n">
        <v>3700</v>
      </c>
      <c r="G72" s="59" t="n">
        <v>3700</v>
      </c>
      <c r="H72" s="9" t="n">
        <v>0</v>
      </c>
      <c r="I72" s="9"/>
      <c r="J72" s="216"/>
      <c r="L72" s="0"/>
      <c r="M72" s="0"/>
      <c r="P72" s="0"/>
      <c r="S72" s="0"/>
      <c r="V72" s="0"/>
    </row>
    <row r="73" customFormat="false" ht="19.85" hidden="false" customHeight="true" outlineLevel="0" collapsed="false">
      <c r="A73" s="1" t="n">
        <v>30</v>
      </c>
      <c r="B73" s="34" t="n">
        <v>41365</v>
      </c>
      <c r="C73" s="1" t="n">
        <v>2086528</v>
      </c>
      <c r="D73" s="9" t="s">
        <v>41</v>
      </c>
      <c r="E73" s="33" t="n">
        <f aca="false">IF(D73="totale",(C73/(A73*24))/F73,IF(D73="marché libre",(C73/(A73*24))/G73,"spécifier histo"))</f>
        <v>0.783231231231231</v>
      </c>
      <c r="F73" s="59" t="n">
        <v>3700</v>
      </c>
      <c r="G73" s="59" t="n">
        <v>3700</v>
      </c>
      <c r="H73" s="9" t="n">
        <v>0</v>
      </c>
      <c r="I73" s="9"/>
      <c r="J73" s="216"/>
      <c r="L73" s="0"/>
      <c r="M73" s="0"/>
      <c r="P73" s="0"/>
      <c r="S73" s="0"/>
      <c r="V73" s="0"/>
    </row>
    <row r="74" customFormat="false" ht="19.85" hidden="false" customHeight="true" outlineLevel="0" collapsed="false">
      <c r="A74" s="1" t="n">
        <v>31</v>
      </c>
      <c r="B74" s="31" t="n">
        <v>41395</v>
      </c>
      <c r="C74" s="1" t="n">
        <v>2190999</v>
      </c>
      <c r="D74" s="9" t="s">
        <v>41</v>
      </c>
      <c r="E74" s="33" t="n">
        <f aca="false">IF(D74="totale",(C74/(A74*24))/F74,IF(D74="marché libre",(C74/(A74*24))/G74,"spécifier histo"))</f>
        <v>0.79591652136007</v>
      </c>
      <c r="F74" s="59" t="n">
        <v>3700</v>
      </c>
      <c r="G74" s="59" t="n">
        <v>3700</v>
      </c>
      <c r="H74" s="9" t="n">
        <v>0</v>
      </c>
      <c r="I74" s="9"/>
      <c r="J74" s="216"/>
      <c r="L74" s="0"/>
      <c r="M74" s="0"/>
      <c r="P74" s="0"/>
      <c r="S74" s="0"/>
      <c r="V74" s="0"/>
    </row>
    <row r="75" customFormat="false" ht="19.85" hidden="false" customHeight="true" outlineLevel="0" collapsed="false">
      <c r="A75" s="1" t="n">
        <v>30</v>
      </c>
      <c r="B75" s="34" t="n">
        <v>41426</v>
      </c>
      <c r="C75" s="1" t="n">
        <v>1518368</v>
      </c>
      <c r="D75" s="9" t="s">
        <v>41</v>
      </c>
      <c r="E75" s="33" t="n">
        <f aca="false">IF(D75="totale",(C75/(A75*24))/F75,IF(D75="marché libre",(C75/(A75*24))/G75,"spécifier histo"))</f>
        <v>0.569957957957958</v>
      </c>
      <c r="F75" s="59" t="n">
        <v>3700</v>
      </c>
      <c r="G75" s="59" t="n">
        <v>3700</v>
      </c>
      <c r="H75" s="9" t="n">
        <v>0</v>
      </c>
      <c r="I75" s="9"/>
      <c r="J75" s="216"/>
      <c r="L75" s="0"/>
      <c r="M75" s="0"/>
      <c r="P75" s="0"/>
      <c r="S75" s="0"/>
      <c r="V75" s="0"/>
    </row>
    <row r="76" customFormat="false" ht="19.85" hidden="false" customHeight="true" outlineLevel="0" collapsed="false">
      <c r="A76" s="1" t="n">
        <v>31</v>
      </c>
      <c r="B76" s="31" t="n">
        <v>41456</v>
      </c>
      <c r="C76" s="1" t="n">
        <v>1805861</v>
      </c>
      <c r="D76" s="9" t="s">
        <v>41</v>
      </c>
      <c r="E76" s="33" t="n">
        <f aca="false">IF(D76="totale",(C76/(A76*24))/F76,IF(D76="marché libre",(C76/(A76*24))/G76,"spécifier histo"))</f>
        <v>0.656008791049114</v>
      </c>
      <c r="F76" s="59" t="n">
        <v>3700</v>
      </c>
      <c r="G76" s="59" t="n">
        <v>3700</v>
      </c>
      <c r="H76" s="9" t="n">
        <v>0</v>
      </c>
      <c r="I76" s="9"/>
      <c r="J76" s="216"/>
      <c r="L76" s="0"/>
      <c r="M76" s="0"/>
      <c r="P76" s="0"/>
      <c r="S76" s="0"/>
      <c r="V76" s="0"/>
    </row>
    <row r="77" customFormat="false" ht="19.85" hidden="false" customHeight="true" outlineLevel="0" collapsed="false">
      <c r="A77" s="1" t="n">
        <v>31</v>
      </c>
      <c r="B77" s="34" t="n">
        <v>41487</v>
      </c>
      <c r="C77" s="1" t="n">
        <v>862455</v>
      </c>
      <c r="D77" s="9" t="s">
        <v>41</v>
      </c>
      <c r="E77" s="33" t="n">
        <f aca="false">IF(D77="totale",(C77/(A77*24))/F77,IF(D77="marché libre",(C77/(A77*24))/G77,"spécifier histo"))</f>
        <v>0.313301002615519</v>
      </c>
      <c r="F77" s="59" t="n">
        <v>3700</v>
      </c>
      <c r="G77" s="59" t="n">
        <v>3700</v>
      </c>
      <c r="H77" s="9" t="n">
        <v>0</v>
      </c>
      <c r="I77" s="9"/>
      <c r="J77" s="216"/>
      <c r="L77" s="0"/>
      <c r="M77" s="0"/>
      <c r="P77" s="0"/>
      <c r="S77" s="0"/>
      <c r="V77" s="0"/>
    </row>
    <row r="78" customFormat="false" ht="19.85" hidden="false" customHeight="true" outlineLevel="0" collapsed="false">
      <c r="A78" s="1" t="n">
        <v>30</v>
      </c>
      <c r="B78" s="31" t="n">
        <v>41518</v>
      </c>
      <c r="C78" s="1" t="n">
        <v>422443</v>
      </c>
      <c r="D78" s="9" t="s">
        <v>41</v>
      </c>
      <c r="E78" s="33" t="n">
        <f aca="false">IF(D78="totale",(C78/(A78*24))/F78,IF(D78="marché libre",(C78/(A78*24))/G78,"spécifier histo"))</f>
        <v>0.1585746996997</v>
      </c>
      <c r="F78" s="59" t="n">
        <v>3700</v>
      </c>
      <c r="G78" s="59" t="n">
        <v>3700</v>
      </c>
      <c r="H78" s="9" t="n">
        <v>0</v>
      </c>
      <c r="I78" s="9"/>
      <c r="J78" s="216"/>
      <c r="L78" s="0"/>
      <c r="M78" s="0"/>
      <c r="P78" s="0"/>
      <c r="S78" s="0"/>
      <c r="V78" s="0"/>
    </row>
    <row r="79" customFormat="false" ht="19.85" hidden="false" customHeight="true" outlineLevel="0" collapsed="false">
      <c r="A79" s="1" t="n">
        <v>31</v>
      </c>
      <c r="B79" s="34" t="n">
        <v>41548</v>
      </c>
      <c r="C79" s="1" t="n">
        <v>474618</v>
      </c>
      <c r="D79" s="9" t="s">
        <v>41</v>
      </c>
      <c r="E79" s="33" t="n">
        <f aca="false">IF(D79="totale",(C79/(A79*24))/F79,IF(D79="marché libre",(C79/(A79*24))/G79,"spécifier histo"))</f>
        <v>0.172412816041848</v>
      </c>
      <c r="F79" s="59" t="n">
        <v>3700</v>
      </c>
      <c r="G79" s="59" t="n">
        <v>3700</v>
      </c>
      <c r="H79" s="9" t="n">
        <v>0</v>
      </c>
      <c r="I79" s="9"/>
      <c r="J79" s="216"/>
      <c r="L79" s="0"/>
      <c r="M79" s="0"/>
      <c r="P79" s="0"/>
      <c r="S79" s="0"/>
      <c r="V79" s="0"/>
    </row>
    <row r="80" customFormat="false" ht="19.85" hidden="false" customHeight="true" outlineLevel="0" collapsed="false">
      <c r="A80" s="1" t="n">
        <v>30</v>
      </c>
      <c r="B80" s="31" t="n">
        <v>41579</v>
      </c>
      <c r="C80" s="1" t="n">
        <v>1229183</v>
      </c>
      <c r="D80" s="9" t="s">
        <v>41</v>
      </c>
      <c r="E80" s="33" t="n">
        <f aca="false">IF(D80="totale",(C80/(A80*24))/F80,IF(D80="marché libre",(C80/(A80*24))/G80,"spécifier histo"))</f>
        <v>0.46140503003003</v>
      </c>
      <c r="F80" s="59" t="n">
        <v>3700</v>
      </c>
      <c r="G80" s="59" t="n">
        <v>3700</v>
      </c>
      <c r="H80" s="9" t="n">
        <v>0</v>
      </c>
      <c r="I80" s="9"/>
      <c r="J80" s="216"/>
      <c r="L80" s="0"/>
      <c r="M80" s="0"/>
      <c r="P80" s="0"/>
      <c r="S80" s="0"/>
      <c r="V80" s="0"/>
    </row>
    <row r="81" customFormat="false" ht="19.85" hidden="false" customHeight="true" outlineLevel="0" collapsed="false">
      <c r="A81" s="1" t="n">
        <v>31</v>
      </c>
      <c r="B81" s="34" t="n">
        <v>41609</v>
      </c>
      <c r="C81" s="1" t="n">
        <v>1189434</v>
      </c>
      <c r="D81" s="9" t="s">
        <v>41</v>
      </c>
      <c r="E81" s="33" t="n">
        <f aca="false">IF(D81="totale",(C81/(A81*24))/F81,IF(D81="marché libre",(C81/(A81*24))/G81,"spécifier histo"))</f>
        <v>0.432081517000872</v>
      </c>
      <c r="F81" s="59" t="n">
        <v>3700</v>
      </c>
      <c r="G81" s="59" t="n">
        <v>3700</v>
      </c>
      <c r="H81" s="9" t="n">
        <v>0</v>
      </c>
      <c r="I81" s="9"/>
      <c r="J81" s="216"/>
      <c r="L81" s="0"/>
      <c r="M81" s="0"/>
      <c r="P81" s="0"/>
      <c r="S81" s="0"/>
      <c r="V81" s="0"/>
    </row>
    <row r="82" customFormat="false" ht="19.85" hidden="false" customHeight="true" outlineLevel="0" collapsed="false">
      <c r="A82" s="1" t="n">
        <v>31</v>
      </c>
      <c r="B82" s="31" t="n">
        <v>41640</v>
      </c>
      <c r="C82" s="1" t="n">
        <v>1105804</v>
      </c>
      <c r="D82" s="9" t="s">
        <v>41</v>
      </c>
      <c r="E82" s="33" t="n">
        <f aca="false">IF(D82="totale",(C82/(A82*24))/F82,IF(D82="marché libre",(C82/(A82*24))/G82,"spécifier histo"))</f>
        <v>0.401701540249927</v>
      </c>
      <c r="F82" s="59" t="n">
        <v>3700</v>
      </c>
      <c r="G82" s="59" t="n">
        <v>3700</v>
      </c>
      <c r="H82" s="9" t="n">
        <v>0</v>
      </c>
      <c r="I82" s="9"/>
      <c r="J82" s="216"/>
      <c r="L82" s="0"/>
      <c r="M82" s="0"/>
      <c r="P82" s="0"/>
      <c r="S82" s="0"/>
      <c r="V82" s="0"/>
    </row>
    <row r="83" customFormat="false" ht="19.85" hidden="false" customHeight="true" outlineLevel="0" collapsed="false">
      <c r="A83" s="1" t="n">
        <v>28</v>
      </c>
      <c r="B83" s="34" t="n">
        <v>41671</v>
      </c>
      <c r="C83" s="1" t="n">
        <v>1369692</v>
      </c>
      <c r="D83" s="9" t="s">
        <v>41</v>
      </c>
      <c r="E83" s="33" t="n">
        <f aca="false">IF(D83="totale",(C83/(A83*24))/F83,IF(D83="marché libre",(C83/(A83*24))/G83,"spécifier histo"))</f>
        <v>0.550873552123552</v>
      </c>
      <c r="F83" s="59" t="n">
        <v>3700</v>
      </c>
      <c r="G83" s="59" t="n">
        <v>3700</v>
      </c>
      <c r="H83" s="9" t="n">
        <v>0</v>
      </c>
      <c r="I83" s="9"/>
      <c r="J83" s="216"/>
      <c r="L83" s="0"/>
      <c r="M83" s="0"/>
      <c r="P83" s="0"/>
      <c r="S83" s="0"/>
      <c r="V83" s="0"/>
    </row>
    <row r="84" customFormat="false" ht="19.85" hidden="false" customHeight="true" outlineLevel="0" collapsed="false">
      <c r="A84" s="1" t="n">
        <v>31</v>
      </c>
      <c r="B84" s="31" t="n">
        <v>41699</v>
      </c>
      <c r="C84" s="1" t="n">
        <v>1687199</v>
      </c>
      <c r="D84" s="9" t="s">
        <v>41</v>
      </c>
      <c r="E84" s="33" t="n">
        <f aca="false">IF(D84="totale",(C84/(A84*24))/F84,IF(D84="marché libre",(C84/(A84*24))/G84,"spécifier histo"))</f>
        <v>0.612902862539959</v>
      </c>
      <c r="F84" s="59" t="n">
        <v>3700</v>
      </c>
      <c r="G84" s="59" t="n">
        <v>3700</v>
      </c>
      <c r="H84" s="9" t="n">
        <v>0</v>
      </c>
      <c r="I84" s="9"/>
      <c r="J84" s="216"/>
      <c r="L84" s="0"/>
      <c r="M84" s="0"/>
      <c r="P84" s="0"/>
      <c r="S84" s="0"/>
      <c r="V84" s="0"/>
    </row>
    <row r="85" customFormat="false" ht="19.85" hidden="false" customHeight="true" outlineLevel="0" collapsed="false">
      <c r="A85" s="1" t="n">
        <v>30</v>
      </c>
      <c r="B85" s="34" t="n">
        <v>41730</v>
      </c>
      <c r="C85" s="1" t="n">
        <v>2088893</v>
      </c>
      <c r="D85" s="9" t="s">
        <v>41</v>
      </c>
      <c r="E85" s="33" t="n">
        <f aca="false">IF(D85="totale",(C85/(A85*24))/F85,IF(D85="marché libre",(C85/(A85*24))/G85,"spécifier histo"))</f>
        <v>0.784118993993994</v>
      </c>
      <c r="F85" s="59" t="n">
        <v>3700</v>
      </c>
      <c r="G85" s="59" t="n">
        <v>3700</v>
      </c>
      <c r="H85" s="9" t="n">
        <v>0</v>
      </c>
      <c r="I85" s="9"/>
      <c r="J85" s="216"/>
      <c r="L85" s="0"/>
      <c r="M85" s="0"/>
      <c r="P85" s="0"/>
      <c r="S85" s="0"/>
      <c r="V85" s="0"/>
    </row>
    <row r="86" customFormat="false" ht="19.85" hidden="false" customHeight="true" outlineLevel="0" collapsed="false">
      <c r="A86" s="1" t="n">
        <v>31</v>
      </c>
      <c r="B86" s="31" t="n">
        <v>41760</v>
      </c>
      <c r="C86" s="1" t="n">
        <v>2203780</v>
      </c>
      <c r="D86" s="9" t="s">
        <v>41</v>
      </c>
      <c r="E86" s="33" t="n">
        <f aca="false">IF(D86="totale",(C86/(A86*24))/F86,IF(D86="marché libre",(C86/(A86*24))/G86,"spécifier histo"))</f>
        <v>0.80055943039814</v>
      </c>
      <c r="F86" s="59" t="n">
        <v>3700</v>
      </c>
      <c r="G86" s="59" t="n">
        <v>3700</v>
      </c>
      <c r="H86" s="9" t="n">
        <v>0</v>
      </c>
      <c r="I86" s="9"/>
      <c r="J86" s="216"/>
      <c r="L86" s="0"/>
      <c r="P86" s="0"/>
      <c r="S86" s="0"/>
      <c r="V86" s="0"/>
    </row>
    <row r="87" customFormat="false" ht="19.85" hidden="false" customHeight="true" outlineLevel="0" collapsed="false">
      <c r="A87" s="1" t="n">
        <v>30</v>
      </c>
      <c r="B87" s="34" t="n">
        <v>41791</v>
      </c>
      <c r="C87" s="1" t="n">
        <v>2039561</v>
      </c>
      <c r="D87" s="9" t="s">
        <v>41</v>
      </c>
      <c r="E87" s="33" t="n">
        <f aca="false">IF(D87="totale",(C87/(A87*24))/F87,IF(D87="marché libre",(C87/(A87*24))/G87,"spécifier histo"))</f>
        <v>0.765600975975976</v>
      </c>
      <c r="F87" s="59" t="n">
        <v>3700</v>
      </c>
      <c r="G87" s="59" t="n">
        <v>3700</v>
      </c>
      <c r="H87" s="9" t="n">
        <v>0</v>
      </c>
      <c r="I87" s="9"/>
      <c r="J87" s="216"/>
      <c r="L87" s="0"/>
      <c r="P87" s="0"/>
      <c r="S87" s="0"/>
      <c r="V87" s="0"/>
    </row>
    <row r="88" s="1" customFormat="true" ht="19.85" hidden="false" customHeight="true" outlineLevel="0" collapsed="false">
      <c r="A88" s="1" t="n">
        <v>31</v>
      </c>
      <c r="B88" s="31" t="n">
        <v>41821</v>
      </c>
      <c r="C88" s="1" t="n">
        <v>1736511</v>
      </c>
      <c r="D88" s="9" t="s">
        <v>41</v>
      </c>
      <c r="E88" s="33" t="n">
        <f aca="false">IF(D88="totale",(C88/(A88*24))/F88,IF(D88="marché libre",(C88/(A88*24))/G88,"spécifier histo"))</f>
        <v>0.630816259808195</v>
      </c>
      <c r="F88" s="59" t="n">
        <v>3700</v>
      </c>
      <c r="G88" s="59" t="n">
        <v>3700</v>
      </c>
      <c r="H88" s="9" t="n">
        <v>0</v>
      </c>
      <c r="K88" s="0"/>
      <c r="L88" s="29"/>
      <c r="S88" s="0"/>
      <c r="V88" s="0"/>
    </row>
    <row r="89" customFormat="false" ht="19.85" hidden="false" customHeight="true" outlineLevel="0" collapsed="false">
      <c r="A89" s="1" t="n">
        <v>31</v>
      </c>
      <c r="B89" s="34" t="n">
        <v>41852</v>
      </c>
      <c r="C89" s="1" t="n">
        <v>937267</v>
      </c>
      <c r="D89" s="9" t="s">
        <v>41</v>
      </c>
      <c r="E89" s="33" t="n">
        <f aca="false">IF(D89="totale",(C89/(A89*24))/F89,IF(D89="marché libre",(C89/(A89*24))/G89,"spécifier histo"))</f>
        <v>0.340477695437373</v>
      </c>
      <c r="F89" s="59" t="n">
        <v>3700</v>
      </c>
      <c r="G89" s="59" t="n">
        <v>3700</v>
      </c>
      <c r="H89" s="9" t="n">
        <v>0</v>
      </c>
      <c r="J89" s="216"/>
      <c r="L89" s="0"/>
      <c r="P89" s="0"/>
      <c r="S89" s="0"/>
      <c r="V89" s="0"/>
    </row>
    <row r="90" s="1" customFormat="true" ht="19.85" hidden="false" customHeight="true" outlineLevel="0" collapsed="false">
      <c r="A90" s="1" t="n">
        <v>30</v>
      </c>
      <c r="B90" s="31" t="n">
        <v>41883</v>
      </c>
      <c r="C90" s="1" t="n">
        <v>364941</v>
      </c>
      <c r="D90" s="9" t="s">
        <v>41</v>
      </c>
      <c r="E90" s="33" t="n">
        <f aca="false">IF(D90="totale",(C90/(A90*24))/F90,IF(D90="marché libre",(C90/(A90*24))/G90,"spécifier histo"))</f>
        <v>0.136989864864865</v>
      </c>
      <c r="F90" s="59" t="n">
        <v>3700</v>
      </c>
      <c r="G90" s="59" t="n">
        <v>3700</v>
      </c>
      <c r="H90" s="9" t="n">
        <v>0</v>
      </c>
      <c r="K90" s="0"/>
      <c r="L90" s="29"/>
      <c r="S90" s="0"/>
      <c r="V90" s="0"/>
    </row>
    <row r="91" customFormat="false" ht="19.85" hidden="false" customHeight="true" outlineLevel="0" collapsed="false">
      <c r="A91" s="1" t="n">
        <v>31</v>
      </c>
      <c r="B91" s="34" t="n">
        <v>41913</v>
      </c>
      <c r="C91" s="1" t="n">
        <v>439820</v>
      </c>
      <c r="D91" s="9" t="s">
        <v>41</v>
      </c>
      <c r="E91" s="33" t="n">
        <f aca="false">IF(D91="totale",(C91/(A91*24))/F91,IF(D91="marché libre",(C91/(A91*24))/G91,"spécifier histo"))</f>
        <v>0.159771868642836</v>
      </c>
      <c r="F91" s="59" t="n">
        <v>3700</v>
      </c>
      <c r="G91" s="59" t="n">
        <v>3700</v>
      </c>
      <c r="H91" s="9" t="n">
        <v>0</v>
      </c>
      <c r="J91" s="216"/>
      <c r="L91" s="0"/>
      <c r="P91" s="0"/>
      <c r="S91" s="0"/>
      <c r="V91" s="0"/>
    </row>
    <row r="92" s="1" customFormat="true" ht="19.85" hidden="false" customHeight="true" outlineLevel="0" collapsed="false">
      <c r="A92" s="1" t="n">
        <v>30</v>
      </c>
      <c r="B92" s="31" t="n">
        <v>41944</v>
      </c>
      <c r="C92" s="1" t="n">
        <v>639642</v>
      </c>
      <c r="D92" s="9" t="s">
        <v>41</v>
      </c>
      <c r="E92" s="33" t="n">
        <f aca="false">IF(D92="totale",(C92/(A92*24))/F92,IF(D92="marché libre",(C92/(A92*24))/G92,"spécifier histo"))</f>
        <v>0.240105855855856</v>
      </c>
      <c r="F92" s="59" t="n">
        <v>3700</v>
      </c>
      <c r="G92" s="59" t="n">
        <v>3700</v>
      </c>
      <c r="H92" s="9" t="n">
        <v>0</v>
      </c>
      <c r="K92" s="0"/>
      <c r="L92" s="29"/>
      <c r="S92" s="0"/>
      <c r="V92" s="0"/>
    </row>
    <row r="93" customFormat="false" ht="19.85" hidden="false" customHeight="true" outlineLevel="0" collapsed="false">
      <c r="A93" s="1" t="n">
        <v>31</v>
      </c>
      <c r="B93" s="34" t="n">
        <v>41974</v>
      </c>
      <c r="C93" s="1" t="n">
        <v>1320000</v>
      </c>
      <c r="D93" s="9" t="s">
        <v>41</v>
      </c>
      <c r="E93" s="33" t="n">
        <f aca="false">IF(D93="totale",(C93/(A93*24))/F93,IF(D93="marché libre",(C93/(A93*24))/G93,"spécifier histo"))</f>
        <v>0.479511769834351</v>
      </c>
      <c r="F93" s="59" t="n">
        <v>3700</v>
      </c>
      <c r="G93" s="59" t="n">
        <v>3700</v>
      </c>
      <c r="H93" s="9" t="n">
        <v>0</v>
      </c>
      <c r="J93" s="216"/>
      <c r="L93" s="0"/>
      <c r="P93" s="0"/>
      <c r="S93" s="0"/>
      <c r="V93" s="0"/>
    </row>
    <row r="94" s="1" customFormat="true" ht="19.85" hidden="false" customHeight="true" outlineLevel="0" collapsed="false">
      <c r="A94" s="1" t="n">
        <v>31</v>
      </c>
      <c r="B94" s="31" t="n">
        <v>42005</v>
      </c>
      <c r="C94" s="1" t="n">
        <v>864390</v>
      </c>
      <c r="D94" s="9" t="s">
        <v>41</v>
      </c>
      <c r="E94" s="33" t="n">
        <f aca="false">IF(D94="totale",(C94/(A94*24))/F94,IF(D94="marché libre",(C94/(A94*24))/G94,"spécifier histo"))</f>
        <v>0.314003923278117</v>
      </c>
      <c r="F94" s="59" t="n">
        <v>3700</v>
      </c>
      <c r="G94" s="59" t="n">
        <v>3700</v>
      </c>
      <c r="H94" s="9" t="n">
        <v>0</v>
      </c>
      <c r="K94" s="0"/>
      <c r="L94" s="29"/>
      <c r="S94" s="0"/>
      <c r="V94" s="0"/>
    </row>
    <row r="95" customFormat="false" ht="19.85" hidden="false" customHeight="true" outlineLevel="0" collapsed="false">
      <c r="A95" s="1" t="n">
        <v>28</v>
      </c>
      <c r="B95" s="34" t="n">
        <v>42036</v>
      </c>
      <c r="C95" s="1" t="n">
        <v>1483227</v>
      </c>
      <c r="D95" s="9" t="s">
        <v>41</v>
      </c>
      <c r="E95" s="33" t="n">
        <f aca="false">IF(D95="totale",(C95/(A95*24))/F95,IF(D95="marché libre",(C95/(A95*24))/G95,"spécifier histo"))</f>
        <v>0.596535955598456</v>
      </c>
      <c r="F95" s="59" t="n">
        <v>3700</v>
      </c>
      <c r="G95" s="59" t="n">
        <v>3700</v>
      </c>
      <c r="H95" s="9" t="n">
        <v>0</v>
      </c>
      <c r="J95" s="216"/>
      <c r="L95" s="0"/>
      <c r="P95" s="0"/>
      <c r="S95" s="0"/>
      <c r="V95" s="0"/>
    </row>
    <row r="96" s="1" customFormat="true" ht="19.85" hidden="false" customHeight="true" outlineLevel="0" collapsed="false">
      <c r="A96" s="1" t="n">
        <v>31</v>
      </c>
      <c r="B96" s="31" t="n">
        <v>42064</v>
      </c>
      <c r="C96" s="1" t="n">
        <v>1874383</v>
      </c>
      <c r="D96" s="9" t="s">
        <v>41</v>
      </c>
      <c r="E96" s="33" t="n">
        <f aca="false">IF(D96="totale",(C96/(A96*24))/F96,IF(D96="marché libre",(C96/(A96*24))/G96,"spécifier histo"))</f>
        <v>0.680900537634409</v>
      </c>
      <c r="F96" s="59" t="n">
        <v>3700</v>
      </c>
      <c r="G96" s="59" t="n">
        <v>3700</v>
      </c>
      <c r="H96" s="9" t="n">
        <v>0</v>
      </c>
      <c r="K96" s="0"/>
      <c r="L96" s="29"/>
      <c r="S96" s="0"/>
      <c r="V96" s="0"/>
    </row>
    <row r="97" customFormat="false" ht="19.85" hidden="false" customHeight="true" outlineLevel="0" collapsed="false">
      <c r="A97" s="1" t="n">
        <v>30</v>
      </c>
      <c r="B97" s="34" t="n">
        <v>42095</v>
      </c>
      <c r="C97" s="1" t="n">
        <v>1994001</v>
      </c>
      <c r="D97" s="9" t="s">
        <v>41</v>
      </c>
      <c r="E97" s="33" t="n">
        <f aca="false">IF(D97="totale",(C97/(A97*24))/F97,IF(D97="marché libre",(C97/(A97*24))/G97,"spécifier histo"))</f>
        <v>0.748498873873874</v>
      </c>
      <c r="F97" s="59" t="n">
        <v>3700</v>
      </c>
      <c r="G97" s="59" t="n">
        <v>3700</v>
      </c>
      <c r="H97" s="9" t="n">
        <v>0</v>
      </c>
      <c r="J97" s="216"/>
      <c r="L97" s="0"/>
      <c r="P97" s="0"/>
      <c r="S97" s="0"/>
      <c r="V97" s="0"/>
    </row>
    <row r="98" s="1" customFormat="true" ht="19.85" hidden="false" customHeight="true" outlineLevel="0" collapsed="false">
      <c r="A98" s="1" t="n">
        <v>31</v>
      </c>
      <c r="B98" s="31" t="n">
        <v>42125</v>
      </c>
      <c r="C98" s="1" t="n">
        <v>1928878</v>
      </c>
      <c r="D98" s="9" t="s">
        <v>41</v>
      </c>
      <c r="E98" s="33" t="n">
        <f aca="false">IF(D98="totale",(C98/(A98*24))/F98,IF(D98="marché libre",(C98/(A98*24))/G98,"spécifier histo"))</f>
        <v>0.700696745132229</v>
      </c>
      <c r="F98" s="59" t="n">
        <v>3700</v>
      </c>
      <c r="G98" s="59" t="n">
        <v>3700</v>
      </c>
      <c r="H98" s="9" t="n">
        <v>0</v>
      </c>
      <c r="K98" s="0"/>
      <c r="L98" s="29"/>
      <c r="S98" s="0"/>
      <c r="V98" s="0"/>
    </row>
    <row r="99" customFormat="false" ht="19.85" hidden="false" customHeight="true" outlineLevel="0" collapsed="false">
      <c r="A99" s="1" t="n">
        <v>30</v>
      </c>
      <c r="B99" s="34" t="n">
        <v>42156</v>
      </c>
      <c r="C99" s="1" t="n">
        <v>1364266</v>
      </c>
      <c r="D99" s="9" t="s">
        <v>41</v>
      </c>
      <c r="E99" s="33" t="n">
        <f aca="false">IF(D99="totale",(C99/(A99*24))/F99,IF(D99="marché libre",(C99/(A99*24))/G99,"spécifier histo"))</f>
        <v>0.512111861861862</v>
      </c>
      <c r="F99" s="59" t="n">
        <v>3700</v>
      </c>
      <c r="G99" s="59" t="n">
        <v>3700</v>
      </c>
      <c r="H99" s="9" t="n">
        <v>0</v>
      </c>
      <c r="J99" s="216"/>
      <c r="L99" s="0"/>
      <c r="P99" s="0"/>
      <c r="S99" s="0"/>
      <c r="V99" s="0"/>
    </row>
    <row r="100" s="1" customFormat="true" ht="19.85" hidden="false" customHeight="true" outlineLevel="0" collapsed="false">
      <c r="A100" s="1" t="n">
        <v>31</v>
      </c>
      <c r="B100" s="31" t="n">
        <v>42186</v>
      </c>
      <c r="C100" s="1" t="n">
        <v>747361</v>
      </c>
      <c r="D100" s="9" t="s">
        <v>41</v>
      </c>
      <c r="E100" s="33" t="n">
        <f aca="false">IF(D100="totale",(C100/(A100*24))/F100,IF(D100="marché libre",(C100/(A100*24))/G100,"spécifier histo"))</f>
        <v>0.271491208950886</v>
      </c>
      <c r="F100" s="59" t="n">
        <v>3700</v>
      </c>
      <c r="G100" s="59" t="n">
        <v>3700</v>
      </c>
      <c r="H100" s="9" t="n">
        <v>0</v>
      </c>
      <c r="K100" s="0"/>
      <c r="L100" s="29"/>
      <c r="S100" s="0"/>
      <c r="V100" s="0"/>
    </row>
    <row r="101" customFormat="false" ht="19.85" hidden="false" customHeight="true" outlineLevel="0" collapsed="false">
      <c r="A101" s="1" t="n">
        <v>31</v>
      </c>
      <c r="B101" s="34" t="n">
        <v>42217</v>
      </c>
      <c r="C101" s="1" t="n">
        <v>676989</v>
      </c>
      <c r="D101" s="9" t="s">
        <v>41</v>
      </c>
      <c r="E101" s="33" t="n">
        <f aca="false">IF(D101="totale",(C101/(A101*24))/F101,IF(D101="marché libre",(C101/(A101*24))/G101,"spécifier histo"))</f>
        <v>0.245927419354839</v>
      </c>
      <c r="F101" s="59" t="n">
        <v>3700</v>
      </c>
      <c r="G101" s="59" t="n">
        <v>3700</v>
      </c>
      <c r="H101" s="9" t="n">
        <v>0</v>
      </c>
      <c r="J101" s="216"/>
      <c r="L101" s="0"/>
      <c r="P101" s="0"/>
      <c r="S101" s="0"/>
      <c r="V101" s="0"/>
    </row>
    <row r="102" s="1" customFormat="true" ht="19.85" hidden="false" customHeight="true" outlineLevel="0" collapsed="false">
      <c r="A102" s="1" t="n">
        <v>30</v>
      </c>
      <c r="B102" s="31" t="n">
        <v>42248</v>
      </c>
      <c r="C102" s="1" t="n">
        <v>333313</v>
      </c>
      <c r="D102" s="9" t="s">
        <v>41</v>
      </c>
      <c r="E102" s="33" t="n">
        <f aca="false">IF(D102="totale",(C102/(A102*24))/F102,IF(D102="marché libre",(C102/(A102*24))/G102,"spécifier histo"))</f>
        <v>0.125117492492492</v>
      </c>
      <c r="F102" s="59" t="n">
        <v>3700</v>
      </c>
      <c r="G102" s="59" t="n">
        <v>3700</v>
      </c>
      <c r="H102" s="9" t="n">
        <v>0</v>
      </c>
      <c r="K102" s="0"/>
      <c r="L102" s="29"/>
      <c r="S102" s="0"/>
      <c r="V102" s="0"/>
    </row>
    <row r="103" customFormat="false" ht="19.85" hidden="false" customHeight="true" outlineLevel="0" collapsed="false">
      <c r="A103" s="1" t="n">
        <v>31</v>
      </c>
      <c r="B103" s="34" t="n">
        <v>42278</v>
      </c>
      <c r="C103" s="1" t="n">
        <v>306208</v>
      </c>
      <c r="D103" s="9" t="s">
        <v>41</v>
      </c>
      <c r="E103" s="33" t="n">
        <f aca="false">IF(D103="totale",(C103/(A103*24))/F103,IF(D103="marché libre",(C103/(A103*24))/G103,"spécifier histo"))</f>
        <v>0.111235106073816</v>
      </c>
      <c r="F103" s="59" t="n">
        <v>3700</v>
      </c>
      <c r="G103" s="59" t="n">
        <v>3700</v>
      </c>
      <c r="H103" s="9" t="n">
        <v>0</v>
      </c>
      <c r="J103" s="216"/>
      <c r="L103" s="0"/>
      <c r="P103" s="0"/>
      <c r="S103" s="0"/>
      <c r="V103" s="0"/>
    </row>
    <row r="104" s="1" customFormat="true" ht="19.85" hidden="false" customHeight="true" outlineLevel="0" collapsed="false">
      <c r="A104" s="1" t="n">
        <v>30</v>
      </c>
      <c r="B104" s="31" t="n">
        <v>42309</v>
      </c>
      <c r="C104" s="1" t="n">
        <v>411571</v>
      </c>
      <c r="D104" s="9" t="s">
        <v>41</v>
      </c>
      <c r="E104" s="33" t="n">
        <f aca="false">IF(D104="totale",(C104/(A104*24))/F104,IF(D104="marché libre",(C104/(A104*24))/G104,"spécifier histo"))</f>
        <v>0.154493618618619</v>
      </c>
      <c r="F104" s="59" t="n">
        <v>3700</v>
      </c>
      <c r="G104" s="59" t="n">
        <v>3700</v>
      </c>
      <c r="H104" s="9" t="n">
        <v>0</v>
      </c>
      <c r="K104" s="0"/>
      <c r="L104" s="29"/>
      <c r="S104" s="0"/>
      <c r="V104" s="0"/>
    </row>
    <row r="105" customFormat="false" ht="19.85" hidden="false" customHeight="true" outlineLevel="0" collapsed="false">
      <c r="A105" s="1" t="n">
        <v>31</v>
      </c>
      <c r="B105" s="34" t="n">
        <v>42339</v>
      </c>
      <c r="C105" s="1" t="n">
        <v>567413</v>
      </c>
      <c r="D105" s="9" t="s">
        <v>41</v>
      </c>
      <c r="E105" s="33" t="n">
        <f aca="false">IF(D105="totale",(C105/(A105*24))/F105,IF(D105="marché libre",(C105/(A105*24))/G105,"spécifier histo"))</f>
        <v>0.206122130194711</v>
      </c>
      <c r="F105" s="59" t="n">
        <v>3700</v>
      </c>
      <c r="G105" s="59" t="n">
        <v>3700</v>
      </c>
      <c r="H105" s="9" t="n">
        <v>0</v>
      </c>
      <c r="J105" s="216"/>
      <c r="L105" s="0"/>
      <c r="P105" s="0"/>
      <c r="S105" s="0"/>
      <c r="V105" s="0"/>
    </row>
    <row r="106" s="1" customFormat="true" ht="19.85" hidden="false" customHeight="true" outlineLevel="0" collapsed="false">
      <c r="A106" s="1" t="n">
        <v>31</v>
      </c>
      <c r="B106" s="31" t="n">
        <v>42370</v>
      </c>
      <c r="C106" s="1" t="n">
        <v>1224849</v>
      </c>
      <c r="D106" s="9" t="s">
        <v>41</v>
      </c>
      <c r="E106" s="33" t="n">
        <f aca="false">IF(D106="totale",(C106/(A106*24))/F106,IF(D106="marché libre",(C106/(A106*24))/G106,"spécifier histo"))</f>
        <v>0.444946599825632</v>
      </c>
      <c r="F106" s="59" t="n">
        <v>3700</v>
      </c>
      <c r="G106" s="59" t="n">
        <v>3700</v>
      </c>
      <c r="H106" s="9" t="n">
        <v>0</v>
      </c>
      <c r="K106" s="0"/>
      <c r="L106" s="29"/>
      <c r="S106" s="0"/>
      <c r="V106" s="0"/>
    </row>
    <row r="107" customFormat="false" ht="19.85" hidden="false" customHeight="true" outlineLevel="0" collapsed="false">
      <c r="A107" s="1" t="n">
        <v>28</v>
      </c>
      <c r="B107" s="34" t="n">
        <v>42401</v>
      </c>
      <c r="C107" s="1" t="n">
        <v>1408345</v>
      </c>
      <c r="D107" s="9" t="s">
        <v>41</v>
      </c>
      <c r="E107" s="33" t="n">
        <f aca="false">IF(D107="totale",(C107/(A107*24))/F107,IF(D107="marché libre",(C107/(A107*24))/G107,"spécifier histo"))</f>
        <v>0.566419321106821</v>
      </c>
      <c r="F107" s="59" t="n">
        <v>3700</v>
      </c>
      <c r="G107" s="59" t="n">
        <v>3700</v>
      </c>
      <c r="H107" s="9" t="n">
        <v>0</v>
      </c>
      <c r="J107" s="216"/>
      <c r="L107" s="0"/>
      <c r="P107" s="0"/>
      <c r="S107" s="0"/>
      <c r="V107" s="0"/>
    </row>
    <row r="108" s="1" customFormat="true" ht="19.85" hidden="false" customHeight="true" outlineLevel="0" collapsed="false">
      <c r="A108" s="1" t="n">
        <v>31</v>
      </c>
      <c r="B108" s="31" t="n">
        <v>42430</v>
      </c>
      <c r="C108" s="1" t="n">
        <v>1697302</v>
      </c>
      <c r="D108" s="9" t="s">
        <v>41</v>
      </c>
      <c r="E108" s="33" t="n">
        <f aca="false">IF(D108="totale",(C108/(A108*24))/F108,IF(D108="marché libre",(C108/(A108*24))/G108,"spécifier histo"))</f>
        <v>0.616572943911654</v>
      </c>
      <c r="F108" s="59" t="n">
        <v>3700</v>
      </c>
      <c r="G108" s="59" t="n">
        <v>3700</v>
      </c>
      <c r="H108" s="9" t="n">
        <v>0</v>
      </c>
      <c r="K108" s="0"/>
      <c r="L108" s="29"/>
      <c r="S108" s="0"/>
      <c r="V108" s="0"/>
    </row>
    <row r="109" customFormat="false" ht="19.85" hidden="false" customHeight="true" outlineLevel="0" collapsed="false">
      <c r="A109" s="1" t="n">
        <v>30</v>
      </c>
      <c r="B109" s="34" t="n">
        <v>42461</v>
      </c>
      <c r="C109" s="1" t="n">
        <v>1326734</v>
      </c>
      <c r="D109" s="9" t="s">
        <v>41</v>
      </c>
      <c r="E109" s="33" t="n">
        <f aca="false">IF(D109="totale",(C109/(A109*24))/F109,IF(D109="marché libre",(C109/(A109*24))/G109,"spécifier histo"))</f>
        <v>0.498023273273273</v>
      </c>
      <c r="F109" s="59" t="n">
        <v>3700</v>
      </c>
      <c r="G109" s="59" t="n">
        <v>3700</v>
      </c>
      <c r="H109" s="9" t="n">
        <v>0</v>
      </c>
      <c r="J109" s="216"/>
      <c r="L109" s="0"/>
      <c r="P109" s="0"/>
      <c r="S109" s="0"/>
      <c r="V109" s="0"/>
    </row>
    <row r="110" s="1" customFormat="true" ht="19.85" hidden="false" customHeight="true" outlineLevel="0" collapsed="false">
      <c r="A110" s="1" t="n">
        <v>31</v>
      </c>
      <c r="B110" s="31" t="n">
        <v>42491</v>
      </c>
      <c r="C110" s="1" t="n">
        <v>1202075</v>
      </c>
      <c r="D110" s="9" t="s">
        <v>41</v>
      </c>
      <c r="E110" s="33" t="n">
        <f aca="false">IF(D110="totale",(C110/(A110*24))/F110,IF(D110="marché libre",(C110/(A110*24))/G110,"spécifier histo"))</f>
        <v>0.43667356873002</v>
      </c>
      <c r="F110" s="59" t="n">
        <v>3700</v>
      </c>
      <c r="G110" s="59" t="n">
        <v>3700</v>
      </c>
      <c r="H110" s="9" t="n">
        <v>0</v>
      </c>
      <c r="K110" s="0"/>
      <c r="L110" s="29"/>
      <c r="S110" s="0"/>
      <c r="V110" s="0"/>
    </row>
    <row r="111" customFormat="false" ht="19.85" hidden="false" customHeight="true" outlineLevel="0" collapsed="false">
      <c r="A111" s="1" t="n">
        <v>30</v>
      </c>
      <c r="B111" s="34" t="n">
        <v>42522</v>
      </c>
      <c r="C111" s="1" t="n">
        <v>1042669</v>
      </c>
      <c r="D111" s="9" t="s">
        <v>41</v>
      </c>
      <c r="E111" s="33" t="n">
        <f aca="false">IF(D111="totale",(C111/(A111*24))/F111,IF(D111="marché libre",(C111/(A111*24))/G111,"spécifier histo"))</f>
        <v>0.391392267267267</v>
      </c>
      <c r="F111" s="59" t="n">
        <v>3700</v>
      </c>
      <c r="G111" s="59" t="n">
        <v>3700</v>
      </c>
      <c r="H111" s="9" t="n">
        <v>0</v>
      </c>
      <c r="J111" s="216"/>
      <c r="L111" s="0"/>
      <c r="P111" s="0"/>
      <c r="S111" s="0"/>
      <c r="V111" s="0"/>
    </row>
    <row r="112" s="1" customFormat="true" ht="19.85" hidden="false" customHeight="true" outlineLevel="0" collapsed="false">
      <c r="A112" s="1" t="n">
        <v>31</v>
      </c>
      <c r="B112" s="31" t="n">
        <v>42552</v>
      </c>
      <c r="C112" s="1" t="n">
        <v>876738</v>
      </c>
      <c r="D112" s="9" t="s">
        <v>41</v>
      </c>
      <c r="E112" s="33" t="n">
        <f aca="false">IF(D112="totale",(C112/(A112*24))/F112,IF(D112="marché libre",(C112/(A112*24))/G112,"spécifier histo"))</f>
        <v>0.318489537925022</v>
      </c>
      <c r="F112" s="59" t="n">
        <v>3700</v>
      </c>
      <c r="G112" s="59" t="n">
        <v>3700</v>
      </c>
      <c r="H112" s="9" t="n">
        <v>0</v>
      </c>
      <c r="K112" s="0"/>
      <c r="L112" s="29"/>
      <c r="S112" s="0"/>
      <c r="V112" s="0"/>
    </row>
    <row r="113" customFormat="false" ht="19.85" hidden="false" customHeight="true" outlineLevel="0" collapsed="false">
      <c r="A113" s="1" t="n">
        <v>31</v>
      </c>
      <c r="B113" s="34" t="n">
        <v>42583</v>
      </c>
      <c r="C113" s="1" t="n">
        <v>230283</v>
      </c>
      <c r="D113" s="9" t="s">
        <v>41</v>
      </c>
      <c r="E113" s="33" t="n">
        <f aca="false">IF(D113="totale",(C113/(A113*24))/F113,IF(D113="marché libre",(C113/(A113*24))/G113,"spécifier histo"))</f>
        <v>0.0836540976460331</v>
      </c>
      <c r="F113" s="59" t="n">
        <v>3700</v>
      </c>
      <c r="G113" s="59" t="n">
        <v>3700</v>
      </c>
      <c r="H113" s="9" t="n">
        <v>0</v>
      </c>
      <c r="J113" s="216"/>
      <c r="L113" s="0"/>
      <c r="P113" s="0"/>
      <c r="S113" s="0"/>
      <c r="V113" s="0"/>
    </row>
    <row r="114" s="1" customFormat="true" ht="19.85" hidden="false" customHeight="true" outlineLevel="0" collapsed="false">
      <c r="A114" s="1" t="n">
        <v>30</v>
      </c>
      <c r="B114" s="31" t="n">
        <v>42614</v>
      </c>
      <c r="C114" s="1" t="n">
        <v>59117</v>
      </c>
      <c r="D114" s="9" t="s">
        <v>41</v>
      </c>
      <c r="E114" s="33" t="n">
        <f aca="false">IF(D114="totale",(C114/(A114*24))/F114,IF(D114="marché libre",(C114/(A114*24))/G114,"spécifier histo"))</f>
        <v>0.0221910660660661</v>
      </c>
      <c r="F114" s="59" t="n">
        <v>3700</v>
      </c>
      <c r="G114" s="59" t="n">
        <v>3700</v>
      </c>
      <c r="H114" s="9" t="n">
        <v>0</v>
      </c>
      <c r="K114" s="0"/>
      <c r="L114" s="29"/>
      <c r="S114" s="0"/>
      <c r="V114" s="0"/>
    </row>
    <row r="115" customFormat="false" ht="19.85" hidden="false" customHeight="true" outlineLevel="0" collapsed="false">
      <c r="A115" s="1" t="n">
        <v>31</v>
      </c>
      <c r="B115" s="34" t="n">
        <v>42644</v>
      </c>
      <c r="C115" s="1" t="n">
        <v>322254</v>
      </c>
      <c r="D115" s="9" t="s">
        <v>41</v>
      </c>
      <c r="E115" s="33" t="n">
        <f aca="false">IF(D115="totale",(C115/(A115*24))/F115,IF(D115="marché libre",(C115/(A115*24))/G115,"spécifier histo"))</f>
        <v>0.117064080209241</v>
      </c>
      <c r="F115" s="59" t="n">
        <v>3700</v>
      </c>
      <c r="G115" s="59" t="n">
        <v>3700</v>
      </c>
      <c r="H115" s="9" t="n">
        <v>0</v>
      </c>
      <c r="J115" s="216"/>
      <c r="L115" s="0"/>
      <c r="P115" s="0"/>
      <c r="S115" s="0"/>
      <c r="V115" s="0"/>
    </row>
    <row r="116" s="1" customFormat="true" ht="19.85" hidden="false" customHeight="true" outlineLevel="0" collapsed="false">
      <c r="A116" s="1" t="n">
        <v>30</v>
      </c>
      <c r="B116" s="31" t="n">
        <v>42675</v>
      </c>
      <c r="C116" s="1" t="n">
        <v>872038</v>
      </c>
      <c r="D116" s="9" t="s">
        <v>41</v>
      </c>
      <c r="E116" s="33" t="n">
        <f aca="false">IF(D116="totale",(C116/(A116*24))/F116,IF(D116="marché libre",(C116/(A116*24))/G116,"spécifier histo"))</f>
        <v>0.327341591591591</v>
      </c>
      <c r="F116" s="59" t="n">
        <v>3700</v>
      </c>
      <c r="G116" s="59" t="n">
        <v>3700</v>
      </c>
      <c r="H116" s="9" t="n">
        <v>0</v>
      </c>
      <c r="K116" s="0"/>
      <c r="L116" s="29"/>
      <c r="S116" s="0"/>
      <c r="V116" s="0"/>
    </row>
    <row r="117" customFormat="false" ht="19.85" hidden="false" customHeight="true" outlineLevel="0" collapsed="false">
      <c r="A117" s="1" t="n">
        <v>31</v>
      </c>
      <c r="B117" s="34" t="n">
        <v>42705</v>
      </c>
      <c r="C117" s="1" t="n">
        <v>669466</v>
      </c>
      <c r="D117" s="9" t="s">
        <v>41</v>
      </c>
      <c r="E117" s="33" t="n">
        <f aca="false">IF(D117="totale",(C117/(A117*24))/F117,IF(D117="marché libre",(C117/(A117*24))/G117,"spécifier histo"))</f>
        <v>0.243194565533275</v>
      </c>
      <c r="F117" s="59" t="n">
        <v>3700</v>
      </c>
      <c r="G117" s="59" t="n">
        <v>3700</v>
      </c>
      <c r="H117" s="9" t="n">
        <v>0</v>
      </c>
      <c r="J117" s="216"/>
      <c r="L117" s="0"/>
      <c r="P117" s="0"/>
      <c r="S117" s="0"/>
      <c r="V117" s="0"/>
    </row>
    <row r="118" s="1" customFormat="true" ht="19.85" hidden="false" customHeight="true" outlineLevel="0" collapsed="false">
      <c r="A118" s="1" t="n">
        <v>31</v>
      </c>
      <c r="B118" s="31" t="n">
        <v>42736</v>
      </c>
      <c r="C118" s="1" t="n">
        <v>708696</v>
      </c>
      <c r="D118" s="9" t="s">
        <v>41</v>
      </c>
      <c r="E118" s="33" t="n">
        <f aca="false">IF(D118="totale",(C118/(A118*24))/F118,IF(D118="marché libre",(C118/(A118*24))/G118,"spécifier histo"))</f>
        <v>0.257445510026155</v>
      </c>
      <c r="F118" s="59" t="n">
        <v>3700</v>
      </c>
      <c r="G118" s="59" t="n">
        <v>3700</v>
      </c>
      <c r="H118" s="9" t="n">
        <v>0</v>
      </c>
      <c r="K118" s="0"/>
      <c r="L118" s="29"/>
      <c r="S118" s="0"/>
      <c r="V118" s="0"/>
    </row>
    <row r="119" customFormat="false" ht="19.85" hidden="false" customHeight="true" outlineLevel="0" collapsed="false">
      <c r="A119" s="1" t="n">
        <v>28</v>
      </c>
      <c r="B119" s="34" t="n">
        <v>42767</v>
      </c>
      <c r="C119" s="1" t="n">
        <v>1104409</v>
      </c>
      <c r="D119" s="9" t="s">
        <v>41</v>
      </c>
      <c r="E119" s="33" t="n">
        <f aca="false">IF(D119="totale",(C119/(A119*24))/F119,IF(D119="marché libre",(C119/(A119*24))/G119,"spécifier histo"))</f>
        <v>0.444179938867439</v>
      </c>
      <c r="F119" s="59" t="n">
        <v>3700</v>
      </c>
      <c r="G119" s="59" t="n">
        <v>3700</v>
      </c>
      <c r="H119" s="9" t="n">
        <v>0</v>
      </c>
      <c r="J119" s="216"/>
      <c r="L119" s="0"/>
      <c r="P119" s="0"/>
      <c r="S119" s="0"/>
      <c r="V119" s="0"/>
    </row>
    <row r="120" s="1" customFormat="true" ht="19.85" hidden="false" customHeight="true" outlineLevel="0" collapsed="false">
      <c r="A120" s="1" t="n">
        <v>31</v>
      </c>
      <c r="B120" s="31" t="n">
        <v>42795</v>
      </c>
      <c r="C120" s="1" t="n">
        <v>1354102</v>
      </c>
      <c r="D120" s="9" t="s">
        <v>41</v>
      </c>
      <c r="E120" s="33" t="n">
        <f aca="false">IF(D120="totale",(C120/(A120*24))/F120,IF(D120="marché libre",(C120/(A120*24))/G120,"spécifier histo"))</f>
        <v>0.491899883754722</v>
      </c>
      <c r="F120" s="59" t="n">
        <v>3700</v>
      </c>
      <c r="G120" s="59" t="n">
        <v>3700</v>
      </c>
      <c r="H120" s="9" t="n">
        <v>0</v>
      </c>
      <c r="K120" s="0"/>
      <c r="L120" s="29"/>
      <c r="S120" s="0"/>
      <c r="V120" s="0"/>
    </row>
    <row r="121" customFormat="false" ht="19.85" hidden="false" customHeight="true" outlineLevel="0" collapsed="false">
      <c r="A121" s="1" t="n">
        <v>30</v>
      </c>
      <c r="B121" s="34" t="n">
        <v>42826</v>
      </c>
      <c r="C121" s="1" t="n">
        <v>1256260</v>
      </c>
      <c r="D121" s="9" t="s">
        <v>41</v>
      </c>
      <c r="E121" s="33" t="n">
        <f aca="false">IF(D121="totale",(C121/(A121*24))/F121,IF(D121="marché libre",(C121/(A121*24))/G121,"spécifier histo"))</f>
        <v>0.471569069069069</v>
      </c>
      <c r="F121" s="59" t="n">
        <v>3700</v>
      </c>
      <c r="G121" s="59" t="n">
        <v>3700</v>
      </c>
      <c r="H121" s="9" t="n">
        <v>0</v>
      </c>
      <c r="J121" s="216"/>
      <c r="L121" s="0"/>
      <c r="P121" s="0"/>
      <c r="S121" s="0"/>
      <c r="V121" s="0"/>
    </row>
    <row r="122" s="1" customFormat="true" ht="19.85" hidden="false" customHeight="true" outlineLevel="0" collapsed="false">
      <c r="A122" s="1" t="n">
        <v>31</v>
      </c>
      <c r="B122" s="31" t="n">
        <v>42856</v>
      </c>
      <c r="C122" s="1" t="n">
        <v>1318421</v>
      </c>
      <c r="D122" s="9" t="s">
        <v>41</v>
      </c>
      <c r="E122" s="33" t="n">
        <f aca="false">IF(D122="totale",(C122/(A122*24))/F122,IF(D122="marché libre",(C122/(A122*24))/G122,"spécifier histo"))</f>
        <v>0.478938172043011</v>
      </c>
      <c r="F122" s="59" t="n">
        <v>3700</v>
      </c>
      <c r="G122" s="59" t="n">
        <v>3700</v>
      </c>
      <c r="H122" s="9" t="n">
        <v>0</v>
      </c>
      <c r="K122" s="0"/>
      <c r="L122" s="29"/>
      <c r="S122" s="0"/>
      <c r="V122" s="0"/>
    </row>
    <row r="123" customFormat="false" ht="19.85" hidden="false" customHeight="true" outlineLevel="0" collapsed="false">
      <c r="A123" s="1" t="n">
        <v>30</v>
      </c>
      <c r="B123" s="34" t="n">
        <v>42887</v>
      </c>
      <c r="C123" s="1" t="n">
        <v>1098370</v>
      </c>
      <c r="D123" s="9" t="s">
        <v>41</v>
      </c>
      <c r="E123" s="33" t="n">
        <f aca="false">IF(D123="totale",(C123/(A123*24))/F123,IF(D123="marché libre",(C123/(A123*24))/G123,"spécifier histo"))</f>
        <v>0.412301051051051</v>
      </c>
      <c r="F123" s="59" t="n">
        <v>3700</v>
      </c>
      <c r="G123" s="59" t="n">
        <v>3700</v>
      </c>
      <c r="H123" s="9" t="n">
        <v>0</v>
      </c>
      <c r="J123" s="216"/>
      <c r="L123" s="0"/>
      <c r="P123" s="0"/>
      <c r="S123" s="0"/>
      <c r="V123" s="0"/>
    </row>
    <row r="124" s="1" customFormat="true" ht="19.85" hidden="false" customHeight="true" outlineLevel="0" collapsed="false">
      <c r="A124" s="1" t="n">
        <v>31</v>
      </c>
      <c r="B124" s="31" t="n">
        <v>42917</v>
      </c>
      <c r="C124" s="1" t="n">
        <v>624367</v>
      </c>
      <c r="D124" s="9" t="s">
        <v>41</v>
      </c>
      <c r="E124" s="33" t="n">
        <f aca="false">IF(D124="totale",(C124/(A124*24))/F124,IF(D124="marché libre",(C124/(A124*24))/G124,"spécifier histo"))</f>
        <v>0.226811609997094</v>
      </c>
      <c r="F124" s="59" t="n">
        <v>3700</v>
      </c>
      <c r="G124" s="59" t="n">
        <v>3700</v>
      </c>
      <c r="H124" s="9" t="n">
        <v>0</v>
      </c>
      <c r="K124" s="0"/>
      <c r="L124" s="29"/>
      <c r="S124" s="0"/>
      <c r="V124" s="0"/>
    </row>
    <row r="125" customFormat="false" ht="19.85" hidden="false" customHeight="true" outlineLevel="0" collapsed="false">
      <c r="A125" s="1" t="n">
        <v>31</v>
      </c>
      <c r="B125" s="34" t="n">
        <v>42948</v>
      </c>
      <c r="C125" s="1" t="n">
        <v>319578</v>
      </c>
      <c r="D125" s="9" t="s">
        <v>41</v>
      </c>
      <c r="E125" s="33" t="n">
        <f aca="false">IF(D125="totale",(C125/(A125*24))/F125,IF(D125="marché libre",(C125/(A125*24))/G125,"spécifier histo"))</f>
        <v>0.11609197907585</v>
      </c>
      <c r="F125" s="59" t="n">
        <v>3700</v>
      </c>
      <c r="G125" s="59" t="n">
        <v>3700</v>
      </c>
      <c r="H125" s="9" t="n">
        <v>0</v>
      </c>
      <c r="J125" s="216"/>
      <c r="L125" s="0"/>
      <c r="P125" s="0"/>
      <c r="S125" s="0"/>
      <c r="V125" s="0"/>
    </row>
    <row r="126" s="1" customFormat="true" ht="19.85" hidden="false" customHeight="true" outlineLevel="0" collapsed="false">
      <c r="A126" s="1" t="n">
        <v>30</v>
      </c>
      <c r="B126" s="31" t="n">
        <v>42979</v>
      </c>
      <c r="C126" s="1" t="n">
        <v>409875</v>
      </c>
      <c r="D126" s="9" t="s">
        <v>41</v>
      </c>
      <c r="E126" s="33" t="n">
        <f aca="false">IF(D126="totale",(C126/(A126*24))/F126,IF(D126="marché libre",(C126/(A126*24))/G126,"spécifier histo"))</f>
        <v>0.153856981981982</v>
      </c>
      <c r="F126" s="59" t="n">
        <v>3700</v>
      </c>
      <c r="G126" s="59" t="n">
        <v>3700</v>
      </c>
      <c r="H126" s="9" t="n">
        <v>0</v>
      </c>
      <c r="K126" s="0"/>
      <c r="L126" s="29"/>
      <c r="S126" s="0"/>
      <c r="V126" s="0"/>
    </row>
    <row r="127" customFormat="false" ht="19.85" hidden="false" customHeight="true" outlineLevel="0" collapsed="false">
      <c r="A127" s="1" t="n">
        <v>31</v>
      </c>
      <c r="B127" s="34" t="n">
        <v>43009</v>
      </c>
      <c r="C127" s="1" t="n">
        <v>259934</v>
      </c>
      <c r="D127" s="9" t="s">
        <v>41</v>
      </c>
      <c r="E127" s="33" t="n">
        <f aca="false">IF(D127="totale",(C127/(A127*24))/F127,IF(D127="marché libre",(C127/(A127*24))/G127,"spécifier histo"))</f>
        <v>0.0944253124091834</v>
      </c>
      <c r="F127" s="59" t="n">
        <v>3700</v>
      </c>
      <c r="G127" s="59" t="n">
        <v>3700</v>
      </c>
      <c r="H127" s="9" t="n">
        <v>0</v>
      </c>
      <c r="J127" s="216"/>
      <c r="L127" s="0"/>
      <c r="P127" s="0"/>
      <c r="S127" s="0"/>
      <c r="V127" s="0"/>
    </row>
    <row r="128" s="1" customFormat="true" ht="19.85" hidden="false" customHeight="true" outlineLevel="0" collapsed="false">
      <c r="A128" s="1" t="n">
        <v>30</v>
      </c>
      <c r="B128" s="31" t="n">
        <v>43040</v>
      </c>
      <c r="C128" s="1" t="n">
        <v>688937</v>
      </c>
      <c r="D128" s="9" t="s">
        <v>41</v>
      </c>
      <c r="E128" s="33" t="n">
        <f aca="false">IF(D128="totale",(C128/(A128*24))/F128,IF(D128="marché libre",(C128/(A128*24))/G128,"spécifier histo"))</f>
        <v>0.258609984984985</v>
      </c>
      <c r="F128" s="59" t="n">
        <v>3700</v>
      </c>
      <c r="G128" s="59" t="n">
        <v>3700</v>
      </c>
      <c r="H128" s="9" t="n">
        <v>0</v>
      </c>
      <c r="K128" s="0"/>
      <c r="L128" s="29"/>
      <c r="S128" s="0"/>
      <c r="V128" s="0"/>
    </row>
    <row r="129" customFormat="false" ht="19.85" hidden="false" customHeight="true" outlineLevel="0" collapsed="false">
      <c r="A129" s="1" t="n">
        <v>31</v>
      </c>
      <c r="B129" s="34" t="n">
        <v>43070</v>
      </c>
      <c r="C129" s="1" t="n">
        <v>1350292</v>
      </c>
      <c r="D129" s="9" t="s">
        <v>41</v>
      </c>
      <c r="E129" s="33" t="n">
        <f aca="false">IF(D129="totale",(C129/(A129*24))/F129,IF(D129="marché libre",(C129/(A129*24))/G129,"spécifier histo"))</f>
        <v>0.490515838419064</v>
      </c>
      <c r="F129" s="59" t="n">
        <v>3700</v>
      </c>
      <c r="G129" s="59" t="n">
        <v>3700</v>
      </c>
      <c r="H129" s="9" t="n">
        <v>0</v>
      </c>
      <c r="J129" s="216"/>
      <c r="L129" s="0"/>
      <c r="P129" s="0"/>
      <c r="S129" s="0"/>
      <c r="V129" s="0"/>
    </row>
    <row r="130" s="1" customFormat="true" ht="19.85" hidden="false" customHeight="true" outlineLevel="0" collapsed="false">
      <c r="A130" s="1" t="n">
        <v>31</v>
      </c>
      <c r="B130" s="31" t="n">
        <v>43101</v>
      </c>
      <c r="C130" s="1" t="n">
        <v>1869432</v>
      </c>
      <c r="D130" s="9" t="s">
        <v>41</v>
      </c>
      <c r="E130" s="33" t="n">
        <f aca="false">IF(D130="totale",(C130/(A130*24))/F130,IF(D130="marché libre",(C130/(A130*24))/G130,"spécifier histo"))</f>
        <v>0.679102005231037</v>
      </c>
      <c r="F130" s="59" t="n">
        <v>3700</v>
      </c>
      <c r="G130" s="59" t="n">
        <v>3700</v>
      </c>
      <c r="H130" s="9" t="n">
        <v>0</v>
      </c>
      <c r="K130" s="0"/>
      <c r="L130" s="29"/>
      <c r="S130" s="0"/>
      <c r="V130" s="0"/>
    </row>
    <row r="131" customFormat="false" ht="19.85" hidden="false" customHeight="true" outlineLevel="0" collapsed="false">
      <c r="A131" s="1" t="n">
        <v>28</v>
      </c>
      <c r="B131" s="34" t="n">
        <v>43132</v>
      </c>
      <c r="C131" s="1" t="n">
        <v>1720521</v>
      </c>
      <c r="D131" s="9" t="s">
        <v>41</v>
      </c>
      <c r="E131" s="33" t="n">
        <f aca="false">IF(D131="totale",(C131/(A131*24))/F131,IF(D131="marché libre",(C131/(A131*24))/G131,"spécifier histo"))</f>
        <v>0.691972731660232</v>
      </c>
      <c r="F131" s="59" t="n">
        <v>3700</v>
      </c>
      <c r="G131" s="59" t="n">
        <v>3700</v>
      </c>
      <c r="H131" s="9" t="n">
        <v>0</v>
      </c>
      <c r="J131" s="216"/>
      <c r="L131" s="0"/>
      <c r="P131" s="0"/>
      <c r="S131" s="0"/>
      <c r="V131" s="0"/>
    </row>
    <row r="132" s="1" customFormat="true" ht="19.85" hidden="false" customHeight="true" outlineLevel="0" collapsed="false">
      <c r="A132" s="1" t="n">
        <v>31</v>
      </c>
      <c r="B132" s="31" t="n">
        <v>43160</v>
      </c>
      <c r="C132" s="1" t="n">
        <v>1777475</v>
      </c>
      <c r="D132" s="9" t="s">
        <v>41</v>
      </c>
      <c r="E132" s="33" t="n">
        <f aca="false">IF(D132="totale",(C132/(A132*24))/F132,IF(D132="marché libre",(C132/(A132*24))/G132,"spécifier histo"))</f>
        <v>0.645697108398721</v>
      </c>
      <c r="F132" s="59" t="n">
        <v>3700</v>
      </c>
      <c r="G132" s="59" t="n">
        <v>3700</v>
      </c>
      <c r="H132" s="9" t="n">
        <v>0</v>
      </c>
      <c r="K132" s="0"/>
      <c r="L132" s="29"/>
      <c r="S132" s="0"/>
      <c r="V132" s="0"/>
    </row>
    <row r="133" customFormat="false" ht="19.85" hidden="false" customHeight="true" outlineLevel="0" collapsed="false">
      <c r="A133" s="1" t="n">
        <v>30</v>
      </c>
      <c r="B133" s="34" t="n">
        <v>43191</v>
      </c>
      <c r="C133" s="1" t="n">
        <v>2070841</v>
      </c>
      <c r="D133" s="9" t="s">
        <v>41</v>
      </c>
      <c r="E133" s="33" t="n">
        <f aca="false">IF(D133="totale",(C133/(A133*24))/F133,IF(D133="marché libre",(C133/(A133*24))/G133,"spécifier histo"))</f>
        <v>0.777342717717718</v>
      </c>
      <c r="F133" s="59" t="n">
        <v>3700</v>
      </c>
      <c r="G133" s="59" t="n">
        <v>3700</v>
      </c>
      <c r="H133" s="9" t="n">
        <v>0</v>
      </c>
      <c r="J133" s="216"/>
      <c r="L133" s="0"/>
      <c r="P133" s="0"/>
      <c r="S133" s="0"/>
      <c r="V133" s="0"/>
    </row>
    <row r="134" s="1" customFormat="true" ht="19.85" hidden="false" customHeight="true" outlineLevel="0" collapsed="false">
      <c r="A134" s="1" t="n">
        <v>31</v>
      </c>
      <c r="B134" s="31" t="n">
        <v>43221</v>
      </c>
      <c r="C134" s="1" t="n">
        <v>2212436</v>
      </c>
      <c r="D134" s="9" t="s">
        <v>41</v>
      </c>
      <c r="E134" s="33" t="n">
        <f aca="false">IF(D134="totale",(C134/(A134*24))/F134,IF(D134="marché libre",(C134/(A134*24))/G134,"spécifier histo"))</f>
        <v>0.803703865155478</v>
      </c>
      <c r="F134" s="59" t="n">
        <v>3700</v>
      </c>
      <c r="G134" s="59" t="n">
        <v>3700</v>
      </c>
      <c r="H134" s="9" t="n">
        <v>0</v>
      </c>
      <c r="K134" s="0"/>
      <c r="L134" s="29"/>
      <c r="S134" s="0"/>
      <c r="V134" s="0"/>
    </row>
    <row r="135" customFormat="false" ht="19.85" hidden="false" customHeight="true" outlineLevel="0" collapsed="false">
      <c r="A135" s="1" t="n">
        <v>30</v>
      </c>
      <c r="B135" s="34" t="n">
        <v>43252</v>
      </c>
      <c r="C135" s="1" t="n">
        <v>1906495</v>
      </c>
      <c r="D135" s="9" t="s">
        <v>41</v>
      </c>
      <c r="E135" s="33" t="n">
        <f aca="false">IF(D135="totale",(C135/(A135*24))/F135,IF(D135="marché libre",(C135/(A135*24))/G135,"spécifier histo"))</f>
        <v>0.715651276276276</v>
      </c>
      <c r="F135" s="59" t="n">
        <v>3700</v>
      </c>
      <c r="G135" s="59" t="n">
        <v>3700</v>
      </c>
      <c r="H135" s="9" t="n">
        <v>0</v>
      </c>
      <c r="J135" s="216"/>
      <c r="L135" s="0"/>
      <c r="P135" s="0"/>
      <c r="S135" s="0"/>
      <c r="V135" s="0"/>
    </row>
    <row r="136" s="1" customFormat="true" ht="19.85" hidden="false" customHeight="true" outlineLevel="0" collapsed="false">
      <c r="A136" s="1" t="n">
        <v>31</v>
      </c>
      <c r="B136" s="31" t="n">
        <v>43282</v>
      </c>
      <c r="C136" s="1" t="n">
        <v>1619795</v>
      </c>
      <c r="D136" s="9" t="s">
        <v>41</v>
      </c>
      <c r="E136" s="33" t="n">
        <f aca="false">IF(D136="totale",(C136/(A136*24))/F136,IF(D136="marché libre",(C136/(A136*24))/G136,"spécifier histo"))</f>
        <v>0.588417247893054</v>
      </c>
      <c r="F136" s="59" t="n">
        <v>3700</v>
      </c>
      <c r="G136" s="59" t="n">
        <v>3700</v>
      </c>
      <c r="H136" s="9" t="n">
        <v>0</v>
      </c>
      <c r="K136" s="0"/>
      <c r="L136" s="29"/>
      <c r="S136" s="0"/>
      <c r="V136" s="0"/>
    </row>
    <row r="137" customFormat="false" ht="19.85" hidden="false" customHeight="true" outlineLevel="0" collapsed="false">
      <c r="A137" s="1" t="n">
        <v>31</v>
      </c>
      <c r="B137" s="34" t="n">
        <v>43313</v>
      </c>
      <c r="C137" s="1" t="n">
        <v>527818</v>
      </c>
      <c r="D137" s="9" t="s">
        <v>41</v>
      </c>
      <c r="E137" s="33" t="n">
        <f aca="false">IF(D137="totale",(C137/(A137*24))/F137,IF(D137="marché libre",(C137/(A137*24))/G137,"spécifier histo"))</f>
        <v>0.191738593432142</v>
      </c>
      <c r="F137" s="59" t="n">
        <v>3700</v>
      </c>
      <c r="G137" s="59" t="n">
        <v>3700</v>
      </c>
      <c r="H137" s="9" t="n">
        <v>0</v>
      </c>
      <c r="J137" s="216"/>
      <c r="L137" s="0"/>
      <c r="P137" s="0"/>
      <c r="S137" s="0"/>
      <c r="V137" s="0"/>
    </row>
    <row r="138" s="1" customFormat="true" ht="19.85" hidden="false" customHeight="true" outlineLevel="0" collapsed="false">
      <c r="A138" s="1" t="n">
        <v>30</v>
      </c>
      <c r="B138" s="31" t="n">
        <v>43344</v>
      </c>
      <c r="C138" s="1" t="n">
        <v>182938</v>
      </c>
      <c r="D138" s="9" t="s">
        <v>41</v>
      </c>
      <c r="E138" s="33" t="n">
        <f aca="false">IF(D138="totale",(C138/(A138*24))/F138,IF(D138="marché libre",(C138/(A138*24))/G138,"spécifier histo"))</f>
        <v>0.0686704204204204</v>
      </c>
      <c r="F138" s="59" t="n">
        <v>3700</v>
      </c>
      <c r="G138" s="59" t="n">
        <v>3700</v>
      </c>
      <c r="H138" s="9" t="n">
        <v>0</v>
      </c>
      <c r="K138" s="0"/>
      <c r="L138" s="29"/>
      <c r="S138" s="0"/>
      <c r="V138" s="0"/>
    </row>
    <row r="139" customFormat="false" ht="19.85" hidden="false" customHeight="true" outlineLevel="0" collapsed="false">
      <c r="A139" s="1" t="n">
        <v>31</v>
      </c>
      <c r="B139" s="34" t="n">
        <v>43374</v>
      </c>
      <c r="C139" s="1" t="n">
        <v>309856</v>
      </c>
      <c r="D139" s="9" t="s">
        <v>41</v>
      </c>
      <c r="E139" s="33" t="n">
        <f aca="false">IF(D139="totale",(C139/(A139*24))/F139,IF(D139="marché libre",(C139/(A139*24))/G139,"spécifier histo"))</f>
        <v>0.112560302237722</v>
      </c>
      <c r="F139" s="59" t="n">
        <v>3700</v>
      </c>
      <c r="G139" s="59" t="n">
        <v>3700</v>
      </c>
      <c r="H139" s="9" t="n">
        <v>0</v>
      </c>
      <c r="J139" s="216"/>
      <c r="L139" s="0"/>
      <c r="P139" s="0"/>
      <c r="S139" s="0"/>
      <c r="V139" s="0"/>
    </row>
    <row r="140" s="1" customFormat="true" ht="19.85" hidden="false" customHeight="true" outlineLevel="0" collapsed="false">
      <c r="A140" s="1" t="n">
        <v>30</v>
      </c>
      <c r="B140" s="31" t="n">
        <v>43405</v>
      </c>
      <c r="C140" s="1" t="n">
        <v>365561</v>
      </c>
      <c r="D140" s="9" t="s">
        <v>41</v>
      </c>
      <c r="E140" s="33" t="n">
        <f aca="false">IF(D140="totale",(C140/(A140*24))/F140,IF(D140="marché libre",(C140/(A140*24))/G140,"spécifier histo"))</f>
        <v>0.137222597597598</v>
      </c>
      <c r="F140" s="59" t="n">
        <v>3700</v>
      </c>
      <c r="G140" s="59" t="n">
        <v>3700</v>
      </c>
      <c r="H140" s="9" t="n">
        <v>0</v>
      </c>
      <c r="K140" s="0"/>
      <c r="L140" s="29"/>
      <c r="S140" s="0"/>
      <c r="V140" s="0"/>
    </row>
    <row r="141" customFormat="false" ht="19.85" hidden="false" customHeight="true" outlineLevel="0" collapsed="false">
      <c r="A141" s="1" t="n">
        <v>31</v>
      </c>
      <c r="B141" s="34" t="n">
        <v>43435</v>
      </c>
      <c r="C141" s="1" t="n">
        <v>634599</v>
      </c>
      <c r="D141" s="9" t="s">
        <v>41</v>
      </c>
      <c r="E141" s="33" t="n">
        <f aca="false">IF(D141="totale",(C141/(A141*24))/F141,IF(D141="marché libre",(C141/(A141*24))/G141,"spécifier histo"))</f>
        <v>0.230528552746295</v>
      </c>
      <c r="F141" s="59" t="n">
        <v>3700</v>
      </c>
      <c r="G141" s="59" t="n">
        <v>3700</v>
      </c>
      <c r="H141" s="9" t="n">
        <v>0</v>
      </c>
      <c r="J141" s="216"/>
      <c r="L141" s="0"/>
      <c r="P141" s="0"/>
      <c r="S141" s="0"/>
      <c r="V14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41">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9.xml><?xml version="1.0" encoding="utf-8"?>
<worksheet xmlns="http://schemas.openxmlformats.org/spreadsheetml/2006/main" xmlns:r="http://schemas.openxmlformats.org/officeDocument/2006/relationships">
  <sheetPr filterMode="false">
    <tabColor rgb="FF00A933"/>
    <pageSetUpPr fitToPage="false"/>
  </sheetPr>
  <dimension ref="A1:Z23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87" activePane="bottomRight" state="frozen"/>
      <selection pane="topLeft" activeCell="A1" activeCellId="0" sqref="A1"/>
      <selection pane="topRight" activeCell="B1" activeCellId="0" sqref="B1"/>
      <selection pane="bottomLeft" activeCell="A187" activeCellId="0" sqref="A187"/>
      <selection pane="bottomRight" activeCell="J225" activeCellId="0" sqref="J225"/>
    </sheetView>
  </sheetViews>
  <sheetFormatPr defaultRowHeight="12.8" zeroHeight="false" outlineLevelRow="0" outlineLevelCol="0"/>
  <cols>
    <col collapsed="false" customWidth="true" hidden="false" outlineLevel="0" max="1" min="1" style="0" width="4.17"/>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0.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93"/>
    <col collapsed="false" customWidth="false" hidden="false" outlineLevel="0" max="16" min="16" style="1" width="11.52"/>
    <col collapsed="false" customWidth="true" hidden="false" outlineLevel="0" max="17" min="17" style="1" width="15.28"/>
    <col collapsed="false" customWidth="true" hidden="false" outlineLevel="0" max="18" min="18" style="1" width="4.93"/>
    <col collapsed="false" customWidth="true" hidden="false" outlineLevel="0" max="19" min="19" style="1" width="12.04"/>
    <col collapsed="false" customWidth="false" hidden="false" outlineLevel="0" max="1025" min="20" style="1" width="11.52"/>
  </cols>
  <sheetData>
    <row r="1" customFormat="false" ht="30.8" hidden="false" customHeight="true" outlineLevel="0" collapsed="false">
      <c r="B1" s="2" t="s">
        <v>0</v>
      </c>
      <c r="C1" s="2"/>
      <c r="D1" s="2"/>
      <c r="E1" s="2"/>
      <c r="F1" s="3" t="s">
        <v>1</v>
      </c>
      <c r="G1" s="3"/>
      <c r="H1" s="3"/>
      <c r="I1" s="3"/>
      <c r="J1" s="3"/>
      <c r="K1" s="3"/>
      <c r="L1" s="3"/>
      <c r="M1" s="3"/>
      <c r="N1" s="3"/>
    </row>
    <row r="2" customFormat="false" ht="30.8" hidden="false" customHeight="true" outlineLevel="0" collapsed="false">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B4" s="16" t="s">
        <v>818</v>
      </c>
      <c r="C4" s="16" t="n">
        <v>62185</v>
      </c>
      <c r="D4" s="5" t="s">
        <v>819</v>
      </c>
      <c r="E4" s="14" t="s">
        <v>820</v>
      </c>
      <c r="F4" s="15" t="n">
        <v>1250</v>
      </c>
      <c r="G4" s="15" t="n">
        <v>900</v>
      </c>
      <c r="H4" s="15" t="n">
        <v>830</v>
      </c>
      <c r="I4" s="16" t="s">
        <v>821</v>
      </c>
      <c r="J4" s="15" t="n">
        <v>900</v>
      </c>
      <c r="K4" s="16" t="s">
        <v>822</v>
      </c>
      <c r="L4" s="16" t="s">
        <v>113</v>
      </c>
      <c r="M4" s="16" t="n">
        <v>830</v>
      </c>
      <c r="N4" s="4"/>
      <c r="P4" s="17"/>
      <c r="Q4" s="16" t="s">
        <v>23</v>
      </c>
      <c r="S4" s="18"/>
      <c r="T4" s="19" t="s">
        <v>24</v>
      </c>
      <c r="U4" s="19"/>
      <c r="V4" s="19"/>
    </row>
    <row r="5" customFormat="false" ht="28.35" hidden="false" customHeight="true" outlineLevel="0" collapsed="false">
      <c r="F5" s="9"/>
      <c r="G5" s="9"/>
      <c r="H5" s="9"/>
      <c r="J5" s="9"/>
      <c r="P5" s="9"/>
      <c r="Q5" s="9"/>
    </row>
    <row r="6" customFormat="false" ht="28.35" hidden="false" customHeight="true" outlineLevel="0" collapsed="false">
      <c r="B6" s="0"/>
      <c r="C6" s="10" t="s">
        <v>25</v>
      </c>
      <c r="D6" s="10"/>
      <c r="F6" s="20" t="s">
        <v>26</v>
      </c>
      <c r="G6" s="19" t="s">
        <v>823</v>
      </c>
      <c r="H6" s="19"/>
      <c r="I6" s="19"/>
      <c r="J6" s="19"/>
      <c r="K6" s="19"/>
      <c r="L6" s="19"/>
      <c r="M6" s="19"/>
      <c r="N6" s="19"/>
      <c r="P6" s="447" t="s">
        <v>824</v>
      </c>
      <c r="Q6" s="19" t="s">
        <v>27</v>
      </c>
      <c r="R6" s="9"/>
      <c r="S6" s="22"/>
      <c r="T6" s="5" t="s">
        <v>28</v>
      </c>
    </row>
    <row r="7" customFormat="false" ht="45.8" hidden="false" customHeight="true" outlineLevel="0" collapsed="false">
      <c r="B7" s="0"/>
      <c r="C7" s="126" t="s">
        <v>825</v>
      </c>
      <c r="D7" s="126"/>
      <c r="F7" s="20"/>
      <c r="G7" s="20"/>
      <c r="H7" s="19"/>
      <c r="I7" s="19"/>
      <c r="J7" s="19"/>
      <c r="K7" s="19"/>
      <c r="L7" s="19"/>
      <c r="M7" s="19"/>
      <c r="N7" s="19"/>
      <c r="P7" s="24"/>
      <c r="Q7" s="5" t="s">
        <v>29</v>
      </c>
      <c r="R7" s="9"/>
      <c r="S7" s="25"/>
      <c r="T7" s="5" t="s">
        <v>30</v>
      </c>
    </row>
    <row r="8" customFormat="false" ht="41.65" hidden="false" customHeight="true" outlineLevel="0" collapsed="false">
      <c r="A8" s="26" t="n">
        <f aca="false">_xlfn.SHEET()</f>
        <v>49</v>
      </c>
      <c r="F8" s="9"/>
      <c r="G8" s="9"/>
      <c r="H8" s="9"/>
      <c r="J8" s="9"/>
      <c r="R8" s="9"/>
      <c r="S8" s="27"/>
      <c r="T8" s="16" t="s">
        <v>31</v>
      </c>
    </row>
    <row r="9" customFormat="false" ht="39.95" hidden="false" customHeight="true" outlineLevel="0" collapsed="false">
      <c r="A9" s="1" t="n">
        <f aca="false">_xlfn.SHEETS()</f>
        <v>79</v>
      </c>
      <c r="B9" s="9" t="s">
        <v>32</v>
      </c>
      <c r="C9" s="9" t="s">
        <v>51</v>
      </c>
      <c r="D9" s="29" t="s">
        <v>52</v>
      </c>
      <c r="E9" s="1" t="s">
        <v>35</v>
      </c>
      <c r="F9" s="9" t="s">
        <v>36</v>
      </c>
      <c r="G9" s="9" t="s">
        <v>37</v>
      </c>
      <c r="H9" s="9" t="s">
        <v>38</v>
      </c>
      <c r="I9" s="9" t="s">
        <v>39</v>
      </c>
      <c r="J9" s="30" t="s">
        <v>40</v>
      </c>
    </row>
    <row r="10" customFormat="false" ht="24" hidden="false" customHeight="true" outlineLevel="0" collapsed="false">
      <c r="A10" s="1" t="n">
        <v>31</v>
      </c>
      <c r="B10" s="31" t="n">
        <v>36892</v>
      </c>
      <c r="C10" s="1" t="n">
        <v>582600</v>
      </c>
      <c r="D10" s="121" t="s">
        <v>42</v>
      </c>
      <c r="E10" s="33" t="n">
        <f aca="false">(C10/(A10*24))/G10</f>
        <v>0.870071684587814</v>
      </c>
      <c r="F10" s="58" t="n">
        <v>900</v>
      </c>
      <c r="G10" s="58" t="n">
        <f aca="false">F10-H10</f>
        <v>900</v>
      </c>
      <c r="H10" s="58" t="n">
        <v>0</v>
      </c>
      <c r="I10" s="9"/>
      <c r="J10" s="30"/>
    </row>
    <row r="11" customFormat="false" ht="24" hidden="false" customHeight="true" outlineLevel="0" collapsed="false">
      <c r="A11" s="1" t="n">
        <v>28</v>
      </c>
      <c r="B11" s="34" t="n">
        <v>36923</v>
      </c>
      <c r="C11" s="1" t="n">
        <v>606000</v>
      </c>
      <c r="D11" s="121" t="s">
        <v>42</v>
      </c>
      <c r="E11" s="33" t="n">
        <f aca="false">(C11/(A11*24))/G11</f>
        <v>1.00198412698413</v>
      </c>
      <c r="F11" s="58" t="n">
        <v>900</v>
      </c>
      <c r="G11" s="58" t="n">
        <f aca="false">F11-H11</f>
        <v>900</v>
      </c>
      <c r="H11" s="58" t="n">
        <v>0</v>
      </c>
      <c r="I11" s="9"/>
      <c r="J11" s="30"/>
    </row>
    <row r="12" customFormat="false" ht="24" hidden="false" customHeight="true" outlineLevel="0" collapsed="false">
      <c r="A12" s="1" t="n">
        <v>31</v>
      </c>
      <c r="B12" s="31" t="n">
        <v>36951</v>
      </c>
      <c r="C12" s="1" t="n">
        <v>669600</v>
      </c>
      <c r="D12" s="121" t="s">
        <v>42</v>
      </c>
      <c r="E12" s="33" t="n">
        <f aca="false">(C12/(A12*24))/G12</f>
        <v>1</v>
      </c>
      <c r="F12" s="58" t="n">
        <v>900</v>
      </c>
      <c r="G12" s="58" t="n">
        <f aca="false">F12-H12</f>
        <v>900</v>
      </c>
      <c r="H12" s="58" t="n">
        <v>0</v>
      </c>
      <c r="I12" s="9"/>
      <c r="J12" s="30"/>
    </row>
    <row r="13" customFormat="false" ht="24" hidden="false" customHeight="true" outlineLevel="0" collapsed="false">
      <c r="A13" s="1" t="n">
        <v>30</v>
      </c>
      <c r="B13" s="34" t="n">
        <v>36982</v>
      </c>
      <c r="C13" s="1" t="n">
        <v>526400</v>
      </c>
      <c r="D13" s="121" t="s">
        <v>42</v>
      </c>
      <c r="E13" s="33" t="n">
        <f aca="false">(C13/(A13*24))/G13</f>
        <v>0.812345679012346</v>
      </c>
      <c r="F13" s="58" t="n">
        <v>900</v>
      </c>
      <c r="G13" s="58" t="n">
        <f aca="false">F13-H13</f>
        <v>900</v>
      </c>
      <c r="H13" s="58" t="n">
        <v>0</v>
      </c>
      <c r="I13" s="9"/>
      <c r="J13" s="30"/>
    </row>
    <row r="14" customFormat="false" ht="24" hidden="false" customHeight="true" outlineLevel="0" collapsed="false">
      <c r="A14" s="1" t="n">
        <v>31</v>
      </c>
      <c r="B14" s="31" t="n">
        <v>37012</v>
      </c>
      <c r="C14" s="1" t="n">
        <v>603600</v>
      </c>
      <c r="D14" s="121" t="s">
        <v>42</v>
      </c>
      <c r="E14" s="33" t="n">
        <f aca="false">(C14/(A14*24))/G14</f>
        <v>0.901433691756272</v>
      </c>
      <c r="F14" s="58" t="n">
        <v>900</v>
      </c>
      <c r="G14" s="58" t="n">
        <f aca="false">F14-H14</f>
        <v>900</v>
      </c>
      <c r="H14" s="58" t="n">
        <v>0</v>
      </c>
      <c r="I14" s="9"/>
      <c r="J14" s="30"/>
    </row>
    <row r="15" customFormat="false" ht="24" hidden="false" customHeight="true" outlineLevel="0" collapsed="false">
      <c r="A15" s="1" t="n">
        <v>30</v>
      </c>
      <c r="B15" s="34" t="n">
        <v>37043</v>
      </c>
      <c r="C15" s="1" t="n">
        <v>532400</v>
      </c>
      <c r="D15" s="121" t="s">
        <v>42</v>
      </c>
      <c r="E15" s="33" t="n">
        <f aca="false">(C15/(A15*24))/G15</f>
        <v>0.821604938271605</v>
      </c>
      <c r="F15" s="58" t="n">
        <v>900</v>
      </c>
      <c r="G15" s="58" t="n">
        <f aca="false">F15-H15</f>
        <v>900</v>
      </c>
      <c r="H15" s="58" t="n">
        <v>0</v>
      </c>
      <c r="I15" s="9"/>
      <c r="J15" s="30"/>
    </row>
    <row r="16" customFormat="false" ht="24" hidden="false" customHeight="true" outlineLevel="0" collapsed="false">
      <c r="A16" s="1" t="n">
        <v>31</v>
      </c>
      <c r="B16" s="31" t="n">
        <v>37073</v>
      </c>
      <c r="C16" s="1" t="n">
        <v>280000</v>
      </c>
      <c r="D16" s="121" t="s">
        <v>42</v>
      </c>
      <c r="E16" s="33" t="n">
        <f aca="false">(C16/(A16*24))/G16</f>
        <v>0.41816009557945</v>
      </c>
      <c r="F16" s="58" t="n">
        <v>900</v>
      </c>
      <c r="G16" s="58" t="n">
        <f aca="false">F16-H16</f>
        <v>900</v>
      </c>
      <c r="H16" s="58" t="n">
        <v>0</v>
      </c>
      <c r="I16" s="9"/>
      <c r="J16" s="30"/>
    </row>
    <row r="17" customFormat="false" ht="24" hidden="false" customHeight="true" outlineLevel="0" collapsed="false">
      <c r="A17" s="1" t="n">
        <v>31</v>
      </c>
      <c r="B17" s="34" t="n">
        <v>37104</v>
      </c>
      <c r="C17" s="1" t="n">
        <v>186400</v>
      </c>
      <c r="D17" s="121" t="s">
        <v>42</v>
      </c>
      <c r="E17" s="33" t="n">
        <f aca="false">(C17/(A17*24))/G17</f>
        <v>0.278375149342891</v>
      </c>
      <c r="F17" s="58" t="n">
        <v>900</v>
      </c>
      <c r="G17" s="58" t="n">
        <f aca="false">F17-H17</f>
        <v>900</v>
      </c>
      <c r="H17" s="58" t="n">
        <v>0</v>
      </c>
      <c r="I17" s="9"/>
      <c r="J17" s="30"/>
    </row>
    <row r="18" customFormat="false" ht="24" hidden="false" customHeight="true" outlineLevel="0" collapsed="false">
      <c r="A18" s="1" t="n">
        <v>30</v>
      </c>
      <c r="B18" s="31" t="n">
        <v>37135</v>
      </c>
      <c r="C18" s="1" t="n">
        <v>368600</v>
      </c>
      <c r="D18" s="121" t="s">
        <v>42</v>
      </c>
      <c r="E18" s="33" t="n">
        <f aca="false">(C18/(A18*24))/G18</f>
        <v>0.568827160493827</v>
      </c>
      <c r="F18" s="58" t="n">
        <v>900</v>
      </c>
      <c r="G18" s="58" t="n">
        <f aca="false">F18-H18</f>
        <v>900</v>
      </c>
      <c r="H18" s="58" t="n">
        <v>0</v>
      </c>
      <c r="I18" s="9"/>
      <c r="J18" s="30"/>
    </row>
    <row r="19" customFormat="false" ht="24" hidden="false" customHeight="true" outlineLevel="0" collapsed="false">
      <c r="A19" s="1" t="n">
        <v>31</v>
      </c>
      <c r="B19" s="34" t="n">
        <v>37165</v>
      </c>
      <c r="C19" s="1" t="n">
        <v>520000</v>
      </c>
      <c r="D19" s="121" t="s">
        <v>42</v>
      </c>
      <c r="E19" s="33" t="n">
        <f aca="false">(C19/(A19*24))/G19</f>
        <v>0.776583034647551</v>
      </c>
      <c r="F19" s="58" t="n">
        <v>900</v>
      </c>
      <c r="G19" s="58" t="n">
        <f aca="false">F19-H19</f>
        <v>900</v>
      </c>
      <c r="H19" s="58" t="n">
        <v>0</v>
      </c>
      <c r="I19" s="9"/>
      <c r="J19" s="30"/>
    </row>
    <row r="20" customFormat="false" ht="24" hidden="false" customHeight="true" outlineLevel="0" collapsed="false">
      <c r="A20" s="1" t="n">
        <v>30</v>
      </c>
      <c r="B20" s="31" t="n">
        <v>37196</v>
      </c>
      <c r="C20" s="1" t="n">
        <v>445400</v>
      </c>
      <c r="D20" s="121" t="s">
        <v>42</v>
      </c>
      <c r="E20" s="33" t="n">
        <f aca="false">(C20/(A20*24))/G20</f>
        <v>0.687345679012346</v>
      </c>
      <c r="F20" s="58" t="n">
        <v>900</v>
      </c>
      <c r="G20" s="58" t="n">
        <f aca="false">F20-H20</f>
        <v>900</v>
      </c>
      <c r="H20" s="58" t="n">
        <v>0</v>
      </c>
      <c r="I20" s="9"/>
      <c r="J20" s="30"/>
    </row>
    <row r="21" customFormat="false" ht="24" hidden="false" customHeight="true" outlineLevel="0" collapsed="false">
      <c r="A21" s="1" t="n">
        <v>31</v>
      </c>
      <c r="B21" s="34" t="n">
        <v>37226</v>
      </c>
      <c r="C21" s="1" t="n">
        <v>522000</v>
      </c>
      <c r="D21" s="121" t="s">
        <v>42</v>
      </c>
      <c r="E21" s="33" t="n">
        <f aca="false">(C21/(A21*24))/G21</f>
        <v>0.779569892473118</v>
      </c>
      <c r="F21" s="58" t="n">
        <v>900</v>
      </c>
      <c r="G21" s="58" t="n">
        <f aca="false">F21-H21</f>
        <v>900</v>
      </c>
      <c r="H21" s="58" t="n">
        <v>0</v>
      </c>
      <c r="I21" s="9"/>
      <c r="J21" s="30"/>
    </row>
    <row r="22" customFormat="false" ht="24" hidden="false" customHeight="true" outlineLevel="0" collapsed="false">
      <c r="A22" s="1" t="n">
        <v>31</v>
      </c>
      <c r="B22" s="31" t="n">
        <v>37257</v>
      </c>
      <c r="C22" s="1" t="n">
        <v>648000</v>
      </c>
      <c r="D22" s="121" t="s">
        <v>42</v>
      </c>
      <c r="E22" s="33" t="n">
        <f aca="false">(C22/(A22*24))/G22</f>
        <v>0.967741935483871</v>
      </c>
      <c r="F22" s="58" t="n">
        <v>900</v>
      </c>
      <c r="G22" s="58" t="n">
        <f aca="false">F22-H22</f>
        <v>900</v>
      </c>
      <c r="H22" s="58" t="n">
        <v>0</v>
      </c>
      <c r="I22" s="9"/>
      <c r="J22" s="30"/>
    </row>
    <row r="23" customFormat="false" ht="24" hidden="false" customHeight="true" outlineLevel="0" collapsed="false">
      <c r="A23" s="1" t="n">
        <v>28</v>
      </c>
      <c r="B23" s="34" t="n">
        <v>37288</v>
      </c>
      <c r="C23" s="1" t="n">
        <v>581200</v>
      </c>
      <c r="D23" s="121" t="s">
        <v>42</v>
      </c>
      <c r="E23" s="33" t="n">
        <f aca="false">(C23/(A23*24))/G23</f>
        <v>0.960978835978836</v>
      </c>
      <c r="F23" s="58" t="n">
        <v>900</v>
      </c>
      <c r="G23" s="58" t="n">
        <f aca="false">F23-H23</f>
        <v>900</v>
      </c>
      <c r="H23" s="58" t="n">
        <v>0</v>
      </c>
      <c r="I23" s="9"/>
      <c r="J23" s="30"/>
    </row>
    <row r="24" customFormat="false" ht="24" hidden="false" customHeight="true" outlineLevel="0" collapsed="false">
      <c r="A24" s="1" t="n">
        <v>31</v>
      </c>
      <c r="B24" s="31" t="n">
        <v>37316</v>
      </c>
      <c r="C24" s="1" t="n">
        <v>584000</v>
      </c>
      <c r="D24" s="121" t="s">
        <v>42</v>
      </c>
      <c r="E24" s="33" t="n">
        <f aca="false">(C24/(A24*24))/G24</f>
        <v>0.872162485065711</v>
      </c>
      <c r="F24" s="58" t="n">
        <v>900</v>
      </c>
      <c r="G24" s="58" t="n">
        <f aca="false">F24-H24</f>
        <v>900</v>
      </c>
      <c r="H24" s="58" t="n">
        <v>0</v>
      </c>
      <c r="I24" s="9"/>
      <c r="J24" s="30"/>
    </row>
    <row r="25" customFormat="false" ht="24" hidden="false" customHeight="true" outlineLevel="0" collapsed="false">
      <c r="A25" s="1" t="n">
        <v>30</v>
      </c>
      <c r="B25" s="34" t="n">
        <v>37347</v>
      </c>
      <c r="C25" s="1" t="n">
        <v>526200</v>
      </c>
      <c r="D25" s="121" t="s">
        <v>42</v>
      </c>
      <c r="E25" s="33" t="n">
        <f aca="false">(C25/(A25*24))/G25</f>
        <v>0.812037037037037</v>
      </c>
      <c r="F25" s="58" t="n">
        <v>900</v>
      </c>
      <c r="G25" s="58" t="n">
        <f aca="false">F25-H25</f>
        <v>900</v>
      </c>
      <c r="H25" s="58" t="n">
        <v>0</v>
      </c>
      <c r="I25" s="9"/>
      <c r="J25" s="30"/>
    </row>
    <row r="26" customFormat="false" ht="24" hidden="false" customHeight="true" outlineLevel="0" collapsed="false">
      <c r="A26" s="1" t="n">
        <v>31</v>
      </c>
      <c r="B26" s="31" t="n">
        <v>37377</v>
      </c>
      <c r="C26" s="1" t="n">
        <v>583800</v>
      </c>
      <c r="D26" s="121" t="s">
        <v>42</v>
      </c>
      <c r="E26" s="33" t="n">
        <f aca="false">(C26/(A26*24))/G26</f>
        <v>0.871863799283154</v>
      </c>
      <c r="F26" s="58" t="n">
        <v>900</v>
      </c>
      <c r="G26" s="58" t="n">
        <f aca="false">F26-H26</f>
        <v>900</v>
      </c>
      <c r="H26" s="58" t="n">
        <v>0</v>
      </c>
      <c r="I26" s="9"/>
      <c r="J26" s="30"/>
    </row>
    <row r="27" customFormat="false" ht="24" hidden="false" customHeight="true" outlineLevel="0" collapsed="false">
      <c r="A27" s="1" t="n">
        <v>30</v>
      </c>
      <c r="B27" s="34" t="n">
        <v>37408</v>
      </c>
      <c r="C27" s="1" t="n">
        <v>427600</v>
      </c>
      <c r="D27" s="121" t="s">
        <v>42</v>
      </c>
      <c r="E27" s="33" t="n">
        <f aca="false">(C27/(A27*24))/G27</f>
        <v>0.659876543209877</v>
      </c>
      <c r="F27" s="58" t="n">
        <v>900</v>
      </c>
      <c r="G27" s="58" t="n">
        <f aca="false">F27-H27</f>
        <v>900</v>
      </c>
      <c r="H27" s="58" t="n">
        <v>0</v>
      </c>
      <c r="I27" s="9"/>
      <c r="J27" s="30"/>
    </row>
    <row r="28" customFormat="false" ht="24" hidden="false" customHeight="true" outlineLevel="0" collapsed="false">
      <c r="A28" s="1" t="n">
        <v>31</v>
      </c>
      <c r="B28" s="31" t="n">
        <v>37438</v>
      </c>
      <c r="C28" s="1" t="n">
        <v>358200</v>
      </c>
      <c r="D28" s="121" t="s">
        <v>42</v>
      </c>
      <c r="E28" s="33" t="n">
        <f aca="false">(C28/(A28*24))/G28</f>
        <v>0.53494623655914</v>
      </c>
      <c r="F28" s="58" t="n">
        <v>900</v>
      </c>
      <c r="G28" s="58" t="n">
        <f aca="false">F28-H28</f>
        <v>900</v>
      </c>
      <c r="H28" s="58" t="n">
        <v>0</v>
      </c>
      <c r="I28" s="9"/>
      <c r="J28" s="30"/>
    </row>
    <row r="29" customFormat="false" ht="24" hidden="false" customHeight="true" outlineLevel="0" collapsed="false">
      <c r="A29" s="1" t="n">
        <v>31</v>
      </c>
      <c r="B29" s="34" t="n">
        <v>37469</v>
      </c>
      <c r="C29" s="1" t="n">
        <v>162000</v>
      </c>
      <c r="D29" s="121" t="s">
        <v>42</v>
      </c>
      <c r="E29" s="33" t="n">
        <f aca="false">(C29/(A29*24))/G29</f>
        <v>0.241935483870968</v>
      </c>
      <c r="F29" s="58" t="n">
        <v>900</v>
      </c>
      <c r="G29" s="58" t="n">
        <f aca="false">F29-H29</f>
        <v>900</v>
      </c>
      <c r="H29" s="58" t="n">
        <v>0</v>
      </c>
      <c r="I29" s="9"/>
      <c r="J29" s="30"/>
    </row>
    <row r="30" customFormat="false" ht="24" hidden="false" customHeight="true" outlineLevel="0" collapsed="false">
      <c r="A30" s="1" t="n">
        <v>30</v>
      </c>
      <c r="B30" s="31" t="n">
        <v>37500</v>
      </c>
      <c r="C30" s="1" t="n">
        <v>220000</v>
      </c>
      <c r="D30" s="121" t="s">
        <v>42</v>
      </c>
      <c r="E30" s="33" t="n">
        <f aca="false">(C30/(A30*24))/G30</f>
        <v>0.339506172839506</v>
      </c>
      <c r="F30" s="58" t="n">
        <v>900</v>
      </c>
      <c r="G30" s="58" t="n">
        <f aca="false">F30-H30</f>
        <v>900</v>
      </c>
      <c r="H30" s="58" t="n">
        <v>0</v>
      </c>
      <c r="I30" s="9"/>
      <c r="J30" s="30"/>
    </row>
    <row r="31" customFormat="false" ht="24" hidden="false" customHeight="true" outlineLevel="0" collapsed="false">
      <c r="A31" s="1" t="n">
        <v>31</v>
      </c>
      <c r="B31" s="34" t="n">
        <v>37530</v>
      </c>
      <c r="C31" s="1" t="n">
        <v>380200</v>
      </c>
      <c r="D31" s="121" t="s">
        <v>42</v>
      </c>
      <c r="E31" s="33" t="n">
        <f aca="false">(C31/(A31*24))/G31</f>
        <v>0.567801672640382</v>
      </c>
      <c r="F31" s="58" t="n">
        <v>900</v>
      </c>
      <c r="G31" s="58" t="n">
        <f aca="false">F31-H31</f>
        <v>900</v>
      </c>
      <c r="H31" s="58" t="n">
        <v>0</v>
      </c>
      <c r="I31" s="9"/>
      <c r="J31" s="30"/>
    </row>
    <row r="32" customFormat="false" ht="24" hidden="false" customHeight="true" outlineLevel="0" collapsed="false">
      <c r="A32" s="1" t="n">
        <v>30</v>
      </c>
      <c r="B32" s="31" t="n">
        <v>37561</v>
      </c>
      <c r="C32" s="1" t="n">
        <v>463200</v>
      </c>
      <c r="D32" s="121" t="s">
        <v>42</v>
      </c>
      <c r="E32" s="33" t="n">
        <f aca="false">(C32/(A32*24))/G32</f>
        <v>0.714814814814815</v>
      </c>
      <c r="F32" s="58" t="n">
        <v>900</v>
      </c>
      <c r="G32" s="58" t="n">
        <f aca="false">F32-H32</f>
        <v>900</v>
      </c>
      <c r="H32" s="58" t="n">
        <v>0</v>
      </c>
      <c r="I32" s="9"/>
      <c r="J32" s="30"/>
    </row>
    <row r="33" customFormat="false" ht="24" hidden="false" customHeight="true" outlineLevel="0" collapsed="false">
      <c r="A33" s="1" t="n">
        <v>31</v>
      </c>
      <c r="B33" s="34" t="n">
        <v>37591</v>
      </c>
      <c r="C33" s="1" t="n">
        <v>520200</v>
      </c>
      <c r="D33" s="121" t="s">
        <v>42</v>
      </c>
      <c r="E33" s="33" t="n">
        <f aca="false">(C33/(A33*24))/G33</f>
        <v>0.776881720430108</v>
      </c>
      <c r="F33" s="58" t="n">
        <v>900</v>
      </c>
      <c r="G33" s="58" t="n">
        <f aca="false">F33-H33</f>
        <v>900</v>
      </c>
      <c r="H33" s="58" t="n">
        <v>0</v>
      </c>
      <c r="I33" s="9"/>
      <c r="J33" s="30"/>
    </row>
    <row r="34" customFormat="false" ht="24" hidden="false" customHeight="true" outlineLevel="0" collapsed="false">
      <c r="A34" s="1" t="n">
        <v>31</v>
      </c>
      <c r="B34" s="31" t="n">
        <v>37622</v>
      </c>
      <c r="C34" s="1" t="n">
        <v>471600</v>
      </c>
      <c r="D34" s="121" t="s">
        <v>42</v>
      </c>
      <c r="E34" s="33" t="n">
        <f aca="false">(C34/(A34*24))/G34</f>
        <v>0.704301075268817</v>
      </c>
      <c r="F34" s="58" t="n">
        <v>900</v>
      </c>
      <c r="G34" s="58" t="n">
        <f aca="false">F34-H34</f>
        <v>900</v>
      </c>
      <c r="H34" s="58" t="n">
        <v>0</v>
      </c>
      <c r="I34" s="9"/>
      <c r="J34" s="30"/>
    </row>
    <row r="35" customFormat="false" ht="24" hidden="false" customHeight="true" outlineLevel="0" collapsed="false">
      <c r="A35" s="1" t="n">
        <v>28</v>
      </c>
      <c r="B35" s="34" t="n">
        <v>37653</v>
      </c>
      <c r="C35" s="1" t="n">
        <v>504000</v>
      </c>
      <c r="D35" s="121" t="s">
        <v>42</v>
      </c>
      <c r="E35" s="33" t="n">
        <f aca="false">(C35/(A35*24))/G35</f>
        <v>0.833333333333333</v>
      </c>
      <c r="F35" s="58" t="n">
        <v>900</v>
      </c>
      <c r="G35" s="58" t="n">
        <f aca="false">F35-H35</f>
        <v>900</v>
      </c>
      <c r="H35" s="58" t="n">
        <v>0</v>
      </c>
      <c r="I35" s="9"/>
      <c r="J35" s="30"/>
    </row>
    <row r="36" customFormat="false" ht="24" hidden="false" customHeight="true" outlineLevel="0" collapsed="false">
      <c r="A36" s="1" t="n">
        <v>31</v>
      </c>
      <c r="B36" s="31" t="n">
        <v>37681</v>
      </c>
      <c r="C36" s="1" t="n">
        <v>578600</v>
      </c>
      <c r="D36" s="121" t="s">
        <v>42</v>
      </c>
      <c r="E36" s="33" t="n">
        <f aca="false">(C36/(A36*24))/G36</f>
        <v>0.864097968936679</v>
      </c>
      <c r="F36" s="58" t="n">
        <v>900</v>
      </c>
      <c r="G36" s="58" t="n">
        <f aca="false">F36-H36</f>
        <v>900</v>
      </c>
      <c r="H36" s="58" t="n">
        <v>0</v>
      </c>
      <c r="I36" s="9"/>
      <c r="J36" s="30"/>
    </row>
    <row r="37" customFormat="false" ht="24" hidden="false" customHeight="true" outlineLevel="0" collapsed="false">
      <c r="A37" s="1" t="n">
        <v>30</v>
      </c>
      <c r="B37" s="34" t="n">
        <v>37712</v>
      </c>
      <c r="C37" s="1" t="n">
        <v>388400</v>
      </c>
      <c r="D37" s="121" t="s">
        <v>42</v>
      </c>
      <c r="E37" s="33" t="n">
        <f aca="false">(C37/(A37*24))/G37</f>
        <v>0.599382716049383</v>
      </c>
      <c r="F37" s="58" t="n">
        <v>900</v>
      </c>
      <c r="G37" s="58" t="n">
        <f aca="false">F37-H37</f>
        <v>900</v>
      </c>
      <c r="H37" s="58" t="n">
        <v>0</v>
      </c>
      <c r="I37" s="9"/>
      <c r="J37" s="30"/>
    </row>
    <row r="38" customFormat="false" ht="24" hidden="false" customHeight="true" outlineLevel="0" collapsed="false">
      <c r="A38" s="1" t="n">
        <v>31</v>
      </c>
      <c r="B38" s="31" t="n">
        <v>37742</v>
      </c>
      <c r="C38" s="1" t="n">
        <v>252400</v>
      </c>
      <c r="D38" s="121" t="s">
        <v>42</v>
      </c>
      <c r="E38" s="33" t="n">
        <f aca="false">(C38/(A38*24))/G38</f>
        <v>0.376941457586619</v>
      </c>
      <c r="F38" s="58" t="n">
        <v>900</v>
      </c>
      <c r="G38" s="58" t="n">
        <f aca="false">F38-H38</f>
        <v>900</v>
      </c>
      <c r="H38" s="58" t="n">
        <v>0</v>
      </c>
      <c r="I38" s="9"/>
      <c r="J38" s="30"/>
    </row>
    <row r="39" customFormat="false" ht="24" hidden="false" customHeight="true" outlineLevel="0" collapsed="false">
      <c r="A39" s="1" t="n">
        <v>30</v>
      </c>
      <c r="B39" s="34" t="n">
        <v>37773</v>
      </c>
      <c r="C39" s="1" t="n">
        <v>341000</v>
      </c>
      <c r="D39" s="121" t="s">
        <v>42</v>
      </c>
      <c r="E39" s="33" t="n">
        <f aca="false">(C39/(A39*24))/G39</f>
        <v>0.526234567901235</v>
      </c>
      <c r="F39" s="58" t="n">
        <v>900</v>
      </c>
      <c r="G39" s="58" t="n">
        <f aca="false">F39-H39</f>
        <v>900</v>
      </c>
      <c r="H39" s="58" t="n">
        <v>0</v>
      </c>
      <c r="I39" s="9"/>
      <c r="J39" s="30"/>
    </row>
    <row r="40" customFormat="false" ht="24" hidden="false" customHeight="true" outlineLevel="0" collapsed="false">
      <c r="A40" s="1" t="n">
        <v>31</v>
      </c>
      <c r="B40" s="31" t="n">
        <v>37803</v>
      </c>
      <c r="C40" s="1" t="n">
        <v>172400</v>
      </c>
      <c r="D40" s="121" t="s">
        <v>42</v>
      </c>
      <c r="E40" s="33" t="n">
        <f aca="false">(C40/(A40*24))/G40</f>
        <v>0.257467144563919</v>
      </c>
      <c r="F40" s="58" t="n">
        <v>900</v>
      </c>
      <c r="G40" s="58" t="n">
        <f aca="false">F40-H40</f>
        <v>900</v>
      </c>
      <c r="H40" s="58" t="n">
        <v>0</v>
      </c>
      <c r="I40" s="9"/>
      <c r="J40" s="30"/>
    </row>
    <row r="41" customFormat="false" ht="24" hidden="false" customHeight="true" outlineLevel="0" collapsed="false">
      <c r="A41" s="1" t="n">
        <v>31</v>
      </c>
      <c r="B41" s="34" t="n">
        <v>37834</v>
      </c>
      <c r="C41" s="1" t="n">
        <v>118200</v>
      </c>
      <c r="D41" s="121" t="s">
        <v>42</v>
      </c>
      <c r="E41" s="33" t="n">
        <f aca="false">(C41/(A41*24))/G41</f>
        <v>0.176523297491039</v>
      </c>
      <c r="F41" s="58" t="n">
        <v>900</v>
      </c>
      <c r="G41" s="58" t="n">
        <f aca="false">F41-H41</f>
        <v>900</v>
      </c>
      <c r="H41" s="58" t="n">
        <v>0</v>
      </c>
      <c r="I41" s="9"/>
      <c r="J41" s="30"/>
    </row>
    <row r="42" customFormat="false" ht="24" hidden="false" customHeight="true" outlineLevel="0" collapsed="false">
      <c r="A42" s="1" t="n">
        <v>30</v>
      </c>
      <c r="B42" s="31" t="n">
        <v>37865</v>
      </c>
      <c r="C42" s="1" t="n">
        <v>221800</v>
      </c>
      <c r="D42" s="121" t="s">
        <v>42</v>
      </c>
      <c r="E42" s="33" t="n">
        <f aca="false">(C42/(A42*24))/G42</f>
        <v>0.342283950617284</v>
      </c>
      <c r="F42" s="58" t="n">
        <v>900</v>
      </c>
      <c r="G42" s="58" t="n">
        <f aca="false">F42-H42</f>
        <v>900</v>
      </c>
      <c r="H42" s="58" t="n">
        <v>0</v>
      </c>
      <c r="I42" s="9"/>
      <c r="J42" s="30"/>
    </row>
    <row r="43" customFormat="false" ht="24" hidden="false" customHeight="true" outlineLevel="0" collapsed="false">
      <c r="A43" s="1" t="n">
        <v>31</v>
      </c>
      <c r="B43" s="34" t="n">
        <v>37895</v>
      </c>
      <c r="C43" s="1" t="n">
        <v>402000</v>
      </c>
      <c r="D43" s="121" t="s">
        <v>42</v>
      </c>
      <c r="E43" s="33" t="n">
        <f aca="false">(C43/(A43*24))/G43</f>
        <v>0.600358422939068</v>
      </c>
      <c r="F43" s="58" t="n">
        <v>900</v>
      </c>
      <c r="G43" s="58" t="n">
        <f aca="false">F43-H43</f>
        <v>900</v>
      </c>
      <c r="H43" s="58" t="n">
        <v>0</v>
      </c>
      <c r="I43" s="9"/>
      <c r="J43" s="30"/>
    </row>
    <row r="44" customFormat="false" ht="24" hidden="false" customHeight="true" outlineLevel="0" collapsed="false">
      <c r="A44" s="1" t="n">
        <v>30</v>
      </c>
      <c r="B44" s="31" t="n">
        <v>37926</v>
      </c>
      <c r="C44" s="1" t="n">
        <v>519200</v>
      </c>
      <c r="D44" s="121" t="s">
        <v>42</v>
      </c>
      <c r="E44" s="33" t="n">
        <f aca="false">(C44/(A44*24))/G44</f>
        <v>0.801234567901235</v>
      </c>
      <c r="F44" s="58" t="n">
        <v>900</v>
      </c>
      <c r="G44" s="58" t="n">
        <f aca="false">F44-H44</f>
        <v>900</v>
      </c>
      <c r="H44" s="58" t="n">
        <v>0</v>
      </c>
      <c r="I44" s="9"/>
      <c r="J44" s="30"/>
    </row>
    <row r="45" customFormat="false" ht="24" hidden="false" customHeight="true" outlineLevel="0" collapsed="false">
      <c r="A45" s="1" t="n">
        <v>31</v>
      </c>
      <c r="B45" s="34" t="n">
        <v>37956</v>
      </c>
      <c r="C45" s="1" t="n">
        <v>564600</v>
      </c>
      <c r="D45" s="121" t="s">
        <v>42</v>
      </c>
      <c r="E45" s="33" t="n">
        <f aca="false">(C45/(A45*24))/G45</f>
        <v>0.843189964157706</v>
      </c>
      <c r="F45" s="58" t="n">
        <v>900</v>
      </c>
      <c r="G45" s="58" t="n">
        <f aca="false">F45-H45</f>
        <v>900</v>
      </c>
      <c r="H45" s="58" t="n">
        <v>0</v>
      </c>
      <c r="I45" s="9"/>
      <c r="J45" s="30"/>
    </row>
    <row r="46" customFormat="false" ht="24" hidden="false" customHeight="true" outlineLevel="0" collapsed="false">
      <c r="A46" s="1" t="n">
        <v>31</v>
      </c>
      <c r="B46" s="31" t="n">
        <v>37987</v>
      </c>
      <c r="C46" s="1" t="n">
        <v>504800</v>
      </c>
      <c r="D46" s="121" t="s">
        <v>42</v>
      </c>
      <c r="E46" s="33" t="n">
        <f aca="false">(C46/(A46*24))/G46</f>
        <v>0.753882915173238</v>
      </c>
      <c r="F46" s="58" t="n">
        <v>900</v>
      </c>
      <c r="G46" s="58" t="n">
        <f aca="false">F46-H46</f>
        <v>900</v>
      </c>
      <c r="H46" s="58" t="n">
        <v>0</v>
      </c>
      <c r="I46" s="9"/>
      <c r="J46" s="30"/>
    </row>
    <row r="47" customFormat="false" ht="24" hidden="false" customHeight="true" outlineLevel="0" collapsed="false">
      <c r="A47" s="1" t="n">
        <v>28</v>
      </c>
      <c r="B47" s="34" t="n">
        <v>38018</v>
      </c>
      <c r="C47" s="1" t="n">
        <v>551800</v>
      </c>
      <c r="D47" s="121" t="s">
        <v>42</v>
      </c>
      <c r="E47" s="33" t="n">
        <f aca="false">(C47/(A47*24))/G47</f>
        <v>0.912367724867725</v>
      </c>
      <c r="F47" s="58" t="n">
        <v>900</v>
      </c>
      <c r="G47" s="58" t="n">
        <f aca="false">F47-H47</f>
        <v>900</v>
      </c>
      <c r="H47" s="58" t="n">
        <v>0</v>
      </c>
      <c r="I47" s="9"/>
      <c r="J47" s="30"/>
    </row>
    <row r="48" customFormat="false" ht="24" hidden="false" customHeight="true" outlineLevel="0" collapsed="false">
      <c r="A48" s="1" t="n">
        <v>31</v>
      </c>
      <c r="B48" s="31" t="n">
        <v>38047</v>
      </c>
      <c r="C48" s="1" t="n">
        <v>608400</v>
      </c>
      <c r="D48" s="121" t="s">
        <v>42</v>
      </c>
      <c r="E48" s="33" t="n">
        <f aca="false">(C48/(A48*24))/G48</f>
        <v>0.908602150537634</v>
      </c>
      <c r="F48" s="58" t="n">
        <v>900</v>
      </c>
      <c r="G48" s="58" t="n">
        <f aca="false">F48-H48</f>
        <v>900</v>
      </c>
      <c r="H48" s="58" t="n">
        <v>0</v>
      </c>
      <c r="I48" s="9"/>
      <c r="J48" s="30"/>
    </row>
    <row r="49" customFormat="false" ht="24" hidden="false" customHeight="true" outlineLevel="0" collapsed="false">
      <c r="A49" s="1" t="n">
        <v>30</v>
      </c>
      <c r="B49" s="34" t="n">
        <v>38078</v>
      </c>
      <c r="C49" s="1" t="n">
        <v>545400</v>
      </c>
      <c r="D49" s="121" t="s">
        <v>42</v>
      </c>
      <c r="E49" s="33" t="n">
        <f aca="false">(C49/(A49*24))/G49</f>
        <v>0.841666666666667</v>
      </c>
      <c r="F49" s="58" t="n">
        <v>900</v>
      </c>
      <c r="G49" s="58" t="n">
        <f aca="false">F49-H49</f>
        <v>900</v>
      </c>
      <c r="H49" s="58" t="n">
        <v>0</v>
      </c>
      <c r="I49" s="9"/>
      <c r="J49" s="30"/>
    </row>
    <row r="50" customFormat="false" ht="24" hidden="false" customHeight="true" outlineLevel="0" collapsed="false">
      <c r="A50" s="1" t="n">
        <v>31</v>
      </c>
      <c r="B50" s="31" t="n">
        <v>38108</v>
      </c>
      <c r="C50" s="1" t="n">
        <v>556400</v>
      </c>
      <c r="D50" s="121" t="s">
        <v>42</v>
      </c>
      <c r="E50" s="33" t="n">
        <f aca="false">(C50/(A50*24))/G50</f>
        <v>0.830943847072879</v>
      </c>
      <c r="F50" s="58" t="n">
        <v>900</v>
      </c>
      <c r="G50" s="58" t="n">
        <f aca="false">F50-H50</f>
        <v>900</v>
      </c>
      <c r="H50" s="58" t="n">
        <v>0</v>
      </c>
      <c r="I50" s="9"/>
      <c r="J50" s="30"/>
    </row>
    <row r="51" customFormat="false" ht="24" hidden="false" customHeight="true" outlineLevel="0" collapsed="false">
      <c r="A51" s="1" t="n">
        <v>30</v>
      </c>
      <c r="B51" s="34" t="n">
        <v>38139</v>
      </c>
      <c r="C51" s="1" t="n">
        <v>332800</v>
      </c>
      <c r="D51" s="121" t="s">
        <v>42</v>
      </c>
      <c r="E51" s="33" t="n">
        <f aca="false">(C51/(A51*24))/G51</f>
        <v>0.51358024691358</v>
      </c>
      <c r="F51" s="58" t="n">
        <v>900</v>
      </c>
      <c r="G51" s="58" t="n">
        <f aca="false">F51-H51</f>
        <v>900</v>
      </c>
      <c r="H51" s="58" t="n">
        <v>0</v>
      </c>
      <c r="I51" s="9"/>
      <c r="J51" s="30"/>
    </row>
    <row r="52" customFormat="false" ht="24" hidden="false" customHeight="true" outlineLevel="0" collapsed="false">
      <c r="A52" s="1" t="n">
        <v>31</v>
      </c>
      <c r="B52" s="31" t="n">
        <v>38169</v>
      </c>
      <c r="C52" s="1" t="n">
        <v>452400</v>
      </c>
      <c r="D52" s="121" t="s">
        <v>42</v>
      </c>
      <c r="E52" s="33" t="n">
        <f aca="false">(C52/(A52*24))/G52</f>
        <v>0.675627240143369</v>
      </c>
      <c r="F52" s="58" t="n">
        <v>900</v>
      </c>
      <c r="G52" s="58" t="n">
        <f aca="false">F52-H52</f>
        <v>900</v>
      </c>
      <c r="H52" s="58" t="n">
        <v>0</v>
      </c>
      <c r="I52" s="9"/>
      <c r="J52" s="30"/>
    </row>
    <row r="53" customFormat="false" ht="24" hidden="false" customHeight="true" outlineLevel="0" collapsed="false">
      <c r="A53" s="1" t="n">
        <v>31</v>
      </c>
      <c r="B53" s="34" t="n">
        <v>38200</v>
      </c>
      <c r="C53" s="1" t="n">
        <v>322600</v>
      </c>
      <c r="D53" s="121" t="s">
        <v>42</v>
      </c>
      <c r="E53" s="33" t="n">
        <f aca="false">(C53/(A53*24))/G53</f>
        <v>0.481780167264038</v>
      </c>
      <c r="F53" s="58" t="n">
        <v>900</v>
      </c>
      <c r="G53" s="58" t="n">
        <f aca="false">F53-H53</f>
        <v>900</v>
      </c>
      <c r="H53" s="58" t="n">
        <v>0</v>
      </c>
      <c r="I53" s="9"/>
      <c r="J53" s="30"/>
    </row>
    <row r="54" customFormat="false" ht="24" hidden="false" customHeight="true" outlineLevel="0" collapsed="false">
      <c r="A54" s="1" t="n">
        <v>30</v>
      </c>
      <c r="B54" s="31" t="n">
        <v>38231</v>
      </c>
      <c r="C54" s="1" t="n">
        <v>288600</v>
      </c>
      <c r="D54" s="121" t="s">
        <v>42</v>
      </c>
      <c r="E54" s="33" t="n">
        <f aca="false">(C54/(A54*24))/G54</f>
        <v>0.44537037037037</v>
      </c>
      <c r="F54" s="58" t="n">
        <v>900</v>
      </c>
      <c r="G54" s="58" t="n">
        <f aca="false">F54-H54</f>
        <v>900</v>
      </c>
      <c r="H54" s="58" t="n">
        <v>0</v>
      </c>
      <c r="I54" s="9"/>
      <c r="J54" s="30"/>
    </row>
    <row r="55" customFormat="false" ht="24" hidden="false" customHeight="true" outlineLevel="0" collapsed="false">
      <c r="A55" s="1" t="n">
        <v>31</v>
      </c>
      <c r="B55" s="34" t="n">
        <v>38261</v>
      </c>
      <c r="C55" s="1" t="n">
        <v>272600</v>
      </c>
      <c r="D55" s="121" t="s">
        <v>42</v>
      </c>
      <c r="E55" s="33" t="n">
        <f aca="false">(C55/(A55*24))/G55</f>
        <v>0.407108721624851</v>
      </c>
      <c r="F55" s="58" t="n">
        <v>900</v>
      </c>
      <c r="G55" s="58" t="n">
        <f aca="false">F55-H55</f>
        <v>900</v>
      </c>
      <c r="H55" s="58" t="n">
        <v>0</v>
      </c>
      <c r="I55" s="9"/>
      <c r="J55" s="30"/>
    </row>
    <row r="56" customFormat="false" ht="24" hidden="false" customHeight="true" outlineLevel="0" collapsed="false">
      <c r="A56" s="1" t="n">
        <v>30</v>
      </c>
      <c r="B56" s="31" t="n">
        <v>38292</v>
      </c>
      <c r="C56" s="1" t="n">
        <v>545400</v>
      </c>
      <c r="D56" s="121" t="s">
        <v>42</v>
      </c>
      <c r="E56" s="33" t="n">
        <f aca="false">(C56/(A56*24))/G56</f>
        <v>0.841666666666667</v>
      </c>
      <c r="F56" s="58" t="n">
        <v>900</v>
      </c>
      <c r="G56" s="58" t="n">
        <f aca="false">F56-H56</f>
        <v>900</v>
      </c>
      <c r="H56" s="58" t="n">
        <v>0</v>
      </c>
      <c r="I56" s="9"/>
      <c r="J56" s="30"/>
    </row>
    <row r="57" customFormat="false" ht="24" hidden="false" customHeight="true" outlineLevel="0" collapsed="false">
      <c r="A57" s="1" t="n">
        <v>31</v>
      </c>
      <c r="B57" s="34" t="n">
        <v>38322</v>
      </c>
      <c r="C57" s="1" t="n">
        <v>576600</v>
      </c>
      <c r="D57" s="121" t="s">
        <v>42</v>
      </c>
      <c r="E57" s="33" t="n">
        <f aca="false">(C57/(A57*24))/G57</f>
        <v>0.861111111111111</v>
      </c>
      <c r="F57" s="58" t="n">
        <v>900</v>
      </c>
      <c r="G57" s="58" t="n">
        <f aca="false">F57-H57</f>
        <v>900</v>
      </c>
      <c r="H57" s="58" t="n">
        <v>0</v>
      </c>
      <c r="I57" s="9"/>
      <c r="J57" s="30"/>
    </row>
    <row r="58" customFormat="false" ht="19.85" hidden="false" customHeight="true" outlineLevel="0" collapsed="false">
      <c r="A58" s="1" t="n">
        <v>31</v>
      </c>
      <c r="B58" s="31" t="n">
        <v>38353</v>
      </c>
      <c r="C58" s="56" t="n">
        <v>556400</v>
      </c>
      <c r="D58" s="121" t="s">
        <v>42</v>
      </c>
      <c r="E58" s="33" t="n">
        <f aca="false">(C58/(A58*24))/G58</f>
        <v>0.830943847072879</v>
      </c>
      <c r="F58" s="58" t="n">
        <v>900</v>
      </c>
      <c r="G58" s="58" t="n">
        <f aca="false">F58-H58</f>
        <v>900</v>
      </c>
      <c r="H58" s="58" t="n">
        <v>0</v>
      </c>
      <c r="J58" s="70"/>
    </row>
    <row r="59" customFormat="false" ht="19.85" hidden="false" customHeight="true" outlineLevel="0" collapsed="false">
      <c r="A59" s="1" t="n">
        <v>28</v>
      </c>
      <c r="B59" s="34" t="n">
        <v>38384</v>
      </c>
      <c r="C59" s="56" t="n">
        <v>542200</v>
      </c>
      <c r="D59" s="121" t="s">
        <v>42</v>
      </c>
      <c r="E59" s="33" t="n">
        <f aca="false">(C59/(A59*24))/G59</f>
        <v>0.896494708994709</v>
      </c>
      <c r="F59" s="58" t="n">
        <v>900</v>
      </c>
      <c r="G59" s="58" t="n">
        <f aca="false">F59-H59</f>
        <v>900</v>
      </c>
      <c r="H59" s="58" t="n">
        <v>0</v>
      </c>
      <c r="J59" s="70"/>
    </row>
    <row r="60" customFormat="false" ht="19.85" hidden="false" customHeight="true" outlineLevel="0" collapsed="false">
      <c r="A60" s="1" t="n">
        <v>31</v>
      </c>
      <c r="B60" s="31" t="n">
        <v>38412</v>
      </c>
      <c r="C60" s="56" t="n">
        <v>545800</v>
      </c>
      <c r="D60" s="121" t="s">
        <v>42</v>
      </c>
      <c r="E60" s="33" t="n">
        <f aca="false">(C60/(A60*24))/G60</f>
        <v>0.815113500597372</v>
      </c>
      <c r="F60" s="58" t="n">
        <v>900</v>
      </c>
      <c r="G60" s="58" t="n">
        <f aca="false">F60-H60</f>
        <v>900</v>
      </c>
      <c r="H60" s="58" t="n">
        <v>0</v>
      </c>
      <c r="J60" s="70"/>
    </row>
    <row r="61" customFormat="false" ht="19.85" hidden="false" customHeight="true" outlineLevel="0" collapsed="false">
      <c r="A61" s="1" t="n">
        <v>30</v>
      </c>
      <c r="B61" s="34" t="n">
        <v>38443</v>
      </c>
      <c r="C61" s="56" t="n">
        <v>548600</v>
      </c>
      <c r="D61" s="121" t="s">
        <v>42</v>
      </c>
      <c r="E61" s="33" t="n">
        <f aca="false">(C61/(A61*24))/G61</f>
        <v>0.846604938271605</v>
      </c>
      <c r="F61" s="58" t="n">
        <v>900</v>
      </c>
      <c r="G61" s="58" t="n">
        <f aca="false">F61-H61</f>
        <v>900</v>
      </c>
      <c r="H61" s="58" t="n">
        <v>0</v>
      </c>
      <c r="J61" s="70"/>
      <c r="L61" s="1" t="n">
        <v>2001</v>
      </c>
      <c r="M61" s="1" t="n">
        <v>2002</v>
      </c>
      <c r="N61" s="1" t="n">
        <v>2003</v>
      </c>
      <c r="O61" s="1" t="n">
        <v>2004</v>
      </c>
      <c r="P61" s="1" t="n">
        <v>2005</v>
      </c>
      <c r="Q61" s="1" t="n">
        <v>2006</v>
      </c>
      <c r="R61" s="1" t="n">
        <v>2007</v>
      </c>
      <c r="S61" s="1" t="n">
        <v>2008</v>
      </c>
      <c r="T61" s="1" t="n">
        <v>2009</v>
      </c>
      <c r="U61" s="1" t="n">
        <v>2010</v>
      </c>
      <c r="V61" s="1" t="n">
        <v>2011</v>
      </c>
      <c r="W61" s="1" t="n">
        <v>2012</v>
      </c>
      <c r="X61" s="1" t="n">
        <v>2013</v>
      </c>
      <c r="Y61" s="1" t="n">
        <v>2014</v>
      </c>
      <c r="Z61" s="1" t="n">
        <v>2015</v>
      </c>
    </row>
    <row r="62" customFormat="false" ht="19.85" hidden="false" customHeight="true" outlineLevel="0" collapsed="false">
      <c r="A62" s="1" t="n">
        <v>31</v>
      </c>
      <c r="B62" s="31" t="n">
        <v>38473</v>
      </c>
      <c r="C62" s="56" t="n">
        <v>560800</v>
      </c>
      <c r="D62" s="121" t="s">
        <v>42</v>
      </c>
      <c r="E62" s="33" t="n">
        <f aca="false">(C62/(A62*24))/G62</f>
        <v>0.837514934289128</v>
      </c>
      <c r="F62" s="58" t="n">
        <v>900</v>
      </c>
      <c r="G62" s="58" t="n">
        <f aca="false">F62-H62</f>
        <v>900</v>
      </c>
      <c r="H62" s="58" t="n">
        <v>0</v>
      </c>
      <c r="J62" s="70"/>
      <c r="L62" s="0"/>
      <c r="M62" s="0"/>
      <c r="N62" s="0"/>
      <c r="O62" s="0"/>
      <c r="P62" s="1" t="n">
        <v>556400</v>
      </c>
      <c r="Q62" s="1" t="n">
        <v>599400</v>
      </c>
      <c r="R62" s="1" t="n">
        <v>579000</v>
      </c>
      <c r="S62" s="1" t="n">
        <v>558600</v>
      </c>
      <c r="T62" s="1" t="n">
        <v>528800</v>
      </c>
      <c r="U62" s="1" t="n">
        <v>593600</v>
      </c>
      <c r="V62" s="1" t="n">
        <v>594200</v>
      </c>
      <c r="W62" s="1" t="n">
        <v>567600</v>
      </c>
      <c r="X62" s="1" t="n">
        <v>550251</v>
      </c>
      <c r="Y62" s="1" t="n">
        <v>539787</v>
      </c>
      <c r="Z62" s="1" t="n">
        <v>558181</v>
      </c>
    </row>
    <row r="63" customFormat="false" ht="19.85" hidden="false" customHeight="true" outlineLevel="0" collapsed="false">
      <c r="A63" s="1" t="n">
        <v>30</v>
      </c>
      <c r="B63" s="34" t="n">
        <v>38504</v>
      </c>
      <c r="C63" s="56" t="n">
        <v>312600</v>
      </c>
      <c r="D63" s="121" t="s">
        <v>42</v>
      </c>
      <c r="E63" s="33" t="n">
        <f aca="false">(C63/(A63*24))/G63</f>
        <v>0.482407407407407</v>
      </c>
      <c r="F63" s="58" t="n">
        <v>900</v>
      </c>
      <c r="G63" s="58" t="n">
        <f aca="false">F63-H63</f>
        <v>900</v>
      </c>
      <c r="H63" s="58" t="n">
        <v>0</v>
      </c>
      <c r="J63" s="70"/>
      <c r="L63" s="0"/>
      <c r="M63" s="0"/>
      <c r="N63" s="0"/>
      <c r="O63" s="0"/>
      <c r="P63" s="1" t="n">
        <v>542200</v>
      </c>
      <c r="Q63" s="1" t="n">
        <v>527000</v>
      </c>
      <c r="R63" s="1" t="n">
        <v>488800</v>
      </c>
      <c r="S63" s="1" t="n">
        <v>518200</v>
      </c>
      <c r="T63" s="1" t="n">
        <v>525800</v>
      </c>
      <c r="U63" s="1" t="n">
        <v>536000</v>
      </c>
      <c r="V63" s="1" t="n">
        <v>540400</v>
      </c>
      <c r="W63" s="1" t="n">
        <v>383200</v>
      </c>
      <c r="X63" s="1" t="n">
        <v>506748</v>
      </c>
      <c r="Y63" s="1" t="n">
        <v>418142</v>
      </c>
      <c r="Z63" s="1" t="n">
        <v>500752</v>
      </c>
    </row>
    <row r="64" customFormat="false" ht="19.85" hidden="false" customHeight="true" outlineLevel="0" collapsed="false">
      <c r="A64" s="1" t="n">
        <v>31</v>
      </c>
      <c r="B64" s="31" t="n">
        <v>38534</v>
      </c>
      <c r="C64" s="56" t="n">
        <v>300000</v>
      </c>
      <c r="D64" s="121" t="s">
        <v>42</v>
      </c>
      <c r="E64" s="33" t="n">
        <f aca="false">(C64/(A64*24))/G64</f>
        <v>0.448028673835125</v>
      </c>
      <c r="F64" s="58" t="n">
        <v>900</v>
      </c>
      <c r="G64" s="58" t="n">
        <f aca="false">F64-H64</f>
        <v>900</v>
      </c>
      <c r="H64" s="58" t="n">
        <v>0</v>
      </c>
      <c r="J64" s="70"/>
      <c r="L64" s="0"/>
      <c r="M64" s="0"/>
      <c r="N64" s="0"/>
      <c r="O64" s="0"/>
      <c r="P64" s="1" t="n">
        <v>545800</v>
      </c>
      <c r="Q64" s="1" t="n">
        <v>568400</v>
      </c>
      <c r="R64" s="1" t="n">
        <v>586000</v>
      </c>
      <c r="S64" s="1" t="n">
        <v>578600</v>
      </c>
      <c r="T64" s="1" t="n">
        <v>598000</v>
      </c>
      <c r="U64" s="1" t="n">
        <v>638800</v>
      </c>
      <c r="V64" s="1" t="n">
        <v>597600</v>
      </c>
      <c r="W64" s="1" t="n">
        <v>317800</v>
      </c>
      <c r="X64" s="1" t="n">
        <v>593808</v>
      </c>
      <c r="Y64" s="1" t="n">
        <v>523104</v>
      </c>
      <c r="Z64" s="1" t="n">
        <v>557370</v>
      </c>
    </row>
    <row r="65" customFormat="false" ht="19.85" hidden="false" customHeight="true" outlineLevel="0" collapsed="false">
      <c r="A65" s="1" t="n">
        <v>31</v>
      </c>
      <c r="B65" s="34" t="n">
        <v>38565</v>
      </c>
      <c r="C65" s="56" t="n">
        <v>160000</v>
      </c>
      <c r="D65" s="121" t="s">
        <v>42</v>
      </c>
      <c r="E65" s="33" t="n">
        <f aca="false">(C65/(A65*24))/G65</f>
        <v>0.2389486260454</v>
      </c>
      <c r="F65" s="58" t="n">
        <v>900</v>
      </c>
      <c r="G65" s="58" t="n">
        <f aca="false">F65-H65</f>
        <v>900</v>
      </c>
      <c r="H65" s="58" t="n">
        <v>0</v>
      </c>
      <c r="J65" s="70"/>
      <c r="L65" s="0"/>
      <c r="M65" s="0"/>
      <c r="N65" s="0"/>
      <c r="O65" s="0"/>
      <c r="P65" s="1" t="n">
        <v>548600</v>
      </c>
      <c r="Q65" s="1" t="n">
        <v>537200</v>
      </c>
      <c r="R65" s="1" t="n">
        <v>516600</v>
      </c>
      <c r="S65" s="1" t="n">
        <v>489600</v>
      </c>
      <c r="T65" s="1" t="n">
        <v>554400</v>
      </c>
      <c r="U65" s="1" t="n">
        <v>565200</v>
      </c>
      <c r="V65" s="1" t="n">
        <v>437800</v>
      </c>
      <c r="W65" s="1" t="n">
        <v>170200</v>
      </c>
      <c r="X65" s="1" t="n">
        <v>560729</v>
      </c>
      <c r="Y65" s="1" t="n">
        <v>552496</v>
      </c>
      <c r="Z65" s="1" t="n">
        <v>535831</v>
      </c>
    </row>
    <row r="66" customFormat="false" ht="19.85" hidden="false" customHeight="true" outlineLevel="0" collapsed="false">
      <c r="A66" s="1" t="n">
        <v>30</v>
      </c>
      <c r="B66" s="31" t="n">
        <v>38596</v>
      </c>
      <c r="C66" s="56" t="n">
        <v>267400</v>
      </c>
      <c r="D66" s="121" t="s">
        <v>42</v>
      </c>
      <c r="E66" s="33" t="n">
        <f aca="false">(C66/(A66*24))/G66</f>
        <v>0.412654320987654</v>
      </c>
      <c r="F66" s="58" t="n">
        <v>900</v>
      </c>
      <c r="G66" s="58" t="n">
        <f aca="false">F66-H66</f>
        <v>900</v>
      </c>
      <c r="H66" s="58" t="n">
        <v>0</v>
      </c>
      <c r="J66" s="70"/>
      <c r="L66" s="0"/>
      <c r="M66" s="0"/>
      <c r="N66" s="0"/>
      <c r="O66" s="0"/>
      <c r="P66" s="1" t="n">
        <v>560800</v>
      </c>
      <c r="Q66" s="1" t="n">
        <v>517600</v>
      </c>
      <c r="R66" s="1" t="n">
        <v>496200</v>
      </c>
      <c r="S66" s="1" t="n">
        <v>562400</v>
      </c>
      <c r="T66" s="1" t="n">
        <v>579800</v>
      </c>
      <c r="U66" s="1" t="n">
        <v>584400</v>
      </c>
      <c r="V66" s="1" t="n">
        <v>124000</v>
      </c>
      <c r="W66" s="1" t="n">
        <v>350000</v>
      </c>
      <c r="X66" s="1" t="n">
        <v>572694</v>
      </c>
      <c r="Y66" s="1" t="n">
        <v>416978</v>
      </c>
      <c r="Z66" s="1" t="n">
        <v>462458</v>
      </c>
    </row>
    <row r="67" customFormat="false" ht="19.85" hidden="false" customHeight="true" outlineLevel="0" collapsed="false">
      <c r="A67" s="1" t="n">
        <v>31</v>
      </c>
      <c r="B67" s="34" t="n">
        <v>38626</v>
      </c>
      <c r="C67" s="56" t="n">
        <v>246000</v>
      </c>
      <c r="D67" s="121" t="s">
        <v>42</v>
      </c>
      <c r="E67" s="33" t="n">
        <f aca="false">(C67/(A67*24))/G67</f>
        <v>0.367383512544803</v>
      </c>
      <c r="F67" s="58" t="n">
        <v>900</v>
      </c>
      <c r="G67" s="58" t="n">
        <f aca="false">F67-H67</f>
        <v>900</v>
      </c>
      <c r="H67" s="58" t="n">
        <v>0</v>
      </c>
      <c r="J67" s="70"/>
      <c r="L67" s="0"/>
      <c r="M67" s="0"/>
      <c r="N67" s="0"/>
      <c r="O67" s="0"/>
      <c r="P67" s="1" t="n">
        <v>312600</v>
      </c>
      <c r="Q67" s="1" t="n">
        <v>157000</v>
      </c>
      <c r="R67" s="1" t="n">
        <v>549200</v>
      </c>
      <c r="S67" s="1" t="n">
        <v>538200</v>
      </c>
      <c r="T67" s="1" t="n">
        <v>439200</v>
      </c>
      <c r="U67" s="1" t="n">
        <v>466200</v>
      </c>
      <c r="V67" s="1" t="n">
        <v>86600</v>
      </c>
      <c r="W67" s="1" t="n">
        <v>545400</v>
      </c>
      <c r="X67" s="1" t="n">
        <v>459548</v>
      </c>
      <c r="Y67" s="1" t="n">
        <v>101325</v>
      </c>
      <c r="Z67" s="1" t="n">
        <v>219471</v>
      </c>
    </row>
    <row r="68" customFormat="false" ht="19.85" hidden="false" customHeight="true" outlineLevel="0" collapsed="false">
      <c r="A68" s="1" t="n">
        <v>30</v>
      </c>
      <c r="B68" s="31" t="n">
        <v>38657</v>
      </c>
      <c r="C68" s="56" t="n">
        <v>483000</v>
      </c>
      <c r="D68" s="121" t="s">
        <v>42</v>
      </c>
      <c r="E68" s="33" t="n">
        <f aca="false">(C68/(A68*24))/G68</f>
        <v>0.74537037037037</v>
      </c>
      <c r="F68" s="58" t="n">
        <v>900</v>
      </c>
      <c r="G68" s="58" t="n">
        <f aca="false">F68-H68</f>
        <v>900</v>
      </c>
      <c r="H68" s="58" t="n">
        <v>0</v>
      </c>
      <c r="J68" s="70"/>
      <c r="L68" s="0"/>
      <c r="M68" s="0"/>
      <c r="N68" s="0"/>
      <c r="O68" s="0"/>
      <c r="P68" s="1" t="n">
        <v>300000</v>
      </c>
      <c r="Q68" s="1" t="n">
        <v>190000</v>
      </c>
      <c r="R68" s="1" t="n">
        <v>458000</v>
      </c>
      <c r="S68" s="1" t="n">
        <v>431200</v>
      </c>
      <c r="T68" s="1" t="n">
        <v>258200</v>
      </c>
      <c r="U68" s="1" t="n">
        <v>265800</v>
      </c>
      <c r="V68" s="1" t="n">
        <v>113800</v>
      </c>
      <c r="W68" s="1" t="n">
        <v>366600</v>
      </c>
      <c r="X68" s="1" t="n">
        <v>325788</v>
      </c>
      <c r="Y68" s="1" t="n">
        <v>351163</v>
      </c>
      <c r="Z68" s="1" t="n">
        <v>125630</v>
      </c>
    </row>
    <row r="69" customFormat="false" ht="19.85" hidden="false" customHeight="true" outlineLevel="0" collapsed="false">
      <c r="A69" s="1" t="n">
        <v>31</v>
      </c>
      <c r="B69" s="34" t="n">
        <v>38687</v>
      </c>
      <c r="C69" s="56" t="n">
        <v>529200</v>
      </c>
      <c r="D69" s="121" t="s">
        <v>42</v>
      </c>
      <c r="E69" s="33" t="n">
        <f aca="false">(C69/(A69*24))/G69</f>
        <v>0.790322580645161</v>
      </c>
      <c r="F69" s="58" t="n">
        <v>900</v>
      </c>
      <c r="G69" s="58" t="n">
        <f aca="false">F69-H69</f>
        <v>900</v>
      </c>
      <c r="H69" s="58" t="n">
        <v>0</v>
      </c>
      <c r="J69" s="70"/>
      <c r="L69" s="0"/>
      <c r="M69" s="0"/>
      <c r="N69" s="0"/>
      <c r="O69" s="0"/>
      <c r="P69" s="1" t="n">
        <v>160000</v>
      </c>
      <c r="Q69" s="1" t="n">
        <v>223400</v>
      </c>
      <c r="R69" s="1" t="n">
        <v>414200</v>
      </c>
      <c r="S69" s="1" t="n">
        <v>260800</v>
      </c>
      <c r="T69" s="1" t="n">
        <v>164000</v>
      </c>
      <c r="U69" s="1" t="n">
        <v>128400</v>
      </c>
      <c r="V69" s="1" t="n">
        <v>55000</v>
      </c>
      <c r="W69" s="1" t="n">
        <v>268819</v>
      </c>
      <c r="X69" s="1" t="n">
        <v>367224</v>
      </c>
      <c r="Y69" s="1" t="n">
        <v>383367</v>
      </c>
      <c r="Z69" s="1" t="n">
        <v>173386</v>
      </c>
    </row>
    <row r="70" customFormat="false" ht="19.85" hidden="false" customHeight="true" outlineLevel="0" collapsed="false">
      <c r="A70" s="1" t="n">
        <v>31</v>
      </c>
      <c r="B70" s="31" t="n">
        <v>38718</v>
      </c>
      <c r="C70" s="56" t="n">
        <v>599400</v>
      </c>
      <c r="D70" s="121" t="s">
        <v>42</v>
      </c>
      <c r="E70" s="33" t="n">
        <f aca="false">(C70/(A70*24))/G70</f>
        <v>0.895161290322581</v>
      </c>
      <c r="F70" s="58" t="n">
        <v>900</v>
      </c>
      <c r="G70" s="58" t="n">
        <f aca="false">F70-H70</f>
        <v>900</v>
      </c>
      <c r="H70" s="58" t="n">
        <v>0</v>
      </c>
      <c r="J70" s="55"/>
      <c r="L70" s="0"/>
      <c r="M70" s="0"/>
      <c r="N70" s="0"/>
      <c r="O70" s="0"/>
      <c r="P70" s="1" t="n">
        <v>267400</v>
      </c>
      <c r="Q70" s="1" t="n">
        <v>270200</v>
      </c>
      <c r="R70" s="1" t="n">
        <v>296600</v>
      </c>
      <c r="S70" s="1" t="n">
        <v>587400</v>
      </c>
      <c r="T70" s="1" t="n">
        <v>126400</v>
      </c>
      <c r="U70" s="1" t="n">
        <v>199400</v>
      </c>
      <c r="V70" s="1" t="n">
        <v>71200</v>
      </c>
      <c r="W70" s="1" t="n">
        <v>285911</v>
      </c>
      <c r="X70" s="1" t="n">
        <v>333463</v>
      </c>
      <c r="Y70" s="1" t="n">
        <v>163809</v>
      </c>
      <c r="Z70" s="1" t="n">
        <v>301070</v>
      </c>
    </row>
    <row r="71" customFormat="false" ht="19.85" hidden="false" customHeight="true" outlineLevel="0" collapsed="false">
      <c r="A71" s="1" t="n">
        <v>28</v>
      </c>
      <c r="B71" s="34" t="n">
        <v>38749</v>
      </c>
      <c r="C71" s="56" t="n">
        <v>527000</v>
      </c>
      <c r="D71" s="121" t="s">
        <v>42</v>
      </c>
      <c r="E71" s="33" t="n">
        <f aca="false">(C71/(A71*24))/G71</f>
        <v>0.871362433862434</v>
      </c>
      <c r="F71" s="58" t="n">
        <v>900</v>
      </c>
      <c r="G71" s="58" t="n">
        <f aca="false">F71-H71</f>
        <v>900</v>
      </c>
      <c r="H71" s="58" t="n">
        <v>0</v>
      </c>
      <c r="J71" s="55"/>
      <c r="L71" s="0"/>
      <c r="M71" s="0"/>
      <c r="N71" s="0"/>
      <c r="O71" s="0"/>
      <c r="P71" s="1" t="n">
        <v>246000</v>
      </c>
      <c r="Q71" s="1" t="n">
        <v>487000</v>
      </c>
      <c r="R71" s="1" t="n">
        <v>302200</v>
      </c>
      <c r="S71" s="1" t="n">
        <v>271200</v>
      </c>
      <c r="T71" s="1" t="n">
        <v>228000</v>
      </c>
      <c r="U71" s="1" t="n">
        <v>442400</v>
      </c>
      <c r="V71" s="1" t="n">
        <v>115400</v>
      </c>
      <c r="W71" s="1" t="n">
        <v>213959</v>
      </c>
      <c r="X71" s="1" t="n">
        <v>395194</v>
      </c>
      <c r="Y71" s="1" t="n">
        <v>506706</v>
      </c>
      <c r="Z71" s="1" t="n">
        <v>348500</v>
      </c>
    </row>
    <row r="72" customFormat="false" ht="19.85" hidden="false" customHeight="true" outlineLevel="0" collapsed="false">
      <c r="A72" s="1" t="n">
        <v>31</v>
      </c>
      <c r="B72" s="31" t="n">
        <v>38777</v>
      </c>
      <c r="C72" s="56" t="n">
        <v>568400</v>
      </c>
      <c r="D72" s="121" t="s">
        <v>42</v>
      </c>
      <c r="E72" s="33" t="n">
        <f aca="false">(C72/(A72*24))/G72</f>
        <v>0.848864994026284</v>
      </c>
      <c r="F72" s="58" t="n">
        <v>900</v>
      </c>
      <c r="G72" s="58" t="n">
        <f aca="false">F72-H72</f>
        <v>900</v>
      </c>
      <c r="H72" s="58" t="n">
        <v>0</v>
      </c>
      <c r="J72" s="55"/>
      <c r="L72" s="0"/>
      <c r="M72" s="0"/>
      <c r="N72" s="0"/>
      <c r="O72" s="0"/>
      <c r="P72" s="1" t="n">
        <v>483000</v>
      </c>
      <c r="Q72" s="1" t="n">
        <v>443600</v>
      </c>
      <c r="R72" s="1" t="n">
        <v>201800</v>
      </c>
      <c r="S72" s="1" t="n">
        <v>587400</v>
      </c>
      <c r="T72" s="1" t="n">
        <v>462600</v>
      </c>
      <c r="U72" s="1" t="n">
        <v>545000</v>
      </c>
      <c r="V72" s="1" t="n">
        <v>275800</v>
      </c>
      <c r="W72" s="1" t="n">
        <v>323370</v>
      </c>
      <c r="X72" s="1" t="n">
        <v>489333</v>
      </c>
      <c r="Y72" s="1" t="n">
        <v>382830</v>
      </c>
    </row>
    <row r="73" customFormat="false" ht="19.85" hidden="false" customHeight="true" outlineLevel="0" collapsed="false">
      <c r="A73" s="1" t="n">
        <v>30</v>
      </c>
      <c r="B73" s="34" t="n">
        <v>38808</v>
      </c>
      <c r="C73" s="56" t="n">
        <v>537200</v>
      </c>
      <c r="D73" s="121" t="s">
        <v>42</v>
      </c>
      <c r="E73" s="33" t="n">
        <f aca="false">(C73/(A73*24))/G73</f>
        <v>0.829012345679012</v>
      </c>
      <c r="F73" s="58" t="n">
        <v>900</v>
      </c>
      <c r="G73" s="58" t="n">
        <f aca="false">F73-H73</f>
        <v>900</v>
      </c>
      <c r="H73" s="58" t="n">
        <v>0</v>
      </c>
      <c r="J73" s="55"/>
      <c r="L73" s="0"/>
      <c r="M73" s="0"/>
      <c r="N73" s="0"/>
      <c r="O73" s="0"/>
      <c r="P73" s="1" t="n">
        <v>529200</v>
      </c>
      <c r="Q73" s="1" t="n">
        <v>547200</v>
      </c>
      <c r="R73" s="1" t="n">
        <v>477400</v>
      </c>
      <c r="S73" s="1" t="n">
        <v>520000</v>
      </c>
      <c r="T73" s="1" t="n">
        <v>543200</v>
      </c>
      <c r="U73" s="1" t="n">
        <v>509600</v>
      </c>
      <c r="V73" s="1" t="n">
        <v>523000</v>
      </c>
      <c r="W73" s="1" t="n">
        <v>537009</v>
      </c>
      <c r="X73" s="1" t="n">
        <v>525066</v>
      </c>
      <c r="Y73" s="1" t="n">
        <v>550620</v>
      </c>
    </row>
    <row r="74" customFormat="false" ht="19.85" hidden="false" customHeight="true" outlineLevel="0" collapsed="false">
      <c r="A74" s="1" t="n">
        <v>31</v>
      </c>
      <c r="B74" s="31" t="n">
        <v>38838</v>
      </c>
      <c r="C74" s="56" t="n">
        <v>517600</v>
      </c>
      <c r="D74" s="121" t="s">
        <v>42</v>
      </c>
      <c r="E74" s="33" t="n">
        <f aca="false">(C74/(A74*24))/G74</f>
        <v>0.77299880525687</v>
      </c>
      <c r="F74" s="58" t="n">
        <v>900</v>
      </c>
      <c r="G74" s="58" t="n">
        <f aca="false">F74-H74</f>
        <v>900</v>
      </c>
      <c r="H74" s="58" t="n">
        <v>0</v>
      </c>
      <c r="J74" s="55"/>
      <c r="L74" s="0"/>
      <c r="N74" s="0"/>
    </row>
    <row r="75" customFormat="false" ht="19.85" hidden="false" customHeight="true" outlineLevel="0" collapsed="false">
      <c r="A75" s="1" t="n">
        <v>30</v>
      </c>
      <c r="B75" s="34" t="n">
        <v>38869</v>
      </c>
      <c r="C75" s="56" t="n">
        <v>157000</v>
      </c>
      <c r="D75" s="121" t="s">
        <v>42</v>
      </c>
      <c r="E75" s="33" t="n">
        <f aca="false">(C75/(A75*24))/G75</f>
        <v>0.242283950617284</v>
      </c>
      <c r="F75" s="58" t="n">
        <v>900</v>
      </c>
      <c r="G75" s="58" t="n">
        <f aca="false">F75-H75</f>
        <v>900</v>
      </c>
      <c r="H75" s="58" t="n">
        <v>0</v>
      </c>
      <c r="J75" s="55"/>
      <c r="L75" s="0"/>
      <c r="N75" s="0"/>
    </row>
    <row r="76" customFormat="false" ht="19.85" hidden="false" customHeight="true" outlineLevel="0" collapsed="false">
      <c r="A76" s="1" t="n">
        <v>31</v>
      </c>
      <c r="B76" s="31" t="n">
        <v>38899</v>
      </c>
      <c r="C76" s="56" t="n">
        <v>190000</v>
      </c>
      <c r="D76" s="121" t="s">
        <v>42</v>
      </c>
      <c r="E76" s="33" t="n">
        <f aca="false">(C76/(A76*24))/G76</f>
        <v>0.283751493428913</v>
      </c>
      <c r="F76" s="58" t="n">
        <v>900</v>
      </c>
      <c r="G76" s="58" t="n">
        <f aca="false">F76-H76</f>
        <v>900</v>
      </c>
      <c r="H76" s="58" t="n">
        <v>0</v>
      </c>
      <c r="J76" s="55"/>
      <c r="L76" s="0"/>
      <c r="N76" s="0"/>
    </row>
    <row r="77" customFormat="false" ht="19.85" hidden="false" customHeight="true" outlineLevel="0" collapsed="false">
      <c r="A77" s="1" t="n">
        <v>31</v>
      </c>
      <c r="B77" s="34" t="n">
        <v>38930</v>
      </c>
      <c r="C77" s="56" t="n">
        <v>223400</v>
      </c>
      <c r="D77" s="121" t="s">
        <v>42</v>
      </c>
      <c r="E77" s="33" t="n">
        <f aca="false">(C77/(A77*24))/G77</f>
        <v>0.33363201911589</v>
      </c>
      <c r="F77" s="58" t="n">
        <v>900</v>
      </c>
      <c r="G77" s="58" t="n">
        <f aca="false">F77-H77</f>
        <v>900</v>
      </c>
      <c r="H77" s="58" t="n">
        <v>0</v>
      </c>
      <c r="J77" s="55"/>
      <c r="L77" s="0"/>
      <c r="N77" s="0"/>
    </row>
    <row r="78" customFormat="false" ht="19.85" hidden="false" customHeight="true" outlineLevel="0" collapsed="false">
      <c r="A78" s="1" t="n">
        <v>30</v>
      </c>
      <c r="B78" s="31" t="n">
        <v>38961</v>
      </c>
      <c r="C78" s="56" t="n">
        <v>270200</v>
      </c>
      <c r="D78" s="121" t="s">
        <v>42</v>
      </c>
      <c r="E78" s="33" t="n">
        <f aca="false">(C78/(A78*24))/G78</f>
        <v>0.416975308641975</v>
      </c>
      <c r="F78" s="58" t="n">
        <v>900</v>
      </c>
      <c r="G78" s="58" t="n">
        <f aca="false">F78-H78</f>
        <v>900</v>
      </c>
      <c r="H78" s="58" t="n">
        <v>0</v>
      </c>
      <c r="J78" s="55"/>
      <c r="L78" s="0"/>
      <c r="N78" s="0"/>
    </row>
    <row r="79" customFormat="false" ht="19.85" hidden="false" customHeight="true" outlineLevel="0" collapsed="false">
      <c r="A79" s="1" t="n">
        <v>31</v>
      </c>
      <c r="B79" s="34" t="n">
        <v>38991</v>
      </c>
      <c r="C79" s="56" t="n">
        <v>487000</v>
      </c>
      <c r="D79" s="121" t="s">
        <v>42</v>
      </c>
      <c r="E79" s="33" t="n">
        <f aca="false">(C79/(A79*24))/G79</f>
        <v>0.727299880525687</v>
      </c>
      <c r="F79" s="58" t="n">
        <v>900</v>
      </c>
      <c r="G79" s="58" t="n">
        <f aca="false">F79-H79</f>
        <v>900</v>
      </c>
      <c r="H79" s="58" t="n">
        <v>0</v>
      </c>
      <c r="J79" s="55"/>
      <c r="L79" s="0"/>
      <c r="N79" s="0"/>
    </row>
    <row r="80" customFormat="false" ht="19.85" hidden="false" customHeight="true" outlineLevel="0" collapsed="false">
      <c r="A80" s="1" t="n">
        <v>30</v>
      </c>
      <c r="B80" s="31" t="n">
        <v>39022</v>
      </c>
      <c r="C80" s="56" t="n">
        <v>443600</v>
      </c>
      <c r="D80" s="121" t="s">
        <v>42</v>
      </c>
      <c r="E80" s="33" t="n">
        <f aca="false">(C80/(A80*24))/G80</f>
        <v>0.684567901234568</v>
      </c>
      <c r="F80" s="58" t="n">
        <v>900</v>
      </c>
      <c r="G80" s="58" t="n">
        <f aca="false">F80-H80</f>
        <v>900</v>
      </c>
      <c r="H80" s="58" t="n">
        <v>0</v>
      </c>
      <c r="J80" s="55"/>
      <c r="L80" s="0"/>
      <c r="N80" s="0"/>
    </row>
    <row r="81" customFormat="false" ht="19.85" hidden="false" customHeight="true" outlineLevel="0" collapsed="false">
      <c r="A81" s="1" t="n">
        <v>31</v>
      </c>
      <c r="B81" s="34" t="n">
        <v>39052</v>
      </c>
      <c r="C81" s="56" t="n">
        <v>547200</v>
      </c>
      <c r="D81" s="121" t="s">
        <v>42</v>
      </c>
      <c r="E81" s="33" t="n">
        <f aca="false">(C81/(A81*24))/G81</f>
        <v>0.817204301075269</v>
      </c>
      <c r="F81" s="58" t="n">
        <v>900</v>
      </c>
      <c r="G81" s="58" t="n">
        <f aca="false">F81-H81</f>
        <v>900</v>
      </c>
      <c r="H81" s="58" t="n">
        <v>0</v>
      </c>
      <c r="J81" s="55"/>
      <c r="L81" s="0"/>
      <c r="N81" s="0"/>
    </row>
    <row r="82" customFormat="false" ht="19.85" hidden="false" customHeight="true" outlineLevel="0" collapsed="false">
      <c r="A82" s="1" t="n">
        <v>31</v>
      </c>
      <c r="B82" s="31" t="n">
        <v>39083</v>
      </c>
      <c r="C82" s="56" t="n">
        <v>579000</v>
      </c>
      <c r="D82" s="121" t="s">
        <v>42</v>
      </c>
      <c r="E82" s="33" t="n">
        <f aca="false">(C82/(A82*24))/G82</f>
        <v>0.864695340501792</v>
      </c>
      <c r="F82" s="58" t="n">
        <v>900</v>
      </c>
      <c r="G82" s="58" t="n">
        <f aca="false">F82-H82</f>
        <v>900</v>
      </c>
      <c r="H82" s="58" t="n">
        <v>0</v>
      </c>
      <c r="J82" s="55"/>
      <c r="L82" s="0"/>
      <c r="N82" s="0"/>
    </row>
    <row r="83" customFormat="false" ht="19.85" hidden="false" customHeight="true" outlineLevel="0" collapsed="false">
      <c r="A83" s="1" t="n">
        <v>28</v>
      </c>
      <c r="B83" s="34" t="n">
        <v>39114</v>
      </c>
      <c r="C83" s="56" t="n">
        <v>488800</v>
      </c>
      <c r="D83" s="121" t="s">
        <v>42</v>
      </c>
      <c r="E83" s="33" t="n">
        <f aca="false">(C83/(A83*24))/G83</f>
        <v>0.808201058201058</v>
      </c>
      <c r="F83" s="58" t="n">
        <v>900</v>
      </c>
      <c r="G83" s="58" t="n">
        <f aca="false">F83-H83</f>
        <v>900</v>
      </c>
      <c r="H83" s="58" t="n">
        <v>0</v>
      </c>
      <c r="J83" s="55"/>
      <c r="L83" s="0"/>
      <c r="N83" s="0"/>
    </row>
    <row r="84" customFormat="false" ht="19.85" hidden="false" customHeight="true" outlineLevel="0" collapsed="false">
      <c r="A84" s="1" t="n">
        <v>31</v>
      </c>
      <c r="B84" s="31" t="n">
        <v>39142</v>
      </c>
      <c r="C84" s="56" t="n">
        <v>586000</v>
      </c>
      <c r="D84" s="121" t="s">
        <v>42</v>
      </c>
      <c r="E84" s="33" t="n">
        <f aca="false">(C84/(A84*24))/G84</f>
        <v>0.875149342891278</v>
      </c>
      <c r="F84" s="58" t="n">
        <v>900</v>
      </c>
      <c r="G84" s="58" t="n">
        <f aca="false">F84-H84</f>
        <v>900</v>
      </c>
      <c r="H84" s="58" t="n">
        <v>0</v>
      </c>
      <c r="J84" s="55"/>
      <c r="L84" s="0"/>
      <c r="N84" s="0"/>
    </row>
    <row r="85" customFormat="false" ht="19.85" hidden="false" customHeight="true" outlineLevel="0" collapsed="false">
      <c r="A85" s="1" t="n">
        <v>30</v>
      </c>
      <c r="B85" s="34" t="n">
        <v>39173</v>
      </c>
      <c r="C85" s="56" t="n">
        <v>516600</v>
      </c>
      <c r="D85" s="121" t="s">
        <v>42</v>
      </c>
      <c r="E85" s="33" t="n">
        <f aca="false">(C85/(A85*24))/G85</f>
        <v>0.797222222222222</v>
      </c>
      <c r="F85" s="58" t="n">
        <v>900</v>
      </c>
      <c r="G85" s="58" t="n">
        <f aca="false">F85-H85</f>
        <v>900</v>
      </c>
      <c r="H85" s="58" t="n">
        <v>0</v>
      </c>
      <c r="J85" s="55"/>
      <c r="L85" s="0"/>
      <c r="N85" s="0"/>
    </row>
    <row r="86" customFormat="false" ht="19.85" hidden="false" customHeight="true" outlineLevel="0" collapsed="false">
      <c r="A86" s="1" t="n">
        <v>31</v>
      </c>
      <c r="B86" s="31" t="n">
        <v>39203</v>
      </c>
      <c r="C86" s="56" t="n">
        <v>496200</v>
      </c>
      <c r="D86" s="121" t="s">
        <v>42</v>
      </c>
      <c r="E86" s="33" t="n">
        <f aca="false">(C86/(A86*24))/G86</f>
        <v>0.741039426523297</v>
      </c>
      <c r="F86" s="58" t="n">
        <v>900</v>
      </c>
      <c r="G86" s="58" t="n">
        <f aca="false">F86-H86</f>
        <v>900</v>
      </c>
      <c r="H86" s="58" t="n">
        <v>0</v>
      </c>
      <c r="J86" s="55"/>
      <c r="L86" s="0"/>
    </row>
    <row r="87" customFormat="false" ht="19.85" hidden="false" customHeight="true" outlineLevel="0" collapsed="false">
      <c r="A87" s="1" t="n">
        <v>30</v>
      </c>
      <c r="B87" s="34" t="n">
        <v>39234</v>
      </c>
      <c r="C87" s="56" t="n">
        <v>549200</v>
      </c>
      <c r="D87" s="121" t="s">
        <v>42</v>
      </c>
      <c r="E87" s="33" t="n">
        <f aca="false">(C87/(A87*24))/G87</f>
        <v>0.847530864197531</v>
      </c>
      <c r="F87" s="58" t="n">
        <v>900</v>
      </c>
      <c r="G87" s="58" t="n">
        <f aca="false">F87-H87</f>
        <v>900</v>
      </c>
      <c r="H87" s="58" t="n">
        <v>0</v>
      </c>
      <c r="J87" s="55"/>
      <c r="L87" s="0"/>
    </row>
    <row r="88" customFormat="false" ht="19.85" hidden="false" customHeight="true" outlineLevel="0" collapsed="false">
      <c r="A88" s="1" t="n">
        <v>31</v>
      </c>
      <c r="B88" s="31" t="n">
        <v>39264</v>
      </c>
      <c r="C88" s="56" t="n">
        <v>458000</v>
      </c>
      <c r="D88" s="121" t="s">
        <v>42</v>
      </c>
      <c r="E88" s="33" t="n">
        <f aca="false">(C88/(A88*24))/G88</f>
        <v>0.683990442054958</v>
      </c>
      <c r="F88" s="58" t="n">
        <v>900</v>
      </c>
      <c r="G88" s="58" t="n">
        <f aca="false">F88-H88</f>
        <v>900</v>
      </c>
      <c r="H88" s="58" t="n">
        <v>0</v>
      </c>
      <c r="J88" s="55"/>
      <c r="L88" s="0"/>
    </row>
    <row r="89" customFormat="false" ht="19.85" hidden="false" customHeight="true" outlineLevel="0" collapsed="false">
      <c r="A89" s="1" t="n">
        <v>31</v>
      </c>
      <c r="B89" s="34" t="n">
        <v>39295</v>
      </c>
      <c r="C89" s="56" t="n">
        <v>414200</v>
      </c>
      <c r="D89" s="121" t="s">
        <v>42</v>
      </c>
      <c r="E89" s="33" t="n">
        <f aca="false">(C89/(A89*24))/G89</f>
        <v>0.61857825567503</v>
      </c>
      <c r="F89" s="58" t="n">
        <v>900</v>
      </c>
      <c r="G89" s="58" t="n">
        <f aca="false">F89-H89</f>
        <v>900</v>
      </c>
      <c r="H89" s="58" t="n">
        <v>0</v>
      </c>
      <c r="J89" s="55"/>
      <c r="L89" s="0"/>
    </row>
    <row r="90" customFormat="false" ht="19.85" hidden="false" customHeight="true" outlineLevel="0" collapsed="false">
      <c r="A90" s="1" t="n">
        <v>30</v>
      </c>
      <c r="B90" s="31" t="n">
        <v>39326</v>
      </c>
      <c r="C90" s="56" t="n">
        <v>296600</v>
      </c>
      <c r="D90" s="121" t="s">
        <v>42</v>
      </c>
      <c r="E90" s="33" t="n">
        <f aca="false">(C90/(A90*24))/G90</f>
        <v>0.457716049382716</v>
      </c>
      <c r="F90" s="58" t="n">
        <v>900</v>
      </c>
      <c r="G90" s="58" t="n">
        <f aca="false">F90-H90</f>
        <v>900</v>
      </c>
      <c r="H90" s="58" t="n">
        <v>0</v>
      </c>
      <c r="J90" s="55"/>
      <c r="L90" s="0"/>
    </row>
    <row r="91" customFormat="false" ht="19.85" hidden="false" customHeight="true" outlineLevel="0" collapsed="false">
      <c r="A91" s="1" t="n">
        <v>31</v>
      </c>
      <c r="B91" s="34" t="n">
        <v>39356</v>
      </c>
      <c r="C91" s="56" t="n">
        <v>302200</v>
      </c>
      <c r="D91" s="121" t="s">
        <v>42</v>
      </c>
      <c r="E91" s="33" t="n">
        <f aca="false">(C91/(A91*24))/G91</f>
        <v>0.45131421744325</v>
      </c>
      <c r="F91" s="58" t="n">
        <v>900</v>
      </c>
      <c r="G91" s="58" t="n">
        <f aca="false">F91-H91</f>
        <v>900</v>
      </c>
      <c r="H91" s="58" t="n">
        <v>0</v>
      </c>
      <c r="J91" s="55"/>
      <c r="L91" s="0"/>
    </row>
    <row r="92" customFormat="false" ht="19.85" hidden="false" customHeight="true" outlineLevel="0" collapsed="false">
      <c r="A92" s="1" t="n">
        <v>30</v>
      </c>
      <c r="B92" s="31" t="n">
        <v>39387</v>
      </c>
      <c r="C92" s="56" t="n">
        <v>201800</v>
      </c>
      <c r="D92" s="121" t="s">
        <v>42</v>
      </c>
      <c r="E92" s="33" t="n">
        <f aca="false">(C92/(A92*24))/G92</f>
        <v>0.31141975308642</v>
      </c>
      <c r="F92" s="58" t="n">
        <v>900</v>
      </c>
      <c r="G92" s="58" t="n">
        <f aca="false">F92-H92</f>
        <v>900</v>
      </c>
      <c r="H92" s="58" t="n">
        <v>0</v>
      </c>
      <c r="J92" s="55"/>
      <c r="L92" s="0"/>
    </row>
    <row r="93" customFormat="false" ht="19.85" hidden="false" customHeight="true" outlineLevel="0" collapsed="false">
      <c r="A93" s="1" t="n">
        <v>31</v>
      </c>
      <c r="B93" s="34" t="n">
        <v>39417</v>
      </c>
      <c r="C93" s="56" t="n">
        <v>477400</v>
      </c>
      <c r="D93" s="121" t="s">
        <v>42</v>
      </c>
      <c r="E93" s="33" t="n">
        <f aca="false">(C93/(A93*24))/G93</f>
        <v>0.712962962962963</v>
      </c>
      <c r="F93" s="58" t="n">
        <v>900</v>
      </c>
      <c r="G93" s="58" t="n">
        <f aca="false">F93-H93</f>
        <v>900</v>
      </c>
      <c r="H93" s="58" t="n">
        <v>0</v>
      </c>
      <c r="J93" s="55"/>
      <c r="L93" s="0"/>
    </row>
    <row r="94" customFormat="false" ht="19.85" hidden="false" customHeight="true" outlineLevel="0" collapsed="false">
      <c r="A94" s="1" t="n">
        <v>31</v>
      </c>
      <c r="B94" s="31" t="n">
        <v>39448</v>
      </c>
      <c r="C94" s="56" t="n">
        <v>558600</v>
      </c>
      <c r="D94" s="121" t="s">
        <v>42</v>
      </c>
      <c r="E94" s="33" t="n">
        <f aca="false">(C94/(A94*24))/G94</f>
        <v>0.834229390681004</v>
      </c>
      <c r="F94" s="58" t="n">
        <v>900</v>
      </c>
      <c r="G94" s="58" t="n">
        <f aca="false">F94-H94</f>
        <v>900</v>
      </c>
      <c r="H94" s="58" t="n">
        <v>0</v>
      </c>
      <c r="J94" s="55"/>
      <c r="L94" s="0"/>
    </row>
    <row r="95" customFormat="false" ht="19.85" hidden="false" customHeight="true" outlineLevel="0" collapsed="false">
      <c r="A95" s="1" t="n">
        <v>28</v>
      </c>
      <c r="B95" s="34" t="n">
        <v>39479</v>
      </c>
      <c r="C95" s="56" t="n">
        <v>518200</v>
      </c>
      <c r="D95" s="121" t="s">
        <v>42</v>
      </c>
      <c r="E95" s="33" t="n">
        <f aca="false">(C95/(A95*24))/G95</f>
        <v>0.856812169312169</v>
      </c>
      <c r="F95" s="58" t="n">
        <v>900</v>
      </c>
      <c r="G95" s="58" t="n">
        <f aca="false">F95-H95</f>
        <v>900</v>
      </c>
      <c r="H95" s="58" t="n">
        <v>0</v>
      </c>
      <c r="J95" s="55"/>
      <c r="L95" s="0"/>
    </row>
    <row r="96" customFormat="false" ht="19.85" hidden="false" customHeight="true" outlineLevel="0" collapsed="false">
      <c r="A96" s="1" t="n">
        <v>31</v>
      </c>
      <c r="B96" s="31" t="n">
        <v>39508</v>
      </c>
      <c r="C96" s="56" t="n">
        <v>578600</v>
      </c>
      <c r="D96" s="121" t="s">
        <v>42</v>
      </c>
      <c r="E96" s="33" t="n">
        <f aca="false">(C96/(A96*24))/G96</f>
        <v>0.864097968936679</v>
      </c>
      <c r="F96" s="58" t="n">
        <v>900</v>
      </c>
      <c r="G96" s="58" t="n">
        <f aca="false">F96-H96</f>
        <v>900</v>
      </c>
      <c r="H96" s="58" t="n">
        <v>0</v>
      </c>
      <c r="J96" s="55"/>
      <c r="L96" s="0"/>
    </row>
    <row r="97" customFormat="false" ht="19.85" hidden="false" customHeight="true" outlineLevel="0" collapsed="false">
      <c r="A97" s="1" t="n">
        <v>30</v>
      </c>
      <c r="B97" s="34" t="n">
        <v>39539</v>
      </c>
      <c r="C97" s="56" t="n">
        <v>489600</v>
      </c>
      <c r="D97" s="121" t="s">
        <v>42</v>
      </c>
      <c r="E97" s="33" t="n">
        <f aca="false">(C97/(A97*24))/G97</f>
        <v>0.755555555555556</v>
      </c>
      <c r="F97" s="58" t="n">
        <v>900</v>
      </c>
      <c r="G97" s="58" t="n">
        <f aca="false">F97-H97</f>
        <v>900</v>
      </c>
      <c r="H97" s="58" t="n">
        <v>0</v>
      </c>
      <c r="J97" s="55"/>
      <c r="L97" s="0"/>
    </row>
    <row r="98" customFormat="false" ht="19.85" hidden="false" customHeight="true" outlineLevel="0" collapsed="false">
      <c r="A98" s="1" t="n">
        <v>31</v>
      </c>
      <c r="B98" s="31" t="n">
        <v>39569</v>
      </c>
      <c r="C98" s="56" t="n">
        <v>562400</v>
      </c>
      <c r="D98" s="121" t="s">
        <v>42</v>
      </c>
      <c r="E98" s="33" t="n">
        <f aca="false">(C98/(A98*24))/G98</f>
        <v>0.839904420549582</v>
      </c>
      <c r="F98" s="58" t="n">
        <v>900</v>
      </c>
      <c r="G98" s="58" t="n">
        <f aca="false">F98-H98</f>
        <v>900</v>
      </c>
      <c r="H98" s="58" t="n">
        <v>0</v>
      </c>
      <c r="J98" s="55"/>
      <c r="L98" s="0"/>
    </row>
    <row r="99" customFormat="false" ht="19.85" hidden="false" customHeight="true" outlineLevel="0" collapsed="false">
      <c r="A99" s="1" t="n">
        <v>30</v>
      </c>
      <c r="B99" s="34" t="n">
        <v>39600</v>
      </c>
      <c r="C99" s="56" t="n">
        <v>538200</v>
      </c>
      <c r="D99" s="121" t="s">
        <v>42</v>
      </c>
      <c r="E99" s="33" t="n">
        <f aca="false">(C99/(A99*24))/G99</f>
        <v>0.830555555555556</v>
      </c>
      <c r="F99" s="58" t="n">
        <v>900</v>
      </c>
      <c r="G99" s="58" t="n">
        <f aca="false">F99-H99</f>
        <v>900</v>
      </c>
      <c r="H99" s="58" t="n">
        <v>0</v>
      </c>
      <c r="J99" s="55"/>
      <c r="L99" s="0"/>
    </row>
    <row r="100" customFormat="false" ht="19.85" hidden="false" customHeight="true" outlineLevel="0" collapsed="false">
      <c r="A100" s="1" t="n">
        <v>31</v>
      </c>
      <c r="B100" s="31" t="n">
        <v>39630</v>
      </c>
      <c r="C100" s="56" t="n">
        <v>431200</v>
      </c>
      <c r="D100" s="121" t="s">
        <v>42</v>
      </c>
      <c r="E100" s="33" t="n">
        <f aca="false">(C100/(A100*24))/G100</f>
        <v>0.643966547192354</v>
      </c>
      <c r="F100" s="58" t="n">
        <v>900</v>
      </c>
      <c r="G100" s="58" t="n">
        <f aca="false">F100-H100</f>
        <v>900</v>
      </c>
      <c r="H100" s="58" t="n">
        <v>0</v>
      </c>
      <c r="J100" s="55"/>
      <c r="L100" s="0"/>
    </row>
    <row r="101" customFormat="false" ht="19.85" hidden="false" customHeight="true" outlineLevel="0" collapsed="false">
      <c r="A101" s="1" t="n">
        <v>31</v>
      </c>
      <c r="B101" s="34" t="n">
        <v>39661</v>
      </c>
      <c r="C101" s="56" t="n">
        <v>260800</v>
      </c>
      <c r="D101" s="121" t="s">
        <v>42</v>
      </c>
      <c r="E101" s="33" t="n">
        <f aca="false">(C101/(A101*24))/G101</f>
        <v>0.389486260454002</v>
      </c>
      <c r="F101" s="58" t="n">
        <v>900</v>
      </c>
      <c r="G101" s="58" t="n">
        <f aca="false">F101-H101</f>
        <v>900</v>
      </c>
      <c r="H101" s="58" t="n">
        <v>0</v>
      </c>
      <c r="J101" s="55"/>
      <c r="L101" s="0"/>
    </row>
    <row r="102" customFormat="false" ht="19.85" hidden="false" customHeight="true" outlineLevel="0" collapsed="false">
      <c r="A102" s="1" t="n">
        <v>30</v>
      </c>
      <c r="B102" s="31" t="n">
        <v>39692</v>
      </c>
      <c r="C102" s="56" t="n">
        <v>587400</v>
      </c>
      <c r="D102" s="121" t="s">
        <v>42</v>
      </c>
      <c r="E102" s="33" t="n">
        <f aca="false">(C102/(A102*24))/G102</f>
        <v>0.906481481481482</v>
      </c>
      <c r="F102" s="58" t="n">
        <v>900</v>
      </c>
      <c r="G102" s="58" t="n">
        <f aca="false">F102-H102</f>
        <v>900</v>
      </c>
      <c r="H102" s="58" t="n">
        <v>0</v>
      </c>
      <c r="J102" s="55"/>
      <c r="L102" s="0"/>
    </row>
    <row r="103" customFormat="false" ht="19.85" hidden="false" customHeight="true" outlineLevel="0" collapsed="false">
      <c r="A103" s="1" t="n">
        <v>31</v>
      </c>
      <c r="B103" s="34" t="n">
        <v>39722</v>
      </c>
      <c r="C103" s="56" t="n">
        <v>271200</v>
      </c>
      <c r="D103" s="121" t="s">
        <v>42</v>
      </c>
      <c r="E103" s="33" t="n">
        <f aca="false">(C103/(A103*24))/G103</f>
        <v>0.405017921146953</v>
      </c>
      <c r="F103" s="58" t="n">
        <v>900</v>
      </c>
      <c r="G103" s="58" t="n">
        <f aca="false">F103-H103</f>
        <v>900</v>
      </c>
      <c r="H103" s="58" t="n">
        <v>0</v>
      </c>
      <c r="J103" s="55"/>
      <c r="L103" s="0"/>
    </row>
    <row r="104" customFormat="false" ht="19.85" hidden="false" customHeight="true" outlineLevel="0" collapsed="false">
      <c r="A104" s="1" t="n">
        <v>30</v>
      </c>
      <c r="B104" s="31" t="n">
        <v>39753</v>
      </c>
      <c r="C104" s="56" t="n">
        <v>587400</v>
      </c>
      <c r="D104" s="121" t="s">
        <v>42</v>
      </c>
      <c r="E104" s="33" t="n">
        <f aca="false">(C104/(A104*24))/G104</f>
        <v>0.906481481481482</v>
      </c>
      <c r="F104" s="58" t="n">
        <v>900</v>
      </c>
      <c r="G104" s="58" t="n">
        <f aca="false">F104-H104</f>
        <v>900</v>
      </c>
      <c r="H104" s="58" t="n">
        <v>0</v>
      </c>
      <c r="J104" s="55"/>
      <c r="L104" s="0"/>
    </row>
    <row r="105" customFormat="false" ht="19.85" hidden="false" customHeight="true" outlineLevel="0" collapsed="false">
      <c r="A105" s="1" t="n">
        <v>31</v>
      </c>
      <c r="B105" s="34" t="n">
        <v>39783</v>
      </c>
      <c r="C105" s="56" t="n">
        <v>520000</v>
      </c>
      <c r="D105" s="121" t="s">
        <v>42</v>
      </c>
      <c r="E105" s="33" t="n">
        <f aca="false">(C105/(A105*24))/G105</f>
        <v>0.776583034647551</v>
      </c>
      <c r="F105" s="58" t="n">
        <v>900</v>
      </c>
      <c r="G105" s="58" t="n">
        <f aca="false">F105-H105</f>
        <v>900</v>
      </c>
      <c r="H105" s="58" t="n">
        <v>0</v>
      </c>
      <c r="J105" s="55"/>
      <c r="L105" s="0"/>
    </row>
    <row r="106" customFormat="false" ht="19.85" hidden="false" customHeight="true" outlineLevel="0" collapsed="false">
      <c r="A106" s="1" t="n">
        <v>31</v>
      </c>
      <c r="B106" s="31" t="n">
        <v>39814</v>
      </c>
      <c r="C106" s="56" t="n">
        <v>528800</v>
      </c>
      <c r="D106" s="121" t="s">
        <v>42</v>
      </c>
      <c r="E106" s="33" t="n">
        <f aca="false">(C106/(A106*24))/G106</f>
        <v>0.789725209080048</v>
      </c>
      <c r="F106" s="58" t="n">
        <v>900</v>
      </c>
      <c r="G106" s="58" t="n">
        <f aca="false">F106-H106</f>
        <v>900</v>
      </c>
      <c r="H106" s="58" t="n">
        <v>0</v>
      </c>
      <c r="J106" s="55"/>
      <c r="L106" s="0"/>
    </row>
    <row r="107" customFormat="false" ht="19.85" hidden="false" customHeight="true" outlineLevel="0" collapsed="false">
      <c r="A107" s="1" t="n">
        <v>28</v>
      </c>
      <c r="B107" s="34" t="n">
        <v>39845</v>
      </c>
      <c r="C107" s="56" t="n">
        <v>525800</v>
      </c>
      <c r="D107" s="121" t="s">
        <v>42</v>
      </c>
      <c r="E107" s="33" t="n">
        <f aca="false">(C107/(A107*24))/G107</f>
        <v>0.869378306878307</v>
      </c>
      <c r="F107" s="58" t="n">
        <v>900</v>
      </c>
      <c r="G107" s="58" t="n">
        <f aca="false">F107-H107</f>
        <v>900</v>
      </c>
      <c r="H107" s="58" t="n">
        <v>0</v>
      </c>
      <c r="J107" s="55"/>
      <c r="L107" s="0"/>
    </row>
    <row r="108" customFormat="false" ht="19.85" hidden="false" customHeight="true" outlineLevel="0" collapsed="false">
      <c r="A108" s="1" t="n">
        <v>31</v>
      </c>
      <c r="B108" s="31" t="n">
        <v>39873</v>
      </c>
      <c r="C108" s="56" t="n">
        <v>598000</v>
      </c>
      <c r="D108" s="121" t="s">
        <v>42</v>
      </c>
      <c r="E108" s="33" t="n">
        <f aca="false">(C108/(A108*24))/G108</f>
        <v>0.893070489844683</v>
      </c>
      <c r="F108" s="58" t="n">
        <v>900</v>
      </c>
      <c r="G108" s="58" t="n">
        <f aca="false">F108-H108</f>
        <v>900</v>
      </c>
      <c r="H108" s="58" t="n">
        <v>0</v>
      </c>
      <c r="J108" s="55"/>
      <c r="L108" s="0"/>
    </row>
    <row r="109" customFormat="false" ht="19.85" hidden="false" customHeight="true" outlineLevel="0" collapsed="false">
      <c r="A109" s="1" t="n">
        <v>30</v>
      </c>
      <c r="B109" s="34" t="n">
        <v>39904</v>
      </c>
      <c r="C109" s="56" t="n">
        <v>554400</v>
      </c>
      <c r="D109" s="121" t="s">
        <v>42</v>
      </c>
      <c r="E109" s="33" t="n">
        <f aca="false">(C109/(A109*24))/G109</f>
        <v>0.855555555555556</v>
      </c>
      <c r="F109" s="58" t="n">
        <v>900</v>
      </c>
      <c r="G109" s="58" t="n">
        <f aca="false">F109-H109</f>
        <v>900</v>
      </c>
      <c r="H109" s="58" t="n">
        <v>0</v>
      </c>
      <c r="J109" s="55"/>
      <c r="L109" s="0"/>
    </row>
    <row r="110" customFormat="false" ht="19.85" hidden="false" customHeight="true" outlineLevel="0" collapsed="false">
      <c r="A110" s="1" t="n">
        <v>31</v>
      </c>
      <c r="B110" s="31" t="n">
        <v>39934</v>
      </c>
      <c r="C110" s="56" t="n">
        <v>579800</v>
      </c>
      <c r="D110" s="121" t="s">
        <v>42</v>
      </c>
      <c r="E110" s="33" t="n">
        <f aca="false">(C110/(A110*24))/G110</f>
        <v>0.865890083632019</v>
      </c>
      <c r="F110" s="58" t="n">
        <v>900</v>
      </c>
      <c r="G110" s="58" t="n">
        <f aca="false">F110-H110</f>
        <v>900</v>
      </c>
      <c r="H110" s="58" t="n">
        <v>0</v>
      </c>
      <c r="J110" s="55"/>
    </row>
    <row r="111" customFormat="false" ht="19.85" hidden="false" customHeight="true" outlineLevel="0" collapsed="false">
      <c r="A111" s="1" t="n">
        <v>30</v>
      </c>
      <c r="B111" s="34" t="n">
        <v>39965</v>
      </c>
      <c r="C111" s="56" t="n">
        <v>439200</v>
      </c>
      <c r="D111" s="121" t="s">
        <v>42</v>
      </c>
      <c r="E111" s="33" t="n">
        <f aca="false">(C111/(A111*24))/G111</f>
        <v>0.677777777777778</v>
      </c>
      <c r="F111" s="58" t="n">
        <v>900</v>
      </c>
      <c r="G111" s="58" t="n">
        <f aca="false">F111-H111</f>
        <v>900</v>
      </c>
      <c r="H111" s="58" t="n">
        <v>0</v>
      </c>
      <c r="J111" s="55"/>
    </row>
    <row r="112" customFormat="false" ht="19.85" hidden="false" customHeight="true" outlineLevel="0" collapsed="false">
      <c r="A112" s="1" t="n">
        <v>31</v>
      </c>
      <c r="B112" s="31" t="n">
        <v>39995</v>
      </c>
      <c r="C112" s="56" t="n">
        <v>258200</v>
      </c>
      <c r="D112" s="121" t="s">
        <v>42</v>
      </c>
      <c r="E112" s="33" t="n">
        <f aca="false">(C112/(A112*24))/G112</f>
        <v>0.385603345280765</v>
      </c>
      <c r="F112" s="58" t="n">
        <v>900</v>
      </c>
      <c r="G112" s="58" t="n">
        <f aca="false">F112-H112</f>
        <v>900</v>
      </c>
      <c r="H112" s="58" t="n">
        <v>0</v>
      </c>
      <c r="J112" s="55"/>
    </row>
    <row r="113" customFormat="false" ht="19.85" hidden="false" customHeight="true" outlineLevel="0" collapsed="false">
      <c r="A113" s="1" t="n">
        <v>31</v>
      </c>
      <c r="B113" s="34" t="n">
        <v>40026</v>
      </c>
      <c r="C113" s="56" t="n">
        <v>164000</v>
      </c>
      <c r="D113" s="121" t="s">
        <v>42</v>
      </c>
      <c r="E113" s="33" t="n">
        <f aca="false">(C113/(A113*24))/G113</f>
        <v>0.244922341696535</v>
      </c>
      <c r="F113" s="58" t="n">
        <v>900</v>
      </c>
      <c r="G113" s="58" t="n">
        <f aca="false">F113-H113</f>
        <v>900</v>
      </c>
      <c r="H113" s="58" t="n">
        <v>0</v>
      </c>
      <c r="J113" s="55"/>
    </row>
    <row r="114" customFormat="false" ht="19.85" hidden="false" customHeight="true" outlineLevel="0" collapsed="false">
      <c r="A114" s="1" t="n">
        <v>30</v>
      </c>
      <c r="B114" s="31" t="n">
        <v>40057</v>
      </c>
      <c r="C114" s="56" t="n">
        <v>126400</v>
      </c>
      <c r="D114" s="121" t="s">
        <v>42</v>
      </c>
      <c r="E114" s="33" t="n">
        <f aca="false">(C114/(A114*24))/G114</f>
        <v>0.195061728395062</v>
      </c>
      <c r="F114" s="58" t="n">
        <v>900</v>
      </c>
      <c r="G114" s="58" t="n">
        <f aca="false">F114-H114</f>
        <v>900</v>
      </c>
      <c r="H114" s="58" t="n">
        <v>0</v>
      </c>
      <c r="J114" s="55"/>
    </row>
    <row r="115" customFormat="false" ht="19.85" hidden="false" customHeight="true" outlineLevel="0" collapsed="false">
      <c r="A115" s="1" t="n">
        <v>31</v>
      </c>
      <c r="B115" s="34" t="n">
        <v>40087</v>
      </c>
      <c r="C115" s="56" t="n">
        <v>228000</v>
      </c>
      <c r="D115" s="121" t="s">
        <v>42</v>
      </c>
      <c r="E115" s="33" t="n">
        <f aca="false">(C115/(A115*24))/G115</f>
        <v>0.340501792114695</v>
      </c>
      <c r="F115" s="58" t="n">
        <v>900</v>
      </c>
      <c r="G115" s="58" t="n">
        <f aca="false">F115-H115</f>
        <v>900</v>
      </c>
      <c r="H115" s="58" t="n">
        <v>0</v>
      </c>
      <c r="J115" s="55"/>
    </row>
    <row r="116" customFormat="false" ht="19.85" hidden="false" customHeight="true" outlineLevel="0" collapsed="false">
      <c r="A116" s="1" t="n">
        <v>30</v>
      </c>
      <c r="B116" s="31" t="n">
        <v>40118</v>
      </c>
      <c r="C116" s="56" t="n">
        <v>462600</v>
      </c>
      <c r="D116" s="121" t="s">
        <v>42</v>
      </c>
      <c r="E116" s="33" t="n">
        <f aca="false">(C116/(A116*24))/G116</f>
        <v>0.713888888888889</v>
      </c>
      <c r="F116" s="58" t="n">
        <v>900</v>
      </c>
      <c r="G116" s="58" t="n">
        <f aca="false">F116-H116</f>
        <v>900</v>
      </c>
      <c r="H116" s="58" t="n">
        <v>0</v>
      </c>
      <c r="J116" s="55"/>
    </row>
    <row r="117" customFormat="false" ht="19.85" hidden="false" customHeight="true" outlineLevel="0" collapsed="false">
      <c r="A117" s="1" t="n">
        <v>31</v>
      </c>
      <c r="B117" s="34" t="n">
        <v>40148</v>
      </c>
      <c r="C117" s="56" t="n">
        <v>543200</v>
      </c>
      <c r="D117" s="121" t="s">
        <v>42</v>
      </c>
      <c r="E117" s="33" t="n">
        <f aca="false">(C117/(A117*24))/G117</f>
        <v>0.811230585424134</v>
      </c>
      <c r="F117" s="58" t="n">
        <v>900</v>
      </c>
      <c r="G117" s="58" t="n">
        <f aca="false">F117-H117</f>
        <v>900</v>
      </c>
      <c r="H117" s="58" t="n">
        <v>0</v>
      </c>
      <c r="J117" s="55"/>
    </row>
    <row r="118" customFormat="false" ht="19.85" hidden="false" customHeight="true" outlineLevel="0" collapsed="false">
      <c r="A118" s="1" t="n">
        <v>31</v>
      </c>
      <c r="B118" s="31" t="n">
        <v>40179</v>
      </c>
      <c r="C118" s="56" t="n">
        <v>593600</v>
      </c>
      <c r="D118" s="121" t="s">
        <v>42</v>
      </c>
      <c r="E118" s="33" t="n">
        <f aca="false">(C118/(A118*24))/G118</f>
        <v>0.886499402628435</v>
      </c>
      <c r="F118" s="58" t="n">
        <v>900</v>
      </c>
      <c r="G118" s="58" t="n">
        <f aca="false">F118-H118</f>
        <v>900</v>
      </c>
      <c r="H118" s="58" t="n">
        <v>0</v>
      </c>
      <c r="J118" s="55"/>
    </row>
    <row r="119" customFormat="false" ht="19.85" hidden="false" customHeight="true" outlineLevel="0" collapsed="false">
      <c r="A119" s="1" t="n">
        <v>28</v>
      </c>
      <c r="B119" s="34" t="n">
        <v>40210</v>
      </c>
      <c r="C119" s="56" t="n">
        <v>536000</v>
      </c>
      <c r="D119" s="121" t="s">
        <v>42</v>
      </c>
      <c r="E119" s="33" t="n">
        <f aca="false">(C119/(A119*24))/G119</f>
        <v>0.886243386243386</v>
      </c>
      <c r="F119" s="58" t="n">
        <v>900</v>
      </c>
      <c r="G119" s="58" t="n">
        <f aca="false">F119-H119</f>
        <v>900</v>
      </c>
      <c r="H119" s="58" t="n">
        <v>0</v>
      </c>
      <c r="J119" s="55"/>
    </row>
    <row r="120" customFormat="false" ht="19.85" hidden="false" customHeight="true" outlineLevel="0" collapsed="false">
      <c r="A120" s="1" t="n">
        <v>31</v>
      </c>
      <c r="B120" s="31" t="n">
        <v>40238</v>
      </c>
      <c r="C120" s="56" t="n">
        <v>638800</v>
      </c>
      <c r="D120" s="121" t="s">
        <v>42</v>
      </c>
      <c r="E120" s="33" t="n">
        <f aca="false">(C120/(A120*24))/G120</f>
        <v>0.954002389486261</v>
      </c>
      <c r="F120" s="58" t="n">
        <v>900</v>
      </c>
      <c r="G120" s="58" t="n">
        <f aca="false">F120-H120</f>
        <v>900</v>
      </c>
      <c r="H120" s="58" t="n">
        <v>0</v>
      </c>
      <c r="J120" s="55"/>
    </row>
    <row r="121" customFormat="false" ht="19.85" hidden="false" customHeight="true" outlineLevel="0" collapsed="false">
      <c r="A121" s="1" t="n">
        <v>30</v>
      </c>
      <c r="B121" s="34" t="n">
        <v>40269</v>
      </c>
      <c r="C121" s="56" t="n">
        <v>565200</v>
      </c>
      <c r="D121" s="121" t="s">
        <v>42</v>
      </c>
      <c r="E121" s="33" t="n">
        <f aca="false">(C121/(A121*24))/G121</f>
        <v>0.872222222222222</v>
      </c>
      <c r="F121" s="58" t="n">
        <v>900</v>
      </c>
      <c r="G121" s="58" t="n">
        <f aca="false">F121-H121</f>
        <v>900</v>
      </c>
      <c r="H121" s="58" t="n">
        <v>0</v>
      </c>
      <c r="J121" s="55"/>
    </row>
    <row r="122" customFormat="false" ht="19.85" hidden="false" customHeight="true" outlineLevel="0" collapsed="false">
      <c r="A122" s="1" t="n">
        <v>31</v>
      </c>
      <c r="B122" s="31" t="n">
        <v>40299</v>
      </c>
      <c r="C122" s="56" t="n">
        <v>584400</v>
      </c>
      <c r="D122" s="121" t="s">
        <v>42</v>
      </c>
      <c r="E122" s="33" t="n">
        <f aca="false">(C122/(A122*24))/G122</f>
        <v>0.872759856630824</v>
      </c>
      <c r="F122" s="58" t="n">
        <v>900</v>
      </c>
      <c r="G122" s="58" t="n">
        <f aca="false">F122-H122</f>
        <v>900</v>
      </c>
      <c r="H122" s="58" t="n">
        <v>0</v>
      </c>
      <c r="J122" s="55"/>
    </row>
    <row r="123" customFormat="false" ht="19.85" hidden="false" customHeight="true" outlineLevel="0" collapsed="false">
      <c r="A123" s="1" t="n">
        <v>30</v>
      </c>
      <c r="B123" s="34" t="n">
        <v>40330</v>
      </c>
      <c r="C123" s="56" t="n">
        <v>466200</v>
      </c>
      <c r="D123" s="121" t="s">
        <v>42</v>
      </c>
      <c r="E123" s="33" t="n">
        <f aca="false">(C123/(A123*24))/G123</f>
        <v>0.719444444444444</v>
      </c>
      <c r="F123" s="58" t="n">
        <v>900</v>
      </c>
      <c r="G123" s="58" t="n">
        <f aca="false">F123-H123</f>
        <v>900</v>
      </c>
      <c r="H123" s="58" t="n">
        <v>0</v>
      </c>
      <c r="J123" s="55"/>
    </row>
    <row r="124" customFormat="false" ht="19.85" hidden="false" customHeight="true" outlineLevel="0" collapsed="false">
      <c r="A124" s="1" t="n">
        <v>31</v>
      </c>
      <c r="B124" s="31" t="n">
        <v>40360</v>
      </c>
      <c r="C124" s="56" t="n">
        <v>265800</v>
      </c>
      <c r="D124" s="121" t="s">
        <v>42</v>
      </c>
      <c r="E124" s="33" t="n">
        <f aca="false">(C124/(A124*24))/G124</f>
        <v>0.396953405017921</v>
      </c>
      <c r="F124" s="58" t="n">
        <v>900</v>
      </c>
      <c r="G124" s="58" t="n">
        <f aca="false">F124-H124</f>
        <v>900</v>
      </c>
      <c r="H124" s="58" t="n">
        <v>0</v>
      </c>
      <c r="J124" s="55"/>
    </row>
    <row r="125" customFormat="false" ht="19.85" hidden="false" customHeight="true" outlineLevel="0" collapsed="false">
      <c r="A125" s="1" t="n">
        <v>31</v>
      </c>
      <c r="B125" s="34" t="n">
        <v>40391</v>
      </c>
      <c r="C125" s="56" t="n">
        <v>128400</v>
      </c>
      <c r="D125" s="121" t="s">
        <v>42</v>
      </c>
      <c r="E125" s="33" t="n">
        <f aca="false">(C125/(A125*24))/G125</f>
        <v>0.191756272401434</v>
      </c>
      <c r="F125" s="58" t="n">
        <v>900</v>
      </c>
      <c r="G125" s="58" t="n">
        <f aca="false">F125-H125</f>
        <v>900</v>
      </c>
      <c r="H125" s="58" t="n">
        <v>0</v>
      </c>
      <c r="J125" s="55"/>
    </row>
    <row r="126" customFormat="false" ht="19.85" hidden="false" customHeight="true" outlineLevel="0" collapsed="false">
      <c r="A126" s="1" t="n">
        <v>30</v>
      </c>
      <c r="B126" s="31" t="n">
        <v>40422</v>
      </c>
      <c r="C126" s="56" t="n">
        <v>199400</v>
      </c>
      <c r="D126" s="121" t="s">
        <v>42</v>
      </c>
      <c r="E126" s="33" t="n">
        <f aca="false">(C126/(A126*24))/G126</f>
        <v>0.307716049382716</v>
      </c>
      <c r="F126" s="58" t="n">
        <v>900</v>
      </c>
      <c r="G126" s="58" t="n">
        <f aca="false">F126-H126</f>
        <v>900</v>
      </c>
      <c r="H126" s="58" t="n">
        <v>0</v>
      </c>
      <c r="J126" s="55"/>
    </row>
    <row r="127" customFormat="false" ht="19.85" hidden="false" customHeight="true" outlineLevel="0" collapsed="false">
      <c r="A127" s="1" t="n">
        <v>31</v>
      </c>
      <c r="B127" s="34" t="n">
        <v>40452</v>
      </c>
      <c r="C127" s="56" t="n">
        <v>442400</v>
      </c>
      <c r="D127" s="121" t="s">
        <v>42</v>
      </c>
      <c r="E127" s="33" t="n">
        <f aca="false">(C127/(A127*24))/G127</f>
        <v>0.660692951015532</v>
      </c>
      <c r="F127" s="58" t="n">
        <v>900</v>
      </c>
      <c r="G127" s="58" t="n">
        <f aca="false">F127-H127</f>
        <v>900</v>
      </c>
      <c r="H127" s="58" t="n">
        <v>0</v>
      </c>
      <c r="J127" s="55"/>
    </row>
    <row r="128" customFormat="false" ht="19.85" hidden="false" customHeight="true" outlineLevel="0" collapsed="false">
      <c r="A128" s="1" t="n">
        <v>30</v>
      </c>
      <c r="B128" s="31" t="n">
        <v>40483</v>
      </c>
      <c r="C128" s="56" t="n">
        <v>545000</v>
      </c>
      <c r="D128" s="121" t="s">
        <v>42</v>
      </c>
      <c r="E128" s="33" t="n">
        <f aca="false">(C128/(A128*24))/G128</f>
        <v>0.841049382716049</v>
      </c>
      <c r="F128" s="58" t="n">
        <v>900</v>
      </c>
      <c r="G128" s="58" t="n">
        <f aca="false">F128-H128</f>
        <v>900</v>
      </c>
      <c r="H128" s="58" t="n">
        <v>0</v>
      </c>
      <c r="J128" s="55"/>
    </row>
    <row r="129" customFormat="false" ht="19.85" hidden="false" customHeight="true" outlineLevel="0" collapsed="false">
      <c r="A129" s="1" t="n">
        <v>31</v>
      </c>
      <c r="B129" s="34" t="n">
        <v>40513</v>
      </c>
      <c r="C129" s="56" t="n">
        <v>509600</v>
      </c>
      <c r="D129" s="121" t="s">
        <v>42</v>
      </c>
      <c r="E129" s="33" t="n">
        <f aca="false">(C129/(A129*24))/G129</f>
        <v>0.7610513739546</v>
      </c>
      <c r="F129" s="58" t="n">
        <v>900</v>
      </c>
      <c r="G129" s="58" t="n">
        <f aca="false">F129-H129</f>
        <v>900</v>
      </c>
      <c r="H129" s="58" t="n">
        <v>0</v>
      </c>
      <c r="J129" s="55"/>
    </row>
    <row r="130" customFormat="false" ht="19.85" hidden="false" customHeight="true" outlineLevel="0" collapsed="false">
      <c r="A130" s="1" t="n">
        <v>31</v>
      </c>
      <c r="B130" s="31" t="n">
        <v>40544</v>
      </c>
      <c r="C130" s="56" t="n">
        <v>594200</v>
      </c>
      <c r="D130" s="121" t="s">
        <v>42</v>
      </c>
      <c r="E130" s="33" t="n">
        <f aca="false">(C130/(A130*24))/G130</f>
        <v>0.887395459976105</v>
      </c>
      <c r="F130" s="58" t="n">
        <v>900</v>
      </c>
      <c r="G130" s="58" t="n">
        <f aca="false">F130-H130</f>
        <v>900</v>
      </c>
      <c r="H130" s="58" t="n">
        <v>0</v>
      </c>
      <c r="J130" s="55"/>
    </row>
    <row r="131" customFormat="false" ht="19.85" hidden="false" customHeight="true" outlineLevel="0" collapsed="false">
      <c r="A131" s="1" t="n">
        <v>28</v>
      </c>
      <c r="B131" s="34" t="n">
        <v>40575</v>
      </c>
      <c r="C131" s="56" t="n">
        <v>540400</v>
      </c>
      <c r="D131" s="121" t="s">
        <v>42</v>
      </c>
      <c r="E131" s="33" t="n">
        <f aca="false">(C131/(A131*24))/G131</f>
        <v>0.893518518518519</v>
      </c>
      <c r="F131" s="58" t="n">
        <v>900</v>
      </c>
      <c r="G131" s="58" t="n">
        <f aca="false">F131-H131</f>
        <v>900</v>
      </c>
      <c r="H131" s="58" t="n">
        <v>0</v>
      </c>
      <c r="J131" s="55"/>
    </row>
    <row r="132" customFormat="false" ht="19.85" hidden="false" customHeight="true" outlineLevel="0" collapsed="false">
      <c r="A132" s="1" t="n">
        <v>31</v>
      </c>
      <c r="B132" s="31" t="n">
        <v>40603</v>
      </c>
      <c r="C132" s="56" t="n">
        <v>597600</v>
      </c>
      <c r="D132" s="121" t="s">
        <v>42</v>
      </c>
      <c r="E132" s="33" t="n">
        <f aca="false">(C132/(A132*24))/G132</f>
        <v>0.89247311827957</v>
      </c>
      <c r="F132" s="58" t="n">
        <v>900</v>
      </c>
      <c r="G132" s="58" t="n">
        <f aca="false">F132-H132</f>
        <v>900</v>
      </c>
      <c r="H132" s="58" t="n">
        <v>0</v>
      </c>
      <c r="J132" s="55"/>
    </row>
    <row r="133" customFormat="false" ht="19.85" hidden="false" customHeight="true" outlineLevel="0" collapsed="false">
      <c r="A133" s="1" t="n">
        <v>30</v>
      </c>
      <c r="B133" s="34" t="n">
        <v>40634</v>
      </c>
      <c r="C133" s="56" t="n">
        <v>437800</v>
      </c>
      <c r="D133" s="121" t="s">
        <v>42</v>
      </c>
      <c r="E133" s="33" t="n">
        <f aca="false">(C133/(A133*24))/G133</f>
        <v>0.675617283950617</v>
      </c>
      <c r="F133" s="58" t="n">
        <v>900</v>
      </c>
      <c r="G133" s="58" t="n">
        <f aca="false">F133-H133</f>
        <v>900</v>
      </c>
      <c r="H133" s="58" t="n">
        <v>0</v>
      </c>
      <c r="J133" s="55"/>
    </row>
    <row r="134" customFormat="false" ht="19.85" hidden="false" customHeight="true" outlineLevel="0" collapsed="false">
      <c r="A134" s="1" t="n">
        <v>31</v>
      </c>
      <c r="B134" s="31" t="n">
        <v>40664</v>
      </c>
      <c r="C134" s="56" t="n">
        <v>124000</v>
      </c>
      <c r="D134" s="121" t="s">
        <v>42</v>
      </c>
      <c r="E134" s="33" t="n">
        <f aca="false">(C134/(A134*24))/G134</f>
        <v>0.185185185185185</v>
      </c>
      <c r="F134" s="58" t="n">
        <v>900</v>
      </c>
      <c r="G134" s="58" t="n">
        <f aca="false">F134-H134</f>
        <v>900</v>
      </c>
      <c r="H134" s="58" t="n">
        <v>0</v>
      </c>
      <c r="J134" s="55"/>
    </row>
    <row r="135" customFormat="false" ht="19.85" hidden="false" customHeight="true" outlineLevel="0" collapsed="false">
      <c r="A135" s="1" t="n">
        <v>30</v>
      </c>
      <c r="B135" s="34" t="n">
        <v>40695</v>
      </c>
      <c r="C135" s="56" t="n">
        <v>86600</v>
      </c>
      <c r="D135" s="121" t="s">
        <v>42</v>
      </c>
      <c r="E135" s="33" t="n">
        <f aca="false">(C135/(A135*24))/G135</f>
        <v>0.133641975308642</v>
      </c>
      <c r="F135" s="58" t="n">
        <v>900</v>
      </c>
      <c r="G135" s="58" t="n">
        <f aca="false">F135-H135</f>
        <v>900</v>
      </c>
      <c r="H135" s="58" t="n">
        <v>0</v>
      </c>
      <c r="J135" s="55"/>
    </row>
    <row r="136" customFormat="false" ht="19.85" hidden="false" customHeight="true" outlineLevel="0" collapsed="false">
      <c r="A136" s="1" t="n">
        <v>31</v>
      </c>
      <c r="B136" s="31" t="n">
        <v>40725</v>
      </c>
      <c r="C136" s="56" t="n">
        <v>113800</v>
      </c>
      <c r="D136" s="121" t="s">
        <v>42</v>
      </c>
      <c r="E136" s="33" t="n">
        <f aca="false">(C136/(A136*24))/G136</f>
        <v>0.169952210274791</v>
      </c>
      <c r="F136" s="58" t="n">
        <v>900</v>
      </c>
      <c r="G136" s="58" t="n">
        <f aca="false">F136-H136</f>
        <v>900</v>
      </c>
      <c r="H136" s="58" t="n">
        <v>0</v>
      </c>
      <c r="J136" s="55"/>
    </row>
    <row r="137" customFormat="false" ht="19.85" hidden="false" customHeight="true" outlineLevel="0" collapsed="false">
      <c r="A137" s="1" t="n">
        <v>31</v>
      </c>
      <c r="B137" s="34" t="n">
        <v>40756</v>
      </c>
      <c r="C137" s="56" t="n">
        <v>55000</v>
      </c>
      <c r="D137" s="121" t="s">
        <v>42</v>
      </c>
      <c r="E137" s="33" t="n">
        <f aca="false">(C137/(A137*24))/G137</f>
        <v>0.0821385902031063</v>
      </c>
      <c r="F137" s="58" t="n">
        <v>900</v>
      </c>
      <c r="G137" s="58" t="n">
        <f aca="false">F137-H137</f>
        <v>900</v>
      </c>
      <c r="H137" s="58" t="n">
        <v>0</v>
      </c>
      <c r="J137" s="55"/>
    </row>
    <row r="138" customFormat="false" ht="19.85" hidden="false" customHeight="true" outlineLevel="0" collapsed="false">
      <c r="A138" s="1" t="n">
        <v>30</v>
      </c>
      <c r="B138" s="31" t="n">
        <v>40787</v>
      </c>
      <c r="C138" s="56" t="n">
        <v>71200</v>
      </c>
      <c r="D138" s="121" t="s">
        <v>42</v>
      </c>
      <c r="E138" s="33" t="n">
        <f aca="false">(C138/(A138*24))/G138</f>
        <v>0.109876543209877</v>
      </c>
      <c r="F138" s="58" t="n">
        <v>900</v>
      </c>
      <c r="G138" s="58" t="n">
        <f aca="false">F138-H138</f>
        <v>900</v>
      </c>
      <c r="H138" s="58" t="n">
        <v>0</v>
      </c>
      <c r="J138" s="55"/>
    </row>
    <row r="139" customFormat="false" ht="19.85" hidden="false" customHeight="true" outlineLevel="0" collapsed="false">
      <c r="A139" s="1" t="n">
        <v>31</v>
      </c>
      <c r="B139" s="34" t="n">
        <v>40817</v>
      </c>
      <c r="C139" s="56" t="n">
        <v>115400</v>
      </c>
      <c r="D139" s="121" t="s">
        <v>42</v>
      </c>
      <c r="E139" s="33" t="n">
        <f aca="false">(C139/(A139*24))/G139</f>
        <v>0.172341696535245</v>
      </c>
      <c r="F139" s="58" t="n">
        <v>900</v>
      </c>
      <c r="G139" s="58" t="n">
        <f aca="false">F139-H139</f>
        <v>900</v>
      </c>
      <c r="H139" s="58" t="n">
        <v>0</v>
      </c>
      <c r="J139" s="55"/>
    </row>
    <row r="140" customFormat="false" ht="19.85" hidden="false" customHeight="true" outlineLevel="0" collapsed="false">
      <c r="A140" s="1" t="n">
        <v>30</v>
      </c>
      <c r="B140" s="31" t="n">
        <v>40848</v>
      </c>
      <c r="C140" s="56" t="n">
        <v>275800</v>
      </c>
      <c r="D140" s="121" t="s">
        <v>42</v>
      </c>
      <c r="E140" s="33" t="n">
        <f aca="false">(C140/(A140*24))/G140</f>
        <v>0.425617283950617</v>
      </c>
      <c r="F140" s="58" t="n">
        <v>900</v>
      </c>
      <c r="G140" s="58" t="n">
        <f aca="false">F140-H140</f>
        <v>900</v>
      </c>
      <c r="H140" s="58" t="n">
        <v>0</v>
      </c>
      <c r="J140" s="55"/>
    </row>
    <row r="141" customFormat="false" ht="19.85" hidden="false" customHeight="true" outlineLevel="0" collapsed="false">
      <c r="A141" s="1" t="n">
        <v>31</v>
      </c>
      <c r="B141" s="34" t="n">
        <v>40878</v>
      </c>
      <c r="C141" s="56" t="n">
        <v>523000</v>
      </c>
      <c r="D141" s="121" t="s">
        <v>42</v>
      </c>
      <c r="E141" s="33" t="n">
        <f aca="false">(C141/(A141*24))/G141</f>
        <v>0.781063321385902</v>
      </c>
      <c r="F141" s="58" t="n">
        <v>900</v>
      </c>
      <c r="G141" s="58" t="n">
        <f aca="false">F141-H141</f>
        <v>900</v>
      </c>
      <c r="H141" s="58" t="n">
        <v>0</v>
      </c>
      <c r="J141" s="55"/>
    </row>
    <row r="142" customFormat="false" ht="19.85" hidden="false" customHeight="true" outlineLevel="0" collapsed="false">
      <c r="A142" s="1" t="n">
        <v>31</v>
      </c>
      <c r="B142" s="31" t="n">
        <v>40909</v>
      </c>
      <c r="C142" s="56" t="n">
        <v>567600</v>
      </c>
      <c r="D142" s="121" t="s">
        <v>42</v>
      </c>
      <c r="E142" s="33" t="n">
        <f aca="false">(C142/(A142*24))/G142</f>
        <v>0.847670250896057</v>
      </c>
      <c r="F142" s="58" t="n">
        <v>900</v>
      </c>
      <c r="G142" s="58" t="n">
        <f aca="false">F142-H142</f>
        <v>900</v>
      </c>
      <c r="H142" s="58" t="n">
        <v>0</v>
      </c>
      <c r="J142" s="55"/>
    </row>
    <row r="143" customFormat="false" ht="19.85" hidden="false" customHeight="true" outlineLevel="0" collapsed="false">
      <c r="A143" s="1" t="n">
        <v>28</v>
      </c>
      <c r="B143" s="34" t="n">
        <v>40940</v>
      </c>
      <c r="C143" s="56" t="n">
        <v>383200</v>
      </c>
      <c r="D143" s="121" t="s">
        <v>42</v>
      </c>
      <c r="E143" s="33" t="n">
        <f aca="false">(C143/(A143*24))/G143</f>
        <v>0.633597883597883</v>
      </c>
      <c r="F143" s="58" t="n">
        <v>900</v>
      </c>
      <c r="G143" s="58" t="n">
        <f aca="false">F143-H143</f>
        <v>900</v>
      </c>
      <c r="H143" s="58" t="n">
        <v>0</v>
      </c>
      <c r="J143" s="55"/>
    </row>
    <row r="144" customFormat="false" ht="19.85" hidden="false" customHeight="true" outlineLevel="0" collapsed="false">
      <c r="A144" s="1" t="n">
        <v>31</v>
      </c>
      <c r="B144" s="31" t="n">
        <v>40969</v>
      </c>
      <c r="C144" s="56" t="n">
        <v>317800</v>
      </c>
      <c r="D144" s="121" t="s">
        <v>42</v>
      </c>
      <c r="E144" s="33" t="n">
        <f aca="false">(C144/(A144*24))/G144</f>
        <v>0.474611708482676</v>
      </c>
      <c r="F144" s="58" t="n">
        <v>900</v>
      </c>
      <c r="G144" s="58" t="n">
        <f aca="false">F144-H144</f>
        <v>900</v>
      </c>
      <c r="H144" s="58" t="n">
        <v>0</v>
      </c>
      <c r="J144" s="55"/>
    </row>
    <row r="145" customFormat="false" ht="19.85" hidden="false" customHeight="true" outlineLevel="0" collapsed="false">
      <c r="A145" s="1" t="n">
        <v>30</v>
      </c>
      <c r="B145" s="34" t="n">
        <v>41000</v>
      </c>
      <c r="C145" s="56" t="n">
        <v>170200</v>
      </c>
      <c r="D145" s="121" t="s">
        <v>42</v>
      </c>
      <c r="E145" s="33" t="n">
        <f aca="false">(C145/(A145*24))/G145</f>
        <v>0.262654320987654</v>
      </c>
      <c r="F145" s="58" t="n">
        <v>900</v>
      </c>
      <c r="G145" s="58" t="n">
        <f aca="false">F145-H145</f>
        <v>900</v>
      </c>
      <c r="H145" s="58" t="n">
        <v>0</v>
      </c>
      <c r="J145" s="55"/>
    </row>
    <row r="146" customFormat="false" ht="19.85" hidden="false" customHeight="true" outlineLevel="0" collapsed="false">
      <c r="A146" s="1" t="n">
        <v>31</v>
      </c>
      <c r="B146" s="31" t="n">
        <v>41030</v>
      </c>
      <c r="C146" s="56" t="n">
        <v>350000</v>
      </c>
      <c r="D146" s="121" t="s">
        <v>42</v>
      </c>
      <c r="E146" s="33" t="n">
        <f aca="false">(C146/(A146*24))/G146</f>
        <v>0.522700119474313</v>
      </c>
      <c r="F146" s="58" t="n">
        <v>900</v>
      </c>
      <c r="G146" s="58" t="n">
        <f aca="false">F146-H146</f>
        <v>900</v>
      </c>
      <c r="H146" s="58" t="n">
        <v>0</v>
      </c>
      <c r="J146" s="55"/>
    </row>
    <row r="147" customFormat="false" ht="19.85" hidden="false" customHeight="true" outlineLevel="0" collapsed="false">
      <c r="A147" s="1" t="n">
        <v>30</v>
      </c>
      <c r="B147" s="34" t="n">
        <v>41061</v>
      </c>
      <c r="C147" s="56" t="n">
        <v>545400</v>
      </c>
      <c r="D147" s="121" t="s">
        <v>42</v>
      </c>
      <c r="E147" s="33" t="n">
        <f aca="false">(C147/(A147*24))/G147</f>
        <v>0.841666666666667</v>
      </c>
      <c r="F147" s="58" t="n">
        <v>900</v>
      </c>
      <c r="G147" s="58" t="n">
        <f aca="false">F147-H147</f>
        <v>900</v>
      </c>
      <c r="H147" s="58" t="n">
        <v>0</v>
      </c>
      <c r="J147" s="55"/>
    </row>
    <row r="148" customFormat="false" ht="19.85" hidden="false" customHeight="true" outlineLevel="0" collapsed="false">
      <c r="A148" s="1" t="n">
        <v>31</v>
      </c>
      <c r="B148" s="31" t="n">
        <v>41091</v>
      </c>
      <c r="C148" s="56" t="n">
        <v>366600</v>
      </c>
      <c r="D148" s="121" t="s">
        <v>42</v>
      </c>
      <c r="E148" s="33" t="n">
        <f aca="false">(C148/(A148*24))/G148</f>
        <v>0.547491039426523</v>
      </c>
      <c r="F148" s="58" t="n">
        <v>900</v>
      </c>
      <c r="G148" s="58" t="n">
        <f aca="false">F148-H148</f>
        <v>900</v>
      </c>
      <c r="H148" s="58" t="n">
        <v>0</v>
      </c>
      <c r="J148" s="55"/>
    </row>
    <row r="149" customFormat="false" ht="19.85" hidden="false" customHeight="true" outlineLevel="0" collapsed="false">
      <c r="A149" s="1" t="n">
        <v>31</v>
      </c>
      <c r="B149" s="34" t="n">
        <v>41122</v>
      </c>
      <c r="C149" s="56" t="n">
        <v>268819</v>
      </c>
      <c r="D149" s="121" t="s">
        <v>42</v>
      </c>
      <c r="E149" s="33" t="n">
        <f aca="false">(C149/(A149*24))/G149</f>
        <v>0.401462066905615</v>
      </c>
      <c r="F149" s="58" t="n">
        <v>900</v>
      </c>
      <c r="G149" s="58" t="n">
        <f aca="false">F149-H149</f>
        <v>900</v>
      </c>
      <c r="H149" s="58" t="n">
        <v>0</v>
      </c>
      <c r="J149" s="55"/>
    </row>
    <row r="150" customFormat="false" ht="19.85" hidden="false" customHeight="true" outlineLevel="0" collapsed="false">
      <c r="A150" s="1" t="n">
        <v>30</v>
      </c>
      <c r="B150" s="31" t="n">
        <v>41153</v>
      </c>
      <c r="C150" s="56" t="n">
        <v>285911</v>
      </c>
      <c r="D150" s="121" t="s">
        <v>42</v>
      </c>
      <c r="E150" s="33" t="n">
        <f aca="false">(C150/(A150*24))/G150</f>
        <v>0.441220679012346</v>
      </c>
      <c r="F150" s="58" t="n">
        <v>900</v>
      </c>
      <c r="G150" s="58" t="n">
        <f aca="false">F150-H150</f>
        <v>900</v>
      </c>
      <c r="H150" s="58" t="n">
        <v>0</v>
      </c>
      <c r="J150" s="55"/>
    </row>
    <row r="151" customFormat="false" ht="19.85" hidden="false" customHeight="true" outlineLevel="0" collapsed="false">
      <c r="A151" s="1" t="n">
        <v>31</v>
      </c>
      <c r="B151" s="34" t="n">
        <v>41183</v>
      </c>
      <c r="C151" s="56" t="n">
        <v>213959</v>
      </c>
      <c r="D151" s="121" t="s">
        <v>42</v>
      </c>
      <c r="E151" s="33" t="n">
        <f aca="false">(C151/(A151*24))/G151</f>
        <v>0.319532556750299</v>
      </c>
      <c r="F151" s="58" t="n">
        <v>900</v>
      </c>
      <c r="G151" s="58" t="n">
        <f aca="false">F151-H151</f>
        <v>900</v>
      </c>
      <c r="H151" s="58" t="n">
        <v>0</v>
      </c>
      <c r="J151" s="55"/>
    </row>
    <row r="152" customFormat="false" ht="19.85" hidden="false" customHeight="true" outlineLevel="0" collapsed="false">
      <c r="A152" s="1" t="n">
        <v>30</v>
      </c>
      <c r="B152" s="31" t="n">
        <v>41214</v>
      </c>
      <c r="C152" s="56" t="n">
        <v>323370</v>
      </c>
      <c r="D152" s="121" t="s">
        <v>42</v>
      </c>
      <c r="E152" s="33" t="n">
        <f aca="false">(C152/(A152*24))/G152</f>
        <v>0.499027777777778</v>
      </c>
      <c r="F152" s="58" t="n">
        <v>900</v>
      </c>
      <c r="G152" s="58" t="n">
        <f aca="false">F152-H152</f>
        <v>900</v>
      </c>
      <c r="H152" s="58" t="n">
        <v>0</v>
      </c>
      <c r="J152" s="55"/>
    </row>
    <row r="153" customFormat="false" ht="19.85" hidden="false" customHeight="true" outlineLevel="0" collapsed="false">
      <c r="A153" s="1" t="n">
        <v>31</v>
      </c>
      <c r="B153" s="34" t="n">
        <v>41244</v>
      </c>
      <c r="C153" s="56" t="n">
        <v>537009</v>
      </c>
      <c r="D153" s="121" t="s">
        <v>42</v>
      </c>
      <c r="E153" s="33" t="n">
        <f aca="false">(C153/(A153*24))/G153</f>
        <v>0.80198476702509</v>
      </c>
      <c r="F153" s="58" t="n">
        <v>900</v>
      </c>
      <c r="G153" s="58" t="n">
        <f aca="false">F153-H153</f>
        <v>900</v>
      </c>
      <c r="H153" s="58" t="n">
        <v>0</v>
      </c>
      <c r="J153" s="55"/>
    </row>
    <row r="154" customFormat="false" ht="19.85" hidden="false" customHeight="true" outlineLevel="0" collapsed="false">
      <c r="A154" s="1" t="n">
        <v>31</v>
      </c>
      <c r="B154" s="31" t="n">
        <v>41275</v>
      </c>
      <c r="C154" s="56" t="n">
        <v>550251</v>
      </c>
      <c r="D154" s="121" t="s">
        <v>42</v>
      </c>
      <c r="E154" s="33" t="n">
        <f aca="false">(C154/(A154*24))/G154</f>
        <v>0.821760752688172</v>
      </c>
      <c r="F154" s="58" t="n">
        <v>900</v>
      </c>
      <c r="G154" s="58" t="n">
        <f aca="false">F154-H154</f>
        <v>900</v>
      </c>
      <c r="H154" s="58" t="n">
        <v>0</v>
      </c>
      <c r="J154" s="55"/>
    </row>
    <row r="155" customFormat="false" ht="19.85" hidden="false" customHeight="true" outlineLevel="0" collapsed="false">
      <c r="A155" s="1" t="n">
        <v>28</v>
      </c>
      <c r="B155" s="34" t="n">
        <v>41306</v>
      </c>
      <c r="C155" s="56" t="n">
        <v>506748</v>
      </c>
      <c r="D155" s="121" t="s">
        <v>42</v>
      </c>
      <c r="E155" s="33" t="n">
        <f aca="false">(C155/(A155*24))/G155</f>
        <v>0.837876984126984</v>
      </c>
      <c r="F155" s="58" t="n">
        <v>900</v>
      </c>
      <c r="G155" s="58" t="n">
        <f aca="false">F155-H155</f>
        <v>900</v>
      </c>
      <c r="H155" s="58" t="n">
        <v>0</v>
      </c>
      <c r="J155" s="55"/>
    </row>
    <row r="156" customFormat="false" ht="19.85" hidden="false" customHeight="true" outlineLevel="0" collapsed="false">
      <c r="A156" s="1" t="n">
        <v>31</v>
      </c>
      <c r="B156" s="31" t="n">
        <v>41334</v>
      </c>
      <c r="C156" s="56" t="n">
        <v>593808</v>
      </c>
      <c r="D156" s="121" t="s">
        <v>42</v>
      </c>
      <c r="E156" s="33" t="n">
        <f aca="false">(C156/(A156*24))/G156</f>
        <v>0.886810035842294</v>
      </c>
      <c r="F156" s="58" t="n">
        <v>900</v>
      </c>
      <c r="G156" s="58" t="n">
        <f aca="false">F156-H156</f>
        <v>900</v>
      </c>
      <c r="H156" s="58" t="n">
        <v>0</v>
      </c>
      <c r="J156" s="55"/>
    </row>
    <row r="157" customFormat="false" ht="19.85" hidden="false" customHeight="true" outlineLevel="0" collapsed="false">
      <c r="A157" s="1" t="n">
        <v>30</v>
      </c>
      <c r="B157" s="34" t="n">
        <v>41365</v>
      </c>
      <c r="C157" s="56" t="n">
        <v>560729</v>
      </c>
      <c r="D157" s="121" t="s">
        <v>42</v>
      </c>
      <c r="E157" s="33" t="n">
        <f aca="false">(C157/(A157*24))/G157</f>
        <v>0.865322530864198</v>
      </c>
      <c r="F157" s="58" t="n">
        <v>900</v>
      </c>
      <c r="G157" s="58" t="n">
        <f aca="false">F157-H157</f>
        <v>900</v>
      </c>
      <c r="H157" s="58" t="n">
        <v>0</v>
      </c>
      <c r="J157" s="55"/>
    </row>
    <row r="158" customFormat="false" ht="19.85" hidden="false" customHeight="true" outlineLevel="0" collapsed="false">
      <c r="A158" s="1" t="n">
        <v>31</v>
      </c>
      <c r="B158" s="31" t="n">
        <v>41395</v>
      </c>
      <c r="C158" s="56" t="n">
        <v>572694</v>
      </c>
      <c r="D158" s="121" t="s">
        <v>42</v>
      </c>
      <c r="E158" s="33" t="n">
        <f aca="false">(C158/(A158*24))/G158</f>
        <v>0.855277777777778</v>
      </c>
      <c r="F158" s="58" t="n">
        <v>900</v>
      </c>
      <c r="G158" s="58" t="n">
        <f aca="false">F158-H158</f>
        <v>900</v>
      </c>
      <c r="H158" s="58" t="n">
        <v>0</v>
      </c>
      <c r="J158" s="55"/>
    </row>
    <row r="159" customFormat="false" ht="19.85" hidden="false" customHeight="true" outlineLevel="0" collapsed="false">
      <c r="A159" s="1" t="n">
        <v>30</v>
      </c>
      <c r="B159" s="34" t="n">
        <v>41426</v>
      </c>
      <c r="C159" s="56" t="n">
        <v>459548</v>
      </c>
      <c r="D159" s="121" t="s">
        <v>42</v>
      </c>
      <c r="E159" s="33" t="n">
        <f aca="false">(C159/(A159*24))/G159</f>
        <v>0.709179012345679</v>
      </c>
      <c r="F159" s="58" t="n">
        <v>900</v>
      </c>
      <c r="G159" s="58" t="n">
        <f aca="false">F159-H159</f>
        <v>900</v>
      </c>
      <c r="H159" s="58" t="n">
        <v>0</v>
      </c>
      <c r="J159" s="55"/>
    </row>
    <row r="160" customFormat="false" ht="19.85" hidden="false" customHeight="true" outlineLevel="0" collapsed="false">
      <c r="A160" s="1" t="n">
        <v>31</v>
      </c>
      <c r="B160" s="31" t="n">
        <v>41456</v>
      </c>
      <c r="C160" s="56" t="n">
        <v>325788</v>
      </c>
      <c r="D160" s="121" t="s">
        <v>42</v>
      </c>
      <c r="E160" s="33" t="n">
        <f aca="false">(C160/(A160*24))/G160</f>
        <v>0.486541218637993</v>
      </c>
      <c r="F160" s="58" t="n">
        <v>900</v>
      </c>
      <c r="G160" s="58" t="n">
        <f aca="false">F160-H160</f>
        <v>900</v>
      </c>
      <c r="H160" s="58" t="n">
        <v>0</v>
      </c>
      <c r="J160" s="55"/>
    </row>
    <row r="161" customFormat="false" ht="19.85" hidden="false" customHeight="true" outlineLevel="0" collapsed="false">
      <c r="A161" s="1" t="n">
        <v>31</v>
      </c>
      <c r="B161" s="34" t="n">
        <v>41487</v>
      </c>
      <c r="C161" s="56" t="n">
        <v>367224</v>
      </c>
      <c r="D161" s="121" t="s">
        <v>42</v>
      </c>
      <c r="E161" s="33" t="n">
        <f aca="false">(C161/(A161*24))/G161</f>
        <v>0.5484229390681</v>
      </c>
      <c r="F161" s="58" t="n">
        <v>900</v>
      </c>
      <c r="G161" s="58" t="n">
        <f aca="false">F161-H161</f>
        <v>900</v>
      </c>
      <c r="H161" s="58" t="n">
        <v>0</v>
      </c>
      <c r="J161" s="55"/>
    </row>
    <row r="162" customFormat="false" ht="19.85" hidden="false" customHeight="true" outlineLevel="0" collapsed="false">
      <c r="A162" s="1" t="n">
        <v>30</v>
      </c>
      <c r="B162" s="31" t="n">
        <v>41518</v>
      </c>
      <c r="C162" s="56" t="n">
        <v>333463</v>
      </c>
      <c r="D162" s="121" t="s">
        <v>42</v>
      </c>
      <c r="E162" s="33" t="n">
        <f aca="false">(C162/(A162*24))/G162</f>
        <v>0.514603395061728</v>
      </c>
      <c r="F162" s="58" t="n">
        <v>900</v>
      </c>
      <c r="G162" s="58" t="n">
        <f aca="false">F162-H162</f>
        <v>900</v>
      </c>
      <c r="H162" s="58" t="n">
        <v>0</v>
      </c>
      <c r="J162" s="55"/>
    </row>
    <row r="163" customFormat="false" ht="19.85" hidden="false" customHeight="true" outlineLevel="0" collapsed="false">
      <c r="A163" s="1" t="n">
        <v>31</v>
      </c>
      <c r="B163" s="34" t="n">
        <v>41548</v>
      </c>
      <c r="C163" s="56" t="n">
        <v>395194</v>
      </c>
      <c r="D163" s="121" t="s">
        <v>42</v>
      </c>
      <c r="E163" s="33" t="n">
        <f aca="false">(C163/(A163*24))/G163</f>
        <v>0.590194145758662</v>
      </c>
      <c r="F163" s="58" t="n">
        <v>900</v>
      </c>
      <c r="G163" s="58" t="n">
        <f aca="false">F163-H163</f>
        <v>900</v>
      </c>
      <c r="H163" s="58" t="n">
        <v>0</v>
      </c>
      <c r="J163" s="55"/>
    </row>
    <row r="164" customFormat="false" ht="19.85" hidden="false" customHeight="true" outlineLevel="0" collapsed="false">
      <c r="A164" s="1" t="n">
        <v>30</v>
      </c>
      <c r="B164" s="31" t="n">
        <v>41579</v>
      </c>
      <c r="C164" s="56" t="n">
        <v>489333</v>
      </c>
      <c r="D164" s="121" t="s">
        <v>42</v>
      </c>
      <c r="E164" s="33" t="n">
        <f aca="false">(C164/(A164*24))/G164</f>
        <v>0.755143518518519</v>
      </c>
      <c r="F164" s="58" t="n">
        <v>900</v>
      </c>
      <c r="G164" s="58" t="n">
        <f aca="false">F164-H164</f>
        <v>900</v>
      </c>
      <c r="H164" s="58" t="n">
        <v>0</v>
      </c>
      <c r="J164" s="55"/>
    </row>
    <row r="165" customFormat="false" ht="19.85" hidden="false" customHeight="true" outlineLevel="0" collapsed="false">
      <c r="A165" s="1" t="n">
        <v>31</v>
      </c>
      <c r="B165" s="34" t="n">
        <v>41609</v>
      </c>
      <c r="C165" s="56" t="n">
        <v>525066</v>
      </c>
      <c r="D165" s="121" t="s">
        <v>42</v>
      </c>
      <c r="E165" s="33" t="n">
        <f aca="false">(C165/(A165*24))/G165</f>
        <v>0.784148745519713</v>
      </c>
      <c r="F165" s="58" t="n">
        <v>900</v>
      </c>
      <c r="G165" s="58" t="n">
        <f aca="false">F165-H165</f>
        <v>900</v>
      </c>
      <c r="H165" s="58" t="n">
        <v>0</v>
      </c>
      <c r="J165" s="55"/>
    </row>
    <row r="166" customFormat="false" ht="19.85" hidden="false" customHeight="true" outlineLevel="0" collapsed="false">
      <c r="A166" s="1" t="n">
        <v>31</v>
      </c>
      <c r="B166" s="31" t="n">
        <v>41640</v>
      </c>
      <c r="C166" s="56" t="n">
        <v>539787</v>
      </c>
      <c r="D166" s="121" t="s">
        <v>42</v>
      </c>
      <c r="E166" s="33" t="n">
        <f aca="false">(C166/(A166*24))/G166</f>
        <v>0.806133512544803</v>
      </c>
      <c r="F166" s="58" t="n">
        <v>900</v>
      </c>
      <c r="G166" s="58" t="n">
        <f aca="false">F166-H166</f>
        <v>900</v>
      </c>
      <c r="H166" s="58" t="n">
        <v>0</v>
      </c>
      <c r="J166" s="55"/>
    </row>
    <row r="167" customFormat="false" ht="19.85" hidden="false" customHeight="true" outlineLevel="0" collapsed="false">
      <c r="A167" s="1" t="n">
        <v>28</v>
      </c>
      <c r="B167" s="34" t="n">
        <v>41671</v>
      </c>
      <c r="C167" s="56" t="n">
        <v>418142</v>
      </c>
      <c r="D167" s="121" t="s">
        <v>42</v>
      </c>
      <c r="E167" s="33" t="n">
        <f aca="false">(C167/(A167*24))/G167</f>
        <v>0.691372354497354</v>
      </c>
      <c r="F167" s="58" t="n">
        <v>900</v>
      </c>
      <c r="G167" s="58" t="n">
        <f aca="false">F167-H167</f>
        <v>900</v>
      </c>
      <c r="H167" s="58" t="n">
        <v>0</v>
      </c>
      <c r="J167" s="55"/>
    </row>
    <row r="168" customFormat="false" ht="19.85" hidden="false" customHeight="true" outlineLevel="0" collapsed="false">
      <c r="A168" s="1" t="n">
        <v>31</v>
      </c>
      <c r="B168" s="31" t="n">
        <v>41699</v>
      </c>
      <c r="C168" s="56" t="n">
        <v>523104</v>
      </c>
      <c r="D168" s="121" t="s">
        <v>42</v>
      </c>
      <c r="E168" s="33" t="n">
        <f aca="false">(C168/(A168*24))/G168</f>
        <v>0.781218637992832</v>
      </c>
      <c r="F168" s="58" t="n">
        <v>900</v>
      </c>
      <c r="G168" s="58" t="n">
        <f aca="false">F168-H168</f>
        <v>900</v>
      </c>
      <c r="H168" s="58" t="n">
        <v>0</v>
      </c>
      <c r="J168" s="55"/>
    </row>
    <row r="169" customFormat="false" ht="19.85" hidden="false" customHeight="true" outlineLevel="0" collapsed="false">
      <c r="A169" s="1" t="n">
        <v>30</v>
      </c>
      <c r="B169" s="34" t="n">
        <v>41730</v>
      </c>
      <c r="C169" s="56" t="n">
        <v>552496</v>
      </c>
      <c r="D169" s="121" t="s">
        <v>42</v>
      </c>
      <c r="E169" s="33" t="n">
        <f aca="false">(C169/(A169*24))/G169</f>
        <v>0.852617283950617</v>
      </c>
      <c r="F169" s="58" t="n">
        <v>900</v>
      </c>
      <c r="G169" s="58" t="n">
        <f aca="false">F169-H169</f>
        <v>900</v>
      </c>
      <c r="H169" s="58" t="n">
        <v>0</v>
      </c>
      <c r="J169" s="55"/>
    </row>
    <row r="170" customFormat="false" ht="19.85" hidden="false" customHeight="true" outlineLevel="0" collapsed="false">
      <c r="A170" s="1" t="n">
        <v>31</v>
      </c>
      <c r="B170" s="31" t="n">
        <v>41760</v>
      </c>
      <c r="C170" s="56" t="n">
        <v>416978</v>
      </c>
      <c r="D170" s="121" t="s">
        <v>42</v>
      </c>
      <c r="E170" s="33" t="n">
        <f aca="false">(C170/(A170*24))/G170</f>
        <v>0.622727001194743</v>
      </c>
      <c r="F170" s="58" t="n">
        <v>900</v>
      </c>
      <c r="G170" s="58" t="n">
        <f aca="false">F170-H170</f>
        <v>900</v>
      </c>
      <c r="H170" s="58" t="n">
        <v>0</v>
      </c>
      <c r="J170" s="55"/>
    </row>
    <row r="171" customFormat="false" ht="19.85" hidden="false" customHeight="true" outlineLevel="0" collapsed="false">
      <c r="A171" s="1" t="n">
        <v>30</v>
      </c>
      <c r="B171" s="34" t="n">
        <v>41791</v>
      </c>
      <c r="C171" s="56" t="n">
        <v>101325</v>
      </c>
      <c r="D171" s="121" t="s">
        <v>42</v>
      </c>
      <c r="E171" s="33" t="n">
        <f aca="false">(C171/(A171*24))/G171</f>
        <v>0.156365740740741</v>
      </c>
      <c r="F171" s="58" t="n">
        <v>900</v>
      </c>
      <c r="G171" s="58" t="n">
        <f aca="false">F171-H171</f>
        <v>900</v>
      </c>
      <c r="H171" s="58" t="n">
        <v>0</v>
      </c>
      <c r="J171" s="55"/>
    </row>
    <row r="172" customFormat="false" ht="19.85" hidden="false" customHeight="true" outlineLevel="0" collapsed="false">
      <c r="A172" s="1" t="n">
        <v>31</v>
      </c>
      <c r="B172" s="31" t="n">
        <v>41821</v>
      </c>
      <c r="C172" s="56" t="n">
        <v>351163</v>
      </c>
      <c r="D172" s="121" t="s">
        <v>42</v>
      </c>
      <c r="E172" s="33" t="n">
        <f aca="false">(C172/(A172*24))/G172</f>
        <v>0.52443697729988</v>
      </c>
      <c r="F172" s="58" t="n">
        <v>900</v>
      </c>
      <c r="G172" s="58" t="n">
        <f aca="false">F172-H172</f>
        <v>900</v>
      </c>
      <c r="H172" s="58" t="n">
        <v>0</v>
      </c>
      <c r="J172" s="55"/>
    </row>
    <row r="173" customFormat="false" ht="19.85" hidden="false" customHeight="true" outlineLevel="0" collapsed="false">
      <c r="A173" s="1" t="n">
        <v>31</v>
      </c>
      <c r="B173" s="34" t="n">
        <v>41852</v>
      </c>
      <c r="C173" s="56" t="n">
        <v>383367</v>
      </c>
      <c r="D173" s="121" t="s">
        <v>42</v>
      </c>
      <c r="E173" s="33" t="n">
        <f aca="false">(C173/(A173*24))/G173</f>
        <v>0.572531362007168</v>
      </c>
      <c r="F173" s="58" t="n">
        <v>900</v>
      </c>
      <c r="G173" s="58" t="n">
        <f aca="false">F173-H173</f>
        <v>900</v>
      </c>
      <c r="H173" s="58" t="n">
        <v>0</v>
      </c>
      <c r="J173" s="55"/>
    </row>
    <row r="174" customFormat="false" ht="19.85" hidden="false" customHeight="true" outlineLevel="0" collapsed="false">
      <c r="A174" s="1" t="n">
        <v>30</v>
      </c>
      <c r="B174" s="31" t="n">
        <v>41883</v>
      </c>
      <c r="C174" s="56" t="n">
        <v>163809</v>
      </c>
      <c r="D174" s="121" t="s">
        <v>42</v>
      </c>
      <c r="E174" s="33" t="n">
        <f aca="false">(C174/(A174*24))/G174</f>
        <v>0.252791666666667</v>
      </c>
      <c r="F174" s="58" t="n">
        <v>900</v>
      </c>
      <c r="G174" s="58" t="n">
        <f aca="false">F174-H174</f>
        <v>900</v>
      </c>
      <c r="H174" s="58" t="n">
        <v>0</v>
      </c>
      <c r="J174" s="55"/>
    </row>
    <row r="175" customFormat="false" ht="19.85" hidden="false" customHeight="true" outlineLevel="0" collapsed="false">
      <c r="A175" s="1" t="n">
        <v>31</v>
      </c>
      <c r="B175" s="34" t="n">
        <v>41913</v>
      </c>
      <c r="C175" s="56" t="n">
        <v>506706</v>
      </c>
      <c r="D175" s="121" t="s">
        <v>42</v>
      </c>
      <c r="E175" s="33" t="n">
        <f aca="false">(C175/(A175*24))/G175</f>
        <v>0.756729390681004</v>
      </c>
      <c r="F175" s="58" t="n">
        <v>900</v>
      </c>
      <c r="G175" s="58" t="n">
        <f aca="false">F175-H175</f>
        <v>900</v>
      </c>
      <c r="H175" s="58" t="n">
        <v>0</v>
      </c>
      <c r="J175" s="55"/>
    </row>
    <row r="176" customFormat="false" ht="19.85" hidden="false" customHeight="true" outlineLevel="0" collapsed="false">
      <c r="A176" s="1" t="n">
        <v>30</v>
      </c>
      <c r="B176" s="31" t="n">
        <v>41944</v>
      </c>
      <c r="C176" s="56" t="n">
        <v>382830</v>
      </c>
      <c r="D176" s="121" t="s">
        <v>42</v>
      </c>
      <c r="E176" s="33" t="n">
        <f aca="false">(C176/(A176*24))/G176</f>
        <v>0.590787037037037</v>
      </c>
      <c r="F176" s="58" t="n">
        <v>900</v>
      </c>
      <c r="G176" s="58" t="n">
        <f aca="false">F176-H176</f>
        <v>900</v>
      </c>
      <c r="H176" s="58" t="n">
        <v>0</v>
      </c>
      <c r="J176" s="55"/>
    </row>
    <row r="177" customFormat="false" ht="19.95" hidden="false" customHeight="true" outlineLevel="0" collapsed="false">
      <c r="A177" s="1" t="n">
        <v>31</v>
      </c>
      <c r="B177" s="34" t="n">
        <v>41974</v>
      </c>
      <c r="C177" s="56" t="n">
        <v>550620</v>
      </c>
      <c r="D177" s="121" t="s">
        <v>42</v>
      </c>
      <c r="E177" s="33" t="n">
        <f aca="false">(C177/(A177*24))/G177</f>
        <v>0.822311827956989</v>
      </c>
      <c r="F177" s="58" t="n">
        <v>900</v>
      </c>
      <c r="G177" s="58" t="n">
        <f aca="false">F177-H177</f>
        <v>900</v>
      </c>
      <c r="H177" s="58" t="n">
        <v>0</v>
      </c>
      <c r="J177" s="55"/>
    </row>
    <row r="178" customFormat="false" ht="19.85" hidden="false" customHeight="true" outlineLevel="0" collapsed="false">
      <c r="A178" s="1" t="n">
        <v>31</v>
      </c>
      <c r="B178" s="31" t="n">
        <v>42005</v>
      </c>
      <c r="C178" s="56" t="n">
        <v>558181</v>
      </c>
      <c r="D178" s="121" t="s">
        <v>42</v>
      </c>
      <c r="E178" s="33" t="n">
        <f aca="false">(C178/(A178*24))/G178</f>
        <v>0.833603643966547</v>
      </c>
      <c r="F178" s="58" t="n">
        <v>900</v>
      </c>
      <c r="G178" s="58" t="n">
        <f aca="false">F178-H178</f>
        <v>900</v>
      </c>
      <c r="H178" s="58" t="n">
        <v>0</v>
      </c>
      <c r="J178" s="55"/>
    </row>
    <row r="179" customFormat="false" ht="19.85" hidden="false" customHeight="true" outlineLevel="0" collapsed="false">
      <c r="A179" s="1" t="n">
        <v>28</v>
      </c>
      <c r="B179" s="34" t="n">
        <v>42036</v>
      </c>
      <c r="C179" s="56" t="n">
        <v>500752</v>
      </c>
      <c r="D179" s="121" t="s">
        <v>42</v>
      </c>
      <c r="E179" s="33" t="n">
        <f aca="false">(C179/(A179*24))/G179</f>
        <v>0.827962962962963</v>
      </c>
      <c r="F179" s="58" t="n">
        <v>900</v>
      </c>
      <c r="G179" s="58" t="n">
        <f aca="false">F179-H179</f>
        <v>900</v>
      </c>
      <c r="H179" s="58" t="n">
        <v>0</v>
      </c>
      <c r="J179" s="55"/>
    </row>
    <row r="180" customFormat="false" ht="19.85" hidden="false" customHeight="true" outlineLevel="0" collapsed="false">
      <c r="A180" s="1" t="n">
        <v>31</v>
      </c>
      <c r="B180" s="31" t="n">
        <v>42064</v>
      </c>
      <c r="C180" s="56" t="n">
        <v>557370</v>
      </c>
      <c r="D180" s="121" t="s">
        <v>42</v>
      </c>
      <c r="E180" s="33" t="n">
        <f aca="false">(C180/(A180*24))/G180</f>
        <v>0.83239247311828</v>
      </c>
      <c r="F180" s="58" t="n">
        <v>900</v>
      </c>
      <c r="G180" s="58" t="n">
        <f aca="false">F180-H180</f>
        <v>900</v>
      </c>
      <c r="H180" s="58" t="n">
        <v>0</v>
      </c>
      <c r="J180" s="55"/>
    </row>
    <row r="181" customFormat="false" ht="19.85" hidden="false" customHeight="true" outlineLevel="0" collapsed="false">
      <c r="A181" s="1" t="n">
        <v>30</v>
      </c>
      <c r="B181" s="34" t="n">
        <v>42095</v>
      </c>
      <c r="C181" s="56" t="n">
        <v>535831</v>
      </c>
      <c r="D181" s="121" t="s">
        <v>42</v>
      </c>
      <c r="E181" s="33" t="n">
        <f aca="false">(C181/(A181*24))/G181</f>
        <v>0.826899691358025</v>
      </c>
      <c r="F181" s="58" t="n">
        <v>900</v>
      </c>
      <c r="G181" s="58" t="n">
        <f aca="false">F181-H181</f>
        <v>900</v>
      </c>
      <c r="H181" s="58" t="n">
        <v>0</v>
      </c>
      <c r="J181" s="55"/>
    </row>
    <row r="182" customFormat="false" ht="19.85" hidden="false" customHeight="true" outlineLevel="0" collapsed="false">
      <c r="A182" s="1" t="n">
        <v>31</v>
      </c>
      <c r="B182" s="31" t="n">
        <v>42125</v>
      </c>
      <c r="C182" s="56" t="n">
        <v>462458</v>
      </c>
      <c r="D182" s="121" t="s">
        <v>42</v>
      </c>
      <c r="E182" s="33" t="n">
        <f aca="false">(C182/(A182*24))/G182</f>
        <v>0.690648148148148</v>
      </c>
      <c r="F182" s="58" t="n">
        <v>900</v>
      </c>
      <c r="G182" s="58" t="n">
        <f aca="false">F182-H182</f>
        <v>900</v>
      </c>
      <c r="H182" s="58" t="n">
        <v>0</v>
      </c>
      <c r="J182" s="55"/>
    </row>
    <row r="183" customFormat="false" ht="19.85" hidden="false" customHeight="true" outlineLevel="0" collapsed="false">
      <c r="A183" s="1" t="n">
        <v>30</v>
      </c>
      <c r="B183" s="34" t="n">
        <v>42156</v>
      </c>
      <c r="C183" s="56" t="n">
        <v>219471</v>
      </c>
      <c r="D183" s="121" t="s">
        <v>42</v>
      </c>
      <c r="E183" s="33" t="n">
        <f aca="false">(C183/(A183*24))/G183</f>
        <v>0.338689814814815</v>
      </c>
      <c r="F183" s="58" t="n">
        <v>900</v>
      </c>
      <c r="G183" s="58" t="n">
        <f aca="false">F183-H183</f>
        <v>900</v>
      </c>
      <c r="H183" s="58" t="n">
        <v>0</v>
      </c>
      <c r="J183" s="55"/>
    </row>
    <row r="184" customFormat="false" ht="19.85" hidden="false" customHeight="true" outlineLevel="0" collapsed="false">
      <c r="A184" s="1" t="n">
        <v>31</v>
      </c>
      <c r="B184" s="31" t="n">
        <v>42186</v>
      </c>
      <c r="C184" s="56" t="n">
        <v>125630</v>
      </c>
      <c r="D184" s="121" t="s">
        <v>42</v>
      </c>
      <c r="E184" s="33" t="n">
        <f aca="false">(C184/(A184*24))/G184</f>
        <v>0.187619474313023</v>
      </c>
      <c r="F184" s="58" t="n">
        <v>900</v>
      </c>
      <c r="G184" s="58" t="n">
        <f aca="false">F184-H184</f>
        <v>900</v>
      </c>
      <c r="H184" s="58" t="n">
        <v>0</v>
      </c>
      <c r="J184" s="55"/>
    </row>
    <row r="185" customFormat="false" ht="19.85" hidden="false" customHeight="true" outlineLevel="0" collapsed="false">
      <c r="A185" s="1" t="n">
        <v>31</v>
      </c>
      <c r="B185" s="34" t="n">
        <v>42217</v>
      </c>
      <c r="C185" s="56" t="n">
        <v>173386</v>
      </c>
      <c r="D185" s="121" t="s">
        <v>42</v>
      </c>
      <c r="E185" s="33" t="n">
        <f aca="false">(C185/(A185*24))/G185</f>
        <v>0.258939665471923</v>
      </c>
      <c r="F185" s="58" t="n">
        <v>900</v>
      </c>
      <c r="G185" s="58" t="n">
        <f aca="false">F185-H185</f>
        <v>900</v>
      </c>
      <c r="H185" s="58" t="n">
        <v>0</v>
      </c>
      <c r="J185" s="55"/>
    </row>
    <row r="186" customFormat="false" ht="19.85" hidden="false" customHeight="true" outlineLevel="0" collapsed="false">
      <c r="A186" s="1" t="n">
        <v>30</v>
      </c>
      <c r="B186" s="31" t="n">
        <v>42248</v>
      </c>
      <c r="C186" s="56" t="n">
        <v>301070</v>
      </c>
      <c r="D186" s="121" t="s">
        <v>42</v>
      </c>
      <c r="E186" s="33" t="n">
        <f aca="false">(C186/(A186*24))/G186</f>
        <v>0.464614197530864</v>
      </c>
      <c r="F186" s="58" t="n">
        <v>900</v>
      </c>
      <c r="G186" s="58" t="n">
        <f aca="false">F186-H186</f>
        <v>900</v>
      </c>
      <c r="H186" s="58" t="n">
        <v>0</v>
      </c>
      <c r="J186" s="55"/>
    </row>
    <row r="187" customFormat="false" ht="19.85" hidden="false" customHeight="true" outlineLevel="0" collapsed="false">
      <c r="A187" s="1" t="n">
        <v>31</v>
      </c>
      <c r="B187" s="34" t="n">
        <v>42278</v>
      </c>
      <c r="C187" s="56" t="n">
        <v>348500</v>
      </c>
      <c r="D187" s="121" t="s">
        <v>42</v>
      </c>
      <c r="E187" s="33" t="n">
        <f aca="false">(C187/(A187*24))/G187</f>
        <v>0.520459976105137</v>
      </c>
      <c r="F187" s="58" t="n">
        <v>900</v>
      </c>
      <c r="G187" s="58" t="n">
        <f aca="false">F187-H187</f>
        <v>900</v>
      </c>
      <c r="H187" s="58" t="n">
        <v>0</v>
      </c>
      <c r="J187" s="55"/>
    </row>
    <row r="188" customFormat="false" ht="19.85" hidden="false" customHeight="true" outlineLevel="0" collapsed="false">
      <c r="A188" s="1" t="n">
        <v>30</v>
      </c>
      <c r="B188" s="31" t="n">
        <v>42309</v>
      </c>
      <c r="C188" s="56" t="n">
        <v>304322</v>
      </c>
      <c r="D188" s="121" t="s">
        <v>42</v>
      </c>
      <c r="E188" s="33" t="n">
        <f aca="false">(C188/(A188*24))/G188</f>
        <v>0.469632716049383</v>
      </c>
      <c r="F188" s="58" t="n">
        <v>900</v>
      </c>
      <c r="G188" s="58" t="n">
        <f aca="false">F188-H188</f>
        <v>900</v>
      </c>
      <c r="H188" s="58" t="n">
        <v>0</v>
      </c>
      <c r="J188" s="55"/>
    </row>
    <row r="189" customFormat="false" ht="19.85" hidden="false" customHeight="true" outlineLevel="0" collapsed="false">
      <c r="A189" s="1" t="n">
        <v>31</v>
      </c>
      <c r="B189" s="34" t="n">
        <v>42339</v>
      </c>
      <c r="C189" s="56" t="n">
        <v>259920</v>
      </c>
      <c r="D189" s="121" t="s">
        <v>42</v>
      </c>
      <c r="E189" s="33" t="n">
        <f aca="false">(C189/(A189*24))/G189</f>
        <v>0.388172043010753</v>
      </c>
      <c r="F189" s="58" t="n">
        <v>900</v>
      </c>
      <c r="G189" s="58" t="n">
        <f aca="false">F189-H189</f>
        <v>900</v>
      </c>
      <c r="H189" s="58" t="n">
        <v>0</v>
      </c>
      <c r="J189" s="55"/>
    </row>
    <row r="190" customFormat="false" ht="19.85" hidden="false" customHeight="true" outlineLevel="0" collapsed="false">
      <c r="A190" s="1" t="n">
        <v>31</v>
      </c>
      <c r="B190" s="211" t="n">
        <v>42370</v>
      </c>
      <c r="C190" s="391" t="n">
        <v>439458</v>
      </c>
      <c r="D190" s="319" t="s">
        <v>42</v>
      </c>
      <c r="E190" s="214" t="n">
        <f aca="false">(C190/(A190*24))/G190</f>
        <v>0.656299283154122</v>
      </c>
      <c r="F190" s="448" t="n">
        <v>900</v>
      </c>
      <c r="G190" s="448" t="n">
        <f aca="false">F190-H190</f>
        <v>900</v>
      </c>
      <c r="H190" s="448" t="n">
        <v>0</v>
      </c>
      <c r="I190" s="213" t="s">
        <v>826</v>
      </c>
      <c r="J190" s="55"/>
      <c r="L190" s="449" t="s">
        <v>827</v>
      </c>
    </row>
    <row r="191" customFormat="false" ht="19.85" hidden="false" customHeight="true" outlineLevel="0" collapsed="false">
      <c r="A191" s="1" t="n">
        <v>28</v>
      </c>
      <c r="B191" s="211" t="n">
        <v>42401</v>
      </c>
      <c r="C191" s="391" t="n">
        <v>402422</v>
      </c>
      <c r="D191" s="319" t="s">
        <v>42</v>
      </c>
      <c r="E191" s="214" t="n">
        <f aca="false">(C191/(A191*24))/G191</f>
        <v>0.665380291005291</v>
      </c>
      <c r="F191" s="448" t="n">
        <v>900</v>
      </c>
      <c r="G191" s="448" t="n">
        <f aca="false">F191-H191</f>
        <v>900</v>
      </c>
      <c r="H191" s="448" t="n">
        <v>0</v>
      </c>
      <c r="I191" s="213" t="s">
        <v>826</v>
      </c>
      <c r="J191" s="55"/>
    </row>
    <row r="192" customFormat="false" ht="19.85" hidden="false" customHeight="true" outlineLevel="0" collapsed="false">
      <c r="A192" s="1" t="n">
        <v>31</v>
      </c>
      <c r="B192" s="211" t="n">
        <v>42430</v>
      </c>
      <c r="C192" s="391" t="n">
        <v>502538</v>
      </c>
      <c r="D192" s="319" t="s">
        <v>42</v>
      </c>
      <c r="E192" s="214" t="n">
        <f aca="false">(C192/(A192*24))/G192</f>
        <v>0.750504778972521</v>
      </c>
      <c r="F192" s="448" t="n">
        <v>900</v>
      </c>
      <c r="G192" s="448" t="n">
        <f aca="false">F192-H192</f>
        <v>900</v>
      </c>
      <c r="H192" s="448" t="n">
        <v>0</v>
      </c>
      <c r="I192" s="213" t="s">
        <v>826</v>
      </c>
      <c r="J192" s="55"/>
    </row>
    <row r="193" customFormat="false" ht="19.85" hidden="false" customHeight="true" outlineLevel="0" collapsed="false">
      <c r="A193" s="1" t="n">
        <v>30</v>
      </c>
      <c r="B193" s="211" t="n">
        <v>42461</v>
      </c>
      <c r="C193" s="391" t="n">
        <v>552488</v>
      </c>
      <c r="D193" s="319" t="s">
        <v>42</v>
      </c>
      <c r="E193" s="214" t="n">
        <f aca="false">(C193/(A193*24))/G193</f>
        <v>0.852604938271605</v>
      </c>
      <c r="F193" s="448" t="n">
        <v>900</v>
      </c>
      <c r="G193" s="448" t="n">
        <f aca="false">F193-H193</f>
        <v>900</v>
      </c>
      <c r="H193" s="448" t="n">
        <v>0</v>
      </c>
      <c r="I193" s="213" t="s">
        <v>826</v>
      </c>
      <c r="J193" s="55"/>
    </row>
    <row r="194" customFormat="false" ht="19.85" hidden="false" customHeight="true" outlineLevel="0" collapsed="false">
      <c r="A194" s="1" t="n">
        <v>31</v>
      </c>
      <c r="B194" s="211" t="n">
        <v>42491</v>
      </c>
      <c r="C194" s="391" t="n">
        <v>542295</v>
      </c>
      <c r="D194" s="319" t="s">
        <v>42</v>
      </c>
      <c r="E194" s="214" t="n">
        <f aca="false">(C194/(A194*24))/G194</f>
        <v>0.809879032258064</v>
      </c>
      <c r="F194" s="448" t="n">
        <v>900</v>
      </c>
      <c r="G194" s="448" t="n">
        <f aca="false">F194-H194</f>
        <v>900</v>
      </c>
      <c r="H194" s="448" t="n">
        <v>0</v>
      </c>
      <c r="I194" s="213" t="s">
        <v>826</v>
      </c>
      <c r="J194" s="55"/>
      <c r="K194" s="63"/>
    </row>
    <row r="195" customFormat="false" ht="19.85" hidden="false" customHeight="true" outlineLevel="0" collapsed="false">
      <c r="A195" s="1" t="n">
        <v>30</v>
      </c>
      <c r="B195" s="211" t="n">
        <v>42522</v>
      </c>
      <c r="C195" s="391" t="n">
        <v>486539</v>
      </c>
      <c r="D195" s="319" t="s">
        <v>42</v>
      </c>
      <c r="E195" s="214" t="n">
        <f aca="false">(C195/(A195*24))/G195</f>
        <v>0.750831790123457</v>
      </c>
      <c r="F195" s="448" t="n">
        <v>900</v>
      </c>
      <c r="G195" s="448" t="n">
        <f aca="false">F195-H195</f>
        <v>900</v>
      </c>
      <c r="H195" s="448" t="n">
        <v>0</v>
      </c>
      <c r="I195" s="213" t="s">
        <v>826</v>
      </c>
      <c r="J195" s="55"/>
      <c r="K195" s="63"/>
    </row>
    <row r="196" customFormat="false" ht="19.85" hidden="false" customHeight="true" outlineLevel="0" collapsed="false">
      <c r="A196" s="1" t="n">
        <v>31</v>
      </c>
      <c r="B196" s="211" t="n">
        <v>42552</v>
      </c>
      <c r="C196" s="391" t="n">
        <v>398757</v>
      </c>
      <c r="D196" s="319" t="s">
        <v>42</v>
      </c>
      <c r="E196" s="214" t="n">
        <f aca="false">(C196/(A196*24))/G196</f>
        <v>0.59551523297491</v>
      </c>
      <c r="F196" s="448" t="n">
        <v>900</v>
      </c>
      <c r="G196" s="448" t="n">
        <f aca="false">F196-H196</f>
        <v>900</v>
      </c>
      <c r="H196" s="448" t="n">
        <v>0</v>
      </c>
      <c r="I196" s="213" t="s">
        <v>826</v>
      </c>
      <c r="J196" s="55"/>
      <c r="K196" s="63"/>
    </row>
    <row r="197" customFormat="false" ht="19.85" hidden="false" customHeight="true" outlineLevel="0" collapsed="false">
      <c r="A197" s="1" t="n">
        <v>31</v>
      </c>
      <c r="B197" s="211" t="n">
        <v>42583</v>
      </c>
      <c r="C197" s="391" t="n">
        <v>196223</v>
      </c>
      <c r="D197" s="319" t="s">
        <v>42</v>
      </c>
      <c r="E197" s="214" t="n">
        <f aca="false">(C197/(A197*24))/G197</f>
        <v>0.293045101553166</v>
      </c>
      <c r="F197" s="448" t="n">
        <v>900</v>
      </c>
      <c r="G197" s="448" t="n">
        <f aca="false">F197-H197</f>
        <v>900</v>
      </c>
      <c r="H197" s="448" t="n">
        <v>0</v>
      </c>
      <c r="I197" s="213" t="s">
        <v>826</v>
      </c>
      <c r="J197" s="55"/>
      <c r="K197" s="63"/>
    </row>
    <row r="198" customFormat="false" ht="19.85" hidden="false" customHeight="true" outlineLevel="0" collapsed="false">
      <c r="A198" s="1" t="n">
        <v>30</v>
      </c>
      <c r="B198" s="211" t="n">
        <v>42614</v>
      </c>
      <c r="C198" s="391" t="n">
        <v>271016</v>
      </c>
      <c r="D198" s="319" t="s">
        <v>42</v>
      </c>
      <c r="E198" s="214" t="n">
        <f aca="false">(C198/(A198*24))/G198</f>
        <v>0.418234567901235</v>
      </c>
      <c r="F198" s="448" t="n">
        <v>900</v>
      </c>
      <c r="G198" s="448" t="n">
        <f aca="false">F198-H198</f>
        <v>900</v>
      </c>
      <c r="H198" s="448" t="n">
        <v>0</v>
      </c>
      <c r="I198" s="213" t="s">
        <v>826</v>
      </c>
      <c r="J198" s="55"/>
      <c r="K198" s="63"/>
    </row>
    <row r="199" customFormat="false" ht="19.85" hidden="false" customHeight="true" outlineLevel="0" collapsed="false">
      <c r="A199" s="1" t="n">
        <v>31</v>
      </c>
      <c r="B199" s="211" t="n">
        <v>42644</v>
      </c>
      <c r="C199" s="391" t="n">
        <v>213758</v>
      </c>
      <c r="D199" s="319" t="s">
        <v>42</v>
      </c>
      <c r="E199" s="214" t="n">
        <f aca="false">(C199/(A199*24))/G199</f>
        <v>0.319232377538829</v>
      </c>
      <c r="F199" s="448" t="n">
        <v>900</v>
      </c>
      <c r="G199" s="448" t="n">
        <f aca="false">F199-H199</f>
        <v>900</v>
      </c>
      <c r="H199" s="448" t="n">
        <v>0</v>
      </c>
      <c r="I199" s="213" t="s">
        <v>826</v>
      </c>
      <c r="J199" s="55"/>
      <c r="K199" s="63"/>
    </row>
    <row r="200" customFormat="false" ht="19.85" hidden="false" customHeight="true" outlineLevel="0" collapsed="false">
      <c r="A200" s="1" t="n">
        <v>30</v>
      </c>
      <c r="B200" s="211" t="n">
        <v>42675</v>
      </c>
      <c r="C200" s="391" t="n">
        <v>338139</v>
      </c>
      <c r="D200" s="319" t="s">
        <v>42</v>
      </c>
      <c r="E200" s="214" t="n">
        <f aca="false">(C200/(A200*24))/G200</f>
        <v>0.521819444444444</v>
      </c>
      <c r="F200" s="448" t="n">
        <v>900</v>
      </c>
      <c r="G200" s="448" t="n">
        <f aca="false">F200-H200</f>
        <v>900</v>
      </c>
      <c r="H200" s="448" t="n">
        <v>0</v>
      </c>
      <c r="I200" s="213" t="s">
        <v>826</v>
      </c>
      <c r="J200" s="55"/>
      <c r="K200" s="63"/>
    </row>
    <row r="201" customFormat="false" ht="19.85" hidden="false" customHeight="true" outlineLevel="0" collapsed="false">
      <c r="A201" s="1" t="n">
        <v>31</v>
      </c>
      <c r="B201" s="211" t="n">
        <v>42705</v>
      </c>
      <c r="C201" s="391" t="n">
        <v>475687</v>
      </c>
      <c r="D201" s="319" t="s">
        <v>42</v>
      </c>
      <c r="E201" s="214" t="n">
        <f aca="false">(C201/(A201*24))/G201</f>
        <v>0.710404719235364</v>
      </c>
      <c r="F201" s="448" t="n">
        <v>900</v>
      </c>
      <c r="G201" s="448" t="n">
        <f aca="false">F201-H201</f>
        <v>900</v>
      </c>
      <c r="H201" s="448" t="n">
        <v>0</v>
      </c>
      <c r="I201" s="213" t="s">
        <v>826</v>
      </c>
      <c r="J201" s="55"/>
      <c r="K201" s="63"/>
    </row>
    <row r="202" customFormat="false" ht="19.85" hidden="false" customHeight="true" outlineLevel="0" collapsed="false">
      <c r="A202" s="1" t="n">
        <v>31</v>
      </c>
      <c r="B202" s="211" t="n">
        <v>42736</v>
      </c>
      <c r="C202" s="391" t="n">
        <v>562507</v>
      </c>
      <c r="D202" s="319" t="s">
        <v>42</v>
      </c>
      <c r="E202" s="214" t="n">
        <f aca="false">(C202/(A202*24))/G202</f>
        <v>0.84006421744325</v>
      </c>
      <c r="F202" s="448" t="n">
        <v>900</v>
      </c>
      <c r="G202" s="448" t="n">
        <f aca="false">F202-H202</f>
        <v>900</v>
      </c>
      <c r="H202" s="448" t="n">
        <v>0</v>
      </c>
      <c r="I202" s="213" t="s">
        <v>826</v>
      </c>
      <c r="J202" s="30"/>
      <c r="K202" s="63"/>
    </row>
    <row r="203" customFormat="false" ht="19.85" hidden="false" customHeight="true" outlineLevel="0" collapsed="false">
      <c r="A203" s="1" t="n">
        <v>28</v>
      </c>
      <c r="B203" s="211" t="n">
        <v>42767</v>
      </c>
      <c r="C203" s="391" t="n">
        <v>485945</v>
      </c>
      <c r="D203" s="319" t="s">
        <v>42</v>
      </c>
      <c r="E203" s="214" t="n">
        <f aca="false">(C203/(A203*24))/G203</f>
        <v>0.803480489417989</v>
      </c>
      <c r="F203" s="448" t="n">
        <v>900</v>
      </c>
      <c r="G203" s="448" t="n">
        <f aca="false">F203-H203</f>
        <v>900</v>
      </c>
      <c r="H203" s="448" t="n">
        <v>0</v>
      </c>
      <c r="I203" s="213" t="s">
        <v>826</v>
      </c>
      <c r="J203" s="55"/>
      <c r="K203" s="63"/>
    </row>
    <row r="204" customFormat="false" ht="19.85" hidden="false" customHeight="true" outlineLevel="0" collapsed="false">
      <c r="A204" s="1" t="n">
        <v>31</v>
      </c>
      <c r="B204" s="211" t="n">
        <v>42795</v>
      </c>
      <c r="C204" s="391" t="n">
        <v>550394</v>
      </c>
      <c r="D204" s="319" t="s">
        <v>42</v>
      </c>
      <c r="E204" s="214" t="n">
        <f aca="false">(C204/(A204*24))/G204</f>
        <v>0.8219743130227</v>
      </c>
      <c r="F204" s="448" t="n">
        <v>900</v>
      </c>
      <c r="G204" s="448" t="n">
        <f aca="false">F204-H204</f>
        <v>900</v>
      </c>
      <c r="H204" s="448" t="n">
        <v>0</v>
      </c>
      <c r="I204" s="213" t="s">
        <v>826</v>
      </c>
      <c r="J204" s="55"/>
      <c r="K204" s="63"/>
    </row>
    <row r="205" customFormat="false" ht="19.85" hidden="false" customHeight="true" outlineLevel="0" collapsed="false">
      <c r="A205" s="1" t="n">
        <v>30</v>
      </c>
      <c r="B205" s="211" t="n">
        <v>42826</v>
      </c>
      <c r="C205" s="391" t="n">
        <v>422456</v>
      </c>
      <c r="D205" s="319" t="s">
        <v>42</v>
      </c>
      <c r="E205" s="214" t="n">
        <f aca="false">(C205/(A205*24))/G205</f>
        <v>0.651938271604938</v>
      </c>
      <c r="F205" s="448" t="n">
        <v>900</v>
      </c>
      <c r="G205" s="448" t="n">
        <f aca="false">F205-H205</f>
        <v>900</v>
      </c>
      <c r="H205" s="448" t="n">
        <v>0</v>
      </c>
      <c r="I205" s="213" t="s">
        <v>826</v>
      </c>
      <c r="J205" s="55"/>
      <c r="K205" s="63"/>
    </row>
    <row r="206" customFormat="false" ht="19.85" hidden="false" customHeight="true" outlineLevel="0" collapsed="false">
      <c r="A206" s="1" t="n">
        <v>31</v>
      </c>
      <c r="B206" s="211" t="n">
        <v>42856</v>
      </c>
      <c r="C206" s="319" t="n">
        <v>483360</v>
      </c>
      <c r="D206" s="319" t="s">
        <v>42</v>
      </c>
      <c r="E206" s="214" t="n">
        <f aca="false">(C206/(A206*24))/G206</f>
        <v>0.721863799283154</v>
      </c>
      <c r="F206" s="448" t="n">
        <v>900</v>
      </c>
      <c r="G206" s="448" t="n">
        <f aca="false">F206-H206</f>
        <v>900</v>
      </c>
      <c r="H206" s="448" t="n">
        <v>0</v>
      </c>
      <c r="I206" s="213" t="s">
        <v>826</v>
      </c>
      <c r="J206" s="55"/>
    </row>
    <row r="207" customFormat="false" ht="22.45" hidden="false" customHeight="true" outlineLevel="0" collapsed="false">
      <c r="A207" s="1" t="n">
        <v>30</v>
      </c>
      <c r="B207" s="211" t="n">
        <v>42887</v>
      </c>
      <c r="C207" s="319" t="n">
        <v>338050</v>
      </c>
      <c r="D207" s="319" t="s">
        <v>42</v>
      </c>
      <c r="E207" s="214" t="n">
        <f aca="false">(C207/(A207*24))/G207</f>
        <v>0.521682098765432</v>
      </c>
      <c r="F207" s="448" t="n">
        <v>900</v>
      </c>
      <c r="G207" s="448" t="n">
        <f aca="false">F207-H207</f>
        <v>900</v>
      </c>
      <c r="H207" s="448" t="n">
        <v>0</v>
      </c>
      <c r="I207" s="213" t="s">
        <v>826</v>
      </c>
      <c r="J207" s="55"/>
    </row>
    <row r="208" customFormat="false" ht="21.65" hidden="false" customHeight="true" outlineLevel="0" collapsed="false">
      <c r="A208" s="1" t="n">
        <v>31</v>
      </c>
      <c r="B208" s="211" t="n">
        <v>42917</v>
      </c>
      <c r="C208" s="319" t="n">
        <v>258941</v>
      </c>
      <c r="D208" s="319" t="s">
        <v>42</v>
      </c>
      <c r="E208" s="214" t="n">
        <f aca="false">(C208/(A208*24))/G208</f>
        <v>0.386709976105137</v>
      </c>
      <c r="F208" s="448" t="n">
        <v>900</v>
      </c>
      <c r="G208" s="448" t="n">
        <f aca="false">F208-H208</f>
        <v>900</v>
      </c>
      <c r="H208" s="448" t="n">
        <v>0</v>
      </c>
      <c r="I208" s="213" t="s">
        <v>826</v>
      </c>
      <c r="J208" s="55"/>
    </row>
    <row r="209" customFormat="false" ht="21.65" hidden="false" customHeight="true" outlineLevel="0" collapsed="false">
      <c r="A209" s="1" t="n">
        <v>31</v>
      </c>
      <c r="B209" s="211" t="n">
        <v>42948</v>
      </c>
      <c r="C209" s="319" t="n">
        <v>156118</v>
      </c>
      <c r="D209" s="319" t="s">
        <v>42</v>
      </c>
      <c r="E209" s="214" t="n">
        <f aca="false">(C209/(A209*24))/G209</f>
        <v>0.233151135005974</v>
      </c>
      <c r="F209" s="448" t="n">
        <v>900</v>
      </c>
      <c r="G209" s="448" t="n">
        <f aca="false">F209-H209</f>
        <v>900</v>
      </c>
      <c r="H209" s="448" t="n">
        <v>0</v>
      </c>
      <c r="I209" s="213" t="s">
        <v>826</v>
      </c>
      <c r="J209" s="55"/>
    </row>
    <row r="210" customFormat="false" ht="21.65" hidden="false" customHeight="true" outlineLevel="0" collapsed="false">
      <c r="A210" s="1" t="n">
        <v>30</v>
      </c>
      <c r="B210" s="211" t="n">
        <v>42979</v>
      </c>
      <c r="C210" s="319" t="n">
        <v>268754</v>
      </c>
      <c r="D210" s="319" t="s">
        <v>42</v>
      </c>
      <c r="E210" s="214" t="n">
        <f aca="false">(C210/(A210*24))/G210</f>
        <v>0.414743827160494</v>
      </c>
      <c r="F210" s="448" t="n">
        <v>900</v>
      </c>
      <c r="G210" s="448" t="n">
        <f aca="false">F210-H210</f>
        <v>900</v>
      </c>
      <c r="H210" s="448" t="n">
        <v>0</v>
      </c>
      <c r="I210" s="213" t="s">
        <v>826</v>
      </c>
      <c r="J210" s="55"/>
    </row>
    <row r="211" customFormat="false" ht="21.65" hidden="false" customHeight="true" outlineLevel="0" collapsed="false">
      <c r="A211" s="1" t="n">
        <v>31</v>
      </c>
      <c r="B211" s="211" t="n">
        <v>43009</v>
      </c>
      <c r="C211" s="319" t="n">
        <v>210462</v>
      </c>
      <c r="D211" s="319" t="s">
        <v>42</v>
      </c>
      <c r="E211" s="214" t="n">
        <f aca="false">(C211/(A211*24))/G211</f>
        <v>0.314310035842294</v>
      </c>
      <c r="F211" s="448" t="n">
        <v>900</v>
      </c>
      <c r="G211" s="448" t="n">
        <f aca="false">F211-H211</f>
        <v>900</v>
      </c>
      <c r="H211" s="448" t="n">
        <v>0</v>
      </c>
      <c r="I211" s="213" t="s">
        <v>826</v>
      </c>
      <c r="J211" s="55"/>
    </row>
    <row r="212" customFormat="false" ht="21.65" hidden="false" customHeight="true" outlineLevel="0" collapsed="false">
      <c r="A212" s="1" t="n">
        <v>30</v>
      </c>
      <c r="B212" s="211" t="n">
        <v>43040</v>
      </c>
      <c r="C212" s="319" t="n">
        <v>254933</v>
      </c>
      <c r="D212" s="319" t="s">
        <v>42</v>
      </c>
      <c r="E212" s="214" t="n">
        <f aca="false">(C212/(A212*24))/G212</f>
        <v>0.39341512345679</v>
      </c>
      <c r="F212" s="448" t="n">
        <v>900</v>
      </c>
      <c r="G212" s="448" t="n">
        <f aca="false">F212-H212</f>
        <v>900</v>
      </c>
      <c r="H212" s="448" t="n">
        <v>0</v>
      </c>
      <c r="I212" s="213" t="s">
        <v>826</v>
      </c>
      <c r="J212" s="55"/>
    </row>
    <row r="213" customFormat="false" ht="21.65" hidden="false" customHeight="true" outlineLevel="0" collapsed="false">
      <c r="A213" s="1" t="n">
        <v>31</v>
      </c>
      <c r="B213" s="211" t="n">
        <v>43070</v>
      </c>
      <c r="C213" s="319" t="n">
        <v>504926</v>
      </c>
      <c r="D213" s="319" t="s">
        <v>42</v>
      </c>
      <c r="E213" s="214" t="n">
        <f aca="false">(C213/(A213*24))/G213</f>
        <v>0.754071087216248</v>
      </c>
      <c r="F213" s="448" t="n">
        <v>900</v>
      </c>
      <c r="G213" s="448" t="n">
        <f aca="false">F213-H213</f>
        <v>900</v>
      </c>
      <c r="H213" s="448" t="n">
        <v>0</v>
      </c>
      <c r="I213" s="213" t="s">
        <v>826</v>
      </c>
      <c r="J213" s="55"/>
    </row>
    <row r="214" customFormat="false" ht="20" hidden="false" customHeight="true" outlineLevel="0" collapsed="false">
      <c r="A214" s="1" t="n">
        <v>31</v>
      </c>
      <c r="B214" s="450" t="n">
        <v>43101</v>
      </c>
      <c r="C214" s="451" t="n">
        <v>297791</v>
      </c>
      <c r="D214" s="452" t="s">
        <v>42</v>
      </c>
      <c r="E214" s="453" t="n">
        <f aca="false">(C214/(A214*24))/G214</f>
        <v>0.444729689366786</v>
      </c>
      <c r="F214" s="454" t="n">
        <v>900</v>
      </c>
      <c r="G214" s="454" t="n">
        <f aca="false">F214-H214</f>
        <v>900</v>
      </c>
      <c r="H214" s="454" t="n">
        <v>0</v>
      </c>
      <c r="I214" s="451" t="s">
        <v>828</v>
      </c>
      <c r="J214" s="30"/>
    </row>
    <row r="215" customFormat="false" ht="20" hidden="false" customHeight="true" outlineLevel="0" collapsed="false">
      <c r="A215" s="1" t="n">
        <v>28</v>
      </c>
      <c r="B215" s="450" t="n">
        <v>43132</v>
      </c>
      <c r="C215" s="451" t="n">
        <v>435245</v>
      </c>
      <c r="D215" s="452" t="s">
        <v>42</v>
      </c>
      <c r="E215" s="453" t="n">
        <f aca="false">(C215/(A215*24))/G215</f>
        <v>0.719651124338624</v>
      </c>
      <c r="F215" s="454" t="n">
        <v>900</v>
      </c>
      <c r="G215" s="454" t="n">
        <f aca="false">F215-H215</f>
        <v>900</v>
      </c>
      <c r="H215" s="454" t="n">
        <v>0</v>
      </c>
      <c r="I215" s="451" t="s">
        <v>828</v>
      </c>
    </row>
    <row r="216" customFormat="false" ht="20" hidden="false" customHeight="true" outlineLevel="0" collapsed="false">
      <c r="A216" s="1" t="n">
        <v>31</v>
      </c>
      <c r="B216" s="450" t="n">
        <v>43160</v>
      </c>
      <c r="C216" s="451" t="n">
        <v>541347</v>
      </c>
      <c r="D216" s="452" t="s">
        <v>42</v>
      </c>
      <c r="E216" s="453" t="n">
        <f aca="false">(C216/(A216*24))/G216</f>
        <v>0.808463261648745</v>
      </c>
      <c r="F216" s="454" t="n">
        <v>900</v>
      </c>
      <c r="G216" s="454" t="n">
        <f aca="false">F216-H216</f>
        <v>900</v>
      </c>
      <c r="H216" s="454" t="n">
        <v>0</v>
      </c>
      <c r="I216" s="451" t="s">
        <v>828</v>
      </c>
    </row>
    <row r="217" customFormat="false" ht="20" hidden="false" customHeight="true" outlineLevel="0" collapsed="false">
      <c r="A217" s="1" t="n">
        <v>30</v>
      </c>
      <c r="B217" s="450" t="n">
        <v>43191</v>
      </c>
      <c r="C217" s="451" t="n">
        <v>530635</v>
      </c>
      <c r="D217" s="452" t="s">
        <v>42</v>
      </c>
      <c r="E217" s="453" t="n">
        <f aca="false">(C217/(A217*24))/G217</f>
        <v>0.818881172839506</v>
      </c>
      <c r="F217" s="454" t="n">
        <v>900</v>
      </c>
      <c r="G217" s="454" t="n">
        <f aca="false">F217-H217</f>
        <v>900</v>
      </c>
      <c r="H217" s="454" t="n">
        <v>0</v>
      </c>
      <c r="I217" s="451" t="s">
        <v>828</v>
      </c>
    </row>
    <row r="218" customFormat="false" ht="20" hidden="false" customHeight="true" outlineLevel="0" collapsed="false">
      <c r="A218" s="1" t="n">
        <v>31</v>
      </c>
      <c r="B218" s="450" t="n">
        <v>43221</v>
      </c>
      <c r="C218" s="451" t="n">
        <v>538300</v>
      </c>
      <c r="D218" s="452" t="s">
        <v>42</v>
      </c>
      <c r="E218" s="453" t="n">
        <f aca="false">(C218/(A218*24))/G218</f>
        <v>0.803912783751493</v>
      </c>
      <c r="F218" s="454" t="n">
        <v>900</v>
      </c>
      <c r="G218" s="454" t="n">
        <f aca="false">F218-H218</f>
        <v>900</v>
      </c>
      <c r="H218" s="454" t="n">
        <v>0</v>
      </c>
      <c r="I218" s="451" t="s">
        <v>828</v>
      </c>
    </row>
    <row r="219" customFormat="false" ht="20" hidden="false" customHeight="true" outlineLevel="0" collapsed="false">
      <c r="A219" s="1" t="n">
        <v>30</v>
      </c>
      <c r="B219" s="450" t="n">
        <v>43252</v>
      </c>
      <c r="C219" s="451" t="n">
        <v>477236</v>
      </c>
      <c r="D219" s="452" t="s">
        <v>42</v>
      </c>
      <c r="E219" s="453" t="n">
        <f aca="false">(C219/(A219*24))/G219</f>
        <v>0.736475308641975</v>
      </c>
      <c r="F219" s="454" t="n">
        <v>900</v>
      </c>
      <c r="G219" s="454" t="n">
        <f aca="false">F219-H219</f>
        <v>900</v>
      </c>
      <c r="H219" s="454" t="n">
        <v>0</v>
      </c>
      <c r="I219" s="451" t="s">
        <v>828</v>
      </c>
    </row>
    <row r="220" customFormat="false" ht="20" hidden="false" customHeight="true" outlineLevel="0" collapsed="false">
      <c r="A220" s="1" t="n">
        <v>31</v>
      </c>
      <c r="B220" s="450" t="n">
        <v>43282</v>
      </c>
      <c r="C220" s="451" t="n">
        <v>354843</v>
      </c>
      <c r="D220" s="452" t="s">
        <v>42</v>
      </c>
      <c r="E220" s="453" t="n">
        <f aca="false">(C220/(A220*24))/G220</f>
        <v>0.529932795698925</v>
      </c>
      <c r="F220" s="454" t="n">
        <v>900</v>
      </c>
      <c r="G220" s="454" t="n">
        <f aca="false">F220-H220</f>
        <v>900</v>
      </c>
      <c r="H220" s="454" t="n">
        <v>0</v>
      </c>
      <c r="I220" s="451" t="s">
        <v>828</v>
      </c>
    </row>
    <row r="221" customFormat="false" ht="20" hidden="false" customHeight="true" outlineLevel="0" collapsed="false">
      <c r="A221" s="1" t="n">
        <v>31</v>
      </c>
      <c r="B221" s="450" t="n">
        <v>43313</v>
      </c>
      <c r="C221" s="451" t="n">
        <v>208436</v>
      </c>
      <c r="D221" s="452" t="s">
        <v>42</v>
      </c>
      <c r="E221" s="453" t="n">
        <f aca="false">(C221/(A221*24))/G221</f>
        <v>0.311284348864994</v>
      </c>
      <c r="F221" s="454" t="n">
        <v>900</v>
      </c>
      <c r="G221" s="454" t="n">
        <f aca="false">F221-H221</f>
        <v>900</v>
      </c>
      <c r="H221" s="454" t="n">
        <v>0</v>
      </c>
      <c r="I221" s="451" t="s">
        <v>828</v>
      </c>
    </row>
    <row r="222" customFormat="false" ht="20" hidden="false" customHeight="true" outlineLevel="0" collapsed="false">
      <c r="A222" s="1" t="n">
        <v>30</v>
      </c>
      <c r="B222" s="450" t="n">
        <v>43344</v>
      </c>
      <c r="C222" s="451" t="n">
        <v>212424</v>
      </c>
      <c r="D222" s="452" t="s">
        <v>42</v>
      </c>
      <c r="E222" s="453" t="n">
        <f aca="false">(C222/(A222*24))/G222</f>
        <v>0.327814814814815</v>
      </c>
      <c r="F222" s="454" t="n">
        <v>900</v>
      </c>
      <c r="G222" s="454" t="n">
        <f aca="false">F222-H222</f>
        <v>900</v>
      </c>
      <c r="H222" s="454" t="n">
        <v>0</v>
      </c>
      <c r="I222" s="451" t="s">
        <v>828</v>
      </c>
    </row>
    <row r="223" customFormat="false" ht="20" hidden="false" customHeight="true" outlineLevel="0" collapsed="false">
      <c r="A223" s="1" t="n">
        <v>31</v>
      </c>
      <c r="B223" s="450" t="n">
        <v>43374</v>
      </c>
      <c r="C223" s="451" t="n">
        <v>146009</v>
      </c>
      <c r="D223" s="452" t="s">
        <v>42</v>
      </c>
      <c r="E223" s="453" t="n">
        <f aca="false">(C223/(A223*24))/G223</f>
        <v>0.218054062126643</v>
      </c>
      <c r="F223" s="454" t="n">
        <v>900</v>
      </c>
      <c r="G223" s="454" t="n">
        <f aca="false">F223-H223</f>
        <v>900</v>
      </c>
      <c r="H223" s="454" t="n">
        <v>0</v>
      </c>
      <c r="I223" s="451" t="s">
        <v>828</v>
      </c>
    </row>
    <row r="224" customFormat="false" ht="20" hidden="false" customHeight="true" outlineLevel="0" collapsed="false">
      <c r="A224" s="1" t="n">
        <v>30</v>
      </c>
      <c r="B224" s="74" t="n">
        <v>43405</v>
      </c>
      <c r="C224" s="1" t="n">
        <v>320517</v>
      </c>
      <c r="D224" s="452" t="s">
        <v>42</v>
      </c>
      <c r="E224" s="453" t="n">
        <f aca="false">(C224/(A224*24))/G224</f>
        <v>0.494625</v>
      </c>
      <c r="F224" s="454" t="n">
        <v>901</v>
      </c>
      <c r="G224" s="454" t="n">
        <f aca="false">F224-H224</f>
        <v>900</v>
      </c>
      <c r="H224" s="454" t="n">
        <v>1</v>
      </c>
      <c r="I224" s="451" t="s">
        <v>828</v>
      </c>
    </row>
    <row r="225" customFormat="false" ht="20" hidden="false" customHeight="true" outlineLevel="0" collapsed="false">
      <c r="A225" s="1" t="n">
        <v>31</v>
      </c>
      <c r="B225" s="74" t="n">
        <v>43435</v>
      </c>
      <c r="C225" s="1" t="n">
        <v>501074</v>
      </c>
      <c r="D225" s="452" t="s">
        <v>42</v>
      </c>
      <c r="E225" s="453" t="n">
        <f aca="false">(C225/(A225*24))/G225</f>
        <v>0.748318399044206</v>
      </c>
      <c r="F225" s="454" t="n">
        <v>902</v>
      </c>
      <c r="G225" s="454" t="n">
        <f aca="false">F225-H225</f>
        <v>900</v>
      </c>
      <c r="H225" s="454" t="n">
        <v>2</v>
      </c>
      <c r="I225" s="451" t="s">
        <v>828</v>
      </c>
      <c r="J225" s="38"/>
    </row>
    <row r="226" customFormat="false" ht="20" hidden="false" customHeight="true" outlineLevel="0" collapsed="false"/>
    <row r="227" customFormat="false" ht="28.35" hidden="false" customHeight="true" outlineLevel="0" collapsed="false"/>
    <row r="228" customFormat="false" ht="28.35" hidden="false" customHeight="true" outlineLevel="0" collapsed="false"/>
    <row r="229" customFormat="false" ht="28.35" hidden="false" customHeight="true" outlineLevel="0" collapsed="false"/>
    <row r="230" customFormat="false" ht="28.35" hidden="false" customHeight="true" outlineLevel="0" collapsed="false"/>
    <row r="231" customFormat="false" ht="28.35" hidden="false" customHeight="tru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2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0.xml><?xml version="1.0" encoding="utf-8"?>
<worksheet xmlns="http://schemas.openxmlformats.org/spreadsheetml/2006/main" xmlns:r="http://schemas.openxmlformats.org/officeDocument/2006/relationships">
  <sheetPr filterMode="false">
    <tabColor rgb="FF168253"/>
    <pageSetUpPr fitToPage="false"/>
  </sheetPr>
  <dimension ref="A1:AB40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80" activePane="bottomRight" state="frozen"/>
      <selection pane="topLeft" activeCell="A1" activeCellId="0" sqref="A1"/>
      <selection pane="topRight" activeCell="B1" activeCellId="0" sqref="B1"/>
      <selection pane="bottomLeft" activeCell="A280" activeCellId="0" sqref="A280"/>
      <selection pane="bottomRight" activeCell="B283" activeCellId="0" sqref="B283"/>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829</v>
      </c>
      <c r="C4" s="16" t="n">
        <v>62204</v>
      </c>
      <c r="D4" s="5" t="s">
        <v>830</v>
      </c>
      <c r="E4" s="14" t="s">
        <v>831</v>
      </c>
      <c r="F4" s="15" t="n">
        <v>220</v>
      </c>
      <c r="G4" s="15" t="n">
        <v>220</v>
      </c>
      <c r="H4" s="15" t="n">
        <v>220</v>
      </c>
      <c r="I4" s="16" t="s">
        <v>832</v>
      </c>
      <c r="J4" s="15" t="n">
        <v>220</v>
      </c>
      <c r="K4" s="16" t="s">
        <v>832</v>
      </c>
      <c r="L4" s="16" t="s">
        <v>113</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c r="H6" s="19"/>
      <c r="I6" s="19"/>
      <c r="J6" s="19"/>
      <c r="K6" s="19"/>
      <c r="L6" s="19"/>
      <c r="M6" s="19"/>
      <c r="N6" s="19"/>
      <c r="P6" s="21" t="n">
        <v>41944</v>
      </c>
      <c r="Q6" s="19" t="s">
        <v>27</v>
      </c>
      <c r="R6" s="9"/>
      <c r="S6" s="22"/>
      <c r="T6" s="5" t="s">
        <v>28</v>
      </c>
    </row>
    <row r="7" customFormat="false" ht="41.65" hidden="false" customHeight="true" outlineLevel="0" collapsed="false">
      <c r="A7" s="0"/>
      <c r="B7" s="0"/>
      <c r="C7" s="126" t="s">
        <v>833</v>
      </c>
      <c r="D7" s="126"/>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205" t="s">
        <v>40</v>
      </c>
      <c r="K9" s="206"/>
    </row>
    <row r="10" customFormat="false" ht="20.5" hidden="false" customHeight="true" outlineLevel="0" collapsed="false">
      <c r="A10" s="0" t="n">
        <v>31</v>
      </c>
      <c r="B10" s="31" t="n">
        <v>35065</v>
      </c>
      <c r="C10" s="36" t="n">
        <v>87206</v>
      </c>
      <c r="D10" s="1" t="s">
        <v>41</v>
      </c>
      <c r="E10" s="33" t="n">
        <f aca="false">IF(D10="totale",(C10/(A10*24))/F10,IF(D10="marché libre",(C10/(A10*24))/G10,"spécifier histo"))</f>
        <v>0.532783479960899</v>
      </c>
      <c r="F10" s="59" t="n">
        <v>220</v>
      </c>
      <c r="G10" s="59" t="n">
        <f aca="false">F10-H10</f>
        <v>220</v>
      </c>
      <c r="H10" s="59" t="n">
        <v>0</v>
      </c>
      <c r="I10" s="36"/>
      <c r="J10" s="0"/>
      <c r="K10" s="0"/>
      <c r="L10" s="0"/>
      <c r="M10" s="0"/>
      <c r="N10" s="0"/>
      <c r="O10" s="0"/>
      <c r="P10" s="0"/>
      <c r="Q10" s="0"/>
      <c r="R10" s="0"/>
      <c r="S10" s="0"/>
      <c r="T10" s="0"/>
      <c r="U10" s="0"/>
      <c r="V10" s="0"/>
      <c r="W10" s="0"/>
      <c r="X10" s="0"/>
      <c r="Y10" s="0"/>
      <c r="Z10" s="0"/>
      <c r="AA10" s="0"/>
      <c r="AB10" s="36"/>
    </row>
    <row r="11" customFormat="false" ht="20.5" hidden="false" customHeight="true" outlineLevel="0" collapsed="false">
      <c r="A11" s="0" t="n">
        <v>28</v>
      </c>
      <c r="B11" s="34" t="n">
        <v>35096</v>
      </c>
      <c r="C11" s="36" t="n">
        <v>76135</v>
      </c>
      <c r="D11" s="1" t="s">
        <v>41</v>
      </c>
      <c r="E11" s="33" t="n">
        <f aca="false">IF(D11="totale",(C11/(A11*24))/F11,IF(D11="marché libre",(C11/(A11*24))/G11,"spécifier histo"))</f>
        <v>0.514982413419913</v>
      </c>
      <c r="F11" s="59" t="n">
        <v>220</v>
      </c>
      <c r="G11" s="59" t="n">
        <f aca="false">F11-H11</f>
        <v>220</v>
      </c>
      <c r="H11" s="59" t="n">
        <v>0</v>
      </c>
      <c r="I11" s="36"/>
      <c r="J11" s="0"/>
      <c r="K11" s="0"/>
      <c r="L11" s="0"/>
      <c r="M11" s="0"/>
      <c r="N11" s="0"/>
      <c r="O11" s="0"/>
      <c r="P11" s="0"/>
      <c r="Q11" s="0"/>
      <c r="R11" s="0"/>
      <c r="S11" s="0"/>
      <c r="T11" s="0"/>
      <c r="U11" s="0"/>
      <c r="V11" s="0"/>
      <c r="W11" s="0"/>
      <c r="X11" s="0"/>
      <c r="Y11" s="0"/>
      <c r="Z11" s="0"/>
      <c r="AA11" s="0"/>
      <c r="AB11" s="36"/>
    </row>
    <row r="12" customFormat="false" ht="20.5" hidden="false" customHeight="true" outlineLevel="0" collapsed="false">
      <c r="A12" s="0" t="n">
        <v>31</v>
      </c>
      <c r="B12" s="31" t="n">
        <v>35125</v>
      </c>
      <c r="C12" s="36" t="n">
        <v>84173</v>
      </c>
      <c r="D12" s="1" t="s">
        <v>41</v>
      </c>
      <c r="E12" s="33" t="n">
        <f aca="false">IF(D12="totale",(C12/(A12*24))/F12,IF(D12="marché libre",(C12/(A12*24))/G12,"spécifier histo"))</f>
        <v>0.514253421309873</v>
      </c>
      <c r="F12" s="59" t="n">
        <v>220</v>
      </c>
      <c r="G12" s="59" t="n">
        <f aca="false">F12-H12</f>
        <v>220</v>
      </c>
      <c r="H12" s="59" t="n">
        <v>0</v>
      </c>
      <c r="I12" s="36"/>
      <c r="J12" s="0"/>
      <c r="K12" s="36"/>
      <c r="L12" s="36"/>
      <c r="M12" s="0"/>
      <c r="N12" s="0"/>
      <c r="O12" s="36"/>
      <c r="P12" s="0"/>
      <c r="Q12" s="0"/>
      <c r="R12" s="0"/>
      <c r="S12" s="36"/>
      <c r="T12" s="0"/>
      <c r="U12" s="0"/>
      <c r="V12" s="36"/>
      <c r="W12" s="0"/>
      <c r="X12" s="36"/>
      <c r="Y12" s="0"/>
      <c r="Z12" s="36"/>
      <c r="AA12" s="36"/>
      <c r="AB12" s="36"/>
    </row>
    <row r="13" customFormat="false" ht="20.5" hidden="false" customHeight="true" outlineLevel="0" collapsed="false">
      <c r="A13" s="0" t="n">
        <v>30</v>
      </c>
      <c r="B13" s="34" t="n">
        <v>35156</v>
      </c>
      <c r="C13" s="36" t="n">
        <v>42506</v>
      </c>
      <c r="D13" s="1" t="s">
        <v>41</v>
      </c>
      <c r="E13" s="33" t="n">
        <f aca="false">IF(D13="totale",(C13/(A13*24))/F13,IF(D13="marché libre",(C13/(A13*24))/G13,"spécifier histo"))</f>
        <v>0.26834595959596</v>
      </c>
      <c r="F13" s="59" t="n">
        <v>220</v>
      </c>
      <c r="G13" s="59" t="n">
        <f aca="false">F13-H13</f>
        <v>220</v>
      </c>
      <c r="H13" s="59" t="n">
        <v>0</v>
      </c>
      <c r="I13" s="36"/>
      <c r="J13" s="0"/>
      <c r="K13" s="36"/>
      <c r="L13" s="36"/>
      <c r="M13" s="0"/>
      <c r="N13" s="0"/>
      <c r="O13" s="36"/>
      <c r="P13" s="0"/>
      <c r="Q13" s="0"/>
      <c r="R13" s="0"/>
      <c r="S13" s="36"/>
      <c r="T13" s="0"/>
      <c r="U13" s="0"/>
      <c r="V13" s="36"/>
      <c r="W13" s="0"/>
      <c r="X13" s="36"/>
      <c r="Y13" s="0"/>
      <c r="Z13" s="36"/>
      <c r="AA13" s="36"/>
      <c r="AB13" s="36"/>
    </row>
    <row r="14" customFormat="false" ht="20.5" hidden="false" customHeight="true" outlineLevel="0" collapsed="false">
      <c r="A14" s="0" t="n">
        <v>31</v>
      </c>
      <c r="B14" s="31" t="n">
        <v>35186</v>
      </c>
      <c r="C14" s="36" t="n">
        <v>81394</v>
      </c>
      <c r="D14" s="1" t="s">
        <v>41</v>
      </c>
      <c r="E14" s="33" t="n">
        <f aca="false">IF(D14="totale",(C14/(A14*24))/F14,IF(D14="marché libre",(C14/(A14*24))/G14,"spécifier histo"))</f>
        <v>0.497275171065494</v>
      </c>
      <c r="F14" s="59" t="n">
        <v>220</v>
      </c>
      <c r="G14" s="59" t="n">
        <f aca="false">F14-H14</f>
        <v>220</v>
      </c>
      <c r="H14" s="59" t="n">
        <v>0</v>
      </c>
      <c r="I14" s="9"/>
      <c r="J14" s="0"/>
      <c r="K14" s="206"/>
      <c r="M14" s="0"/>
      <c r="N14" s="0"/>
      <c r="P14" s="0"/>
      <c r="Q14" s="0"/>
      <c r="R14" s="0"/>
      <c r="T14" s="0"/>
      <c r="U14" s="0"/>
      <c r="W14" s="0"/>
      <c r="Y14" s="0"/>
    </row>
    <row r="15" customFormat="false" ht="20.5" hidden="false" customHeight="true" outlineLevel="0" collapsed="false">
      <c r="A15" s="0" t="n">
        <v>30</v>
      </c>
      <c r="B15" s="34" t="n">
        <v>35217</v>
      </c>
      <c r="C15" s="36" t="n">
        <v>24967</v>
      </c>
      <c r="D15" s="1" t="s">
        <v>41</v>
      </c>
      <c r="E15" s="33" t="n">
        <f aca="false">IF(D15="totale",(C15/(A15*24))/F15,IF(D15="marché libre",(C15/(A15*24))/G15,"spécifier histo"))</f>
        <v>0.157619949494949</v>
      </c>
      <c r="F15" s="59" t="n">
        <v>220</v>
      </c>
      <c r="G15" s="59" t="n">
        <f aca="false">F15-H15</f>
        <v>220</v>
      </c>
      <c r="H15" s="59" t="n">
        <v>0</v>
      </c>
      <c r="I15" s="9"/>
      <c r="J15" s="0"/>
      <c r="K15" s="206"/>
      <c r="M15" s="0"/>
      <c r="N15" s="0"/>
      <c r="P15" s="0"/>
      <c r="Q15" s="0"/>
      <c r="R15" s="0"/>
      <c r="T15" s="0"/>
      <c r="U15" s="0"/>
      <c r="W15" s="0"/>
      <c r="Y15" s="0"/>
    </row>
    <row r="16" customFormat="false" ht="20.5" hidden="false" customHeight="true" outlineLevel="0" collapsed="false">
      <c r="A16" s="0" t="n">
        <v>31</v>
      </c>
      <c r="B16" s="31" t="n">
        <v>35247</v>
      </c>
      <c r="C16" s="36" t="n">
        <v>16967</v>
      </c>
      <c r="D16" s="1" t="s">
        <v>41</v>
      </c>
      <c r="E16" s="33" t="n">
        <f aca="false">IF(D16="totale",(C16/(A16*24))/F16,IF(D16="marché libre",(C16/(A16*24))/G16,"spécifier histo"))</f>
        <v>0.103659579667644</v>
      </c>
      <c r="F16" s="59" t="n">
        <v>220</v>
      </c>
      <c r="G16" s="59" t="n">
        <f aca="false">F16-H16</f>
        <v>220</v>
      </c>
      <c r="H16" s="59" t="n">
        <v>0</v>
      </c>
      <c r="I16" s="9"/>
      <c r="J16" s="0"/>
      <c r="K16" s="206"/>
      <c r="M16" s="0"/>
      <c r="N16" s="0"/>
      <c r="P16" s="0"/>
      <c r="Q16" s="0"/>
      <c r="R16" s="0"/>
      <c r="T16" s="0"/>
      <c r="U16" s="0"/>
      <c r="W16" s="0"/>
      <c r="Y16" s="0"/>
    </row>
    <row r="17" customFormat="false" ht="20.5" hidden="false" customHeight="true" outlineLevel="0" collapsed="false">
      <c r="A17" s="0" t="n">
        <v>31</v>
      </c>
      <c r="B17" s="34" t="n">
        <v>35278</v>
      </c>
      <c r="C17" s="36" t="n">
        <v>0</v>
      </c>
      <c r="D17" s="1" t="s">
        <v>41</v>
      </c>
      <c r="E17" s="33" t="n">
        <f aca="false">IF(D17="totale",(C17/(A17*24))/F17,IF(D17="marché libre",(C17/(A17*24))/G17,"spécifier histo"))</f>
        <v>0</v>
      </c>
      <c r="F17" s="59" t="n">
        <v>220</v>
      </c>
      <c r="G17" s="59" t="n">
        <f aca="false">F17-H17</f>
        <v>220</v>
      </c>
      <c r="H17" s="59" t="n">
        <v>0</v>
      </c>
      <c r="I17" s="9"/>
      <c r="J17" s="0"/>
      <c r="K17" s="206"/>
      <c r="M17" s="0"/>
      <c r="N17" s="0"/>
      <c r="P17" s="0"/>
      <c r="Q17" s="0"/>
      <c r="R17" s="0"/>
      <c r="T17" s="0"/>
      <c r="U17" s="0"/>
      <c r="W17" s="0"/>
      <c r="Y17" s="0"/>
    </row>
    <row r="18" customFormat="false" ht="20.5" hidden="false" customHeight="true" outlineLevel="0" collapsed="false">
      <c r="A18" s="0" t="n">
        <v>30</v>
      </c>
      <c r="B18" s="31" t="n">
        <v>35309</v>
      </c>
      <c r="C18" s="36" t="n">
        <v>5817</v>
      </c>
      <c r="D18" s="1" t="s">
        <v>41</v>
      </c>
      <c r="E18" s="33" t="n">
        <f aca="false">IF(D18="totale",(C18/(A18*24))/F18,IF(D18="marché libre",(C18/(A18*24))/G18,"spécifier histo"))</f>
        <v>0.0367234848484849</v>
      </c>
      <c r="F18" s="59" t="n">
        <v>220</v>
      </c>
      <c r="G18" s="59" t="n">
        <f aca="false">F18-H18</f>
        <v>220</v>
      </c>
      <c r="H18" s="59" t="n">
        <v>0</v>
      </c>
      <c r="I18" s="9"/>
      <c r="J18" s="0"/>
      <c r="K18" s="206"/>
      <c r="M18" s="0"/>
      <c r="N18" s="0"/>
      <c r="P18" s="0"/>
      <c r="Q18" s="0"/>
      <c r="R18" s="0"/>
      <c r="T18" s="0"/>
      <c r="U18" s="0"/>
      <c r="W18" s="0"/>
      <c r="Y18" s="0"/>
    </row>
    <row r="19" customFormat="false" ht="20.5" hidden="false" customHeight="true" outlineLevel="0" collapsed="false">
      <c r="A19" s="0" t="n">
        <v>31</v>
      </c>
      <c r="B19" s="34" t="n">
        <v>35339</v>
      </c>
      <c r="C19" s="36" t="n">
        <v>7225</v>
      </c>
      <c r="D19" s="1" t="s">
        <v>41</v>
      </c>
      <c r="E19" s="33" t="n">
        <f aca="false">IF(D19="totale",(C19/(A19*24))/F19,IF(D19="marché libre",(C19/(A19*24))/G19,"spécifier histo"))</f>
        <v>0.0441410068426197</v>
      </c>
      <c r="F19" s="59" t="n">
        <v>220</v>
      </c>
      <c r="G19" s="59" t="n">
        <f aca="false">F19-H19</f>
        <v>220</v>
      </c>
      <c r="H19" s="59" t="n">
        <v>0</v>
      </c>
      <c r="I19" s="9"/>
      <c r="J19" s="0"/>
      <c r="K19" s="206"/>
      <c r="M19" s="0"/>
      <c r="N19" s="0"/>
      <c r="P19" s="0"/>
      <c r="Q19" s="0"/>
      <c r="R19" s="0"/>
      <c r="T19" s="0"/>
      <c r="U19" s="0"/>
      <c r="W19" s="0"/>
      <c r="Y19" s="0"/>
    </row>
    <row r="20" customFormat="false" ht="20.5" hidden="false" customHeight="true" outlineLevel="0" collapsed="false">
      <c r="A20" s="0" t="n">
        <v>30</v>
      </c>
      <c r="B20" s="31" t="n">
        <v>35370</v>
      </c>
      <c r="C20" s="36" t="n">
        <v>15147</v>
      </c>
      <c r="D20" s="1" t="s">
        <v>41</v>
      </c>
      <c r="E20" s="33" t="n">
        <f aca="false">IF(D20="totale",(C20/(A20*24))/F20,IF(D20="marché libre",(C20/(A20*24))/G20,"spécifier histo"))</f>
        <v>0.095625</v>
      </c>
      <c r="F20" s="59" t="n">
        <v>220</v>
      </c>
      <c r="G20" s="59" t="n">
        <f aca="false">F20-H20</f>
        <v>220</v>
      </c>
      <c r="H20" s="59" t="n">
        <v>0</v>
      </c>
      <c r="I20" s="9"/>
      <c r="J20" s="0"/>
      <c r="K20" s="206"/>
      <c r="M20" s="0"/>
      <c r="N20" s="0"/>
      <c r="P20" s="0"/>
      <c r="Q20" s="0"/>
      <c r="R20" s="0"/>
      <c r="T20" s="0"/>
      <c r="U20" s="0"/>
      <c r="W20" s="0"/>
      <c r="Y20" s="0"/>
    </row>
    <row r="21" customFormat="false" ht="20.5" hidden="false" customHeight="true" outlineLevel="0" collapsed="false">
      <c r="A21" s="0" t="n">
        <v>31</v>
      </c>
      <c r="B21" s="34" t="n">
        <v>35400</v>
      </c>
      <c r="C21" s="36" t="n">
        <v>48160</v>
      </c>
      <c r="D21" s="1" t="s">
        <v>41</v>
      </c>
      <c r="E21" s="33" t="n">
        <f aca="false">IF(D21="totale",(C21/(A21*24))/F21,IF(D21="marché libre",(C21/(A21*24))/G21,"spécifier histo"))</f>
        <v>0.294232649071359</v>
      </c>
      <c r="F21" s="59" t="n">
        <v>220</v>
      </c>
      <c r="G21" s="59" t="n">
        <f aca="false">F21-H21</f>
        <v>220</v>
      </c>
      <c r="H21" s="59" t="n">
        <v>0</v>
      </c>
      <c r="I21" s="9"/>
      <c r="J21" s="0"/>
      <c r="K21" s="206"/>
      <c r="M21" s="0"/>
      <c r="N21" s="0"/>
      <c r="P21" s="0"/>
      <c r="Q21" s="0"/>
      <c r="R21" s="0"/>
      <c r="T21" s="0"/>
      <c r="U21" s="0"/>
      <c r="W21" s="0"/>
      <c r="Y21" s="0"/>
    </row>
    <row r="22" customFormat="false" ht="20.5" hidden="false" customHeight="true" outlineLevel="0" collapsed="false">
      <c r="A22" s="0" t="n">
        <v>31</v>
      </c>
      <c r="B22" s="31" t="n">
        <v>35431</v>
      </c>
      <c r="C22" s="36" t="n">
        <v>53051</v>
      </c>
      <c r="D22" s="1" t="s">
        <v>41</v>
      </c>
      <c r="E22" s="33" t="n">
        <f aca="false">IF(D22="totale",(C22/(A22*24))/F22,IF(D22="marché libre",(C22/(A22*24))/G22,"spécifier histo"))</f>
        <v>0.32411412512219</v>
      </c>
      <c r="F22" s="59" t="n">
        <v>220</v>
      </c>
      <c r="G22" s="59" t="n">
        <f aca="false">F22-H22</f>
        <v>220</v>
      </c>
      <c r="H22" s="59" t="n">
        <v>0</v>
      </c>
      <c r="I22" s="9"/>
      <c r="J22" s="0"/>
      <c r="K22" s="206"/>
      <c r="M22" s="0"/>
      <c r="N22" s="0"/>
      <c r="P22" s="0"/>
      <c r="Q22" s="0"/>
      <c r="R22" s="0"/>
      <c r="T22" s="0"/>
      <c r="U22" s="0"/>
      <c r="W22" s="0"/>
      <c r="Y22" s="0"/>
    </row>
    <row r="23" customFormat="false" ht="20.5" hidden="false" customHeight="true" outlineLevel="0" collapsed="false">
      <c r="A23" s="0" t="n">
        <v>28</v>
      </c>
      <c r="B23" s="34" t="n">
        <v>35462</v>
      </c>
      <c r="C23" s="36" t="n">
        <v>77299</v>
      </c>
      <c r="D23" s="1" t="s">
        <v>41</v>
      </c>
      <c r="E23" s="33" t="n">
        <f aca="false">IF(D23="totale",(C23/(A23*24))/F23,IF(D23="marché libre",(C23/(A23*24))/G23,"spécifier histo"))</f>
        <v>0.52285579004329</v>
      </c>
      <c r="F23" s="59" t="n">
        <v>220</v>
      </c>
      <c r="G23" s="59" t="n">
        <f aca="false">F23-H23</f>
        <v>220</v>
      </c>
      <c r="H23" s="59" t="n">
        <v>0</v>
      </c>
      <c r="I23" s="9"/>
      <c r="J23" s="0"/>
      <c r="K23" s="206"/>
      <c r="M23" s="0"/>
      <c r="N23" s="0"/>
      <c r="P23" s="0"/>
      <c r="Q23" s="0"/>
      <c r="R23" s="0"/>
      <c r="T23" s="0"/>
      <c r="U23" s="0"/>
      <c r="W23" s="0"/>
      <c r="Y23" s="0"/>
    </row>
    <row r="24" customFormat="false" ht="20.5" hidden="false" customHeight="true" outlineLevel="0" collapsed="false">
      <c r="A24" s="0" t="n">
        <v>31</v>
      </c>
      <c r="B24" s="31" t="n">
        <v>35490</v>
      </c>
      <c r="C24" s="36" t="n">
        <v>44274</v>
      </c>
      <c r="D24" s="1" t="s">
        <v>41</v>
      </c>
      <c r="E24" s="33" t="n">
        <f aca="false">IF(D24="totale",(C24/(A24*24))/F24,IF(D24="marché libre",(C24/(A24*24))/G24,"spécifier histo"))</f>
        <v>0.270491202346041</v>
      </c>
      <c r="F24" s="59" t="n">
        <v>220</v>
      </c>
      <c r="G24" s="59" t="n">
        <f aca="false">F24-H24</f>
        <v>220</v>
      </c>
      <c r="H24" s="59" t="n">
        <v>0</v>
      </c>
      <c r="I24" s="9"/>
      <c r="J24" s="0"/>
      <c r="K24" s="206"/>
      <c r="M24" s="0"/>
      <c r="P24" s="0"/>
      <c r="Q24" s="0"/>
      <c r="T24" s="0"/>
      <c r="W24" s="0"/>
      <c r="Y24" s="0"/>
    </row>
    <row r="25" customFormat="false" ht="20.5" hidden="false" customHeight="true" outlineLevel="0" collapsed="false">
      <c r="A25" s="0" t="n">
        <v>30</v>
      </c>
      <c r="B25" s="34" t="n">
        <v>35521</v>
      </c>
      <c r="C25" s="36" t="n">
        <v>4565</v>
      </c>
      <c r="D25" s="1" t="s">
        <v>41</v>
      </c>
      <c r="E25" s="33" t="n">
        <f aca="false">IF(D25="totale",(C25/(A25*24))/F25,IF(D25="marché libre",(C25/(A25*24))/G25,"spécifier histo"))</f>
        <v>0.0288194444444444</v>
      </c>
      <c r="F25" s="59" t="n">
        <v>220</v>
      </c>
      <c r="G25" s="59" t="n">
        <f aca="false">F25-H25</f>
        <v>220</v>
      </c>
      <c r="H25" s="59" t="n">
        <v>0</v>
      </c>
      <c r="I25" s="9"/>
      <c r="J25" s="0"/>
      <c r="K25" s="206"/>
      <c r="M25" s="0"/>
      <c r="P25" s="0"/>
      <c r="Q25" s="0"/>
      <c r="T25" s="0"/>
      <c r="Y25" s="0"/>
    </row>
    <row r="26" customFormat="false" ht="20.5" hidden="false" customHeight="true" outlineLevel="0" collapsed="false">
      <c r="A26" s="0" t="n">
        <v>31</v>
      </c>
      <c r="B26" s="31" t="n">
        <v>35551</v>
      </c>
      <c r="C26" s="36" t="n">
        <v>29008</v>
      </c>
      <c r="D26" s="1" t="s">
        <v>41</v>
      </c>
      <c r="E26" s="33" t="n">
        <f aca="false">IF(D26="totale",(C26/(A26*24))/F26,IF(D26="marché libre",(C26/(A26*24))/G26,"spécifier histo"))</f>
        <v>0.1772238514174</v>
      </c>
      <c r="F26" s="59" t="n">
        <v>220</v>
      </c>
      <c r="G26" s="59" t="n">
        <f aca="false">F26-H26</f>
        <v>220</v>
      </c>
      <c r="H26" s="59" t="n">
        <v>0</v>
      </c>
      <c r="I26" s="9"/>
      <c r="J26" s="0"/>
      <c r="K26" s="206"/>
      <c r="M26" s="0"/>
      <c r="P26" s="0"/>
      <c r="Q26" s="0"/>
      <c r="T26" s="0"/>
      <c r="Y26" s="0"/>
    </row>
    <row r="27" customFormat="false" ht="20.5" hidden="false" customHeight="true" outlineLevel="0" collapsed="false">
      <c r="A27" s="0" t="n">
        <v>30</v>
      </c>
      <c r="B27" s="34" t="n">
        <v>35582</v>
      </c>
      <c r="C27" s="36" t="n">
        <v>19612</v>
      </c>
      <c r="D27" s="1" t="s">
        <v>41</v>
      </c>
      <c r="E27" s="33" t="n">
        <f aca="false">IF(D27="totale",(C27/(A27*24))/F27,IF(D27="marché libre",(C27/(A27*24))/G27,"spécifier histo"))</f>
        <v>0.123813131313131</v>
      </c>
      <c r="F27" s="59" t="n">
        <v>220</v>
      </c>
      <c r="G27" s="59" t="n">
        <f aca="false">F27-H27</f>
        <v>220</v>
      </c>
      <c r="H27" s="59" t="n">
        <v>0</v>
      </c>
      <c r="I27" s="9"/>
      <c r="J27" s="0"/>
      <c r="K27" s="206"/>
      <c r="M27" s="0"/>
      <c r="P27" s="0"/>
      <c r="Q27" s="0"/>
      <c r="T27" s="0"/>
      <c r="Y27" s="0"/>
    </row>
    <row r="28" customFormat="false" ht="20.5" hidden="false" customHeight="true" outlineLevel="0" collapsed="false">
      <c r="A28" s="0" t="n">
        <v>31</v>
      </c>
      <c r="B28" s="31" t="n">
        <v>35612</v>
      </c>
      <c r="C28" s="36" t="n">
        <v>68462</v>
      </c>
      <c r="D28" s="1" t="s">
        <v>41</v>
      </c>
      <c r="E28" s="33" t="n">
        <f aca="false">IF(D28="totale",(C28/(A28*24))/F28,IF(D28="marché libre",(C28/(A28*24))/G28,"spécifier histo"))</f>
        <v>0.418267350928641</v>
      </c>
      <c r="F28" s="59" t="n">
        <v>220</v>
      </c>
      <c r="G28" s="59" t="n">
        <f aca="false">F28-H28</f>
        <v>220</v>
      </c>
      <c r="H28" s="59" t="n">
        <v>0</v>
      </c>
      <c r="I28" s="9"/>
      <c r="J28" s="0"/>
      <c r="K28" s="206"/>
      <c r="M28" s="0"/>
      <c r="P28" s="0"/>
      <c r="Q28" s="0"/>
      <c r="T28" s="0"/>
      <c r="Y28" s="0"/>
    </row>
    <row r="29" customFormat="false" ht="20.5" hidden="false" customHeight="true" outlineLevel="0" collapsed="false">
      <c r="A29" s="0" t="n">
        <v>31</v>
      </c>
      <c r="B29" s="34" t="n">
        <v>35643</v>
      </c>
      <c r="C29" s="36" t="n">
        <v>45787</v>
      </c>
      <c r="D29" s="1" t="s">
        <v>41</v>
      </c>
      <c r="E29" s="33" t="n">
        <f aca="false">IF(D29="totale",(C29/(A29*24))/F29,IF(D29="marché libre",(C29/(A29*24))/G29,"spécifier histo"))</f>
        <v>0.279734848484848</v>
      </c>
      <c r="F29" s="59" t="n">
        <v>220</v>
      </c>
      <c r="G29" s="59" t="n">
        <f aca="false">F29-H29</f>
        <v>220</v>
      </c>
      <c r="H29" s="59" t="n">
        <v>0</v>
      </c>
      <c r="I29" s="9"/>
      <c r="J29" s="0"/>
      <c r="K29" s="206"/>
      <c r="M29" s="0"/>
      <c r="P29" s="0"/>
      <c r="Q29" s="0"/>
      <c r="T29" s="0"/>
      <c r="Y29" s="0"/>
    </row>
    <row r="30" customFormat="false" ht="20.5" hidden="false" customHeight="true" outlineLevel="0" collapsed="false">
      <c r="A30" s="0" t="n">
        <v>30</v>
      </c>
      <c r="B30" s="31" t="n">
        <v>35674</v>
      </c>
      <c r="C30" s="36" t="n">
        <v>45273</v>
      </c>
      <c r="D30" s="1" t="s">
        <v>41</v>
      </c>
      <c r="E30" s="33" t="n">
        <f aca="false">IF(D30="totale",(C30/(A30*24))/F30,IF(D30="marché libre",(C30/(A30*24))/G30,"spécifier histo"))</f>
        <v>0.285814393939394</v>
      </c>
      <c r="F30" s="59" t="n">
        <v>220</v>
      </c>
      <c r="G30" s="59" t="n">
        <f aca="false">F30-H30</f>
        <v>220</v>
      </c>
      <c r="H30" s="59" t="n">
        <v>0</v>
      </c>
      <c r="I30" s="9"/>
      <c r="J30" s="0"/>
      <c r="K30" s="206"/>
      <c r="M30" s="0"/>
      <c r="P30" s="0"/>
      <c r="Q30" s="0"/>
      <c r="T30" s="0"/>
      <c r="Y30" s="0"/>
    </row>
    <row r="31" customFormat="false" ht="20.5" hidden="false" customHeight="true" outlineLevel="0" collapsed="false">
      <c r="A31" s="0" t="n">
        <v>31</v>
      </c>
      <c r="B31" s="34" t="n">
        <v>35704</v>
      </c>
      <c r="C31" s="36" t="n">
        <v>16575</v>
      </c>
      <c r="D31" s="1" t="s">
        <v>41</v>
      </c>
      <c r="E31" s="33" t="n">
        <f aca="false">IF(D31="totale",(C31/(A31*24))/F31,IF(D31="marché libre",(C31/(A31*24))/G31,"spécifier histo"))</f>
        <v>0.101264662756598</v>
      </c>
      <c r="F31" s="59" t="n">
        <v>220</v>
      </c>
      <c r="G31" s="59" t="n">
        <f aca="false">F31-H31</f>
        <v>220</v>
      </c>
      <c r="H31" s="59" t="n">
        <v>0</v>
      </c>
      <c r="I31" s="9"/>
      <c r="J31" s="0"/>
      <c r="K31" s="206"/>
      <c r="M31" s="0"/>
      <c r="P31" s="0"/>
      <c r="Q31" s="0"/>
      <c r="T31" s="0"/>
      <c r="Y31" s="0"/>
    </row>
    <row r="32" customFormat="false" ht="20.5" hidden="false" customHeight="true" outlineLevel="0" collapsed="false">
      <c r="A32" s="0" t="n">
        <v>30</v>
      </c>
      <c r="B32" s="31" t="n">
        <v>35735</v>
      </c>
      <c r="C32" s="36" t="n">
        <v>35538</v>
      </c>
      <c r="D32" s="1" t="s">
        <v>41</v>
      </c>
      <c r="E32" s="33" t="n">
        <f aca="false">IF(D32="totale",(C32/(A32*24))/F32,IF(D32="marché libre",(C32/(A32*24))/G32,"spécifier histo"))</f>
        <v>0.224356060606061</v>
      </c>
      <c r="F32" s="59" t="n">
        <v>220</v>
      </c>
      <c r="G32" s="59" t="n">
        <f aca="false">F32-H32</f>
        <v>220</v>
      </c>
      <c r="H32" s="59" t="n">
        <v>0</v>
      </c>
      <c r="I32" s="9"/>
      <c r="J32" s="0"/>
      <c r="K32" s="206"/>
      <c r="M32" s="0"/>
      <c r="P32" s="0"/>
      <c r="Q32" s="0"/>
      <c r="T32" s="0"/>
      <c r="Y32" s="0"/>
    </row>
    <row r="33" customFormat="false" ht="20.5" hidden="false" customHeight="true" outlineLevel="0" collapsed="false">
      <c r="A33" s="0" t="n">
        <v>31</v>
      </c>
      <c r="B33" s="34" t="n">
        <v>35765</v>
      </c>
      <c r="C33" s="36" t="n">
        <v>87308</v>
      </c>
      <c r="D33" s="1" t="s">
        <v>41</v>
      </c>
      <c r="E33" s="33" t="n">
        <f aca="false">IF(D33="totale",(C33/(A33*24))/F33,IF(D33="marché libre",(C33/(A33*24))/G33,"spécifier histo"))</f>
        <v>0.533406647116324</v>
      </c>
      <c r="F33" s="59" t="n">
        <v>220</v>
      </c>
      <c r="G33" s="59" t="n">
        <f aca="false">F33-H33</f>
        <v>220</v>
      </c>
      <c r="H33" s="59" t="n">
        <v>0</v>
      </c>
      <c r="I33" s="9"/>
      <c r="J33" s="0"/>
      <c r="K33" s="206"/>
      <c r="M33" s="0"/>
      <c r="P33" s="0"/>
      <c r="Q33" s="0"/>
      <c r="T33" s="0"/>
      <c r="Y33" s="0"/>
    </row>
    <row r="34" customFormat="false" ht="20.5" hidden="false" customHeight="true" outlineLevel="0" collapsed="false">
      <c r="A34" s="0" t="n">
        <v>31</v>
      </c>
      <c r="B34" s="31" t="n">
        <v>35796</v>
      </c>
      <c r="C34" s="36" t="n">
        <v>86719</v>
      </c>
      <c r="D34" s="1" t="s">
        <v>41</v>
      </c>
      <c r="E34" s="33" t="n">
        <f aca="false">IF(D34="totale",(C34/(A34*24))/F34,IF(D34="marché libre",(C34/(A34*24))/G34,"spécifier histo"))</f>
        <v>0.52980816226784</v>
      </c>
      <c r="F34" s="59" t="n">
        <v>220</v>
      </c>
      <c r="G34" s="59" t="n">
        <f aca="false">F34-H34</f>
        <v>220</v>
      </c>
      <c r="H34" s="59" t="n">
        <v>0</v>
      </c>
      <c r="I34" s="9"/>
      <c r="J34" s="0"/>
      <c r="K34" s="206"/>
      <c r="M34" s="0"/>
      <c r="P34" s="0"/>
      <c r="Q34" s="0"/>
      <c r="T34" s="0"/>
      <c r="Y34" s="0"/>
    </row>
    <row r="35" customFormat="false" ht="20.5" hidden="false" customHeight="true" outlineLevel="0" collapsed="false">
      <c r="A35" s="0" t="n">
        <v>28</v>
      </c>
      <c r="B35" s="34" t="n">
        <v>35827</v>
      </c>
      <c r="C35" s="36" t="n">
        <v>69320</v>
      </c>
      <c r="D35" s="1" t="s">
        <v>41</v>
      </c>
      <c r="E35" s="33" t="n">
        <f aca="false">IF(D35="totale",(C35/(A35*24))/F35,IF(D35="marché libre",(C35/(A35*24))/G35,"spécifier histo"))</f>
        <v>0.468885281385281</v>
      </c>
      <c r="F35" s="59" t="n">
        <v>220</v>
      </c>
      <c r="G35" s="59" t="n">
        <f aca="false">F35-H35</f>
        <v>220</v>
      </c>
      <c r="H35" s="59" t="n">
        <v>0</v>
      </c>
      <c r="I35" s="9"/>
      <c r="J35" s="0"/>
      <c r="K35" s="206"/>
      <c r="M35" s="0"/>
      <c r="P35" s="0"/>
      <c r="Q35" s="0"/>
      <c r="T35" s="0"/>
      <c r="Y35" s="0"/>
    </row>
    <row r="36" customFormat="false" ht="20.5" hidden="false" customHeight="true" outlineLevel="0" collapsed="false">
      <c r="A36" s="0" t="n">
        <v>31</v>
      </c>
      <c r="B36" s="31" t="n">
        <v>35855</v>
      </c>
      <c r="C36" s="36" t="n">
        <v>66637</v>
      </c>
      <c r="D36" s="1" t="s">
        <v>41</v>
      </c>
      <c r="E36" s="33" t="n">
        <f aca="false">IF(D36="totale",(C36/(A36*24))/F36,IF(D36="marché libre",(C36/(A36*24))/G36,"spécifier histo"))</f>
        <v>0.407117546432063</v>
      </c>
      <c r="F36" s="59" t="n">
        <v>220</v>
      </c>
      <c r="G36" s="59" t="n">
        <f aca="false">F36-H36</f>
        <v>220</v>
      </c>
      <c r="H36" s="59" t="n">
        <v>0</v>
      </c>
      <c r="I36" s="9"/>
      <c r="J36" s="0"/>
      <c r="K36" s="206"/>
      <c r="M36" s="0"/>
      <c r="P36" s="0"/>
      <c r="Q36" s="0"/>
      <c r="T36" s="0"/>
      <c r="Y36" s="0"/>
    </row>
    <row r="37" customFormat="false" ht="20.5" hidden="false" customHeight="true" outlineLevel="0" collapsed="false">
      <c r="A37" s="0" t="n">
        <v>30</v>
      </c>
      <c r="B37" s="34" t="n">
        <v>35886</v>
      </c>
      <c r="C37" s="36" t="n">
        <v>81209</v>
      </c>
      <c r="D37" s="1" t="s">
        <v>41</v>
      </c>
      <c r="E37" s="33" t="n">
        <f aca="false">IF(D37="totale",(C37/(A37*24))/F37,IF(D37="marché libre",(C37/(A37*24))/G37,"spécifier histo"))</f>
        <v>0.512683080808081</v>
      </c>
      <c r="F37" s="59" t="n">
        <v>220</v>
      </c>
      <c r="G37" s="59" t="n">
        <f aca="false">F37-H37</f>
        <v>220</v>
      </c>
      <c r="H37" s="59" t="n">
        <v>0</v>
      </c>
      <c r="I37" s="9"/>
      <c r="J37" s="0"/>
      <c r="K37" s="206"/>
      <c r="P37" s="0"/>
      <c r="Q37" s="0"/>
      <c r="T37" s="0"/>
      <c r="Y37" s="0"/>
    </row>
    <row r="38" customFormat="false" ht="20.5" hidden="false" customHeight="true" outlineLevel="0" collapsed="false">
      <c r="A38" s="0" t="n">
        <v>31</v>
      </c>
      <c r="B38" s="31" t="n">
        <v>35916</v>
      </c>
      <c r="C38" s="36" t="n">
        <v>92217</v>
      </c>
      <c r="D38" s="1" t="s">
        <v>41</v>
      </c>
      <c r="E38" s="33" t="n">
        <f aca="false">IF(D38="totale",(C38/(A38*24))/F38,IF(D38="marché libre",(C38/(A38*24))/G38,"spécifier histo"))</f>
        <v>0.563398093841642</v>
      </c>
      <c r="F38" s="59" t="n">
        <v>220</v>
      </c>
      <c r="G38" s="59" t="n">
        <f aca="false">F38-H38</f>
        <v>220</v>
      </c>
      <c r="H38" s="59" t="n">
        <v>0</v>
      </c>
      <c r="I38" s="9"/>
      <c r="J38" s="0"/>
      <c r="K38" s="206"/>
      <c r="P38" s="0"/>
      <c r="Q38" s="0"/>
      <c r="T38" s="0"/>
      <c r="Y38" s="0"/>
    </row>
    <row r="39" customFormat="false" ht="20.5" hidden="false" customHeight="true" outlineLevel="0" collapsed="false">
      <c r="A39" s="0" t="n">
        <v>30</v>
      </c>
      <c r="B39" s="34" t="n">
        <v>35947</v>
      </c>
      <c r="C39" s="36" t="n">
        <v>42599</v>
      </c>
      <c r="D39" s="1" t="s">
        <v>41</v>
      </c>
      <c r="E39" s="33" t="n">
        <f aca="false">IF(D39="totale",(C39/(A39*24))/F39,IF(D39="marché libre",(C39/(A39*24))/G39,"spécifier histo"))</f>
        <v>0.268933080808081</v>
      </c>
      <c r="F39" s="59" t="n">
        <v>220</v>
      </c>
      <c r="G39" s="59" t="n">
        <f aca="false">F39-H39</f>
        <v>220</v>
      </c>
      <c r="H39" s="59" t="n">
        <v>0</v>
      </c>
      <c r="I39" s="9"/>
      <c r="J39" s="0"/>
      <c r="K39" s="206"/>
      <c r="P39" s="0"/>
      <c r="Q39" s="0"/>
      <c r="T39" s="0"/>
      <c r="Y39" s="0"/>
    </row>
    <row r="40" customFormat="false" ht="20.5" hidden="false" customHeight="true" outlineLevel="0" collapsed="false">
      <c r="A40" s="0" t="n">
        <v>31</v>
      </c>
      <c r="B40" s="31" t="n">
        <v>35977</v>
      </c>
      <c r="C40" s="36" t="n">
        <v>27688</v>
      </c>
      <c r="D40" s="1" t="s">
        <v>41</v>
      </c>
      <c r="E40" s="33" t="n">
        <f aca="false">IF(D40="totale",(C40/(A40*24))/F40,IF(D40="marché libre",(C40/(A40*24))/G40,"spécifier histo"))</f>
        <v>0.169159335288368</v>
      </c>
      <c r="F40" s="59" t="n">
        <v>220</v>
      </c>
      <c r="G40" s="59" t="n">
        <f aca="false">F40-H40</f>
        <v>220</v>
      </c>
      <c r="H40" s="59" t="n">
        <v>0</v>
      </c>
      <c r="I40" s="9"/>
      <c r="J40" s="0"/>
      <c r="K40" s="206"/>
      <c r="P40" s="0"/>
      <c r="Q40" s="0"/>
      <c r="T40" s="0"/>
      <c r="Y40" s="0"/>
    </row>
    <row r="41" customFormat="false" ht="20.5" hidden="false" customHeight="true" outlineLevel="0" collapsed="false">
      <c r="A41" s="0" t="n">
        <v>31</v>
      </c>
      <c r="B41" s="34" t="n">
        <v>36008</v>
      </c>
      <c r="C41" s="36" t="n">
        <v>19293</v>
      </c>
      <c r="D41" s="1" t="s">
        <v>41</v>
      </c>
      <c r="E41" s="33" t="n">
        <f aca="false">IF(D41="totale",(C41/(A41*24))/F41,IF(D41="marché libre",(C41/(A41*24))/G41,"spécifier histo"))</f>
        <v>0.117870234604106</v>
      </c>
      <c r="F41" s="59" t="n">
        <v>220</v>
      </c>
      <c r="G41" s="59" t="n">
        <f aca="false">F41-H41</f>
        <v>220</v>
      </c>
      <c r="H41" s="59" t="n">
        <v>0</v>
      </c>
      <c r="I41" s="9"/>
      <c r="J41" s="0"/>
      <c r="K41" s="206"/>
      <c r="P41" s="0"/>
      <c r="Q41" s="0"/>
      <c r="T41" s="0"/>
      <c r="Y41" s="0"/>
    </row>
    <row r="42" customFormat="false" ht="20.5" hidden="false" customHeight="true" outlineLevel="0" collapsed="false">
      <c r="A42" s="0" t="n">
        <v>30</v>
      </c>
      <c r="B42" s="31" t="n">
        <v>36039</v>
      </c>
      <c r="C42" s="36" t="n">
        <v>28687</v>
      </c>
      <c r="D42" s="1" t="s">
        <v>41</v>
      </c>
      <c r="E42" s="33" t="n">
        <f aca="false">IF(D42="totale",(C42/(A42*24))/F42,IF(D42="marché libre",(C42/(A42*24))/G42,"spécifier histo"))</f>
        <v>0.181104797979798</v>
      </c>
      <c r="F42" s="59" t="n">
        <v>220</v>
      </c>
      <c r="G42" s="59" t="n">
        <f aca="false">F42-H42</f>
        <v>220</v>
      </c>
      <c r="H42" s="59" t="n">
        <v>0</v>
      </c>
      <c r="I42" s="9"/>
      <c r="J42" s="0"/>
      <c r="K42" s="206"/>
      <c r="P42" s="0"/>
      <c r="Q42" s="0"/>
      <c r="T42" s="0"/>
      <c r="Y42" s="0"/>
    </row>
    <row r="43" customFormat="false" ht="20.5" hidden="false" customHeight="true" outlineLevel="0" collapsed="false">
      <c r="A43" s="0" t="n">
        <v>31</v>
      </c>
      <c r="B43" s="34" t="n">
        <v>36069</v>
      </c>
      <c r="C43" s="36" t="n">
        <v>69733</v>
      </c>
      <c r="D43" s="1" t="s">
        <v>41</v>
      </c>
      <c r="E43" s="33" t="n">
        <f aca="false">IF(D43="totale",(C43/(A43*24))/F43,IF(D43="marché libre",(C43/(A43*24))/G43,"spécifier histo"))</f>
        <v>0.426032502443793</v>
      </c>
      <c r="F43" s="59" t="n">
        <v>220</v>
      </c>
      <c r="G43" s="59" t="n">
        <f aca="false">F43-H43</f>
        <v>220</v>
      </c>
      <c r="H43" s="59" t="n">
        <v>0</v>
      </c>
      <c r="I43" s="9"/>
      <c r="J43" s="0"/>
      <c r="K43" s="206"/>
      <c r="P43" s="0"/>
      <c r="Q43" s="0"/>
      <c r="T43" s="0"/>
      <c r="Y43" s="0"/>
    </row>
    <row r="44" customFormat="false" ht="20.5" hidden="false" customHeight="true" outlineLevel="0" collapsed="false">
      <c r="A44" s="0" t="n">
        <v>30</v>
      </c>
      <c r="B44" s="31" t="n">
        <v>36100</v>
      </c>
      <c r="C44" s="36" t="n">
        <v>58930</v>
      </c>
      <c r="D44" s="1" t="s">
        <v>41</v>
      </c>
      <c r="E44" s="33" t="n">
        <f aca="false">IF(D44="totale",(C44/(A44*24))/F44,IF(D44="marché libre",(C44/(A44*24))/G44,"spécifier histo"))</f>
        <v>0.372032828282828</v>
      </c>
      <c r="F44" s="59" t="n">
        <v>220</v>
      </c>
      <c r="G44" s="59" t="n">
        <f aca="false">F44-H44</f>
        <v>220</v>
      </c>
      <c r="H44" s="59" t="n">
        <v>0</v>
      </c>
      <c r="I44" s="9"/>
      <c r="J44" s="0"/>
      <c r="K44" s="206"/>
      <c r="P44" s="0"/>
      <c r="Q44" s="0"/>
      <c r="T44" s="0"/>
      <c r="Y44" s="0"/>
    </row>
    <row r="45" customFormat="false" ht="20.5" hidden="false" customHeight="true" outlineLevel="0" collapsed="false">
      <c r="A45" s="0" t="n">
        <v>31</v>
      </c>
      <c r="B45" s="34" t="n">
        <v>36130</v>
      </c>
      <c r="C45" s="36" t="n">
        <v>90412</v>
      </c>
      <c r="D45" s="1" t="s">
        <v>41</v>
      </c>
      <c r="E45" s="33" t="n">
        <f aca="false">IF(D45="totale",(C45/(A45*24))/F45,IF(D45="marché libre",(C45/(A45*24))/G45,"spécifier histo"))</f>
        <v>0.552370478983382</v>
      </c>
      <c r="F45" s="59" t="n">
        <v>220</v>
      </c>
      <c r="G45" s="59" t="n">
        <f aca="false">F45-H45</f>
        <v>220</v>
      </c>
      <c r="H45" s="59" t="n">
        <v>0</v>
      </c>
      <c r="I45" s="9"/>
      <c r="J45" s="0"/>
      <c r="K45" s="206"/>
      <c r="P45" s="0"/>
      <c r="Q45" s="0"/>
      <c r="T45" s="0"/>
      <c r="Y45" s="0"/>
    </row>
    <row r="46" customFormat="false" ht="20.5" hidden="false" customHeight="true" outlineLevel="0" collapsed="false">
      <c r="A46" s="0" t="n">
        <v>31</v>
      </c>
      <c r="B46" s="31" t="n">
        <v>36161</v>
      </c>
      <c r="C46" s="36" t="n">
        <v>105105</v>
      </c>
      <c r="D46" s="1" t="s">
        <v>41</v>
      </c>
      <c r="E46" s="33" t="n">
        <f aca="false">IF(D46="totale",(C46/(A46*24))/F46,IF(D46="marché libre",(C46/(A46*24))/G46,"spécifier histo"))</f>
        <v>0.642137096774194</v>
      </c>
      <c r="F46" s="59" t="n">
        <v>220</v>
      </c>
      <c r="G46" s="59" t="n">
        <f aca="false">F46-H46</f>
        <v>220</v>
      </c>
      <c r="H46" s="59" t="n">
        <v>0</v>
      </c>
      <c r="I46" s="9"/>
      <c r="J46" s="0"/>
      <c r="K46" s="206"/>
      <c r="P46" s="0"/>
      <c r="Q46" s="0"/>
      <c r="T46" s="0"/>
      <c r="Y46" s="0"/>
    </row>
    <row r="47" customFormat="false" ht="20.5" hidden="false" customHeight="true" outlineLevel="0" collapsed="false">
      <c r="A47" s="0" t="n">
        <v>28</v>
      </c>
      <c r="B47" s="34" t="n">
        <v>36192</v>
      </c>
      <c r="C47" s="36" t="n">
        <v>105432</v>
      </c>
      <c r="D47" s="1" t="s">
        <v>41</v>
      </c>
      <c r="E47" s="33" t="n">
        <f aca="false">IF(D47="totale",(C47/(A47*24))/F47,IF(D47="marché libre",(C47/(A47*24))/G47,"spécifier histo"))</f>
        <v>0.713149350649351</v>
      </c>
      <c r="F47" s="59" t="n">
        <v>220</v>
      </c>
      <c r="G47" s="59" t="n">
        <f aca="false">F47-H47</f>
        <v>220</v>
      </c>
      <c r="H47" s="59" t="n">
        <v>0</v>
      </c>
      <c r="I47" s="9"/>
      <c r="J47" s="0"/>
      <c r="K47" s="206"/>
      <c r="P47" s="0"/>
      <c r="Q47" s="0"/>
      <c r="T47" s="0"/>
      <c r="Y47" s="0"/>
    </row>
    <row r="48" customFormat="false" ht="20.5" hidden="false" customHeight="true" outlineLevel="0" collapsed="false">
      <c r="A48" s="0" t="n">
        <v>31</v>
      </c>
      <c r="B48" s="31" t="n">
        <v>36220</v>
      </c>
      <c r="C48" s="36" t="n">
        <v>119133</v>
      </c>
      <c r="D48" s="1" t="s">
        <v>41</v>
      </c>
      <c r="E48" s="33" t="n">
        <f aca="false">IF(D48="totale",(C48/(A48*24))/F48,IF(D48="marché libre",(C48/(A48*24))/G48,"spécifier histo"))</f>
        <v>0.727840909090909</v>
      </c>
      <c r="F48" s="59" t="n">
        <v>220</v>
      </c>
      <c r="G48" s="59" t="n">
        <f aca="false">F48-H48</f>
        <v>220</v>
      </c>
      <c r="H48" s="59" t="n">
        <v>0</v>
      </c>
      <c r="I48" s="9"/>
      <c r="J48" s="0"/>
      <c r="K48" s="206"/>
      <c r="P48" s="0"/>
      <c r="Q48" s="0"/>
      <c r="T48" s="0"/>
    </row>
    <row r="49" customFormat="false" ht="20.5" hidden="false" customHeight="true" outlineLevel="0" collapsed="false">
      <c r="A49" s="0" t="n">
        <v>30</v>
      </c>
      <c r="B49" s="34" t="n">
        <v>36251</v>
      </c>
      <c r="C49" s="36" t="n">
        <v>93232</v>
      </c>
      <c r="D49" s="1" t="s">
        <v>41</v>
      </c>
      <c r="E49" s="33" t="n">
        <f aca="false">IF(D49="totale",(C49/(A49*24))/F49,IF(D49="marché libre",(C49/(A49*24))/G49,"spécifier histo"))</f>
        <v>0.588585858585859</v>
      </c>
      <c r="F49" s="59" t="n">
        <v>220</v>
      </c>
      <c r="G49" s="59" t="n">
        <f aca="false">F49-H49</f>
        <v>220</v>
      </c>
      <c r="H49" s="59" t="n">
        <v>0</v>
      </c>
      <c r="I49" s="9"/>
      <c r="J49" s="0"/>
      <c r="K49" s="206"/>
      <c r="P49" s="0"/>
      <c r="Q49" s="0"/>
      <c r="T49" s="0"/>
    </row>
    <row r="50" customFormat="false" ht="20.5" hidden="false" customHeight="true" outlineLevel="0" collapsed="false">
      <c r="A50" s="0" t="n">
        <v>31</v>
      </c>
      <c r="B50" s="31" t="n">
        <v>36281</v>
      </c>
      <c r="C50" s="36" t="n">
        <v>122645</v>
      </c>
      <c r="D50" s="1" t="s">
        <v>41</v>
      </c>
      <c r="E50" s="33" t="n">
        <f aca="false">IF(D50="totale",(C50/(A50*24))/F50,IF(D50="marché libre",(C50/(A50*24))/G50,"spécifier histo"))</f>
        <v>0.749297409579668</v>
      </c>
      <c r="F50" s="59" t="n">
        <v>220</v>
      </c>
      <c r="G50" s="59" t="n">
        <f aca="false">F50-H50</f>
        <v>220</v>
      </c>
      <c r="H50" s="59" t="n">
        <v>0</v>
      </c>
      <c r="I50" s="9"/>
      <c r="J50" s="0"/>
      <c r="K50" s="206"/>
      <c r="P50" s="0"/>
      <c r="Q50" s="0"/>
      <c r="T50" s="0"/>
    </row>
    <row r="51" customFormat="false" ht="20.5" hidden="false" customHeight="true" outlineLevel="0" collapsed="false">
      <c r="A51" s="0" t="n">
        <v>30</v>
      </c>
      <c r="B51" s="34" t="n">
        <v>36312</v>
      </c>
      <c r="C51" s="36" t="n">
        <v>47852</v>
      </c>
      <c r="D51" s="1" t="s">
        <v>41</v>
      </c>
      <c r="E51" s="33" t="n">
        <f aca="false">IF(D51="totale",(C51/(A51*24))/F51,IF(D51="marché libre",(C51/(A51*24))/G51,"spécifier histo"))</f>
        <v>0.30209595959596</v>
      </c>
      <c r="F51" s="59" t="n">
        <v>220</v>
      </c>
      <c r="G51" s="59" t="n">
        <f aca="false">F51-H51</f>
        <v>220</v>
      </c>
      <c r="H51" s="59" t="n">
        <v>0</v>
      </c>
      <c r="I51" s="9"/>
      <c r="J51" s="0"/>
      <c r="K51" s="206"/>
      <c r="P51" s="0"/>
      <c r="Q51" s="0"/>
      <c r="T51" s="0"/>
    </row>
    <row r="52" customFormat="false" ht="20.5" hidden="false" customHeight="true" outlineLevel="0" collapsed="false">
      <c r="A52" s="0" t="n">
        <v>31</v>
      </c>
      <c r="B52" s="31" t="n">
        <v>36342</v>
      </c>
      <c r="C52" s="36" t="n">
        <v>19117</v>
      </c>
      <c r="D52" s="1" t="s">
        <v>41</v>
      </c>
      <c r="E52" s="33" t="n">
        <f aca="false">IF(D52="totale",(C52/(A52*24))/F52,IF(D52="marché libre",(C52/(A52*24))/G52,"spécifier histo"))</f>
        <v>0.116794965786901</v>
      </c>
      <c r="F52" s="59" t="n">
        <v>220</v>
      </c>
      <c r="G52" s="59" t="n">
        <f aca="false">F52-H52</f>
        <v>220</v>
      </c>
      <c r="H52" s="59" t="n">
        <v>0</v>
      </c>
      <c r="I52" s="9"/>
      <c r="J52" s="0"/>
      <c r="K52" s="206"/>
      <c r="P52" s="0"/>
      <c r="Q52" s="0"/>
      <c r="T52" s="0"/>
    </row>
    <row r="53" customFormat="false" ht="20.5" hidden="false" customHeight="true" outlineLevel="0" collapsed="false">
      <c r="A53" s="0" t="n">
        <v>31</v>
      </c>
      <c r="B53" s="34" t="n">
        <v>36373</v>
      </c>
      <c r="C53" s="36" t="n">
        <v>48855</v>
      </c>
      <c r="D53" s="1" t="s">
        <v>41</v>
      </c>
      <c r="E53" s="33" t="n">
        <f aca="false">IF(D53="totale",(C53/(A53*24))/F53,IF(D53="marché libre",(C53/(A53*24))/G53,"spécifier histo"))</f>
        <v>0.298478739002933</v>
      </c>
      <c r="F53" s="59" t="n">
        <v>220</v>
      </c>
      <c r="G53" s="59" t="n">
        <f aca="false">F53-H53</f>
        <v>220</v>
      </c>
      <c r="H53" s="59" t="n">
        <v>0</v>
      </c>
      <c r="I53" s="9"/>
      <c r="J53" s="0"/>
      <c r="K53" s="206"/>
      <c r="P53" s="0"/>
      <c r="Q53" s="0"/>
      <c r="T53" s="0"/>
    </row>
    <row r="54" customFormat="false" ht="20.5" hidden="false" customHeight="true" outlineLevel="0" collapsed="false">
      <c r="A54" s="0" t="n">
        <v>30</v>
      </c>
      <c r="B54" s="31" t="n">
        <v>36404</v>
      </c>
      <c r="C54" s="36" t="n">
        <v>28355</v>
      </c>
      <c r="D54" s="1" t="s">
        <v>41</v>
      </c>
      <c r="E54" s="33" t="n">
        <f aca="false">IF(D54="totale",(C54/(A54*24))/F54,IF(D54="marché libre",(C54/(A54*24))/G54,"spécifier histo"))</f>
        <v>0.179008838383838</v>
      </c>
      <c r="F54" s="59" t="n">
        <v>220</v>
      </c>
      <c r="G54" s="59" t="n">
        <f aca="false">F54-H54</f>
        <v>220</v>
      </c>
      <c r="H54" s="59" t="n">
        <v>0</v>
      </c>
      <c r="I54" s="9"/>
      <c r="J54" s="0"/>
      <c r="K54" s="206"/>
      <c r="P54" s="0"/>
      <c r="Q54" s="0"/>
      <c r="T54" s="0"/>
    </row>
    <row r="55" customFormat="false" ht="20.5" hidden="false" customHeight="true" outlineLevel="0" collapsed="false">
      <c r="A55" s="0" t="n">
        <v>31</v>
      </c>
      <c r="B55" s="34" t="n">
        <v>36434</v>
      </c>
      <c r="C55" s="36" t="n">
        <v>27999</v>
      </c>
      <c r="D55" s="1" t="s">
        <v>41</v>
      </c>
      <c r="E55" s="33" t="n">
        <f aca="false">IF(D55="totale",(C55/(A55*24))/F55,IF(D55="marché libre",(C55/(A55*24))/G55,"spécifier histo"))</f>
        <v>0.171059384164223</v>
      </c>
      <c r="F55" s="59" t="n">
        <v>220</v>
      </c>
      <c r="G55" s="59" t="n">
        <f aca="false">F55-H55</f>
        <v>220</v>
      </c>
      <c r="H55" s="59" t="n">
        <v>0</v>
      </c>
      <c r="I55" s="9"/>
      <c r="J55" s="0"/>
      <c r="K55" s="206"/>
      <c r="P55" s="0"/>
      <c r="T55" s="0"/>
    </row>
    <row r="56" customFormat="false" ht="20.5" hidden="false" customHeight="true" outlineLevel="0" collapsed="false">
      <c r="A56" s="0" t="n">
        <v>30</v>
      </c>
      <c r="B56" s="31" t="n">
        <v>36465</v>
      </c>
      <c r="C56" s="36" t="n">
        <v>50005</v>
      </c>
      <c r="D56" s="1" t="s">
        <v>41</v>
      </c>
      <c r="E56" s="33" t="n">
        <f aca="false">IF(D56="totale",(C56/(A56*24))/F56,IF(D56="marché libre",(C56/(A56*24))/G56,"spécifier histo"))</f>
        <v>0.315688131313131</v>
      </c>
      <c r="F56" s="59" t="n">
        <v>220</v>
      </c>
      <c r="G56" s="59" t="n">
        <f aca="false">F56-H56</f>
        <v>220</v>
      </c>
      <c r="H56" s="59" t="n">
        <v>0</v>
      </c>
      <c r="I56" s="9"/>
      <c r="J56" s="0"/>
      <c r="K56" s="206"/>
      <c r="P56" s="0"/>
      <c r="T56" s="0"/>
    </row>
    <row r="57" customFormat="false" ht="20.5" hidden="false" customHeight="true" outlineLevel="0" collapsed="false">
      <c r="A57" s="0" t="n">
        <v>31</v>
      </c>
      <c r="B57" s="34" t="n">
        <v>36495</v>
      </c>
      <c r="C57" s="36" t="n">
        <v>74611</v>
      </c>
      <c r="D57" s="1" t="s">
        <v>41</v>
      </c>
      <c r="E57" s="33" t="n">
        <f aca="false">IF(D57="totale",(C57/(A57*24))/F57,IF(D57="marché libre",(C57/(A57*24))/G57,"spécifier histo"))</f>
        <v>0.455834555229716</v>
      </c>
      <c r="F57" s="59" t="n">
        <v>220</v>
      </c>
      <c r="G57" s="59" t="n">
        <f aca="false">F57-H57</f>
        <v>220</v>
      </c>
      <c r="H57" s="59" t="n">
        <v>0</v>
      </c>
      <c r="I57" s="9"/>
      <c r="J57" s="0"/>
      <c r="K57" s="206"/>
      <c r="P57" s="0"/>
      <c r="T57" s="0"/>
    </row>
    <row r="58" customFormat="false" ht="20.5" hidden="false" customHeight="true" outlineLevel="0" collapsed="false">
      <c r="A58" s="0" t="n">
        <v>31</v>
      </c>
      <c r="B58" s="31" t="n">
        <v>36526</v>
      </c>
      <c r="C58" s="36" t="n">
        <v>91625</v>
      </c>
      <c r="D58" s="1" t="s">
        <v>41</v>
      </c>
      <c r="E58" s="33" t="n">
        <f aca="false">IF(D58="totale",(C58/(A58*24))/F58,IF(D58="marché libre",(C58/(A58*24))/G58,"spécifier histo"))</f>
        <v>0.55978128054741</v>
      </c>
      <c r="F58" s="59" t="n">
        <v>220</v>
      </c>
      <c r="G58" s="59" t="n">
        <f aca="false">F58-H58</f>
        <v>220</v>
      </c>
      <c r="H58" s="59" t="n">
        <v>0</v>
      </c>
      <c r="I58" s="9"/>
      <c r="J58" s="0"/>
      <c r="K58" s="206"/>
      <c r="P58" s="0"/>
      <c r="T58" s="0"/>
    </row>
    <row r="59" customFormat="false" ht="20.5" hidden="false" customHeight="true" outlineLevel="0" collapsed="false">
      <c r="A59" s="0" t="n">
        <v>28</v>
      </c>
      <c r="B59" s="34" t="n">
        <v>36557</v>
      </c>
      <c r="C59" s="36" t="n">
        <v>75016</v>
      </c>
      <c r="D59" s="1" t="s">
        <v>41</v>
      </c>
      <c r="E59" s="33" t="n">
        <f aca="false">IF(D59="totale",(C59/(A59*24))/F59,IF(D59="marché libre",(C59/(A59*24))/G59,"spécifier histo"))</f>
        <v>0.50741341991342</v>
      </c>
      <c r="F59" s="59" t="n">
        <v>220</v>
      </c>
      <c r="G59" s="59" t="n">
        <f aca="false">F59-H59</f>
        <v>220</v>
      </c>
      <c r="H59" s="59" t="n">
        <v>0</v>
      </c>
      <c r="I59" s="9"/>
      <c r="J59" s="0"/>
      <c r="K59" s="206"/>
      <c r="P59" s="0"/>
      <c r="T59" s="0"/>
    </row>
    <row r="60" customFormat="false" ht="20.5" hidden="false" customHeight="true" outlineLevel="0" collapsed="false">
      <c r="A60" s="0" t="n">
        <v>31</v>
      </c>
      <c r="B60" s="31" t="n">
        <v>36586</v>
      </c>
      <c r="C60" s="36" t="n">
        <v>84702</v>
      </c>
      <c r="D60" s="1" t="s">
        <v>41</v>
      </c>
      <c r="E60" s="33" t="n">
        <f aca="false">IF(D60="totale",(C60/(A60*24))/F60,IF(D60="marché libre",(C60/(A60*24))/G60,"spécifier histo"))</f>
        <v>0.517485337243402</v>
      </c>
      <c r="F60" s="59" t="n">
        <v>220</v>
      </c>
      <c r="G60" s="59" t="n">
        <f aca="false">F60-H60</f>
        <v>220</v>
      </c>
      <c r="H60" s="59" t="n">
        <v>0</v>
      </c>
      <c r="I60" s="9"/>
      <c r="J60" s="0"/>
      <c r="K60" s="206"/>
      <c r="P60" s="0"/>
      <c r="T60" s="0"/>
    </row>
    <row r="61" customFormat="false" ht="20.5" hidden="false" customHeight="true" outlineLevel="0" collapsed="false">
      <c r="A61" s="0" t="n">
        <v>30</v>
      </c>
      <c r="B61" s="34" t="n">
        <v>36617</v>
      </c>
      <c r="C61" s="36" t="n">
        <v>100007</v>
      </c>
      <c r="D61" s="1" t="s">
        <v>41</v>
      </c>
      <c r="E61" s="33" t="n">
        <f aca="false">IF(D61="totale",(C61/(A61*24))/F61,IF(D61="marché libre",(C61/(A61*24))/G61,"spécifier histo"))</f>
        <v>0.631357323232323</v>
      </c>
      <c r="F61" s="59" t="n">
        <v>220</v>
      </c>
      <c r="G61" s="59" t="n">
        <f aca="false">F61-H61</f>
        <v>220</v>
      </c>
      <c r="H61" s="59" t="n">
        <v>0</v>
      </c>
      <c r="I61" s="9"/>
      <c r="J61" s="0"/>
      <c r="K61" s="206"/>
      <c r="P61" s="0"/>
      <c r="T61" s="0"/>
    </row>
    <row r="62" customFormat="false" ht="20.5" hidden="false" customHeight="true" outlineLevel="0" collapsed="false">
      <c r="A62" s="0" t="n">
        <v>31</v>
      </c>
      <c r="B62" s="31" t="n">
        <v>36647</v>
      </c>
      <c r="C62" s="36" t="n">
        <v>97186</v>
      </c>
      <c r="D62" s="1" t="s">
        <v>41</v>
      </c>
      <c r="E62" s="33" t="n">
        <f aca="false">IF(D62="totale",(C62/(A62*24))/F62,IF(D62="marché libre",(C62/(A62*24))/G62,"spécifier histo"))</f>
        <v>0.593756109481916</v>
      </c>
      <c r="F62" s="59" t="n">
        <v>220</v>
      </c>
      <c r="G62" s="59" t="n">
        <f aca="false">F62-H62</f>
        <v>220</v>
      </c>
      <c r="H62" s="59" t="n">
        <v>0</v>
      </c>
      <c r="I62" s="9"/>
      <c r="J62" s="0"/>
      <c r="K62" s="206"/>
      <c r="P62" s="0"/>
      <c r="T62" s="0"/>
    </row>
    <row r="63" customFormat="false" ht="20.5" hidden="false" customHeight="true" outlineLevel="0" collapsed="false">
      <c r="A63" s="0" t="n">
        <v>30</v>
      </c>
      <c r="B63" s="34" t="n">
        <v>36678</v>
      </c>
      <c r="C63" s="36" t="n">
        <v>68299</v>
      </c>
      <c r="D63" s="1" t="s">
        <v>41</v>
      </c>
      <c r="E63" s="33" t="n">
        <f aca="false">IF(D63="totale",(C63/(A63*24))/F63,IF(D63="marché libre",(C63/(A63*24))/G63,"spécifier histo"))</f>
        <v>0.431180555555556</v>
      </c>
      <c r="F63" s="59" t="n">
        <v>220</v>
      </c>
      <c r="G63" s="59" t="n">
        <f aca="false">F63-H63</f>
        <v>220</v>
      </c>
      <c r="H63" s="59" t="n">
        <v>0</v>
      </c>
      <c r="I63" s="9"/>
      <c r="J63" s="0"/>
      <c r="K63" s="206"/>
      <c r="P63" s="0"/>
      <c r="T63" s="0"/>
    </row>
    <row r="64" customFormat="false" ht="20.5" hidden="false" customHeight="true" outlineLevel="0" collapsed="false">
      <c r="A64" s="0" t="n">
        <v>31</v>
      </c>
      <c r="B64" s="31" t="n">
        <v>36708</v>
      </c>
      <c r="C64" s="36" t="n">
        <v>45450</v>
      </c>
      <c r="D64" s="1" t="s">
        <v>41</v>
      </c>
      <c r="E64" s="33" t="n">
        <f aca="false">IF(D64="totale",(C64/(A64*24))/F64,IF(D64="marché libre",(C64/(A64*24))/G64,"spécifier histo"))</f>
        <v>0.277675953079179</v>
      </c>
      <c r="F64" s="59" t="n">
        <v>220</v>
      </c>
      <c r="G64" s="59" t="n">
        <f aca="false">F64-H64</f>
        <v>220</v>
      </c>
      <c r="H64" s="59" t="n">
        <v>0</v>
      </c>
      <c r="I64" s="9"/>
      <c r="J64" s="0"/>
      <c r="K64" s="206"/>
      <c r="P64" s="0"/>
      <c r="T64" s="0"/>
    </row>
    <row r="65" customFormat="false" ht="20.5" hidden="false" customHeight="true" outlineLevel="0" collapsed="false">
      <c r="A65" s="0" t="n">
        <v>31</v>
      </c>
      <c r="B65" s="34" t="n">
        <v>36739</v>
      </c>
      <c r="C65" s="36" t="n">
        <v>23637</v>
      </c>
      <c r="D65" s="1" t="s">
        <v>41</v>
      </c>
      <c r="E65" s="33" t="n">
        <f aca="false">IF(D65="totale",(C65/(A65*24))/F65,IF(D65="marché libre",(C65/(A65*24))/G65,"spécifier histo"))</f>
        <v>0.144409824046921</v>
      </c>
      <c r="F65" s="59" t="n">
        <v>220</v>
      </c>
      <c r="G65" s="59" t="n">
        <f aca="false">F65-H65</f>
        <v>220</v>
      </c>
      <c r="H65" s="59" t="n">
        <v>0</v>
      </c>
      <c r="I65" s="9"/>
      <c r="J65" s="0"/>
      <c r="K65" s="206"/>
      <c r="P65" s="0"/>
      <c r="T65" s="0"/>
    </row>
    <row r="66" customFormat="false" ht="20.5" hidden="false" customHeight="true" outlineLevel="0" collapsed="false">
      <c r="A66" s="0" t="n">
        <v>30</v>
      </c>
      <c r="B66" s="31" t="n">
        <v>36770</v>
      </c>
      <c r="C66" s="36" t="n">
        <v>4254</v>
      </c>
      <c r="D66" s="1" t="s">
        <v>41</v>
      </c>
      <c r="E66" s="33" t="n">
        <f aca="false">IF(D66="totale",(C66/(A66*24))/F66,IF(D66="marché libre",(C66/(A66*24))/G66,"spécifier histo"))</f>
        <v>0.0268560606060606</v>
      </c>
      <c r="F66" s="59" t="n">
        <v>220</v>
      </c>
      <c r="G66" s="59" t="n">
        <f aca="false">F66-H66</f>
        <v>220</v>
      </c>
      <c r="H66" s="59" t="n">
        <v>0</v>
      </c>
      <c r="I66" s="9"/>
      <c r="J66" s="0"/>
      <c r="K66" s="206"/>
      <c r="P66" s="0"/>
      <c r="T66" s="0"/>
    </row>
    <row r="67" customFormat="false" ht="20.5" hidden="false" customHeight="true" outlineLevel="0" collapsed="false">
      <c r="A67" s="0" t="n">
        <v>31</v>
      </c>
      <c r="B67" s="34" t="n">
        <v>36800</v>
      </c>
      <c r="C67" s="36" t="n">
        <v>30878</v>
      </c>
      <c r="D67" s="1" t="s">
        <v>41</v>
      </c>
      <c r="E67" s="33" t="n">
        <f aca="false">IF(D67="totale",(C67/(A67*24))/F67,IF(D67="marché libre",(C67/(A67*24))/G67,"spécifier histo"))</f>
        <v>0.188648582600195</v>
      </c>
      <c r="F67" s="59" t="n">
        <v>220</v>
      </c>
      <c r="G67" s="59" t="n">
        <f aca="false">F67-H67</f>
        <v>220</v>
      </c>
      <c r="H67" s="59" t="n">
        <v>0</v>
      </c>
      <c r="I67" s="9"/>
      <c r="J67" s="0"/>
      <c r="K67" s="206"/>
      <c r="P67" s="0"/>
      <c r="T67" s="0"/>
    </row>
    <row r="68" customFormat="false" ht="20.5" hidden="false" customHeight="true" outlineLevel="0" collapsed="false">
      <c r="A68" s="0" t="n">
        <v>30</v>
      </c>
      <c r="B68" s="31" t="n">
        <v>36831</v>
      </c>
      <c r="C68" s="36" t="n">
        <v>74145</v>
      </c>
      <c r="D68" s="1" t="s">
        <v>41</v>
      </c>
      <c r="E68" s="33" t="n">
        <f aca="false">IF(D68="totale",(C68/(A68*24))/F68,IF(D68="marché libre",(C68/(A68*24))/G68,"spécifier histo"))</f>
        <v>0.468087121212121</v>
      </c>
      <c r="F68" s="59" t="n">
        <v>220</v>
      </c>
      <c r="G68" s="59" t="n">
        <f aca="false">F68-H68</f>
        <v>220</v>
      </c>
      <c r="H68" s="59" t="n">
        <v>0</v>
      </c>
      <c r="I68" s="9"/>
      <c r="J68" s="0"/>
      <c r="K68" s="206"/>
      <c r="P68" s="0"/>
      <c r="T68" s="0"/>
    </row>
    <row r="69" customFormat="false" ht="20.5" hidden="false" customHeight="true" outlineLevel="0" collapsed="false">
      <c r="A69" s="0" t="n">
        <v>31</v>
      </c>
      <c r="B69" s="34" t="n">
        <v>36861</v>
      </c>
      <c r="C69" s="36" t="n">
        <v>86672</v>
      </c>
      <c r="D69" s="1" t="s">
        <v>41</v>
      </c>
      <c r="E69" s="33" t="n">
        <f aca="false">IF(D69="totale",(C69/(A69*24))/F69,IF(D69="marché libre",(C69/(A69*24))/G69,"spécifier histo"))</f>
        <v>0.529521016617791</v>
      </c>
      <c r="F69" s="59" t="n">
        <v>220</v>
      </c>
      <c r="G69" s="59" t="n">
        <f aca="false">F69-H69</f>
        <v>220</v>
      </c>
      <c r="H69" s="59" t="n">
        <v>0</v>
      </c>
      <c r="I69" s="9"/>
      <c r="J69" s="0"/>
      <c r="K69" s="206"/>
      <c r="P69" s="0"/>
      <c r="T69" s="0"/>
    </row>
    <row r="70" customFormat="false" ht="20.5" hidden="false" customHeight="true" outlineLevel="0" collapsed="false">
      <c r="A70" s="0" t="n">
        <v>31</v>
      </c>
      <c r="B70" s="31" t="n">
        <v>36892</v>
      </c>
      <c r="C70" s="36" t="n">
        <v>130690</v>
      </c>
      <c r="D70" s="1" t="s">
        <v>41</v>
      </c>
      <c r="E70" s="33" t="n">
        <f aca="false">IF(D70="totale",(C70/(A70*24))/F70,IF(D70="marché libre",(C70/(A70*24))/G70,"spécifier histo"))</f>
        <v>0.798448191593353</v>
      </c>
      <c r="F70" s="59" t="n">
        <v>220</v>
      </c>
      <c r="G70" s="59" t="n">
        <f aca="false">F70-H70</f>
        <v>220</v>
      </c>
      <c r="H70" s="59" t="n">
        <v>0</v>
      </c>
      <c r="I70" s="9"/>
      <c r="J70" s="0"/>
      <c r="K70" s="206"/>
      <c r="P70" s="0"/>
      <c r="T70" s="0"/>
    </row>
    <row r="71" customFormat="false" ht="20.5" hidden="false" customHeight="true" outlineLevel="0" collapsed="false">
      <c r="A71" s="0" t="n">
        <v>28</v>
      </c>
      <c r="B71" s="34" t="n">
        <v>36923</v>
      </c>
      <c r="C71" s="36" t="n">
        <v>98850</v>
      </c>
      <c r="D71" s="1" t="s">
        <v>41</v>
      </c>
      <c r="E71" s="33" t="n">
        <f aca="false">IF(D71="totale",(C71/(A71*24))/F71,IF(D71="marché libre",(C71/(A71*24))/G71,"spécifier histo"))</f>
        <v>0.668628246753247</v>
      </c>
      <c r="F71" s="59" t="n">
        <v>220</v>
      </c>
      <c r="G71" s="59" t="n">
        <f aca="false">F71-H71</f>
        <v>220</v>
      </c>
      <c r="H71" s="59" t="n">
        <v>0</v>
      </c>
      <c r="I71" s="9"/>
      <c r="J71" s="0"/>
      <c r="K71" s="206"/>
      <c r="P71" s="0"/>
      <c r="T71" s="0"/>
    </row>
    <row r="72" customFormat="false" ht="20.5" hidden="false" customHeight="true" outlineLevel="0" collapsed="false">
      <c r="A72" s="0" t="n">
        <v>31</v>
      </c>
      <c r="B72" s="31" t="n">
        <v>36951</v>
      </c>
      <c r="C72" s="36" t="n">
        <v>111240</v>
      </c>
      <c r="D72" s="1" t="s">
        <v>41</v>
      </c>
      <c r="E72" s="33" t="n">
        <f aca="false">IF(D72="totale",(C72/(A72*24))/F72,IF(D72="marché libre",(C72/(A72*24))/G72,"spécifier histo"))</f>
        <v>0.679618768328446</v>
      </c>
      <c r="F72" s="59" t="n">
        <v>220</v>
      </c>
      <c r="G72" s="59" t="n">
        <f aca="false">F72-H72</f>
        <v>220</v>
      </c>
      <c r="H72" s="59" t="n">
        <v>0</v>
      </c>
      <c r="I72" s="9"/>
      <c r="J72" s="0"/>
      <c r="K72" s="206"/>
      <c r="P72" s="0"/>
      <c r="T72" s="0"/>
    </row>
    <row r="73" customFormat="false" ht="20.5" hidden="false" customHeight="true" outlineLevel="0" collapsed="false">
      <c r="A73" s="0" t="n">
        <v>30</v>
      </c>
      <c r="B73" s="34" t="n">
        <v>36982</v>
      </c>
      <c r="C73" s="36" t="n">
        <v>82521</v>
      </c>
      <c r="D73" s="1" t="s">
        <v>41</v>
      </c>
      <c r="E73" s="33" t="n">
        <f aca="false">IF(D73="totale",(C73/(A73*24))/F73,IF(D73="marché libre",(C73/(A73*24))/G73,"spécifier histo"))</f>
        <v>0.520965909090909</v>
      </c>
      <c r="F73" s="59" t="n">
        <v>220</v>
      </c>
      <c r="G73" s="59" t="n">
        <f aca="false">F73-H73</f>
        <v>220</v>
      </c>
      <c r="H73" s="59" t="n">
        <v>0</v>
      </c>
      <c r="I73" s="9"/>
      <c r="J73" s="0"/>
      <c r="K73" s="206"/>
      <c r="P73" s="0"/>
      <c r="T73" s="0"/>
    </row>
    <row r="74" customFormat="false" ht="20.5" hidden="false" customHeight="true" outlineLevel="0" collapsed="false">
      <c r="A74" s="0" t="n">
        <v>31</v>
      </c>
      <c r="B74" s="31" t="n">
        <v>37012</v>
      </c>
      <c r="C74" s="36" t="n">
        <v>68562</v>
      </c>
      <c r="D74" s="1" t="s">
        <v>41</v>
      </c>
      <c r="E74" s="33" t="n">
        <f aca="false">IF(D74="totale",(C74/(A74*24))/F74,IF(D74="marché libre",(C74/(A74*24))/G74,"spécifier histo"))</f>
        <v>0.418878299120235</v>
      </c>
      <c r="F74" s="59" t="n">
        <v>220</v>
      </c>
      <c r="G74" s="59" t="n">
        <f aca="false">F74-H74</f>
        <v>220</v>
      </c>
      <c r="H74" s="59" t="n">
        <v>0</v>
      </c>
      <c r="I74" s="9"/>
      <c r="J74" s="0"/>
      <c r="K74" s="206"/>
      <c r="P74" s="0"/>
      <c r="T74" s="0"/>
    </row>
    <row r="75" customFormat="false" ht="20.5" hidden="false" customHeight="true" outlineLevel="0" collapsed="false">
      <c r="A75" s="0" t="n">
        <v>30</v>
      </c>
      <c r="B75" s="34" t="n">
        <v>37043</v>
      </c>
      <c r="C75" s="36" t="n">
        <v>40715</v>
      </c>
      <c r="D75" s="1" t="s">
        <v>41</v>
      </c>
      <c r="E75" s="33" t="n">
        <f aca="false">IF(D75="totale",(C75/(A75*24))/F75,IF(D75="marché libre",(C75/(A75*24))/G75,"spécifier histo"))</f>
        <v>0.257039141414141</v>
      </c>
      <c r="F75" s="59" t="n">
        <v>220</v>
      </c>
      <c r="G75" s="59" t="n">
        <f aca="false">F75-H75</f>
        <v>220</v>
      </c>
      <c r="H75" s="59" t="n">
        <v>0</v>
      </c>
      <c r="I75" s="9"/>
      <c r="J75" s="0"/>
      <c r="K75" s="206"/>
      <c r="P75" s="0"/>
    </row>
    <row r="76" customFormat="false" ht="20.5" hidden="false" customHeight="true" outlineLevel="0" collapsed="false">
      <c r="A76" s="0" t="n">
        <v>31</v>
      </c>
      <c r="B76" s="31" t="n">
        <v>37073</v>
      </c>
      <c r="C76" s="36" t="n">
        <v>40555</v>
      </c>
      <c r="D76" s="1" t="s">
        <v>41</v>
      </c>
      <c r="E76" s="33" t="n">
        <f aca="false">IF(D76="totale",(C76/(A76*24))/F76,IF(D76="marché libre",(C76/(A76*24))/G76,"spécifier histo"))</f>
        <v>0.247770039100684</v>
      </c>
      <c r="F76" s="59" t="n">
        <v>220</v>
      </c>
      <c r="G76" s="59" t="n">
        <f aca="false">F76-H76</f>
        <v>220</v>
      </c>
      <c r="H76" s="59" t="n">
        <v>0</v>
      </c>
      <c r="I76" s="9"/>
      <c r="J76" s="0"/>
      <c r="K76" s="206"/>
      <c r="P76" s="0"/>
    </row>
    <row r="77" customFormat="false" ht="20.5" hidden="false" customHeight="true" outlineLevel="0" collapsed="false">
      <c r="A77" s="0" t="n">
        <v>31</v>
      </c>
      <c r="B77" s="34" t="n">
        <v>37104</v>
      </c>
      <c r="C77" s="36" t="n">
        <v>21155</v>
      </c>
      <c r="D77" s="1" t="s">
        <v>41</v>
      </c>
      <c r="E77" s="33" t="n">
        <f aca="false">IF(D77="totale",(C77/(A77*24))/F77,IF(D77="marché libre",(C77/(A77*24))/G77,"spécifier histo"))</f>
        <v>0.129246089931574</v>
      </c>
      <c r="F77" s="59" t="n">
        <v>220</v>
      </c>
      <c r="G77" s="59" t="n">
        <f aca="false">F77-H77</f>
        <v>220</v>
      </c>
      <c r="H77" s="59" t="n">
        <v>0</v>
      </c>
      <c r="I77" s="9"/>
      <c r="J77" s="0"/>
      <c r="K77" s="206"/>
      <c r="P77" s="0"/>
    </row>
    <row r="78" customFormat="false" ht="20.5" hidden="false" customHeight="true" outlineLevel="0" collapsed="false">
      <c r="A78" s="0" t="n">
        <v>30</v>
      </c>
      <c r="B78" s="31" t="n">
        <v>37135</v>
      </c>
      <c r="C78" s="36" t="n">
        <v>1590</v>
      </c>
      <c r="D78" s="1" t="s">
        <v>41</v>
      </c>
      <c r="E78" s="33" t="n">
        <f aca="false">IF(D78="totale",(C78/(A78*24))/F78,IF(D78="marché libre",(C78/(A78*24))/G78,"spécifier histo"))</f>
        <v>0.0100378787878788</v>
      </c>
      <c r="F78" s="59" t="n">
        <v>220</v>
      </c>
      <c r="G78" s="59" t="n">
        <f aca="false">F78-H78</f>
        <v>220</v>
      </c>
      <c r="H78" s="59" t="n">
        <v>0</v>
      </c>
      <c r="I78" s="9"/>
      <c r="J78" s="0"/>
      <c r="K78" s="206"/>
      <c r="P78" s="0"/>
    </row>
    <row r="79" customFormat="false" ht="20.5" hidden="false" customHeight="true" outlineLevel="0" collapsed="false">
      <c r="A79" s="0" t="n">
        <v>31</v>
      </c>
      <c r="B79" s="34" t="n">
        <v>37165</v>
      </c>
      <c r="C79" s="36" t="n">
        <v>11600</v>
      </c>
      <c r="D79" s="1" t="s">
        <v>41</v>
      </c>
      <c r="E79" s="33" t="n">
        <f aca="false">IF(D79="totale",(C79/(A79*24))/F79,IF(D79="marché libre",(C79/(A79*24))/G79,"spécifier histo"))</f>
        <v>0.0708699902248289</v>
      </c>
      <c r="F79" s="59" t="n">
        <v>220</v>
      </c>
      <c r="G79" s="59" t="n">
        <f aca="false">F79-H79</f>
        <v>220</v>
      </c>
      <c r="H79" s="59" t="n">
        <v>0</v>
      </c>
      <c r="I79" s="9"/>
      <c r="J79" s="0"/>
      <c r="K79" s="206"/>
      <c r="P79" s="0"/>
    </row>
    <row r="80" customFormat="false" ht="20.5" hidden="false" customHeight="true" outlineLevel="0" collapsed="false">
      <c r="A80" s="0" t="n">
        <v>30</v>
      </c>
      <c r="B80" s="31" t="n">
        <v>37196</v>
      </c>
      <c r="C80" s="36" t="n">
        <v>16430</v>
      </c>
      <c r="D80" s="1" t="s">
        <v>41</v>
      </c>
      <c r="E80" s="33" t="n">
        <f aca="false">IF(D80="totale",(C80/(A80*24))/F80,IF(D80="marché libre",(C80/(A80*24))/G80,"spécifier histo"))</f>
        <v>0.103724747474747</v>
      </c>
      <c r="F80" s="59" t="n">
        <v>220</v>
      </c>
      <c r="G80" s="59" t="n">
        <f aca="false">F80-H80</f>
        <v>220</v>
      </c>
      <c r="H80" s="59" t="n">
        <v>0</v>
      </c>
      <c r="I80" s="9"/>
      <c r="J80" s="0"/>
      <c r="K80" s="206"/>
      <c r="P80" s="0"/>
    </row>
    <row r="81" customFormat="false" ht="20.5" hidden="false" customHeight="true" outlineLevel="0" collapsed="false">
      <c r="A81" s="0" t="n">
        <v>31</v>
      </c>
      <c r="B81" s="34" t="n">
        <v>37226</v>
      </c>
      <c r="C81" s="36" t="n">
        <v>15660</v>
      </c>
      <c r="D81" s="1" t="s">
        <v>41</v>
      </c>
      <c r="E81" s="33" t="n">
        <f aca="false">IF(D81="totale",(C81/(A81*24))/F81,IF(D81="marché libre",(C81/(A81*24))/G81,"spécifier histo"))</f>
        <v>0.0956744868035191</v>
      </c>
      <c r="F81" s="59" t="n">
        <v>220</v>
      </c>
      <c r="G81" s="59" t="n">
        <f aca="false">F81-H81</f>
        <v>220</v>
      </c>
      <c r="H81" s="59" t="n">
        <v>0</v>
      </c>
      <c r="I81" s="9"/>
      <c r="J81" s="0"/>
      <c r="K81" s="206"/>
      <c r="P81" s="0"/>
    </row>
    <row r="82" customFormat="false" ht="20.5" hidden="false" customHeight="true" outlineLevel="0" collapsed="false">
      <c r="A82" s="0" t="n">
        <v>31</v>
      </c>
      <c r="B82" s="31" t="n">
        <v>37257</v>
      </c>
      <c r="C82" s="36" t="n">
        <v>21034</v>
      </c>
      <c r="D82" s="1" t="s">
        <v>41</v>
      </c>
      <c r="E82" s="33" t="n">
        <f aca="false">IF(D82="totale",(C82/(A82*24))/F82,IF(D82="marché libre",(C82/(A82*24))/G82,"spécifier histo"))</f>
        <v>0.128506842619746</v>
      </c>
      <c r="F82" s="59" t="n">
        <v>220</v>
      </c>
      <c r="G82" s="59" t="n">
        <f aca="false">F82-H82</f>
        <v>220</v>
      </c>
      <c r="H82" s="59" t="n">
        <v>0</v>
      </c>
      <c r="I82" s="9"/>
      <c r="J82" s="0"/>
      <c r="K82" s="206"/>
      <c r="P82" s="0"/>
    </row>
    <row r="83" customFormat="false" ht="20.5" hidden="false" customHeight="true" outlineLevel="0" collapsed="false">
      <c r="A83" s="0" t="n">
        <v>28</v>
      </c>
      <c r="B83" s="34" t="n">
        <v>37288</v>
      </c>
      <c r="C83" s="36" t="n">
        <v>48342</v>
      </c>
      <c r="D83" s="1" t="s">
        <v>41</v>
      </c>
      <c r="E83" s="33" t="n">
        <f aca="false">IF(D83="totale",(C83/(A83*24))/F83,IF(D83="marché libre",(C83/(A83*24))/G83,"spécifier histo"))</f>
        <v>0.326988636363636</v>
      </c>
      <c r="F83" s="59" t="n">
        <v>220</v>
      </c>
      <c r="G83" s="59" t="n">
        <f aca="false">F83-H83</f>
        <v>220</v>
      </c>
      <c r="H83" s="59" t="n">
        <v>0</v>
      </c>
      <c r="I83" s="9"/>
      <c r="J83" s="0"/>
      <c r="K83" s="206"/>
      <c r="P83" s="0"/>
    </row>
    <row r="84" customFormat="false" ht="20.5" hidden="false" customHeight="true" outlineLevel="0" collapsed="false">
      <c r="A84" s="0" t="n">
        <v>31</v>
      </c>
      <c r="B84" s="31" t="n">
        <v>37316</v>
      </c>
      <c r="C84" s="36" t="n">
        <v>54698</v>
      </c>
      <c r="D84" s="1" t="s">
        <v>41</v>
      </c>
      <c r="E84" s="33" t="n">
        <f aca="false">IF(D84="totale",(C84/(A84*24))/F84,IF(D84="marché libre",(C84/(A84*24))/G84,"spécifier histo"))</f>
        <v>0.334176441837732</v>
      </c>
      <c r="F84" s="59" t="n">
        <v>220</v>
      </c>
      <c r="G84" s="59" t="n">
        <f aca="false">F84-H84</f>
        <v>220</v>
      </c>
      <c r="H84" s="59" t="n">
        <v>0</v>
      </c>
      <c r="I84" s="9"/>
      <c r="J84" s="0"/>
      <c r="K84" s="206"/>
      <c r="P84" s="0"/>
    </row>
    <row r="85" customFormat="false" ht="20.5" hidden="false" customHeight="true" outlineLevel="0" collapsed="false">
      <c r="A85" s="0" t="n">
        <v>30</v>
      </c>
      <c r="B85" s="34" t="n">
        <v>37347</v>
      </c>
      <c r="C85" s="36" t="n">
        <v>55283</v>
      </c>
      <c r="D85" s="1" t="s">
        <v>41</v>
      </c>
      <c r="E85" s="33" t="n">
        <f aca="false">IF(D85="totale",(C85/(A85*24))/F85,IF(D85="marché libre",(C85/(A85*24))/G85,"spécifier histo"))</f>
        <v>0.349008838383838</v>
      </c>
      <c r="F85" s="59" t="n">
        <v>220</v>
      </c>
      <c r="G85" s="59" t="n">
        <f aca="false">F85-H85</f>
        <v>220</v>
      </c>
      <c r="H85" s="59" t="n">
        <v>0</v>
      </c>
      <c r="I85" s="9"/>
      <c r="J85" s="0"/>
      <c r="K85" s="206"/>
      <c r="P85" s="0"/>
    </row>
    <row r="86" customFormat="false" ht="20.5" hidden="false" customHeight="true" outlineLevel="0" collapsed="false">
      <c r="A86" s="0" t="n">
        <v>31</v>
      </c>
      <c r="B86" s="31" t="n">
        <v>37377</v>
      </c>
      <c r="C86" s="36" t="n">
        <v>76082</v>
      </c>
      <c r="D86" s="1" t="s">
        <v>41</v>
      </c>
      <c r="E86" s="33" t="n">
        <f aca="false">IF(D86="totale",(C86/(A86*24))/F86,IF(D86="marché libre",(C86/(A86*24))/G86,"spécifier histo"))</f>
        <v>0.464821603128055</v>
      </c>
      <c r="F86" s="59" t="n">
        <v>220</v>
      </c>
      <c r="G86" s="59" t="n">
        <f aca="false">F86-H86</f>
        <v>220</v>
      </c>
      <c r="H86" s="59" t="n">
        <v>0</v>
      </c>
      <c r="I86" s="9"/>
      <c r="J86" s="0"/>
      <c r="K86" s="206"/>
      <c r="P86" s="0"/>
    </row>
    <row r="87" customFormat="false" ht="20.5" hidden="false" customHeight="true" outlineLevel="0" collapsed="false">
      <c r="A87" s="0" t="n">
        <v>30</v>
      </c>
      <c r="B87" s="34" t="n">
        <v>37408</v>
      </c>
      <c r="C87" s="36" t="n">
        <v>66448</v>
      </c>
      <c r="D87" s="1" t="s">
        <v>41</v>
      </c>
      <c r="E87" s="33" t="n">
        <f aca="false">IF(D87="totale",(C87/(A87*24))/F87,IF(D87="marché libre",(C87/(A87*24))/G87,"spécifier histo"))</f>
        <v>0.41949494949495</v>
      </c>
      <c r="F87" s="59" t="n">
        <v>220</v>
      </c>
      <c r="G87" s="59" t="n">
        <f aca="false">F87-H87</f>
        <v>220</v>
      </c>
      <c r="H87" s="59" t="n">
        <v>0</v>
      </c>
      <c r="I87" s="9"/>
      <c r="J87" s="0"/>
      <c r="K87" s="206"/>
      <c r="P87" s="0"/>
    </row>
    <row r="88" customFormat="false" ht="20.5" hidden="false" customHeight="true" outlineLevel="0" collapsed="false">
      <c r="A88" s="0" t="n">
        <v>31</v>
      </c>
      <c r="B88" s="31" t="n">
        <v>37438</v>
      </c>
      <c r="C88" s="36" t="n">
        <v>26149</v>
      </c>
      <c r="D88" s="1" t="s">
        <v>41</v>
      </c>
      <c r="E88" s="33" t="n">
        <f aca="false">IF(D88="totale",(C88/(A88*24))/F88,IF(D88="marché libre",(C88/(A88*24))/G88,"spécifier histo"))</f>
        <v>0.159756842619746</v>
      </c>
      <c r="F88" s="59" t="n">
        <v>220</v>
      </c>
      <c r="G88" s="59" t="n">
        <f aca="false">F88-H88</f>
        <v>220</v>
      </c>
      <c r="H88" s="59" t="n">
        <v>0</v>
      </c>
      <c r="I88" s="9"/>
      <c r="J88" s="0"/>
      <c r="K88" s="206"/>
      <c r="P88" s="0"/>
    </row>
    <row r="89" customFormat="false" ht="20.5" hidden="false" customHeight="true" outlineLevel="0" collapsed="false">
      <c r="A89" s="0" t="n">
        <v>31</v>
      </c>
      <c r="B89" s="34" t="n">
        <v>37469</v>
      </c>
      <c r="C89" s="36" t="n">
        <v>31779</v>
      </c>
      <c r="D89" s="1" t="s">
        <v>41</v>
      </c>
      <c r="E89" s="33" t="n">
        <f aca="false">IF(D89="totale",(C89/(A89*24))/F89,IF(D89="marché libre",(C89/(A89*24))/G89,"spécifier histo"))</f>
        <v>0.194153225806452</v>
      </c>
      <c r="F89" s="59" t="n">
        <v>220</v>
      </c>
      <c r="G89" s="59" t="n">
        <f aca="false">F89-H89</f>
        <v>220</v>
      </c>
      <c r="H89" s="59" t="n">
        <v>0</v>
      </c>
      <c r="I89" s="9"/>
      <c r="J89" s="0"/>
      <c r="K89" s="206"/>
      <c r="P89" s="0"/>
    </row>
    <row r="90" customFormat="false" ht="20.5" hidden="false" customHeight="true" outlineLevel="0" collapsed="false">
      <c r="A90" s="0" t="n">
        <v>30</v>
      </c>
      <c r="B90" s="31" t="n">
        <v>37500</v>
      </c>
      <c r="C90" s="36" t="n">
        <v>21622</v>
      </c>
      <c r="D90" s="1" t="s">
        <v>41</v>
      </c>
      <c r="E90" s="33" t="n">
        <f aca="false">IF(D90="totale",(C90/(A90*24))/F90,IF(D90="marché libre",(C90/(A90*24))/G90,"spécifier histo"))</f>
        <v>0.136502525252525</v>
      </c>
      <c r="F90" s="59" t="n">
        <v>220</v>
      </c>
      <c r="G90" s="59" t="n">
        <f aca="false">F90-H90</f>
        <v>220</v>
      </c>
      <c r="H90" s="59" t="n">
        <v>0</v>
      </c>
      <c r="I90" s="9"/>
      <c r="J90" s="0"/>
      <c r="K90" s="206"/>
      <c r="P90" s="0"/>
    </row>
    <row r="91" customFormat="false" ht="20.5" hidden="false" customHeight="true" outlineLevel="0" collapsed="false">
      <c r="A91" s="0" t="n">
        <v>31</v>
      </c>
      <c r="B91" s="34" t="n">
        <v>37530</v>
      </c>
      <c r="C91" s="36" t="n">
        <v>24878</v>
      </c>
      <c r="D91" s="1" t="s">
        <v>41</v>
      </c>
      <c r="E91" s="33" t="n">
        <f aca="false">IF(D91="totale",(C91/(A91*24))/F91,IF(D91="marché libre",(C91/(A91*24))/G91,"spécifier histo"))</f>
        <v>0.151991691104594</v>
      </c>
      <c r="F91" s="59" t="n">
        <v>220</v>
      </c>
      <c r="G91" s="59" t="n">
        <f aca="false">F91-H91</f>
        <v>220</v>
      </c>
      <c r="H91" s="59" t="n">
        <v>0</v>
      </c>
      <c r="I91" s="9"/>
      <c r="J91" s="0"/>
      <c r="K91" s="206"/>
      <c r="P91" s="0"/>
    </row>
    <row r="92" customFormat="false" ht="20.5" hidden="false" customHeight="true" outlineLevel="0" collapsed="false">
      <c r="A92" s="0" t="n">
        <v>30</v>
      </c>
      <c r="B92" s="31" t="n">
        <v>37561</v>
      </c>
      <c r="C92" s="36" t="n">
        <v>67960</v>
      </c>
      <c r="D92" s="1" t="s">
        <v>41</v>
      </c>
      <c r="E92" s="33" t="n">
        <f aca="false">IF(D92="totale",(C92/(A92*24))/F92,IF(D92="marché libre",(C92/(A92*24))/G92,"spécifier histo"))</f>
        <v>0.429040404040404</v>
      </c>
      <c r="F92" s="59" t="n">
        <v>220</v>
      </c>
      <c r="G92" s="59" t="n">
        <f aca="false">F92-H92</f>
        <v>220</v>
      </c>
      <c r="H92" s="59" t="n">
        <v>0</v>
      </c>
      <c r="I92" s="9"/>
      <c r="J92" s="0"/>
      <c r="K92" s="206"/>
      <c r="P92" s="0"/>
    </row>
    <row r="93" customFormat="false" ht="20.5" hidden="false" customHeight="true" outlineLevel="0" collapsed="false">
      <c r="A93" s="0" t="n">
        <v>31</v>
      </c>
      <c r="B93" s="34" t="n">
        <v>37591</v>
      </c>
      <c r="C93" s="36" t="n">
        <v>85110</v>
      </c>
      <c r="D93" s="1" t="s">
        <v>41</v>
      </c>
      <c r="E93" s="33" t="n">
        <f aca="false">IF(D93="totale",(C93/(A93*24))/F93,IF(D93="marché libre",(C93/(A93*24))/G93,"spécifier histo"))</f>
        <v>0.519978005865103</v>
      </c>
      <c r="F93" s="59" t="n">
        <v>220</v>
      </c>
      <c r="G93" s="59" t="n">
        <f aca="false">F93-H93</f>
        <v>220</v>
      </c>
      <c r="H93" s="59" t="n">
        <v>0</v>
      </c>
      <c r="I93" s="9"/>
      <c r="J93" s="0"/>
      <c r="K93" s="206"/>
      <c r="P93" s="0"/>
    </row>
    <row r="94" customFormat="false" ht="20.5" hidden="false" customHeight="true" outlineLevel="0" collapsed="false">
      <c r="A94" s="0" t="n">
        <v>31</v>
      </c>
      <c r="B94" s="31" t="n">
        <v>37622</v>
      </c>
      <c r="C94" s="36" t="n">
        <v>109010</v>
      </c>
      <c r="D94" s="1" t="s">
        <v>41</v>
      </c>
      <c r="E94" s="33" t="n">
        <f aca="false">IF(D94="totale",(C94/(A94*24))/F94,IF(D94="marché libre",(C94/(A94*24))/G94,"spécifier histo"))</f>
        <v>0.665994623655914</v>
      </c>
      <c r="F94" s="59" t="n">
        <v>220</v>
      </c>
      <c r="G94" s="59" t="n">
        <f aca="false">F94-H94</f>
        <v>220</v>
      </c>
      <c r="H94" s="59" t="n">
        <v>0</v>
      </c>
      <c r="I94" s="9"/>
      <c r="J94" s="0"/>
      <c r="K94" s="206"/>
      <c r="P94" s="0"/>
    </row>
    <row r="95" customFormat="false" ht="20.5" hidden="false" customHeight="true" outlineLevel="0" collapsed="false">
      <c r="A95" s="0" t="n">
        <v>28</v>
      </c>
      <c r="B95" s="34" t="n">
        <v>37653</v>
      </c>
      <c r="C95" s="36" t="n">
        <v>84487</v>
      </c>
      <c r="D95" s="1" t="s">
        <v>41</v>
      </c>
      <c r="E95" s="33" t="n">
        <f aca="false">IF(D95="totale",(C95/(A95*24))/F95,IF(D95="marché libre",(C95/(A95*24))/G95,"spécifier histo"))</f>
        <v>0.57147591991342</v>
      </c>
      <c r="F95" s="59" t="n">
        <v>220</v>
      </c>
      <c r="G95" s="59" t="n">
        <f aca="false">F95-H95</f>
        <v>220</v>
      </c>
      <c r="H95" s="59" t="n">
        <v>0</v>
      </c>
      <c r="I95" s="9"/>
      <c r="J95" s="0"/>
      <c r="K95" s="206"/>
      <c r="P95" s="0"/>
    </row>
    <row r="96" customFormat="false" ht="20.5" hidden="false" customHeight="true" outlineLevel="0" collapsed="false">
      <c r="A96" s="0" t="n">
        <v>31</v>
      </c>
      <c r="B96" s="31" t="n">
        <v>37681</v>
      </c>
      <c r="C96" s="36" t="n">
        <v>78597</v>
      </c>
      <c r="D96" s="1" t="s">
        <v>41</v>
      </c>
      <c r="E96" s="33" t="n">
        <f aca="false">IF(D96="totale",(C96/(A96*24))/F96,IF(D96="marché libre",(C96/(A96*24))/G96,"spécifier histo"))</f>
        <v>0.480186950146628</v>
      </c>
      <c r="F96" s="59" t="n">
        <v>220</v>
      </c>
      <c r="G96" s="59" t="n">
        <f aca="false">F96-H96</f>
        <v>220</v>
      </c>
      <c r="H96" s="59" t="n">
        <v>0</v>
      </c>
      <c r="I96" s="9"/>
      <c r="J96" s="205"/>
      <c r="K96" s="206"/>
      <c r="P96" s="0"/>
    </row>
    <row r="97" customFormat="false" ht="20.5" hidden="false" customHeight="true" outlineLevel="0" collapsed="false">
      <c r="A97" s="0" t="n">
        <v>30</v>
      </c>
      <c r="B97" s="34" t="n">
        <v>37712</v>
      </c>
      <c r="C97" s="36" t="n">
        <v>40754</v>
      </c>
      <c r="D97" s="1" t="s">
        <v>41</v>
      </c>
      <c r="E97" s="33" t="n">
        <f aca="false">IF(D97="totale",(C97/(A97*24))/F97,IF(D97="marché libre",(C97/(A97*24))/G97,"spécifier histo"))</f>
        <v>0.257285353535353</v>
      </c>
      <c r="F97" s="59" t="n">
        <v>220</v>
      </c>
      <c r="G97" s="59" t="n">
        <f aca="false">F97-H97</f>
        <v>220</v>
      </c>
      <c r="H97" s="59" t="n">
        <v>0</v>
      </c>
      <c r="I97" s="9"/>
      <c r="J97" s="205"/>
      <c r="K97" s="206"/>
      <c r="P97" s="0"/>
    </row>
    <row r="98" customFormat="false" ht="20.5" hidden="false" customHeight="true" outlineLevel="0" collapsed="false">
      <c r="A98" s="0" t="n">
        <v>31</v>
      </c>
      <c r="B98" s="31" t="n">
        <v>37742</v>
      </c>
      <c r="C98" s="36" t="n">
        <v>66439</v>
      </c>
      <c r="D98" s="1" t="s">
        <v>41</v>
      </c>
      <c r="E98" s="33" t="n">
        <f aca="false">IF(D98="totale",(C98/(A98*24))/F98,IF(D98="marché libre",(C98/(A98*24))/G98,"spécifier histo"))</f>
        <v>0.405907869012708</v>
      </c>
      <c r="F98" s="59" t="n">
        <v>220</v>
      </c>
      <c r="G98" s="59" t="n">
        <f aca="false">F98-H98</f>
        <v>220</v>
      </c>
      <c r="H98" s="59" t="n">
        <v>0</v>
      </c>
      <c r="I98" s="9"/>
      <c r="J98" s="205"/>
      <c r="K98" s="206"/>
      <c r="P98" s="0"/>
    </row>
    <row r="99" customFormat="false" ht="20.5" hidden="false" customHeight="true" outlineLevel="0" collapsed="false">
      <c r="A99" s="0" t="n">
        <v>30</v>
      </c>
      <c r="B99" s="34" t="n">
        <v>37773</v>
      </c>
      <c r="C99" s="36" t="n">
        <v>27470</v>
      </c>
      <c r="D99" s="1" t="s">
        <v>41</v>
      </c>
      <c r="E99" s="33" t="n">
        <f aca="false">IF(D99="totale",(C99/(A99*24))/F99,IF(D99="marché libre",(C99/(A99*24))/G99,"spécifier histo"))</f>
        <v>0.173421717171717</v>
      </c>
      <c r="F99" s="59" t="n">
        <v>220</v>
      </c>
      <c r="G99" s="59" t="n">
        <f aca="false">F99-H99</f>
        <v>220</v>
      </c>
      <c r="H99" s="59" t="n">
        <v>0</v>
      </c>
      <c r="I99" s="9"/>
      <c r="J99" s="205"/>
      <c r="K99" s="206"/>
      <c r="P99" s="0"/>
    </row>
    <row r="100" customFormat="false" ht="20.5" hidden="false" customHeight="true" outlineLevel="0" collapsed="false">
      <c r="A100" s="0" t="n">
        <v>31</v>
      </c>
      <c r="B100" s="31" t="n">
        <v>37803</v>
      </c>
      <c r="C100" s="36" t="n">
        <v>0</v>
      </c>
      <c r="D100" s="1" t="s">
        <v>41</v>
      </c>
      <c r="E100" s="33" t="n">
        <f aca="false">IF(D100="totale",(C100/(A100*24))/F100,IF(D100="marché libre",(C100/(A100*24))/G100,"spécifier histo"))</f>
        <v>0</v>
      </c>
      <c r="F100" s="59" t="n">
        <v>220</v>
      </c>
      <c r="G100" s="59" t="n">
        <f aca="false">F100-H100</f>
        <v>220</v>
      </c>
      <c r="H100" s="59" t="n">
        <v>0</v>
      </c>
      <c r="I100" s="9"/>
      <c r="J100" s="205"/>
      <c r="K100" s="206"/>
      <c r="P100" s="0"/>
    </row>
    <row r="101" customFormat="false" ht="20.5" hidden="false" customHeight="true" outlineLevel="0" collapsed="false">
      <c r="A101" s="0" t="n">
        <v>31</v>
      </c>
      <c r="B101" s="34" t="n">
        <v>37834</v>
      </c>
      <c r="C101" s="36" t="n">
        <v>0</v>
      </c>
      <c r="D101" s="1" t="s">
        <v>41</v>
      </c>
      <c r="E101" s="33" t="n">
        <f aca="false">IF(D101="totale",(C101/(A101*24))/F101,IF(D101="marché libre",(C101/(A101*24))/G101,"spécifier histo"))</f>
        <v>0</v>
      </c>
      <c r="F101" s="59" t="n">
        <v>220</v>
      </c>
      <c r="G101" s="59" t="n">
        <f aca="false">F101-H101</f>
        <v>220</v>
      </c>
      <c r="H101" s="59" t="n">
        <v>0</v>
      </c>
      <c r="I101" s="9"/>
      <c r="J101" s="205"/>
      <c r="K101" s="206"/>
      <c r="P101" s="0"/>
    </row>
    <row r="102" customFormat="false" ht="20.5" hidden="false" customHeight="true" outlineLevel="0" collapsed="false">
      <c r="A102" s="0" t="n">
        <v>30</v>
      </c>
      <c r="B102" s="31" t="n">
        <v>37865</v>
      </c>
      <c r="C102" s="36" t="n">
        <v>9738</v>
      </c>
      <c r="D102" s="1" t="s">
        <v>41</v>
      </c>
      <c r="E102" s="33" t="n">
        <f aca="false">IF(D102="totale",(C102/(A102*24))/F102,IF(D102="marché libre",(C102/(A102*24))/G102,"spécifier histo"))</f>
        <v>0.0614772727272727</v>
      </c>
      <c r="F102" s="59" t="n">
        <v>220</v>
      </c>
      <c r="G102" s="59" t="n">
        <f aca="false">F102-H102</f>
        <v>220</v>
      </c>
      <c r="H102" s="59" t="n">
        <v>0</v>
      </c>
      <c r="I102" s="9"/>
      <c r="J102" s="205"/>
      <c r="K102" s="206"/>
      <c r="P102" s="0"/>
    </row>
    <row r="103" customFormat="false" ht="20.5" hidden="false" customHeight="true" outlineLevel="0" collapsed="false">
      <c r="A103" s="0" t="n">
        <v>31</v>
      </c>
      <c r="B103" s="34" t="n">
        <v>37895</v>
      </c>
      <c r="C103" s="36" t="n">
        <v>6764</v>
      </c>
      <c r="D103" s="1" t="s">
        <v>41</v>
      </c>
      <c r="E103" s="33" t="n">
        <f aca="false">IF(D103="totale",(C103/(A103*24))/F103,IF(D103="marché libre",(C103/(A103*24))/G103,"spécifier histo"))</f>
        <v>0.0413245356793744</v>
      </c>
      <c r="F103" s="59" t="n">
        <v>220</v>
      </c>
      <c r="G103" s="59" t="n">
        <f aca="false">F103-H103</f>
        <v>220</v>
      </c>
      <c r="H103" s="59" t="n">
        <v>0</v>
      </c>
      <c r="I103" s="9"/>
      <c r="J103" s="205"/>
      <c r="K103" s="206"/>
      <c r="P103" s="0"/>
    </row>
    <row r="104" customFormat="false" ht="20.5" hidden="false" customHeight="true" outlineLevel="0" collapsed="false">
      <c r="A104" s="0" t="n">
        <v>30</v>
      </c>
      <c r="B104" s="31" t="n">
        <v>37926</v>
      </c>
      <c r="C104" s="36" t="n">
        <v>15984</v>
      </c>
      <c r="D104" s="1" t="s">
        <v>41</v>
      </c>
      <c r="E104" s="33" t="n">
        <f aca="false">IF(D104="totale",(C104/(A104*24))/F104,IF(D104="marché libre",(C104/(A104*24))/G104,"spécifier histo"))</f>
        <v>0.100909090909091</v>
      </c>
      <c r="F104" s="59" t="n">
        <v>220</v>
      </c>
      <c r="G104" s="59" t="n">
        <f aca="false">F104-H104</f>
        <v>220</v>
      </c>
      <c r="H104" s="59" t="n">
        <v>0</v>
      </c>
      <c r="I104" s="9"/>
      <c r="J104" s="205"/>
      <c r="K104" s="206"/>
      <c r="P104" s="0"/>
    </row>
    <row r="105" customFormat="false" ht="20.5" hidden="false" customHeight="true" outlineLevel="0" collapsed="false">
      <c r="A105" s="0" t="n">
        <v>31</v>
      </c>
      <c r="B105" s="34" t="n">
        <v>37956</v>
      </c>
      <c r="C105" s="36" t="n">
        <v>91002</v>
      </c>
      <c r="D105" s="1" t="s">
        <v>41</v>
      </c>
      <c r="E105" s="33" t="n">
        <f aca="false">IF(D105="totale",(C105/(A105*24))/F105,IF(D105="marché libre",(C105/(A105*24))/G105,"spécifier histo"))</f>
        <v>0.555975073313783</v>
      </c>
      <c r="F105" s="59" t="n">
        <v>220</v>
      </c>
      <c r="G105" s="59" t="n">
        <f aca="false">F105-H105</f>
        <v>220</v>
      </c>
      <c r="H105" s="59" t="n">
        <v>0</v>
      </c>
      <c r="I105" s="9"/>
      <c r="J105" s="205"/>
      <c r="K105" s="206"/>
      <c r="P105" s="0"/>
    </row>
    <row r="106" customFormat="false" ht="20.5" hidden="false" customHeight="true" outlineLevel="0" collapsed="false">
      <c r="A106" s="0" t="n">
        <v>31</v>
      </c>
      <c r="B106" s="31" t="n">
        <v>37987</v>
      </c>
      <c r="C106" s="36" t="n">
        <v>104001</v>
      </c>
      <c r="D106" s="1" t="s">
        <v>41</v>
      </c>
      <c r="E106" s="33" t="n">
        <f aca="false">IF(D106="totale",(C106/(A106*24))/F106,IF(D106="marché libre",(C106/(A106*24))/G106,"spécifier histo"))</f>
        <v>0.635392228739003</v>
      </c>
      <c r="F106" s="59" t="n">
        <v>220</v>
      </c>
      <c r="G106" s="59" t="n">
        <f aca="false">F106-H106</f>
        <v>220</v>
      </c>
      <c r="H106" s="59" t="n">
        <v>0</v>
      </c>
      <c r="I106" s="9"/>
      <c r="J106" s="205"/>
      <c r="K106" s="206"/>
      <c r="P106" s="0"/>
    </row>
    <row r="107" customFormat="false" ht="20.5" hidden="false" customHeight="true" outlineLevel="0" collapsed="false">
      <c r="A107" s="0" t="n">
        <v>28</v>
      </c>
      <c r="B107" s="34" t="n">
        <v>38018</v>
      </c>
      <c r="C107" s="36" t="n">
        <v>109490</v>
      </c>
      <c r="D107" s="1" t="s">
        <v>41</v>
      </c>
      <c r="E107" s="33" t="n">
        <f aca="false">IF(D107="totale",(C107/(A107*24))/F107,IF(D107="marché libre",(C107/(A107*24))/G107,"spécifier histo"))</f>
        <v>0.740597943722944</v>
      </c>
      <c r="F107" s="59" t="n">
        <v>220</v>
      </c>
      <c r="G107" s="59" t="n">
        <f aca="false">F107-H107</f>
        <v>220</v>
      </c>
      <c r="H107" s="59" t="n">
        <v>0</v>
      </c>
      <c r="I107" s="9"/>
      <c r="J107" s="205"/>
      <c r="K107" s="206"/>
      <c r="P107" s="0"/>
    </row>
    <row r="108" customFormat="false" ht="20.5" hidden="false" customHeight="true" outlineLevel="0" collapsed="false">
      <c r="A108" s="0" t="n">
        <v>31</v>
      </c>
      <c r="B108" s="31" t="n">
        <v>38047</v>
      </c>
      <c r="C108" s="36" t="n">
        <v>108428</v>
      </c>
      <c r="D108" s="1" t="s">
        <v>41</v>
      </c>
      <c r="E108" s="33" t="n">
        <f aca="false">IF(D108="totale",(C108/(A108*24))/F108,IF(D108="marché libre",(C108/(A108*24))/G108,"spécifier histo"))</f>
        <v>0.662438905180841</v>
      </c>
      <c r="F108" s="59" t="n">
        <v>220</v>
      </c>
      <c r="G108" s="59" t="n">
        <f aca="false">F108-H108</f>
        <v>220</v>
      </c>
      <c r="H108" s="59" t="n">
        <v>0</v>
      </c>
      <c r="I108" s="9"/>
      <c r="J108" s="205"/>
      <c r="K108" s="206"/>
      <c r="P108" s="0"/>
    </row>
    <row r="109" customFormat="false" ht="20.5" hidden="false" customHeight="true" outlineLevel="0" collapsed="false">
      <c r="A109" s="0" t="n">
        <v>30</v>
      </c>
      <c r="B109" s="34" t="n">
        <v>38078</v>
      </c>
      <c r="C109" s="36" t="n">
        <v>92272</v>
      </c>
      <c r="D109" s="1" t="s">
        <v>41</v>
      </c>
      <c r="E109" s="33" t="n">
        <f aca="false">IF(D109="totale",(C109/(A109*24))/F109,IF(D109="marché libre",(C109/(A109*24))/G109,"spécifier histo"))</f>
        <v>0.582525252525253</v>
      </c>
      <c r="F109" s="59" t="n">
        <v>220</v>
      </c>
      <c r="G109" s="59" t="n">
        <f aca="false">F109-H109</f>
        <v>220</v>
      </c>
      <c r="H109" s="59" t="n">
        <v>0</v>
      </c>
      <c r="I109" s="9"/>
      <c r="J109" s="205"/>
      <c r="K109" s="206"/>
      <c r="P109" s="0"/>
    </row>
    <row r="110" customFormat="false" ht="20.5" hidden="false" customHeight="true" outlineLevel="0" collapsed="false">
      <c r="A110" s="0" t="n">
        <v>31</v>
      </c>
      <c r="B110" s="31" t="n">
        <v>38108</v>
      </c>
      <c r="C110" s="36" t="n">
        <v>122436</v>
      </c>
      <c r="D110" s="1" t="s">
        <v>41</v>
      </c>
      <c r="E110" s="33" t="n">
        <f aca="false">IF(D110="totale",(C110/(A110*24))/F110,IF(D110="marché libre",(C110/(A110*24))/G110,"spécifier histo"))</f>
        <v>0.748020527859238</v>
      </c>
      <c r="F110" s="59" t="n">
        <v>220</v>
      </c>
      <c r="G110" s="59" t="n">
        <f aca="false">F110-H110</f>
        <v>220</v>
      </c>
      <c r="H110" s="59" t="n">
        <v>0</v>
      </c>
      <c r="I110" s="9"/>
      <c r="J110" s="205"/>
      <c r="K110" s="206"/>
      <c r="P110" s="0"/>
    </row>
    <row r="111" customFormat="false" ht="20.5" hidden="false" customHeight="true" outlineLevel="0" collapsed="false">
      <c r="A111" s="0" t="n">
        <v>30</v>
      </c>
      <c r="B111" s="34" t="n">
        <v>38139</v>
      </c>
      <c r="C111" s="36" t="n">
        <v>37909</v>
      </c>
      <c r="D111" s="1" t="s">
        <v>41</v>
      </c>
      <c r="E111" s="33" t="n">
        <f aca="false">IF(D111="totale",(C111/(A111*24))/F111,IF(D111="marché libre",(C111/(A111*24))/G111,"spécifier histo"))</f>
        <v>0.239324494949495</v>
      </c>
      <c r="F111" s="59" t="n">
        <v>220</v>
      </c>
      <c r="G111" s="59" t="n">
        <f aca="false">F111-H111</f>
        <v>220</v>
      </c>
      <c r="H111" s="59" t="n">
        <v>0</v>
      </c>
      <c r="I111" s="9"/>
      <c r="J111" s="205"/>
      <c r="K111" s="206"/>
      <c r="P111" s="0"/>
    </row>
    <row r="112" customFormat="false" ht="20.5" hidden="false" customHeight="true" outlineLevel="0" collapsed="false">
      <c r="A112" s="0" t="n">
        <v>31</v>
      </c>
      <c r="B112" s="31" t="n">
        <v>38169</v>
      </c>
      <c r="C112" s="36" t="n">
        <v>0</v>
      </c>
      <c r="D112" s="1" t="s">
        <v>41</v>
      </c>
      <c r="E112" s="33" t="n">
        <f aca="false">IF(D112="totale",(C112/(A112*24))/F112,IF(D112="marché libre",(C112/(A112*24))/G112,"spécifier histo"))</f>
        <v>0</v>
      </c>
      <c r="F112" s="59" t="n">
        <v>220</v>
      </c>
      <c r="G112" s="59" t="n">
        <f aca="false">F112-H112</f>
        <v>220</v>
      </c>
      <c r="H112" s="59" t="n">
        <v>0</v>
      </c>
      <c r="I112" s="9"/>
      <c r="J112" s="205"/>
      <c r="K112" s="206"/>
      <c r="P112" s="0"/>
    </row>
    <row r="113" customFormat="false" ht="20.5" hidden="false" customHeight="true" outlineLevel="0" collapsed="false">
      <c r="A113" s="0" t="n">
        <v>31</v>
      </c>
      <c r="B113" s="34" t="n">
        <v>38200</v>
      </c>
      <c r="C113" s="36" t="n">
        <v>13828</v>
      </c>
      <c r="D113" s="1" t="s">
        <v>41</v>
      </c>
      <c r="E113" s="33" t="n">
        <f aca="false">IF(D113="totale",(C113/(A113*24))/F113,IF(D113="marché libre",(C113/(A113*24))/G113,"spécifier histo"))</f>
        <v>0.0844819159335288</v>
      </c>
      <c r="F113" s="59" t="n">
        <v>220</v>
      </c>
      <c r="G113" s="59" t="n">
        <f aca="false">F113-H113</f>
        <v>220</v>
      </c>
      <c r="H113" s="59" t="n">
        <v>0</v>
      </c>
      <c r="I113" s="9"/>
      <c r="J113" s="205"/>
      <c r="K113" s="206"/>
      <c r="P113" s="0"/>
    </row>
    <row r="114" customFormat="false" ht="20.5" hidden="false" customHeight="true" outlineLevel="0" collapsed="false">
      <c r="A114" s="0" t="n">
        <v>30</v>
      </c>
      <c r="B114" s="31" t="n">
        <v>38231</v>
      </c>
      <c r="C114" s="36" t="n">
        <v>0</v>
      </c>
      <c r="D114" s="1" t="s">
        <v>41</v>
      </c>
      <c r="E114" s="33" t="n">
        <f aca="false">IF(D114="totale",(C114/(A114*24))/F114,IF(D114="marché libre",(C114/(A114*24))/G114,"spécifier histo"))</f>
        <v>0</v>
      </c>
      <c r="F114" s="59" t="n">
        <v>220</v>
      </c>
      <c r="G114" s="59" t="n">
        <f aca="false">F114-H114</f>
        <v>220</v>
      </c>
      <c r="H114" s="59" t="n">
        <v>0</v>
      </c>
      <c r="I114" s="9"/>
      <c r="J114" s="205"/>
      <c r="K114" s="206"/>
      <c r="P114" s="0"/>
    </row>
    <row r="115" customFormat="false" ht="20.5" hidden="false" customHeight="true" outlineLevel="0" collapsed="false">
      <c r="A115" s="0" t="n">
        <v>31</v>
      </c>
      <c r="B115" s="34" t="n">
        <v>38261</v>
      </c>
      <c r="C115" s="36" t="n">
        <v>13360</v>
      </c>
      <c r="D115" s="1" t="s">
        <v>41</v>
      </c>
      <c r="E115" s="33" t="n">
        <f aca="false">IF(D115="totale",(C115/(A115*24))/F115,IF(D115="marché libre",(C115/(A115*24))/G115,"spécifier histo"))</f>
        <v>0.0816226783968719</v>
      </c>
      <c r="F115" s="59" t="n">
        <v>220</v>
      </c>
      <c r="G115" s="59" t="n">
        <f aca="false">F115-H115</f>
        <v>220</v>
      </c>
      <c r="H115" s="59" t="n">
        <v>0</v>
      </c>
      <c r="I115" s="9"/>
      <c r="J115" s="205"/>
      <c r="K115" s="206"/>
      <c r="P115" s="0"/>
    </row>
    <row r="116" customFormat="false" ht="20.5" hidden="false" customHeight="true" outlineLevel="0" collapsed="false">
      <c r="A116" s="0" t="n">
        <v>30</v>
      </c>
      <c r="B116" s="31" t="n">
        <v>38292</v>
      </c>
      <c r="C116" s="36" t="n">
        <v>41405</v>
      </c>
      <c r="D116" s="1" t="s">
        <v>41</v>
      </c>
      <c r="E116" s="33" t="n">
        <f aca="false">IF(D116="totale",(C116/(A116*24))/F116,IF(D116="marché libre",(C116/(A116*24))/G116,"spécifier histo"))</f>
        <v>0.261395202020202</v>
      </c>
      <c r="F116" s="59" t="n">
        <v>220</v>
      </c>
      <c r="G116" s="59" t="n">
        <f aca="false">F116-H116</f>
        <v>220</v>
      </c>
      <c r="H116" s="59" t="n">
        <v>0</v>
      </c>
      <c r="I116" s="9"/>
      <c r="J116" s="205"/>
      <c r="K116" s="206"/>
      <c r="P116" s="0"/>
    </row>
    <row r="117" customFormat="false" ht="20.5" hidden="false" customHeight="true" outlineLevel="0" collapsed="false">
      <c r="A117" s="0" t="n">
        <v>31</v>
      </c>
      <c r="B117" s="34" t="n">
        <v>38322</v>
      </c>
      <c r="C117" s="36" t="n">
        <v>54927</v>
      </c>
      <c r="D117" s="1" t="s">
        <v>41</v>
      </c>
      <c r="E117" s="33" t="n">
        <f aca="false">IF(D117="totale",(C117/(A117*24))/F117,IF(D117="marché libre",(C117/(A117*24))/G117,"spécifier histo"))</f>
        <v>0.335575513196481</v>
      </c>
      <c r="F117" s="59" t="n">
        <v>220</v>
      </c>
      <c r="G117" s="59" t="n">
        <f aca="false">F117-H117</f>
        <v>220</v>
      </c>
      <c r="H117" s="59" t="n">
        <v>0</v>
      </c>
      <c r="I117" s="9"/>
      <c r="J117" s="205"/>
      <c r="K117" s="206"/>
      <c r="P117" s="0"/>
    </row>
    <row r="118" customFormat="false" ht="20.5" hidden="false" customHeight="true" outlineLevel="0" collapsed="false">
      <c r="A118" s="0" t="n">
        <v>31</v>
      </c>
      <c r="B118" s="31" t="n">
        <v>38353</v>
      </c>
      <c r="C118" s="36" t="n">
        <v>84559</v>
      </c>
      <c r="D118" s="1" t="s">
        <v>41</v>
      </c>
      <c r="E118" s="33" t="n">
        <f aca="false">IF(D118="totale",(C118/(A118*24))/F118,IF(D118="marché libre",(C118/(A118*24))/G118,"spécifier histo"))</f>
        <v>0.516611681329423</v>
      </c>
      <c r="F118" s="59" t="n">
        <v>220</v>
      </c>
      <c r="G118" s="59" t="n">
        <f aca="false">F118-H118</f>
        <v>220</v>
      </c>
      <c r="H118" s="59" t="n">
        <v>0</v>
      </c>
      <c r="I118" s="9"/>
      <c r="J118" s="205"/>
      <c r="K118" s="206"/>
      <c r="P118" s="0"/>
    </row>
    <row r="119" customFormat="false" ht="20.5" hidden="false" customHeight="true" outlineLevel="0" collapsed="false">
      <c r="A119" s="0" t="n">
        <v>28</v>
      </c>
      <c r="B119" s="34" t="n">
        <v>38384</v>
      </c>
      <c r="C119" s="36" t="n">
        <v>75287</v>
      </c>
      <c r="D119" s="1" t="s">
        <v>41</v>
      </c>
      <c r="E119" s="33" t="n">
        <f aca="false">IF(D119="totale",(C119/(A119*24))/F119,IF(D119="marché libre",(C119/(A119*24))/G119,"spécifier histo"))</f>
        <v>0.509246482683983</v>
      </c>
      <c r="F119" s="59" t="n">
        <v>220</v>
      </c>
      <c r="G119" s="59" t="n">
        <f aca="false">F119-H119</f>
        <v>220</v>
      </c>
      <c r="H119" s="59" t="n">
        <v>0</v>
      </c>
      <c r="I119" s="9"/>
      <c r="J119" s="205"/>
      <c r="K119" s="206"/>
      <c r="P119" s="0"/>
    </row>
    <row r="120" customFormat="false" ht="20.5" hidden="false" customHeight="true" outlineLevel="0" collapsed="false">
      <c r="A120" s="0" t="n">
        <v>31</v>
      </c>
      <c r="B120" s="31" t="n">
        <v>38412</v>
      </c>
      <c r="C120" s="36" t="n">
        <v>58007</v>
      </c>
      <c r="D120" s="1" t="s">
        <v>41</v>
      </c>
      <c r="E120" s="33" t="n">
        <f aca="false">IF(D120="totale",(C120/(A120*24))/F120,IF(D120="marché libre",(C120/(A120*24))/G120,"spécifier histo"))</f>
        <v>0.354392717497556</v>
      </c>
      <c r="F120" s="59" t="n">
        <v>220</v>
      </c>
      <c r="G120" s="59" t="n">
        <f aca="false">F120-H120</f>
        <v>220</v>
      </c>
      <c r="H120" s="59" t="n">
        <v>0</v>
      </c>
      <c r="I120" s="9"/>
      <c r="J120" s="205"/>
      <c r="K120" s="206"/>
      <c r="P120" s="0"/>
    </row>
    <row r="121" customFormat="false" ht="20.5" hidden="false" customHeight="true" outlineLevel="0" collapsed="false">
      <c r="A121" s="0" t="n">
        <v>30</v>
      </c>
      <c r="B121" s="34" t="n">
        <v>38443</v>
      </c>
      <c r="C121" s="36" t="n">
        <v>71583</v>
      </c>
      <c r="D121" s="1" t="s">
        <v>41</v>
      </c>
      <c r="E121" s="33" t="n">
        <f aca="false">IF(D121="totale",(C121/(A121*24))/F121,IF(D121="marché libre",(C121/(A121*24))/G121,"spécifier histo"))</f>
        <v>0.451912878787879</v>
      </c>
      <c r="F121" s="59" t="n">
        <v>220</v>
      </c>
      <c r="G121" s="59" t="n">
        <f aca="false">F121-H121</f>
        <v>220</v>
      </c>
      <c r="H121" s="59" t="n">
        <v>0</v>
      </c>
      <c r="I121" s="9"/>
      <c r="J121" s="205"/>
      <c r="K121" s="206"/>
      <c r="P121" s="0"/>
    </row>
    <row r="122" customFormat="false" ht="20.5" hidden="false" customHeight="true" outlineLevel="0" collapsed="false">
      <c r="A122" s="0" t="n">
        <v>31</v>
      </c>
      <c r="B122" s="31" t="n">
        <v>38473</v>
      </c>
      <c r="C122" s="36" t="n">
        <v>64762</v>
      </c>
      <c r="D122" s="1" t="s">
        <v>41</v>
      </c>
      <c r="E122" s="33" t="n">
        <f aca="false">IF(D122="totale",(C122/(A122*24))/F122,IF(D122="marché libre",(C122/(A122*24))/G122,"spécifier histo"))</f>
        <v>0.395662267839687</v>
      </c>
      <c r="F122" s="59" t="n">
        <v>220</v>
      </c>
      <c r="G122" s="59" t="n">
        <f aca="false">F122-H122</f>
        <v>220</v>
      </c>
      <c r="H122" s="59" t="n">
        <v>0</v>
      </c>
      <c r="I122" s="9"/>
      <c r="J122" s="205"/>
      <c r="K122" s="206"/>
      <c r="P122" s="0"/>
    </row>
    <row r="123" customFormat="false" ht="20.5" hidden="false" customHeight="true" outlineLevel="0" collapsed="false">
      <c r="A123" s="0" t="n">
        <v>30</v>
      </c>
      <c r="B123" s="34" t="n">
        <v>38504</v>
      </c>
      <c r="C123" s="36" t="n">
        <v>27767</v>
      </c>
      <c r="D123" s="1" t="s">
        <v>41</v>
      </c>
      <c r="E123" s="33" t="n">
        <f aca="false">IF(D123="totale",(C123/(A123*24))/F123,IF(D123="marché libre",(C123/(A123*24))/G123,"spécifier histo"))</f>
        <v>0.175296717171717</v>
      </c>
      <c r="F123" s="59" t="n">
        <v>220</v>
      </c>
      <c r="G123" s="59" t="n">
        <f aca="false">F123-H123</f>
        <v>220</v>
      </c>
      <c r="H123" s="59" t="n">
        <v>0</v>
      </c>
      <c r="I123" s="9"/>
      <c r="J123" s="205"/>
      <c r="K123" s="206"/>
      <c r="P123" s="0"/>
    </row>
    <row r="124" customFormat="false" ht="20.5" hidden="false" customHeight="true" outlineLevel="0" collapsed="false">
      <c r="A124" s="0" t="n">
        <v>31</v>
      </c>
      <c r="B124" s="31" t="n">
        <v>38534</v>
      </c>
      <c r="C124" s="36" t="n">
        <v>3199</v>
      </c>
      <c r="D124" s="1" t="s">
        <v>41</v>
      </c>
      <c r="E124" s="33" t="n">
        <f aca="false">IF(D124="totale",(C124/(A124*24))/F124,IF(D124="marché libre",(C124/(A124*24))/G124,"spécifier histo"))</f>
        <v>0.0195442326490714</v>
      </c>
      <c r="F124" s="59" t="n">
        <v>220</v>
      </c>
      <c r="G124" s="59" t="n">
        <f aca="false">F124-H124</f>
        <v>220</v>
      </c>
      <c r="H124" s="59" t="n">
        <v>0</v>
      </c>
      <c r="I124" s="9"/>
      <c r="J124" s="205"/>
      <c r="K124" s="206"/>
      <c r="P124" s="0"/>
    </row>
    <row r="125" customFormat="false" ht="20.5" hidden="false" customHeight="true" outlineLevel="0" collapsed="false">
      <c r="A125" s="0" t="n">
        <v>31</v>
      </c>
      <c r="B125" s="34" t="n">
        <v>38565</v>
      </c>
      <c r="C125" s="36" t="n">
        <v>11694</v>
      </c>
      <c r="D125" s="1" t="s">
        <v>41</v>
      </c>
      <c r="E125" s="33" t="n">
        <f aca="false">IF(D125="totale",(C125/(A125*24))/F125,IF(D125="marché libre",(C125/(A125*24))/G125,"spécifier histo"))</f>
        <v>0.0714442815249267</v>
      </c>
      <c r="F125" s="59" t="n">
        <v>220</v>
      </c>
      <c r="G125" s="59" t="n">
        <f aca="false">F125-H125</f>
        <v>220</v>
      </c>
      <c r="H125" s="59" t="n">
        <v>0</v>
      </c>
      <c r="I125" s="9"/>
      <c r="J125" s="205"/>
      <c r="K125" s="206"/>
      <c r="P125" s="0"/>
    </row>
    <row r="126" customFormat="false" ht="20.5" hidden="false" customHeight="true" outlineLevel="0" collapsed="false">
      <c r="A126" s="0" t="n">
        <v>30</v>
      </c>
      <c r="B126" s="31" t="n">
        <v>38596</v>
      </c>
      <c r="C126" s="36" t="n">
        <v>8703</v>
      </c>
      <c r="D126" s="1" t="s">
        <v>41</v>
      </c>
      <c r="E126" s="33" t="n">
        <f aca="false">IF(D126="totale",(C126/(A126*24))/F126,IF(D126="marché libre",(C126/(A126*24))/G126,"spécifier histo"))</f>
        <v>0.0549431818181818</v>
      </c>
      <c r="F126" s="59" t="n">
        <v>220</v>
      </c>
      <c r="G126" s="59" t="n">
        <f aca="false">F126-H126</f>
        <v>220</v>
      </c>
      <c r="H126" s="59" t="n">
        <v>0</v>
      </c>
      <c r="I126" s="9"/>
      <c r="J126" s="205"/>
      <c r="K126" s="206"/>
      <c r="P126" s="0"/>
    </row>
    <row r="127" customFormat="false" ht="20.5" hidden="false" customHeight="true" outlineLevel="0" collapsed="false">
      <c r="A127" s="0" t="n">
        <v>31</v>
      </c>
      <c r="B127" s="34" t="n">
        <v>38626</v>
      </c>
      <c r="C127" s="36" t="n">
        <v>8453</v>
      </c>
      <c r="D127" s="1" t="s">
        <v>41</v>
      </c>
      <c r="E127" s="33" t="n">
        <f aca="false">IF(D127="totale",(C127/(A127*24))/F127,IF(D127="marché libre",(C127/(A127*24))/G127,"spécifier histo"))</f>
        <v>0.0516434506353861</v>
      </c>
      <c r="F127" s="59" t="n">
        <v>220</v>
      </c>
      <c r="G127" s="59" t="n">
        <f aca="false">F127-H127</f>
        <v>220</v>
      </c>
      <c r="H127" s="59" t="n">
        <v>0</v>
      </c>
      <c r="I127" s="9"/>
      <c r="J127" s="205"/>
      <c r="K127" s="206"/>
      <c r="P127" s="0"/>
    </row>
    <row r="128" customFormat="false" ht="20.5" hidden="false" customHeight="true" outlineLevel="0" collapsed="false">
      <c r="A128" s="0" t="n">
        <v>30</v>
      </c>
      <c r="B128" s="31" t="n">
        <v>38657</v>
      </c>
      <c r="C128" s="36" t="n">
        <v>29115</v>
      </c>
      <c r="D128" s="1" t="s">
        <v>41</v>
      </c>
      <c r="E128" s="33" t="n">
        <f aca="false">IF(D128="totale",(C128/(A128*24))/F128,IF(D128="marché libre",(C128/(A128*24))/G128,"spécifier histo"))</f>
        <v>0.183806818181818</v>
      </c>
      <c r="F128" s="59" t="n">
        <v>220</v>
      </c>
      <c r="G128" s="59" t="n">
        <f aca="false">F128-H128</f>
        <v>220</v>
      </c>
      <c r="H128" s="59" t="n">
        <v>0</v>
      </c>
      <c r="I128" s="9"/>
      <c r="J128" s="205"/>
      <c r="K128" s="206"/>
      <c r="P128" s="0"/>
    </row>
    <row r="129" customFormat="false" ht="20.5" hidden="false" customHeight="true" outlineLevel="0" collapsed="false">
      <c r="A129" s="0" t="n">
        <v>31</v>
      </c>
      <c r="B129" s="34" t="n">
        <v>38687</v>
      </c>
      <c r="C129" s="36" t="n">
        <v>80343</v>
      </c>
      <c r="D129" s="1" t="s">
        <v>41</v>
      </c>
      <c r="E129" s="33" t="n">
        <f aca="false">IF(D129="totale",(C129/(A129*24))/F129,IF(D129="marché libre",(C129/(A129*24))/G129,"spécifier histo"))</f>
        <v>0.490854105571848</v>
      </c>
      <c r="F129" s="59" t="n">
        <v>220</v>
      </c>
      <c r="G129" s="59" t="n">
        <f aca="false">F129-H129</f>
        <v>220</v>
      </c>
      <c r="H129" s="59" t="n">
        <v>0</v>
      </c>
      <c r="I129" s="9"/>
      <c r="J129" s="205"/>
      <c r="K129" s="206"/>
      <c r="P129" s="0"/>
    </row>
    <row r="130" customFormat="false" ht="20.5" hidden="false" customHeight="true" outlineLevel="0" collapsed="false">
      <c r="A130" s="0" t="n">
        <v>31</v>
      </c>
      <c r="B130" s="31" t="n">
        <v>38718</v>
      </c>
      <c r="C130" s="36" t="n">
        <v>89450</v>
      </c>
      <c r="D130" s="1" t="s">
        <v>41</v>
      </c>
      <c r="E130" s="33" t="n">
        <f aca="false">IF(D130="totale",(C130/(A130*24))/F130,IF(D130="marché libre",(C130/(A130*24))/G130,"spécifier histo"))</f>
        <v>0.546493157380254</v>
      </c>
      <c r="F130" s="59" t="n">
        <v>220</v>
      </c>
      <c r="G130" s="59" t="n">
        <f aca="false">F130-H130</f>
        <v>220</v>
      </c>
      <c r="H130" s="59" t="n">
        <v>0</v>
      </c>
      <c r="I130" s="9"/>
      <c r="J130" s="205"/>
      <c r="K130" s="206"/>
      <c r="P130" s="0"/>
    </row>
    <row r="131" customFormat="false" ht="20.5" hidden="false" customHeight="true" outlineLevel="0" collapsed="false">
      <c r="A131" s="0" t="n">
        <v>28</v>
      </c>
      <c r="B131" s="34" t="n">
        <v>38749</v>
      </c>
      <c r="C131" s="36" t="n">
        <v>59203</v>
      </c>
      <c r="D131" s="1" t="s">
        <v>41</v>
      </c>
      <c r="E131" s="33" t="n">
        <f aca="false">IF(D131="totale",(C131/(A131*24))/F131,IF(D131="marché libre",(C131/(A131*24))/G131,"spécifier histo"))</f>
        <v>0.400453192640693</v>
      </c>
      <c r="F131" s="59" t="n">
        <v>220</v>
      </c>
      <c r="G131" s="59" t="n">
        <f aca="false">F131-H131</f>
        <v>220</v>
      </c>
      <c r="H131" s="59" t="n">
        <v>0</v>
      </c>
      <c r="I131" s="9"/>
      <c r="J131" s="205"/>
      <c r="K131" s="206"/>
      <c r="P131" s="0"/>
    </row>
    <row r="132" customFormat="false" ht="20.5" hidden="false" customHeight="true" outlineLevel="0" collapsed="false">
      <c r="A132" s="0" t="n">
        <v>31</v>
      </c>
      <c r="B132" s="31" t="n">
        <v>38777</v>
      </c>
      <c r="C132" s="36" t="n">
        <v>98626</v>
      </c>
      <c r="D132" s="1" t="s">
        <v>41</v>
      </c>
      <c r="E132" s="33" t="n">
        <f aca="false">IF(D132="totale",(C132/(A132*24))/F132,IF(D132="marché libre",(C132/(A132*24))/G132,"spécifier histo"))</f>
        <v>0.60255376344086</v>
      </c>
      <c r="F132" s="59" t="n">
        <v>220</v>
      </c>
      <c r="G132" s="59" t="n">
        <f aca="false">F132-H132</f>
        <v>220</v>
      </c>
      <c r="H132" s="59" t="n">
        <v>0</v>
      </c>
      <c r="I132" s="9"/>
      <c r="J132" s="205"/>
      <c r="K132" s="206"/>
      <c r="P132" s="0"/>
    </row>
    <row r="133" customFormat="false" ht="20.5" hidden="false" customHeight="true" outlineLevel="0" collapsed="false">
      <c r="A133" s="0" t="n">
        <v>30</v>
      </c>
      <c r="B133" s="34" t="n">
        <v>38808</v>
      </c>
      <c r="C133" s="36" t="n">
        <v>74653</v>
      </c>
      <c r="D133" s="1" t="s">
        <v>41</v>
      </c>
      <c r="E133" s="33" t="n">
        <f aca="false">IF(D133="totale",(C133/(A133*24))/F133,IF(D133="marché libre",(C133/(A133*24))/G133,"spécifier histo"))</f>
        <v>0.471294191919192</v>
      </c>
      <c r="F133" s="59" t="n">
        <v>220</v>
      </c>
      <c r="G133" s="59" t="n">
        <f aca="false">F133-H133</f>
        <v>220</v>
      </c>
      <c r="H133" s="59" t="n">
        <v>0</v>
      </c>
      <c r="I133" s="9"/>
      <c r="J133" s="205"/>
      <c r="K133" s="206"/>
      <c r="P133" s="0"/>
    </row>
    <row r="134" customFormat="false" ht="20.5" hidden="false" customHeight="true" outlineLevel="0" collapsed="false">
      <c r="A134" s="0" t="n">
        <v>31</v>
      </c>
      <c r="B134" s="31" t="n">
        <v>38838</v>
      </c>
      <c r="C134" s="36" t="n">
        <v>42923</v>
      </c>
      <c r="D134" s="1" t="s">
        <v>41</v>
      </c>
      <c r="E134" s="33" t="n">
        <f aca="false">IF(D134="totale",(C134/(A134*24))/F134,IF(D134="marché libre",(C134/(A134*24))/G134,"spécifier histo"))</f>
        <v>0.262237292277615</v>
      </c>
      <c r="F134" s="59" t="n">
        <v>220</v>
      </c>
      <c r="G134" s="59" t="n">
        <f aca="false">F134-H134</f>
        <v>220</v>
      </c>
      <c r="H134" s="59" t="n">
        <v>0</v>
      </c>
      <c r="I134" s="9"/>
      <c r="J134" s="205"/>
      <c r="K134" s="206"/>
      <c r="P134" s="0"/>
    </row>
    <row r="135" customFormat="false" ht="20.5" hidden="false" customHeight="true" outlineLevel="0" collapsed="false">
      <c r="A135" s="0" t="n">
        <v>30</v>
      </c>
      <c r="B135" s="34" t="n">
        <v>38869</v>
      </c>
      <c r="C135" s="36" t="n">
        <v>24148</v>
      </c>
      <c r="D135" s="1" t="s">
        <v>41</v>
      </c>
      <c r="E135" s="33" t="n">
        <f aca="false">IF(D135="totale",(C135/(A135*24))/F135,IF(D135="marché libre",(C135/(A135*24))/G135,"spécifier histo"))</f>
        <v>0.152449494949495</v>
      </c>
      <c r="F135" s="59" t="n">
        <v>220</v>
      </c>
      <c r="G135" s="59" t="n">
        <f aca="false">F135-H135</f>
        <v>220</v>
      </c>
      <c r="H135" s="59" t="n">
        <v>0</v>
      </c>
      <c r="I135" s="9"/>
      <c r="J135" s="205"/>
      <c r="K135" s="206"/>
      <c r="P135" s="0"/>
    </row>
    <row r="136" customFormat="false" ht="20.5" hidden="false" customHeight="true" outlineLevel="0" collapsed="false">
      <c r="A136" s="0" t="n">
        <v>31</v>
      </c>
      <c r="B136" s="31" t="n">
        <v>38899</v>
      </c>
      <c r="C136" s="36" t="n">
        <v>8507</v>
      </c>
      <c r="D136" s="1" t="s">
        <v>41</v>
      </c>
      <c r="E136" s="33" t="n">
        <f aca="false">IF(D136="totale",(C136/(A136*24))/F136,IF(D136="marché libre",(C136/(A136*24))/G136,"spécifier histo"))</f>
        <v>0.0519733626588465</v>
      </c>
      <c r="F136" s="59" t="n">
        <v>220</v>
      </c>
      <c r="G136" s="59" t="n">
        <f aca="false">F136-H136</f>
        <v>220</v>
      </c>
      <c r="H136" s="59" t="n">
        <v>0</v>
      </c>
      <c r="I136" s="9"/>
      <c r="J136" s="205"/>
      <c r="K136" s="206"/>
      <c r="P136" s="0"/>
    </row>
    <row r="137" customFormat="false" ht="20.5" hidden="false" customHeight="true" outlineLevel="0" collapsed="false">
      <c r="A137" s="0" t="n">
        <v>31</v>
      </c>
      <c r="B137" s="34" t="n">
        <v>38930</v>
      </c>
      <c r="C137" s="36" t="n">
        <v>3020</v>
      </c>
      <c r="D137" s="1" t="s">
        <v>41</v>
      </c>
      <c r="E137" s="33" t="n">
        <f aca="false">IF(D137="totale",(C137/(A137*24))/F137,IF(D137="marché libre",(C137/(A137*24))/G137,"spécifier histo"))</f>
        <v>0.0184506353861193</v>
      </c>
      <c r="F137" s="59" t="n">
        <v>220</v>
      </c>
      <c r="G137" s="59" t="n">
        <f aca="false">F137-H137</f>
        <v>220</v>
      </c>
      <c r="H137" s="59" t="n">
        <v>0</v>
      </c>
      <c r="I137" s="9"/>
      <c r="J137" s="205"/>
      <c r="K137" s="206"/>
      <c r="P137" s="0"/>
    </row>
    <row r="138" customFormat="false" ht="20.5" hidden="false" customHeight="true" outlineLevel="0" collapsed="false">
      <c r="A138" s="0" t="n">
        <v>30</v>
      </c>
      <c r="B138" s="31" t="n">
        <v>38961</v>
      </c>
      <c r="C138" s="36" t="n">
        <v>25042</v>
      </c>
      <c r="D138" s="1" t="s">
        <v>41</v>
      </c>
      <c r="E138" s="33" t="n">
        <f aca="false">IF(D138="totale",(C138/(A138*24))/F138,IF(D138="marché libre",(C138/(A138*24))/G138,"spécifier histo"))</f>
        <v>0.158093434343434</v>
      </c>
      <c r="F138" s="59" t="n">
        <v>220</v>
      </c>
      <c r="G138" s="59" t="n">
        <f aca="false">F138-H138</f>
        <v>220</v>
      </c>
      <c r="H138" s="59" t="n">
        <v>0</v>
      </c>
      <c r="I138" s="9"/>
      <c r="J138" s="205"/>
      <c r="K138" s="206"/>
      <c r="P138" s="0"/>
    </row>
    <row r="139" customFormat="false" ht="20.5" hidden="false" customHeight="true" outlineLevel="0" collapsed="false">
      <c r="A139" s="0" t="n">
        <v>31</v>
      </c>
      <c r="B139" s="34" t="n">
        <v>38991</v>
      </c>
      <c r="C139" s="36" t="n">
        <v>33410</v>
      </c>
      <c r="D139" s="1" t="s">
        <v>41</v>
      </c>
      <c r="E139" s="33" t="n">
        <f aca="false">IF(D139="totale",(C139/(A139*24))/F139,IF(D139="marché libre",(C139/(A139*24))/G139,"spécifier histo"))</f>
        <v>0.204117790811339</v>
      </c>
      <c r="F139" s="59" t="n">
        <v>220</v>
      </c>
      <c r="G139" s="59" t="n">
        <f aca="false">F139-H139</f>
        <v>220</v>
      </c>
      <c r="H139" s="59" t="n">
        <v>0</v>
      </c>
      <c r="I139" s="9"/>
      <c r="J139" s="205"/>
      <c r="K139" s="206"/>
      <c r="P139" s="0"/>
    </row>
    <row r="140" customFormat="false" ht="20.5" hidden="false" customHeight="true" outlineLevel="0" collapsed="false">
      <c r="A140" s="0" t="n">
        <v>30</v>
      </c>
      <c r="B140" s="31" t="n">
        <v>39022</v>
      </c>
      <c r="C140" s="36" t="n">
        <v>25916</v>
      </c>
      <c r="D140" s="1" t="s">
        <v>41</v>
      </c>
      <c r="E140" s="33" t="n">
        <f aca="false">IF(D140="totale",(C140/(A140*24))/F140,IF(D140="marché libre",(C140/(A140*24))/G140,"spécifier histo"))</f>
        <v>0.163611111111111</v>
      </c>
      <c r="F140" s="59" t="n">
        <v>220</v>
      </c>
      <c r="G140" s="59" t="n">
        <f aca="false">F140-H140</f>
        <v>220</v>
      </c>
      <c r="H140" s="59" t="n">
        <v>0</v>
      </c>
      <c r="I140" s="9"/>
      <c r="J140" s="205"/>
      <c r="K140" s="206"/>
      <c r="P140" s="0"/>
    </row>
    <row r="141" customFormat="false" ht="20.5" hidden="false" customHeight="true" outlineLevel="0" collapsed="false">
      <c r="A141" s="0" t="n">
        <v>31</v>
      </c>
      <c r="B141" s="34" t="n">
        <v>39052</v>
      </c>
      <c r="C141" s="36" t="n">
        <v>66257</v>
      </c>
      <c r="D141" s="1" t="s">
        <v>41</v>
      </c>
      <c r="E141" s="33" t="n">
        <f aca="false">IF(D141="totale",(C141/(A141*24))/F141,IF(D141="marché libre",(C141/(A141*24))/G141,"spécifier histo"))</f>
        <v>0.404795943304008</v>
      </c>
      <c r="F141" s="59" t="n">
        <v>220</v>
      </c>
      <c r="G141" s="59" t="n">
        <f aca="false">F141-H141</f>
        <v>220</v>
      </c>
      <c r="H141" s="59" t="n">
        <v>0</v>
      </c>
      <c r="I141" s="9"/>
      <c r="J141" s="205"/>
      <c r="K141" s="206"/>
      <c r="P141" s="0"/>
    </row>
    <row r="142" customFormat="false" ht="20.5" hidden="false" customHeight="true" outlineLevel="0" collapsed="false">
      <c r="A142" s="0" t="n">
        <v>31</v>
      </c>
      <c r="B142" s="31" t="n">
        <v>39083</v>
      </c>
      <c r="C142" s="36" t="n">
        <v>36292</v>
      </c>
      <c r="D142" s="1" t="s">
        <v>41</v>
      </c>
      <c r="E142" s="33" t="n">
        <f aca="false">IF(D142="totale",(C142/(A142*24))/F142,IF(D142="marché libre",(C142/(A142*24))/G142,"spécifier histo"))</f>
        <v>0.22172531769306</v>
      </c>
      <c r="F142" s="59" t="n">
        <v>220</v>
      </c>
      <c r="G142" s="59" t="n">
        <f aca="false">F142-H142</f>
        <v>220</v>
      </c>
      <c r="H142" s="59" t="n">
        <v>0</v>
      </c>
      <c r="I142" s="9"/>
      <c r="J142" s="205"/>
      <c r="K142" s="206"/>
      <c r="P142" s="0"/>
    </row>
    <row r="143" customFormat="false" ht="20.5" hidden="false" customHeight="true" outlineLevel="0" collapsed="false">
      <c r="A143" s="0" t="n">
        <v>28</v>
      </c>
      <c r="B143" s="34" t="n">
        <v>39114</v>
      </c>
      <c r="C143" s="36" t="n">
        <v>75081</v>
      </c>
      <c r="D143" s="1" t="s">
        <v>41</v>
      </c>
      <c r="E143" s="33" t="n">
        <f aca="false">IF(D143="totale",(C143/(A143*24))/F143,IF(D143="marché libre",(C143/(A143*24))/G143,"spécifier histo"))</f>
        <v>0.507853084415584</v>
      </c>
      <c r="F143" s="59" t="n">
        <v>220</v>
      </c>
      <c r="G143" s="59" t="n">
        <f aca="false">F143-H143</f>
        <v>220</v>
      </c>
      <c r="H143" s="59" t="n">
        <v>0</v>
      </c>
      <c r="I143" s="9"/>
      <c r="J143" s="205"/>
      <c r="K143" s="206"/>
      <c r="P143" s="0"/>
    </row>
    <row r="144" customFormat="false" ht="20.5" hidden="false" customHeight="true" outlineLevel="0" collapsed="false">
      <c r="A144" s="0" t="n">
        <v>31</v>
      </c>
      <c r="B144" s="31" t="n">
        <v>39142</v>
      </c>
      <c r="C144" s="36" t="n">
        <v>126136</v>
      </c>
      <c r="D144" s="1" t="s">
        <v>41</v>
      </c>
      <c r="E144" s="33" t="n">
        <f aca="false">IF(D144="totale",(C144/(A144*24))/F144,IF(D144="marché libre",(C144/(A144*24))/G144,"spécifier histo"))</f>
        <v>0.770625610948192</v>
      </c>
      <c r="F144" s="59" t="n">
        <v>220</v>
      </c>
      <c r="G144" s="59" t="n">
        <f aca="false">F144-H144</f>
        <v>220</v>
      </c>
      <c r="H144" s="59" t="n">
        <v>0</v>
      </c>
      <c r="I144" s="9"/>
      <c r="J144" s="205"/>
      <c r="K144" s="206"/>
      <c r="P144" s="0"/>
    </row>
    <row r="145" customFormat="false" ht="20.5" hidden="false" customHeight="true" outlineLevel="0" collapsed="false">
      <c r="A145" s="0" t="n">
        <v>30</v>
      </c>
      <c r="B145" s="34" t="n">
        <v>39173</v>
      </c>
      <c r="C145" s="36" t="n">
        <v>115040</v>
      </c>
      <c r="D145" s="1" t="s">
        <v>41</v>
      </c>
      <c r="E145" s="33" t="n">
        <f aca="false">IF(D145="totale",(C145/(A145*24))/F145,IF(D145="marché libre",(C145/(A145*24))/G145,"spécifier histo"))</f>
        <v>0.726262626262626</v>
      </c>
      <c r="F145" s="59" t="n">
        <v>220</v>
      </c>
      <c r="G145" s="59" t="n">
        <f aca="false">F145-H145</f>
        <v>220</v>
      </c>
      <c r="H145" s="59" t="n">
        <v>0</v>
      </c>
      <c r="I145" s="9"/>
      <c r="J145" s="205"/>
      <c r="K145" s="206"/>
      <c r="P145" s="0"/>
    </row>
    <row r="146" customFormat="false" ht="20.5" hidden="false" customHeight="true" outlineLevel="0" collapsed="false">
      <c r="A146" s="0" t="n">
        <v>31</v>
      </c>
      <c r="B146" s="31" t="n">
        <v>39203</v>
      </c>
      <c r="C146" s="36" t="n">
        <v>109466</v>
      </c>
      <c r="D146" s="1" t="s">
        <v>41</v>
      </c>
      <c r="E146" s="33" t="n">
        <f aca="false">IF(D146="totale",(C146/(A146*24))/F146,IF(D146="marché libre",(C146/(A146*24))/G146,"spécifier histo"))</f>
        <v>0.66878054740958</v>
      </c>
      <c r="F146" s="59" t="n">
        <v>220</v>
      </c>
      <c r="G146" s="59" t="n">
        <f aca="false">F146-H146</f>
        <v>220</v>
      </c>
      <c r="H146" s="59" t="n">
        <v>0</v>
      </c>
      <c r="I146" s="9"/>
      <c r="J146" s="205"/>
      <c r="K146" s="206"/>
      <c r="P146" s="0"/>
    </row>
    <row r="147" customFormat="false" ht="20.5" hidden="false" customHeight="true" outlineLevel="0" collapsed="false">
      <c r="A147" s="0" t="n">
        <v>30</v>
      </c>
      <c r="B147" s="34" t="n">
        <v>39234</v>
      </c>
      <c r="C147" s="36" t="n">
        <v>97242</v>
      </c>
      <c r="D147" s="1" t="s">
        <v>41</v>
      </c>
      <c r="E147" s="33" t="n">
        <f aca="false">IF(D147="totale",(C147/(A147*24))/F147,IF(D147="marché libre",(C147/(A147*24))/G147,"spécifier histo"))</f>
        <v>0.613901515151515</v>
      </c>
      <c r="F147" s="59" t="n">
        <v>220</v>
      </c>
      <c r="G147" s="59" t="n">
        <f aca="false">F147-H147</f>
        <v>220</v>
      </c>
      <c r="H147" s="59" t="n">
        <v>0</v>
      </c>
      <c r="I147" s="9"/>
      <c r="J147" s="205"/>
      <c r="K147" s="206"/>
      <c r="P147" s="0"/>
    </row>
    <row r="148" customFormat="false" ht="20.5" hidden="false" customHeight="true" outlineLevel="0" collapsed="false">
      <c r="A148" s="0" t="n">
        <v>31</v>
      </c>
      <c r="B148" s="31" t="n">
        <v>39264</v>
      </c>
      <c r="C148" s="36" t="n">
        <v>16243</v>
      </c>
      <c r="D148" s="1" t="s">
        <v>41</v>
      </c>
      <c r="E148" s="33" t="n">
        <f aca="false">IF(D148="totale",(C148/(A148*24))/F148,IF(D148="marché libre",(C148/(A148*24))/G148,"spécifier histo"))</f>
        <v>0.0992363147605083</v>
      </c>
      <c r="F148" s="59" t="n">
        <v>220</v>
      </c>
      <c r="G148" s="59" t="n">
        <f aca="false">F148-H148</f>
        <v>220</v>
      </c>
      <c r="H148" s="59" t="n">
        <v>0</v>
      </c>
      <c r="I148" s="9"/>
      <c r="J148" s="205"/>
      <c r="K148" s="206"/>
      <c r="P148" s="0"/>
    </row>
    <row r="149" customFormat="false" ht="20.5" hidden="false" customHeight="true" outlineLevel="0" collapsed="false">
      <c r="A149" s="0" t="n">
        <v>31</v>
      </c>
      <c r="B149" s="34" t="n">
        <v>39295</v>
      </c>
      <c r="C149" s="36" t="n">
        <v>14835</v>
      </c>
      <c r="D149" s="1" t="s">
        <v>41</v>
      </c>
      <c r="E149" s="33" t="n">
        <f aca="false">IF(D149="totale",(C149/(A149*24))/F149,IF(D149="marché libre",(C149/(A149*24))/G149,"spécifier histo"))</f>
        <v>0.0906341642228739</v>
      </c>
      <c r="F149" s="59" t="n">
        <v>220</v>
      </c>
      <c r="G149" s="59" t="n">
        <f aca="false">F149-H149</f>
        <v>220</v>
      </c>
      <c r="H149" s="59" t="n">
        <v>0</v>
      </c>
      <c r="I149" s="9"/>
      <c r="J149" s="205"/>
      <c r="K149" s="206"/>
      <c r="P149" s="0"/>
    </row>
    <row r="150" customFormat="false" ht="20.5" hidden="false" customHeight="true" outlineLevel="0" collapsed="false">
      <c r="A150" s="0" t="n">
        <v>30</v>
      </c>
      <c r="B150" s="31" t="n">
        <v>39326</v>
      </c>
      <c r="C150" s="36" t="n">
        <v>3798</v>
      </c>
      <c r="D150" s="1" t="s">
        <v>41</v>
      </c>
      <c r="E150" s="33" t="n">
        <f aca="false">IF(D150="totale",(C150/(A150*24))/F150,IF(D150="marché libre",(C150/(A150*24))/G150,"spécifier histo"))</f>
        <v>0.0239772727272727</v>
      </c>
      <c r="F150" s="59" t="n">
        <v>220</v>
      </c>
      <c r="G150" s="59" t="n">
        <f aca="false">F150-H150</f>
        <v>220</v>
      </c>
      <c r="H150" s="59" t="n">
        <v>0</v>
      </c>
      <c r="I150" s="9"/>
      <c r="J150" s="205"/>
      <c r="K150" s="206"/>
      <c r="P150" s="0"/>
    </row>
    <row r="151" customFormat="false" ht="20.5" hidden="false" customHeight="true" outlineLevel="0" collapsed="false">
      <c r="A151" s="0" t="n">
        <v>31</v>
      </c>
      <c r="B151" s="34" t="n">
        <v>39356</v>
      </c>
      <c r="C151" s="36" t="n">
        <v>1024</v>
      </c>
      <c r="D151" s="1" t="s">
        <v>41</v>
      </c>
      <c r="E151" s="33" t="n">
        <f aca="false">IF(D151="totale",(C151/(A151*24))/F151,IF(D151="marché libre",(C151/(A151*24))/G151,"spécifier histo"))</f>
        <v>0.00625610948191593</v>
      </c>
      <c r="F151" s="59" t="n">
        <v>220</v>
      </c>
      <c r="G151" s="59" t="n">
        <f aca="false">F151-H151</f>
        <v>220</v>
      </c>
      <c r="H151" s="59" t="n">
        <v>0</v>
      </c>
      <c r="I151" s="9"/>
      <c r="J151" s="205"/>
      <c r="K151" s="206"/>
    </row>
    <row r="152" customFormat="false" ht="20.5" hidden="false" customHeight="true" outlineLevel="0" collapsed="false">
      <c r="A152" s="0" t="n">
        <v>30</v>
      </c>
      <c r="B152" s="31" t="n">
        <v>39387</v>
      </c>
      <c r="C152" s="36" t="n">
        <v>956</v>
      </c>
      <c r="D152" s="1" t="s">
        <v>41</v>
      </c>
      <c r="E152" s="33" t="n">
        <f aca="false">IF(D152="totale",(C152/(A152*24))/F152,IF(D152="marché libre",(C152/(A152*24))/G152,"spécifier histo"))</f>
        <v>0.00603535353535354</v>
      </c>
      <c r="F152" s="59" t="n">
        <v>220</v>
      </c>
      <c r="G152" s="59" t="n">
        <f aca="false">F152-H152</f>
        <v>220</v>
      </c>
      <c r="H152" s="59" t="n">
        <v>0</v>
      </c>
      <c r="I152" s="9"/>
      <c r="J152" s="205"/>
      <c r="K152" s="206"/>
    </row>
    <row r="153" customFormat="false" ht="20.5" hidden="false" customHeight="true" outlineLevel="0" collapsed="false">
      <c r="A153" s="0" t="n">
        <v>31</v>
      </c>
      <c r="B153" s="34" t="n">
        <v>39417</v>
      </c>
      <c r="C153" s="36" t="n">
        <v>26231</v>
      </c>
      <c r="D153" s="1" t="s">
        <v>41</v>
      </c>
      <c r="E153" s="33" t="n">
        <f aca="false">IF(D153="totale",(C153/(A153*24))/F153,IF(D153="marché libre",(C153/(A153*24))/G153,"spécifier histo"))</f>
        <v>0.160257820136852</v>
      </c>
      <c r="F153" s="59" t="n">
        <v>220</v>
      </c>
      <c r="G153" s="59" t="n">
        <f aca="false">F153-H153</f>
        <v>220</v>
      </c>
      <c r="H153" s="59" t="n">
        <v>0</v>
      </c>
      <c r="I153" s="9"/>
      <c r="J153" s="205"/>
      <c r="K153" s="206"/>
    </row>
    <row r="154" customFormat="false" ht="20.5" hidden="false" customHeight="true" outlineLevel="0" collapsed="false">
      <c r="A154" s="0" t="n">
        <v>31</v>
      </c>
      <c r="B154" s="31" t="n">
        <v>39448</v>
      </c>
      <c r="C154" s="36" t="n">
        <v>96785</v>
      </c>
      <c r="D154" s="1" t="s">
        <v>41</v>
      </c>
      <c r="E154" s="33" t="n">
        <f aca="false">IF(D154="totale",(C154/(A154*24))/F154,IF(D154="marché libre",(C154/(A154*24))/G154,"spécifier histo"))</f>
        <v>0.591306207233627</v>
      </c>
      <c r="F154" s="59" t="n">
        <v>220</v>
      </c>
      <c r="G154" s="59" t="n">
        <f aca="false">F154-H154</f>
        <v>220</v>
      </c>
      <c r="H154" s="59" t="n">
        <v>0</v>
      </c>
      <c r="I154" s="9"/>
      <c r="J154" s="205"/>
      <c r="K154" s="206"/>
    </row>
    <row r="155" customFormat="false" ht="20.5" hidden="false" customHeight="true" outlineLevel="0" collapsed="false">
      <c r="A155" s="0" t="n">
        <v>28</v>
      </c>
      <c r="B155" s="34" t="n">
        <v>39479</v>
      </c>
      <c r="C155" s="36" t="n">
        <v>55232</v>
      </c>
      <c r="D155" s="1" t="s">
        <v>41</v>
      </c>
      <c r="E155" s="33" t="n">
        <f aca="false">IF(D155="totale",(C155/(A155*24))/F155,IF(D155="marché libre",(C155/(A155*24))/G155,"spécifier histo"))</f>
        <v>0.373593073593074</v>
      </c>
      <c r="F155" s="59" t="n">
        <v>220</v>
      </c>
      <c r="G155" s="59" t="n">
        <f aca="false">F155-H155</f>
        <v>220</v>
      </c>
      <c r="H155" s="59" t="n">
        <v>0</v>
      </c>
      <c r="I155" s="9"/>
      <c r="J155" s="205"/>
      <c r="K155" s="206"/>
    </row>
    <row r="156" customFormat="false" ht="20.5" hidden="false" customHeight="true" outlineLevel="0" collapsed="false">
      <c r="A156" s="0" t="n">
        <v>31</v>
      </c>
      <c r="B156" s="31" t="n">
        <v>39508</v>
      </c>
      <c r="C156" s="36" t="n">
        <v>65317</v>
      </c>
      <c r="D156" s="1" t="s">
        <v>41</v>
      </c>
      <c r="E156" s="33" t="n">
        <f aca="false">IF(D156="totale",(C156/(A156*24))/F156,IF(D156="marché libre",(C156/(A156*24))/G156,"spécifier histo"))</f>
        <v>0.39905303030303</v>
      </c>
      <c r="F156" s="59" t="n">
        <v>220</v>
      </c>
      <c r="G156" s="59" t="n">
        <f aca="false">F156-H156</f>
        <v>220</v>
      </c>
      <c r="H156" s="59" t="n">
        <v>0</v>
      </c>
      <c r="I156" s="9"/>
      <c r="J156" s="205"/>
      <c r="K156" s="206"/>
    </row>
    <row r="157" customFormat="false" ht="20.5" hidden="false" customHeight="true" outlineLevel="0" collapsed="false">
      <c r="A157" s="0" t="n">
        <v>30</v>
      </c>
      <c r="B157" s="34" t="n">
        <v>39539</v>
      </c>
      <c r="C157" s="36" t="n">
        <v>121901</v>
      </c>
      <c r="D157" s="1" t="s">
        <v>41</v>
      </c>
      <c r="E157" s="33" t="n">
        <f aca="false">IF(D157="totale",(C157/(A157*24))/F157,IF(D157="marché libre",(C157/(A157*24))/G157,"spécifier histo"))</f>
        <v>0.76957702020202</v>
      </c>
      <c r="F157" s="59" t="n">
        <v>220</v>
      </c>
      <c r="G157" s="59" t="n">
        <f aca="false">F157-H157</f>
        <v>220</v>
      </c>
      <c r="H157" s="59" t="n">
        <v>0</v>
      </c>
      <c r="I157" s="9"/>
      <c r="J157" s="205"/>
      <c r="K157" s="206"/>
    </row>
    <row r="158" customFormat="false" ht="20.5" hidden="false" customHeight="true" outlineLevel="0" collapsed="false">
      <c r="A158" s="0" t="n">
        <v>31</v>
      </c>
      <c r="B158" s="31" t="n">
        <v>39569</v>
      </c>
      <c r="C158" s="36" t="n">
        <v>98310</v>
      </c>
      <c r="D158" s="1" t="s">
        <v>41</v>
      </c>
      <c r="E158" s="33" t="n">
        <f aca="false">IF(D158="totale",(C158/(A158*24))/F158,IF(D158="marché libre",(C158/(A158*24))/G158,"spécifier histo"))</f>
        <v>0.600623167155425</v>
      </c>
      <c r="F158" s="59" t="n">
        <v>220</v>
      </c>
      <c r="G158" s="59" t="n">
        <f aca="false">F158-H158</f>
        <v>220</v>
      </c>
      <c r="H158" s="59" t="n">
        <v>0</v>
      </c>
      <c r="I158" s="9"/>
      <c r="J158" s="205"/>
      <c r="K158" s="206"/>
    </row>
    <row r="159" customFormat="false" ht="20.5" hidden="false" customHeight="true" outlineLevel="0" collapsed="false">
      <c r="A159" s="0" t="n">
        <v>30</v>
      </c>
      <c r="B159" s="34" t="n">
        <v>39600</v>
      </c>
      <c r="C159" s="36" t="n">
        <v>104221</v>
      </c>
      <c r="D159" s="1" t="s">
        <v>41</v>
      </c>
      <c r="E159" s="33" t="n">
        <f aca="false">IF(D159="totale",(C159/(A159*24))/F159,IF(D159="marché libre",(C159/(A159*24))/G159,"spécifier histo"))</f>
        <v>0.657960858585859</v>
      </c>
      <c r="F159" s="59" t="n">
        <v>220</v>
      </c>
      <c r="G159" s="59" t="n">
        <f aca="false">F159-H159</f>
        <v>220</v>
      </c>
      <c r="H159" s="59" t="n">
        <v>0</v>
      </c>
      <c r="I159" s="9"/>
      <c r="J159" s="205"/>
      <c r="K159" s="206"/>
    </row>
    <row r="160" customFormat="false" ht="20.5" hidden="false" customHeight="true" outlineLevel="0" collapsed="false">
      <c r="A160" s="0" t="n">
        <v>31</v>
      </c>
      <c r="B160" s="31" t="n">
        <v>39630</v>
      </c>
      <c r="C160" s="36" t="n">
        <v>19883</v>
      </c>
      <c r="D160" s="1" t="s">
        <v>41</v>
      </c>
      <c r="E160" s="33" t="n">
        <f aca="false">IF(D160="totale",(C160/(A160*24))/F160,IF(D160="marché libre",(C160/(A160*24))/G160,"spécifier histo"))</f>
        <v>0.121474828934506</v>
      </c>
      <c r="F160" s="59" t="n">
        <v>220</v>
      </c>
      <c r="G160" s="59" t="n">
        <f aca="false">F160-H160</f>
        <v>220</v>
      </c>
      <c r="H160" s="59" t="n">
        <v>0</v>
      </c>
      <c r="I160" s="9"/>
      <c r="J160" s="205"/>
      <c r="K160" s="206"/>
    </row>
    <row r="161" customFormat="false" ht="20.5" hidden="false" customHeight="true" outlineLevel="0" collapsed="false">
      <c r="A161" s="0" t="n">
        <v>31</v>
      </c>
      <c r="B161" s="34" t="n">
        <v>39661</v>
      </c>
      <c r="C161" s="36" t="n">
        <v>22192</v>
      </c>
      <c r="D161" s="1" t="s">
        <v>41</v>
      </c>
      <c r="E161" s="33" t="n">
        <f aca="false">IF(D161="totale",(C161/(A161*24))/F161,IF(D161="marché libre",(C161/(A161*24))/G161,"spécifier histo"))</f>
        <v>0.135581622678397</v>
      </c>
      <c r="F161" s="59" t="n">
        <v>220</v>
      </c>
      <c r="G161" s="59" t="n">
        <f aca="false">F161-H161</f>
        <v>220</v>
      </c>
      <c r="H161" s="59" t="n">
        <v>0</v>
      </c>
      <c r="I161" s="9"/>
      <c r="J161" s="205"/>
      <c r="K161" s="206"/>
    </row>
    <row r="162" customFormat="false" ht="20.5" hidden="false" customHeight="true" outlineLevel="0" collapsed="false">
      <c r="A162" s="0" t="n">
        <v>30</v>
      </c>
      <c r="B162" s="31" t="n">
        <v>39692</v>
      </c>
      <c r="C162" s="36" t="n">
        <v>11412</v>
      </c>
      <c r="D162" s="1" t="s">
        <v>41</v>
      </c>
      <c r="E162" s="33" t="n">
        <f aca="false">IF(D162="totale",(C162/(A162*24))/F162,IF(D162="marché libre",(C162/(A162*24))/G162,"spécifier histo"))</f>
        <v>0.0720454545454545</v>
      </c>
      <c r="F162" s="59" t="n">
        <v>220</v>
      </c>
      <c r="G162" s="59" t="n">
        <f aca="false">F162-H162</f>
        <v>220</v>
      </c>
      <c r="H162" s="59" t="n">
        <v>0</v>
      </c>
      <c r="I162" s="9"/>
      <c r="J162" s="205"/>
      <c r="K162" s="206"/>
    </row>
    <row r="163" customFormat="false" ht="20.5" hidden="false" customHeight="true" outlineLevel="0" collapsed="false">
      <c r="A163" s="0" t="n">
        <v>31</v>
      </c>
      <c r="B163" s="34" t="n">
        <v>39722</v>
      </c>
      <c r="C163" s="36" t="n">
        <v>5746</v>
      </c>
      <c r="D163" s="1" t="s">
        <v>41</v>
      </c>
      <c r="E163" s="33" t="n">
        <f aca="false">IF(D163="totale",(C163/(A163*24))/F163,IF(D163="marché libre",(C163/(A163*24))/G163,"spécifier histo"))</f>
        <v>0.0351050830889541</v>
      </c>
      <c r="F163" s="59" t="n">
        <v>220</v>
      </c>
      <c r="G163" s="59" t="n">
        <f aca="false">F163-H163</f>
        <v>220</v>
      </c>
      <c r="H163" s="59" t="n">
        <v>0</v>
      </c>
      <c r="I163" s="9"/>
      <c r="J163" s="205"/>
      <c r="K163" s="206"/>
    </row>
    <row r="164" customFormat="false" ht="20.5" hidden="false" customHeight="true" outlineLevel="0" collapsed="false">
      <c r="A164" s="0" t="n">
        <v>30</v>
      </c>
      <c r="B164" s="31" t="n">
        <v>39753</v>
      </c>
      <c r="C164" s="36" t="n">
        <v>75801</v>
      </c>
      <c r="D164" s="1" t="s">
        <v>41</v>
      </c>
      <c r="E164" s="33" t="n">
        <f aca="false">IF(D164="totale",(C164/(A164*24))/F164,IF(D164="marché libre",(C164/(A164*24))/G164,"spécifier histo"))</f>
        <v>0.478541666666667</v>
      </c>
      <c r="F164" s="59" t="n">
        <v>220</v>
      </c>
      <c r="G164" s="59" t="n">
        <f aca="false">F164-H164</f>
        <v>220</v>
      </c>
      <c r="H164" s="59" t="n">
        <v>0</v>
      </c>
      <c r="I164" s="9"/>
      <c r="J164" s="205"/>
      <c r="K164" s="206"/>
    </row>
    <row r="165" customFormat="false" ht="20.5" hidden="false" customHeight="true" outlineLevel="0" collapsed="false">
      <c r="A165" s="0" t="n">
        <v>31</v>
      </c>
      <c r="B165" s="34" t="n">
        <v>39783</v>
      </c>
      <c r="C165" s="36" t="n">
        <v>122869</v>
      </c>
      <c r="D165" s="1" t="s">
        <v>41</v>
      </c>
      <c r="E165" s="33" t="n">
        <f aca="false">IF(D165="totale",(C165/(A165*24))/F165,IF(D165="marché libre",(C165/(A165*24))/G165,"spécifier histo"))</f>
        <v>0.750665933528837</v>
      </c>
      <c r="F165" s="59" t="n">
        <v>220</v>
      </c>
      <c r="G165" s="59" t="n">
        <f aca="false">F165-H165</f>
        <v>220</v>
      </c>
      <c r="H165" s="59" t="n">
        <v>0</v>
      </c>
      <c r="I165" s="9"/>
      <c r="J165" s="205"/>
      <c r="K165" s="206"/>
    </row>
    <row r="166" customFormat="false" ht="20.5" hidden="false" customHeight="true" outlineLevel="0" collapsed="false">
      <c r="A166" s="0" t="n">
        <v>31</v>
      </c>
      <c r="B166" s="31" t="n">
        <v>39814</v>
      </c>
      <c r="C166" s="36" t="n">
        <v>70368</v>
      </c>
      <c r="D166" s="1" t="s">
        <v>41</v>
      </c>
      <c r="E166" s="33" t="n">
        <f aca="false">IF(D166="totale",(C166/(A166*24))/F166,IF(D166="marché libre",(C166/(A166*24))/G166,"spécifier histo"))</f>
        <v>0.429912023460411</v>
      </c>
      <c r="F166" s="59" t="n">
        <v>220</v>
      </c>
      <c r="G166" s="59" t="n">
        <f aca="false">F166-H166</f>
        <v>220</v>
      </c>
      <c r="H166" s="59" t="n">
        <v>0</v>
      </c>
      <c r="I166" s="9"/>
      <c r="J166" s="205"/>
      <c r="K166" s="206"/>
    </row>
    <row r="167" customFormat="false" ht="20.5" hidden="false" customHeight="true" outlineLevel="0" collapsed="false">
      <c r="A167" s="0" t="n">
        <v>28</v>
      </c>
      <c r="B167" s="34" t="n">
        <v>39845</v>
      </c>
      <c r="C167" s="36" t="n">
        <v>117112</v>
      </c>
      <c r="D167" s="1" t="s">
        <v>41</v>
      </c>
      <c r="E167" s="33" t="n">
        <f aca="false">IF(D167="totale",(C167/(A167*24))/F167,IF(D167="marché libre",(C167/(A167*24))/G167,"spécifier histo"))</f>
        <v>0.79215367965368</v>
      </c>
      <c r="F167" s="59" t="n">
        <v>220</v>
      </c>
      <c r="G167" s="59" t="n">
        <f aca="false">F167-H167</f>
        <v>220</v>
      </c>
      <c r="H167" s="59" t="n">
        <v>0</v>
      </c>
      <c r="I167" s="9"/>
      <c r="J167" s="205"/>
      <c r="K167" s="206"/>
    </row>
    <row r="168" customFormat="false" ht="20.5" hidden="false" customHeight="true" outlineLevel="0" collapsed="false">
      <c r="A168" s="0" t="n">
        <v>31</v>
      </c>
      <c r="B168" s="31" t="n">
        <v>39873</v>
      </c>
      <c r="C168" s="36" t="n">
        <v>81670</v>
      </c>
      <c r="D168" s="1" t="s">
        <v>41</v>
      </c>
      <c r="E168" s="33" t="n">
        <f aca="false">IF(D168="totale",(C168/(A168*24))/F168,IF(D168="marché libre",(C168/(A168*24))/G168,"spécifier histo"))</f>
        <v>0.498961388074291</v>
      </c>
      <c r="F168" s="59" t="n">
        <v>220</v>
      </c>
      <c r="G168" s="59" t="n">
        <f aca="false">F168-H168</f>
        <v>220</v>
      </c>
      <c r="H168" s="59" t="n">
        <v>0</v>
      </c>
      <c r="I168" s="9"/>
      <c r="J168" s="205"/>
      <c r="K168" s="206"/>
    </row>
    <row r="169" customFormat="false" ht="20.5" hidden="false" customHeight="true" outlineLevel="0" collapsed="false">
      <c r="A169" s="0" t="n">
        <v>30</v>
      </c>
      <c r="B169" s="34" t="n">
        <v>39904</v>
      </c>
      <c r="C169" s="36" t="n">
        <v>96886</v>
      </c>
      <c r="D169" s="1" t="s">
        <v>41</v>
      </c>
      <c r="E169" s="33" t="n">
        <f aca="false">IF(D169="totale",(C169/(A169*24))/F169,IF(D169="marché libre",(C169/(A169*24))/G169,"spécifier histo"))</f>
        <v>0.61165404040404</v>
      </c>
      <c r="F169" s="59" t="n">
        <v>220</v>
      </c>
      <c r="G169" s="59" t="n">
        <f aca="false">F169-H169</f>
        <v>220</v>
      </c>
      <c r="H169" s="59" t="n">
        <v>0</v>
      </c>
      <c r="I169" s="9"/>
      <c r="J169" s="205"/>
      <c r="K169" s="206"/>
    </row>
    <row r="170" customFormat="false" ht="20.5" hidden="false" customHeight="true" outlineLevel="0" collapsed="false">
      <c r="A170" s="0" t="n">
        <v>31</v>
      </c>
      <c r="B170" s="31" t="n">
        <v>39934</v>
      </c>
      <c r="C170" s="36" t="n">
        <v>112753</v>
      </c>
      <c r="D170" s="1" t="s">
        <v>41</v>
      </c>
      <c r="E170" s="33" t="n">
        <f aca="false">IF(D170="totale",(C170/(A170*24))/F170,IF(D170="marché libre",(C170/(A170*24))/G170,"spécifier histo"))</f>
        <v>0.688862414467253</v>
      </c>
      <c r="F170" s="59" t="n">
        <v>220</v>
      </c>
      <c r="G170" s="59" t="n">
        <f aca="false">F170-H170</f>
        <v>220</v>
      </c>
      <c r="H170" s="59" t="n">
        <v>0</v>
      </c>
      <c r="I170" s="9"/>
      <c r="J170" s="205"/>
      <c r="K170" s="206"/>
    </row>
    <row r="171" customFormat="false" ht="20.5" hidden="false" customHeight="true" outlineLevel="0" collapsed="false">
      <c r="A171" s="0" t="n">
        <v>30</v>
      </c>
      <c r="B171" s="34" t="n">
        <v>39965</v>
      </c>
      <c r="C171" s="36" t="n">
        <v>45093</v>
      </c>
      <c r="D171" s="1" t="s">
        <v>41</v>
      </c>
      <c r="E171" s="33" t="n">
        <f aca="false">IF(D171="totale",(C171/(A171*24))/F171,IF(D171="marché libre",(C171/(A171*24))/G171,"spécifier histo"))</f>
        <v>0.28467803030303</v>
      </c>
      <c r="F171" s="59" t="n">
        <v>220</v>
      </c>
      <c r="G171" s="59" t="n">
        <f aca="false">F171-H171</f>
        <v>220</v>
      </c>
      <c r="H171" s="59" t="n">
        <v>0</v>
      </c>
      <c r="I171" s="9"/>
      <c r="J171" s="205"/>
      <c r="K171" s="206"/>
    </row>
    <row r="172" customFormat="false" ht="20.5" hidden="false" customHeight="true" outlineLevel="0" collapsed="false">
      <c r="A172" s="0" t="n">
        <v>31</v>
      </c>
      <c r="B172" s="31" t="n">
        <v>39995</v>
      </c>
      <c r="C172" s="36" t="n">
        <v>6487</v>
      </c>
      <c r="D172" s="1" t="s">
        <v>41</v>
      </c>
      <c r="E172" s="33" t="n">
        <f aca="false">IF(D172="totale",(C172/(A172*24))/F172,IF(D172="marché libre",(C172/(A172*24))/G172,"spécifier histo"))</f>
        <v>0.0396322091886608</v>
      </c>
      <c r="F172" s="59" t="n">
        <v>220</v>
      </c>
      <c r="G172" s="59" t="n">
        <f aca="false">F172-H172</f>
        <v>220</v>
      </c>
      <c r="H172" s="59" t="n">
        <v>0</v>
      </c>
      <c r="I172" s="9"/>
      <c r="J172" s="205"/>
      <c r="K172" s="206"/>
    </row>
    <row r="173" customFormat="false" ht="20.5" hidden="false" customHeight="true" outlineLevel="0" collapsed="false">
      <c r="A173" s="0" t="n">
        <v>31</v>
      </c>
      <c r="B173" s="34" t="n">
        <v>40026</v>
      </c>
      <c r="C173" s="36" t="n">
        <v>1339</v>
      </c>
      <c r="D173" s="1" t="s">
        <v>41</v>
      </c>
      <c r="E173" s="33" t="n">
        <f aca="false">IF(D173="totale",(C173/(A173*24))/F173,IF(D173="marché libre",(C173/(A173*24))/G173,"spécifier histo"))</f>
        <v>0.00818059628543499</v>
      </c>
      <c r="F173" s="59" t="n">
        <v>220</v>
      </c>
      <c r="G173" s="59" t="n">
        <f aca="false">F173-H173</f>
        <v>220</v>
      </c>
      <c r="H173" s="59" t="n">
        <v>0</v>
      </c>
      <c r="I173" s="9"/>
      <c r="J173" s="205"/>
      <c r="K173" s="206"/>
    </row>
    <row r="174" customFormat="false" ht="20.5" hidden="false" customHeight="true" outlineLevel="0" collapsed="false">
      <c r="A174" s="0" t="n">
        <v>30</v>
      </c>
      <c r="B174" s="31" t="n">
        <v>40057</v>
      </c>
      <c r="C174" s="36" t="n">
        <v>797</v>
      </c>
      <c r="D174" s="1" t="s">
        <v>41</v>
      </c>
      <c r="E174" s="33" t="n">
        <f aca="false">IF(D174="totale",(C174/(A174*24))/F174,IF(D174="marché libre",(C174/(A174*24))/G174,"spécifier histo"))</f>
        <v>0.00503156565656566</v>
      </c>
      <c r="F174" s="59" t="n">
        <v>220</v>
      </c>
      <c r="G174" s="59" t="n">
        <f aca="false">F174-H174</f>
        <v>220</v>
      </c>
      <c r="H174" s="59" t="n">
        <v>0</v>
      </c>
      <c r="I174" s="9"/>
      <c r="J174" s="205"/>
      <c r="K174" s="206"/>
    </row>
    <row r="175" customFormat="false" ht="20.5" hidden="false" customHeight="true" outlineLevel="0" collapsed="false">
      <c r="A175" s="0" t="n">
        <v>31</v>
      </c>
      <c r="B175" s="34" t="n">
        <v>40087</v>
      </c>
      <c r="C175" s="36" t="n">
        <v>0</v>
      </c>
      <c r="D175" s="1" t="s">
        <v>41</v>
      </c>
      <c r="E175" s="33" t="n">
        <f aca="false">IF(D175="totale",(C175/(A175*24))/F175,IF(D175="marché libre",(C175/(A175*24))/G175,"spécifier histo"))</f>
        <v>0</v>
      </c>
      <c r="F175" s="59" t="n">
        <v>220</v>
      </c>
      <c r="G175" s="59" t="n">
        <f aca="false">F175-H175</f>
        <v>220</v>
      </c>
      <c r="H175" s="59" t="n">
        <v>0</v>
      </c>
      <c r="I175" s="9"/>
      <c r="J175" s="205"/>
      <c r="K175" s="206"/>
    </row>
    <row r="176" customFormat="false" ht="20.5" hidden="false" customHeight="true" outlineLevel="0" collapsed="false">
      <c r="A176" s="0" t="n">
        <v>30</v>
      </c>
      <c r="B176" s="31" t="n">
        <v>40118</v>
      </c>
      <c r="C176" s="36" t="n">
        <v>55711</v>
      </c>
      <c r="D176" s="1" t="s">
        <v>41</v>
      </c>
      <c r="E176" s="33" t="n">
        <f aca="false">IF(D176="totale",(C176/(A176*24))/F176,IF(D176="marché libre",(C176/(A176*24))/G176,"spécifier histo"))</f>
        <v>0.351710858585858</v>
      </c>
      <c r="F176" s="59" t="n">
        <v>220</v>
      </c>
      <c r="G176" s="59" t="n">
        <f aca="false">F176-H176</f>
        <v>220</v>
      </c>
      <c r="H176" s="59" t="n">
        <v>0</v>
      </c>
      <c r="I176" s="9"/>
      <c r="J176" s="205"/>
      <c r="K176" s="206"/>
    </row>
    <row r="177" customFormat="false" ht="20.5" hidden="false" customHeight="true" outlineLevel="0" collapsed="false">
      <c r="A177" s="0" t="n">
        <v>31</v>
      </c>
      <c r="B177" s="34" t="n">
        <v>40148</v>
      </c>
      <c r="C177" s="36" t="n">
        <v>87510</v>
      </c>
      <c r="D177" s="1" t="s">
        <v>41</v>
      </c>
      <c r="E177" s="33" t="n">
        <f aca="false">IF(D177="totale",(C177/(A177*24))/F177,IF(D177="marché libre",(C177/(A177*24))/G177,"spécifier histo"))</f>
        <v>0.534640762463343</v>
      </c>
      <c r="F177" s="59" t="n">
        <v>220</v>
      </c>
      <c r="G177" s="59" t="n">
        <f aca="false">F177-H177</f>
        <v>220</v>
      </c>
      <c r="H177" s="59" t="n">
        <v>0</v>
      </c>
      <c r="I177" s="9"/>
      <c r="J177" s="205"/>
      <c r="K177" s="206"/>
    </row>
    <row r="178" customFormat="false" ht="20.5" hidden="false" customHeight="true" outlineLevel="0" collapsed="false">
      <c r="A178" s="0" t="n">
        <v>31</v>
      </c>
      <c r="B178" s="31" t="n">
        <v>40179</v>
      </c>
      <c r="C178" s="36" t="n">
        <v>113871</v>
      </c>
      <c r="D178" s="1" t="s">
        <v>41</v>
      </c>
      <c r="E178" s="33" t="n">
        <f aca="false">IF(D178="totale",(C178/(A178*24))/F178,IF(D178="marché libre",(C178/(A178*24))/G178,"spécifier histo"))</f>
        <v>0.695692815249267</v>
      </c>
      <c r="F178" s="59" t="n">
        <v>220</v>
      </c>
      <c r="G178" s="59" t="n">
        <f aca="false">F178-H178</f>
        <v>220</v>
      </c>
      <c r="H178" s="59" t="n">
        <v>0</v>
      </c>
      <c r="I178" s="9"/>
      <c r="J178" s="205"/>
      <c r="K178" s="206"/>
    </row>
    <row r="179" customFormat="false" ht="20.5" hidden="false" customHeight="true" outlineLevel="0" collapsed="false">
      <c r="A179" s="0" t="n">
        <v>28</v>
      </c>
      <c r="B179" s="34" t="n">
        <v>40210</v>
      </c>
      <c r="C179" s="36" t="n">
        <v>116617</v>
      </c>
      <c r="D179" s="1" t="s">
        <v>41</v>
      </c>
      <c r="E179" s="33" t="n">
        <f aca="false">IF(D179="totale",(C179/(A179*24))/F179,IF(D179="marché libre",(C179/(A179*24))/G179,"spécifier histo"))</f>
        <v>0.788805465367965</v>
      </c>
      <c r="F179" s="59" t="n">
        <v>220</v>
      </c>
      <c r="G179" s="59" t="n">
        <f aca="false">F179-H179</f>
        <v>220</v>
      </c>
      <c r="H179" s="59" t="n">
        <v>0</v>
      </c>
      <c r="I179" s="9"/>
      <c r="J179" s="205"/>
      <c r="K179" s="206"/>
    </row>
    <row r="180" customFormat="false" ht="20.5" hidden="false" customHeight="true" outlineLevel="0" collapsed="false">
      <c r="A180" s="0" t="n">
        <v>31</v>
      </c>
      <c r="B180" s="31" t="n">
        <v>40238</v>
      </c>
      <c r="C180" s="36" t="n">
        <v>62307</v>
      </c>
      <c r="D180" s="1" t="s">
        <v>41</v>
      </c>
      <c r="E180" s="33" t="n">
        <f aca="false">IF(D180="totale",(C180/(A180*24))/F180,IF(D180="marché libre",(C180/(A180*24))/G180,"spécifier histo"))</f>
        <v>0.38066348973607</v>
      </c>
      <c r="F180" s="59" t="n">
        <v>220</v>
      </c>
      <c r="G180" s="59" t="n">
        <f aca="false">F180-H180</f>
        <v>220</v>
      </c>
      <c r="H180" s="59" t="n">
        <v>0</v>
      </c>
      <c r="I180" s="9"/>
      <c r="J180" s="205"/>
      <c r="K180" s="206"/>
    </row>
    <row r="181" customFormat="false" ht="20.5" hidden="false" customHeight="true" outlineLevel="0" collapsed="false">
      <c r="A181" s="0" t="n">
        <v>30</v>
      </c>
      <c r="B181" s="34" t="n">
        <v>40269</v>
      </c>
      <c r="C181" s="36" t="n">
        <v>62605</v>
      </c>
      <c r="D181" s="1" t="s">
        <v>41</v>
      </c>
      <c r="E181" s="33" t="n">
        <f aca="false">IF(D181="totale",(C181/(A181*24))/F181,IF(D181="marché libre",(C181/(A181*24))/G181,"spécifier histo"))</f>
        <v>0.395233585858586</v>
      </c>
      <c r="F181" s="59" t="n">
        <v>220</v>
      </c>
      <c r="G181" s="59" t="n">
        <f aca="false">F181-H181</f>
        <v>220</v>
      </c>
      <c r="H181" s="59" t="n">
        <v>0</v>
      </c>
      <c r="I181" s="9"/>
      <c r="J181" s="205"/>
      <c r="K181" s="206"/>
    </row>
    <row r="182" customFormat="false" ht="20.5" hidden="false" customHeight="true" outlineLevel="0" collapsed="false">
      <c r="A182" s="0" t="n">
        <v>31</v>
      </c>
      <c r="B182" s="31" t="n">
        <v>40299</v>
      </c>
      <c r="C182" s="36" t="n">
        <v>99755</v>
      </c>
      <c r="D182" s="1" t="s">
        <v>41</v>
      </c>
      <c r="E182" s="33" t="n">
        <f aca="false">IF(D182="totale",(C182/(A182*24))/F182,IF(D182="marché libre",(C182/(A182*24))/G182,"spécifier histo"))</f>
        <v>0.609451368523949</v>
      </c>
      <c r="F182" s="59" t="n">
        <v>220</v>
      </c>
      <c r="G182" s="59" t="n">
        <f aca="false">F182-H182</f>
        <v>220</v>
      </c>
      <c r="H182" s="59" t="n">
        <v>0</v>
      </c>
      <c r="I182" s="9"/>
      <c r="J182" s="205"/>
      <c r="K182" s="206"/>
    </row>
    <row r="183" customFormat="false" ht="20.5" hidden="false" customHeight="true" outlineLevel="0" collapsed="false">
      <c r="A183" s="0" t="n">
        <v>30</v>
      </c>
      <c r="B183" s="34" t="n">
        <v>40330</v>
      </c>
      <c r="C183" s="36" t="n">
        <v>88125</v>
      </c>
      <c r="D183" s="1" t="s">
        <v>41</v>
      </c>
      <c r="E183" s="33" t="n">
        <f aca="false">IF(D183="totale",(C183/(A183*24))/F183,IF(D183="marché libre",(C183/(A183*24))/G183,"spécifier histo"))</f>
        <v>0.556344696969697</v>
      </c>
      <c r="F183" s="59" t="n">
        <v>220</v>
      </c>
      <c r="G183" s="59" t="n">
        <f aca="false">F183-H183</f>
        <v>220</v>
      </c>
      <c r="H183" s="59" t="n">
        <v>0</v>
      </c>
      <c r="I183" s="9"/>
      <c r="J183" s="205"/>
      <c r="K183" s="206"/>
    </row>
    <row r="184" customFormat="false" ht="20.5" hidden="false" customHeight="true" outlineLevel="0" collapsed="false">
      <c r="A184" s="0" t="n">
        <v>31</v>
      </c>
      <c r="B184" s="31" t="n">
        <v>40360</v>
      </c>
      <c r="C184" s="36" t="n">
        <v>27341</v>
      </c>
      <c r="D184" s="1" t="s">
        <v>41</v>
      </c>
      <c r="E184" s="33" t="n">
        <f aca="false">IF(D184="totale",(C184/(A184*24))/F184,IF(D184="marché libre",(C184/(A184*24))/G184,"spécifier histo"))</f>
        <v>0.167039345063539</v>
      </c>
      <c r="F184" s="59" t="n">
        <v>220</v>
      </c>
      <c r="G184" s="59" t="n">
        <f aca="false">F184-H184</f>
        <v>220</v>
      </c>
      <c r="H184" s="59" t="n">
        <v>0</v>
      </c>
      <c r="I184" s="9"/>
      <c r="J184" s="205"/>
      <c r="K184" s="206"/>
    </row>
    <row r="185" customFormat="false" ht="20.5" hidden="false" customHeight="true" outlineLevel="0" collapsed="false">
      <c r="A185" s="0" t="n">
        <v>31</v>
      </c>
      <c r="B185" s="34" t="n">
        <v>40391</v>
      </c>
      <c r="C185" s="36" t="n">
        <v>16154</v>
      </c>
      <c r="D185" s="1" t="s">
        <v>41</v>
      </c>
      <c r="E185" s="33" t="n">
        <f aca="false">IF(D185="totale",(C185/(A185*24))/F185,IF(D185="marché libre",(C185/(A185*24))/G185,"spécifier histo"))</f>
        <v>0.0986925708699902</v>
      </c>
      <c r="F185" s="59" t="n">
        <v>220</v>
      </c>
      <c r="G185" s="59" t="n">
        <f aca="false">F185-H185</f>
        <v>220</v>
      </c>
      <c r="H185" s="59" t="n">
        <v>0</v>
      </c>
      <c r="I185" s="9"/>
      <c r="J185" s="205"/>
      <c r="K185" s="206"/>
    </row>
    <row r="186" customFormat="false" ht="20.5" hidden="false" customHeight="true" outlineLevel="0" collapsed="false">
      <c r="A186" s="0" t="n">
        <v>30</v>
      </c>
      <c r="B186" s="31" t="n">
        <v>40422</v>
      </c>
      <c r="C186" s="36" t="n">
        <v>0</v>
      </c>
      <c r="D186" s="1" t="s">
        <v>41</v>
      </c>
      <c r="E186" s="33" t="n">
        <f aca="false">IF(D186="totale",(C186/(A186*24))/F186,IF(D186="marché libre",(C186/(A186*24))/G186,"spécifier histo"))</f>
        <v>0</v>
      </c>
      <c r="F186" s="59" t="n">
        <v>220</v>
      </c>
      <c r="G186" s="59" t="n">
        <f aca="false">F186-H186</f>
        <v>220</v>
      </c>
      <c r="H186" s="59" t="n">
        <v>0</v>
      </c>
      <c r="I186" s="9"/>
      <c r="J186" s="205"/>
      <c r="K186" s="206"/>
    </row>
    <row r="187" customFormat="false" ht="20.5" hidden="false" customHeight="true" outlineLevel="0" collapsed="false">
      <c r="A187" s="0" t="n">
        <v>31</v>
      </c>
      <c r="B187" s="34" t="n">
        <v>40452</v>
      </c>
      <c r="C187" s="36" t="n">
        <v>9440</v>
      </c>
      <c r="D187" s="1" t="s">
        <v>41</v>
      </c>
      <c r="E187" s="33" t="n">
        <f aca="false">IF(D187="totale",(C187/(A187*24))/F187,IF(D187="marché libre",(C187/(A187*24))/G187,"spécifier histo"))</f>
        <v>0.0576735092864125</v>
      </c>
      <c r="F187" s="59" t="n">
        <v>220</v>
      </c>
      <c r="G187" s="59" t="n">
        <f aca="false">F187-H187</f>
        <v>220</v>
      </c>
      <c r="H187" s="59" t="n">
        <v>0</v>
      </c>
      <c r="I187" s="9"/>
      <c r="J187" s="205"/>
      <c r="K187" s="206"/>
    </row>
    <row r="188" customFormat="false" ht="20.5" hidden="false" customHeight="true" outlineLevel="0" collapsed="false">
      <c r="A188" s="0" t="n">
        <v>30</v>
      </c>
      <c r="B188" s="31" t="n">
        <v>40483</v>
      </c>
      <c r="C188" s="36" t="n">
        <v>62029</v>
      </c>
      <c r="D188" s="1" t="s">
        <v>41</v>
      </c>
      <c r="E188" s="33" t="n">
        <f aca="false">IF(D188="totale",(C188/(A188*24))/F188,IF(D188="marché libre",(C188/(A188*24))/G188,"spécifier histo"))</f>
        <v>0.391597222222222</v>
      </c>
      <c r="F188" s="59" t="n">
        <v>220</v>
      </c>
      <c r="G188" s="59" t="n">
        <f aca="false">F188-H188</f>
        <v>220</v>
      </c>
      <c r="H188" s="59" t="n">
        <v>0</v>
      </c>
      <c r="I188" s="9"/>
      <c r="J188" s="205"/>
      <c r="K188" s="206"/>
    </row>
    <row r="189" customFormat="false" ht="20.5" hidden="false" customHeight="true" outlineLevel="0" collapsed="false">
      <c r="A189" s="0" t="n">
        <v>31</v>
      </c>
      <c r="B189" s="34" t="n">
        <v>40513</v>
      </c>
      <c r="C189" s="36" t="n">
        <v>113178</v>
      </c>
      <c r="D189" s="1" t="s">
        <v>41</v>
      </c>
      <c r="E189" s="33" t="n">
        <f aca="false">IF(D189="totale",(C189/(A189*24))/F189,IF(D189="marché libre",(C189/(A189*24))/G189,"spécifier histo"))</f>
        <v>0.691458944281525</v>
      </c>
      <c r="F189" s="59" t="n">
        <v>220</v>
      </c>
      <c r="G189" s="59" t="n">
        <f aca="false">F189-H189</f>
        <v>220</v>
      </c>
      <c r="H189" s="59" t="n">
        <v>0</v>
      </c>
      <c r="I189" s="9"/>
      <c r="J189" s="205"/>
      <c r="K189" s="206"/>
    </row>
    <row r="190" customFormat="false" ht="20.5" hidden="false" customHeight="true" outlineLevel="0" collapsed="false">
      <c r="A190" s="0" t="n">
        <v>31</v>
      </c>
      <c r="B190" s="31" t="n">
        <v>40544</v>
      </c>
      <c r="C190" s="36" t="n">
        <v>66109</v>
      </c>
      <c r="D190" s="1" t="s">
        <v>41</v>
      </c>
      <c r="E190" s="33" t="n">
        <f aca="false">IF(D190="totale",(C190/(A190*24))/F190,IF(D190="marché libre",(C190/(A190*24))/G190,"spécifier histo"))</f>
        <v>0.40389173998045</v>
      </c>
      <c r="F190" s="59" t="n">
        <v>220</v>
      </c>
      <c r="G190" s="59" t="n">
        <f aca="false">F190-H190</f>
        <v>220</v>
      </c>
      <c r="H190" s="59" t="n">
        <v>0</v>
      </c>
      <c r="I190" s="9"/>
      <c r="J190" s="205"/>
      <c r="K190" s="206"/>
    </row>
    <row r="191" customFormat="false" ht="20.5" hidden="false" customHeight="true" outlineLevel="0" collapsed="false">
      <c r="A191" s="0" t="n">
        <v>28</v>
      </c>
      <c r="B191" s="34" t="n">
        <v>40575</v>
      </c>
      <c r="C191" s="36" t="n">
        <v>60974</v>
      </c>
      <c r="D191" s="1" t="s">
        <v>41</v>
      </c>
      <c r="E191" s="33" t="n">
        <f aca="false">IF(D191="totale",(C191/(A191*24))/F191,IF(D191="marché libre",(C191/(A191*24))/G191,"spécifier histo"))</f>
        <v>0.412432359307359</v>
      </c>
      <c r="F191" s="59" t="n">
        <v>220</v>
      </c>
      <c r="G191" s="59" t="n">
        <f aca="false">F191-H191</f>
        <v>220</v>
      </c>
      <c r="H191" s="59" t="n">
        <v>0</v>
      </c>
      <c r="I191" s="9"/>
      <c r="J191" s="205"/>
      <c r="K191" s="206"/>
    </row>
    <row r="192" customFormat="false" ht="20.5" hidden="false" customHeight="true" outlineLevel="0" collapsed="false">
      <c r="A192" s="0" t="n">
        <v>31</v>
      </c>
      <c r="B192" s="31" t="n">
        <v>40603</v>
      </c>
      <c r="C192" s="36" t="n">
        <v>91945</v>
      </c>
      <c r="D192" s="1" t="s">
        <v>41</v>
      </c>
      <c r="E192" s="33" t="n">
        <f aca="false">IF(D192="totale",(C192/(A192*24))/F192,IF(D192="marché libre",(C192/(A192*24))/G192,"spécifier histo"))</f>
        <v>0.561736314760508</v>
      </c>
      <c r="F192" s="59" t="n">
        <v>220</v>
      </c>
      <c r="G192" s="59" t="n">
        <f aca="false">F192-H192</f>
        <v>220</v>
      </c>
      <c r="H192" s="59" t="n">
        <v>0</v>
      </c>
      <c r="I192" s="9"/>
      <c r="J192" s="205"/>
      <c r="K192" s="206"/>
    </row>
    <row r="193" customFormat="false" ht="20.5" hidden="false" customHeight="true" outlineLevel="0" collapsed="false">
      <c r="A193" s="0" t="n">
        <v>30</v>
      </c>
      <c r="B193" s="34" t="n">
        <v>40634</v>
      </c>
      <c r="C193" s="36" t="n">
        <v>18421</v>
      </c>
      <c r="D193" s="1" t="s">
        <v>41</v>
      </c>
      <c r="E193" s="33" t="n">
        <f aca="false">IF(D193="totale",(C193/(A193*24))/F193,IF(D193="marché libre",(C193/(A193*24))/G193,"spécifier histo"))</f>
        <v>0.116294191919192</v>
      </c>
      <c r="F193" s="59" t="n">
        <v>220</v>
      </c>
      <c r="G193" s="59" t="n">
        <f aca="false">F193-H193</f>
        <v>220</v>
      </c>
      <c r="H193" s="59" t="n">
        <v>0</v>
      </c>
      <c r="I193" s="9"/>
      <c r="J193" s="205"/>
      <c r="K193" s="206"/>
    </row>
    <row r="194" customFormat="false" ht="20.5" hidden="false" customHeight="true" outlineLevel="0" collapsed="false">
      <c r="A194" s="0" t="n">
        <v>31</v>
      </c>
      <c r="B194" s="31" t="n">
        <v>40664</v>
      </c>
      <c r="C194" s="36" t="n">
        <v>9547</v>
      </c>
      <c r="D194" s="1" t="s">
        <v>41</v>
      </c>
      <c r="E194" s="33" t="n">
        <f aca="false">IF(D194="totale",(C194/(A194*24))/F194,IF(D194="marché libre",(C194/(A194*24))/G194,"spécifier histo"))</f>
        <v>0.0583272238514174</v>
      </c>
      <c r="F194" s="59" t="n">
        <v>220</v>
      </c>
      <c r="G194" s="59" t="n">
        <f aca="false">F194-H194</f>
        <v>220</v>
      </c>
      <c r="H194" s="59" t="n">
        <v>0</v>
      </c>
      <c r="I194" s="9"/>
      <c r="J194" s="205"/>
      <c r="K194" s="206"/>
    </row>
    <row r="195" customFormat="false" ht="20.5" hidden="false" customHeight="true" outlineLevel="0" collapsed="false">
      <c r="A195" s="0" t="n">
        <v>30</v>
      </c>
      <c r="B195" s="34" t="n">
        <v>40695</v>
      </c>
      <c r="C195" s="36" t="n">
        <v>48738</v>
      </c>
      <c r="D195" s="1" t="s">
        <v>41</v>
      </c>
      <c r="E195" s="33" t="n">
        <f aca="false">IF(D195="totale",(C195/(A195*24))/F195,IF(D195="marché libre",(C195/(A195*24))/G195,"spécifier histo"))</f>
        <v>0.307689393939394</v>
      </c>
      <c r="F195" s="59" t="n">
        <v>220</v>
      </c>
      <c r="G195" s="59" t="n">
        <f aca="false">F195-H195</f>
        <v>220</v>
      </c>
      <c r="H195" s="59" t="n">
        <v>0</v>
      </c>
      <c r="I195" s="9"/>
      <c r="J195" s="205"/>
      <c r="K195" s="206"/>
    </row>
    <row r="196" customFormat="false" ht="20.5" hidden="false" customHeight="true" outlineLevel="0" collapsed="false">
      <c r="A196" s="0" t="n">
        <v>31</v>
      </c>
      <c r="B196" s="31" t="n">
        <v>40725</v>
      </c>
      <c r="C196" s="36" t="n">
        <v>30092</v>
      </c>
      <c r="D196" s="1" t="s">
        <v>41</v>
      </c>
      <c r="E196" s="33" t="n">
        <f aca="false">IF(D196="totale",(C196/(A196*24))/F196,IF(D196="marché libre",(C196/(A196*24))/G196,"spécifier histo"))</f>
        <v>0.183846529814272</v>
      </c>
      <c r="F196" s="59" t="n">
        <v>220</v>
      </c>
      <c r="G196" s="59" t="n">
        <f aca="false">F196-H196</f>
        <v>220</v>
      </c>
      <c r="H196" s="59" t="n">
        <v>0</v>
      </c>
      <c r="I196" s="9"/>
      <c r="J196" s="205"/>
      <c r="K196" s="206"/>
    </row>
    <row r="197" customFormat="false" ht="20.5" hidden="false" customHeight="true" outlineLevel="0" collapsed="false">
      <c r="A197" s="0" t="n">
        <v>31</v>
      </c>
      <c r="B197" s="34" t="n">
        <v>40756</v>
      </c>
      <c r="C197" s="36" t="n">
        <v>3902</v>
      </c>
      <c r="D197" s="1" t="s">
        <v>41</v>
      </c>
      <c r="E197" s="33" t="n">
        <f aca="false">IF(D197="totale",(C197/(A197*24))/F197,IF(D197="marché libre",(C197/(A197*24))/G197,"spécifier histo"))</f>
        <v>0.0238391984359726</v>
      </c>
      <c r="F197" s="59" t="n">
        <v>220</v>
      </c>
      <c r="G197" s="59" t="n">
        <f aca="false">F197-H197</f>
        <v>220</v>
      </c>
      <c r="H197" s="59" t="n">
        <v>0</v>
      </c>
      <c r="I197" s="9"/>
      <c r="J197" s="205"/>
      <c r="K197" s="206"/>
    </row>
    <row r="198" customFormat="false" ht="20.5" hidden="false" customHeight="true" outlineLevel="0" collapsed="false">
      <c r="A198" s="0" t="n">
        <v>30</v>
      </c>
      <c r="B198" s="31" t="n">
        <v>40787</v>
      </c>
      <c r="C198" s="36" t="n">
        <v>5037</v>
      </c>
      <c r="D198" s="1" t="s">
        <v>41</v>
      </c>
      <c r="E198" s="33" t="n">
        <f aca="false">IF(D198="totale",(C198/(A198*24))/F198,IF(D198="marché libre",(C198/(A198*24))/G198,"spécifier histo"))</f>
        <v>0.0317992424242424</v>
      </c>
      <c r="F198" s="59" t="n">
        <v>220</v>
      </c>
      <c r="G198" s="59" t="n">
        <f aca="false">F198-H198</f>
        <v>220</v>
      </c>
      <c r="H198" s="59" t="n">
        <v>0</v>
      </c>
      <c r="I198" s="9"/>
      <c r="J198" s="205"/>
      <c r="K198" s="206"/>
    </row>
    <row r="199" customFormat="false" ht="20.5" hidden="false" customHeight="true" outlineLevel="0" collapsed="false">
      <c r="A199" s="0" t="n">
        <v>31</v>
      </c>
      <c r="B199" s="34" t="n">
        <v>40817</v>
      </c>
      <c r="C199" s="36" t="n">
        <v>0</v>
      </c>
      <c r="D199" s="1" t="s">
        <v>41</v>
      </c>
      <c r="E199" s="33" t="n">
        <f aca="false">IF(D199="totale",(C199/(A199*24))/F199,IF(D199="marché libre",(C199/(A199*24))/G199,"spécifier histo"))</f>
        <v>0</v>
      </c>
      <c r="F199" s="59" t="n">
        <v>220</v>
      </c>
      <c r="G199" s="59" t="n">
        <f aca="false">F199-H199</f>
        <v>220</v>
      </c>
      <c r="H199" s="59" t="n">
        <v>0</v>
      </c>
      <c r="I199" s="9"/>
      <c r="J199" s="205"/>
      <c r="K199" s="206"/>
    </row>
    <row r="200" customFormat="false" ht="20.5" hidden="false" customHeight="true" outlineLevel="0" collapsed="false">
      <c r="A200" s="0" t="n">
        <v>30</v>
      </c>
      <c r="B200" s="31" t="n">
        <v>40848</v>
      </c>
      <c r="C200" s="36" t="n">
        <v>15529</v>
      </c>
      <c r="D200" s="1" t="s">
        <v>41</v>
      </c>
      <c r="E200" s="33" t="n">
        <f aca="false">IF(D200="totale",(C200/(A200*24))/F200,IF(D200="marché libre",(C200/(A200*24))/G200,"spécifier histo"))</f>
        <v>0.0980366161616162</v>
      </c>
      <c r="F200" s="59" t="n">
        <v>220</v>
      </c>
      <c r="G200" s="59" t="n">
        <f aca="false">F200-H200</f>
        <v>220</v>
      </c>
      <c r="H200" s="59" t="n">
        <v>0</v>
      </c>
      <c r="I200" s="9"/>
      <c r="J200" s="205"/>
      <c r="K200" s="206"/>
    </row>
    <row r="201" customFormat="false" ht="20.5" hidden="false" customHeight="true" outlineLevel="0" collapsed="false">
      <c r="A201" s="0" t="n">
        <v>31</v>
      </c>
      <c r="B201" s="34" t="n">
        <v>40878</v>
      </c>
      <c r="C201" s="36" t="n">
        <v>47258</v>
      </c>
      <c r="D201" s="1" t="s">
        <v>41</v>
      </c>
      <c r="E201" s="33" t="n">
        <f aca="false">IF(D201="totale",(C201/(A201*24))/F201,IF(D201="marché libre",(C201/(A201*24))/G201,"spécifier histo"))</f>
        <v>0.288721896383187</v>
      </c>
      <c r="F201" s="59" t="n">
        <v>220</v>
      </c>
      <c r="G201" s="59" t="n">
        <f aca="false">F201-H201</f>
        <v>220</v>
      </c>
      <c r="H201" s="59" t="n">
        <v>0</v>
      </c>
      <c r="I201" s="9"/>
      <c r="J201" s="205"/>
      <c r="K201" s="206"/>
    </row>
    <row r="202" customFormat="false" ht="20.5" hidden="false" customHeight="true" outlineLevel="0" collapsed="false">
      <c r="A202" s="0" t="n">
        <v>31</v>
      </c>
      <c r="B202" s="31" t="n">
        <v>40909</v>
      </c>
      <c r="C202" s="36" t="n">
        <v>69712</v>
      </c>
      <c r="D202" s="1" t="s">
        <v>41</v>
      </c>
      <c r="E202" s="33" t="n">
        <f aca="false">IF(D202="totale",(C202/(A202*24))/F202,IF(D202="marché libre",(C202/(A202*24))/G202,"spécifier histo"))</f>
        <v>0.425904203323558</v>
      </c>
      <c r="F202" s="59" t="n">
        <v>220</v>
      </c>
      <c r="G202" s="59" t="n">
        <f aca="false">F202-H202</f>
        <v>220</v>
      </c>
      <c r="H202" s="59" t="n">
        <v>0</v>
      </c>
      <c r="I202" s="9"/>
      <c r="J202" s="205"/>
      <c r="K202" s="206"/>
    </row>
    <row r="203" customFormat="false" ht="20.5" hidden="false" customHeight="true" outlineLevel="0" collapsed="false">
      <c r="A203" s="0" t="n">
        <v>28</v>
      </c>
      <c r="B203" s="34" t="n">
        <v>40940</v>
      </c>
      <c r="C203" s="36" t="n">
        <v>61171</v>
      </c>
      <c r="D203" s="1" t="s">
        <v>41</v>
      </c>
      <c r="E203" s="33" t="n">
        <f aca="false">IF(D203="totale",(C203/(A203*24))/F203,IF(D203="marché libre",(C203/(A203*24))/G203,"spécifier histo"))</f>
        <v>0.413764880952381</v>
      </c>
      <c r="F203" s="59" t="n">
        <v>220</v>
      </c>
      <c r="G203" s="59" t="n">
        <f aca="false">F203-H203</f>
        <v>220</v>
      </c>
      <c r="H203" s="59" t="n">
        <v>0</v>
      </c>
      <c r="I203" s="9"/>
      <c r="J203" s="205"/>
      <c r="K203" s="206"/>
    </row>
    <row r="204" customFormat="false" ht="20.5" hidden="false" customHeight="true" outlineLevel="0" collapsed="false">
      <c r="A204" s="0" t="n">
        <v>31</v>
      </c>
      <c r="B204" s="31" t="n">
        <v>40969</v>
      </c>
      <c r="C204" s="36" t="n">
        <v>33449</v>
      </c>
      <c r="D204" s="1" t="s">
        <v>41</v>
      </c>
      <c r="E204" s="33" t="n">
        <f aca="false">IF(D204="totale",(C204/(A204*24))/F204,IF(D204="marché libre",(C204/(A204*24))/G204,"spécifier histo"))</f>
        <v>0.204356060606061</v>
      </c>
      <c r="F204" s="59" t="n">
        <v>220</v>
      </c>
      <c r="G204" s="59" t="n">
        <f aca="false">F204-H204</f>
        <v>220</v>
      </c>
      <c r="H204" s="59" t="n">
        <v>0</v>
      </c>
      <c r="I204" s="9"/>
      <c r="J204" s="205"/>
      <c r="K204" s="206"/>
    </row>
    <row r="205" customFormat="false" ht="20.5" hidden="false" customHeight="true" outlineLevel="0" collapsed="false">
      <c r="A205" s="0" t="n">
        <v>30</v>
      </c>
      <c r="B205" s="34" t="n">
        <v>41000</v>
      </c>
      <c r="C205" s="36" t="n">
        <v>52577</v>
      </c>
      <c r="D205" s="1" t="s">
        <v>41</v>
      </c>
      <c r="E205" s="33" t="n">
        <f aca="false">IF(D205="totale",(C205/(A205*24))/F205,IF(D205="marché libre",(C205/(A205*24))/G205,"spécifier histo"))</f>
        <v>0.331925505050505</v>
      </c>
      <c r="F205" s="59" t="n">
        <v>220</v>
      </c>
      <c r="G205" s="59" t="n">
        <f aca="false">F205-H205</f>
        <v>220</v>
      </c>
      <c r="H205" s="59" t="n">
        <v>0</v>
      </c>
      <c r="I205" s="9"/>
      <c r="J205" s="205"/>
      <c r="K205" s="206"/>
    </row>
    <row r="206" customFormat="false" ht="20.5" hidden="false" customHeight="true" outlineLevel="0" collapsed="false">
      <c r="A206" s="0" t="n">
        <v>31</v>
      </c>
      <c r="B206" s="31" t="n">
        <v>41030</v>
      </c>
      <c r="C206" s="36" t="n">
        <v>48778</v>
      </c>
      <c r="D206" s="1" t="s">
        <v>41</v>
      </c>
      <c r="E206" s="33" t="n">
        <f aca="false">IF(D206="totale",(C206/(A206*24))/F206,IF(D206="marché libre",(C206/(A206*24))/G206,"spécifier histo"))</f>
        <v>0.298008308895406</v>
      </c>
      <c r="F206" s="59" t="n">
        <v>220</v>
      </c>
      <c r="G206" s="59" t="n">
        <f aca="false">F206-H206</f>
        <v>220</v>
      </c>
      <c r="H206" s="59" t="n">
        <v>0</v>
      </c>
      <c r="I206" s="9"/>
    </row>
    <row r="207" customFormat="false" ht="20.5" hidden="false" customHeight="true" outlineLevel="0" collapsed="false">
      <c r="A207" s="0" t="n">
        <v>30</v>
      </c>
      <c r="B207" s="34" t="n">
        <v>41061</v>
      </c>
      <c r="C207" s="36" t="n">
        <v>384</v>
      </c>
      <c r="D207" s="1" t="s">
        <v>41</v>
      </c>
      <c r="E207" s="33" t="n">
        <f aca="false">IF(D207="totale",(C207/(A207*24))/F207,IF(D207="marché libre",(C207/(A207*24))/G207,"spécifier histo"))</f>
        <v>0.00242424242424242</v>
      </c>
      <c r="F207" s="59" t="n">
        <v>220</v>
      </c>
      <c r="G207" s="59" t="n">
        <f aca="false">F207-H207</f>
        <v>220</v>
      </c>
      <c r="H207" s="59" t="n">
        <v>0</v>
      </c>
      <c r="I207" s="9"/>
      <c r="J207" s="202" t="s">
        <v>834</v>
      </c>
    </row>
    <row r="208" customFormat="false" ht="20.5" hidden="false" customHeight="true" outlineLevel="0" collapsed="false">
      <c r="A208" s="0" t="n">
        <v>31</v>
      </c>
      <c r="B208" s="31" t="n">
        <v>41091</v>
      </c>
      <c r="C208" s="36" t="n">
        <v>0</v>
      </c>
      <c r="D208" s="1" t="s">
        <v>41</v>
      </c>
      <c r="E208" s="33" t="n">
        <f aca="false">IF(D208="totale",(C208/(A208*24))/F208,IF(D208="marché libre",(C208/(A208*24))/G208,"spécifier histo"))</f>
        <v>0</v>
      </c>
      <c r="F208" s="57" t="n">
        <v>220</v>
      </c>
      <c r="G208" s="57" t="n">
        <f aca="false">F208-H208</f>
        <v>220</v>
      </c>
      <c r="H208" s="57" t="n">
        <v>0</v>
      </c>
      <c r="I208" s="455" t="s">
        <v>835</v>
      </c>
      <c r="J208" s="202" t="s">
        <v>189</v>
      </c>
    </row>
    <row r="209" customFormat="false" ht="20.5" hidden="false" customHeight="true" outlineLevel="0" collapsed="false">
      <c r="A209" s="0" t="n">
        <v>31</v>
      </c>
      <c r="B209" s="34" t="n">
        <v>41122</v>
      </c>
      <c r="C209" s="36" t="n">
        <v>0</v>
      </c>
      <c r="D209" s="1" t="s">
        <v>41</v>
      </c>
      <c r="E209" s="33" t="n">
        <f aca="false">IF(D209="totale",(C209/(A209*24))/F209,IF(D209="marché libre",(C209/(A209*24))/G209,"spécifier histo"))</f>
        <v>0</v>
      </c>
      <c r="F209" s="57" t="n">
        <v>220</v>
      </c>
      <c r="G209" s="57" t="n">
        <f aca="false">F209-H209</f>
        <v>220</v>
      </c>
      <c r="H209" s="57" t="n">
        <v>0</v>
      </c>
      <c r="I209" s="455" t="s">
        <v>835</v>
      </c>
      <c r="J209" s="202" t="s">
        <v>836</v>
      </c>
    </row>
    <row r="210" customFormat="false" ht="20.5" hidden="false" customHeight="true" outlineLevel="0" collapsed="false">
      <c r="A210" s="0" t="n">
        <v>30</v>
      </c>
      <c r="B210" s="31" t="n">
        <v>41153</v>
      </c>
      <c r="C210" s="36" t="n">
        <v>0</v>
      </c>
      <c r="D210" s="1" t="s">
        <v>41</v>
      </c>
      <c r="E210" s="33" t="n">
        <f aca="false">IF(D210="totale",(C210/(A210*24))/F210,IF(D210="marché libre",(C210/(A210*24))/G210,"spécifier histo"))</f>
        <v>0</v>
      </c>
      <c r="F210" s="57" t="n">
        <v>220</v>
      </c>
      <c r="G210" s="57" t="n">
        <f aca="false">F210-H210</f>
        <v>220</v>
      </c>
      <c r="H210" s="57" t="n">
        <v>0</v>
      </c>
      <c r="I210" s="455" t="s">
        <v>835</v>
      </c>
      <c r="J210" s="202" t="s">
        <v>189</v>
      </c>
    </row>
    <row r="211" customFormat="false" ht="20.5" hidden="false" customHeight="true" outlineLevel="0" collapsed="false">
      <c r="A211" s="0" t="n">
        <v>31</v>
      </c>
      <c r="B211" s="34" t="n">
        <v>41183</v>
      </c>
      <c r="C211" s="36" t="n">
        <v>0</v>
      </c>
      <c r="D211" s="1" t="s">
        <v>41</v>
      </c>
      <c r="E211" s="33" t="n">
        <f aca="false">IF(D211="totale",(C211/(A211*24))/F211,IF(D211="marché libre",(C211/(A211*24))/G211,"spécifier histo"))</f>
        <v>0</v>
      </c>
      <c r="F211" s="57" t="n">
        <v>220</v>
      </c>
      <c r="G211" s="57" t="n">
        <f aca="false">F211-H211</f>
        <v>220</v>
      </c>
      <c r="H211" s="57" t="n">
        <v>0</v>
      </c>
      <c r="I211" s="455" t="s">
        <v>835</v>
      </c>
      <c r="J211" s="202" t="s">
        <v>837</v>
      </c>
    </row>
    <row r="212" customFormat="false" ht="20.5" hidden="false" customHeight="true" outlineLevel="0" collapsed="false">
      <c r="A212" s="0" t="n">
        <v>30</v>
      </c>
      <c r="B212" s="31" t="n">
        <v>41214</v>
      </c>
      <c r="C212" s="36" t="n">
        <v>9182</v>
      </c>
      <c r="D212" s="1" t="s">
        <v>41</v>
      </c>
      <c r="E212" s="33" t="n">
        <f aca="false">IF(D212="totale",(C212/(A212*24))/F212,IF(D212="marché libre",(C212/(A212*24))/G212,"spécifier histo"))</f>
        <v>0.0579671717171717</v>
      </c>
      <c r="F212" s="59" t="n">
        <v>220</v>
      </c>
      <c r="G212" s="57" t="n">
        <f aca="false">F212-H212</f>
        <v>220</v>
      </c>
      <c r="H212" s="59" t="n">
        <v>0</v>
      </c>
      <c r="I212" s="9"/>
      <c r="J212" s="202" t="s">
        <v>189</v>
      </c>
    </row>
    <row r="213" customFormat="false" ht="20.5" hidden="false" customHeight="true" outlineLevel="0" collapsed="false">
      <c r="A213" s="0" t="n">
        <v>31</v>
      </c>
      <c r="B213" s="34" t="n">
        <v>41244</v>
      </c>
      <c r="C213" s="36" t="n">
        <v>88616</v>
      </c>
      <c r="D213" s="1" t="s">
        <v>41</v>
      </c>
      <c r="E213" s="33" t="n">
        <f aca="false">IF(D213="totale",(C213/(A213*24))/F213,IF(D213="marché libre",(C213/(A213*24))/G213,"spécifier histo"))</f>
        <v>0.541397849462366</v>
      </c>
      <c r="F213" s="59" t="n">
        <v>220</v>
      </c>
      <c r="G213" s="59" t="n">
        <f aca="false">F213-H213</f>
        <v>220</v>
      </c>
      <c r="H213" s="59" t="n">
        <v>0</v>
      </c>
      <c r="I213" s="9"/>
      <c r="J213" s="0"/>
    </row>
    <row r="214" customFormat="false" ht="20.5" hidden="false" customHeight="true" outlineLevel="0" collapsed="false">
      <c r="A214" s="0" t="n">
        <v>31</v>
      </c>
      <c r="B214" s="31" t="n">
        <v>41275</v>
      </c>
      <c r="C214" s="36" t="n">
        <v>71059</v>
      </c>
      <c r="D214" s="1" t="s">
        <v>41</v>
      </c>
      <c r="E214" s="33" t="n">
        <f aca="false">IF(D214="totale",(C214/(A214*24))/F214,IF(D214="marché libre",(C214/(A214*24))/G214,"spécifier histo"))</f>
        <v>0.434133675464321</v>
      </c>
      <c r="F214" s="59" t="n">
        <v>220</v>
      </c>
      <c r="G214" s="59" t="n">
        <f aca="false">F214-H214</f>
        <v>220</v>
      </c>
      <c r="H214" s="59" t="n">
        <v>0</v>
      </c>
      <c r="I214" s="9"/>
      <c r="J214" s="0"/>
    </row>
    <row r="215" customFormat="false" ht="20.5" hidden="false" customHeight="true" outlineLevel="0" collapsed="false">
      <c r="A215" s="0" t="n">
        <v>28</v>
      </c>
      <c r="B215" s="34" t="n">
        <v>41306</v>
      </c>
      <c r="C215" s="36" t="n">
        <v>103332</v>
      </c>
      <c r="D215" s="1" t="s">
        <v>41</v>
      </c>
      <c r="E215" s="33" t="n">
        <f aca="false">IF(D215="totale",(C215/(A215*24))/F215,IF(D215="marché libre",(C215/(A215*24))/G215,"spécifier histo"))</f>
        <v>0.698944805194805</v>
      </c>
      <c r="F215" s="59" t="n">
        <v>220</v>
      </c>
      <c r="G215" s="59" t="n">
        <f aca="false">F215-H215</f>
        <v>220</v>
      </c>
      <c r="H215" s="59" t="n">
        <v>0</v>
      </c>
      <c r="I215" s="9"/>
      <c r="J215" s="0"/>
    </row>
    <row r="216" customFormat="false" ht="20.5" hidden="false" customHeight="true" outlineLevel="0" collapsed="false">
      <c r="A216" s="0" t="n">
        <v>31</v>
      </c>
      <c r="B216" s="31" t="n">
        <v>41334</v>
      </c>
      <c r="C216" s="36" t="n">
        <f aca="false">83449-937</f>
        <v>82512</v>
      </c>
      <c r="D216" s="1" t="s">
        <v>41</v>
      </c>
      <c r="E216" s="33" t="n">
        <f aca="false">IF(D216="totale",(C216/(A216*24))/F216,IF(D216="marché libre",(C216/(A216*24))/G216,"spécifier histo"))</f>
        <v>0.504105571847507</v>
      </c>
      <c r="F216" s="59" t="n">
        <v>220</v>
      </c>
      <c r="G216" s="59" t="n">
        <f aca="false">F216-H216</f>
        <v>220</v>
      </c>
      <c r="H216" s="59" t="n">
        <v>0</v>
      </c>
      <c r="I216" s="9"/>
      <c r="J216" s="0"/>
    </row>
    <row r="217" customFormat="false" ht="20.5" hidden="false" customHeight="true" outlineLevel="0" collapsed="false">
      <c r="A217" s="0" t="n">
        <v>30</v>
      </c>
      <c r="B217" s="34" t="n">
        <v>41365</v>
      </c>
      <c r="C217" s="36" t="n">
        <f aca="false">116355-902</f>
        <v>115453</v>
      </c>
      <c r="D217" s="1" t="s">
        <v>41</v>
      </c>
      <c r="E217" s="33" t="n">
        <f aca="false">IF(D217="totale",(C217/(A217*24))/F217,IF(D217="marché libre",(C217/(A217*24))/G217,"spécifier histo"))</f>
        <v>0.72886994949495</v>
      </c>
      <c r="F217" s="59" t="n">
        <v>220</v>
      </c>
      <c r="G217" s="59" t="n">
        <f aca="false">F217-H217</f>
        <v>220</v>
      </c>
      <c r="H217" s="59" t="n">
        <v>0</v>
      </c>
      <c r="I217" s="9"/>
      <c r="J217" s="0"/>
    </row>
    <row r="218" customFormat="false" ht="20.5" hidden="false" customHeight="true" outlineLevel="0" collapsed="false">
      <c r="A218" s="0" t="n">
        <v>31</v>
      </c>
      <c r="B218" s="31" t="n">
        <v>41395</v>
      </c>
      <c r="C218" s="36" t="n">
        <f aca="false">116385-934</f>
        <v>115451</v>
      </c>
      <c r="D218" s="1" t="s">
        <v>41</v>
      </c>
      <c r="E218" s="33" t="n">
        <f aca="false">IF(D218="totale",(C218/(A218*24))/F218,IF(D218="marché libre",(C218/(A218*24))/G218,"spécifier histo"))</f>
        <v>0.705345796676442</v>
      </c>
      <c r="F218" s="59" t="n">
        <v>220</v>
      </c>
      <c r="G218" s="59" t="n">
        <f aca="false">F218-H218</f>
        <v>220</v>
      </c>
      <c r="H218" s="59" t="n">
        <v>0</v>
      </c>
      <c r="I218" s="9"/>
      <c r="J218" s="0"/>
    </row>
    <row r="219" customFormat="false" ht="20.5" hidden="false" customHeight="true" outlineLevel="0" collapsed="false">
      <c r="A219" s="0" t="n">
        <v>30</v>
      </c>
      <c r="B219" s="34" t="n">
        <v>41426</v>
      </c>
      <c r="C219" s="36" t="n">
        <f aca="false">117668-910</f>
        <v>116758</v>
      </c>
      <c r="D219" s="1" t="s">
        <v>41</v>
      </c>
      <c r="E219" s="33" t="n">
        <f aca="false">IF(D219="totale",(C219/(A219*24))/F219,IF(D219="marché libre",(C219/(A219*24))/G219,"spécifier histo"))</f>
        <v>0.737108585858586</v>
      </c>
      <c r="F219" s="59" t="n">
        <v>220</v>
      </c>
      <c r="G219" s="59" t="n">
        <f aca="false">F219-H219</f>
        <v>220</v>
      </c>
      <c r="H219" s="59" t="n">
        <v>0</v>
      </c>
      <c r="I219" s="9"/>
      <c r="J219" s="202"/>
    </row>
    <row r="220" customFormat="false" ht="20.5" hidden="false" customHeight="true" outlineLevel="0" collapsed="false">
      <c r="A220" s="0" t="n">
        <v>31</v>
      </c>
      <c r="B220" s="31" t="n">
        <v>41456</v>
      </c>
      <c r="C220" s="36" t="n">
        <f aca="false">51621-962</f>
        <v>50659</v>
      </c>
      <c r="D220" s="1" t="s">
        <v>41</v>
      </c>
      <c r="E220" s="33" t="n">
        <f aca="false">IF(D220="totale",(C220/(A220*24))/F220,IF(D220="marché libre",(C220/(A220*24))/G220,"spécifier histo"))</f>
        <v>0.309500244379277</v>
      </c>
      <c r="F220" s="59" t="n">
        <v>220</v>
      </c>
      <c r="G220" s="59" t="n">
        <f aca="false">F220-H220</f>
        <v>220</v>
      </c>
      <c r="H220" s="59" t="n">
        <v>0</v>
      </c>
      <c r="I220" s="9"/>
      <c r="J220" s="202"/>
    </row>
    <row r="221" customFormat="false" ht="20.5" hidden="false" customHeight="true" outlineLevel="0" collapsed="false">
      <c r="A221" s="0" t="n">
        <v>31</v>
      </c>
      <c r="B221" s="34" t="n">
        <v>41487</v>
      </c>
      <c r="C221" s="36" t="n">
        <f aca="false">14745-1021</f>
        <v>13724</v>
      </c>
      <c r="D221" s="1" t="s">
        <v>41</v>
      </c>
      <c r="E221" s="33" t="n">
        <f aca="false">IF(D221="totale",(C221/(A221*24))/F221,IF(D221="marché libre",(C221/(A221*24))/G221,"spécifier histo"))</f>
        <v>0.0838465298142718</v>
      </c>
      <c r="F221" s="59" t="n">
        <v>220</v>
      </c>
      <c r="G221" s="59" t="n">
        <f aca="false">F221-H221</f>
        <v>220</v>
      </c>
      <c r="H221" s="59" t="n">
        <v>0</v>
      </c>
      <c r="I221" s="9"/>
      <c r="J221" s="202"/>
    </row>
    <row r="222" customFormat="false" ht="20.5" hidden="false" customHeight="true" outlineLevel="0" collapsed="false">
      <c r="A222" s="0" t="n">
        <v>30</v>
      </c>
      <c r="B222" s="31" t="n">
        <v>41518</v>
      </c>
      <c r="C222" s="36" t="n">
        <f aca="false">17412-976</f>
        <v>16436</v>
      </c>
      <c r="D222" s="1" t="s">
        <v>41</v>
      </c>
      <c r="E222" s="33" t="n">
        <f aca="false">IF(D222="totale",(C222/(A222*24))/F222,IF(D222="marché libre",(C222/(A222*24))/G222,"spécifier histo"))</f>
        <v>0.103762626262626</v>
      </c>
      <c r="F222" s="59" t="n">
        <v>220</v>
      </c>
      <c r="G222" s="59" t="n">
        <f aca="false">F222-H222</f>
        <v>220</v>
      </c>
      <c r="H222" s="59" t="n">
        <v>0</v>
      </c>
      <c r="I222" s="9"/>
      <c r="J222" s="202"/>
    </row>
    <row r="223" customFormat="false" ht="20.5" hidden="false" customHeight="true" outlineLevel="0" collapsed="false">
      <c r="A223" s="0" t="n">
        <v>31</v>
      </c>
      <c r="B223" s="34" t="n">
        <v>41548</v>
      </c>
      <c r="C223" s="36" t="n">
        <f aca="false">7543-1044</f>
        <v>6499</v>
      </c>
      <c r="D223" s="1" t="s">
        <v>41</v>
      </c>
      <c r="E223" s="33" t="n">
        <f aca="false">IF(D223="totale",(C223/(A223*24))/F223,IF(D223="marché libre",(C223/(A223*24))/G223,"spécifier histo"))</f>
        <v>0.039705522971652</v>
      </c>
      <c r="F223" s="59" t="n">
        <v>220</v>
      </c>
      <c r="G223" s="59" t="n">
        <f aca="false">F223-H223</f>
        <v>220</v>
      </c>
      <c r="H223" s="59" t="n">
        <v>0</v>
      </c>
      <c r="I223" s="9"/>
      <c r="J223" s="202"/>
    </row>
    <row r="224" customFormat="false" ht="20.5" hidden="false" customHeight="true" outlineLevel="0" collapsed="false">
      <c r="A224" s="0" t="n">
        <v>30</v>
      </c>
      <c r="B224" s="31" t="n">
        <v>41579</v>
      </c>
      <c r="C224" s="36" t="n">
        <f aca="false">78541-924</f>
        <v>77617</v>
      </c>
      <c r="D224" s="1" t="s">
        <v>41</v>
      </c>
      <c r="E224" s="33" t="n">
        <f aca="false">IF(D224="totale",(C224/(A224*24))/F224,IF(D224="marché libre",(C224/(A224*24))/G224,"spécifier histo"))</f>
        <v>0.490006313131313</v>
      </c>
      <c r="F224" s="59" t="n">
        <v>220</v>
      </c>
      <c r="G224" s="59" t="n">
        <f aca="false">F224-H224</f>
        <v>220</v>
      </c>
      <c r="H224" s="59" t="n">
        <v>0</v>
      </c>
      <c r="I224" s="9"/>
      <c r="J224" s="202"/>
    </row>
    <row r="225" customFormat="false" ht="20.5" hidden="false" customHeight="true" outlineLevel="0" collapsed="false">
      <c r="A225" s="0" t="n">
        <v>31</v>
      </c>
      <c r="B225" s="34" t="n">
        <v>41609</v>
      </c>
      <c r="C225" s="36" t="n">
        <f aca="false">89838-931</f>
        <v>88907</v>
      </c>
      <c r="D225" s="1" t="s">
        <v>41</v>
      </c>
      <c r="E225" s="33" t="n">
        <f aca="false">IF(D225="totale",(C225/(A225*24))/F225,IF(D225="marché libre",(C225/(A225*24))/G225,"spécifier histo"))</f>
        <v>0.543175708699902</v>
      </c>
      <c r="F225" s="59" t="n">
        <v>220</v>
      </c>
      <c r="G225" s="59" t="n">
        <f aca="false">F225-H225</f>
        <v>220</v>
      </c>
      <c r="H225" s="59" t="n">
        <v>0</v>
      </c>
      <c r="I225" s="9"/>
      <c r="J225" s="202"/>
    </row>
    <row r="226" customFormat="false" ht="20.5" hidden="false" customHeight="true" outlineLevel="0" collapsed="false">
      <c r="A226" s="0" t="n">
        <v>31</v>
      </c>
      <c r="B226" s="31" t="n">
        <v>41640</v>
      </c>
      <c r="C226" s="36" t="n">
        <f aca="false">107690-960</f>
        <v>106730</v>
      </c>
      <c r="D226" s="1" t="s">
        <v>41</v>
      </c>
      <c r="E226" s="33" t="n">
        <f aca="false">IF(D226="totale",(C226/(A226*24))/F226,IF(D226="marché libre",(C226/(A226*24))/G226,"spécifier histo"))</f>
        <v>0.652065004887586</v>
      </c>
      <c r="F226" s="59" t="n">
        <v>220</v>
      </c>
      <c r="G226" s="59" t="n">
        <f aca="false">F226-H226</f>
        <v>220</v>
      </c>
      <c r="H226" s="59" t="n">
        <v>0</v>
      </c>
      <c r="I226" s="9"/>
      <c r="J226" s="202"/>
    </row>
    <row r="227" customFormat="false" ht="20.5" hidden="false" customHeight="true" outlineLevel="0" collapsed="false">
      <c r="A227" s="0" t="n">
        <v>28</v>
      </c>
      <c r="B227" s="34" t="n">
        <v>41671</v>
      </c>
      <c r="C227" s="36" t="n">
        <f aca="false">113272-846</f>
        <v>112426</v>
      </c>
      <c r="D227" s="1" t="s">
        <v>41</v>
      </c>
      <c r="E227" s="33" t="n">
        <f aca="false">IF(D227="totale",(C227/(A227*24))/F227,IF(D227="marché libre",(C227/(A227*24))/G227,"spécifier histo"))</f>
        <v>0.760457251082251</v>
      </c>
      <c r="F227" s="59" t="n">
        <v>220</v>
      </c>
      <c r="G227" s="59" t="n">
        <f aca="false">F227-H227</f>
        <v>220</v>
      </c>
      <c r="H227" s="59" t="n">
        <v>0</v>
      </c>
      <c r="I227" s="9"/>
      <c r="J227" s="202"/>
    </row>
    <row r="228" customFormat="false" ht="20.5" hidden="false" customHeight="true" outlineLevel="0" collapsed="false">
      <c r="A228" s="0" t="n">
        <v>31</v>
      </c>
      <c r="B228" s="31" t="n">
        <v>41699</v>
      </c>
      <c r="C228" s="36" t="n">
        <f aca="false">105112-957</f>
        <v>104155</v>
      </c>
      <c r="D228" s="1" t="s">
        <v>41</v>
      </c>
      <c r="E228" s="33" t="n">
        <f aca="false">IF(D228="totale",(C228/(A228*24))/F228,IF(D228="marché libre",(C228/(A228*24))/G228,"spécifier histo"))</f>
        <v>0.636333088954057</v>
      </c>
      <c r="F228" s="59" t="n">
        <v>220</v>
      </c>
      <c r="G228" s="59" t="n">
        <f aca="false">F228-H228</f>
        <v>220</v>
      </c>
      <c r="H228" s="59" t="n">
        <v>0</v>
      </c>
      <c r="I228" s="9"/>
    </row>
    <row r="229" customFormat="false" ht="20.5" hidden="false" customHeight="true" outlineLevel="0" collapsed="false">
      <c r="A229" s="0" t="n">
        <v>30</v>
      </c>
      <c r="B229" s="34" t="n">
        <v>41730</v>
      </c>
      <c r="C229" s="36" t="n">
        <f aca="false">118601-903</f>
        <v>117698</v>
      </c>
      <c r="D229" s="1" t="s">
        <v>41</v>
      </c>
      <c r="E229" s="33" t="n">
        <f aca="false">IF(D229="totale",(C229/(A229*24))/F229,IF(D229="marché libre",(C229/(A229*24))/G229,"spécifier histo"))</f>
        <v>0.743042929292929</v>
      </c>
      <c r="F229" s="59" t="n">
        <v>220</v>
      </c>
      <c r="G229" s="59" t="n">
        <f aca="false">F229-H229</f>
        <v>220</v>
      </c>
      <c r="H229" s="59" t="n">
        <v>0</v>
      </c>
      <c r="I229" s="9"/>
    </row>
    <row r="230" customFormat="false" ht="20.5" hidden="false" customHeight="true" outlineLevel="0" collapsed="false">
      <c r="A230" s="0" t="n">
        <v>31</v>
      </c>
      <c r="B230" s="31" t="n">
        <v>41760</v>
      </c>
      <c r="C230" s="36" t="n">
        <f aca="false">95575-932</f>
        <v>94643</v>
      </c>
      <c r="D230" s="1" t="s">
        <v>41</v>
      </c>
      <c r="E230" s="33" t="n">
        <f aca="false">IF(D230="totale",(C230/(A230*24))/F230,IF(D230="marché libre",(C230/(A230*24))/G230,"spécifier histo"))</f>
        <v>0.578219696969697</v>
      </c>
      <c r="F230" s="59" t="n">
        <v>220</v>
      </c>
      <c r="G230" s="59" t="n">
        <f aca="false">F230-H230</f>
        <v>220</v>
      </c>
      <c r="H230" s="59" t="n">
        <v>0</v>
      </c>
      <c r="I230" s="9"/>
    </row>
    <row r="231" customFormat="false" ht="20.5" hidden="false" customHeight="true" outlineLevel="0" collapsed="false">
      <c r="A231" s="0" t="n">
        <v>30</v>
      </c>
      <c r="B231" s="34" t="n">
        <v>41791</v>
      </c>
      <c r="C231" s="36" t="n">
        <f aca="false">65007-911</f>
        <v>64096</v>
      </c>
      <c r="D231" s="1" t="s">
        <v>41</v>
      </c>
      <c r="E231" s="33" t="n">
        <f aca="false">IF(D231="totale",(C231/(A231*24))/F231,IF(D231="marché libre",(C231/(A231*24))/G231,"spécifier histo"))</f>
        <v>0.404646464646465</v>
      </c>
      <c r="F231" s="59" t="n">
        <v>220</v>
      </c>
      <c r="G231" s="59" t="n">
        <f aca="false">F231-H231</f>
        <v>220</v>
      </c>
      <c r="H231" s="59" t="n">
        <v>0</v>
      </c>
      <c r="I231" s="9"/>
    </row>
    <row r="232" customFormat="false" ht="20.5" hidden="false" customHeight="true" outlineLevel="0" collapsed="false">
      <c r="A232" s="0" t="n">
        <v>31</v>
      </c>
      <c r="B232" s="31" t="n">
        <v>41821</v>
      </c>
      <c r="C232" s="36" t="n">
        <f aca="false">61440-954</f>
        <v>60486</v>
      </c>
      <c r="D232" s="1" t="s">
        <v>41</v>
      </c>
      <c r="E232" s="33" t="n">
        <f aca="false">IF(D232="totale",(C232/(A232*24))/F232,IF(D232="marché libre",(C232/(A232*24))/G232,"spécifier histo"))</f>
        <v>0.369538123167155</v>
      </c>
      <c r="F232" s="59" t="n">
        <v>220</v>
      </c>
      <c r="G232" s="59" t="n">
        <f aca="false">F232-H232</f>
        <v>220</v>
      </c>
      <c r="H232" s="59" t="n">
        <v>0</v>
      </c>
      <c r="I232" s="9"/>
    </row>
    <row r="233" customFormat="false" ht="20.5" hidden="false" customHeight="true" outlineLevel="0" collapsed="false">
      <c r="A233" s="0" t="n">
        <v>31</v>
      </c>
      <c r="B233" s="34" t="n">
        <v>41852</v>
      </c>
      <c r="C233" s="295" t="n">
        <v>72923</v>
      </c>
      <c r="D233" s="1" t="s">
        <v>41</v>
      </c>
      <c r="E233" s="33" t="n">
        <f aca="false">IF(D233="totale",(C233/(A233*24))/F233,IF(D233="marché libre",(C233/(A233*24))/G233,"spécifier histo"))</f>
        <v>0.445521749755621</v>
      </c>
      <c r="F233" s="59" t="n">
        <v>220</v>
      </c>
      <c r="G233" s="59" t="n">
        <f aca="false">F233-H233</f>
        <v>220</v>
      </c>
      <c r="H233" s="59" t="n">
        <v>0</v>
      </c>
      <c r="I233" s="9"/>
      <c r="J233" s="202"/>
    </row>
    <row r="234" customFormat="false" ht="20.5" hidden="false" customHeight="true" outlineLevel="0" collapsed="false">
      <c r="A234" s="0" t="n">
        <v>30</v>
      </c>
      <c r="B234" s="31" t="n">
        <v>41883</v>
      </c>
      <c r="C234" s="456" t="n">
        <v>31601</v>
      </c>
      <c r="D234" s="1" t="s">
        <v>41</v>
      </c>
      <c r="E234" s="33" t="n">
        <f aca="false">IF(D234="totale",(C234/(A234*24))/F234,IF(D234="marché libre",(C234/(A234*24))/G234,"spécifier histo"))</f>
        <v>0.199501262626263</v>
      </c>
      <c r="F234" s="59" t="n">
        <v>220</v>
      </c>
      <c r="G234" s="59" t="n">
        <f aca="false">F234-H234</f>
        <v>220</v>
      </c>
      <c r="H234" s="59" t="n">
        <v>0</v>
      </c>
      <c r="I234" s="9"/>
      <c r="J234" s="202"/>
      <c r="K234" s="206"/>
    </row>
    <row r="235" customFormat="false" ht="20.5" hidden="false" customHeight="true" outlineLevel="0" collapsed="false">
      <c r="A235" s="0" t="n">
        <v>31</v>
      </c>
      <c r="B235" s="34" t="n">
        <v>41913</v>
      </c>
      <c r="C235" s="456" t="n">
        <v>9343</v>
      </c>
      <c r="D235" s="1" t="s">
        <v>41</v>
      </c>
      <c r="E235" s="33" t="n">
        <f aca="false">IF(D235="totale",(C235/(A235*24))/F235,IF(D235="marché libre",(C235/(A235*24))/G235,"spécifier histo"))</f>
        <v>0.057080889540567</v>
      </c>
      <c r="F235" s="59" t="n">
        <v>220</v>
      </c>
      <c r="G235" s="59" t="n">
        <f aca="false">F235-H235</f>
        <v>220</v>
      </c>
      <c r="H235" s="59" t="n">
        <v>0</v>
      </c>
      <c r="I235" s="9"/>
      <c r="J235" s="202"/>
      <c r="K235" s="206"/>
    </row>
    <row r="236" customFormat="false" ht="20.5" hidden="false" customHeight="true" outlineLevel="0" collapsed="false">
      <c r="A236" s="281" t="n">
        <v>30</v>
      </c>
      <c r="B236" s="160" t="n">
        <v>41944</v>
      </c>
      <c r="C236" s="457" t="n">
        <v>22393</v>
      </c>
      <c r="D236" s="283" t="s">
        <v>42</v>
      </c>
      <c r="E236" s="33" t="n">
        <f aca="false">IF(D236="totale",(C236/(A236*24))/F236,IF(D236="marché libre",(C236/(A236*24))/G236,"spécifier histo"))</f>
        <v>0.141369949494949</v>
      </c>
      <c r="F236" s="284" t="n">
        <v>220</v>
      </c>
      <c r="G236" s="284" t="n">
        <f aca="false">F236-H236</f>
        <v>220</v>
      </c>
      <c r="H236" s="284" t="n">
        <v>0</v>
      </c>
      <c r="I236" s="9"/>
      <c r="J236" s="202"/>
      <c r="K236" s="206"/>
    </row>
    <row r="237" customFormat="false" ht="20.5" hidden="false" customHeight="true" outlineLevel="0" collapsed="false">
      <c r="A237" s="0" t="n">
        <v>31</v>
      </c>
      <c r="B237" s="34" t="n">
        <v>41974</v>
      </c>
      <c r="C237" s="456" t="n">
        <v>63906</v>
      </c>
      <c r="D237" s="1" t="s">
        <v>42</v>
      </c>
      <c r="E237" s="33" t="n">
        <f aca="false">IF(D237="totale",(C237/(A237*24))/F237,IF(D237="marché libre",(C237/(A237*24))/G237,"spécifier histo"))</f>
        <v>0.390432551319648</v>
      </c>
      <c r="F237" s="59" t="n">
        <v>220</v>
      </c>
      <c r="G237" s="59" t="n">
        <f aca="false">F237-H237</f>
        <v>220</v>
      </c>
      <c r="H237" s="59" t="n">
        <v>0</v>
      </c>
      <c r="I237" s="0"/>
      <c r="J237" s="0"/>
      <c r="K237" s="206"/>
    </row>
    <row r="238" customFormat="false" ht="15.75" hidden="false" customHeight="true" outlineLevel="0" collapsed="false">
      <c r="A238" s="0" t="n">
        <v>31</v>
      </c>
      <c r="B238" s="31" t="n">
        <v>42005</v>
      </c>
      <c r="C238" s="458" t="n">
        <v>0</v>
      </c>
      <c r="D238" s="459" t="s">
        <v>42</v>
      </c>
      <c r="E238" s="460" t="e">
        <f aca="false">IF(D238="totale",(C238/(A238*24))/F238,IF(D238="marché libre",(C238/(A238*24))/G238,"spécifier histo"))</f>
        <v>#DIV/0!</v>
      </c>
      <c r="F238" s="461" t="n">
        <v>0</v>
      </c>
      <c r="G238" s="461" t="n">
        <v>0</v>
      </c>
      <c r="H238" s="461" t="n">
        <v>0</v>
      </c>
      <c r="I238" s="462" t="s">
        <v>838</v>
      </c>
      <c r="J238" s="202"/>
      <c r="K238" s="206"/>
    </row>
    <row r="239" customFormat="false" ht="15.75" hidden="false" customHeight="true" outlineLevel="0" collapsed="false">
      <c r="A239" s="0" t="n">
        <v>28</v>
      </c>
      <c r="B239" s="34" t="n">
        <v>42036</v>
      </c>
      <c r="C239" s="296" t="n">
        <v>445</v>
      </c>
      <c r="D239" s="1" t="s">
        <v>42</v>
      </c>
      <c r="E239" s="33" t="n">
        <f aca="false">IF(D239="totale",(C239/(A239*24))/F239,IF(D239="marché libre",(C239/(A239*24))/G239,"spécifier histo"))</f>
        <v>0.00301001082251082</v>
      </c>
      <c r="F239" s="59" t="n">
        <v>220</v>
      </c>
      <c r="G239" s="59" t="n">
        <f aca="false">F239-H239</f>
        <v>220</v>
      </c>
      <c r="H239" s="59" t="n">
        <v>0</v>
      </c>
      <c r="I239" s="462" t="s">
        <v>839</v>
      </c>
      <c r="J239" s="205"/>
      <c r="K239" s="206"/>
    </row>
    <row r="240" customFormat="false" ht="15.75" hidden="false" customHeight="true" outlineLevel="0" collapsed="false">
      <c r="A240" s="0" t="n">
        <v>31</v>
      </c>
      <c r="B240" s="31" t="n">
        <v>42064</v>
      </c>
      <c r="C240" s="296" t="n">
        <v>107098</v>
      </c>
      <c r="D240" s="1" t="s">
        <v>42</v>
      </c>
      <c r="E240" s="33" t="n">
        <f aca="false">IF(D240="totale",(C240/(A240*24))/F240,IF(D240="marché libre",(C240/(A240*24))/G240,"spécifier histo"))</f>
        <v>0.654313294232649</v>
      </c>
      <c r="F240" s="59" t="n">
        <v>220</v>
      </c>
      <c r="G240" s="57" t="n">
        <f aca="false">F240-H240</f>
        <v>220</v>
      </c>
      <c r="H240" s="59" t="n">
        <v>0</v>
      </c>
      <c r="I240" s="462"/>
      <c r="J240" s="0"/>
      <c r="K240" s="0"/>
      <c r="L240" s="0"/>
      <c r="M240" s="0"/>
      <c r="N240" s="0"/>
      <c r="O240" s="0"/>
      <c r="P240" s="0"/>
      <c r="Q240" s="0"/>
      <c r="R240" s="0"/>
      <c r="S240" s="0"/>
      <c r="T240" s="0"/>
      <c r="U240" s="0"/>
      <c r="V240" s="0"/>
      <c r="W240" s="0"/>
      <c r="X240" s="0"/>
      <c r="Y240" s="0"/>
      <c r="Z240" s="0"/>
      <c r="AA240" s="0"/>
    </row>
    <row r="241" customFormat="false" ht="15.75" hidden="false" customHeight="true" outlineLevel="0" collapsed="false">
      <c r="A241" s="0" t="n">
        <v>30</v>
      </c>
      <c r="B241" s="31" t="n">
        <v>42095</v>
      </c>
      <c r="C241" s="296" t="n">
        <v>96299</v>
      </c>
      <c r="D241" s="1" t="s">
        <v>42</v>
      </c>
      <c r="E241" s="33" t="n">
        <f aca="false">IF(D241="totale",(C241/(A241*24))/F241,IF(D241="marché libre",(C241/(A241*24))/G241,"spécifier histo"))</f>
        <v>0.607948232323232</v>
      </c>
      <c r="F241" s="59" t="n">
        <v>220</v>
      </c>
      <c r="G241" s="59" t="n">
        <f aca="false">F241-H241</f>
        <v>220</v>
      </c>
      <c r="H241" s="59" t="n">
        <v>0</v>
      </c>
      <c r="I241" s="9"/>
      <c r="J241" s="0"/>
      <c r="K241" s="0"/>
      <c r="L241" s="0"/>
      <c r="M241" s="0"/>
      <c r="N241" s="0"/>
      <c r="O241" s="0"/>
      <c r="P241" s="0"/>
      <c r="Q241" s="0"/>
      <c r="R241" s="0"/>
      <c r="S241" s="0"/>
      <c r="T241" s="0"/>
      <c r="U241" s="0"/>
      <c r="V241" s="0"/>
      <c r="W241" s="0"/>
      <c r="X241" s="0"/>
      <c r="Y241" s="0"/>
      <c r="Z241" s="0"/>
      <c r="AA241" s="0"/>
    </row>
    <row r="242" customFormat="false" ht="15.75" hidden="false" customHeight="true" outlineLevel="0" collapsed="false">
      <c r="A242" s="0" t="n">
        <v>31</v>
      </c>
      <c r="B242" s="34" t="n">
        <v>42125</v>
      </c>
      <c r="C242" s="296" t="n">
        <v>48480</v>
      </c>
      <c r="D242" s="1" t="s">
        <v>42</v>
      </c>
      <c r="E242" s="33" t="n">
        <f aca="false">IF(D242="totale",(C242/(A242*24))/F242,IF(D242="marché libre",(C242/(A242*24))/G242,"spécifier histo"))</f>
        <v>0.296187683284457</v>
      </c>
      <c r="F242" s="59" t="n">
        <v>220</v>
      </c>
      <c r="G242" s="59" t="n">
        <f aca="false">F242-H242</f>
        <v>220</v>
      </c>
      <c r="H242" s="59" t="n">
        <v>0</v>
      </c>
      <c r="I242" s="9"/>
      <c r="J242" s="0"/>
      <c r="K242" s="0"/>
      <c r="L242" s="0"/>
      <c r="M242" s="0"/>
      <c r="N242" s="0"/>
      <c r="O242" s="0"/>
      <c r="P242" s="0"/>
      <c r="Q242" s="0"/>
      <c r="R242" s="0"/>
      <c r="S242" s="0"/>
      <c r="T242" s="0"/>
      <c r="U242" s="0"/>
      <c r="V242" s="0"/>
      <c r="W242" s="0"/>
      <c r="X242" s="0"/>
      <c r="Y242" s="0"/>
      <c r="Z242" s="0"/>
      <c r="AA242" s="0"/>
    </row>
    <row r="243" customFormat="false" ht="15.75" hidden="false" customHeight="true" outlineLevel="0" collapsed="false">
      <c r="A243" s="0" t="n">
        <v>30</v>
      </c>
      <c r="B243" s="31" t="n">
        <v>42156</v>
      </c>
      <c r="C243" s="296" t="n">
        <v>20520</v>
      </c>
      <c r="D243" s="1" t="s">
        <v>42</v>
      </c>
      <c r="E243" s="33" t="n">
        <f aca="false">IF(D243="totale",(C243/(A243*24))/F243,IF(D243="marché libre",(C243/(A243*24))/G243,"spécifier histo"))</f>
        <v>0.129545454545455</v>
      </c>
      <c r="F243" s="59" t="n">
        <v>220</v>
      </c>
      <c r="G243" s="59" t="n">
        <f aca="false">F243-H243</f>
        <v>220</v>
      </c>
      <c r="H243" s="59" t="n">
        <v>0</v>
      </c>
      <c r="I243" s="9"/>
      <c r="J243" s="0"/>
      <c r="K243" s="0"/>
      <c r="L243" s="463"/>
      <c r="M243" s="0"/>
      <c r="N243" s="0"/>
      <c r="O243" s="0"/>
      <c r="P243" s="0"/>
      <c r="Q243" s="0"/>
      <c r="R243" s="0"/>
      <c r="S243" s="0"/>
      <c r="T243" s="0"/>
      <c r="U243" s="0"/>
      <c r="V243" s="0"/>
      <c r="W243" s="0"/>
      <c r="X243" s="0"/>
      <c r="Y243" s="0"/>
      <c r="Z243" s="0"/>
      <c r="AA243" s="0"/>
    </row>
    <row r="244" customFormat="false" ht="15.75" hidden="false" customHeight="true" outlineLevel="0" collapsed="false">
      <c r="A244" s="0" t="n">
        <v>31</v>
      </c>
      <c r="B244" s="31" t="n">
        <v>42186</v>
      </c>
      <c r="C244" s="296" t="n">
        <v>5852</v>
      </c>
      <c r="D244" s="1" t="s">
        <v>42</v>
      </c>
      <c r="E244" s="33" t="n">
        <f aca="false">IF(D244="totale",(C244/(A244*24))/F244,IF(D244="marché libre",(C244/(A244*24))/G244,"spécifier histo"))</f>
        <v>0.035752688172043</v>
      </c>
      <c r="F244" s="59" t="n">
        <v>220</v>
      </c>
      <c r="G244" s="59" t="n">
        <f aca="false">F244-H244</f>
        <v>220</v>
      </c>
      <c r="H244" s="59" t="n">
        <v>0</v>
      </c>
      <c r="I244" s="9"/>
      <c r="J244" s="0"/>
      <c r="K244" s="0"/>
      <c r="L244" s="0"/>
      <c r="M244" s="0"/>
      <c r="N244" s="0"/>
      <c r="O244" s="0"/>
      <c r="P244" s="0"/>
      <c r="Q244" s="0"/>
      <c r="R244" s="0"/>
      <c r="S244" s="0"/>
      <c r="T244" s="0"/>
      <c r="U244" s="0"/>
      <c r="V244" s="0"/>
      <c r="W244" s="0"/>
      <c r="X244" s="0"/>
      <c r="Y244" s="0"/>
      <c r="Z244" s="0"/>
      <c r="AA244" s="0"/>
    </row>
    <row r="245" customFormat="false" ht="15.75" hidden="false" customHeight="true" outlineLevel="0" collapsed="false">
      <c r="A245" s="0" t="n">
        <v>31</v>
      </c>
      <c r="B245" s="34" t="n">
        <v>42217</v>
      </c>
      <c r="C245" s="296" t="n">
        <v>19821</v>
      </c>
      <c r="D245" s="1" t="s">
        <v>42</v>
      </c>
      <c r="E245" s="33" t="n">
        <f aca="false">IF(D245="totale",(C245/(A245*24))/F245,IF(D245="marché libre",(C245/(A245*24))/G245,"spécifier histo"))</f>
        <v>0.121096041055718</v>
      </c>
      <c r="F245" s="59" t="n">
        <v>220</v>
      </c>
      <c r="G245" s="59" t="n">
        <f aca="false">F245-H245</f>
        <v>220</v>
      </c>
      <c r="H245" s="59" t="n">
        <v>0</v>
      </c>
      <c r="I245" s="9"/>
      <c r="J245" s="0"/>
      <c r="K245" s="0"/>
      <c r="L245" s="0"/>
      <c r="M245" s="0"/>
      <c r="N245" s="0"/>
      <c r="O245" s="0"/>
      <c r="P245" s="0"/>
      <c r="Q245" s="0"/>
      <c r="R245" s="0"/>
      <c r="S245" s="0"/>
      <c r="T245" s="0"/>
      <c r="U245" s="0"/>
      <c r="V245" s="0"/>
      <c r="W245" s="0"/>
      <c r="X245" s="0"/>
      <c r="Y245" s="0"/>
      <c r="Z245" s="0"/>
      <c r="AA245" s="0"/>
    </row>
    <row r="246" customFormat="false" ht="15.75" hidden="false" customHeight="true" outlineLevel="0" collapsed="false">
      <c r="A246" s="0" t="n">
        <v>30</v>
      </c>
      <c r="B246" s="31" t="n">
        <v>42248</v>
      </c>
      <c r="C246" s="296" t="n">
        <v>8486</v>
      </c>
      <c r="D246" s="1" t="s">
        <v>42</v>
      </c>
      <c r="E246" s="33" t="n">
        <f aca="false">IF(D246="totale",(C246/(A246*24))/F246,IF(D246="marché libre",(C246/(A246*24))/G246,"spécifier histo"))</f>
        <v>0.0535732323232323</v>
      </c>
      <c r="F246" s="59" t="n">
        <v>220</v>
      </c>
      <c r="G246" s="59" t="n">
        <f aca="false">F246-H246</f>
        <v>220</v>
      </c>
      <c r="H246" s="59" t="n">
        <v>0</v>
      </c>
      <c r="I246" s="9"/>
      <c r="J246" s="0"/>
      <c r="K246" s="0"/>
      <c r="L246" s="0"/>
      <c r="M246" s="0"/>
      <c r="N246" s="0"/>
      <c r="O246" s="0"/>
      <c r="P246" s="0"/>
      <c r="Q246" s="0"/>
      <c r="R246" s="0"/>
      <c r="S246" s="0"/>
      <c r="T246" s="0"/>
      <c r="U246" s="0"/>
      <c r="V246" s="0"/>
      <c r="W246" s="0"/>
      <c r="X246" s="0"/>
      <c r="Y246" s="0"/>
      <c r="Z246" s="0"/>
      <c r="AA246" s="0"/>
    </row>
    <row r="247" customFormat="false" ht="15.75" hidden="false" customHeight="true" outlineLevel="0" collapsed="false">
      <c r="A247" s="0" t="n">
        <v>31</v>
      </c>
      <c r="B247" s="31" t="n">
        <v>42278</v>
      </c>
      <c r="C247" s="296" t="n">
        <v>96</v>
      </c>
      <c r="D247" s="1" t="s">
        <v>42</v>
      </c>
      <c r="E247" s="33" t="n">
        <f aca="false">IF(D247="totale",(C247/(A247*24))/F247,IF(D247="marché libre",(C247/(A247*24))/G247,"spécifier histo"))</f>
        <v>0.000586510263929619</v>
      </c>
      <c r="F247" s="59" t="n">
        <v>220</v>
      </c>
      <c r="G247" s="59" t="n">
        <f aca="false">F247-H247</f>
        <v>220</v>
      </c>
      <c r="H247" s="59" t="n">
        <v>0</v>
      </c>
      <c r="I247" s="9"/>
      <c r="J247" s="0"/>
      <c r="K247" s="0"/>
      <c r="L247" s="0"/>
      <c r="M247" s="0"/>
      <c r="N247" s="0"/>
      <c r="O247" s="0"/>
      <c r="P247" s="0"/>
      <c r="Q247" s="0"/>
      <c r="R247" s="0"/>
      <c r="S247" s="0"/>
      <c r="T247" s="0"/>
      <c r="U247" s="0"/>
      <c r="V247" s="0"/>
      <c r="W247" s="0"/>
      <c r="X247" s="0"/>
      <c r="Y247" s="0"/>
      <c r="Z247" s="0"/>
      <c r="AA247" s="292"/>
    </row>
    <row r="248" customFormat="false" ht="15.75" hidden="false" customHeight="true" outlineLevel="0" collapsed="false">
      <c r="A248" s="0" t="n">
        <v>30</v>
      </c>
      <c r="B248" s="34" t="n">
        <v>42309</v>
      </c>
      <c r="C248" s="296" t="n">
        <v>15320</v>
      </c>
      <c r="D248" s="1" t="s">
        <v>42</v>
      </c>
      <c r="E248" s="33" t="n">
        <f aca="false">IF(D248="totale",(C248/(A248*24))/F248,IF(D248="marché libre",(C248/(A248*24))/G248,"spécifier histo"))</f>
        <v>0.0967171717171717</v>
      </c>
      <c r="F248" s="59" t="n">
        <v>220</v>
      </c>
      <c r="G248" s="59" t="n">
        <f aca="false">F248-H248</f>
        <v>220</v>
      </c>
      <c r="H248" s="59" t="n">
        <v>0</v>
      </c>
      <c r="I248" s="9"/>
      <c r="J248" s="0"/>
      <c r="K248" s="0"/>
      <c r="L248" s="0"/>
      <c r="M248" s="0"/>
      <c r="N248" s="0"/>
      <c r="O248" s="0"/>
      <c r="P248" s="0"/>
      <c r="Q248" s="0"/>
      <c r="R248" s="0"/>
      <c r="S248" s="0"/>
      <c r="T248" s="0"/>
      <c r="U248" s="0"/>
      <c r="V248" s="0"/>
      <c r="W248" s="0"/>
      <c r="X248" s="0"/>
      <c r="Y248" s="0"/>
      <c r="Z248" s="0"/>
      <c r="AA248" s="292"/>
    </row>
    <row r="249" customFormat="false" ht="15.75" hidden="false" customHeight="true" outlineLevel="0" collapsed="false">
      <c r="A249" s="0" t="n">
        <v>31</v>
      </c>
      <c r="B249" s="31" t="n">
        <v>42339</v>
      </c>
      <c r="C249" s="296" t="n">
        <v>6998</v>
      </c>
      <c r="D249" s="1" t="s">
        <v>42</v>
      </c>
      <c r="E249" s="33" t="n">
        <f aca="false">IF(D249="totale",(C249/(A249*24))/F249,IF(D249="marché libre",(C249/(A249*24))/G249,"spécifier histo"))</f>
        <v>0.0427541544477028</v>
      </c>
      <c r="F249" s="59" t="n">
        <v>220</v>
      </c>
      <c r="G249" s="59" t="n">
        <f aca="false">F249-H249</f>
        <v>220</v>
      </c>
      <c r="H249" s="59" t="n">
        <v>0</v>
      </c>
      <c r="I249" s="9"/>
      <c r="J249" s="0"/>
      <c r="K249" s="0"/>
      <c r="L249" s="0"/>
      <c r="M249" s="0"/>
      <c r="N249" s="0"/>
      <c r="O249" s="0"/>
      <c r="P249" s="0"/>
      <c r="Q249" s="0"/>
      <c r="R249" s="0"/>
      <c r="S249" s="0"/>
      <c r="T249" s="0"/>
      <c r="U249" s="0"/>
      <c r="V249" s="0"/>
      <c r="W249" s="0"/>
      <c r="X249" s="0"/>
      <c r="Y249" s="0"/>
      <c r="Z249" s="0"/>
      <c r="AA249" s="292"/>
    </row>
    <row r="250" customFormat="false" ht="15.75" hidden="false" customHeight="true" outlineLevel="0" collapsed="false">
      <c r="A250" s="0" t="n">
        <v>31</v>
      </c>
      <c r="B250" s="31" t="n">
        <v>42370</v>
      </c>
      <c r="C250" s="296" t="n">
        <v>105800</v>
      </c>
      <c r="D250" s="1" t="s">
        <v>42</v>
      </c>
      <c r="E250" s="33" t="n">
        <f aca="false">IF(D250="totale",(C250/(A250*24))/F250,IF(D250="marché libre",(C250/(A250*24))/G250,"spécifier histo"))</f>
        <v>0.646383186705767</v>
      </c>
      <c r="F250" s="59" t="n">
        <v>220</v>
      </c>
      <c r="G250" s="59" t="n">
        <f aca="false">F250-H250</f>
        <v>220</v>
      </c>
      <c r="H250" s="59" t="n">
        <v>0</v>
      </c>
      <c r="I250" s="9"/>
      <c r="J250" s="0"/>
      <c r="K250" s="0"/>
      <c r="L250" s="0"/>
      <c r="M250" s="0"/>
      <c r="N250" s="0"/>
      <c r="O250" s="0"/>
      <c r="P250" s="0"/>
      <c r="Q250" s="0"/>
      <c r="R250" s="0"/>
      <c r="S250" s="0"/>
      <c r="T250" s="0"/>
      <c r="U250" s="0"/>
      <c r="V250" s="0"/>
      <c r="W250" s="0"/>
      <c r="X250" s="0"/>
      <c r="Y250" s="0"/>
      <c r="Z250" s="0"/>
      <c r="AA250" s="292"/>
    </row>
    <row r="251" customFormat="false" ht="15.75" hidden="false" customHeight="true" outlineLevel="0" collapsed="false">
      <c r="A251" s="0" t="n">
        <v>28</v>
      </c>
      <c r="B251" s="34" t="n">
        <v>42401</v>
      </c>
      <c r="C251" s="296" t="n">
        <v>97531</v>
      </c>
      <c r="D251" s="1" t="s">
        <v>42</v>
      </c>
      <c r="E251" s="33" t="n">
        <f aca="false">IF(D251="totale",(C251/(A251*24))/F251,IF(D251="marché libre",(C251/(A251*24))/G251,"spécifier histo"))</f>
        <v>0.659706439393939</v>
      </c>
      <c r="F251" s="59" t="n">
        <v>220</v>
      </c>
      <c r="G251" s="59" t="n">
        <f aca="false">F251-H251</f>
        <v>220</v>
      </c>
      <c r="H251" s="59" t="n">
        <v>0</v>
      </c>
      <c r="I251" s="9"/>
      <c r="J251" s="0"/>
      <c r="K251" s="0"/>
      <c r="L251" s="0"/>
      <c r="M251" s="0"/>
      <c r="N251" s="0"/>
      <c r="O251" s="0"/>
      <c r="P251" s="0"/>
      <c r="Q251" s="0"/>
      <c r="R251" s="0"/>
      <c r="S251" s="0"/>
      <c r="T251" s="0"/>
      <c r="U251" s="0"/>
      <c r="V251" s="0"/>
      <c r="W251" s="0"/>
      <c r="X251" s="0"/>
      <c r="Y251" s="0"/>
      <c r="Z251" s="0"/>
      <c r="AA251" s="292"/>
    </row>
    <row r="252" customFormat="false" ht="15.75" hidden="false" customHeight="true" outlineLevel="0" collapsed="false">
      <c r="A252" s="0" t="n">
        <v>31</v>
      </c>
      <c r="B252" s="31" t="n">
        <v>42430</v>
      </c>
      <c r="C252" s="296" t="n">
        <v>112892</v>
      </c>
      <c r="D252" s="1" t="s">
        <v>42</v>
      </c>
      <c r="E252" s="33" t="n">
        <f aca="false">IF(D252="totale",(C252/(A252*24))/F252,IF(D252="marché libre",(C252/(A252*24))/G252,"spécifier histo"))</f>
        <v>0.689711632453568</v>
      </c>
      <c r="F252" s="59" t="n">
        <v>220</v>
      </c>
      <c r="G252" s="59" t="n">
        <f aca="false">F252-H252</f>
        <v>220</v>
      </c>
      <c r="H252" s="59" t="n">
        <v>0</v>
      </c>
      <c r="I252" s="9"/>
      <c r="J252" s="0"/>
      <c r="K252" s="293"/>
      <c r="L252" s="0"/>
      <c r="M252" s="292"/>
      <c r="N252" s="0"/>
      <c r="O252" s="292"/>
      <c r="P252" s="292"/>
      <c r="Q252" s="0"/>
      <c r="R252" s="292"/>
      <c r="S252" s="0"/>
      <c r="T252" s="292"/>
      <c r="U252" s="292"/>
      <c r="V252" s="0"/>
      <c r="Y252" s="0"/>
    </row>
    <row r="253" customFormat="false" ht="15.75" hidden="false" customHeight="true" outlineLevel="0" collapsed="false">
      <c r="A253" s="0" t="n">
        <v>30</v>
      </c>
      <c r="B253" s="31" t="n">
        <v>42461</v>
      </c>
      <c r="C253" s="296" t="n">
        <v>72616</v>
      </c>
      <c r="D253" s="1" t="s">
        <v>42</v>
      </c>
      <c r="E253" s="33" t="n">
        <f aca="false">IF(D253="totale",(C253/(A253*24))/F253,IF(D253="marché libre",(C253/(A253*24))/G253,"spécifier histo"))</f>
        <v>0.458434343434343</v>
      </c>
      <c r="F253" s="59" t="n">
        <v>220</v>
      </c>
      <c r="G253" s="59" t="n">
        <f aca="false">F253-H253</f>
        <v>220</v>
      </c>
      <c r="H253" s="59" t="n">
        <v>0</v>
      </c>
      <c r="I253" s="9"/>
      <c r="J253" s="0"/>
      <c r="K253" s="293"/>
      <c r="L253" s="0"/>
      <c r="M253" s="292"/>
      <c r="N253" s="0"/>
      <c r="O253" s="292"/>
      <c r="P253" s="292"/>
      <c r="Q253" s="0"/>
      <c r="R253" s="292"/>
      <c r="S253" s="0"/>
      <c r="T253" s="292"/>
      <c r="U253" s="292"/>
      <c r="V253" s="0"/>
      <c r="Y253" s="0"/>
    </row>
    <row r="254" customFormat="false" ht="15.75" hidden="false" customHeight="true" outlineLevel="0" collapsed="false">
      <c r="A254" s="0" t="n">
        <v>31</v>
      </c>
      <c r="B254" s="34" t="n">
        <v>42491</v>
      </c>
      <c r="C254" s="296" t="n">
        <v>75711</v>
      </c>
      <c r="D254" s="1" t="s">
        <v>42</v>
      </c>
      <c r="E254" s="33" t="n">
        <f aca="false">IF(D254="totale",(C254/(A254*24))/F254,IF(D254="marché libre",(C254/(A254*24))/G254,"spécifier histo"))</f>
        <v>0.462554985337243</v>
      </c>
      <c r="F254" s="59" t="n">
        <v>220</v>
      </c>
      <c r="G254" s="59" t="n">
        <f aca="false">F254-H254</f>
        <v>220</v>
      </c>
      <c r="H254" s="59" t="n">
        <v>0</v>
      </c>
      <c r="I254" s="9"/>
      <c r="J254" s="0"/>
      <c r="K254" s="293"/>
      <c r="L254" s="0"/>
      <c r="M254" s="292"/>
      <c r="N254" s="0"/>
      <c r="O254" s="292"/>
      <c r="P254" s="292"/>
      <c r="Q254" s="0"/>
      <c r="R254" s="292"/>
      <c r="S254" s="0"/>
      <c r="T254" s="292"/>
      <c r="U254" s="292"/>
      <c r="V254" s="0"/>
      <c r="Y254" s="0"/>
    </row>
    <row r="255" customFormat="false" ht="15.75" hidden="false" customHeight="true" outlineLevel="0" collapsed="false">
      <c r="A255" s="0" t="n">
        <v>30</v>
      </c>
      <c r="B255" s="31" t="n">
        <v>42522</v>
      </c>
      <c r="C255" s="296" t="n">
        <v>46286</v>
      </c>
      <c r="D255" s="1" t="s">
        <v>42</v>
      </c>
      <c r="E255" s="33" t="n">
        <f aca="false">IF(D255="totale",(C255/(A255*24))/F255,IF(D255="marché libre",(C255/(A255*24))/G255,"spécifier histo"))</f>
        <v>0.292209595959596</v>
      </c>
      <c r="F255" s="59" t="n">
        <v>220</v>
      </c>
      <c r="G255" s="59" t="n">
        <f aca="false">F255-H255</f>
        <v>220</v>
      </c>
      <c r="H255" s="59" t="n">
        <v>0</v>
      </c>
      <c r="I255" s="9"/>
      <c r="J255" s="0"/>
      <c r="K255" s="293"/>
      <c r="L255" s="0"/>
      <c r="M255" s="292"/>
      <c r="N255" s="0"/>
      <c r="O255" s="292"/>
      <c r="P255" s="292"/>
      <c r="Q255" s="0"/>
      <c r="R255" s="292"/>
      <c r="S255" s="0"/>
      <c r="T255" s="292"/>
      <c r="U255" s="292"/>
      <c r="V255" s="0"/>
      <c r="Y255" s="0"/>
    </row>
    <row r="256" customFormat="false" ht="15.75" hidden="false" customHeight="true" outlineLevel="0" collapsed="false">
      <c r="A256" s="0" t="n">
        <v>31</v>
      </c>
      <c r="B256" s="31" t="n">
        <v>42552</v>
      </c>
      <c r="C256" s="296" t="n">
        <v>7935</v>
      </c>
      <c r="D256" s="1" t="s">
        <v>42</v>
      </c>
      <c r="E256" s="33" t="n">
        <f aca="false">IF(D256="totale",(C256/(A256*24))/F256,IF(D256="marché libre",(C256/(A256*24))/G256,"spécifier histo"))</f>
        <v>0.0484787390029326</v>
      </c>
      <c r="F256" s="59" t="n">
        <v>220</v>
      </c>
      <c r="G256" s="59" t="n">
        <f aca="false">F256-H256</f>
        <v>220</v>
      </c>
      <c r="H256" s="59" t="n">
        <v>0</v>
      </c>
      <c r="I256" s="9"/>
      <c r="J256" s="0"/>
      <c r="K256" s="293"/>
      <c r="L256" s="0"/>
      <c r="M256" s="292"/>
      <c r="N256" s="0"/>
      <c r="O256" s="292"/>
      <c r="P256" s="292"/>
      <c r="Q256" s="0"/>
      <c r="R256" s="292"/>
      <c r="S256" s="0"/>
      <c r="T256" s="292"/>
      <c r="U256" s="292"/>
      <c r="V256" s="0"/>
      <c r="Y256" s="0"/>
    </row>
    <row r="257" customFormat="false" ht="15.75" hidden="false" customHeight="true" outlineLevel="0" collapsed="false">
      <c r="A257" s="0" t="n">
        <v>31</v>
      </c>
      <c r="B257" s="34" t="n">
        <v>42583</v>
      </c>
      <c r="C257" s="296" t="n">
        <v>3434</v>
      </c>
      <c r="D257" s="1" t="s">
        <v>42</v>
      </c>
      <c r="E257" s="33" t="n">
        <f aca="false">IF(D257="totale",(C257/(A257*24))/F257,IF(D257="marché libre",(C257/(A257*24))/G257,"spécifier histo"))</f>
        <v>0.0209799608993157</v>
      </c>
      <c r="F257" s="59" t="n">
        <v>220</v>
      </c>
      <c r="G257" s="59" t="n">
        <f aca="false">F257-H257</f>
        <v>220</v>
      </c>
      <c r="H257" s="59" t="n">
        <v>0</v>
      </c>
      <c r="I257" s="9"/>
      <c r="J257" s="0"/>
      <c r="K257" s="293"/>
      <c r="L257" s="0"/>
      <c r="M257" s="292"/>
      <c r="N257" s="0"/>
      <c r="O257" s="292"/>
      <c r="P257" s="292"/>
      <c r="Q257" s="0"/>
      <c r="R257" s="292"/>
      <c r="S257" s="0"/>
      <c r="T257" s="292"/>
      <c r="U257" s="292"/>
      <c r="V257" s="0"/>
      <c r="Y257" s="0"/>
    </row>
    <row r="258" customFormat="false" ht="15.75" hidden="false" customHeight="true" outlineLevel="0" collapsed="false">
      <c r="A258" s="0" t="n">
        <v>30</v>
      </c>
      <c r="B258" s="31" t="n">
        <v>42614</v>
      </c>
      <c r="C258" s="296" t="n">
        <v>0</v>
      </c>
      <c r="D258" s="1" t="s">
        <v>42</v>
      </c>
      <c r="E258" s="33" t="n">
        <f aca="false">IF(D258="totale",(C258/(A258*24))/F258,IF(D258="marché libre",(C258/(A258*24))/G258,"spécifier histo"))</f>
        <v>0</v>
      </c>
      <c r="F258" s="59" t="n">
        <v>220</v>
      </c>
      <c r="G258" s="59" t="n">
        <f aca="false">F258-H258</f>
        <v>220</v>
      </c>
      <c r="H258" s="59" t="n">
        <v>0</v>
      </c>
      <c r="I258" s="9"/>
      <c r="J258" s="0"/>
      <c r="K258" s="206"/>
      <c r="L258" s="0"/>
      <c r="N258" s="0"/>
      <c r="Q258" s="0"/>
      <c r="S258" s="0"/>
      <c r="V258" s="0"/>
      <c r="Y258" s="0"/>
    </row>
    <row r="259" customFormat="false" ht="15.75" hidden="false" customHeight="true" outlineLevel="0" collapsed="false">
      <c r="A259" s="0" t="n">
        <v>31</v>
      </c>
      <c r="B259" s="31" t="n">
        <v>42644</v>
      </c>
      <c r="C259" s="296" t="n">
        <v>0</v>
      </c>
      <c r="D259" s="1" t="s">
        <v>42</v>
      </c>
      <c r="E259" s="33" t="n">
        <f aca="false">IF(D259="totale",(C259/(A259*24))/F259,IF(D259="marché libre",(C259/(A259*24))/G259,"spécifier histo"))</f>
        <v>0</v>
      </c>
      <c r="F259" s="59" t="n">
        <v>220</v>
      </c>
      <c r="G259" s="59" t="n">
        <f aca="false">F259-H259</f>
        <v>220</v>
      </c>
      <c r="H259" s="59" t="n">
        <v>0</v>
      </c>
      <c r="I259" s="9"/>
      <c r="J259" s="0"/>
      <c r="K259" s="206"/>
      <c r="L259" s="0"/>
      <c r="N259" s="0"/>
      <c r="Q259" s="0"/>
      <c r="S259" s="0"/>
      <c r="V259" s="0"/>
      <c r="Y259" s="0"/>
    </row>
    <row r="260" customFormat="false" ht="15.75" hidden="false" customHeight="true" outlineLevel="0" collapsed="false">
      <c r="A260" s="0" t="n">
        <v>30</v>
      </c>
      <c r="B260" s="34" t="n">
        <v>42675</v>
      </c>
      <c r="C260" s="296" t="n">
        <v>8857</v>
      </c>
      <c r="D260" s="1" t="s">
        <v>42</v>
      </c>
      <c r="E260" s="33" t="n">
        <f aca="false">IF(D260="totale",(C260/(A260*24))/F260,IF(D260="marché libre",(C260/(A260*24))/G260,"spécifier histo"))</f>
        <v>0.055915404040404</v>
      </c>
      <c r="F260" s="59" t="n">
        <v>220</v>
      </c>
      <c r="G260" s="59" t="n">
        <f aca="false">F260-H260</f>
        <v>220</v>
      </c>
      <c r="H260" s="59" t="n">
        <v>0</v>
      </c>
      <c r="I260" s="9"/>
      <c r="J260" s="0"/>
      <c r="K260" s="206"/>
      <c r="L260" s="0"/>
      <c r="N260" s="0"/>
      <c r="Q260" s="0"/>
      <c r="S260" s="0"/>
      <c r="V260" s="0"/>
      <c r="Y260" s="0"/>
    </row>
    <row r="261" customFormat="false" ht="15.75" hidden="false" customHeight="true" outlineLevel="0" collapsed="false">
      <c r="A261" s="0" t="n">
        <v>31</v>
      </c>
      <c r="B261" s="31" t="n">
        <v>42705</v>
      </c>
      <c r="C261" s="296" t="n">
        <v>0</v>
      </c>
      <c r="D261" s="1" t="s">
        <v>42</v>
      </c>
      <c r="E261" s="33" t="n">
        <f aca="false">IF(D261="totale",(C261/(A261*24))/F261,IF(D261="marché libre",(C261/(A261*24))/G261,"spécifier histo"))</f>
        <v>0</v>
      </c>
      <c r="F261" s="59" t="n">
        <v>220</v>
      </c>
      <c r="G261" s="59" t="n">
        <f aca="false">F261-H261</f>
        <v>220</v>
      </c>
      <c r="H261" s="59" t="n">
        <v>0</v>
      </c>
      <c r="I261" s="9"/>
      <c r="J261" s="0"/>
      <c r="K261" s="206"/>
      <c r="L261" s="0"/>
      <c r="N261" s="0"/>
      <c r="Q261" s="0"/>
      <c r="S261" s="0"/>
      <c r="V261" s="0"/>
      <c r="Y261" s="0"/>
    </row>
    <row r="262" customFormat="false" ht="15.75" hidden="false" customHeight="true" outlineLevel="0" collapsed="false">
      <c r="A262" s="0" t="n">
        <v>31</v>
      </c>
      <c r="B262" s="31" t="n">
        <v>42736</v>
      </c>
      <c r="C262" s="296" t="n">
        <v>20467</v>
      </c>
      <c r="D262" s="1" t="s">
        <v>42</v>
      </c>
      <c r="E262" s="33" t="n">
        <f aca="false">IF(D262="totale",(C262/(A262*24))/F262,IF(D262="marché libre",(C262/(A262*24))/G262,"spécifier histo"))</f>
        <v>0.125042766373412</v>
      </c>
      <c r="F262" s="59" t="n">
        <v>220</v>
      </c>
      <c r="G262" s="59" t="n">
        <f aca="false">F262-H262</f>
        <v>220</v>
      </c>
      <c r="H262" s="59" t="n">
        <v>0</v>
      </c>
      <c r="J262" s="0"/>
      <c r="K262" s="206"/>
      <c r="L262" s="0"/>
      <c r="N262" s="0"/>
      <c r="Q262" s="0"/>
      <c r="S262" s="0"/>
      <c r="V262" s="0"/>
      <c r="Y262" s="0"/>
    </row>
    <row r="263" customFormat="false" ht="15.75" hidden="false" customHeight="true" outlineLevel="0" collapsed="false">
      <c r="A263" s="0" t="n">
        <v>28</v>
      </c>
      <c r="B263" s="34" t="n">
        <v>42767</v>
      </c>
      <c r="C263" s="296" t="n">
        <v>63001</v>
      </c>
      <c r="D263" s="1" t="s">
        <v>42</v>
      </c>
      <c r="E263" s="33" t="n">
        <f aca="false">IF(D263="totale",(C263/(A263*24))/F263,IF(D263="marché libre",(C263/(A263*24))/G263,"spécifier histo"))</f>
        <v>0.426143127705628</v>
      </c>
      <c r="F263" s="59" t="n">
        <v>220</v>
      </c>
      <c r="G263" s="59" t="n">
        <f aca="false">F263-H263</f>
        <v>220</v>
      </c>
      <c r="H263" s="59" t="n">
        <v>0</v>
      </c>
      <c r="I263" s="206"/>
      <c r="J263" s="0"/>
      <c r="K263" s="206"/>
      <c r="L263" s="0"/>
      <c r="M263" s="206"/>
      <c r="N263" s="0"/>
      <c r="Q263" s="0"/>
      <c r="S263" s="0"/>
      <c r="V263" s="0"/>
      <c r="Y263" s="0"/>
    </row>
    <row r="264" customFormat="false" ht="15.75" hidden="false" customHeight="true" outlineLevel="0" collapsed="false">
      <c r="A264" s="0" t="n">
        <v>31</v>
      </c>
      <c r="B264" s="31" t="n">
        <v>42795</v>
      </c>
      <c r="C264" s="296" t="n">
        <v>86962</v>
      </c>
      <c r="D264" s="1" t="s">
        <v>42</v>
      </c>
      <c r="E264" s="33" t="n">
        <f aca="false">IF(D264="totale",(C264/(A264*24))/F264,IF(D264="marché libre",(C264/(A264*24))/G264,"spécifier histo"))</f>
        <v>0.531292766373412</v>
      </c>
      <c r="F264" s="59" t="n">
        <v>220</v>
      </c>
      <c r="G264" s="59" t="n">
        <f aca="false">F264-H264</f>
        <v>220</v>
      </c>
      <c r="H264" s="59" t="n">
        <v>0</v>
      </c>
      <c r="J264" s="0"/>
      <c r="K264" s="206"/>
      <c r="L264" s="0"/>
      <c r="N264" s="0"/>
      <c r="Q264" s="0"/>
      <c r="S264" s="0"/>
      <c r="V264" s="0"/>
      <c r="Y264" s="0"/>
    </row>
    <row r="265" customFormat="false" ht="19.85" hidden="false" customHeight="true" outlineLevel="0" collapsed="false">
      <c r="A265" s="0" t="n">
        <v>30</v>
      </c>
      <c r="B265" s="34" t="n">
        <v>42826</v>
      </c>
      <c r="C265" s="296" t="n">
        <v>38648</v>
      </c>
      <c r="D265" s="1" t="s">
        <v>42</v>
      </c>
      <c r="E265" s="33" t="n">
        <f aca="false">IF(D265="totale",(C265/(A265*24))/F265,IF(D265="marché libre",(C265/(A265*24))/G265,"spécifier histo"))</f>
        <v>0.243989898989899</v>
      </c>
      <c r="F265" s="59" t="n">
        <v>220</v>
      </c>
      <c r="G265" s="59" t="n">
        <f aca="false">F265-H265</f>
        <v>220</v>
      </c>
      <c r="H265" s="59" t="n">
        <v>0</v>
      </c>
      <c r="J265" s="0"/>
      <c r="K265" s="206"/>
      <c r="L265" s="0"/>
      <c r="N265" s="0"/>
      <c r="Q265" s="0"/>
      <c r="S265" s="0"/>
      <c r="V265" s="0"/>
      <c r="Y265" s="0"/>
    </row>
    <row r="266" customFormat="false" ht="19.85" hidden="false" customHeight="true" outlineLevel="0" collapsed="false">
      <c r="A266" s="0" t="n">
        <v>31</v>
      </c>
      <c r="B266" s="31" t="n">
        <v>42856</v>
      </c>
      <c r="C266" s="296" t="n">
        <v>41117</v>
      </c>
      <c r="D266" s="1" t="s">
        <v>42</v>
      </c>
      <c r="E266" s="33" t="n">
        <f aca="false">IF(D266="totale",(C266/(A266*24))/F266,IF(D266="marché libre",(C266/(A266*24))/G266,"spécifier histo"))</f>
        <v>0.251203567937439</v>
      </c>
      <c r="F266" s="59" t="n">
        <v>220</v>
      </c>
      <c r="G266" s="59" t="n">
        <f aca="false">F266-H266</f>
        <v>220</v>
      </c>
      <c r="H266" s="59" t="n">
        <v>0</v>
      </c>
      <c r="J266" s="0"/>
      <c r="K266" s="206"/>
      <c r="L266" s="0"/>
      <c r="N266" s="0"/>
      <c r="Q266" s="0"/>
      <c r="S266" s="0"/>
      <c r="V266" s="0"/>
      <c r="Y266" s="0"/>
    </row>
    <row r="267" customFormat="false" ht="22.45" hidden="false" customHeight="true" outlineLevel="0" collapsed="false">
      <c r="A267" s="0" t="n">
        <v>30</v>
      </c>
      <c r="B267" s="34" t="n">
        <v>42887</v>
      </c>
      <c r="C267" s="296" t="n">
        <v>26630</v>
      </c>
      <c r="D267" s="1" t="s">
        <v>42</v>
      </c>
      <c r="E267" s="33" t="n">
        <f aca="false">IF(D267="totale",(C267/(A267*24))/F267,IF(D267="marché libre",(C267/(A267*24))/G267,"spécifier histo"))</f>
        <v>0.168118686868687</v>
      </c>
      <c r="F267" s="59" t="n">
        <v>220</v>
      </c>
      <c r="G267" s="59" t="n">
        <f aca="false">F267-H267</f>
        <v>220</v>
      </c>
      <c r="H267" s="59" t="n">
        <v>0</v>
      </c>
      <c r="J267" s="0"/>
      <c r="K267" s="206"/>
      <c r="L267" s="0"/>
      <c r="N267" s="0"/>
      <c r="Q267" s="0"/>
      <c r="S267" s="0"/>
      <c r="V267" s="0"/>
      <c r="Y267" s="0"/>
    </row>
    <row r="268" customFormat="false" ht="21.65" hidden="false" customHeight="true" outlineLevel="0" collapsed="false">
      <c r="A268" s="0" t="n">
        <v>31</v>
      </c>
      <c r="B268" s="31" t="n">
        <v>42917</v>
      </c>
      <c r="C268" s="296" t="n">
        <v>5221</v>
      </c>
      <c r="D268" s="1" t="s">
        <v>42</v>
      </c>
      <c r="E268" s="33" t="n">
        <f aca="false">IF(D268="totale",(C268/(A268*24))/F268,IF(D268="marché libre",(C268/(A268*24))/G268,"spécifier histo"))</f>
        <v>0.031897605083089</v>
      </c>
      <c r="F268" s="59" t="n">
        <v>220</v>
      </c>
      <c r="G268" s="59" t="n">
        <f aca="false">F268-H268</f>
        <v>220</v>
      </c>
      <c r="H268" s="59" t="n">
        <v>0</v>
      </c>
      <c r="J268" s="0"/>
      <c r="K268" s="206"/>
      <c r="L268" s="0"/>
      <c r="N268" s="0"/>
      <c r="Q268" s="0"/>
      <c r="S268" s="0"/>
      <c r="V268" s="0"/>
      <c r="Y268" s="0"/>
    </row>
    <row r="269" customFormat="false" ht="21.65" hidden="false" customHeight="true" outlineLevel="0" collapsed="false">
      <c r="A269" s="0" t="n">
        <v>31</v>
      </c>
      <c r="B269" s="34" t="n">
        <v>42948</v>
      </c>
      <c r="C269" s="296" t="n">
        <v>1895</v>
      </c>
      <c r="D269" s="1" t="s">
        <v>42</v>
      </c>
      <c r="E269" s="33" t="n">
        <f aca="false">IF(D269="totale",(C269/(A269*24))/F269,IF(D269="marché libre",(C269/(A269*24))/G269,"spécifier histo"))</f>
        <v>0.011577468230694</v>
      </c>
      <c r="F269" s="59" t="n">
        <v>220</v>
      </c>
      <c r="G269" s="59" t="n">
        <f aca="false">F269-H269</f>
        <v>220</v>
      </c>
      <c r="H269" s="59" t="n">
        <v>0</v>
      </c>
      <c r="J269" s="0"/>
      <c r="K269" s="206"/>
      <c r="L269" s="0"/>
      <c r="N269" s="0"/>
      <c r="Q269" s="0"/>
      <c r="S269" s="0"/>
      <c r="V269" s="0"/>
      <c r="Y269" s="0"/>
    </row>
    <row r="270" customFormat="false" ht="21.65" hidden="false" customHeight="true" outlineLevel="0" collapsed="false">
      <c r="A270" s="0" t="n">
        <v>30</v>
      </c>
      <c r="B270" s="31" t="n">
        <v>42979</v>
      </c>
      <c r="C270" s="296" t="n">
        <v>2291</v>
      </c>
      <c r="D270" s="1" t="s">
        <v>42</v>
      </c>
      <c r="E270" s="33" t="n">
        <f aca="false">IF(D270="totale",(C270/(A270*24))/F270,IF(D270="marché libre",(C270/(A270*24))/G270,"spécifier histo"))</f>
        <v>0.0144633838383838</v>
      </c>
      <c r="F270" s="59" t="n">
        <v>220</v>
      </c>
      <c r="G270" s="59" t="n">
        <f aca="false">F270-H270</f>
        <v>220</v>
      </c>
      <c r="H270" s="59" t="n">
        <v>0</v>
      </c>
      <c r="J270" s="0"/>
      <c r="K270" s="206"/>
      <c r="L270" s="0"/>
      <c r="N270" s="0"/>
      <c r="Q270" s="0"/>
      <c r="S270" s="0"/>
      <c r="V270" s="0"/>
      <c r="Y270" s="0"/>
    </row>
    <row r="271" customFormat="false" ht="21.65" hidden="false" customHeight="true" outlineLevel="0" collapsed="false">
      <c r="A271" s="0" t="n">
        <v>31</v>
      </c>
      <c r="B271" s="34" t="n">
        <v>43009</v>
      </c>
      <c r="C271" s="296" t="n">
        <v>0</v>
      </c>
      <c r="D271" s="1" t="s">
        <v>42</v>
      </c>
      <c r="E271" s="33" t="n">
        <f aca="false">IF(D271="totale",(C271/(A271*24))/F271,IF(D271="marché libre",(C271/(A271*24))/G271,"spécifier histo"))</f>
        <v>0</v>
      </c>
      <c r="F271" s="59" t="n">
        <v>220</v>
      </c>
      <c r="G271" s="59" t="n">
        <f aca="false">F271-H271</f>
        <v>220</v>
      </c>
      <c r="H271" s="59" t="n">
        <v>0</v>
      </c>
      <c r="J271" s="0"/>
      <c r="K271" s="206"/>
      <c r="L271" s="0"/>
      <c r="N271" s="0"/>
      <c r="Q271" s="0"/>
      <c r="S271" s="0"/>
      <c r="V271" s="0"/>
      <c r="Y271" s="0"/>
    </row>
    <row r="272" customFormat="false" ht="21.65" hidden="false" customHeight="true" outlineLevel="0" collapsed="false">
      <c r="A272" s="0" t="n">
        <v>30</v>
      </c>
      <c r="B272" s="31" t="n">
        <v>43040</v>
      </c>
      <c r="C272" s="296" t="n">
        <v>7871</v>
      </c>
      <c r="D272" s="1" t="s">
        <v>42</v>
      </c>
      <c r="E272" s="33" t="n">
        <f aca="false">IF(D272="totale",(C272/(A272*24))/F272,IF(D272="marché libre",(C272/(A272*24))/G272,"spécifier histo"))</f>
        <v>0.0496906565656566</v>
      </c>
      <c r="F272" s="59" t="n">
        <v>220</v>
      </c>
      <c r="G272" s="59" t="n">
        <f aca="false">F272-H272</f>
        <v>220</v>
      </c>
      <c r="H272" s="59" t="n">
        <v>0</v>
      </c>
      <c r="J272" s="0"/>
      <c r="K272" s="206"/>
      <c r="L272" s="0"/>
      <c r="N272" s="0"/>
      <c r="Q272" s="0"/>
      <c r="S272" s="0"/>
      <c r="V272" s="0"/>
    </row>
    <row r="273" customFormat="false" ht="21.65" hidden="false" customHeight="true" outlineLevel="0" collapsed="false">
      <c r="A273" s="0" t="n">
        <v>31</v>
      </c>
      <c r="B273" s="34" t="n">
        <v>43070</v>
      </c>
      <c r="C273" s="296" t="n">
        <v>54836</v>
      </c>
      <c r="D273" s="1" t="s">
        <v>42</v>
      </c>
      <c r="E273" s="33" t="n">
        <f aca="false">IF(D273="totale",(C273/(A273*24))/F273,IF(D273="marché libre",(C273/(A273*24))/G273,"spécifier histo"))</f>
        <v>0.335019550342131</v>
      </c>
      <c r="F273" s="59" t="n">
        <v>220</v>
      </c>
      <c r="G273" s="59" t="n">
        <f aca="false">F273-H273</f>
        <v>220</v>
      </c>
      <c r="H273" s="59" t="n">
        <v>0</v>
      </c>
      <c r="J273" s="0"/>
      <c r="K273" s="206"/>
      <c r="L273" s="0"/>
      <c r="N273" s="0"/>
      <c r="Q273" s="0"/>
      <c r="S273" s="0"/>
      <c r="V273" s="0"/>
    </row>
    <row r="274" customFormat="false" ht="28.35" hidden="false" customHeight="true" outlineLevel="0" collapsed="false">
      <c r="A274" s="0" t="n">
        <v>31</v>
      </c>
      <c r="B274" s="31" t="n">
        <v>43101</v>
      </c>
      <c r="C274" s="133" t="n">
        <v>124006</v>
      </c>
      <c r="D274" s="1" t="s">
        <v>42</v>
      </c>
      <c r="E274" s="33" t="n">
        <f aca="false">IF(D274="totale",(C274/(A274*24))/F274,IF(D274="marché libre",(C274/(A274*24))/G274,"spécifier histo"))</f>
        <v>0.757612414467253</v>
      </c>
      <c r="F274" s="59" t="n">
        <v>220</v>
      </c>
      <c r="G274" s="59" t="n">
        <f aca="false">F274-H274</f>
        <v>220</v>
      </c>
      <c r="H274" s="59" t="n">
        <v>0</v>
      </c>
      <c r="J274" s="0"/>
      <c r="K274" s="206"/>
      <c r="L274" s="0"/>
      <c r="N274" s="0"/>
      <c r="Q274" s="0"/>
      <c r="S274" s="0"/>
      <c r="V274" s="0"/>
    </row>
    <row r="275" customFormat="false" ht="28.35" hidden="false" customHeight="true" outlineLevel="0" collapsed="false">
      <c r="A275" s="0" t="n">
        <v>28</v>
      </c>
      <c r="B275" s="34" t="n">
        <v>43132</v>
      </c>
      <c r="C275" s="133" t="n">
        <v>110180</v>
      </c>
      <c r="D275" s="1" t="s">
        <v>42</v>
      </c>
      <c r="E275" s="33" t="n">
        <f aca="false">IF(D275="totale",(C275/(A275*24))/F275,IF(D275="marché libre",(C275/(A275*24))/G275,"spécifier histo"))</f>
        <v>0.745265151515152</v>
      </c>
      <c r="F275" s="59" t="n">
        <v>220</v>
      </c>
      <c r="G275" s="59" t="n">
        <f aca="false">F275-H275</f>
        <v>220</v>
      </c>
      <c r="H275" s="59" t="n">
        <v>0</v>
      </c>
      <c r="J275" s="0"/>
      <c r="K275" s="206"/>
      <c r="L275" s="0"/>
      <c r="N275" s="0"/>
      <c r="Q275" s="0"/>
      <c r="S275" s="0"/>
      <c r="V275" s="0"/>
    </row>
    <row r="276" customFormat="false" ht="28.35" hidden="false" customHeight="true" outlineLevel="0" collapsed="false">
      <c r="A276" s="0" t="n">
        <v>31</v>
      </c>
      <c r="B276" s="31" t="n">
        <v>43160</v>
      </c>
      <c r="C276" s="133" t="n">
        <v>135299</v>
      </c>
      <c r="D276" s="1" t="s">
        <v>42</v>
      </c>
      <c r="E276" s="33" t="n">
        <f aca="false">IF(D276="totale",(C276/(A276*24))/F276,IF(D276="marché libre",(C276/(A276*24))/G276,"spécifier histo"))</f>
        <v>0.826606793743891</v>
      </c>
      <c r="F276" s="59" t="n">
        <v>220</v>
      </c>
      <c r="G276" s="59" t="n">
        <f aca="false">F276-H276</f>
        <v>220</v>
      </c>
      <c r="H276" s="59" t="n">
        <v>0</v>
      </c>
      <c r="J276" s="0"/>
      <c r="K276" s="206"/>
      <c r="L276" s="0"/>
      <c r="Q276" s="0"/>
      <c r="S276" s="0"/>
      <c r="V276" s="0"/>
    </row>
    <row r="277" customFormat="false" ht="28.35" hidden="false" customHeight="true" outlineLevel="0" collapsed="false">
      <c r="A277" s="0" t="n">
        <v>30</v>
      </c>
      <c r="B277" s="34" t="n">
        <v>43191</v>
      </c>
      <c r="C277" s="133" t="n">
        <v>115388</v>
      </c>
      <c r="D277" s="1" t="s">
        <v>42</v>
      </c>
      <c r="E277" s="33" t="n">
        <f aca="false">IF(D277="totale",(C277/(A277*24))/F277,IF(D277="marché libre",(C277/(A277*24))/G277,"spécifier histo"))</f>
        <v>0.728459595959596</v>
      </c>
      <c r="F277" s="59" t="n">
        <v>220</v>
      </c>
      <c r="G277" s="59" t="n">
        <f aca="false">F277-H277</f>
        <v>220</v>
      </c>
      <c r="H277" s="59" t="n">
        <v>0</v>
      </c>
      <c r="J277" s="0"/>
      <c r="K277" s="206"/>
      <c r="L277" s="0"/>
      <c r="Q277" s="0"/>
      <c r="S277" s="0"/>
    </row>
    <row r="278" customFormat="false" ht="28.35" hidden="false" customHeight="true" outlineLevel="0" collapsed="false">
      <c r="A278" s="0" t="n">
        <v>31</v>
      </c>
      <c r="B278" s="31" t="n">
        <v>43221</v>
      </c>
      <c r="C278" s="133" t="n">
        <v>121714</v>
      </c>
      <c r="D278" s="1" t="s">
        <v>42</v>
      </c>
      <c r="E278" s="33" t="n">
        <f aca="false">IF(D278="totale",(C278/(A278*24))/F278,IF(D278="marché libre",(C278/(A278*24))/G278,"spécifier histo"))</f>
        <v>0.743609481915934</v>
      </c>
      <c r="F278" s="59" t="n">
        <v>220</v>
      </c>
      <c r="G278" s="59" t="n">
        <f aca="false">F278-H278</f>
        <v>220</v>
      </c>
      <c r="H278" s="59" t="n">
        <v>0</v>
      </c>
      <c r="J278" s="0"/>
      <c r="K278" s="206"/>
      <c r="L278" s="0"/>
      <c r="Q278" s="0"/>
      <c r="S278" s="0"/>
    </row>
    <row r="279" customFormat="false" ht="28.35" hidden="false" customHeight="true" outlineLevel="0" collapsed="false">
      <c r="A279" s="0" t="n">
        <v>30</v>
      </c>
      <c r="B279" s="34" t="n">
        <v>43252</v>
      </c>
      <c r="C279" s="133" t="n">
        <v>97289</v>
      </c>
      <c r="D279" s="1" t="s">
        <v>42</v>
      </c>
      <c r="E279" s="33" t="n">
        <f aca="false">IF(D279="totale",(C279/(A279*24))/F279,IF(D279="marché libre",(C279/(A279*24))/G279,"spécifier histo"))</f>
        <v>0.614198232323232</v>
      </c>
      <c r="F279" s="59" t="n">
        <v>220</v>
      </c>
      <c r="G279" s="59" t="n">
        <f aca="false">F279-H279</f>
        <v>220</v>
      </c>
      <c r="H279" s="59" t="n">
        <v>0</v>
      </c>
      <c r="J279" s="0"/>
      <c r="L279" s="0"/>
      <c r="Q279" s="0"/>
      <c r="S279" s="0"/>
    </row>
    <row r="280" customFormat="false" ht="28.35" hidden="false" customHeight="true" outlineLevel="0" collapsed="false">
      <c r="A280" s="0" t="n">
        <v>31</v>
      </c>
      <c r="B280" s="31" t="n">
        <v>43282</v>
      </c>
      <c r="C280" s="133" t="n">
        <v>51840</v>
      </c>
      <c r="D280" s="1" t="s">
        <v>42</v>
      </c>
      <c r="E280" s="33" t="n">
        <f aca="false">IF(D280="totale",(C280/(A280*24))/F280,IF(D280="marché libre",(C280/(A280*24))/G280,"spécifier histo"))</f>
        <v>0.316715542521994</v>
      </c>
      <c r="F280" s="59" t="n">
        <v>220</v>
      </c>
      <c r="G280" s="59" t="n">
        <f aca="false">F280-H280</f>
        <v>220</v>
      </c>
      <c r="H280" s="59" t="n">
        <v>0</v>
      </c>
      <c r="J280" s="0"/>
      <c r="L280" s="0"/>
      <c r="Q280" s="0"/>
      <c r="S280" s="0"/>
    </row>
    <row r="281" customFormat="false" ht="28.35" hidden="false" customHeight="true" outlineLevel="0" collapsed="false">
      <c r="A281" s="0" t="n">
        <v>31</v>
      </c>
      <c r="B281" s="34" t="n">
        <v>43313</v>
      </c>
      <c r="C281" s="133" t="n">
        <v>2542</v>
      </c>
      <c r="D281" s="1" t="s">
        <v>42</v>
      </c>
      <c r="E281" s="33" t="n">
        <f aca="false">IF(D281="totale",(C281/(A281*24))/F281,IF(D281="marché libre",(C281/(A281*24))/G281,"spécifier histo"))</f>
        <v>0.015530303030303</v>
      </c>
      <c r="F281" s="59" t="n">
        <v>220</v>
      </c>
      <c r="G281" s="59" t="n">
        <f aca="false">F281-H281</f>
        <v>220</v>
      </c>
      <c r="H281" s="59" t="n">
        <v>0</v>
      </c>
      <c r="J281" s="0"/>
      <c r="L281" s="0"/>
      <c r="Q281" s="0"/>
      <c r="S281" s="0"/>
    </row>
    <row r="282" customFormat="false" ht="28.35" hidden="false" customHeight="true" outlineLevel="0" collapsed="false">
      <c r="A282" s="0" t="n">
        <v>30</v>
      </c>
      <c r="B282" s="31" t="n">
        <v>43344</v>
      </c>
      <c r="C282" s="133" t="n">
        <v>2040</v>
      </c>
      <c r="D282" s="1" t="s">
        <v>42</v>
      </c>
      <c r="E282" s="33" t="n">
        <f aca="false">IF(D282="totale",(C282/(A282*24))/F282,IF(D282="marché libre",(C282/(A282*24))/G282,"spécifier histo"))</f>
        <v>0.0128787878787879</v>
      </c>
      <c r="F282" s="59" t="n">
        <v>220</v>
      </c>
      <c r="G282" s="59" t="n">
        <f aca="false">F282-H282</f>
        <v>220</v>
      </c>
      <c r="H282" s="59" t="n">
        <v>0</v>
      </c>
      <c r="J282" s="0"/>
      <c r="L282" s="0"/>
      <c r="Q282" s="0"/>
      <c r="S282" s="0"/>
    </row>
    <row r="283" customFormat="false" ht="28.35" hidden="false" customHeight="true" outlineLevel="0" collapsed="false">
      <c r="A283" s="0"/>
      <c r="C283" s="133"/>
      <c r="J283" s="0"/>
      <c r="L283" s="0"/>
      <c r="Q283" s="0"/>
      <c r="S283" s="0"/>
    </row>
    <row r="284" customFormat="false" ht="28.35" hidden="false" customHeight="true" outlineLevel="0" collapsed="false">
      <c r="A284" s="0"/>
      <c r="C284" s="133"/>
      <c r="J284" s="0"/>
      <c r="L284" s="0"/>
      <c r="Q284" s="0"/>
      <c r="S284" s="0"/>
    </row>
    <row r="285" customFormat="false" ht="28.35" hidden="false" customHeight="true" outlineLevel="0" collapsed="false">
      <c r="A285" s="0"/>
      <c r="C285" s="133"/>
      <c r="J285" s="0"/>
      <c r="L285" s="0"/>
      <c r="Q285" s="0"/>
      <c r="S285" s="0"/>
    </row>
    <row r="286" customFormat="false" ht="28.35" hidden="false" customHeight="true" outlineLevel="0" collapsed="false">
      <c r="A286" s="0"/>
      <c r="C286" s="133"/>
      <c r="J286" s="0"/>
      <c r="L286" s="0"/>
      <c r="Q286" s="0"/>
      <c r="S286" s="0"/>
    </row>
    <row r="287" customFormat="false" ht="28.35" hidden="false" customHeight="true" outlineLevel="0" collapsed="false">
      <c r="A287" s="0"/>
      <c r="C287" s="133"/>
      <c r="J287" s="0"/>
      <c r="L287" s="0"/>
      <c r="Q287" s="0"/>
      <c r="S287" s="0"/>
    </row>
    <row r="288" customFormat="false" ht="28.35" hidden="false" customHeight="true" outlineLevel="0" collapsed="false">
      <c r="A288" s="0"/>
      <c r="C288" s="133"/>
      <c r="J288" s="0"/>
      <c r="L288" s="0"/>
      <c r="Q288" s="0"/>
      <c r="S288" s="0"/>
    </row>
    <row r="289" customFormat="false" ht="12.8" hidden="false" customHeight="false" outlineLevel="0" collapsed="false">
      <c r="A289" s="0"/>
      <c r="C289" s="133"/>
      <c r="J289" s="0"/>
      <c r="L289" s="0"/>
      <c r="Q289" s="0"/>
      <c r="S289" s="0"/>
    </row>
    <row r="290" customFormat="false" ht="12.8" hidden="false" customHeight="false" outlineLevel="0" collapsed="false">
      <c r="A290" s="0"/>
      <c r="C290" s="133"/>
      <c r="J290" s="0"/>
      <c r="L290" s="0"/>
      <c r="Q290" s="0"/>
      <c r="S290" s="0"/>
    </row>
    <row r="291" customFormat="false" ht="12.8" hidden="false" customHeight="false" outlineLevel="0" collapsed="false">
      <c r="A291" s="0"/>
      <c r="C291" s="133"/>
      <c r="J291" s="0"/>
      <c r="L291" s="0"/>
      <c r="Q291" s="0"/>
      <c r="S291" s="0"/>
    </row>
    <row r="292" customFormat="false" ht="12.8" hidden="false" customHeight="false" outlineLevel="0" collapsed="false">
      <c r="A292" s="0"/>
      <c r="C292" s="133"/>
      <c r="J292" s="0"/>
      <c r="L292" s="0"/>
      <c r="Q292" s="0"/>
      <c r="S292" s="0"/>
    </row>
    <row r="293" customFormat="false" ht="12.8" hidden="false" customHeight="false" outlineLevel="0" collapsed="false">
      <c r="A293" s="0"/>
      <c r="C293" s="133"/>
      <c r="J293" s="0"/>
      <c r="L293" s="0"/>
      <c r="Q293" s="0"/>
      <c r="S293" s="0"/>
    </row>
    <row r="294" customFormat="false" ht="12.8" hidden="false" customHeight="false" outlineLevel="0" collapsed="false">
      <c r="A294" s="0"/>
      <c r="C294" s="133"/>
      <c r="J294" s="0"/>
      <c r="L294" s="0"/>
      <c r="Q294" s="0"/>
      <c r="S294" s="0"/>
    </row>
    <row r="295" customFormat="false" ht="12.8" hidden="false" customHeight="false" outlineLevel="0" collapsed="false">
      <c r="A295" s="0"/>
      <c r="C295" s="133"/>
      <c r="J295" s="0"/>
      <c r="L295" s="0"/>
      <c r="Q295" s="0"/>
      <c r="S295" s="0"/>
    </row>
    <row r="296" customFormat="false" ht="12.8" hidden="false" customHeight="false" outlineLevel="0" collapsed="false">
      <c r="A296" s="0"/>
      <c r="C296" s="133"/>
      <c r="J296" s="0"/>
      <c r="L296" s="0"/>
      <c r="Q296" s="0"/>
      <c r="S296" s="0"/>
    </row>
    <row r="297" customFormat="false" ht="12.8" hidden="false" customHeight="false" outlineLevel="0" collapsed="false">
      <c r="A297" s="0"/>
      <c r="C297" s="133"/>
      <c r="J297" s="0"/>
      <c r="Q297" s="0"/>
      <c r="S297" s="0"/>
    </row>
    <row r="298" customFormat="false" ht="12.8" hidden="false" customHeight="false" outlineLevel="0" collapsed="false">
      <c r="A298" s="0"/>
      <c r="C298" s="133"/>
      <c r="J298" s="0"/>
      <c r="Q298" s="0"/>
      <c r="S298" s="0"/>
    </row>
    <row r="299" customFormat="false" ht="12.8" hidden="false" customHeight="false" outlineLevel="0" collapsed="false">
      <c r="A299" s="0"/>
      <c r="C299" s="133"/>
      <c r="J299" s="0"/>
      <c r="Q299" s="0"/>
      <c r="S299" s="0"/>
    </row>
    <row r="300" customFormat="false" ht="12.8" hidden="false" customHeight="false" outlineLevel="0" collapsed="false">
      <c r="A300" s="0"/>
      <c r="C300" s="133"/>
      <c r="J300" s="0"/>
      <c r="Q300" s="0"/>
      <c r="S300" s="0"/>
    </row>
    <row r="301" customFormat="false" ht="12.8" hidden="false" customHeight="false" outlineLevel="0" collapsed="false">
      <c r="A301" s="0"/>
      <c r="C301" s="133"/>
      <c r="J301" s="0"/>
      <c r="Q301" s="0"/>
      <c r="S301" s="0"/>
    </row>
    <row r="302" customFormat="false" ht="12.8" hidden="false" customHeight="false" outlineLevel="0" collapsed="false">
      <c r="A302" s="0"/>
      <c r="C302" s="133"/>
      <c r="J302" s="0"/>
      <c r="Q302" s="0"/>
      <c r="S302" s="0"/>
    </row>
    <row r="303" customFormat="false" ht="12.8" hidden="false" customHeight="false" outlineLevel="0" collapsed="false">
      <c r="A303" s="0"/>
      <c r="C303" s="133"/>
      <c r="J303" s="0"/>
      <c r="Q303" s="0"/>
      <c r="S303" s="0"/>
    </row>
    <row r="304" customFormat="false" ht="12.8" hidden="false" customHeight="false" outlineLevel="0" collapsed="false">
      <c r="A304" s="0"/>
      <c r="C304" s="133"/>
      <c r="J304" s="0"/>
      <c r="Q304" s="0"/>
      <c r="S304" s="0"/>
    </row>
    <row r="305" customFormat="false" ht="12.8" hidden="false" customHeight="false" outlineLevel="0" collapsed="false">
      <c r="A305" s="0"/>
      <c r="C305" s="133"/>
      <c r="J305" s="0"/>
      <c r="Q305" s="0"/>
      <c r="S305" s="0"/>
    </row>
    <row r="306" customFormat="false" ht="12.8" hidden="false" customHeight="false" outlineLevel="0" collapsed="false">
      <c r="A306" s="0"/>
      <c r="C306" s="133"/>
      <c r="J306" s="0"/>
      <c r="Q306" s="0"/>
      <c r="S306" s="0"/>
    </row>
    <row r="307" customFormat="false" ht="12.8" hidden="false" customHeight="false" outlineLevel="0" collapsed="false">
      <c r="A307" s="0"/>
      <c r="C307" s="133"/>
      <c r="J307" s="0"/>
      <c r="Q307" s="0"/>
      <c r="S307" s="0"/>
    </row>
    <row r="308" customFormat="false" ht="12.8" hidden="false" customHeight="false" outlineLevel="0" collapsed="false">
      <c r="A308" s="0"/>
      <c r="C308" s="133"/>
      <c r="J308" s="0"/>
      <c r="Q308" s="0"/>
      <c r="S308" s="0"/>
    </row>
    <row r="309" customFormat="false" ht="12.8" hidden="false" customHeight="false" outlineLevel="0" collapsed="false">
      <c r="A309" s="0"/>
      <c r="C309" s="133"/>
      <c r="J309" s="0"/>
      <c r="Q309" s="0"/>
      <c r="S309" s="0"/>
    </row>
    <row r="310" customFormat="false" ht="12.8" hidden="false" customHeight="false" outlineLevel="0" collapsed="false">
      <c r="A310" s="0"/>
      <c r="C310" s="133"/>
      <c r="J310" s="0"/>
      <c r="Q310" s="0"/>
      <c r="S310" s="0"/>
    </row>
    <row r="311" customFormat="false" ht="12.8" hidden="false" customHeight="false" outlineLevel="0" collapsed="false">
      <c r="A311" s="0"/>
      <c r="C311" s="133"/>
      <c r="J311" s="0"/>
      <c r="Q311" s="0"/>
      <c r="S311" s="0"/>
    </row>
    <row r="312" customFormat="false" ht="12.8" hidden="false" customHeight="false" outlineLevel="0" collapsed="false">
      <c r="A312" s="0"/>
      <c r="C312" s="133"/>
      <c r="J312" s="0"/>
      <c r="Q312" s="0"/>
      <c r="S312" s="0"/>
    </row>
    <row r="313" customFormat="false" ht="12.8" hidden="false" customHeight="false" outlineLevel="0" collapsed="false">
      <c r="A313" s="0"/>
      <c r="C313" s="133"/>
      <c r="J313" s="0"/>
      <c r="Q313" s="0"/>
      <c r="S313" s="0"/>
    </row>
    <row r="314" customFormat="false" ht="12.8" hidden="false" customHeight="false" outlineLevel="0" collapsed="false">
      <c r="A314" s="0"/>
      <c r="C314" s="133"/>
      <c r="J314" s="0"/>
      <c r="Q314" s="0"/>
      <c r="S314" s="0"/>
    </row>
    <row r="315" customFormat="false" ht="12.8" hidden="false" customHeight="false" outlineLevel="0" collapsed="false">
      <c r="A315" s="0"/>
      <c r="C315" s="133"/>
      <c r="J315" s="0"/>
      <c r="Q315" s="0"/>
      <c r="S315" s="0"/>
    </row>
    <row r="316" customFormat="false" ht="12.8" hidden="false" customHeight="false" outlineLevel="0" collapsed="false">
      <c r="A316" s="0"/>
      <c r="C316" s="133"/>
      <c r="J316" s="0"/>
      <c r="Q316" s="0"/>
      <c r="S316" s="0"/>
    </row>
    <row r="317" customFormat="false" ht="12.8" hidden="false" customHeight="false" outlineLevel="0" collapsed="false">
      <c r="C317" s="133"/>
      <c r="J317" s="0"/>
      <c r="Q317" s="0"/>
      <c r="S317" s="0"/>
    </row>
    <row r="318" customFormat="false" ht="12.8" hidden="false" customHeight="false" outlineLevel="0" collapsed="false">
      <c r="C318" s="133"/>
      <c r="J318" s="0"/>
      <c r="Q318" s="0"/>
    </row>
    <row r="319" customFormat="false" ht="12.8" hidden="false" customHeight="false" outlineLevel="0" collapsed="false">
      <c r="C319" s="133"/>
      <c r="J319" s="0"/>
      <c r="Q319" s="0"/>
    </row>
    <row r="320" customFormat="false" ht="12.8" hidden="false" customHeight="false" outlineLevel="0" collapsed="false">
      <c r="C320" s="133"/>
      <c r="J320" s="0"/>
      <c r="Q320" s="0"/>
    </row>
    <row r="321" customFormat="false" ht="12.8" hidden="false" customHeight="false" outlineLevel="0" collapsed="false">
      <c r="C321" s="133"/>
      <c r="Q321" s="0"/>
    </row>
    <row r="322" customFormat="false" ht="12.8" hidden="false" customHeight="false" outlineLevel="0" collapsed="false">
      <c r="C322" s="133"/>
      <c r="Q322" s="0"/>
    </row>
    <row r="323" customFormat="false" ht="12.8" hidden="false" customHeight="false" outlineLevel="0" collapsed="false">
      <c r="C323" s="133"/>
      <c r="Q323" s="0"/>
    </row>
    <row r="324" customFormat="false" ht="12.8" hidden="false" customHeight="false" outlineLevel="0" collapsed="false">
      <c r="C324" s="133"/>
      <c r="Q324" s="0"/>
    </row>
    <row r="325" customFormat="false" ht="12.8" hidden="false" customHeight="false" outlineLevel="0" collapsed="false">
      <c r="C325" s="133"/>
      <c r="Q325" s="0"/>
    </row>
    <row r="326" customFormat="false" ht="12.8" hidden="false" customHeight="false" outlineLevel="0" collapsed="false">
      <c r="C326" s="133"/>
      <c r="Q326" s="0"/>
    </row>
    <row r="327" customFormat="false" ht="12.8" hidden="false" customHeight="false" outlineLevel="0" collapsed="false">
      <c r="C327" s="133"/>
      <c r="Q327" s="0"/>
    </row>
    <row r="328" customFormat="false" ht="12.8" hidden="false" customHeight="false" outlineLevel="0" collapsed="false">
      <c r="C328" s="133"/>
      <c r="Q328" s="0"/>
    </row>
    <row r="329" customFormat="false" ht="12.8" hidden="false" customHeight="false" outlineLevel="0" collapsed="false">
      <c r="C329" s="133"/>
      <c r="Q329" s="0"/>
    </row>
    <row r="330" customFormat="false" ht="12.8" hidden="false" customHeight="false" outlineLevel="0" collapsed="false">
      <c r="C330" s="133"/>
      <c r="Q330" s="0"/>
    </row>
    <row r="331" customFormat="false" ht="12.8" hidden="false" customHeight="false" outlineLevel="0" collapsed="false">
      <c r="C331" s="133"/>
      <c r="Q331" s="0"/>
    </row>
    <row r="332" customFormat="false" ht="12.8" hidden="false" customHeight="false" outlineLevel="0" collapsed="false">
      <c r="C332" s="133"/>
      <c r="Q332" s="0"/>
    </row>
    <row r="333" customFormat="false" ht="12.8" hidden="false" customHeight="false" outlineLevel="0" collapsed="false">
      <c r="C333" s="133"/>
      <c r="Q333" s="0"/>
    </row>
    <row r="334" customFormat="false" ht="12.8" hidden="false" customHeight="false" outlineLevel="0" collapsed="false">
      <c r="C334" s="133"/>
      <c r="Q334" s="0"/>
    </row>
    <row r="335" customFormat="false" ht="12.8" hidden="false" customHeight="false" outlineLevel="0" collapsed="false">
      <c r="C335" s="133"/>
      <c r="Q335" s="0"/>
    </row>
    <row r="336" customFormat="false" ht="12.8" hidden="false" customHeight="false" outlineLevel="0" collapsed="false">
      <c r="C336" s="133"/>
      <c r="Q336" s="0"/>
    </row>
    <row r="337" customFormat="false" ht="12.8" hidden="false" customHeight="false" outlineLevel="0" collapsed="false">
      <c r="C337" s="133"/>
      <c r="Q337" s="0"/>
    </row>
    <row r="338" customFormat="false" ht="12.8" hidden="false" customHeight="false" outlineLevel="0" collapsed="false">
      <c r="C338" s="133"/>
      <c r="Q338" s="0"/>
    </row>
    <row r="339" customFormat="false" ht="12.8" hidden="false" customHeight="false" outlineLevel="0" collapsed="false">
      <c r="C339" s="133"/>
      <c r="Q339" s="0"/>
    </row>
    <row r="340" customFormat="false" ht="12.8" hidden="false" customHeight="false" outlineLevel="0" collapsed="false">
      <c r="C340" s="133"/>
      <c r="Q340" s="0"/>
    </row>
    <row r="341" customFormat="false" ht="12.8" hidden="false" customHeight="false" outlineLevel="0" collapsed="false">
      <c r="C341" s="133"/>
      <c r="Q341" s="0"/>
    </row>
    <row r="342" customFormat="false" ht="12.8" hidden="false" customHeight="false" outlineLevel="0" collapsed="false">
      <c r="C342" s="133"/>
      <c r="Q342" s="0"/>
    </row>
    <row r="343" customFormat="false" ht="12.8" hidden="false" customHeight="false" outlineLevel="0" collapsed="false">
      <c r="C343" s="133"/>
      <c r="Q343" s="0"/>
    </row>
    <row r="344" customFormat="false" ht="12.8" hidden="false" customHeight="false" outlineLevel="0" collapsed="false">
      <c r="C344" s="133"/>
      <c r="Q344" s="0"/>
    </row>
    <row r="345" customFormat="false" ht="12.8" hidden="false" customHeight="false" outlineLevel="0" collapsed="false">
      <c r="C345" s="133"/>
      <c r="Q345" s="0"/>
    </row>
    <row r="346" customFormat="false" ht="12.8" hidden="false" customHeight="false" outlineLevel="0" collapsed="false">
      <c r="C346" s="133"/>
      <c r="Q346" s="0"/>
    </row>
    <row r="347" customFormat="false" ht="12.8" hidden="false" customHeight="false" outlineLevel="0" collapsed="false">
      <c r="C347" s="133"/>
      <c r="Q347" s="0"/>
    </row>
    <row r="348" customFormat="false" ht="12.8" hidden="false" customHeight="false" outlineLevel="0" collapsed="false">
      <c r="C348" s="133"/>
      <c r="Q348" s="0"/>
    </row>
    <row r="349" customFormat="false" ht="12.8" hidden="false" customHeight="false" outlineLevel="0" collapsed="false">
      <c r="C349" s="133"/>
      <c r="Q349" s="0"/>
    </row>
    <row r="350" customFormat="false" ht="12.8" hidden="false" customHeight="false" outlineLevel="0" collapsed="false">
      <c r="C350" s="133"/>
      <c r="Q350" s="0"/>
    </row>
    <row r="351" customFormat="false" ht="12.8" hidden="false" customHeight="false" outlineLevel="0" collapsed="false">
      <c r="C351" s="133"/>
      <c r="Q351" s="0"/>
    </row>
    <row r="352" customFormat="false" ht="12.8" hidden="false" customHeight="false" outlineLevel="0" collapsed="false">
      <c r="C352" s="133"/>
      <c r="Q352" s="0"/>
    </row>
    <row r="353" customFormat="false" ht="12.8" hidden="false" customHeight="false" outlineLevel="0" collapsed="false">
      <c r="C353" s="133"/>
      <c r="Q353" s="0"/>
    </row>
    <row r="354" customFormat="false" ht="12.8" hidden="false" customHeight="false" outlineLevel="0" collapsed="false">
      <c r="C354" s="133"/>
      <c r="Q354" s="0"/>
    </row>
    <row r="355" customFormat="false" ht="12.8" hidden="false" customHeight="false" outlineLevel="0" collapsed="false">
      <c r="C355" s="133"/>
      <c r="Q355" s="0"/>
    </row>
    <row r="356" customFormat="false" ht="12.8" hidden="false" customHeight="false" outlineLevel="0" collapsed="false">
      <c r="C356" s="133"/>
      <c r="Q356" s="0"/>
    </row>
    <row r="357" customFormat="false" ht="12.8" hidden="false" customHeight="false" outlineLevel="0" collapsed="false">
      <c r="C357" s="133"/>
      <c r="Q357" s="0"/>
    </row>
    <row r="358" customFormat="false" ht="12.8" hidden="false" customHeight="false" outlineLevel="0" collapsed="false">
      <c r="C358" s="133"/>
      <c r="Q358" s="0"/>
    </row>
    <row r="359" customFormat="false" ht="12.8" hidden="false" customHeight="false" outlineLevel="0" collapsed="false">
      <c r="C359" s="133"/>
      <c r="Q359" s="0"/>
    </row>
    <row r="360" customFormat="false" ht="12.8" hidden="false" customHeight="false" outlineLevel="0" collapsed="false">
      <c r="C360" s="133"/>
      <c r="Q360" s="0"/>
    </row>
    <row r="361" customFormat="false" ht="12.8" hidden="false" customHeight="false" outlineLevel="0" collapsed="false">
      <c r="C361" s="133"/>
      <c r="Q361" s="0"/>
    </row>
    <row r="362" customFormat="false" ht="12.8" hidden="false" customHeight="false" outlineLevel="0" collapsed="false">
      <c r="C362" s="133"/>
      <c r="Q362" s="0"/>
    </row>
    <row r="363" customFormat="false" ht="12.8" hidden="false" customHeight="false" outlineLevel="0" collapsed="false">
      <c r="C363" s="133"/>
      <c r="Q363" s="0"/>
    </row>
    <row r="364" customFormat="false" ht="12.8" hidden="false" customHeight="false" outlineLevel="0" collapsed="false">
      <c r="C364" s="133"/>
    </row>
    <row r="365" customFormat="false" ht="12.8" hidden="false" customHeight="false" outlineLevel="0" collapsed="false">
      <c r="C365" s="133"/>
    </row>
    <row r="366" customFormat="false" ht="12.8" hidden="false" customHeight="false" outlineLevel="0" collapsed="false">
      <c r="C366" s="133"/>
    </row>
    <row r="367" customFormat="false" ht="12.8" hidden="false" customHeight="false" outlineLevel="0" collapsed="false">
      <c r="C367" s="133"/>
    </row>
    <row r="368" customFormat="false" ht="12.8" hidden="false" customHeight="false" outlineLevel="0" collapsed="false">
      <c r="C368" s="133"/>
    </row>
    <row r="369" customFormat="false" ht="12.8" hidden="false" customHeight="false" outlineLevel="0" collapsed="false">
      <c r="C369" s="133"/>
    </row>
    <row r="370" customFormat="false" ht="12.8" hidden="false" customHeight="false" outlineLevel="0" collapsed="false">
      <c r="C370" s="133"/>
    </row>
    <row r="371" customFormat="false" ht="12.8" hidden="false" customHeight="false" outlineLevel="0" collapsed="false">
      <c r="C371" s="133"/>
    </row>
    <row r="372" customFormat="false" ht="12.8" hidden="false" customHeight="false" outlineLevel="0" collapsed="false">
      <c r="C372" s="133"/>
    </row>
    <row r="373" customFormat="false" ht="12.8" hidden="false" customHeight="false" outlineLevel="0" collapsed="false">
      <c r="C373" s="133"/>
    </row>
    <row r="374" customFormat="false" ht="12.8" hidden="false" customHeight="false" outlineLevel="0" collapsed="false">
      <c r="C374" s="133"/>
    </row>
    <row r="375" customFormat="false" ht="12.8" hidden="false" customHeight="false" outlineLevel="0" collapsed="false">
      <c r="C375" s="133"/>
    </row>
    <row r="376" customFormat="false" ht="12.8" hidden="false" customHeight="false" outlineLevel="0" collapsed="false">
      <c r="C376" s="133"/>
    </row>
    <row r="377" customFormat="false" ht="12.8" hidden="false" customHeight="false" outlineLevel="0" collapsed="false">
      <c r="C377" s="133"/>
    </row>
    <row r="378" customFormat="false" ht="12.8" hidden="false" customHeight="false" outlineLevel="0" collapsed="false">
      <c r="C378" s="133"/>
    </row>
    <row r="379" customFormat="false" ht="12.8" hidden="false" customHeight="false" outlineLevel="0" collapsed="false">
      <c r="C379" s="133"/>
    </row>
    <row r="380" customFormat="false" ht="12.8" hidden="false" customHeight="false" outlineLevel="0" collapsed="false">
      <c r="C380" s="133"/>
    </row>
    <row r="381" customFormat="false" ht="12.8" hidden="false" customHeight="false" outlineLevel="0" collapsed="false">
      <c r="C381" s="133"/>
    </row>
    <row r="382" customFormat="false" ht="12.8" hidden="false" customHeight="false" outlineLevel="0" collapsed="false">
      <c r="C382" s="133"/>
    </row>
    <row r="383" customFormat="false" ht="12.8" hidden="false" customHeight="false" outlineLevel="0" collapsed="false">
      <c r="C383" s="133"/>
    </row>
    <row r="384" customFormat="false" ht="12.8" hidden="false" customHeight="false" outlineLevel="0" collapsed="false">
      <c r="C384" s="133"/>
    </row>
    <row r="385" customFormat="false" ht="12.8" hidden="false" customHeight="false" outlineLevel="0" collapsed="false">
      <c r="C385" s="133"/>
    </row>
    <row r="386" customFormat="false" ht="12.8" hidden="false" customHeight="false" outlineLevel="0" collapsed="false">
      <c r="C386" s="133"/>
    </row>
    <row r="387" customFormat="false" ht="12.8" hidden="false" customHeight="false" outlineLevel="0" collapsed="false">
      <c r="C387" s="133"/>
    </row>
    <row r="388" customFormat="false" ht="12.8" hidden="false" customHeight="false" outlineLevel="0" collapsed="false">
      <c r="C388" s="133"/>
    </row>
    <row r="389" customFormat="false" ht="12.8" hidden="false" customHeight="false" outlineLevel="0" collapsed="false">
      <c r="C389" s="133"/>
    </row>
    <row r="390" customFormat="false" ht="12.8" hidden="false" customHeight="false" outlineLevel="0" collapsed="false">
      <c r="C390" s="133"/>
    </row>
    <row r="391" customFormat="false" ht="12.8" hidden="false" customHeight="false" outlineLevel="0" collapsed="false">
      <c r="C391" s="133"/>
    </row>
    <row r="392" customFormat="false" ht="12.8" hidden="false" customHeight="false" outlineLevel="0" collapsed="false">
      <c r="C392" s="133"/>
    </row>
    <row r="393" customFormat="false" ht="12.8" hidden="false" customHeight="false" outlineLevel="0" collapsed="false">
      <c r="C393" s="133"/>
    </row>
    <row r="394" customFormat="false" ht="12.8" hidden="false" customHeight="false" outlineLevel="0" collapsed="false">
      <c r="C394" s="133"/>
    </row>
    <row r="395" customFormat="false" ht="12.8" hidden="false" customHeight="false" outlineLevel="0" collapsed="false">
      <c r="C395" s="133"/>
    </row>
    <row r="396" customFormat="false" ht="12.8" hidden="false" customHeight="false" outlineLevel="0" collapsed="false">
      <c r="C396" s="133"/>
    </row>
    <row r="397" customFormat="false" ht="12.8" hidden="false" customHeight="false" outlineLevel="0" collapsed="false">
      <c r="C397" s="133"/>
    </row>
    <row r="398" customFormat="false" ht="12.8" hidden="false" customHeight="false" outlineLevel="0" collapsed="false">
      <c r="C398" s="133"/>
    </row>
    <row r="399" customFormat="false" ht="12.8" hidden="false" customHeight="false" outlineLevel="0" collapsed="false">
      <c r="C399" s="133"/>
    </row>
    <row r="400" customFormat="false" ht="12.8" hidden="false" customHeight="false" outlineLevel="0" collapsed="false">
      <c r="C400" s="133"/>
    </row>
    <row r="401" customFormat="false" ht="12.8" hidden="false" customHeight="false" outlineLevel="0" collapsed="false">
      <c r="C401" s="133"/>
    </row>
    <row r="402" customFormat="false" ht="12.8" hidden="false" customHeight="false" outlineLevel="0" collapsed="false">
      <c r="C402" s="133"/>
    </row>
    <row r="403" customFormat="false" ht="12.8" hidden="false" customHeight="false" outlineLevel="0" collapsed="false">
      <c r="C403" s="133"/>
    </row>
    <row r="404" customFormat="false" ht="12.8" hidden="false" customHeight="false" outlineLevel="0" collapsed="false">
      <c r="C404" s="133"/>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82">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1.xml><?xml version="1.0" encoding="utf-8"?>
<worksheet xmlns="http://schemas.openxmlformats.org/spreadsheetml/2006/main" xmlns:r="http://schemas.openxmlformats.org/officeDocument/2006/relationships">
  <sheetPr filterMode="false">
    <pageSetUpPr fitToPage="false"/>
  </sheetPr>
  <dimension ref="A1:AA190"/>
  <sheetViews>
    <sheetView showFormulas="false" showGridLines="true" showRowColHeaders="true" showZeros="true" rightToLeft="false" tabSelected="false" showOutlineSymbols="true" defaultGridColor="true" view="normal" topLeftCell="A136" colorId="64" zoomScale="90" zoomScaleNormal="90" zoomScalePageLayoutView="100" workbookViewId="0">
      <selection pane="topLeft" activeCell="A154" activeCellId="0" sqref="A154"/>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35" t="s">
        <v>840</v>
      </c>
      <c r="C4" s="16" t="n">
        <v>62210</v>
      </c>
      <c r="D4" s="5" t="s">
        <v>841</v>
      </c>
      <c r="E4" s="14" t="s">
        <v>439</v>
      </c>
      <c r="F4" s="15" t="n">
        <v>1054</v>
      </c>
      <c r="G4" s="15" t="n">
        <v>1055</v>
      </c>
      <c r="H4" s="15"/>
      <c r="I4" s="16"/>
      <c r="J4" s="15" t="n">
        <v>254</v>
      </c>
      <c r="K4" s="16"/>
      <c r="L4" s="16"/>
      <c r="M4" s="16" t="n">
        <v>800</v>
      </c>
      <c r="N4" s="16"/>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c r="H6" s="19"/>
      <c r="I6" s="19"/>
      <c r="J6" s="19"/>
      <c r="K6" s="19"/>
      <c r="L6" s="19"/>
      <c r="M6" s="19"/>
      <c r="N6" s="19"/>
      <c r="P6" s="21" t="n">
        <v>43466</v>
      </c>
      <c r="Q6" s="19" t="s">
        <v>27</v>
      </c>
      <c r="R6" s="9"/>
      <c r="S6" s="22"/>
      <c r="T6" s="5" t="s">
        <v>28</v>
      </c>
    </row>
    <row r="7" customFormat="false" ht="41.65" hidden="false" customHeight="true" outlineLevel="0" collapsed="false">
      <c r="A7" s="0"/>
      <c r="B7" s="0"/>
      <c r="C7" s="126" t="s">
        <v>842</v>
      </c>
      <c r="D7" s="126"/>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205" t="s">
        <v>40</v>
      </c>
      <c r="K9" s="206"/>
    </row>
    <row r="10" customFormat="false" ht="23" hidden="false" customHeight="true" outlineLevel="0" collapsed="false">
      <c r="A10" s="0" t="n">
        <v>31</v>
      </c>
      <c r="B10" s="31" t="n">
        <v>39083</v>
      </c>
      <c r="C10" s="321" t="n">
        <v>533600</v>
      </c>
      <c r="D10" s="1" t="s">
        <v>41</v>
      </c>
      <c r="E10" s="33" t="n">
        <f aca="false">IF(D10="totale",(C10/(A10*24))/F10,IF(D10="marché libre",(C10/(A10*24))/G10,"spécifier histo"))</f>
        <v>0.680459488686213</v>
      </c>
      <c r="F10" s="59" t="n">
        <v>1054</v>
      </c>
      <c r="G10" s="59" t="n">
        <f aca="false">1054</f>
        <v>1054</v>
      </c>
      <c r="H10" s="59" t="n">
        <f aca="false">0</f>
        <v>0</v>
      </c>
      <c r="I10" s="9"/>
      <c r="J10" s="205"/>
      <c r="K10" s="206"/>
    </row>
    <row r="11" customFormat="false" ht="23" hidden="false" customHeight="true" outlineLevel="0" collapsed="false">
      <c r="A11" s="0" t="n">
        <v>31</v>
      </c>
      <c r="B11" s="34" t="n">
        <v>39114</v>
      </c>
      <c r="C11" s="321" t="n">
        <v>250400</v>
      </c>
      <c r="D11" s="1" t="s">
        <v>41</v>
      </c>
      <c r="E11" s="33" t="n">
        <f aca="false">IF(D11="totale",(C11/(A11*24))/F11,IF(D11="marché libre",(C11/(A11*24))/G11,"spécifier histo"))</f>
        <v>0.319316071902226</v>
      </c>
      <c r="F11" s="59" t="n">
        <v>1054</v>
      </c>
      <c r="G11" s="59" t="n">
        <f aca="false">1054</f>
        <v>1054</v>
      </c>
      <c r="H11" s="59" t="n">
        <f aca="false">0</f>
        <v>0</v>
      </c>
      <c r="I11" s="9"/>
      <c r="J11" s="205"/>
      <c r="K11" s="206"/>
    </row>
    <row r="12" customFormat="false" ht="23" hidden="false" customHeight="true" outlineLevel="0" collapsed="false">
      <c r="A12" s="0" t="n">
        <v>30</v>
      </c>
      <c r="B12" s="31" t="n">
        <v>39142</v>
      </c>
      <c r="C12" s="321" t="n">
        <v>455200</v>
      </c>
      <c r="D12" s="1" t="s">
        <v>41</v>
      </c>
      <c r="E12" s="33" t="n">
        <f aca="false">IF(D12="totale",(C12/(A12*24))/F12,IF(D12="marché libre",(C12/(A12*24))/G12,"spécifier histo"))</f>
        <v>0.599831330381615</v>
      </c>
      <c r="F12" s="59" t="n">
        <v>1054</v>
      </c>
      <c r="G12" s="59" t="n">
        <f aca="false">1054</f>
        <v>1054</v>
      </c>
      <c r="H12" s="59" t="n">
        <f aca="false">0</f>
        <v>0</v>
      </c>
      <c r="I12" s="9"/>
      <c r="J12" s="205"/>
      <c r="K12" s="206"/>
    </row>
    <row r="13" customFormat="false" ht="23" hidden="false" customHeight="true" outlineLevel="0" collapsed="false">
      <c r="A13" s="0" t="n">
        <v>31</v>
      </c>
      <c r="B13" s="34" t="n">
        <v>39173</v>
      </c>
      <c r="C13" s="321" t="n">
        <v>371200</v>
      </c>
      <c r="D13" s="1" t="s">
        <v>41</v>
      </c>
      <c r="E13" s="33" t="n">
        <f aca="false">IF(D13="totale",(C13/(A13*24))/F13,IF(D13="marché libre",(C13/(A13*24))/G13,"spécifier histo"))</f>
        <v>0.473363122564322</v>
      </c>
      <c r="F13" s="59" t="n">
        <v>1054</v>
      </c>
      <c r="G13" s="59" t="n">
        <f aca="false">1054</f>
        <v>1054</v>
      </c>
      <c r="H13" s="59" t="n">
        <f aca="false">0</f>
        <v>0</v>
      </c>
      <c r="I13" s="9"/>
      <c r="J13" s="205"/>
      <c r="K13" s="206"/>
    </row>
    <row r="14" customFormat="false" ht="23" hidden="false" customHeight="true" outlineLevel="0" collapsed="false">
      <c r="A14" s="0" t="n">
        <v>30</v>
      </c>
      <c r="B14" s="31" t="n">
        <v>39203</v>
      </c>
      <c r="C14" s="321" t="n">
        <v>296800</v>
      </c>
      <c r="D14" s="1" t="s">
        <v>41</v>
      </c>
      <c r="E14" s="33" t="n">
        <f aca="false">IF(D14="totale",(C14/(A14*24))/F14,IF(D14="marché libre",(C14/(A14*24))/G14,"spécifier histo"))</f>
        <v>0.391102677630192</v>
      </c>
      <c r="F14" s="59" t="n">
        <v>1054</v>
      </c>
      <c r="G14" s="59" t="n">
        <f aca="false">1054</f>
        <v>1054</v>
      </c>
      <c r="H14" s="59" t="n">
        <f aca="false">0</f>
        <v>0</v>
      </c>
      <c r="I14" s="9"/>
      <c r="J14" s="205"/>
      <c r="K14" s="206"/>
    </row>
    <row r="15" customFormat="false" ht="23" hidden="false" customHeight="true" outlineLevel="0" collapsed="false">
      <c r="A15" s="0" t="n">
        <v>31</v>
      </c>
      <c r="B15" s="34" t="n">
        <v>39234</v>
      </c>
      <c r="C15" s="321" t="n">
        <v>474400</v>
      </c>
      <c r="D15" s="1" t="s">
        <v>41</v>
      </c>
      <c r="E15" s="33" t="n">
        <f aca="false">IF(D15="totale",(C15/(A15*24))/F15,IF(D15="marché libre",(C15/(A15*24))/G15,"spécifier histo"))</f>
        <v>0.604966232070352</v>
      </c>
      <c r="F15" s="59" t="n">
        <v>1054</v>
      </c>
      <c r="G15" s="59" t="n">
        <f aca="false">1054</f>
        <v>1054</v>
      </c>
      <c r="H15" s="59" t="n">
        <f aca="false">0</f>
        <v>0</v>
      </c>
      <c r="I15" s="9"/>
      <c r="J15" s="205"/>
      <c r="K15" s="206"/>
    </row>
    <row r="16" customFormat="false" ht="23" hidden="false" customHeight="true" outlineLevel="0" collapsed="false">
      <c r="A16" s="0" t="n">
        <v>31</v>
      </c>
      <c r="B16" s="31" t="n">
        <v>39264</v>
      </c>
      <c r="C16" s="321" t="n">
        <v>324800</v>
      </c>
      <c r="D16" s="1" t="s">
        <v>41</v>
      </c>
      <c r="E16" s="33" t="n">
        <f aca="false">IF(D16="totale",(C16/(A16*24))/F16,IF(D16="marché libre",(C16/(A16*24))/G16,"spécifier histo"))</f>
        <v>0.414192732243782</v>
      </c>
      <c r="F16" s="59" t="n">
        <v>1054</v>
      </c>
      <c r="G16" s="59" t="n">
        <f aca="false">1054</f>
        <v>1054</v>
      </c>
      <c r="H16" s="59" t="n">
        <f aca="false">0</f>
        <v>0</v>
      </c>
      <c r="I16" s="9"/>
      <c r="J16" s="205"/>
      <c r="K16" s="206"/>
    </row>
    <row r="17" customFormat="false" ht="23" hidden="false" customHeight="true" outlineLevel="0" collapsed="false">
      <c r="A17" s="0" t="n">
        <v>31</v>
      </c>
      <c r="B17" s="34" t="n">
        <v>39295</v>
      </c>
      <c r="C17" s="321" t="n">
        <v>294800</v>
      </c>
      <c r="D17" s="1" t="s">
        <v>41</v>
      </c>
      <c r="E17" s="33" t="n">
        <f aca="false">IF(D17="totale",(C17/(A17*24))/F17,IF(D17="marché libre",(C17/(A17*24))/G17,"spécifier histo"))</f>
        <v>0.375936014364122</v>
      </c>
      <c r="F17" s="59" t="n">
        <v>1054</v>
      </c>
      <c r="G17" s="59" t="n">
        <f aca="false">1054</f>
        <v>1054</v>
      </c>
      <c r="H17" s="59" t="n">
        <f aca="false">0</f>
        <v>0</v>
      </c>
      <c r="I17" s="9"/>
      <c r="J17" s="205"/>
      <c r="K17" s="206"/>
    </row>
    <row r="18" customFormat="false" ht="23" hidden="false" customHeight="true" outlineLevel="0" collapsed="false">
      <c r="A18" s="0" t="n">
        <v>30</v>
      </c>
      <c r="B18" s="31" t="n">
        <v>39326</v>
      </c>
      <c r="C18" s="321" t="n">
        <v>127200</v>
      </c>
      <c r="D18" s="1" t="s">
        <v>41</v>
      </c>
      <c r="E18" s="33" t="n">
        <f aca="false">IF(D18="totale",(C18/(A18*24))/F18,IF(D18="marché libre",(C18/(A18*24))/G18,"spécifier histo"))</f>
        <v>0.167615433270082</v>
      </c>
      <c r="F18" s="59" t="n">
        <v>1054</v>
      </c>
      <c r="G18" s="59" t="n">
        <f aca="false">1054</f>
        <v>1054</v>
      </c>
      <c r="H18" s="59" t="n">
        <f aca="false">0</f>
        <v>0</v>
      </c>
      <c r="I18" s="9"/>
      <c r="J18" s="205"/>
      <c r="K18" s="206"/>
    </row>
    <row r="19" customFormat="false" ht="23" hidden="false" customHeight="true" outlineLevel="0" collapsed="false">
      <c r="A19" s="0" t="n">
        <v>31</v>
      </c>
      <c r="B19" s="34" t="n">
        <v>39356</v>
      </c>
      <c r="C19" s="321" t="n">
        <v>188800</v>
      </c>
      <c r="D19" s="1" t="s">
        <v>41</v>
      </c>
      <c r="E19" s="33" t="n">
        <f aca="false">IF(D19="totale",(C19/(A19*24))/F19,IF(D19="marché libre",(C19/(A19*24))/G19,"spécifier histo"))</f>
        <v>0.240762277855991</v>
      </c>
      <c r="F19" s="59" t="n">
        <v>1054</v>
      </c>
      <c r="G19" s="59" t="n">
        <f aca="false">1054</f>
        <v>1054</v>
      </c>
      <c r="H19" s="59" t="n">
        <f aca="false">0</f>
        <v>0</v>
      </c>
      <c r="I19" s="9"/>
      <c r="J19" s="205"/>
      <c r="K19" s="206"/>
    </row>
    <row r="20" customFormat="false" ht="23" hidden="false" customHeight="true" outlineLevel="0" collapsed="false">
      <c r="A20" s="0" t="n">
        <v>30</v>
      </c>
      <c r="B20" s="31" t="n">
        <v>39387</v>
      </c>
      <c r="C20" s="321" t="n">
        <v>71200</v>
      </c>
      <c r="D20" s="1" t="s">
        <v>41</v>
      </c>
      <c r="E20" s="33" t="n">
        <f aca="false">IF(D20="totale",(C20/(A20*24))/F20,IF(D20="marché libre",(C20/(A20*24))/G20,"spécifier histo"))</f>
        <v>0.0938224752266498</v>
      </c>
      <c r="F20" s="59" t="n">
        <v>1054</v>
      </c>
      <c r="G20" s="59" t="n">
        <f aca="false">1054</f>
        <v>1054</v>
      </c>
      <c r="H20" s="59" t="n">
        <f aca="false">0</f>
        <v>0</v>
      </c>
      <c r="I20" s="9"/>
      <c r="J20" s="205"/>
      <c r="K20" s="206"/>
    </row>
    <row r="21" customFormat="false" ht="23" hidden="false" customHeight="true" outlineLevel="0" collapsed="false">
      <c r="A21" s="0" t="n">
        <v>31</v>
      </c>
      <c r="B21" s="34" t="n">
        <v>39417</v>
      </c>
      <c r="C21" s="321" t="n">
        <v>380800</v>
      </c>
      <c r="D21" s="1" t="s">
        <v>41</v>
      </c>
      <c r="E21" s="33" t="n">
        <f aca="false">IF(D21="totale",(C21/(A21*24))/F21,IF(D21="marché libre",(C21/(A21*24))/G21,"spécifier histo"))</f>
        <v>0.485605272285813</v>
      </c>
      <c r="F21" s="59" t="n">
        <v>1054</v>
      </c>
      <c r="G21" s="59" t="n">
        <f aca="false">1054</f>
        <v>1054</v>
      </c>
      <c r="H21" s="59" t="n">
        <f aca="false">0</f>
        <v>0</v>
      </c>
      <c r="I21" s="9"/>
      <c r="J21" s="205"/>
      <c r="K21" s="206"/>
    </row>
    <row r="22" customFormat="false" ht="23" hidden="false" customHeight="true" outlineLevel="0" collapsed="false">
      <c r="A22" s="0" t="n">
        <v>31</v>
      </c>
      <c r="B22" s="31" t="n">
        <v>39448</v>
      </c>
      <c r="C22" s="321" t="n">
        <v>401600</v>
      </c>
      <c r="D22" s="1" t="s">
        <v>41</v>
      </c>
      <c r="E22" s="33" t="n">
        <f aca="false">IF(D22="totale",(C22/(A22*24))/F22,IF(D22="marché libre",(C22/(A22*24))/G22,"spécifier histo"))</f>
        <v>0.512129930015711</v>
      </c>
      <c r="F22" s="59" t="n">
        <v>1054</v>
      </c>
      <c r="G22" s="59" t="n">
        <f aca="false">1054</f>
        <v>1054</v>
      </c>
      <c r="H22" s="59" t="n">
        <f aca="false">0</f>
        <v>0</v>
      </c>
      <c r="I22" s="9"/>
      <c r="J22" s="205"/>
      <c r="K22" s="206"/>
    </row>
    <row r="23" customFormat="false" ht="23" hidden="false" customHeight="true" outlineLevel="0" collapsed="false">
      <c r="A23" s="0" t="n">
        <v>28</v>
      </c>
      <c r="B23" s="34" t="n">
        <v>39479</v>
      </c>
      <c r="C23" s="321" t="n">
        <v>509600</v>
      </c>
      <c r="D23" s="1" t="s">
        <v>41</v>
      </c>
      <c r="E23" s="33" t="n">
        <f aca="false">IF(D23="totale",(C23/(A23*24))/F23,IF(D23="marché libre",(C23/(A23*24))/G23,"spécifier histo"))</f>
        <v>0.719481340923466</v>
      </c>
      <c r="F23" s="59" t="n">
        <v>1054</v>
      </c>
      <c r="G23" s="59" t="n">
        <f aca="false">1054</f>
        <v>1054</v>
      </c>
      <c r="H23" s="59" t="n">
        <f aca="false">0</f>
        <v>0</v>
      </c>
      <c r="I23" s="9"/>
      <c r="J23" s="205"/>
      <c r="K23" s="206"/>
    </row>
    <row r="24" customFormat="false" ht="23" hidden="false" customHeight="true" outlineLevel="0" collapsed="false">
      <c r="A24" s="0" t="n">
        <v>31</v>
      </c>
      <c r="B24" s="31" t="n">
        <v>39508</v>
      </c>
      <c r="C24" s="321" t="n">
        <v>426400</v>
      </c>
      <c r="D24" s="1" t="s">
        <v>41</v>
      </c>
      <c r="E24" s="33" t="n">
        <f aca="false">IF(D24="totale",(C24/(A24*24))/F24,IF(D24="marché libre",(C24/(A24*24))/G24,"spécifier histo"))</f>
        <v>0.543755483462896</v>
      </c>
      <c r="F24" s="59" t="n">
        <v>1054</v>
      </c>
      <c r="G24" s="59" t="n">
        <f aca="false">1054</f>
        <v>1054</v>
      </c>
      <c r="H24" s="59" t="n">
        <f aca="false">0</f>
        <v>0</v>
      </c>
      <c r="I24" s="9"/>
      <c r="J24" s="205"/>
      <c r="K24" s="206"/>
    </row>
    <row r="25" customFormat="false" ht="23" hidden="false" customHeight="true" outlineLevel="0" collapsed="false">
      <c r="A25" s="0" t="n">
        <v>30</v>
      </c>
      <c r="B25" s="34" t="n">
        <v>39539</v>
      </c>
      <c r="C25" s="321" t="n">
        <v>299200</v>
      </c>
      <c r="D25" s="1" t="s">
        <v>41</v>
      </c>
      <c r="E25" s="33" t="n">
        <f aca="false">IF(D25="totale",(C25/(A25*24))/F25,IF(D25="marché libre",(C25/(A25*24))/G25,"spécifier histo"))</f>
        <v>0.39426523297491</v>
      </c>
      <c r="F25" s="59" t="n">
        <v>1054</v>
      </c>
      <c r="G25" s="59" t="n">
        <f aca="false">1054</f>
        <v>1054</v>
      </c>
      <c r="H25" s="59" t="n">
        <f aca="false">0</f>
        <v>0</v>
      </c>
      <c r="I25" s="9"/>
      <c r="J25" s="205"/>
      <c r="K25" s="206"/>
    </row>
    <row r="26" customFormat="false" ht="23" hidden="false" customHeight="true" outlineLevel="0" collapsed="false">
      <c r="A26" s="0" t="n">
        <v>31</v>
      </c>
      <c r="B26" s="31" t="n">
        <v>39569</v>
      </c>
      <c r="C26" s="321" t="n">
        <v>378000</v>
      </c>
      <c r="D26" s="1" t="s">
        <v>41</v>
      </c>
      <c r="E26" s="33" t="n">
        <f aca="false">IF(D26="totale",(C26/(A26*24))/F26,IF(D26="marché libre",(C26/(A26*24))/G26,"spécifier histo"))</f>
        <v>0.482034645283712</v>
      </c>
      <c r="F26" s="59" t="n">
        <v>1054</v>
      </c>
      <c r="G26" s="59" t="n">
        <f aca="false">1054</f>
        <v>1054</v>
      </c>
      <c r="H26" s="59" t="n">
        <f aca="false">0</f>
        <v>0</v>
      </c>
      <c r="I26" s="9"/>
      <c r="J26" s="205"/>
      <c r="K26" s="206"/>
    </row>
    <row r="27" customFormat="false" ht="23" hidden="false" customHeight="true" outlineLevel="0" collapsed="false">
      <c r="A27" s="0" t="n">
        <v>30</v>
      </c>
      <c r="B27" s="34" t="n">
        <v>39600</v>
      </c>
      <c r="C27" s="321" t="n">
        <v>403200</v>
      </c>
      <c r="D27" s="1" t="s">
        <v>41</v>
      </c>
      <c r="E27" s="33" t="n">
        <f aca="false">IF(D27="totale",(C27/(A27*24))/F27,IF(D27="marché libre",(C27/(A27*24))/G27,"spécifier histo"))</f>
        <v>0.531309297912713</v>
      </c>
      <c r="F27" s="59" t="n">
        <v>1054</v>
      </c>
      <c r="G27" s="59" t="n">
        <f aca="false">1054</f>
        <v>1054</v>
      </c>
      <c r="H27" s="59" t="n">
        <f aca="false">0</f>
        <v>0</v>
      </c>
      <c r="I27" s="9"/>
      <c r="J27" s="205"/>
      <c r="K27" s="206"/>
    </row>
    <row r="28" customFormat="false" ht="23" hidden="false" customHeight="true" outlineLevel="0" collapsed="false">
      <c r="A28" s="0" t="n">
        <v>31</v>
      </c>
      <c r="B28" s="31" t="n">
        <v>39630</v>
      </c>
      <c r="C28" s="321" t="n">
        <v>377600</v>
      </c>
      <c r="D28" s="1" t="s">
        <v>41</v>
      </c>
      <c r="E28" s="33" t="n">
        <f aca="false">IF(D28="totale",(C28/(A28*24))/F28,IF(D28="marché libre",(C28/(A28*24))/G28,"spécifier histo"))</f>
        <v>0.481524555711983</v>
      </c>
      <c r="F28" s="59" t="n">
        <v>1054</v>
      </c>
      <c r="G28" s="59" t="n">
        <f aca="false">1054</f>
        <v>1054</v>
      </c>
      <c r="H28" s="59" t="n">
        <f aca="false">0</f>
        <v>0</v>
      </c>
      <c r="I28" s="9"/>
      <c r="J28" s="205"/>
      <c r="K28" s="206"/>
    </row>
    <row r="29" customFormat="false" ht="23" hidden="false" customHeight="true" outlineLevel="0" collapsed="false">
      <c r="A29" s="0" t="n">
        <v>31</v>
      </c>
      <c r="B29" s="34" t="n">
        <v>39661</v>
      </c>
      <c r="C29" s="321" t="n">
        <v>127600</v>
      </c>
      <c r="D29" s="1" t="s">
        <v>41</v>
      </c>
      <c r="E29" s="33" t="n">
        <f aca="false">IF(D29="totale",(C29/(A29*24))/F29,IF(D29="marché libre",(C29/(A29*24))/G29,"spécifier histo"))</f>
        <v>0.162718573381486</v>
      </c>
      <c r="F29" s="59" t="n">
        <v>1054</v>
      </c>
      <c r="G29" s="59" t="n">
        <f aca="false">1054</f>
        <v>1054</v>
      </c>
      <c r="H29" s="59" t="n">
        <f aca="false">0</f>
        <v>0</v>
      </c>
      <c r="I29" s="9"/>
      <c r="J29" s="205"/>
      <c r="K29" s="206"/>
    </row>
    <row r="30" customFormat="false" ht="23" hidden="false" customHeight="true" outlineLevel="0" collapsed="false">
      <c r="A30" s="0" t="n">
        <v>30</v>
      </c>
      <c r="B30" s="31" t="n">
        <v>39692</v>
      </c>
      <c r="C30" s="321" t="n">
        <v>116000</v>
      </c>
      <c r="D30" s="1" t="s">
        <v>41</v>
      </c>
      <c r="E30" s="33" t="n">
        <f aca="false">IF(D30="totale",(C30/(A30*24))/F30,IF(D30="marché libre",(C30/(A30*24))/G30,"spécifier histo"))</f>
        <v>0.152856841661396</v>
      </c>
      <c r="F30" s="59" t="n">
        <v>1054</v>
      </c>
      <c r="G30" s="59" t="n">
        <f aca="false">1054</f>
        <v>1054</v>
      </c>
      <c r="H30" s="59" t="n">
        <f aca="false">0</f>
        <v>0</v>
      </c>
      <c r="I30" s="9"/>
      <c r="J30" s="205"/>
      <c r="K30" s="206"/>
    </row>
    <row r="31" customFormat="false" ht="23" hidden="false" customHeight="true" outlineLevel="0" collapsed="false">
      <c r="A31" s="0" t="n">
        <v>31</v>
      </c>
      <c r="B31" s="34" t="n">
        <v>39722</v>
      </c>
      <c r="C31" s="321" t="n">
        <v>171200</v>
      </c>
      <c r="D31" s="1" t="s">
        <v>41</v>
      </c>
      <c r="E31" s="33" t="n">
        <f aca="false">IF(D31="totale",(C31/(A31*24))/F31,IF(D31="marché libre",(C31/(A31*24))/G31,"spécifier histo"))</f>
        <v>0.218318336699924</v>
      </c>
      <c r="F31" s="59" t="n">
        <v>1054</v>
      </c>
      <c r="G31" s="59" t="n">
        <f aca="false">1054</f>
        <v>1054</v>
      </c>
      <c r="H31" s="59" t="n">
        <f aca="false">0</f>
        <v>0</v>
      </c>
      <c r="I31" s="9"/>
      <c r="J31" s="205"/>
      <c r="K31" s="206"/>
    </row>
    <row r="32" customFormat="false" ht="23" hidden="false" customHeight="true" outlineLevel="0" collapsed="false">
      <c r="A32" s="0" t="n">
        <v>30</v>
      </c>
      <c r="B32" s="31" t="n">
        <v>39753</v>
      </c>
      <c r="C32" s="321" t="n">
        <v>528000</v>
      </c>
      <c r="D32" s="1" t="s">
        <v>41</v>
      </c>
      <c r="E32" s="33" t="n">
        <f aca="false">IF(D32="totale",(C32/(A32*24))/F32,IF(D32="marché libre",(C32/(A32*24))/G32,"spécifier histo"))</f>
        <v>0.695762175838077</v>
      </c>
      <c r="F32" s="59" t="n">
        <v>1054</v>
      </c>
      <c r="G32" s="59" t="n">
        <f aca="false">1054</f>
        <v>1054</v>
      </c>
      <c r="H32" s="59" t="n">
        <f aca="false">0</f>
        <v>0</v>
      </c>
      <c r="I32" s="9"/>
      <c r="J32" s="205"/>
      <c r="K32" s="206"/>
    </row>
    <row r="33" customFormat="false" ht="23" hidden="false" customHeight="true" outlineLevel="0" collapsed="false">
      <c r="A33" s="0" t="n">
        <v>31</v>
      </c>
      <c r="B33" s="34" t="n">
        <v>39783</v>
      </c>
      <c r="C33" s="321" t="n">
        <v>322000</v>
      </c>
      <c r="D33" s="1" t="s">
        <v>41</v>
      </c>
      <c r="E33" s="33" t="n">
        <f aca="false">IF(D33="totale",(C33/(A33*24))/F33,IF(D33="marché libre",(C33/(A33*24))/G33,"spécifier histo"))</f>
        <v>0.410622105241681</v>
      </c>
      <c r="F33" s="59" t="n">
        <v>1054</v>
      </c>
      <c r="G33" s="59" t="n">
        <f aca="false">1054</f>
        <v>1054</v>
      </c>
      <c r="H33" s="59" t="n">
        <f aca="false">0</f>
        <v>0</v>
      </c>
      <c r="I33" s="9"/>
      <c r="J33" s="205"/>
      <c r="K33" s="206"/>
    </row>
    <row r="34" customFormat="false" ht="23" hidden="false" customHeight="true" outlineLevel="0" collapsed="false">
      <c r="A34" s="0" t="n">
        <v>31</v>
      </c>
      <c r="B34" s="31" t="n">
        <v>39814</v>
      </c>
      <c r="C34" s="321" t="n">
        <v>392000</v>
      </c>
      <c r="D34" s="1" t="s">
        <v>41</v>
      </c>
      <c r="E34" s="33" t="n">
        <f aca="false">IF(D34="totale",(C34/(A34*24))/F34,IF(D34="marché libre",(C34/(A34*24))/G34,"spécifier histo"))</f>
        <v>0.49988778029422</v>
      </c>
      <c r="F34" s="59" t="n">
        <v>1054</v>
      </c>
      <c r="G34" s="59" t="n">
        <f aca="false">1054</f>
        <v>1054</v>
      </c>
      <c r="H34" s="59" t="n">
        <f aca="false">0</f>
        <v>0</v>
      </c>
      <c r="I34" s="9"/>
      <c r="J34" s="205"/>
      <c r="K34" s="206"/>
    </row>
    <row r="35" customFormat="false" ht="23" hidden="false" customHeight="true" outlineLevel="0" collapsed="false">
      <c r="A35" s="0" t="n">
        <v>28</v>
      </c>
      <c r="B35" s="34" t="n">
        <v>39845</v>
      </c>
      <c r="C35" s="321" t="n">
        <v>286800</v>
      </c>
      <c r="D35" s="1" t="s">
        <v>41</v>
      </c>
      <c r="E35" s="33" t="n">
        <f aca="false">IF(D35="totale",(C35/(A35*24))/F35,IF(D35="marché libre",(C35/(A35*24))/G35,"spécifier histo"))</f>
        <v>0.404920032529141</v>
      </c>
      <c r="F35" s="59" t="n">
        <v>1054</v>
      </c>
      <c r="G35" s="59" t="n">
        <f aca="false">1054</f>
        <v>1054</v>
      </c>
      <c r="H35" s="59" t="n">
        <f aca="false">0</f>
        <v>0</v>
      </c>
      <c r="I35" s="9"/>
      <c r="J35" s="205"/>
      <c r="K35" s="206"/>
    </row>
    <row r="36" customFormat="false" ht="23" hidden="false" customHeight="true" outlineLevel="0" collapsed="false">
      <c r="A36" s="0" t="n">
        <v>31</v>
      </c>
      <c r="B36" s="31" t="n">
        <v>39873</v>
      </c>
      <c r="C36" s="321" t="n">
        <v>484400</v>
      </c>
      <c r="D36" s="1" t="s">
        <v>41</v>
      </c>
      <c r="E36" s="33" t="n">
        <f aca="false">IF(D36="totale",(C36/(A36*24))/F36,IF(D36="marché libre",(C36/(A36*24))/G36,"spécifier histo"))</f>
        <v>0.617718471363571</v>
      </c>
      <c r="F36" s="59" t="n">
        <v>1054</v>
      </c>
      <c r="G36" s="59" t="n">
        <f aca="false">1054</f>
        <v>1054</v>
      </c>
      <c r="H36" s="59" t="n">
        <f aca="false">0</f>
        <v>0</v>
      </c>
      <c r="I36" s="9"/>
      <c r="J36" s="205"/>
      <c r="K36" s="206"/>
    </row>
    <row r="37" customFormat="false" ht="23" hidden="false" customHeight="true" outlineLevel="0" collapsed="false">
      <c r="A37" s="0" t="n">
        <v>30</v>
      </c>
      <c r="B37" s="34" t="n">
        <v>39904</v>
      </c>
      <c r="C37" s="321" t="n">
        <v>316000</v>
      </c>
      <c r="D37" s="1" t="s">
        <v>41</v>
      </c>
      <c r="E37" s="33" t="n">
        <f aca="false">IF(D37="totale",(C37/(A37*24))/F37,IF(D37="marché libre",(C37/(A37*24))/G37,"spécifier histo"))</f>
        <v>0.41640312038794</v>
      </c>
      <c r="F37" s="59" t="n">
        <v>1054</v>
      </c>
      <c r="G37" s="59" t="n">
        <f aca="false">1054</f>
        <v>1054</v>
      </c>
      <c r="H37" s="59" t="n">
        <f aca="false">0</f>
        <v>0</v>
      </c>
      <c r="I37" s="9"/>
      <c r="J37" s="205"/>
      <c r="K37" s="206"/>
    </row>
    <row r="38" customFormat="false" ht="23" hidden="false" customHeight="true" outlineLevel="0" collapsed="false">
      <c r="A38" s="0" t="n">
        <v>31</v>
      </c>
      <c r="B38" s="31" t="n">
        <v>39934</v>
      </c>
      <c r="C38" s="321" t="n">
        <v>359200</v>
      </c>
      <c r="D38" s="1" t="s">
        <v>41</v>
      </c>
      <c r="E38" s="33" t="n">
        <f aca="false">IF(D38="totale",(C38/(A38*24))/F38,IF(D38="marché libre",(C38/(A38*24))/G38,"spécifier histo"))</f>
        <v>0.458060435412458</v>
      </c>
      <c r="F38" s="59" t="n">
        <v>1054</v>
      </c>
      <c r="G38" s="59" t="n">
        <f aca="false">1054</f>
        <v>1054</v>
      </c>
      <c r="H38" s="59" t="n">
        <f aca="false">0</f>
        <v>0</v>
      </c>
      <c r="I38" s="9"/>
      <c r="J38" s="205"/>
      <c r="K38" s="206"/>
    </row>
    <row r="39" customFormat="false" ht="23" hidden="false" customHeight="true" outlineLevel="0" collapsed="false">
      <c r="A39" s="0" t="n">
        <v>30</v>
      </c>
      <c r="B39" s="34" t="n">
        <v>39965</v>
      </c>
      <c r="C39" s="321" t="n">
        <v>354400</v>
      </c>
      <c r="D39" s="1" t="s">
        <v>41</v>
      </c>
      <c r="E39" s="33" t="n">
        <f aca="false">IF(D39="totale",(C39/(A39*24))/F39,IF(D39="marché libre",(C39/(A39*24))/G39,"spécifier histo"))</f>
        <v>0.467004005903437</v>
      </c>
      <c r="F39" s="59" t="n">
        <v>1054</v>
      </c>
      <c r="G39" s="59" t="n">
        <f aca="false">1054</f>
        <v>1054</v>
      </c>
      <c r="H39" s="59" t="n">
        <f aca="false">0</f>
        <v>0</v>
      </c>
      <c r="I39" s="9"/>
      <c r="J39" s="205"/>
      <c r="K39" s="206"/>
    </row>
    <row r="40" customFormat="false" ht="23" hidden="false" customHeight="true" outlineLevel="0" collapsed="false">
      <c r="A40" s="0" t="n">
        <v>31</v>
      </c>
      <c r="B40" s="31" t="n">
        <v>39995</v>
      </c>
      <c r="C40" s="321" t="n">
        <v>171600</v>
      </c>
      <c r="D40" s="1" t="s">
        <v>41</v>
      </c>
      <c r="E40" s="33" t="n">
        <f aca="false">IF(D40="totale",(C40/(A40*24))/F40,IF(D40="marché libre",(C40/(A40*24))/G40,"spécifier histo"))</f>
        <v>0.218828426271653</v>
      </c>
      <c r="F40" s="59" t="n">
        <v>1054</v>
      </c>
      <c r="G40" s="59" t="n">
        <f aca="false">1054</f>
        <v>1054</v>
      </c>
      <c r="H40" s="59" t="n">
        <f aca="false">0</f>
        <v>0</v>
      </c>
      <c r="I40" s="9"/>
      <c r="J40" s="205"/>
      <c r="K40" s="206"/>
    </row>
    <row r="41" customFormat="false" ht="23" hidden="false" customHeight="true" outlineLevel="0" collapsed="false">
      <c r="A41" s="0" t="n">
        <v>31</v>
      </c>
      <c r="B41" s="34" t="n">
        <v>40026</v>
      </c>
      <c r="C41" s="321" t="n">
        <v>100000</v>
      </c>
      <c r="D41" s="1" t="s">
        <v>41</v>
      </c>
      <c r="E41" s="33" t="n">
        <f aca="false">IF(D41="totale",(C41/(A41*24))/F41,IF(D41="marché libre",(C41/(A41*24))/G41,"spécifier histo"))</f>
        <v>0.127522392932199</v>
      </c>
      <c r="F41" s="59" t="n">
        <v>1054</v>
      </c>
      <c r="G41" s="59" t="n">
        <f aca="false">1054</f>
        <v>1054</v>
      </c>
      <c r="H41" s="59" t="n">
        <f aca="false">0</f>
        <v>0</v>
      </c>
      <c r="I41" s="9"/>
      <c r="J41" s="205"/>
      <c r="K41" s="206"/>
    </row>
    <row r="42" customFormat="false" ht="23" hidden="false" customHeight="true" outlineLevel="0" collapsed="false">
      <c r="A42" s="0" t="n">
        <v>30</v>
      </c>
      <c r="B42" s="31" t="n">
        <v>40057</v>
      </c>
      <c r="C42" s="321" t="n">
        <v>54400</v>
      </c>
      <c r="D42" s="1" t="s">
        <v>41</v>
      </c>
      <c r="E42" s="33" t="n">
        <f aca="false">IF(D42="totale",(C42/(A42*24))/F42,IF(D42="marché libre",(C42/(A42*24))/G42,"spécifier histo"))</f>
        <v>0.0716845878136201</v>
      </c>
      <c r="F42" s="59" t="n">
        <v>1054</v>
      </c>
      <c r="G42" s="59" t="n">
        <f aca="false">1054</f>
        <v>1054</v>
      </c>
      <c r="H42" s="59" t="n">
        <f aca="false">0</f>
        <v>0</v>
      </c>
      <c r="I42" s="9"/>
      <c r="J42" s="205"/>
      <c r="K42" s="206"/>
    </row>
    <row r="43" customFormat="false" ht="23" hidden="false" customHeight="true" outlineLevel="0" collapsed="false">
      <c r="A43" s="0" t="n">
        <v>31</v>
      </c>
      <c r="B43" s="34" t="n">
        <v>40087</v>
      </c>
      <c r="C43" s="321" t="n">
        <v>141600</v>
      </c>
      <c r="D43" s="1" t="s">
        <v>41</v>
      </c>
      <c r="E43" s="33" t="n">
        <f aca="false">IF(D43="totale",(C43/(A43*24))/F43,IF(D43="marché libre",(C43/(A43*24))/G43,"spécifier histo"))</f>
        <v>0.180571708391994</v>
      </c>
      <c r="F43" s="59" t="n">
        <v>1054</v>
      </c>
      <c r="G43" s="59" t="n">
        <f aca="false">1054</f>
        <v>1054</v>
      </c>
      <c r="H43" s="59" t="n">
        <f aca="false">0</f>
        <v>0</v>
      </c>
      <c r="I43" s="9"/>
      <c r="J43" s="205"/>
      <c r="K43" s="206"/>
    </row>
    <row r="44" customFormat="false" ht="23" hidden="false" customHeight="true" outlineLevel="0" collapsed="false">
      <c r="A44" s="0" t="n">
        <v>30</v>
      </c>
      <c r="B44" s="31" t="n">
        <v>40118</v>
      </c>
      <c r="C44" s="321" t="n">
        <v>401600</v>
      </c>
      <c r="D44" s="1" t="s">
        <v>41</v>
      </c>
      <c r="E44" s="33" t="n">
        <f aca="false">IF(D44="totale",(C44/(A44*24))/F44,IF(D44="marché libre",(C44/(A44*24))/G44,"spécifier histo"))</f>
        <v>0.529200927682901</v>
      </c>
      <c r="F44" s="59" t="n">
        <v>1054</v>
      </c>
      <c r="G44" s="59" t="n">
        <f aca="false">1054</f>
        <v>1054</v>
      </c>
      <c r="H44" s="59" t="n">
        <f aca="false">0</f>
        <v>0</v>
      </c>
      <c r="I44" s="9"/>
      <c r="J44" s="205"/>
      <c r="K44" s="206"/>
    </row>
    <row r="45" customFormat="false" ht="23" hidden="false" customHeight="true" outlineLevel="0" collapsed="false">
      <c r="A45" s="0" t="n">
        <v>31</v>
      </c>
      <c r="B45" s="34" t="n">
        <v>40148</v>
      </c>
      <c r="C45" s="321" t="n">
        <v>542800</v>
      </c>
      <c r="D45" s="1" t="s">
        <v>41</v>
      </c>
      <c r="E45" s="33" t="n">
        <f aca="false">IF(D45="totale",(C45/(A45*24))/F45,IF(D45="marché libre",(C45/(A45*24))/G45,"spécifier histo"))</f>
        <v>0.692191548835976</v>
      </c>
      <c r="F45" s="59" t="n">
        <v>1054</v>
      </c>
      <c r="G45" s="59" t="n">
        <f aca="false">1054</f>
        <v>1054</v>
      </c>
      <c r="H45" s="59" t="n">
        <f aca="false">0</f>
        <v>0</v>
      </c>
      <c r="I45" s="9"/>
      <c r="J45" s="205"/>
      <c r="K45" s="206"/>
    </row>
    <row r="46" customFormat="false" ht="23" hidden="false" customHeight="true" outlineLevel="0" collapsed="false">
      <c r="A46" s="0" t="n">
        <v>31</v>
      </c>
      <c r="B46" s="31" t="n">
        <v>40179</v>
      </c>
      <c r="C46" s="321" t="n">
        <v>492000</v>
      </c>
      <c r="D46" s="1" t="s">
        <v>41</v>
      </c>
      <c r="E46" s="33" t="n">
        <f aca="false">IF(D46="totale",(C46/(A46*24))/F46,IF(D46="marché libre",(C46/(A46*24))/G46,"spécifier histo"))</f>
        <v>0.627410173226419</v>
      </c>
      <c r="F46" s="59" t="n">
        <v>1054</v>
      </c>
      <c r="G46" s="59" t="n">
        <f aca="false">1054</f>
        <v>1054</v>
      </c>
      <c r="H46" s="59" t="n">
        <f aca="false">0</f>
        <v>0</v>
      </c>
      <c r="I46" s="9"/>
      <c r="J46" s="205"/>
      <c r="K46" s="206"/>
    </row>
    <row r="47" customFormat="false" ht="23" hidden="false" customHeight="true" outlineLevel="0" collapsed="false">
      <c r="A47" s="0" t="n">
        <v>28</v>
      </c>
      <c r="B47" s="34" t="n">
        <v>40210</v>
      </c>
      <c r="C47" s="321" t="n">
        <v>486400</v>
      </c>
      <c r="D47" s="1" t="s">
        <v>41</v>
      </c>
      <c r="E47" s="33" t="n">
        <f aca="false">IF(D47="totale",(C47/(A47*24))/F47,IF(D47="marché libre",(C47/(A47*24))/G47,"spécifier histo"))</f>
        <v>0.686726303424596</v>
      </c>
      <c r="F47" s="59" t="n">
        <v>1054</v>
      </c>
      <c r="G47" s="59" t="n">
        <f aca="false">1054</f>
        <v>1054</v>
      </c>
      <c r="H47" s="59" t="n">
        <f aca="false">0</f>
        <v>0</v>
      </c>
      <c r="I47" s="9"/>
      <c r="J47" s="205"/>
      <c r="K47" s="206"/>
    </row>
    <row r="48" customFormat="false" ht="23" hidden="false" customHeight="true" outlineLevel="0" collapsed="false">
      <c r="A48" s="0" t="n">
        <v>31</v>
      </c>
      <c r="B48" s="31" t="n">
        <v>40238</v>
      </c>
      <c r="C48" s="321" t="n">
        <v>564400</v>
      </c>
      <c r="D48" s="1" t="s">
        <v>41</v>
      </c>
      <c r="E48" s="33" t="n">
        <f aca="false">IF(D48="totale",(C48/(A48*24))/F48,IF(D48="marché libre",(C48/(A48*24))/G48,"spécifier histo"))</f>
        <v>0.719736385709331</v>
      </c>
      <c r="F48" s="59" t="n">
        <v>1054</v>
      </c>
      <c r="G48" s="59" t="n">
        <f aca="false">1054</f>
        <v>1054</v>
      </c>
      <c r="H48" s="59" t="n">
        <f aca="false">0</f>
        <v>0</v>
      </c>
      <c r="I48" s="9"/>
      <c r="J48" s="205"/>
      <c r="K48" s="206"/>
    </row>
    <row r="49" customFormat="false" ht="23" hidden="false" customHeight="true" outlineLevel="0" collapsed="false">
      <c r="A49" s="0" t="n">
        <v>30</v>
      </c>
      <c r="B49" s="34" t="n">
        <v>40269</v>
      </c>
      <c r="C49" s="321" t="n">
        <v>553600</v>
      </c>
      <c r="D49" s="1" t="s">
        <v>41</v>
      </c>
      <c r="E49" s="33" t="n">
        <f aca="false">IF(D49="totale",(C49/(A49*24))/F49,IF(D49="marché libre",(C49/(A49*24))/G49,"spécifier histo"))</f>
        <v>0.729496099515075</v>
      </c>
      <c r="F49" s="59" t="n">
        <v>1054</v>
      </c>
      <c r="G49" s="59" t="n">
        <f aca="false">1054</f>
        <v>1054</v>
      </c>
      <c r="H49" s="59" t="n">
        <f aca="false">0</f>
        <v>0</v>
      </c>
      <c r="I49" s="9"/>
      <c r="J49" s="205"/>
      <c r="K49" s="206"/>
    </row>
    <row r="50" customFormat="false" ht="23" hidden="false" customHeight="true" outlineLevel="0" collapsed="false">
      <c r="A50" s="0" t="n">
        <v>31</v>
      </c>
      <c r="B50" s="31" t="n">
        <v>40299</v>
      </c>
      <c r="C50" s="321" t="n">
        <v>408800</v>
      </c>
      <c r="D50" s="1" t="s">
        <v>41</v>
      </c>
      <c r="E50" s="33" t="n">
        <f aca="false">IF(D50="totale",(C50/(A50*24))/F50,IF(D50="marché libre",(C50/(A50*24))/G50,"spécifier histo"))</f>
        <v>0.521311542306829</v>
      </c>
      <c r="F50" s="59" t="n">
        <v>1054</v>
      </c>
      <c r="G50" s="59" t="n">
        <f aca="false">1054</f>
        <v>1054</v>
      </c>
      <c r="H50" s="59" t="n">
        <f aca="false">0</f>
        <v>0</v>
      </c>
      <c r="I50" s="9"/>
      <c r="J50" s="205"/>
      <c r="K50" s="206"/>
    </row>
    <row r="51" customFormat="false" ht="23" hidden="false" customHeight="true" outlineLevel="0" collapsed="false">
      <c r="A51" s="0" t="n">
        <v>30</v>
      </c>
      <c r="B51" s="34" t="n">
        <v>40330</v>
      </c>
      <c r="C51" s="321" t="n">
        <v>484000</v>
      </c>
      <c r="D51" s="1" t="s">
        <v>41</v>
      </c>
      <c r="E51" s="33" t="n">
        <f aca="false">IF(D51="totale",(C51/(A51*24))/F51,IF(D51="marché libre",(C51/(A51*24))/G51,"spécifier histo"))</f>
        <v>0.637781994518237</v>
      </c>
      <c r="F51" s="59" t="n">
        <v>1054</v>
      </c>
      <c r="G51" s="59" t="n">
        <f aca="false">1054</f>
        <v>1054</v>
      </c>
      <c r="H51" s="59" t="n">
        <f aca="false">0</f>
        <v>0</v>
      </c>
      <c r="I51" s="9"/>
      <c r="J51" s="205"/>
      <c r="K51" s="206"/>
    </row>
    <row r="52" customFormat="false" ht="23" hidden="false" customHeight="true" outlineLevel="0" collapsed="false">
      <c r="A52" s="0" t="n">
        <v>31</v>
      </c>
      <c r="B52" s="31" t="n">
        <v>40360</v>
      </c>
      <c r="C52" s="321" t="n">
        <v>178000</v>
      </c>
      <c r="D52" s="1" t="s">
        <v>41</v>
      </c>
      <c r="E52" s="33" t="n">
        <f aca="false">IF(D52="totale",(C52/(A52*24))/F52,IF(D52="marché libre",(C52/(A52*24))/G52,"spécifier histo"))</f>
        <v>0.226989859419314</v>
      </c>
      <c r="F52" s="59" t="n">
        <v>1054</v>
      </c>
      <c r="G52" s="59" t="n">
        <f aca="false">1054</f>
        <v>1054</v>
      </c>
      <c r="H52" s="59" t="n">
        <f aca="false">0</f>
        <v>0</v>
      </c>
      <c r="I52" s="9"/>
      <c r="J52" s="205"/>
      <c r="K52" s="206"/>
    </row>
    <row r="53" customFormat="false" ht="23" hidden="false" customHeight="true" outlineLevel="0" collapsed="false">
      <c r="A53" s="0" t="n">
        <v>31</v>
      </c>
      <c r="B53" s="34" t="n">
        <v>40391</v>
      </c>
      <c r="C53" s="321" t="n">
        <v>56400</v>
      </c>
      <c r="D53" s="1" t="s">
        <v>41</v>
      </c>
      <c r="E53" s="33" t="n">
        <f aca="false">IF(D53="totale",(C53/(A53*24))/F53,IF(D53="marché libre",(C53/(A53*24))/G53,"spécifier histo"))</f>
        <v>0.0719226296137602</v>
      </c>
      <c r="F53" s="59" t="n">
        <v>1054</v>
      </c>
      <c r="G53" s="59" t="n">
        <f aca="false">1054</f>
        <v>1054</v>
      </c>
      <c r="H53" s="59" t="n">
        <f aca="false">0</f>
        <v>0</v>
      </c>
      <c r="I53" s="9"/>
      <c r="J53" s="205"/>
      <c r="K53" s="206"/>
    </row>
    <row r="54" customFormat="false" ht="23" hidden="false" customHeight="true" outlineLevel="0" collapsed="false">
      <c r="A54" s="0" t="n">
        <v>30</v>
      </c>
      <c r="B54" s="31" t="n">
        <v>40422</v>
      </c>
      <c r="C54" s="321" t="n">
        <v>150400</v>
      </c>
      <c r="D54" s="1" t="s">
        <v>41</v>
      </c>
      <c r="E54" s="33" t="n">
        <f aca="false">IF(D54="totale",(C54/(A54*24))/F54,IF(D54="marché libre",(C54/(A54*24))/G54,"spécifier histo"))</f>
        <v>0.198186801602361</v>
      </c>
      <c r="F54" s="59" t="n">
        <v>1054</v>
      </c>
      <c r="G54" s="59" t="n">
        <f aca="false">1054</f>
        <v>1054</v>
      </c>
      <c r="H54" s="59" t="n">
        <f aca="false">0</f>
        <v>0</v>
      </c>
      <c r="I54" s="9"/>
      <c r="J54" s="205"/>
      <c r="K54" s="206"/>
    </row>
    <row r="55" customFormat="false" ht="23" hidden="false" customHeight="true" outlineLevel="0" collapsed="false">
      <c r="A55" s="0" t="n">
        <v>31</v>
      </c>
      <c r="B55" s="34" t="n">
        <v>40452</v>
      </c>
      <c r="C55" s="321" t="n">
        <v>480800</v>
      </c>
      <c r="D55" s="1" t="s">
        <v>41</v>
      </c>
      <c r="E55" s="33" t="n">
        <f aca="false">IF(D55="totale",(C55/(A55*24))/F55,IF(D55="marché libre",(C55/(A55*24))/G55,"spécifier histo"))</f>
        <v>0.613127665218012</v>
      </c>
      <c r="F55" s="59" t="n">
        <v>1054</v>
      </c>
      <c r="G55" s="59" t="n">
        <f aca="false">1054</f>
        <v>1054</v>
      </c>
      <c r="H55" s="59" t="n">
        <f aca="false">0</f>
        <v>0</v>
      </c>
      <c r="I55" s="9"/>
      <c r="J55" s="205"/>
      <c r="K55" s="206"/>
    </row>
    <row r="56" customFormat="false" ht="23" hidden="false" customHeight="true" outlineLevel="0" collapsed="false">
      <c r="A56" s="0" t="n">
        <v>30</v>
      </c>
      <c r="B56" s="31" t="n">
        <v>40483</v>
      </c>
      <c r="C56" s="321" t="n">
        <v>390000</v>
      </c>
      <c r="D56" s="1" t="s">
        <v>41</v>
      </c>
      <c r="E56" s="33" t="n">
        <f aca="false">IF(D56="totale",(C56/(A56*24))/F56,IF(D56="marché libre",(C56/(A56*24))/G56,"spécifier histo"))</f>
        <v>0.513915243516762</v>
      </c>
      <c r="F56" s="59" t="n">
        <v>1054</v>
      </c>
      <c r="G56" s="59" t="n">
        <f aca="false">1054</f>
        <v>1054</v>
      </c>
      <c r="H56" s="59" t="n">
        <f aca="false">0</f>
        <v>0</v>
      </c>
      <c r="I56" s="9"/>
      <c r="J56" s="205"/>
      <c r="K56" s="206"/>
    </row>
    <row r="57" customFormat="false" ht="23" hidden="false" customHeight="true" outlineLevel="0" collapsed="false">
      <c r="A57" s="0" t="n">
        <v>31</v>
      </c>
      <c r="B57" s="34" t="n">
        <v>40513</v>
      </c>
      <c r="C57" s="321" t="n">
        <v>436400</v>
      </c>
      <c r="D57" s="1" t="s">
        <v>41</v>
      </c>
      <c r="E57" s="33" t="n">
        <f aca="false">IF(D57="totale",(C57/(A57*24))/F57,IF(D57="marché libre",(C57/(A57*24))/G57,"spécifier histo"))</f>
        <v>0.556507722756116</v>
      </c>
      <c r="F57" s="59" t="n">
        <v>1054</v>
      </c>
      <c r="G57" s="59" t="n">
        <f aca="false">1054</f>
        <v>1054</v>
      </c>
      <c r="H57" s="59" t="n">
        <f aca="false">0</f>
        <v>0</v>
      </c>
      <c r="I57" s="9"/>
      <c r="J57" s="205"/>
      <c r="K57" s="206"/>
    </row>
    <row r="58" customFormat="false" ht="23" hidden="false" customHeight="true" outlineLevel="0" collapsed="false">
      <c r="A58" s="0" t="n">
        <v>31</v>
      </c>
      <c r="B58" s="31" t="n">
        <v>40544</v>
      </c>
      <c r="C58" s="321" t="n">
        <v>560400</v>
      </c>
      <c r="D58" s="1" t="s">
        <v>41</v>
      </c>
      <c r="E58" s="33" t="n">
        <f aca="false">IF(D58="totale",(C58/(A58*24))/F58,IF(D58="marché libre",(C58/(A58*24))/G58,"spécifier histo"))</f>
        <v>0.714635489992043</v>
      </c>
      <c r="F58" s="59" t="n">
        <v>1054</v>
      </c>
      <c r="G58" s="59" t="n">
        <f aca="false">1054</f>
        <v>1054</v>
      </c>
      <c r="H58" s="59" t="n">
        <f aca="false">0</f>
        <v>0</v>
      </c>
      <c r="I58" s="9"/>
      <c r="J58" s="205"/>
      <c r="K58" s="206"/>
    </row>
    <row r="59" customFormat="false" ht="23" hidden="false" customHeight="true" outlineLevel="0" collapsed="false">
      <c r="A59" s="0" t="n">
        <v>28</v>
      </c>
      <c r="B59" s="34" t="n">
        <v>40575</v>
      </c>
      <c r="C59" s="321" t="n">
        <v>517600</v>
      </c>
      <c r="D59" s="1" t="s">
        <v>41</v>
      </c>
      <c r="E59" s="33" t="n">
        <f aca="false">IF(D59="totale",(C59/(A59*24))/F59,IF(D59="marché libre",(C59/(A59*24))/G59,"spécifier histo"))</f>
        <v>0.730776181440318</v>
      </c>
      <c r="F59" s="59" t="n">
        <v>1054</v>
      </c>
      <c r="G59" s="59" t="n">
        <f aca="false">1054</f>
        <v>1054</v>
      </c>
      <c r="H59" s="59" t="n">
        <f aca="false">0</f>
        <v>0</v>
      </c>
      <c r="I59" s="9"/>
      <c r="J59" s="205"/>
      <c r="K59" s="206"/>
    </row>
    <row r="60" customFormat="false" ht="23" hidden="false" customHeight="true" outlineLevel="0" collapsed="false">
      <c r="A60" s="0" t="n">
        <v>31</v>
      </c>
      <c r="B60" s="31" t="n">
        <v>40603</v>
      </c>
      <c r="C60" s="321" t="n">
        <v>493600</v>
      </c>
      <c r="D60" s="1" t="s">
        <v>41</v>
      </c>
      <c r="E60" s="33" t="n">
        <f aca="false">IF(D60="totale",(C60/(A60*24))/F60,IF(D60="marché libre",(C60/(A60*24))/G60,"spécifier histo"))</f>
        <v>0.629450531513334</v>
      </c>
      <c r="F60" s="59" t="n">
        <v>1054</v>
      </c>
      <c r="G60" s="59" t="n">
        <f aca="false">1054</f>
        <v>1054</v>
      </c>
      <c r="H60" s="59" t="n">
        <f aca="false">0</f>
        <v>0</v>
      </c>
      <c r="I60" s="9"/>
      <c r="J60" s="205"/>
      <c r="K60" s="206"/>
    </row>
    <row r="61" customFormat="false" ht="23" hidden="false" customHeight="true" outlineLevel="0" collapsed="false">
      <c r="A61" s="0" t="n">
        <v>30</v>
      </c>
      <c r="B61" s="34" t="n">
        <v>40634</v>
      </c>
      <c r="C61" s="321" t="n">
        <v>395600</v>
      </c>
      <c r="D61" s="1" t="s">
        <v>41</v>
      </c>
      <c r="E61" s="33" t="n">
        <f aca="false">IF(D61="totale",(C61/(A61*24))/F61,IF(D61="marché libre",(C61/(A61*24))/G61,"spécifier histo"))</f>
        <v>0.521294539321105</v>
      </c>
      <c r="F61" s="59" t="n">
        <v>1054</v>
      </c>
      <c r="G61" s="59" t="n">
        <f aca="false">1054</f>
        <v>1054</v>
      </c>
      <c r="H61" s="59" t="n">
        <f aca="false">0</f>
        <v>0</v>
      </c>
      <c r="I61" s="9"/>
      <c r="J61" s="205"/>
      <c r="K61" s="206"/>
    </row>
    <row r="62" customFormat="false" ht="23" hidden="false" customHeight="true" outlineLevel="0" collapsed="false">
      <c r="A62" s="0" t="n">
        <v>31</v>
      </c>
      <c r="B62" s="31" t="n">
        <v>40664</v>
      </c>
      <c r="C62" s="321" t="n">
        <v>66000</v>
      </c>
      <c r="D62" s="1" t="s">
        <v>41</v>
      </c>
      <c r="E62" s="33" t="n">
        <f aca="false">IF(D62="totale",(C62/(A62*24))/F62,IF(D62="marché libre",(C62/(A62*24))/G62,"spécifier histo"))</f>
        <v>0.0841647793352513</v>
      </c>
      <c r="F62" s="59" t="n">
        <v>1054</v>
      </c>
      <c r="G62" s="59" t="n">
        <f aca="false">1054</f>
        <v>1054</v>
      </c>
      <c r="H62" s="59" t="n">
        <f aca="false">0</f>
        <v>0</v>
      </c>
      <c r="I62" s="9"/>
      <c r="J62" s="205"/>
      <c r="K62" s="206"/>
    </row>
    <row r="63" customFormat="false" ht="23" hidden="false" customHeight="true" outlineLevel="0" collapsed="false">
      <c r="A63" s="0" t="n">
        <v>30</v>
      </c>
      <c r="B63" s="34" t="n">
        <v>40695</v>
      </c>
      <c r="C63" s="321" t="n">
        <v>34000</v>
      </c>
      <c r="D63" s="1" t="s">
        <v>41</v>
      </c>
      <c r="E63" s="33" t="n">
        <f aca="false">IF(D63="totale",(C63/(A63*24))/F63,IF(D63="marché libre",(C63/(A63*24))/G63,"spécifier histo"))</f>
        <v>0.0448028673835125</v>
      </c>
      <c r="F63" s="59" t="n">
        <v>1054</v>
      </c>
      <c r="G63" s="59" t="n">
        <f aca="false">1054</f>
        <v>1054</v>
      </c>
      <c r="H63" s="59" t="n">
        <f aca="false">0</f>
        <v>0</v>
      </c>
      <c r="I63" s="9"/>
      <c r="J63" s="205"/>
      <c r="K63" s="206"/>
    </row>
    <row r="64" customFormat="false" ht="23" hidden="false" customHeight="true" outlineLevel="0" collapsed="false">
      <c r="A64" s="0" t="n">
        <v>31</v>
      </c>
      <c r="B64" s="31" t="n">
        <v>40725</v>
      </c>
      <c r="C64" s="321" t="n">
        <v>76400</v>
      </c>
      <c r="D64" s="1" t="s">
        <v>41</v>
      </c>
      <c r="E64" s="33" t="n">
        <f aca="false">IF(D64="totale",(C64/(A64*24))/F64,IF(D64="marché libre",(C64/(A64*24))/G64,"spécifier histo"))</f>
        <v>0.0974271082002</v>
      </c>
      <c r="F64" s="59" t="n">
        <v>1054</v>
      </c>
      <c r="G64" s="59" t="n">
        <f aca="false">1054</f>
        <v>1054</v>
      </c>
      <c r="H64" s="59" t="n">
        <f aca="false">0</f>
        <v>0</v>
      </c>
      <c r="I64" s="9"/>
      <c r="J64" s="205"/>
      <c r="K64" s="206"/>
    </row>
    <row r="65" customFormat="false" ht="23" hidden="false" customHeight="true" outlineLevel="0" collapsed="false">
      <c r="A65" s="0" t="n">
        <v>31</v>
      </c>
      <c r="B65" s="34" t="n">
        <v>40756</v>
      </c>
      <c r="C65" s="321" t="n">
        <v>52400</v>
      </c>
      <c r="D65" s="1" t="s">
        <v>41</v>
      </c>
      <c r="E65" s="33" t="n">
        <f aca="false">IF(D65="totale",(C65/(A65*24))/F65,IF(D65="marché libre",(C65/(A65*24))/G65,"spécifier histo"))</f>
        <v>0.0668217338964722</v>
      </c>
      <c r="F65" s="59" t="n">
        <v>1054</v>
      </c>
      <c r="G65" s="59" t="n">
        <f aca="false">1054</f>
        <v>1054</v>
      </c>
      <c r="H65" s="59" t="n">
        <f aca="false">0</f>
        <v>0</v>
      </c>
      <c r="I65" s="9"/>
      <c r="J65" s="205"/>
      <c r="K65" s="206"/>
    </row>
    <row r="66" customFormat="false" ht="23" hidden="false" customHeight="true" outlineLevel="0" collapsed="false">
      <c r="A66" s="0" t="n">
        <v>30</v>
      </c>
      <c r="B66" s="31" t="n">
        <v>40787</v>
      </c>
      <c r="C66" s="321" t="n">
        <v>68400</v>
      </c>
      <c r="D66" s="1" t="s">
        <v>41</v>
      </c>
      <c r="E66" s="33" t="n">
        <f aca="false">IF(D66="totale",(C66/(A66*24))/F66,IF(D66="marché libre",(C66/(A66*24))/G66,"spécifier histo"))</f>
        <v>0.0901328273244782</v>
      </c>
      <c r="F66" s="59" t="n">
        <v>1054</v>
      </c>
      <c r="G66" s="59" t="n">
        <f aca="false">1054</f>
        <v>1054</v>
      </c>
      <c r="H66" s="59" t="n">
        <f aca="false">0</f>
        <v>0</v>
      </c>
      <c r="I66" s="9"/>
      <c r="J66" s="205"/>
      <c r="K66" s="206"/>
    </row>
    <row r="67" customFormat="false" ht="23" hidden="false" customHeight="true" outlineLevel="0" collapsed="false">
      <c r="A67" s="0" t="n">
        <v>31</v>
      </c>
      <c r="B67" s="34" t="n">
        <v>40817</v>
      </c>
      <c r="C67" s="321" t="n">
        <v>39600</v>
      </c>
      <c r="D67" s="1" t="s">
        <v>41</v>
      </c>
      <c r="E67" s="33" t="n">
        <f aca="false">IF(D67="totale",(C67/(A67*24))/F67,IF(D67="marché libre",(C67/(A67*24))/G67,"spécifier histo"))</f>
        <v>0.0504988676011508</v>
      </c>
      <c r="F67" s="59" t="n">
        <v>1054</v>
      </c>
      <c r="G67" s="59" t="n">
        <f aca="false">1054</f>
        <v>1054</v>
      </c>
      <c r="H67" s="59" t="n">
        <f aca="false">0</f>
        <v>0</v>
      </c>
      <c r="I67" s="9"/>
      <c r="J67" s="205"/>
      <c r="K67" s="206"/>
    </row>
    <row r="68" customFormat="false" ht="23" hidden="false" customHeight="true" outlineLevel="0" collapsed="false">
      <c r="A68" s="0" t="n">
        <v>30</v>
      </c>
      <c r="B68" s="31" t="n">
        <v>40848</v>
      </c>
      <c r="C68" s="321" t="n">
        <v>144400</v>
      </c>
      <c r="D68" s="1" t="s">
        <v>41</v>
      </c>
      <c r="E68" s="33" t="n">
        <f aca="false">IF(D68="totale",(C68/(A68*24))/F68,IF(D68="marché libre",(C68/(A68*24))/G68,"spécifier histo"))</f>
        <v>0.190280413240565</v>
      </c>
      <c r="F68" s="59" t="n">
        <v>1054</v>
      </c>
      <c r="G68" s="59" t="n">
        <f aca="false">1054</f>
        <v>1054</v>
      </c>
      <c r="H68" s="59" t="n">
        <f aca="false">0</f>
        <v>0</v>
      </c>
      <c r="I68" s="9"/>
      <c r="J68" s="205"/>
      <c r="K68" s="206"/>
    </row>
    <row r="69" customFormat="false" ht="23" hidden="false" customHeight="true" outlineLevel="0" collapsed="false">
      <c r="A69" s="0" t="n">
        <v>31</v>
      </c>
      <c r="B69" s="34" t="n">
        <v>40878</v>
      </c>
      <c r="C69" s="321" t="n">
        <v>466000</v>
      </c>
      <c r="D69" s="1" t="s">
        <v>41</v>
      </c>
      <c r="E69" s="33" t="n">
        <f aca="false">IF(D69="totale",(C69/(A69*24))/F69,IF(D69="marché libre",(C69/(A69*24))/G69,"spécifier histo"))</f>
        <v>0.594254351064047</v>
      </c>
      <c r="F69" s="59" t="n">
        <v>1054</v>
      </c>
      <c r="G69" s="59" t="n">
        <f aca="false">1054</f>
        <v>1054</v>
      </c>
      <c r="H69" s="59" t="n">
        <f aca="false">0</f>
        <v>0</v>
      </c>
      <c r="I69" s="9"/>
      <c r="J69" s="205"/>
      <c r="K69" s="206"/>
    </row>
    <row r="70" customFormat="false" ht="23" hidden="false" customHeight="true" outlineLevel="0" collapsed="false">
      <c r="A70" s="0" t="n">
        <v>31</v>
      </c>
      <c r="B70" s="31" t="n">
        <v>40909</v>
      </c>
      <c r="C70" s="321" t="n">
        <v>377200</v>
      </c>
      <c r="D70" s="1" t="s">
        <v>41</v>
      </c>
      <c r="E70" s="33" t="n">
        <f aca="false">IF(D70="totale",(C70/(A70*24))/F70,IF(D70="marché libre",(C70/(A70*24))/G70,"spécifier histo"))</f>
        <v>0.481014466140254</v>
      </c>
      <c r="F70" s="59" t="n">
        <v>1054</v>
      </c>
      <c r="G70" s="59" t="n">
        <f aca="false">1054</f>
        <v>1054</v>
      </c>
      <c r="H70" s="59" t="n">
        <f aca="false">0</f>
        <v>0</v>
      </c>
      <c r="I70" s="9"/>
      <c r="J70" s="205"/>
      <c r="K70" s="206"/>
    </row>
    <row r="71" customFormat="false" ht="23" hidden="false" customHeight="true" outlineLevel="0" collapsed="false">
      <c r="A71" s="0" t="n">
        <v>31</v>
      </c>
      <c r="B71" s="34" t="n">
        <v>40940</v>
      </c>
      <c r="C71" s="321" t="n">
        <v>595600</v>
      </c>
      <c r="D71" s="1" t="s">
        <v>41</v>
      </c>
      <c r="E71" s="33" t="n">
        <f aca="false">IF(D71="totale",(C71/(A71*24))/F71,IF(D71="marché libre",(C71/(A71*24))/G71,"spécifier histo"))</f>
        <v>0.759523372304177</v>
      </c>
      <c r="F71" s="59" t="n">
        <v>1054</v>
      </c>
      <c r="G71" s="59" t="n">
        <f aca="false">1054</f>
        <v>1054</v>
      </c>
      <c r="H71" s="59" t="n">
        <f aca="false">0</f>
        <v>0</v>
      </c>
      <c r="I71" s="9"/>
      <c r="J71" s="205"/>
      <c r="K71" s="206"/>
    </row>
    <row r="72" customFormat="false" ht="23" hidden="false" customHeight="true" outlineLevel="0" collapsed="false">
      <c r="A72" s="0" t="n">
        <v>30</v>
      </c>
      <c r="B72" s="31" t="n">
        <v>40969</v>
      </c>
      <c r="C72" s="321" t="n">
        <v>356000</v>
      </c>
      <c r="D72" s="1" t="s">
        <v>41</v>
      </c>
      <c r="E72" s="33" t="n">
        <f aca="false">IF(D72="totale",(C72/(A72*24))/F72,IF(D72="marché libre",(C72/(A72*24))/G72,"spécifier histo"))</f>
        <v>0.469112376133249</v>
      </c>
      <c r="F72" s="59" t="n">
        <v>1054</v>
      </c>
      <c r="G72" s="59" t="n">
        <f aca="false">1054</f>
        <v>1054</v>
      </c>
      <c r="H72" s="59" t="n">
        <f aca="false">0</f>
        <v>0</v>
      </c>
      <c r="I72" s="9"/>
      <c r="J72" s="205"/>
      <c r="K72" s="206"/>
    </row>
    <row r="73" customFormat="false" ht="23" hidden="false" customHeight="true" outlineLevel="0" collapsed="false">
      <c r="A73" s="0" t="n">
        <v>31</v>
      </c>
      <c r="B73" s="34" t="n">
        <v>41000</v>
      </c>
      <c r="C73" s="321" t="n">
        <v>394000</v>
      </c>
      <c r="D73" s="1" t="s">
        <v>41</v>
      </c>
      <c r="E73" s="33" t="n">
        <f aca="false">IF(D73="totale",(C73/(A73*24))/F73,IF(D73="marché libre",(C73/(A73*24))/G73,"spécifier histo"))</f>
        <v>0.502438228152864</v>
      </c>
      <c r="F73" s="59" t="n">
        <v>1054</v>
      </c>
      <c r="G73" s="59" t="n">
        <f aca="false">1054</f>
        <v>1054</v>
      </c>
      <c r="H73" s="59" t="n">
        <f aca="false">0</f>
        <v>0</v>
      </c>
      <c r="I73" s="9"/>
      <c r="J73" s="205"/>
      <c r="K73" s="206"/>
    </row>
    <row r="74" customFormat="false" ht="23" hidden="false" customHeight="true" outlineLevel="0" collapsed="false">
      <c r="A74" s="0" t="n">
        <v>30</v>
      </c>
      <c r="B74" s="31" t="n">
        <v>41030</v>
      </c>
      <c r="C74" s="321" t="n">
        <v>310400</v>
      </c>
      <c r="D74" s="1" t="s">
        <v>41</v>
      </c>
      <c r="E74" s="33" t="n">
        <f aca="false">IF(D74="totale",(C74/(A74*24))/F74,IF(D74="marché libre",(C74/(A74*24))/G74,"spécifier histo"))</f>
        <v>0.409023824583597</v>
      </c>
      <c r="F74" s="59" t="n">
        <v>1054</v>
      </c>
      <c r="G74" s="59" t="n">
        <f aca="false">1054</f>
        <v>1054</v>
      </c>
      <c r="H74" s="59" t="n">
        <f aca="false">0</f>
        <v>0</v>
      </c>
      <c r="I74" s="9"/>
      <c r="J74" s="205"/>
      <c r="K74" s="206"/>
    </row>
    <row r="75" customFormat="false" ht="23" hidden="false" customHeight="true" outlineLevel="0" collapsed="false">
      <c r="A75" s="0" t="n">
        <v>31</v>
      </c>
      <c r="B75" s="34" t="n">
        <v>41061</v>
      </c>
      <c r="C75" s="321" t="n">
        <v>483780</v>
      </c>
      <c r="D75" s="1" t="s">
        <v>41</v>
      </c>
      <c r="E75" s="33" t="n">
        <f aca="false">IF(D75="totale",(C75/(A75*24))/F75,IF(D75="marché libre",(C75/(A75*24))/G75,"spécifier histo"))</f>
        <v>0.616927832527392</v>
      </c>
      <c r="F75" s="59" t="n">
        <v>1054</v>
      </c>
      <c r="G75" s="59" t="n">
        <f aca="false">1054</f>
        <v>1054</v>
      </c>
      <c r="H75" s="59" t="n">
        <f aca="false">0</f>
        <v>0</v>
      </c>
      <c r="I75" s="9"/>
      <c r="J75" s="205"/>
      <c r="K75" s="206"/>
    </row>
    <row r="76" customFormat="false" ht="23" hidden="false" customHeight="true" outlineLevel="0" collapsed="false">
      <c r="A76" s="0" t="n">
        <v>31</v>
      </c>
      <c r="B76" s="31" t="n">
        <v>41091</v>
      </c>
      <c r="C76" s="321" t="n">
        <v>146070</v>
      </c>
      <c r="D76" s="1" t="s">
        <v>41</v>
      </c>
      <c r="E76" s="33" t="n">
        <f aca="false">IF(D76="totale",(C76/(A76*24))/F76,IF(D76="marché libre",(C76/(A76*24))/G76,"spécifier histo"))</f>
        <v>0.186271959356063</v>
      </c>
      <c r="F76" s="59" t="n">
        <v>1054</v>
      </c>
      <c r="G76" s="59" t="n">
        <f aca="false">1054</f>
        <v>1054</v>
      </c>
      <c r="H76" s="59" t="n">
        <f aca="false">0</f>
        <v>0</v>
      </c>
      <c r="I76" s="9"/>
      <c r="J76" s="205"/>
      <c r="K76" s="206"/>
    </row>
    <row r="77" customFormat="false" ht="23" hidden="false" customHeight="true" outlineLevel="0" collapsed="false">
      <c r="A77" s="0" t="n">
        <v>31</v>
      </c>
      <c r="B77" s="34" t="n">
        <v>41122</v>
      </c>
      <c r="C77" s="321" t="n">
        <v>160738</v>
      </c>
      <c r="D77" s="1" t="s">
        <v>41</v>
      </c>
      <c r="E77" s="33" t="n">
        <f aca="false">IF(D77="totale",(C77/(A77*24))/F77,IF(D77="marché libre",(C77/(A77*24))/G77,"spécifier histo"))</f>
        <v>0.204976943951358</v>
      </c>
      <c r="F77" s="59" t="n">
        <v>1054</v>
      </c>
      <c r="G77" s="59" t="n">
        <f aca="false">1054</f>
        <v>1054</v>
      </c>
      <c r="H77" s="59" t="n">
        <f aca="false">0</f>
        <v>0</v>
      </c>
      <c r="I77" s="9"/>
      <c r="J77" s="205"/>
      <c r="K77" s="206"/>
    </row>
    <row r="78" customFormat="false" ht="23" hidden="false" customHeight="true" outlineLevel="0" collapsed="false">
      <c r="A78" s="0" t="n">
        <v>30</v>
      </c>
      <c r="B78" s="31" t="n">
        <v>41153</v>
      </c>
      <c r="C78" s="321" t="n">
        <v>189991</v>
      </c>
      <c r="D78" s="1" t="s">
        <v>41</v>
      </c>
      <c r="E78" s="33" t="n">
        <f aca="false">IF(D78="totale",(C78/(A78*24))/F78,IF(D78="marché libre",(C78/(A78*24))/G78,"spécifier histo"))</f>
        <v>0.250357105207674</v>
      </c>
      <c r="F78" s="59" t="n">
        <v>1054</v>
      </c>
      <c r="G78" s="59" t="n">
        <f aca="false">1054</f>
        <v>1054</v>
      </c>
      <c r="H78" s="59" t="n">
        <f aca="false">0</f>
        <v>0</v>
      </c>
      <c r="I78" s="9"/>
      <c r="J78" s="205"/>
      <c r="K78" s="206"/>
    </row>
    <row r="79" customFormat="false" ht="23" hidden="false" customHeight="true" outlineLevel="0" collapsed="false">
      <c r="A79" s="0" t="n">
        <v>31</v>
      </c>
      <c r="B79" s="34" t="n">
        <v>41183</v>
      </c>
      <c r="C79" s="321" t="n">
        <v>113396</v>
      </c>
      <c r="D79" s="1" t="s">
        <v>41</v>
      </c>
      <c r="E79" s="33" t="n">
        <f aca="false">IF(D79="totale",(C79/(A79*24))/F79,IF(D79="marché libre",(C79/(A79*24))/G79,"spécifier histo"))</f>
        <v>0.144605292689396</v>
      </c>
      <c r="F79" s="59" t="n">
        <v>1054</v>
      </c>
      <c r="G79" s="59" t="n">
        <f aca="false">1054</f>
        <v>1054</v>
      </c>
      <c r="H79" s="59" t="n">
        <f aca="false">0</f>
        <v>0</v>
      </c>
      <c r="I79" s="9"/>
      <c r="J79" s="205"/>
      <c r="K79" s="206"/>
    </row>
    <row r="80" customFormat="false" ht="20.5" hidden="false" customHeight="true" outlineLevel="0" collapsed="false">
      <c r="A80" s="0" t="n">
        <v>30</v>
      </c>
      <c r="B80" s="31" t="n">
        <v>41214</v>
      </c>
      <c r="C80" s="321" t="n">
        <v>244308</v>
      </c>
      <c r="D80" s="1" t="s">
        <v>41</v>
      </c>
      <c r="E80" s="33" t="n">
        <f aca="false">IF(D80="totale",(C80/(A80*24))/F80,IF(D80="marché libre",(C80/(A80*24))/G80,"spécifier histo"))</f>
        <v>0.321932321315623</v>
      </c>
      <c r="F80" s="59" t="n">
        <v>1054</v>
      </c>
      <c r="G80" s="59" t="n">
        <f aca="false">1054</f>
        <v>1054</v>
      </c>
      <c r="H80" s="59" t="n">
        <f aca="false">0</f>
        <v>0</v>
      </c>
      <c r="I80" s="9"/>
      <c r="J80" s="0"/>
      <c r="K80" s="0"/>
      <c r="L80" s="0"/>
      <c r="M80" s="0"/>
      <c r="N80" s="0"/>
      <c r="O80" s="0"/>
      <c r="P80" s="0"/>
      <c r="Q80" s="0"/>
      <c r="R80" s="0"/>
      <c r="S80" s="0"/>
      <c r="T80" s="0"/>
      <c r="U80" s="0"/>
      <c r="V80" s="0"/>
    </row>
    <row r="81" customFormat="false" ht="20.5" hidden="false" customHeight="true" outlineLevel="0" collapsed="false">
      <c r="A81" s="0" t="n">
        <v>31</v>
      </c>
      <c r="B81" s="34" t="n">
        <v>41244</v>
      </c>
      <c r="C81" s="321" t="n">
        <v>513274</v>
      </c>
      <c r="D81" s="1" t="s">
        <v>41</v>
      </c>
      <c r="E81" s="33" t="n">
        <f aca="false">IF(D81="totale",(C81/(A81*24))/F81,IF(D81="marché libre",(C81/(A81*24))/G81,"spécifier histo"))</f>
        <v>0.654539287098815</v>
      </c>
      <c r="F81" s="59" t="n">
        <v>1054</v>
      </c>
      <c r="G81" s="59" t="n">
        <f aca="false">1054</f>
        <v>1054</v>
      </c>
      <c r="H81" s="59" t="n">
        <f aca="false">0</f>
        <v>0</v>
      </c>
      <c r="I81" s="9"/>
      <c r="J81" s="0"/>
      <c r="K81" s="0"/>
      <c r="L81" s="0"/>
      <c r="M81" s="0"/>
      <c r="N81" s="0"/>
      <c r="O81" s="0"/>
      <c r="P81" s="0"/>
      <c r="Q81" s="0"/>
      <c r="R81" s="0"/>
      <c r="S81" s="0"/>
      <c r="T81" s="0"/>
      <c r="U81" s="0"/>
      <c r="V81" s="0"/>
    </row>
    <row r="82" customFormat="false" ht="20.5" hidden="false" customHeight="true" outlineLevel="0" collapsed="false">
      <c r="A82" s="0" t="n">
        <v>31</v>
      </c>
      <c r="B82" s="31" t="n">
        <v>41275</v>
      </c>
      <c r="C82" s="321" t="n">
        <v>314956</v>
      </c>
      <c r="D82" s="1" t="s">
        <v>41</v>
      </c>
      <c r="E82" s="33" t="n">
        <f aca="false">IF(D82="totale",(C82/(A82*24))/F82,IF(D82="marché libre",(C82/(A82*24))/G82,"spécifier histo"))</f>
        <v>0.401639427883536</v>
      </c>
      <c r="F82" s="59" t="n">
        <v>1054</v>
      </c>
      <c r="G82" s="59" t="n">
        <f aca="false">1054</f>
        <v>1054</v>
      </c>
      <c r="H82" s="59" t="n">
        <f aca="false">0</f>
        <v>0</v>
      </c>
      <c r="I82" s="9"/>
      <c r="J82" s="0"/>
      <c r="K82" s="0"/>
      <c r="L82" s="0"/>
      <c r="M82" s="0"/>
      <c r="N82" s="0"/>
      <c r="O82" s="0"/>
      <c r="P82" s="0"/>
      <c r="Q82" s="0"/>
      <c r="R82" s="0"/>
      <c r="S82" s="0"/>
      <c r="T82" s="0"/>
      <c r="U82" s="0"/>
      <c r="V82" s="0"/>
    </row>
    <row r="83" customFormat="false" ht="20.5" hidden="false" customHeight="true" outlineLevel="0" collapsed="false">
      <c r="A83" s="0" t="n">
        <v>28</v>
      </c>
      <c r="B83" s="34" t="n">
        <v>41306</v>
      </c>
      <c r="C83" s="321" t="n">
        <v>177367</v>
      </c>
      <c r="D83" s="1" t="s">
        <v>41</v>
      </c>
      <c r="E83" s="33" t="n">
        <f aca="false">IF(D83="totale",(C83/(A83*24))/F83,IF(D83="marché libre",(C83/(A83*24))/G83,"spécifier histo"))</f>
        <v>0.250416497244059</v>
      </c>
      <c r="F83" s="59" t="n">
        <v>1054</v>
      </c>
      <c r="G83" s="59" t="n">
        <f aca="false">1054</f>
        <v>1054</v>
      </c>
      <c r="H83" s="59" t="n">
        <f aca="false">0</f>
        <v>0</v>
      </c>
      <c r="I83" s="9"/>
      <c r="J83" s="0"/>
      <c r="K83" s="0"/>
      <c r="L83" s="0"/>
      <c r="M83" s="0"/>
      <c r="N83" s="0"/>
      <c r="O83" s="0"/>
      <c r="P83" s="0"/>
      <c r="Q83" s="0"/>
      <c r="R83" s="0"/>
      <c r="S83" s="0"/>
      <c r="T83" s="0"/>
      <c r="U83" s="0"/>
      <c r="V83" s="0"/>
    </row>
    <row r="84" customFormat="false" ht="20.5" hidden="false" customHeight="true" outlineLevel="0" collapsed="false">
      <c r="A84" s="0" t="n">
        <v>31</v>
      </c>
      <c r="B84" s="31" t="n">
        <v>41334</v>
      </c>
      <c r="C84" s="321" t="n">
        <v>447965</v>
      </c>
      <c r="D84" s="1" t="s">
        <v>41</v>
      </c>
      <c r="E84" s="33" t="n">
        <f aca="false">IF(D84="totale",(C84/(A84*24))/F84,IF(D84="marché libre",(C84/(A84*24))/G84,"spécifier histo"))</f>
        <v>0.571255687498725</v>
      </c>
      <c r="F84" s="59" t="n">
        <v>1054</v>
      </c>
      <c r="G84" s="59" t="n">
        <f aca="false">1054</f>
        <v>1054</v>
      </c>
      <c r="H84" s="59" t="n">
        <f aca="false">0</f>
        <v>0</v>
      </c>
      <c r="I84" s="9"/>
      <c r="J84" s="0"/>
      <c r="K84" s="0"/>
      <c r="L84" s="0"/>
      <c r="M84" s="0"/>
      <c r="N84" s="0"/>
      <c r="O84" s="0"/>
      <c r="P84" s="0"/>
      <c r="Q84" s="0"/>
      <c r="R84" s="0"/>
      <c r="S84" s="0"/>
      <c r="T84" s="0"/>
      <c r="U84" s="0"/>
      <c r="V84" s="0"/>
    </row>
    <row r="85" customFormat="false" ht="20.5" hidden="false" customHeight="true" outlineLevel="0" collapsed="false">
      <c r="A85" s="0" t="n">
        <v>30</v>
      </c>
      <c r="B85" s="34" t="n">
        <v>41365</v>
      </c>
      <c r="C85" s="321" t="n">
        <v>342368</v>
      </c>
      <c r="D85" s="1" t="s">
        <v>41</v>
      </c>
      <c r="E85" s="33" t="n">
        <f aca="false">IF(D85="totale",(C85/(A85*24))/F85,IF(D85="marché libre",(C85/(A85*24))/G85,"spécifier histo"))</f>
        <v>0.451149061775248</v>
      </c>
      <c r="F85" s="59" t="n">
        <v>1054</v>
      </c>
      <c r="G85" s="59" t="n">
        <f aca="false">1054</f>
        <v>1054</v>
      </c>
      <c r="H85" s="59" t="n">
        <f aca="false">0</f>
        <v>0</v>
      </c>
      <c r="I85" s="9"/>
      <c r="J85" s="0"/>
      <c r="K85" s="0"/>
      <c r="L85" s="0"/>
      <c r="M85" s="0"/>
      <c r="N85" s="0"/>
      <c r="O85" s="0"/>
      <c r="P85" s="0"/>
      <c r="Q85" s="0"/>
      <c r="R85" s="0"/>
      <c r="S85" s="0"/>
      <c r="T85" s="0"/>
      <c r="U85" s="0"/>
      <c r="V85" s="0"/>
    </row>
    <row r="86" customFormat="false" ht="20.5" hidden="false" customHeight="true" outlineLevel="0" collapsed="false">
      <c r="A86" s="0" t="n">
        <v>31</v>
      </c>
      <c r="B86" s="31" t="n">
        <v>41395</v>
      </c>
      <c r="C86" s="321" t="n">
        <v>324937</v>
      </c>
      <c r="D86" s="1" t="s">
        <v>41</v>
      </c>
      <c r="E86" s="33" t="n">
        <f aca="false">IF(D86="totale",(C86/(A86*24))/F86,IF(D86="marché libre",(C86/(A86*24))/G86,"spécifier histo"))</f>
        <v>0.414367437922099</v>
      </c>
      <c r="F86" s="59" t="n">
        <v>1054</v>
      </c>
      <c r="G86" s="59" t="n">
        <f aca="false">1054</f>
        <v>1054</v>
      </c>
      <c r="H86" s="59" t="n">
        <f aca="false">0</f>
        <v>0</v>
      </c>
      <c r="I86" s="9"/>
      <c r="J86" s="0"/>
      <c r="K86" s="0"/>
      <c r="L86" s="0"/>
      <c r="M86" s="0"/>
      <c r="N86" s="0"/>
      <c r="O86" s="0"/>
      <c r="P86" s="0"/>
      <c r="Q86" s="0"/>
      <c r="R86" s="0"/>
      <c r="S86" s="0"/>
      <c r="T86" s="0"/>
      <c r="U86" s="0"/>
      <c r="V86" s="0"/>
    </row>
    <row r="87" customFormat="false" ht="20.5" hidden="false" customHeight="true" outlineLevel="0" collapsed="false">
      <c r="A87" s="0" t="n">
        <v>30</v>
      </c>
      <c r="B87" s="34" t="n">
        <v>41426</v>
      </c>
      <c r="C87" s="321" t="n">
        <v>291799</v>
      </c>
      <c r="D87" s="1" t="s">
        <v>41</v>
      </c>
      <c r="E87" s="33" t="n">
        <f aca="false">IF(D87="totale",(C87/(A87*24))/F87,IF(D87="marché libre",(C87/(A87*24))/G87,"spécifier histo"))</f>
        <v>0.384512702930635</v>
      </c>
      <c r="F87" s="59" t="n">
        <v>1054</v>
      </c>
      <c r="G87" s="59" t="n">
        <f aca="false">1054</f>
        <v>1054</v>
      </c>
      <c r="H87" s="59" t="n">
        <f aca="false">0</f>
        <v>0</v>
      </c>
      <c r="I87" s="9"/>
      <c r="J87" s="0"/>
      <c r="K87" s="0"/>
      <c r="L87" s="0"/>
      <c r="M87" s="0"/>
      <c r="N87" s="0"/>
      <c r="O87" s="0"/>
      <c r="P87" s="0"/>
      <c r="Q87" s="0"/>
      <c r="R87" s="0"/>
      <c r="S87" s="0"/>
      <c r="T87" s="0"/>
      <c r="U87" s="0"/>
      <c r="V87" s="0"/>
    </row>
    <row r="88" customFormat="false" ht="20.5" hidden="false" customHeight="true" outlineLevel="0" collapsed="false">
      <c r="A88" s="0" t="n">
        <v>31</v>
      </c>
      <c r="B88" s="31" t="n">
        <v>41456</v>
      </c>
      <c r="C88" s="321" t="n">
        <v>309456</v>
      </c>
      <c r="D88" s="1" t="s">
        <v>41</v>
      </c>
      <c r="E88" s="33" t="n">
        <f aca="false">IF(D88="totale",(C88/(A88*24))/F88,IF(D88="marché libre",(C88/(A88*24))/G88,"spécifier histo"))</f>
        <v>0.394625696272265</v>
      </c>
      <c r="F88" s="59" t="n">
        <v>1054</v>
      </c>
      <c r="G88" s="59" t="n">
        <f aca="false">1054</f>
        <v>1054</v>
      </c>
      <c r="H88" s="59" t="n">
        <f aca="false">0</f>
        <v>0</v>
      </c>
      <c r="I88" s="9"/>
      <c r="J88" s="0"/>
      <c r="K88" s="0"/>
      <c r="L88" s="0"/>
      <c r="M88" s="0"/>
      <c r="N88" s="0"/>
      <c r="O88" s="0"/>
      <c r="P88" s="0"/>
      <c r="Q88" s="0"/>
      <c r="R88" s="0"/>
      <c r="S88" s="0"/>
      <c r="T88" s="0"/>
      <c r="U88" s="0"/>
      <c r="V88" s="0"/>
    </row>
    <row r="89" customFormat="false" ht="20.5" hidden="false" customHeight="true" outlineLevel="0" collapsed="false">
      <c r="A89" s="0" t="n">
        <v>31</v>
      </c>
      <c r="B89" s="34" t="n">
        <v>41487</v>
      </c>
      <c r="C89" s="321" t="n">
        <v>339853</v>
      </c>
      <c r="D89" s="1" t="s">
        <v>41</v>
      </c>
      <c r="E89" s="33" t="n">
        <f aca="false">IF(D89="totale",(C89/(A89*24))/F89,IF(D89="marché libre",(C89/(A89*24))/G89,"spécifier histo"))</f>
        <v>0.433388678051866</v>
      </c>
      <c r="F89" s="59" t="n">
        <v>1054</v>
      </c>
      <c r="G89" s="59" t="n">
        <f aca="false">1054</f>
        <v>1054</v>
      </c>
      <c r="H89" s="59" t="n">
        <f aca="false">0</f>
        <v>0</v>
      </c>
      <c r="I89" s="9"/>
    </row>
    <row r="90" customFormat="false" ht="20.5" hidden="false" customHeight="true" outlineLevel="0" collapsed="false">
      <c r="A90" s="0" t="n">
        <v>30</v>
      </c>
      <c r="B90" s="31" t="n">
        <v>41518</v>
      </c>
      <c r="C90" s="321" t="n">
        <v>235815</v>
      </c>
      <c r="D90" s="1" t="s">
        <v>41</v>
      </c>
      <c r="E90" s="33" t="n">
        <f aca="false">IF(D90="totale",(C90/(A90*24))/F90,IF(D90="marché libre",(C90/(A90*24))/G90,"spécifier histo"))</f>
        <v>0.3107408285895</v>
      </c>
      <c r="F90" s="59" t="n">
        <v>1054</v>
      </c>
      <c r="G90" s="59" t="n">
        <f aca="false">1054</f>
        <v>1054</v>
      </c>
      <c r="H90" s="59" t="n">
        <f aca="false">0</f>
        <v>0</v>
      </c>
      <c r="I90" s="9"/>
      <c r="L90" s="0"/>
      <c r="M90" s="0"/>
      <c r="N90" s="0"/>
      <c r="O90" s="0"/>
      <c r="P90" s="0"/>
      <c r="Q90" s="0"/>
      <c r="R90" s="0"/>
      <c r="S90" s="0"/>
      <c r="T90" s="0"/>
      <c r="U90" s="0"/>
      <c r="V90" s="0"/>
    </row>
    <row r="91" customFormat="false" ht="20.5" hidden="false" customHeight="true" outlineLevel="0" collapsed="false">
      <c r="A91" s="0" t="n">
        <v>31</v>
      </c>
      <c r="B91" s="34" t="n">
        <v>41548</v>
      </c>
      <c r="C91" s="321" t="n">
        <v>326781</v>
      </c>
      <c r="D91" s="1" t="s">
        <v>41</v>
      </c>
      <c r="E91" s="33" t="n">
        <f aca="false">IF(D91="totale",(C91/(A91*24))/F91,IF(D91="marché libre",(C91/(A91*24))/G91,"spécifier histo"))</f>
        <v>0.416718950847769</v>
      </c>
      <c r="F91" s="59" t="n">
        <v>1054</v>
      </c>
      <c r="G91" s="59" t="n">
        <f aca="false">1054</f>
        <v>1054</v>
      </c>
      <c r="H91" s="59" t="n">
        <f aca="false">0</f>
        <v>0</v>
      </c>
      <c r="I91" s="9"/>
      <c r="L91" s="0"/>
      <c r="M91" s="0"/>
      <c r="N91" s="0"/>
      <c r="O91" s="0"/>
      <c r="P91" s="0"/>
      <c r="Q91" s="0"/>
      <c r="R91" s="0"/>
      <c r="S91" s="0"/>
      <c r="T91" s="0"/>
      <c r="U91" s="0"/>
      <c r="V91" s="0"/>
    </row>
    <row r="92" customFormat="false" ht="20.5" hidden="false" customHeight="true" outlineLevel="0" collapsed="false">
      <c r="A92" s="0" t="n">
        <v>30</v>
      </c>
      <c r="B92" s="31" t="n">
        <v>41579</v>
      </c>
      <c r="C92" s="321" t="n">
        <v>245818</v>
      </c>
      <c r="D92" s="1" t="s">
        <v>41</v>
      </c>
      <c r="E92" s="33" t="n">
        <f aca="false">IF(D92="totale",(C92/(A92*24))/F92,IF(D92="marché libre",(C92/(A92*24))/G92,"spécifier histo"))</f>
        <v>0.323922095720008</v>
      </c>
      <c r="F92" s="59" t="n">
        <v>1054</v>
      </c>
      <c r="G92" s="59" t="n">
        <f aca="false">1054</f>
        <v>1054</v>
      </c>
      <c r="H92" s="59" t="n">
        <f aca="false">0</f>
        <v>0</v>
      </c>
      <c r="I92" s="9"/>
      <c r="L92" s="0"/>
      <c r="M92" s="0"/>
      <c r="N92" s="0"/>
      <c r="O92" s="0"/>
      <c r="P92" s="0"/>
      <c r="Q92" s="0"/>
      <c r="R92" s="0"/>
      <c r="S92" s="0"/>
      <c r="T92" s="0"/>
      <c r="U92" s="0"/>
      <c r="V92" s="0"/>
    </row>
    <row r="93" customFormat="false" ht="20.5" hidden="false" customHeight="true" outlineLevel="0" collapsed="false">
      <c r="A93" s="0" t="n">
        <v>31</v>
      </c>
      <c r="B93" s="34" t="n">
        <v>41609</v>
      </c>
      <c r="C93" s="321" t="n">
        <v>513965</v>
      </c>
      <c r="D93" s="1" t="s">
        <v>41</v>
      </c>
      <c r="E93" s="33" t="n">
        <f aca="false">IF(D93="totale",(C93/(A93*24))/F93,IF(D93="marché libre",(C93/(A93*24))/G93,"spécifier histo"))</f>
        <v>0.655420466833976</v>
      </c>
      <c r="F93" s="59" t="n">
        <v>1054</v>
      </c>
      <c r="G93" s="59" t="n">
        <f aca="false">1054</f>
        <v>1054</v>
      </c>
      <c r="H93" s="59" t="n">
        <f aca="false">0</f>
        <v>0</v>
      </c>
      <c r="I93" s="9"/>
      <c r="L93" s="0"/>
      <c r="M93" s="0"/>
      <c r="N93" s="0"/>
      <c r="O93" s="0"/>
      <c r="P93" s="0"/>
      <c r="Q93" s="0"/>
      <c r="R93" s="0"/>
      <c r="S93" s="0"/>
      <c r="T93" s="0"/>
      <c r="U93" s="0"/>
      <c r="V93" s="0"/>
    </row>
    <row r="94" customFormat="false" ht="20.5" hidden="false" customHeight="true" outlineLevel="0" collapsed="false">
      <c r="A94" s="0" t="n">
        <v>31</v>
      </c>
      <c r="B94" s="31" t="n">
        <v>41640</v>
      </c>
      <c r="C94" s="321" t="n">
        <v>388384</v>
      </c>
      <c r="D94" s="1" t="s">
        <v>41</v>
      </c>
      <c r="E94" s="33" t="n">
        <f aca="false">IF(D94="totale",(C94/(A94*24))/F94,IF(D94="marché libre",(C94/(A94*24))/G94,"spécifier histo"))</f>
        <v>0.495276570565791</v>
      </c>
      <c r="F94" s="59" t="n">
        <v>1054</v>
      </c>
      <c r="G94" s="59" t="n">
        <f aca="false">1054</f>
        <v>1054</v>
      </c>
      <c r="H94" s="59" t="n">
        <f aca="false">0</f>
        <v>0</v>
      </c>
      <c r="I94" s="9"/>
      <c r="L94" s="0"/>
      <c r="M94" s="0"/>
      <c r="N94" s="0"/>
      <c r="O94" s="0"/>
      <c r="P94" s="0"/>
      <c r="Q94" s="0"/>
      <c r="R94" s="0"/>
      <c r="S94" s="0"/>
      <c r="T94" s="0"/>
      <c r="U94" s="0"/>
      <c r="V94" s="0"/>
    </row>
    <row r="95" customFormat="false" ht="20.5" hidden="false" customHeight="true" outlineLevel="0" collapsed="false">
      <c r="A95" s="0" t="n">
        <v>28</v>
      </c>
      <c r="B95" s="34" t="n">
        <v>41671</v>
      </c>
      <c r="C95" s="321" t="n">
        <v>102773</v>
      </c>
      <c r="D95" s="1" t="s">
        <v>41</v>
      </c>
      <c r="E95" s="33" t="n">
        <f aca="false">IF(D95="totale",(C95/(A95*24))/F95,IF(D95="marché libre",(C95/(A95*24))/G95,"spécifier histo"))</f>
        <v>0.145100580554803</v>
      </c>
      <c r="F95" s="59" t="n">
        <v>1054</v>
      </c>
      <c r="G95" s="59" t="n">
        <f aca="false">1054</f>
        <v>1054</v>
      </c>
      <c r="H95" s="59" t="n">
        <f aca="false">0</f>
        <v>0</v>
      </c>
      <c r="I95" s="9"/>
      <c r="L95" s="0"/>
      <c r="M95" s="0"/>
      <c r="N95" s="0"/>
      <c r="O95" s="0"/>
      <c r="P95" s="0"/>
      <c r="Q95" s="0"/>
      <c r="R95" s="0"/>
      <c r="S95" s="0"/>
      <c r="T95" s="0"/>
      <c r="U95" s="0"/>
      <c r="V95" s="0"/>
    </row>
    <row r="96" customFormat="false" ht="20.5" hidden="false" customHeight="true" outlineLevel="0" collapsed="false">
      <c r="A96" s="0" t="n">
        <v>31</v>
      </c>
      <c r="B96" s="31" t="n">
        <v>41699</v>
      </c>
      <c r="C96" s="321" t="n">
        <v>308384</v>
      </c>
      <c r="D96" s="1" t="s">
        <v>41</v>
      </c>
      <c r="E96" s="33" t="n">
        <f aca="false">IF(D96="totale",(C96/(A96*24))/F96,IF(D96="marché libre",(C96/(A96*24))/G96,"spécifier histo"))</f>
        <v>0.393258656220032</v>
      </c>
      <c r="F96" s="59" t="n">
        <v>1054</v>
      </c>
      <c r="G96" s="59" t="n">
        <f aca="false">1054</f>
        <v>1054</v>
      </c>
      <c r="H96" s="59" t="n">
        <f aca="false">0</f>
        <v>0</v>
      </c>
      <c r="I96" s="9"/>
      <c r="L96" s="0"/>
      <c r="M96" s="0"/>
      <c r="N96" s="0"/>
      <c r="O96" s="0"/>
      <c r="P96" s="0"/>
      <c r="Q96" s="0"/>
      <c r="R96" s="0"/>
      <c r="S96" s="0"/>
      <c r="T96" s="0"/>
      <c r="U96" s="0"/>
      <c r="V96" s="0"/>
    </row>
    <row r="97" customFormat="false" ht="20.5" hidden="false" customHeight="true" outlineLevel="0" collapsed="false">
      <c r="A97" s="0" t="n">
        <v>30</v>
      </c>
      <c r="B97" s="34" t="n">
        <v>41730</v>
      </c>
      <c r="C97" s="321" t="n">
        <v>502730</v>
      </c>
      <c r="D97" s="1" t="s">
        <v>41</v>
      </c>
      <c r="E97" s="33" t="n">
        <f aca="false">IF(D97="totale",(C97/(A97*24))/F97,IF(D97="marché libre",(C97/(A97*24))/G97,"spécifier histo"))</f>
        <v>0.662463103520978</v>
      </c>
      <c r="F97" s="59" t="n">
        <v>1054</v>
      </c>
      <c r="G97" s="59" t="n">
        <f aca="false">1054</f>
        <v>1054</v>
      </c>
      <c r="H97" s="59" t="n">
        <f aca="false">0</f>
        <v>0</v>
      </c>
      <c r="I97" s="9"/>
      <c r="L97" s="0"/>
      <c r="M97" s="0"/>
      <c r="N97" s="0"/>
      <c r="O97" s="0"/>
      <c r="P97" s="0"/>
      <c r="Q97" s="0"/>
      <c r="R97" s="0"/>
      <c r="S97" s="0"/>
      <c r="T97" s="0"/>
      <c r="U97" s="0"/>
      <c r="V97" s="0"/>
    </row>
    <row r="98" customFormat="false" ht="20.5" hidden="false" customHeight="true" outlineLevel="0" collapsed="false">
      <c r="A98" s="0" t="n">
        <v>31</v>
      </c>
      <c r="B98" s="31" t="n">
        <v>41760</v>
      </c>
      <c r="C98" s="321" t="n">
        <v>447648</v>
      </c>
      <c r="D98" s="1" t="s">
        <v>41</v>
      </c>
      <c r="E98" s="33" t="n">
        <f aca="false">IF(D98="totale",(C98/(A98*24))/F98,IF(D98="marché libre",(C98/(A98*24))/G98,"spécifier histo"))</f>
        <v>0.57085144151313</v>
      </c>
      <c r="F98" s="59" t="n">
        <v>1054</v>
      </c>
      <c r="G98" s="59" t="n">
        <f aca="false">1054</f>
        <v>1054</v>
      </c>
      <c r="H98" s="59" t="n">
        <f aca="false">0</f>
        <v>0</v>
      </c>
      <c r="I98" s="9"/>
      <c r="L98" s="0"/>
      <c r="M98" s="0"/>
      <c r="N98" s="0"/>
      <c r="O98" s="0"/>
      <c r="P98" s="0"/>
      <c r="Q98" s="0"/>
      <c r="R98" s="0"/>
      <c r="S98" s="0"/>
      <c r="T98" s="0"/>
      <c r="U98" s="0"/>
      <c r="V98" s="0"/>
    </row>
    <row r="99" customFormat="false" ht="20.5" hidden="false" customHeight="true" outlineLevel="0" collapsed="false">
      <c r="A99" s="0" t="n">
        <v>30</v>
      </c>
      <c r="B99" s="34" t="n">
        <v>41791</v>
      </c>
      <c r="C99" s="321" t="n">
        <v>61681</v>
      </c>
      <c r="D99" s="1" t="s">
        <v>41</v>
      </c>
      <c r="E99" s="33" t="n">
        <f aca="false">IF(D99="totale",(C99/(A99*24))/F99,IF(D99="marché libre",(C99/(A99*24))/G99,"spécifier histo"))</f>
        <v>0.0812789900906599</v>
      </c>
      <c r="F99" s="59" t="n">
        <v>1054</v>
      </c>
      <c r="G99" s="59" t="n">
        <f aca="false">1054</f>
        <v>1054</v>
      </c>
      <c r="H99" s="59" t="n">
        <f aca="false">0</f>
        <v>0</v>
      </c>
      <c r="I99" s="9"/>
      <c r="L99" s="0"/>
      <c r="M99" s="0"/>
      <c r="N99" s="0"/>
      <c r="O99" s="0"/>
      <c r="P99" s="0"/>
      <c r="Q99" s="0"/>
      <c r="R99" s="0"/>
      <c r="S99" s="0"/>
      <c r="T99" s="0"/>
      <c r="U99" s="0"/>
      <c r="V99" s="0"/>
    </row>
    <row r="100" customFormat="false" ht="20.5" hidden="false" customHeight="true" outlineLevel="0" collapsed="false">
      <c r="A100" s="0" t="n">
        <v>31</v>
      </c>
      <c r="B100" s="31" t="n">
        <v>41821</v>
      </c>
      <c r="C100" s="321" t="n">
        <v>250620</v>
      </c>
      <c r="D100" s="1" t="s">
        <v>41</v>
      </c>
      <c r="E100" s="33" t="n">
        <f aca="false">IF(D100="totale",(C100/(A100*24))/F100,IF(D100="marché libre",(C100/(A100*24))/G100,"spécifier histo"))</f>
        <v>0.319596621166677</v>
      </c>
      <c r="F100" s="59" t="n">
        <v>1054</v>
      </c>
      <c r="G100" s="59" t="n">
        <f aca="false">1054</f>
        <v>1054</v>
      </c>
      <c r="H100" s="59" t="n">
        <f aca="false">0</f>
        <v>0</v>
      </c>
      <c r="I100" s="9"/>
      <c r="L100" s="0"/>
      <c r="M100" s="0"/>
      <c r="N100" s="0"/>
      <c r="O100" s="0"/>
      <c r="P100" s="0"/>
      <c r="Q100" s="0"/>
      <c r="R100" s="0"/>
      <c r="S100" s="0"/>
      <c r="T100" s="0"/>
      <c r="U100" s="0"/>
      <c r="V100" s="0"/>
    </row>
    <row r="101" customFormat="false" ht="20.5" hidden="false" customHeight="true" outlineLevel="0" collapsed="false">
      <c r="A101" s="0" t="n">
        <v>31</v>
      </c>
      <c r="B101" s="34" t="n">
        <v>41852</v>
      </c>
      <c r="C101" s="321" t="n">
        <v>290411</v>
      </c>
      <c r="D101" s="1" t="s">
        <v>41</v>
      </c>
      <c r="E101" s="33" t="n">
        <f aca="false">IF(D101="totale",(C101/(A101*24))/F101,IF(D101="marché libre",(C101/(A101*24))/G101,"spécifier histo"))</f>
        <v>0.370339056538328</v>
      </c>
      <c r="F101" s="59" t="n">
        <v>1054</v>
      </c>
      <c r="G101" s="59" t="n">
        <f aca="false">1054</f>
        <v>1054</v>
      </c>
      <c r="H101" s="59" t="n">
        <f aca="false">0</f>
        <v>0</v>
      </c>
      <c r="I101" s="9"/>
      <c r="L101" s="0"/>
      <c r="M101" s="0"/>
      <c r="N101" s="0"/>
      <c r="O101" s="0"/>
      <c r="P101" s="0"/>
      <c r="Q101" s="0"/>
      <c r="R101" s="0"/>
      <c r="S101" s="0"/>
      <c r="T101" s="0"/>
      <c r="U101" s="0"/>
      <c r="V101" s="0"/>
    </row>
    <row r="102" customFormat="false" ht="20.5" hidden="false" customHeight="true" outlineLevel="0" collapsed="false">
      <c r="A102" s="0" t="n">
        <v>30</v>
      </c>
      <c r="B102" s="31" t="n">
        <v>41883</v>
      </c>
      <c r="C102" s="321" t="n">
        <v>2518</v>
      </c>
      <c r="D102" s="1" t="s">
        <v>41</v>
      </c>
      <c r="E102" s="33" t="n">
        <f aca="false">IF(D102="totale",(C102/(A102*24))/F102,IF(D102="marché libre",(C102/(A102*24))/G102,"spécifier histo"))</f>
        <v>0.00331804764916719</v>
      </c>
      <c r="F102" s="59" t="n">
        <v>1054</v>
      </c>
      <c r="G102" s="59" t="n">
        <f aca="false">1054</f>
        <v>1054</v>
      </c>
      <c r="H102" s="59" t="n">
        <f aca="false">0</f>
        <v>0</v>
      </c>
      <c r="I102" s="9"/>
      <c r="J102" s="205"/>
      <c r="K102" s="206"/>
      <c r="L102" s="0"/>
      <c r="Q102" s="0"/>
      <c r="T102" s="0"/>
    </row>
    <row r="103" customFormat="false" ht="20.5" hidden="false" customHeight="true" outlineLevel="0" collapsed="false">
      <c r="A103" s="0" t="n">
        <v>31</v>
      </c>
      <c r="B103" s="34" t="n">
        <v>41913</v>
      </c>
      <c r="C103" s="321" t="n">
        <v>607</v>
      </c>
      <c r="D103" s="1" t="s">
        <v>41</v>
      </c>
      <c r="E103" s="33" t="n">
        <f aca="false">IF(D103="totale",(C103/(A103*24))/F103,IF(D103="marché libre",(C103/(A103*24))/G103,"spécifier histo"))</f>
        <v>0.000774060925098447</v>
      </c>
      <c r="F103" s="59" t="n">
        <v>1054</v>
      </c>
      <c r="G103" s="59" t="n">
        <f aca="false">1054</f>
        <v>1054</v>
      </c>
      <c r="H103" s="59" t="n">
        <f aca="false">0</f>
        <v>0</v>
      </c>
      <c r="I103" s="9"/>
      <c r="J103" s="205"/>
      <c r="K103" s="206"/>
      <c r="L103" s="0"/>
      <c r="Q103" s="0"/>
      <c r="T103" s="0"/>
    </row>
    <row r="104" customFormat="false" ht="20.5" hidden="false" customHeight="true" outlineLevel="0" collapsed="false">
      <c r="A104" s="0" t="n">
        <v>30</v>
      </c>
      <c r="B104" s="31" t="n">
        <v>41944</v>
      </c>
      <c r="C104" s="321" t="n">
        <v>45475</v>
      </c>
      <c r="D104" s="1" t="s">
        <v>42</v>
      </c>
      <c r="E104" s="33" t="n">
        <f aca="false">IF(D104="totale",(C104/(A104*24))/F104,IF(D104="marché libre",(C104/(A104*24))/G104,"spécifier histo"))</f>
        <v>0.248660323709536</v>
      </c>
      <c r="F104" s="59" t="n">
        <v>1054</v>
      </c>
      <c r="G104" s="59" t="n">
        <v>254</v>
      </c>
      <c r="H104" s="59" t="n">
        <v>800</v>
      </c>
      <c r="I104" s="9"/>
      <c r="J104" s="205"/>
      <c r="K104" s="206"/>
      <c r="L104" s="0"/>
      <c r="Q104" s="0"/>
      <c r="T104" s="0"/>
    </row>
    <row r="105" customFormat="false" ht="20.5" hidden="false" customHeight="true" outlineLevel="0" collapsed="false">
      <c r="A105" s="0" t="n">
        <v>31</v>
      </c>
      <c r="B105" s="34" t="n">
        <v>41974</v>
      </c>
      <c r="C105" s="321" t="n">
        <v>88745</v>
      </c>
      <c r="D105" s="1" t="s">
        <v>42</v>
      </c>
      <c r="E105" s="33" t="n">
        <f aca="false">IF(D105="totale",(C105/(A105*24))/F105,IF(D105="marché libre",(C105/(A105*24))/G105,"spécifier histo"))</f>
        <v>0.469609897553128</v>
      </c>
      <c r="F105" s="59" t="n">
        <v>1054</v>
      </c>
      <c r="G105" s="59" t="n">
        <v>254</v>
      </c>
      <c r="H105" s="59" t="n">
        <v>800</v>
      </c>
      <c r="I105" s="9"/>
      <c r="J105" s="205"/>
      <c r="K105" s="206"/>
      <c r="L105" s="0"/>
      <c r="Q105" s="0"/>
      <c r="T105" s="0"/>
    </row>
    <row r="106" customFormat="false" ht="15.75" hidden="false" customHeight="true" outlineLevel="0" collapsed="false">
      <c r="A106" s="0" t="n">
        <v>31</v>
      </c>
      <c r="B106" s="31" t="n">
        <v>42005</v>
      </c>
      <c r="C106" s="321" t="n">
        <v>96760</v>
      </c>
      <c r="D106" s="1" t="s">
        <v>42</v>
      </c>
      <c r="E106" s="33" t="n">
        <f aca="false">IF(D106="totale",(C106/(A106*24))/F106,IF(D106="marché libre",(C106/(A106*24))/G106,"spécifier histo"))</f>
        <v>0.512022690712048</v>
      </c>
      <c r="F106" s="59" t="n">
        <v>1054</v>
      </c>
      <c r="G106" s="59" t="n">
        <v>254</v>
      </c>
      <c r="H106" s="59" t="n">
        <v>800</v>
      </c>
      <c r="I106" s="9"/>
      <c r="J106" s="205"/>
      <c r="K106" s="206"/>
      <c r="L106" s="0"/>
      <c r="Q106" s="0"/>
      <c r="T106" s="0"/>
    </row>
    <row r="107" customFormat="false" ht="15.75" hidden="false" customHeight="true" outlineLevel="0" collapsed="false">
      <c r="A107" s="0" t="n">
        <v>28</v>
      </c>
      <c r="B107" s="34" t="n">
        <v>42036</v>
      </c>
      <c r="C107" s="321" t="n">
        <v>64901</v>
      </c>
      <c r="D107" s="1" t="s">
        <v>42</v>
      </c>
      <c r="E107" s="33" t="n">
        <f aca="false">IF(D107="totale",(C107/(A107*24))/F107,IF(D107="marché libre",(C107/(A107*24))/G107,"spécifier histo"))</f>
        <v>0.380231767904012</v>
      </c>
      <c r="F107" s="59" t="n">
        <v>1054</v>
      </c>
      <c r="G107" s="59" t="n">
        <v>254</v>
      </c>
      <c r="H107" s="59" t="n">
        <v>800</v>
      </c>
      <c r="I107" s="9"/>
      <c r="J107" s="205"/>
      <c r="K107" s="206"/>
      <c r="L107" s="0"/>
      <c r="Q107" s="0"/>
      <c r="T107" s="0"/>
    </row>
    <row r="108" customFormat="false" ht="15.75" hidden="false" customHeight="true" outlineLevel="0" collapsed="false">
      <c r="A108" s="0" t="n">
        <v>31</v>
      </c>
      <c r="B108" s="31" t="n">
        <v>42064</v>
      </c>
      <c r="C108" s="321" t="n">
        <v>54333</v>
      </c>
      <c r="D108" s="1" t="s">
        <v>42</v>
      </c>
      <c r="E108" s="33" t="n">
        <f aca="false">IF(D108="totale",(C108/(A108*24))/F108,IF(D108="marché libre",(C108/(A108*24))/G108,"spécifier histo"))</f>
        <v>0.2875127000254</v>
      </c>
      <c r="F108" s="59" t="n">
        <v>1054</v>
      </c>
      <c r="G108" s="59" t="n">
        <v>254</v>
      </c>
      <c r="H108" s="59" t="n">
        <v>800</v>
      </c>
      <c r="I108" s="9"/>
      <c r="J108" s="0"/>
      <c r="K108" s="0"/>
      <c r="L108" s="0"/>
      <c r="M108" s="0"/>
      <c r="N108" s="0"/>
      <c r="O108" s="0"/>
      <c r="P108" s="0"/>
      <c r="Q108" s="0"/>
      <c r="R108" s="0"/>
      <c r="S108" s="0"/>
      <c r="T108" s="0"/>
      <c r="U108" s="0"/>
      <c r="V108" s="0"/>
      <c r="W108" s="0"/>
      <c r="X108" s="0"/>
      <c r="Y108" s="0"/>
      <c r="Z108" s="0"/>
      <c r="AA108" s="0"/>
    </row>
    <row r="109" customFormat="false" ht="15.75" hidden="false" customHeight="true" outlineLevel="0" collapsed="false">
      <c r="A109" s="0" t="n">
        <v>30</v>
      </c>
      <c r="B109" s="31" t="n">
        <v>42095</v>
      </c>
      <c r="C109" s="321" t="n">
        <v>56898</v>
      </c>
      <c r="D109" s="1" t="s">
        <v>42</v>
      </c>
      <c r="E109" s="33" t="n">
        <f aca="false">IF(D109="totale",(C109/(A109*24))/F109,IF(D109="marché libre",(C109/(A109*24))/G109,"spécifier histo"))</f>
        <v>0.311122047244095</v>
      </c>
      <c r="F109" s="59" t="n">
        <v>1054</v>
      </c>
      <c r="G109" s="59" t="n">
        <v>254</v>
      </c>
      <c r="H109" s="59" t="n">
        <v>800</v>
      </c>
      <c r="I109" s="9"/>
      <c r="J109" s="0"/>
      <c r="K109" s="0"/>
      <c r="L109" s="0"/>
      <c r="M109" s="0"/>
      <c r="N109" s="0"/>
      <c r="O109" s="0"/>
      <c r="P109" s="0"/>
      <c r="Q109" s="0"/>
      <c r="R109" s="0"/>
      <c r="S109" s="0"/>
      <c r="T109" s="0"/>
      <c r="U109" s="0"/>
      <c r="V109" s="0"/>
      <c r="W109" s="0"/>
      <c r="X109" s="0"/>
      <c r="Y109" s="0"/>
      <c r="Z109" s="0"/>
      <c r="AA109" s="0"/>
    </row>
    <row r="110" customFormat="false" ht="15.75" hidden="false" customHeight="true" outlineLevel="0" collapsed="false">
      <c r="A110" s="0" t="n">
        <v>31</v>
      </c>
      <c r="B110" s="34" t="n">
        <v>42125</v>
      </c>
      <c r="C110" s="321" t="n">
        <v>45588</v>
      </c>
      <c r="D110" s="1" t="s">
        <v>42</v>
      </c>
      <c r="E110" s="33" t="n">
        <f aca="false">IF(D110="totale",(C110/(A110*24))/F110,IF(D110="marché libre",(C110/(A110*24))/G110,"spécifier histo"))</f>
        <v>0.241236982473965</v>
      </c>
      <c r="F110" s="59" t="n">
        <v>1054</v>
      </c>
      <c r="G110" s="59" t="n">
        <v>254</v>
      </c>
      <c r="H110" s="59" t="n">
        <v>800</v>
      </c>
      <c r="I110" s="9"/>
      <c r="J110" s="0"/>
      <c r="K110" s="0"/>
      <c r="L110" s="0"/>
      <c r="M110" s="0"/>
      <c r="N110" s="0"/>
      <c r="O110" s="0"/>
      <c r="P110" s="0"/>
      <c r="Q110" s="0"/>
      <c r="R110" s="0"/>
      <c r="S110" s="0"/>
      <c r="T110" s="0"/>
      <c r="U110" s="0"/>
      <c r="V110" s="0"/>
      <c r="W110" s="0"/>
      <c r="X110" s="0"/>
      <c r="Y110" s="0"/>
      <c r="Z110" s="0"/>
      <c r="AA110" s="0"/>
    </row>
    <row r="111" customFormat="false" ht="15.75" hidden="false" customHeight="true" outlineLevel="0" collapsed="false">
      <c r="A111" s="0" t="n">
        <v>30</v>
      </c>
      <c r="B111" s="31" t="n">
        <v>42156</v>
      </c>
      <c r="C111" s="321" t="n">
        <v>3967</v>
      </c>
      <c r="D111" s="1" t="s">
        <v>42</v>
      </c>
      <c r="E111" s="33" t="n">
        <f aca="false">IF(D111="totale",(C111/(A111*24))/F111,IF(D111="marché libre",(C111/(A111*24))/G111,"spécifier histo"))</f>
        <v>0.0216918197725284</v>
      </c>
      <c r="F111" s="59" t="n">
        <v>1054</v>
      </c>
      <c r="G111" s="59" t="n">
        <v>254</v>
      </c>
      <c r="H111" s="59" t="n">
        <v>800</v>
      </c>
      <c r="I111" s="9"/>
      <c r="J111" s="0"/>
      <c r="K111" s="0"/>
      <c r="L111" s="0"/>
      <c r="M111" s="0"/>
      <c r="N111" s="0"/>
      <c r="O111" s="0"/>
      <c r="P111" s="0"/>
      <c r="Q111" s="0"/>
      <c r="R111" s="0"/>
      <c r="S111" s="0"/>
      <c r="T111" s="0"/>
      <c r="U111" s="0"/>
      <c r="V111" s="0"/>
      <c r="W111" s="0"/>
      <c r="X111" s="0"/>
      <c r="Y111" s="0"/>
      <c r="Z111" s="0"/>
      <c r="AA111" s="0"/>
    </row>
    <row r="112" customFormat="false" ht="15.75" hidden="false" customHeight="true" outlineLevel="0" collapsed="false">
      <c r="A112" s="0" t="n">
        <v>31</v>
      </c>
      <c r="B112" s="31" t="n">
        <v>42186</v>
      </c>
      <c r="C112" s="321" t="n">
        <v>1045</v>
      </c>
      <c r="D112" s="1" t="s">
        <v>42</v>
      </c>
      <c r="E112" s="33" t="n">
        <f aca="false">IF(D112="totale",(C112/(A112*24))/F112,IF(D112="marché libre",(C112/(A112*24))/G112,"spécifier histo"))</f>
        <v>0.00552980272627212</v>
      </c>
      <c r="F112" s="59" t="n">
        <v>1054</v>
      </c>
      <c r="G112" s="59" t="n">
        <v>254</v>
      </c>
      <c r="H112" s="59" t="n">
        <v>800</v>
      </c>
      <c r="I112" s="9"/>
      <c r="J112" s="0"/>
      <c r="K112" s="0"/>
      <c r="L112" s="0"/>
      <c r="M112" s="0"/>
      <c r="N112" s="0"/>
      <c r="O112" s="0"/>
      <c r="P112" s="0"/>
      <c r="Q112" s="0"/>
      <c r="R112" s="0"/>
      <c r="S112" s="0"/>
      <c r="T112" s="0"/>
      <c r="U112" s="0"/>
      <c r="V112" s="0"/>
      <c r="W112" s="0"/>
      <c r="X112" s="0"/>
      <c r="Y112" s="0"/>
      <c r="Z112" s="0"/>
      <c r="AA112" s="0"/>
    </row>
    <row r="113" customFormat="false" ht="15.75" hidden="false" customHeight="true" outlineLevel="0" collapsed="false">
      <c r="A113" s="0" t="n">
        <v>31</v>
      </c>
      <c r="B113" s="34" t="n">
        <v>42217</v>
      </c>
      <c r="C113" s="321" t="n">
        <v>73</v>
      </c>
      <c r="D113" s="1" t="s">
        <v>42</v>
      </c>
      <c r="E113" s="33" t="n">
        <f aca="false">IF(D113="totale",(C113/(A113*24))/F113,IF(D113="marché libre",(C113/(A113*24))/G113,"spécifier histo"))</f>
        <v>0.000386292439251545</v>
      </c>
      <c r="F113" s="59" t="n">
        <v>1054</v>
      </c>
      <c r="G113" s="59" t="n">
        <v>254</v>
      </c>
      <c r="H113" s="59" t="n">
        <v>800</v>
      </c>
      <c r="I113" s="9"/>
      <c r="J113" s="0"/>
      <c r="K113" s="0"/>
      <c r="L113" s="0"/>
      <c r="M113" s="0"/>
      <c r="N113" s="0"/>
      <c r="O113" s="0"/>
      <c r="P113" s="0"/>
      <c r="Q113" s="0"/>
      <c r="R113" s="0"/>
      <c r="S113" s="0"/>
      <c r="T113" s="0"/>
      <c r="U113" s="0"/>
      <c r="V113" s="0"/>
      <c r="W113" s="0"/>
      <c r="X113" s="0"/>
      <c r="Y113" s="0"/>
      <c r="Z113" s="0"/>
      <c r="AA113" s="0"/>
    </row>
    <row r="114" customFormat="false" ht="15.75" hidden="false" customHeight="true" outlineLevel="0" collapsed="false">
      <c r="A114" s="0" t="n">
        <v>30</v>
      </c>
      <c r="B114" s="31" t="n">
        <v>42248</v>
      </c>
      <c r="C114" s="321" t="n">
        <v>0</v>
      </c>
      <c r="D114" s="1" t="s">
        <v>42</v>
      </c>
      <c r="E114" s="33" t="n">
        <f aca="false">IF(D114="totale",(C114/(A114*24))/F114,IF(D114="marché libre",(C114/(A114*24))/G114,"spécifier histo"))</f>
        <v>0</v>
      </c>
      <c r="F114" s="59" t="n">
        <v>1054</v>
      </c>
      <c r="G114" s="59" t="n">
        <v>254</v>
      </c>
      <c r="H114" s="59" t="n">
        <v>800</v>
      </c>
      <c r="I114" s="9"/>
      <c r="J114" s="0"/>
      <c r="K114" s="0"/>
      <c r="L114" s="0"/>
      <c r="M114" s="0"/>
      <c r="N114" s="0"/>
      <c r="O114" s="0"/>
      <c r="P114" s="0"/>
      <c r="Q114" s="0"/>
      <c r="R114" s="0"/>
      <c r="S114" s="0"/>
      <c r="T114" s="0"/>
      <c r="U114" s="0"/>
      <c r="V114" s="0"/>
      <c r="W114" s="0"/>
      <c r="X114" s="0"/>
      <c r="Y114" s="0"/>
      <c r="Z114" s="0"/>
      <c r="AA114" s="0"/>
    </row>
    <row r="115" customFormat="false" ht="15.75" hidden="false" customHeight="true" outlineLevel="0" collapsed="false">
      <c r="A115" s="0" t="n">
        <v>31</v>
      </c>
      <c r="B115" s="31" t="n">
        <v>42278</v>
      </c>
      <c r="C115" s="321" t="n">
        <v>18023</v>
      </c>
      <c r="D115" s="1" t="s">
        <v>42</v>
      </c>
      <c r="E115" s="33" t="n">
        <f aca="false">IF(D115="totale",(C115/(A115*24))/F115,IF(D115="marché libre",(C115/(A115*24))/G115,"spécifier histo"))</f>
        <v>0.0953718990771315</v>
      </c>
      <c r="F115" s="59" t="n">
        <v>1054</v>
      </c>
      <c r="G115" s="59" t="n">
        <v>254</v>
      </c>
      <c r="H115" s="59" t="n">
        <v>800</v>
      </c>
      <c r="I115" s="9"/>
      <c r="J115" s="0"/>
      <c r="K115" s="0"/>
      <c r="L115" s="0"/>
      <c r="M115" s="0"/>
      <c r="N115" s="0"/>
      <c r="O115" s="0"/>
      <c r="P115" s="0"/>
      <c r="Q115" s="0"/>
      <c r="R115" s="0"/>
      <c r="S115" s="0"/>
      <c r="T115" s="0"/>
      <c r="U115" s="0"/>
      <c r="V115" s="0"/>
      <c r="W115" s="0"/>
      <c r="X115" s="0"/>
      <c r="Y115" s="0"/>
      <c r="Z115" s="0"/>
      <c r="AA115" s="292"/>
    </row>
    <row r="116" customFormat="false" ht="15.75" hidden="false" customHeight="true" outlineLevel="0" collapsed="false">
      <c r="A116" s="0" t="n">
        <v>30</v>
      </c>
      <c r="B116" s="34" t="n">
        <v>42309</v>
      </c>
      <c r="C116" s="321" t="n">
        <v>46129</v>
      </c>
      <c r="D116" s="1" t="s">
        <v>42</v>
      </c>
      <c r="E116" s="33" t="n">
        <f aca="false">IF(D116="totale",(C116/(A116*24))/F116,IF(D116="marché libre",(C116/(A116*24))/G116,"spécifier histo"))</f>
        <v>0.252236439195101</v>
      </c>
      <c r="F116" s="59" t="n">
        <v>1054</v>
      </c>
      <c r="G116" s="59" t="n">
        <v>254</v>
      </c>
      <c r="H116" s="59" t="n">
        <v>800</v>
      </c>
      <c r="I116" s="9"/>
      <c r="J116" s="0"/>
      <c r="K116" s="0"/>
      <c r="L116" s="0"/>
      <c r="M116" s="0"/>
      <c r="N116" s="0"/>
      <c r="O116" s="0"/>
      <c r="P116" s="0"/>
      <c r="Q116" s="0"/>
      <c r="R116" s="0"/>
      <c r="S116" s="0"/>
      <c r="T116" s="0"/>
      <c r="U116" s="0"/>
      <c r="V116" s="0"/>
      <c r="W116" s="0"/>
      <c r="X116" s="0"/>
      <c r="Y116" s="0"/>
      <c r="Z116" s="0"/>
      <c r="AA116" s="292"/>
    </row>
    <row r="117" customFormat="false" ht="15.75" hidden="false" customHeight="true" outlineLevel="0" collapsed="false">
      <c r="A117" s="0" t="n">
        <v>31</v>
      </c>
      <c r="B117" s="31" t="n">
        <v>42339</v>
      </c>
      <c r="C117" s="321" t="n">
        <v>57309</v>
      </c>
      <c r="D117" s="1" t="s">
        <v>42</v>
      </c>
      <c r="E117" s="33" t="n">
        <f aca="false">IF(D117="totale",(C117/(A117*24))/F117,IF(D117="marché libre",(C117/(A117*24))/G117,"spécifier histo"))</f>
        <v>0.303260731521463</v>
      </c>
      <c r="F117" s="59" t="n">
        <v>1054</v>
      </c>
      <c r="G117" s="59" t="n">
        <v>254</v>
      </c>
      <c r="H117" s="59" t="n">
        <v>800</v>
      </c>
      <c r="I117" s="9"/>
      <c r="J117" s="0"/>
      <c r="K117" s="0"/>
      <c r="L117" s="0"/>
      <c r="M117" s="0"/>
      <c r="N117" s="0"/>
      <c r="O117" s="0"/>
      <c r="P117" s="0"/>
      <c r="Q117" s="0"/>
      <c r="R117" s="0"/>
      <c r="S117" s="0"/>
      <c r="T117" s="0"/>
      <c r="U117" s="0"/>
      <c r="V117" s="0"/>
      <c r="W117" s="0"/>
      <c r="X117" s="0"/>
      <c r="Y117" s="0"/>
      <c r="Z117" s="0"/>
      <c r="AA117" s="292"/>
    </row>
    <row r="118" customFormat="false" ht="15.75" hidden="false" customHeight="true" outlineLevel="0" collapsed="false">
      <c r="A118" s="0" t="n">
        <v>31</v>
      </c>
      <c r="B118" s="31" t="n">
        <v>42370</v>
      </c>
      <c r="C118" s="321" t="n">
        <v>34068</v>
      </c>
      <c r="D118" s="1" t="s">
        <v>42</v>
      </c>
      <c r="E118" s="33" t="n">
        <f aca="false">IF(D118="totale",(C118/(A118*24))/F118,IF(D118="marché libre",(C118/(A118*24))/G118,"spécifier histo"))</f>
        <v>0.180276860553721</v>
      </c>
      <c r="F118" s="59" t="n">
        <v>1054</v>
      </c>
      <c r="G118" s="59" t="n">
        <v>254</v>
      </c>
      <c r="H118" s="59" t="n">
        <v>800</v>
      </c>
      <c r="I118" s="9"/>
      <c r="J118" s="0"/>
      <c r="K118" s="0"/>
      <c r="L118" s="0"/>
      <c r="M118" s="0"/>
      <c r="N118" s="0"/>
      <c r="O118" s="0"/>
      <c r="P118" s="0"/>
      <c r="Q118" s="0"/>
      <c r="R118" s="0"/>
      <c r="S118" s="0"/>
      <c r="T118" s="0"/>
      <c r="U118" s="0"/>
      <c r="V118" s="0"/>
      <c r="W118" s="0"/>
      <c r="X118" s="0"/>
      <c r="Y118" s="0"/>
      <c r="Z118" s="0"/>
      <c r="AA118" s="292"/>
    </row>
    <row r="119" customFormat="false" ht="15.75" hidden="false" customHeight="true" outlineLevel="0" collapsed="false">
      <c r="A119" s="0" t="n">
        <v>28</v>
      </c>
      <c r="B119" s="34" t="n">
        <v>42401</v>
      </c>
      <c r="C119" s="321" t="n">
        <v>50324</v>
      </c>
      <c r="D119" s="1" t="s">
        <v>42</v>
      </c>
      <c r="E119" s="33" t="n">
        <f aca="false">IF(D119="totale",(C119/(A119*24))/F119,IF(D119="marché libre",(C119/(A119*24))/G119,"spécifier histo"))</f>
        <v>0.294830333708286</v>
      </c>
      <c r="F119" s="59" t="n">
        <v>1054</v>
      </c>
      <c r="G119" s="59" t="n">
        <v>254</v>
      </c>
      <c r="H119" s="59" t="n">
        <v>800</v>
      </c>
      <c r="I119" s="9"/>
      <c r="J119" s="0"/>
      <c r="K119" s="0"/>
      <c r="L119" s="0"/>
      <c r="M119" s="0"/>
      <c r="N119" s="0"/>
      <c r="O119" s="0"/>
      <c r="P119" s="0"/>
      <c r="Q119" s="0"/>
      <c r="R119" s="0"/>
      <c r="S119" s="0"/>
      <c r="T119" s="0"/>
      <c r="U119" s="0"/>
      <c r="V119" s="0"/>
      <c r="W119" s="0"/>
      <c r="X119" s="0"/>
      <c r="Y119" s="0"/>
      <c r="Z119" s="0"/>
      <c r="AA119" s="292"/>
    </row>
    <row r="120" customFormat="false" ht="15.75" hidden="false" customHeight="true" outlineLevel="0" collapsed="false">
      <c r="A120" s="0" t="n">
        <v>31</v>
      </c>
      <c r="B120" s="31" t="n">
        <v>42430</v>
      </c>
      <c r="C120" s="321" t="n">
        <v>33433</v>
      </c>
      <c r="D120" s="1" t="s">
        <v>42</v>
      </c>
      <c r="E120" s="33" t="n">
        <f aca="false">IF(D120="totale",(C120/(A120*24))/F120,IF(D120="marché libre",(C120/(A120*24))/G120,"spécifier histo"))</f>
        <v>0.176916645499958</v>
      </c>
      <c r="F120" s="59" t="n">
        <v>1054</v>
      </c>
      <c r="G120" s="59" t="n">
        <v>254</v>
      </c>
      <c r="H120" s="59" t="n">
        <v>800</v>
      </c>
      <c r="I120" s="9"/>
      <c r="J120" s="0"/>
      <c r="K120" s="293"/>
      <c r="L120" s="0"/>
      <c r="M120" s="292"/>
      <c r="N120" s="0"/>
      <c r="O120" s="292"/>
      <c r="P120" s="292"/>
      <c r="Q120" s="0"/>
      <c r="R120" s="292"/>
      <c r="S120" s="0"/>
      <c r="T120" s="0"/>
      <c r="U120" s="292"/>
      <c r="V120" s="0"/>
      <c r="Y120" s="0"/>
    </row>
    <row r="121" customFormat="false" ht="15.75" hidden="false" customHeight="true" outlineLevel="0" collapsed="false">
      <c r="A121" s="0" t="n">
        <v>30</v>
      </c>
      <c r="B121" s="31" t="n">
        <v>42461</v>
      </c>
      <c r="C121" s="321" t="n">
        <v>74393</v>
      </c>
      <c r="D121" s="1" t="s">
        <v>42</v>
      </c>
      <c r="E121" s="33" t="n">
        <f aca="false">IF(D121="totale",(C121/(A121*24))/F121,IF(D121="marché libre",(C121/(A121*24))/G121,"spécifier histo"))</f>
        <v>0.406785870516185</v>
      </c>
      <c r="F121" s="59" t="n">
        <v>1054</v>
      </c>
      <c r="G121" s="59" t="n">
        <v>254</v>
      </c>
      <c r="H121" s="59" t="n">
        <v>800</v>
      </c>
      <c r="I121" s="9"/>
      <c r="J121" s="0"/>
      <c r="K121" s="293"/>
      <c r="L121" s="0"/>
      <c r="M121" s="292"/>
      <c r="N121" s="0"/>
      <c r="O121" s="292"/>
      <c r="P121" s="292"/>
      <c r="Q121" s="0"/>
      <c r="R121" s="292"/>
      <c r="S121" s="0"/>
      <c r="T121" s="0"/>
      <c r="U121" s="292"/>
      <c r="V121" s="0"/>
      <c r="Y121" s="0"/>
    </row>
    <row r="122" customFormat="false" ht="15.75" hidden="false" customHeight="true" outlineLevel="0" collapsed="false">
      <c r="A122" s="0" t="n">
        <v>31</v>
      </c>
      <c r="B122" s="34" t="n">
        <v>42491</v>
      </c>
      <c r="C122" s="321" t="n">
        <v>89785.33</v>
      </c>
      <c r="D122" s="1" t="s">
        <v>42</v>
      </c>
      <c r="E122" s="33" t="n">
        <f aca="false">IF(D122="totale",(C122/(A122*24))/F122,IF(D122="marché libre",(C122/(A122*24))/G122,"spécifier histo"))</f>
        <v>0.475114988146643</v>
      </c>
      <c r="F122" s="59" t="n">
        <v>1054</v>
      </c>
      <c r="G122" s="59" t="n">
        <v>254</v>
      </c>
      <c r="H122" s="59" t="n">
        <v>800</v>
      </c>
      <c r="I122" s="9"/>
      <c r="J122" s="0"/>
      <c r="K122" s="293"/>
      <c r="L122" s="0"/>
      <c r="M122" s="292"/>
      <c r="N122" s="0"/>
      <c r="O122" s="292"/>
      <c r="P122" s="292"/>
      <c r="Q122" s="0"/>
      <c r="R122" s="292"/>
      <c r="S122" s="0"/>
      <c r="T122" s="0"/>
      <c r="U122" s="292"/>
      <c r="V122" s="0"/>
      <c r="Y122" s="0"/>
    </row>
    <row r="123" customFormat="false" ht="15.75" hidden="false" customHeight="true" outlineLevel="0" collapsed="false">
      <c r="A123" s="0" t="n">
        <v>30</v>
      </c>
      <c r="B123" s="31" t="n">
        <v>42522</v>
      </c>
      <c r="C123" s="321" t="n">
        <v>68455</v>
      </c>
      <c r="D123" s="1" t="s">
        <v>42</v>
      </c>
      <c r="E123" s="33" t="n">
        <f aca="false">IF(D123="totale",(C123/(A123*24))/F123,IF(D123="marché libre",(C123/(A123*24))/G123,"spécifier histo"))</f>
        <v>0.374316491688539</v>
      </c>
      <c r="F123" s="59" t="n">
        <v>1054</v>
      </c>
      <c r="G123" s="59" t="n">
        <v>254</v>
      </c>
      <c r="H123" s="59" t="n">
        <v>800</v>
      </c>
      <c r="I123" s="9"/>
      <c r="J123" s="0"/>
      <c r="K123" s="293"/>
      <c r="L123" s="0"/>
      <c r="M123" s="292"/>
      <c r="N123" s="0"/>
      <c r="O123" s="292"/>
      <c r="P123" s="292"/>
      <c r="Q123" s="0"/>
      <c r="R123" s="292"/>
      <c r="S123" s="0"/>
      <c r="T123" s="0"/>
      <c r="U123" s="292"/>
      <c r="V123" s="0"/>
      <c r="Y123" s="0"/>
    </row>
    <row r="124" customFormat="false" ht="15.75" hidden="false" customHeight="true" outlineLevel="0" collapsed="false">
      <c r="A124" s="0" t="n">
        <v>31</v>
      </c>
      <c r="B124" s="31" t="n">
        <v>42552</v>
      </c>
      <c r="C124" s="321" t="n">
        <v>22032</v>
      </c>
      <c r="D124" s="1" t="s">
        <v>42</v>
      </c>
      <c r="E124" s="33" t="n">
        <f aca="false">IF(D124="totale",(C124/(A124*24))/F124,IF(D124="marché libre",(C124/(A124*24))/G124,"spécifier histo"))</f>
        <v>0.116586233172466</v>
      </c>
      <c r="F124" s="59" t="n">
        <v>1054</v>
      </c>
      <c r="G124" s="59" t="n">
        <v>254</v>
      </c>
      <c r="H124" s="59" t="n">
        <v>800</v>
      </c>
      <c r="I124" s="9"/>
      <c r="J124" s="0"/>
      <c r="K124" s="293"/>
      <c r="L124" s="0"/>
      <c r="M124" s="292"/>
      <c r="N124" s="0"/>
      <c r="O124" s="292"/>
      <c r="P124" s="292"/>
      <c r="Q124" s="0"/>
      <c r="R124" s="292"/>
      <c r="S124" s="0"/>
      <c r="T124" s="0"/>
      <c r="U124" s="292"/>
      <c r="V124" s="0"/>
      <c r="Y124" s="0"/>
    </row>
    <row r="125" customFormat="false" ht="15.75" hidden="false" customHeight="true" outlineLevel="0" collapsed="false">
      <c r="A125" s="0" t="n">
        <v>31</v>
      </c>
      <c r="B125" s="34" t="n">
        <v>42583</v>
      </c>
      <c r="C125" s="321" t="n">
        <v>3656</v>
      </c>
      <c r="D125" s="1" t="s">
        <v>42</v>
      </c>
      <c r="E125" s="33" t="n">
        <f aca="false">IF(D125="totale",(C125/(A125*24))/F125,IF(D125="marché libre",(C125/(A125*24))/G125,"spécifier histo"))</f>
        <v>0.0193463720260774</v>
      </c>
      <c r="F125" s="59" t="n">
        <v>1054</v>
      </c>
      <c r="G125" s="59" t="n">
        <v>254</v>
      </c>
      <c r="H125" s="59" t="n">
        <v>800</v>
      </c>
      <c r="I125" s="9"/>
      <c r="J125" s="0"/>
      <c r="K125" s="293"/>
      <c r="L125" s="0"/>
      <c r="M125" s="292"/>
      <c r="N125" s="0"/>
      <c r="O125" s="292"/>
      <c r="P125" s="292"/>
      <c r="Q125" s="0"/>
      <c r="R125" s="292"/>
      <c r="S125" s="0"/>
      <c r="T125" s="0"/>
      <c r="U125" s="292"/>
      <c r="V125" s="0"/>
      <c r="Y125" s="0"/>
    </row>
    <row r="126" customFormat="false" ht="15.75" hidden="false" customHeight="true" outlineLevel="0" collapsed="false">
      <c r="A126" s="0" t="n">
        <v>30</v>
      </c>
      <c r="B126" s="31" t="n">
        <v>42614</v>
      </c>
      <c r="C126" s="321" t="n">
        <v>13952.83</v>
      </c>
      <c r="D126" s="1" t="s">
        <v>42</v>
      </c>
      <c r="E126" s="33" t="n">
        <f aca="false">IF(D126="totale",(C126/(A126*24))/F126,IF(D126="marché libre",(C126/(A126*24))/G126,"spécifier histo"))</f>
        <v>0.0762950021872266</v>
      </c>
      <c r="F126" s="59" t="n">
        <v>1054</v>
      </c>
      <c r="G126" s="59" t="n">
        <v>254</v>
      </c>
      <c r="H126" s="59" t="n">
        <v>800</v>
      </c>
      <c r="I126" s="9"/>
      <c r="J126" s="0"/>
      <c r="K126" s="206"/>
      <c r="L126" s="0"/>
      <c r="N126" s="0"/>
      <c r="Q126" s="0"/>
      <c r="S126" s="0"/>
      <c r="V126" s="0"/>
      <c r="Y126" s="0"/>
    </row>
    <row r="127" customFormat="false" ht="15.75" hidden="false" customHeight="true" outlineLevel="0" collapsed="false">
      <c r="A127" s="0" t="n">
        <v>31</v>
      </c>
      <c r="B127" s="31" t="n">
        <v>42644</v>
      </c>
      <c r="C127" s="321" t="n">
        <v>7661</v>
      </c>
      <c r="D127" s="1" t="s">
        <v>42</v>
      </c>
      <c r="E127" s="33" t="n">
        <f aca="false">IF(D127="totale",(C127/(A127*24))/F127,IF(D127="marché libre",(C127/(A127*24))/G127,"spécifier histo"))</f>
        <v>0.0405395394124122</v>
      </c>
      <c r="F127" s="59" t="n">
        <v>1054</v>
      </c>
      <c r="G127" s="59" t="n">
        <v>254</v>
      </c>
      <c r="H127" s="59" t="n">
        <v>800</v>
      </c>
      <c r="I127" s="9"/>
      <c r="J127" s="0"/>
      <c r="K127" s="206"/>
      <c r="L127" s="0"/>
      <c r="N127" s="0"/>
      <c r="Q127" s="0"/>
      <c r="S127" s="0"/>
      <c r="V127" s="0"/>
      <c r="Y127" s="0"/>
    </row>
    <row r="128" customFormat="false" ht="15.75" hidden="false" customHeight="true" outlineLevel="0" collapsed="false">
      <c r="A128" s="0" t="n">
        <v>30</v>
      </c>
      <c r="B128" s="34" t="n">
        <v>42675</v>
      </c>
      <c r="C128" s="321" t="n">
        <v>31566</v>
      </c>
      <c r="D128" s="1" t="s">
        <v>42</v>
      </c>
      <c r="E128" s="33" t="n">
        <f aca="false">IF(D128="totale",(C128/(A128*24))/F128,IF(D128="marché libre",(C128/(A128*24))/G128,"spécifier histo"))</f>
        <v>0.17260498687664</v>
      </c>
      <c r="F128" s="59" t="n">
        <v>1054</v>
      </c>
      <c r="G128" s="59" t="n">
        <v>254</v>
      </c>
      <c r="H128" s="59" t="n">
        <v>800</v>
      </c>
      <c r="I128" s="9"/>
      <c r="J128" s="0"/>
      <c r="K128" s="206"/>
      <c r="L128" s="0"/>
      <c r="N128" s="0"/>
      <c r="Q128" s="0"/>
      <c r="S128" s="0"/>
      <c r="V128" s="0"/>
      <c r="Y128" s="0"/>
    </row>
    <row r="129" customFormat="false" ht="15.75" hidden="false" customHeight="true" outlineLevel="0" collapsed="false">
      <c r="A129" s="0" t="n">
        <v>31</v>
      </c>
      <c r="B129" s="31" t="n">
        <v>42705</v>
      </c>
      <c r="C129" s="321" t="n">
        <v>46170.33</v>
      </c>
      <c r="D129" s="1" t="s">
        <v>42</v>
      </c>
      <c r="E129" s="33" t="n">
        <f aca="false">IF(D129="totale",(C129/(A129*24))/F129,IF(D129="marché libre",(C129/(A129*24))/G129,"spécifier histo"))</f>
        <v>0.24431848488697</v>
      </c>
      <c r="F129" s="59" t="n">
        <v>1054</v>
      </c>
      <c r="G129" s="59" t="n">
        <v>254</v>
      </c>
      <c r="H129" s="59" t="n">
        <v>800</v>
      </c>
      <c r="I129" s="9"/>
      <c r="J129" s="0"/>
      <c r="K129" s="206"/>
      <c r="L129" s="0"/>
      <c r="N129" s="0"/>
      <c r="Q129" s="0"/>
      <c r="S129" s="0"/>
      <c r="V129" s="0"/>
      <c r="Y129" s="0"/>
    </row>
    <row r="130" customFormat="false" ht="15.75" hidden="false" customHeight="true" outlineLevel="0" collapsed="false">
      <c r="A130" s="0" t="n">
        <v>31</v>
      </c>
      <c r="B130" s="31" t="n">
        <v>42736</v>
      </c>
      <c r="C130" s="321" t="n">
        <v>95086</v>
      </c>
      <c r="D130" s="1" t="s">
        <v>42</v>
      </c>
      <c r="E130" s="33" t="n">
        <f aca="false">IF(D130="totale",(C130/(A130*24))/F130,IF(D130="marché libre",(C130/(A130*24))/G130,"spécifier histo"))</f>
        <v>0.503164422995513</v>
      </c>
      <c r="F130" s="59" t="n">
        <v>1054</v>
      </c>
      <c r="G130" s="59" t="n">
        <v>254</v>
      </c>
      <c r="H130" s="59" t="n">
        <v>800</v>
      </c>
      <c r="J130" s="0"/>
      <c r="K130" s="206"/>
      <c r="L130" s="0"/>
      <c r="N130" s="0"/>
      <c r="Q130" s="0"/>
      <c r="S130" s="0"/>
      <c r="V130" s="0"/>
      <c r="Y130" s="0"/>
    </row>
    <row r="131" customFormat="false" ht="15.75" hidden="false" customHeight="true" outlineLevel="0" collapsed="false">
      <c r="A131" s="0" t="n">
        <v>31</v>
      </c>
      <c r="B131" s="34" t="n">
        <v>42767</v>
      </c>
      <c r="C131" s="321" t="n">
        <v>51293</v>
      </c>
      <c r="D131" s="1" t="s">
        <v>42</v>
      </c>
      <c r="E131" s="33" t="n">
        <f aca="false">IF(D131="totale",(C131/(A131*24))/F131,IF(D131="marché libre",(C131/(A131*24))/G131,"spécifier histo"))</f>
        <v>0.271426001185336</v>
      </c>
      <c r="F131" s="59" t="n">
        <v>1054</v>
      </c>
      <c r="G131" s="59" t="n">
        <v>254</v>
      </c>
      <c r="H131" s="59" t="n">
        <v>800</v>
      </c>
      <c r="I131" s="206"/>
      <c r="J131" s="0"/>
      <c r="K131" s="206"/>
      <c r="L131" s="0"/>
      <c r="M131" s="206"/>
      <c r="N131" s="0"/>
      <c r="Q131" s="0"/>
      <c r="S131" s="0"/>
      <c r="V131" s="0"/>
      <c r="Y131" s="0"/>
    </row>
    <row r="132" customFormat="false" ht="15.75" hidden="false" customHeight="true" outlineLevel="0" collapsed="false">
      <c r="A132" s="0" t="n">
        <v>30</v>
      </c>
      <c r="B132" s="31" t="n">
        <v>42795</v>
      </c>
      <c r="C132" s="321" t="n">
        <v>69483</v>
      </c>
      <c r="D132" s="1" t="s">
        <v>42</v>
      </c>
      <c r="E132" s="33" t="n">
        <f aca="false">IF(D132="totale",(C132/(A132*24))/F132,IF(D132="marché libre",(C132/(A132*24))/G132,"spécifier histo"))</f>
        <v>0.379937664041995</v>
      </c>
      <c r="F132" s="59" t="n">
        <v>1054</v>
      </c>
      <c r="G132" s="59" t="n">
        <v>254</v>
      </c>
      <c r="H132" s="59" t="n">
        <v>800</v>
      </c>
      <c r="J132" s="0"/>
      <c r="K132" s="206"/>
      <c r="L132" s="0"/>
      <c r="N132" s="0"/>
      <c r="Q132" s="0"/>
      <c r="S132" s="0"/>
      <c r="V132" s="0"/>
      <c r="Y132" s="0"/>
    </row>
    <row r="133" customFormat="false" ht="19.85" hidden="false" customHeight="true" outlineLevel="0" collapsed="false">
      <c r="A133" s="0" t="n">
        <v>31</v>
      </c>
      <c r="B133" s="34" t="n">
        <v>42826</v>
      </c>
      <c r="C133" s="321" t="n">
        <v>33368</v>
      </c>
      <c r="D133" s="1" t="s">
        <v>42</v>
      </c>
      <c r="E133" s="33" t="n">
        <f aca="false">IF(D133="totale",(C133/(A133*24))/F133,IF(D133="marché libre",(C133/(A133*24))/G133,"spécifier histo"))</f>
        <v>0.176572686478706</v>
      </c>
      <c r="F133" s="59" t="n">
        <v>1054</v>
      </c>
      <c r="G133" s="59" t="n">
        <v>254</v>
      </c>
      <c r="H133" s="59" t="n">
        <v>800</v>
      </c>
      <c r="J133" s="0"/>
      <c r="K133" s="206"/>
      <c r="L133" s="0"/>
      <c r="N133" s="0"/>
      <c r="Q133" s="0"/>
      <c r="S133" s="0"/>
      <c r="V133" s="0"/>
      <c r="Y133" s="0"/>
    </row>
    <row r="134" customFormat="false" ht="19.85" hidden="false" customHeight="true" outlineLevel="0" collapsed="false">
      <c r="A134" s="0" t="n">
        <v>30</v>
      </c>
      <c r="B134" s="31" t="n">
        <v>42856</v>
      </c>
      <c r="C134" s="321" t="n">
        <v>63199</v>
      </c>
      <c r="D134" s="1" t="s">
        <v>42</v>
      </c>
      <c r="E134" s="33" t="n">
        <f aca="false">IF(D134="totale",(C134/(A134*24))/F134,IF(D134="marché libre",(C134/(A134*24))/G134,"spécifier histo"))</f>
        <v>0.345576334208224</v>
      </c>
      <c r="F134" s="59" t="n">
        <v>1054</v>
      </c>
      <c r="G134" s="59" t="n">
        <v>254</v>
      </c>
      <c r="H134" s="59" t="n">
        <v>800</v>
      </c>
      <c r="J134" s="0"/>
      <c r="K134" s="206"/>
      <c r="L134" s="0"/>
      <c r="N134" s="0"/>
      <c r="Q134" s="0"/>
      <c r="S134" s="0"/>
      <c r="V134" s="0"/>
      <c r="Y134" s="0"/>
    </row>
    <row r="135" customFormat="false" ht="22.45" hidden="false" customHeight="true" outlineLevel="0" collapsed="false">
      <c r="A135" s="0" t="n">
        <v>31</v>
      </c>
      <c r="B135" s="34" t="n">
        <v>42887</v>
      </c>
      <c r="C135" s="321" t="n">
        <v>26896</v>
      </c>
      <c r="D135" s="1" t="s">
        <v>42</v>
      </c>
      <c r="E135" s="33" t="n">
        <f aca="false">IF(D135="totale",(C135/(A135*24))/F135,IF(D135="marché libre",(C135/(A135*24))/G135,"spécifier histo"))</f>
        <v>0.142324951316569</v>
      </c>
      <c r="F135" s="59" t="n">
        <v>1054</v>
      </c>
      <c r="G135" s="59" t="n">
        <v>254</v>
      </c>
      <c r="H135" s="59" t="n">
        <v>800</v>
      </c>
      <c r="J135" s="0"/>
      <c r="K135" s="206"/>
      <c r="L135" s="0"/>
      <c r="N135" s="0"/>
      <c r="Q135" s="0"/>
      <c r="S135" s="0"/>
      <c r="V135" s="0"/>
      <c r="Y135" s="0"/>
    </row>
    <row r="136" customFormat="false" ht="21.65" hidden="false" customHeight="true" outlineLevel="0" collapsed="false">
      <c r="A136" s="0" t="n">
        <v>31</v>
      </c>
      <c r="B136" s="31" t="n">
        <v>42917</v>
      </c>
      <c r="C136" s="321" t="n">
        <v>6681</v>
      </c>
      <c r="D136" s="1" t="s">
        <v>42</v>
      </c>
      <c r="E136" s="33" t="n">
        <f aca="false">IF(D136="totale",(C136/(A136*24))/F136,IF(D136="marché libre",(C136/(A136*24))/G136,"spécifier histo"))</f>
        <v>0.0353536957073914</v>
      </c>
      <c r="F136" s="59" t="n">
        <v>1054</v>
      </c>
      <c r="G136" s="59" t="n">
        <v>254</v>
      </c>
      <c r="H136" s="59" t="n">
        <v>800</v>
      </c>
      <c r="J136" s="0"/>
      <c r="K136" s="206"/>
      <c r="L136" s="0"/>
      <c r="N136" s="0"/>
      <c r="Q136" s="0"/>
      <c r="S136" s="0"/>
      <c r="V136" s="0"/>
      <c r="Y136" s="0"/>
    </row>
    <row r="137" customFormat="false" ht="21.65" hidden="false" customHeight="true" outlineLevel="0" collapsed="false">
      <c r="A137" s="0" t="n">
        <v>31</v>
      </c>
      <c r="B137" s="34" t="n">
        <v>42948</v>
      </c>
      <c r="C137" s="321" t="n">
        <v>3731</v>
      </c>
      <c r="D137" s="1" t="s">
        <v>42</v>
      </c>
      <c r="E137" s="33" t="n">
        <f aca="false">IF(D137="totale",(C137/(A137*24))/F137,IF(D137="marché libre",(C137/(A137*24))/G137,"spécifier histo"))</f>
        <v>0.019743247819829</v>
      </c>
      <c r="F137" s="59" t="n">
        <v>1054</v>
      </c>
      <c r="G137" s="59" t="n">
        <v>254</v>
      </c>
      <c r="H137" s="59" t="n">
        <v>800</v>
      </c>
      <c r="J137" s="0"/>
      <c r="K137" s="206"/>
      <c r="L137" s="0"/>
      <c r="N137" s="0"/>
      <c r="Q137" s="0"/>
      <c r="S137" s="0"/>
      <c r="V137" s="0"/>
      <c r="Y137" s="0"/>
    </row>
    <row r="138" customFormat="false" ht="21.65" hidden="false" customHeight="true" outlineLevel="0" collapsed="false">
      <c r="A138" s="0" t="n">
        <v>30</v>
      </c>
      <c r="B138" s="31" t="n">
        <v>42979</v>
      </c>
      <c r="C138" s="321" t="n">
        <v>9578</v>
      </c>
      <c r="D138" s="1" t="s">
        <v>42</v>
      </c>
      <c r="E138" s="33" t="n">
        <f aca="false">IF(D138="totale",(C138/(A138*24))/F138,IF(D138="marché libre",(C138/(A138*24))/G138,"spécifier histo"))</f>
        <v>0.0523731408573928</v>
      </c>
      <c r="F138" s="59" t="n">
        <v>1054</v>
      </c>
      <c r="G138" s="59" t="n">
        <v>254</v>
      </c>
      <c r="H138" s="59" t="n">
        <v>800</v>
      </c>
      <c r="J138" s="0"/>
      <c r="K138" s="206"/>
      <c r="L138" s="0"/>
      <c r="N138" s="0"/>
      <c r="Q138" s="0"/>
      <c r="S138" s="0"/>
      <c r="V138" s="0"/>
      <c r="Y138" s="0"/>
    </row>
    <row r="139" customFormat="false" ht="21.65" hidden="false" customHeight="true" outlineLevel="0" collapsed="false">
      <c r="A139" s="0" t="n">
        <v>31</v>
      </c>
      <c r="B139" s="34" t="n">
        <v>43009</v>
      </c>
      <c r="C139" s="321" t="n">
        <v>1216</v>
      </c>
      <c r="D139" s="1" t="s">
        <v>42</v>
      </c>
      <c r="E139" s="33" t="n">
        <f aca="false">IF(D139="totale",(C139/(A139*24))/F139,IF(D139="marché libre",(C139/(A139*24))/G139,"spécifier histo"))</f>
        <v>0.00643467953602574</v>
      </c>
      <c r="F139" s="59" t="n">
        <v>1054</v>
      </c>
      <c r="G139" s="59" t="n">
        <v>254</v>
      </c>
      <c r="H139" s="59" t="n">
        <v>800</v>
      </c>
      <c r="J139" s="0"/>
      <c r="K139" s="206"/>
      <c r="L139" s="0"/>
      <c r="N139" s="0"/>
      <c r="Q139" s="0"/>
      <c r="S139" s="0"/>
      <c r="V139" s="0"/>
      <c r="Y139" s="0"/>
    </row>
    <row r="140" customFormat="false" ht="21.65" hidden="false" customHeight="true" outlineLevel="0" collapsed="false">
      <c r="A140" s="0" t="n">
        <v>30</v>
      </c>
      <c r="B140" s="31" t="n">
        <v>43040</v>
      </c>
      <c r="C140" s="321" t="n">
        <v>7887</v>
      </c>
      <c r="D140" s="1" t="s">
        <v>42</v>
      </c>
      <c r="E140" s="33" t="n">
        <f aca="false">IF(D140="totale",(C140/(A140*24))/F140,IF(D140="marché libre",(C140/(A140*24))/G140,"spécifier histo"))</f>
        <v>0.0431266404199475</v>
      </c>
      <c r="F140" s="59" t="n">
        <v>1054</v>
      </c>
      <c r="G140" s="59" t="n">
        <v>254</v>
      </c>
      <c r="H140" s="59" t="n">
        <v>800</v>
      </c>
      <c r="J140" s="0"/>
      <c r="K140" s="206"/>
      <c r="L140" s="0"/>
      <c r="N140" s="0"/>
      <c r="Q140" s="0"/>
      <c r="S140" s="0"/>
      <c r="V140" s="0"/>
    </row>
    <row r="141" customFormat="false" ht="21.65" hidden="false" customHeight="true" outlineLevel="0" collapsed="false">
      <c r="A141" s="0" t="n">
        <v>31</v>
      </c>
      <c r="B141" s="34" t="n">
        <v>43070</v>
      </c>
      <c r="C141" s="321" t="n">
        <v>55410</v>
      </c>
      <c r="D141" s="1" t="s">
        <v>42</v>
      </c>
      <c r="E141" s="33" t="n">
        <f aca="false">IF(D141="totale",(C141/(A141*24))/F141,IF(D141="marché libre",(C141/(A141*24))/G141,"spécifier histo"))</f>
        <v>0.293211836423673</v>
      </c>
      <c r="F141" s="59" t="n">
        <v>1054</v>
      </c>
      <c r="G141" s="59" t="n">
        <v>254</v>
      </c>
      <c r="H141" s="59" t="n">
        <v>800</v>
      </c>
      <c r="J141" s="0"/>
      <c r="K141" s="206"/>
      <c r="L141" s="0"/>
      <c r="N141" s="0"/>
      <c r="Q141" s="0"/>
      <c r="S141" s="0"/>
      <c r="V141" s="0"/>
    </row>
    <row r="142" customFormat="false" ht="28.35" hidden="false" customHeight="true" outlineLevel="0" collapsed="false">
      <c r="A142" s="0" t="n">
        <v>31</v>
      </c>
      <c r="B142" s="31" t="n">
        <v>43101</v>
      </c>
      <c r="C142" s="321" t="n">
        <v>2663</v>
      </c>
      <c r="D142" s="1" t="s">
        <v>42</v>
      </c>
      <c r="E142" s="33" t="n">
        <f aca="false">IF(D142="totale",(C142/(A142*24))/F142,IF(D142="marché libre",(C142/(A142*24))/G142,"spécifier histo"))</f>
        <v>0.0140917365168064</v>
      </c>
      <c r="F142" s="59" t="n">
        <v>1054</v>
      </c>
      <c r="G142" s="59" t="n">
        <v>254</v>
      </c>
      <c r="H142" s="59" t="n">
        <v>800</v>
      </c>
      <c r="J142" s="0"/>
      <c r="K142" s="206"/>
      <c r="L142" s="0"/>
      <c r="N142" s="0"/>
      <c r="Q142" s="0"/>
      <c r="S142" s="0"/>
      <c r="V142" s="0"/>
    </row>
    <row r="143" customFormat="false" ht="28.35" hidden="false" customHeight="true" outlineLevel="0" collapsed="false">
      <c r="A143" s="0" t="n">
        <v>28</v>
      </c>
      <c r="B143" s="34" t="n">
        <v>43132</v>
      </c>
      <c r="C143" s="321" t="n">
        <v>42</v>
      </c>
      <c r="D143" s="1" t="s">
        <v>42</v>
      </c>
      <c r="E143" s="33" t="n">
        <f aca="false">IF(D143="totale",(C143/(A143*24))/F143,IF(D143="marché libre",(C143/(A143*24))/G143,"spécifier histo"))</f>
        <v>0.000246062992125984</v>
      </c>
      <c r="F143" s="59" t="n">
        <v>1054</v>
      </c>
      <c r="G143" s="59" t="n">
        <v>254</v>
      </c>
      <c r="H143" s="59" t="n">
        <v>800</v>
      </c>
      <c r="J143" s="0"/>
      <c r="K143" s="206"/>
      <c r="L143" s="0"/>
      <c r="N143" s="0"/>
      <c r="Q143" s="0"/>
      <c r="S143" s="0"/>
      <c r="V143" s="0"/>
    </row>
    <row r="144" customFormat="false" ht="28.35" hidden="false" customHeight="true" outlineLevel="0" collapsed="false">
      <c r="A144" s="0" t="n">
        <v>31</v>
      </c>
      <c r="B144" s="31" t="n">
        <v>43160</v>
      </c>
      <c r="C144" s="321" t="n">
        <v>46357</v>
      </c>
      <c r="D144" s="1" t="s">
        <v>42</v>
      </c>
      <c r="E144" s="33" t="n">
        <f aca="false">IF(D144="totale",(C144/(A144*24))/F144,IF(D144="marché libre",(C144/(A144*24))/G144,"spécifier histo"))</f>
        <v>0.245306282279231</v>
      </c>
      <c r="F144" s="59" t="n">
        <v>1054</v>
      </c>
      <c r="G144" s="59" t="n">
        <v>254</v>
      </c>
      <c r="H144" s="59" t="n">
        <v>800</v>
      </c>
      <c r="J144" s="0"/>
      <c r="K144" s="206"/>
      <c r="L144" s="0"/>
      <c r="Q144" s="0"/>
      <c r="S144" s="0"/>
      <c r="V144" s="0"/>
    </row>
    <row r="145" customFormat="false" ht="28.35" hidden="false" customHeight="true" outlineLevel="0" collapsed="false">
      <c r="A145" s="0" t="n">
        <v>30</v>
      </c>
      <c r="B145" s="34" t="n">
        <v>43191</v>
      </c>
      <c r="C145" s="321" t="n">
        <v>35824</v>
      </c>
      <c r="D145" s="1" t="s">
        <v>42</v>
      </c>
      <c r="E145" s="33" t="n">
        <f aca="false">IF(D145="totale",(C145/(A145*24))/F145,IF(D145="marché libre",(C145/(A145*24))/G145,"spécifier histo"))</f>
        <v>0.19588801399825</v>
      </c>
      <c r="F145" s="59" t="n">
        <v>1054</v>
      </c>
      <c r="G145" s="59" t="n">
        <v>254</v>
      </c>
      <c r="H145" s="59" t="n">
        <v>800</v>
      </c>
      <c r="J145" s="0"/>
      <c r="K145" s="206"/>
      <c r="L145" s="0"/>
      <c r="Q145" s="0"/>
      <c r="S145" s="0"/>
    </row>
    <row r="146" customFormat="false" ht="28.35" hidden="false" customHeight="true" outlineLevel="0" collapsed="false">
      <c r="A146" s="0" t="n">
        <v>31</v>
      </c>
      <c r="B146" s="31" t="n">
        <v>43221</v>
      </c>
      <c r="C146" s="321" t="n">
        <v>47616</v>
      </c>
      <c r="D146" s="1" t="s">
        <v>42</v>
      </c>
      <c r="E146" s="33" t="n">
        <f aca="false">IF(D146="totale",(C146/(A146*24))/F146,IF(D146="marché libre",(C146/(A146*24))/G146,"spécifier histo"))</f>
        <v>0.251968503937008</v>
      </c>
      <c r="F146" s="59" t="n">
        <v>1054</v>
      </c>
      <c r="G146" s="59" t="n">
        <v>254</v>
      </c>
      <c r="H146" s="59" t="n">
        <v>800</v>
      </c>
      <c r="J146" s="0"/>
      <c r="K146" s="206"/>
      <c r="L146" s="0"/>
      <c r="Q146" s="0"/>
      <c r="S146" s="0"/>
    </row>
    <row r="147" customFormat="false" ht="28.35" hidden="false" customHeight="true" outlineLevel="0" collapsed="false">
      <c r="A147" s="0" t="n">
        <v>30</v>
      </c>
      <c r="B147" s="34" t="n">
        <v>43252</v>
      </c>
      <c r="C147" s="321" t="n">
        <v>34728</v>
      </c>
      <c r="D147" s="1" t="s">
        <v>42</v>
      </c>
      <c r="E147" s="33" t="n">
        <f aca="false">IF(D147="totale",(C147/(A147*24))/F147,IF(D147="marché libre",(C147/(A147*24))/G147,"spécifier histo"))</f>
        <v>0.18989501312336</v>
      </c>
      <c r="F147" s="59" t="n">
        <v>1054</v>
      </c>
      <c r="G147" s="59" t="n">
        <v>254</v>
      </c>
      <c r="H147" s="59" t="n">
        <v>800</v>
      </c>
      <c r="J147" s="0"/>
      <c r="L147" s="0"/>
      <c r="Q147" s="0"/>
      <c r="S147" s="0"/>
    </row>
    <row r="148" customFormat="false" ht="28.35" hidden="false" customHeight="true" outlineLevel="0" collapsed="false">
      <c r="A148" s="0" t="n">
        <v>31</v>
      </c>
      <c r="B148" s="31" t="n">
        <v>43282</v>
      </c>
      <c r="C148" s="321" t="n">
        <v>38624</v>
      </c>
      <c r="D148" s="1" t="s">
        <v>42</v>
      </c>
      <c r="E148" s="33" t="n">
        <f aca="false">IF(D148="totale",(C148/(A148*24))/F148,IF(D148="marché libre",(C148/(A148*24))/G148,"spécifier histo"))</f>
        <v>0.204385742104818</v>
      </c>
      <c r="F148" s="59" t="n">
        <v>1054</v>
      </c>
      <c r="G148" s="59" t="n">
        <v>254</v>
      </c>
      <c r="H148" s="59" t="n">
        <v>800</v>
      </c>
      <c r="J148" s="0"/>
      <c r="L148" s="0"/>
      <c r="Q148" s="0"/>
      <c r="S148" s="0"/>
    </row>
    <row r="149" customFormat="false" ht="28.35" hidden="false" customHeight="true" outlineLevel="0" collapsed="false">
      <c r="A149" s="0" t="n">
        <v>31</v>
      </c>
      <c r="B149" s="34" t="n">
        <v>43313</v>
      </c>
      <c r="C149" s="321" t="n">
        <v>2976</v>
      </c>
      <c r="D149" s="1" t="s">
        <v>42</v>
      </c>
      <c r="E149" s="33" t="n">
        <f aca="false">IF(D149="totale",(C149/(A149*24))/F149,IF(D149="marché libre",(C149/(A149*24))/G149,"spécifier histo"))</f>
        <v>0.015748031496063</v>
      </c>
      <c r="F149" s="59" t="n">
        <v>1054</v>
      </c>
      <c r="G149" s="59" t="n">
        <v>254</v>
      </c>
      <c r="H149" s="59" t="n">
        <v>800</v>
      </c>
      <c r="J149" s="0"/>
      <c r="L149" s="0"/>
      <c r="Q149" s="0"/>
      <c r="S149" s="0"/>
    </row>
    <row r="150" customFormat="false" ht="28.35" hidden="false" customHeight="true" outlineLevel="0" collapsed="false">
      <c r="A150" s="0" t="n">
        <v>30</v>
      </c>
      <c r="B150" s="31" t="n">
        <v>43344</v>
      </c>
      <c r="C150" s="321" t="n">
        <v>1766</v>
      </c>
      <c r="D150" s="1" t="s">
        <v>42</v>
      </c>
      <c r="E150" s="33" t="n">
        <f aca="false">IF(D150="totale",(C150/(A150*24))/F150,IF(D150="marché libre",(C150/(A150*24))/G150,"spécifier histo"))</f>
        <v>0.00965660542432196</v>
      </c>
      <c r="F150" s="59" t="n">
        <v>1054</v>
      </c>
      <c r="G150" s="59" t="n">
        <v>254</v>
      </c>
      <c r="H150" s="59" t="n">
        <v>800</v>
      </c>
      <c r="J150" s="0"/>
      <c r="L150" s="0"/>
      <c r="Q150" s="0"/>
      <c r="S150" s="0"/>
    </row>
    <row r="151" customFormat="false" ht="28.35" hidden="false" customHeight="true" outlineLevel="0" collapsed="false">
      <c r="A151" s="0" t="n">
        <v>31</v>
      </c>
      <c r="B151" s="34" t="n">
        <v>43374</v>
      </c>
      <c r="C151" s="321" t="n">
        <v>1346</v>
      </c>
      <c r="D151" s="1" t="s">
        <v>42</v>
      </c>
      <c r="E151" s="33" t="n">
        <f aca="false">IF(D151="totale",(C151/(A151*24))/F151,IF(D151="marché libre",(C151/(A151*24))/G151,"spécifier histo"))</f>
        <v>0.00712259757852849</v>
      </c>
      <c r="F151" s="59" t="n">
        <v>1054</v>
      </c>
      <c r="G151" s="59" t="n">
        <v>254</v>
      </c>
      <c r="H151" s="59" t="n">
        <v>800</v>
      </c>
      <c r="J151" s="0"/>
      <c r="L151" s="0"/>
      <c r="Q151" s="0"/>
      <c r="S151" s="0"/>
    </row>
    <row r="152" customFormat="false" ht="28.35" hidden="false" customHeight="true" outlineLevel="0" collapsed="false">
      <c r="A152" s="0" t="n">
        <v>30</v>
      </c>
      <c r="B152" s="31" t="n">
        <v>43405</v>
      </c>
      <c r="C152" s="321" t="n">
        <v>39919</v>
      </c>
      <c r="D152" s="1" t="s">
        <v>42</v>
      </c>
      <c r="E152" s="33" t="n">
        <f aca="false">IF(D152="totale",(C152/(A152*24))/F152,IF(D152="marché libre",(C152/(A152*24))/G152,"spécifier histo"))</f>
        <v>0.218279746281715</v>
      </c>
      <c r="F152" s="59" t="n">
        <v>1054</v>
      </c>
      <c r="G152" s="59" t="n">
        <v>254</v>
      </c>
      <c r="H152" s="59" t="n">
        <v>800</v>
      </c>
      <c r="J152" s="0"/>
      <c r="L152" s="0"/>
      <c r="Q152" s="0"/>
      <c r="S152" s="0"/>
    </row>
    <row r="153" customFormat="false" ht="28.35" hidden="false" customHeight="true" outlineLevel="0" collapsed="false">
      <c r="A153" s="0" t="n">
        <v>31</v>
      </c>
      <c r="B153" s="34" t="n">
        <v>43435</v>
      </c>
      <c r="C153" s="321" t="n">
        <v>87598</v>
      </c>
      <c r="D153" s="1" t="s">
        <v>42</v>
      </c>
      <c r="E153" s="33" t="n">
        <f aca="false">IF(D153="totale",(C153/(A153*24))/F153,IF(D153="marché libre",(C153/(A153*24))/G153,"spécifier histo"))</f>
        <v>0.463540343747354</v>
      </c>
      <c r="F153" s="59" t="n">
        <v>1054</v>
      </c>
      <c r="G153" s="59" t="n">
        <v>254</v>
      </c>
      <c r="H153" s="59" t="n">
        <v>800</v>
      </c>
      <c r="J153" s="0"/>
      <c r="L153" s="0"/>
      <c r="Q153" s="0"/>
      <c r="S153" s="0"/>
    </row>
    <row r="154" customFormat="false" ht="12.8" hidden="false" customHeight="false" outlineLevel="0" collapsed="false">
      <c r="C154" s="296"/>
      <c r="L154" s="0"/>
      <c r="Q154" s="0"/>
    </row>
    <row r="155" customFormat="false" ht="12.8" hidden="false" customHeight="false" outlineLevel="0" collapsed="false">
      <c r="C155" s="296"/>
      <c r="L155" s="0"/>
      <c r="Q155" s="0"/>
    </row>
    <row r="156" customFormat="false" ht="12.8" hidden="false" customHeight="false" outlineLevel="0" collapsed="false">
      <c r="C156" s="296"/>
      <c r="L156" s="0"/>
      <c r="Q156" s="0"/>
    </row>
    <row r="157" customFormat="false" ht="12.8" hidden="false" customHeight="false" outlineLevel="0" collapsed="false">
      <c r="C157" s="296"/>
      <c r="L157" s="0"/>
      <c r="Q157" s="0"/>
    </row>
    <row r="158" customFormat="false" ht="12.8" hidden="false" customHeight="false" outlineLevel="0" collapsed="false">
      <c r="C158" s="296"/>
      <c r="L158" s="0"/>
      <c r="Q158" s="0"/>
    </row>
    <row r="159" customFormat="false" ht="12.8" hidden="false" customHeight="false" outlineLevel="0" collapsed="false">
      <c r="C159" s="296"/>
      <c r="L159" s="0"/>
      <c r="Q159" s="0"/>
    </row>
    <row r="160" customFormat="false" ht="12.8" hidden="false" customHeight="false" outlineLevel="0" collapsed="false">
      <c r="C160" s="296"/>
      <c r="L160" s="0"/>
      <c r="Q160" s="0"/>
    </row>
    <row r="161" customFormat="false" ht="12.8" hidden="false" customHeight="false" outlineLevel="0" collapsed="false">
      <c r="C161" s="296"/>
      <c r="L161" s="0"/>
      <c r="Q161" s="0"/>
    </row>
    <row r="162" customFormat="false" ht="12.8" hidden="false" customHeight="false" outlineLevel="0" collapsed="false">
      <c r="C162" s="296"/>
      <c r="L162" s="0"/>
      <c r="Q162" s="0"/>
    </row>
    <row r="163" customFormat="false" ht="12.8" hidden="false" customHeight="false" outlineLevel="0" collapsed="false">
      <c r="C163" s="296"/>
      <c r="L163" s="0"/>
      <c r="Q163" s="0"/>
    </row>
    <row r="164" customFormat="false" ht="12.8" hidden="false" customHeight="false" outlineLevel="0" collapsed="false">
      <c r="C164" s="296"/>
      <c r="L164" s="0"/>
      <c r="Q164" s="0"/>
    </row>
    <row r="165" customFormat="false" ht="12.8" hidden="false" customHeight="false" outlineLevel="0" collapsed="false">
      <c r="C165" s="296"/>
      <c r="L165" s="0"/>
      <c r="Q165" s="0"/>
    </row>
    <row r="166" customFormat="false" ht="12.8" hidden="false" customHeight="false" outlineLevel="0" collapsed="false">
      <c r="C166" s="296"/>
      <c r="L166" s="0"/>
      <c r="Q166" s="0"/>
    </row>
    <row r="167" customFormat="false" ht="12.8" hidden="false" customHeight="false" outlineLevel="0" collapsed="false">
      <c r="C167" s="296"/>
      <c r="L167" s="0"/>
      <c r="Q167" s="0"/>
    </row>
    <row r="168" customFormat="false" ht="12.8" hidden="false" customHeight="false" outlineLevel="0" collapsed="false">
      <c r="C168" s="296"/>
      <c r="L168" s="0"/>
      <c r="Q168" s="0"/>
    </row>
    <row r="169" customFormat="false" ht="12.8" hidden="false" customHeight="false" outlineLevel="0" collapsed="false">
      <c r="C169" s="296"/>
      <c r="L169" s="0"/>
      <c r="Q169" s="0"/>
    </row>
    <row r="170" customFormat="false" ht="12.8" hidden="false" customHeight="false" outlineLevel="0" collapsed="false">
      <c r="C170" s="296"/>
      <c r="L170" s="0"/>
      <c r="Q170" s="0"/>
    </row>
    <row r="171" customFormat="false" ht="12.8" hidden="false" customHeight="false" outlineLevel="0" collapsed="false">
      <c r="C171" s="133"/>
      <c r="L171" s="0"/>
      <c r="Q171" s="0"/>
    </row>
    <row r="172" customFormat="false" ht="12.8" hidden="false" customHeight="false" outlineLevel="0" collapsed="false">
      <c r="C172" s="133"/>
      <c r="L172" s="0"/>
      <c r="Q172" s="0"/>
    </row>
    <row r="173" customFormat="false" ht="12.8" hidden="false" customHeight="false" outlineLevel="0" collapsed="false">
      <c r="L173" s="0"/>
      <c r="Q173" s="0"/>
    </row>
    <row r="174" customFormat="false" ht="12.8" hidden="false" customHeight="false" outlineLevel="0" collapsed="false">
      <c r="L174" s="0"/>
      <c r="Q174" s="0"/>
    </row>
    <row r="175" customFormat="false" ht="12.8" hidden="false" customHeight="false" outlineLevel="0" collapsed="false">
      <c r="L175" s="0"/>
      <c r="Q175" s="0"/>
    </row>
    <row r="176" customFormat="false" ht="12.8" hidden="false" customHeight="false" outlineLevel="0" collapsed="false">
      <c r="L176" s="0"/>
      <c r="Q176" s="0"/>
    </row>
    <row r="177" customFormat="false" ht="12.8" hidden="false" customHeight="false" outlineLevel="0" collapsed="false">
      <c r="L177" s="0"/>
      <c r="Q177" s="0"/>
    </row>
    <row r="178" customFormat="false" ht="12.8" hidden="false" customHeight="false" outlineLevel="0" collapsed="false">
      <c r="Q178" s="0"/>
    </row>
    <row r="179" customFormat="false" ht="12.8" hidden="false" customHeight="false" outlineLevel="0" collapsed="false">
      <c r="Q179" s="0"/>
    </row>
    <row r="180" customFormat="false" ht="12.8" hidden="false" customHeight="false" outlineLevel="0" collapsed="false">
      <c r="Q180" s="0"/>
    </row>
    <row r="181" customFormat="false" ht="12.8" hidden="false" customHeight="false" outlineLevel="0" collapsed="false">
      <c r="Q181" s="0"/>
    </row>
    <row r="182" customFormat="false" ht="12.8" hidden="false" customHeight="false" outlineLevel="0" collapsed="false">
      <c r="Q182" s="0"/>
    </row>
    <row r="183" customFormat="false" ht="12.8" hidden="false" customHeight="false" outlineLevel="0" collapsed="false">
      <c r="Q183" s="0"/>
    </row>
    <row r="184" customFormat="false" ht="12.8" hidden="false" customHeight="false" outlineLevel="0" collapsed="false">
      <c r="Q184" s="0"/>
    </row>
    <row r="185" customFormat="false" ht="12.8" hidden="false" customHeight="false" outlineLevel="0" collapsed="false">
      <c r="Q185" s="0"/>
    </row>
    <row r="186" customFormat="false" ht="12.8" hidden="false" customHeight="false" outlineLevel="0" collapsed="false">
      <c r="Q186" s="0"/>
    </row>
    <row r="187" customFormat="false" ht="12.8" hidden="false" customHeight="false" outlineLevel="0" collapsed="false">
      <c r="Q187" s="0"/>
    </row>
    <row r="188" customFormat="false" ht="12.8" hidden="false" customHeight="false" outlineLevel="0" collapsed="false">
      <c r="Q188" s="0"/>
    </row>
    <row r="189" customFormat="false" ht="12.8" hidden="false" customHeight="false" outlineLevel="0" collapsed="false">
      <c r="Q189" s="0"/>
    </row>
    <row r="190" customFormat="false" ht="12.8" hidden="false" customHeight="false" outlineLevel="0" collapsed="false">
      <c r="Q190"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5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B4" r:id="rId1" display="CT_HYDRO_173"/>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2.xml><?xml version="1.0" encoding="utf-8"?>
<worksheet xmlns="http://schemas.openxmlformats.org/spreadsheetml/2006/main" xmlns:r="http://schemas.openxmlformats.org/officeDocument/2006/relationships">
  <sheetPr filterMode="false">
    <tabColor rgb="FF069A2E"/>
    <pageSetUpPr fitToPage="false"/>
  </sheetPr>
  <dimension ref="A1:V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75" activePane="bottomRight" state="frozen"/>
      <selection pane="topLeft" activeCell="A1" activeCellId="0" sqref="A1"/>
      <selection pane="topRight" activeCell="B1" activeCellId="0" sqref="B1"/>
      <selection pane="bottomLeft" activeCell="A175" activeCellId="0" sqref="A175"/>
      <selection pane="bottomRight" activeCell="B183" activeCellId="0" sqref="B183"/>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22" t="s">
        <v>108</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1.65" hidden="false" customHeight="true" outlineLevel="0" collapsed="false">
      <c r="A4" s="0"/>
      <c r="B4" s="5" t="s">
        <v>843</v>
      </c>
      <c r="C4" s="5" t="n">
        <v>62221</v>
      </c>
      <c r="D4" s="464" t="s">
        <v>844</v>
      </c>
      <c r="E4" s="14" t="s">
        <v>845</v>
      </c>
      <c r="F4" s="15"/>
      <c r="G4" s="15"/>
      <c r="H4" s="15" t="n">
        <v>200</v>
      </c>
      <c r="I4" s="16"/>
      <c r="J4" s="15"/>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846</v>
      </c>
      <c r="H6" s="19"/>
      <c r="I6" s="19"/>
      <c r="J6" s="19"/>
      <c r="K6" s="19"/>
      <c r="L6" s="19"/>
      <c r="M6" s="19"/>
      <c r="N6" s="19"/>
      <c r="P6" s="125" t="n">
        <v>41640</v>
      </c>
      <c r="Q6" s="19" t="s">
        <v>27</v>
      </c>
      <c r="R6" s="9"/>
      <c r="S6" s="22"/>
      <c r="T6" s="5" t="s">
        <v>28</v>
      </c>
    </row>
    <row r="7" customFormat="false" ht="66.9" hidden="false" customHeight="true" outlineLevel="0" collapsed="false">
      <c r="A7" s="0"/>
      <c r="B7" s="0"/>
      <c r="C7" s="126" t="s">
        <v>847</v>
      </c>
      <c r="D7" s="126"/>
      <c r="F7" s="20"/>
      <c r="G7" s="20"/>
      <c r="H7" s="19"/>
      <c r="I7" s="19"/>
      <c r="J7" s="19"/>
      <c r="K7" s="19"/>
      <c r="L7" s="19"/>
      <c r="M7" s="19"/>
      <c r="N7" s="19"/>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22.75" hidden="false" customHeight="true" outlineLevel="0" collapsed="false">
      <c r="A10" s="0" t="n">
        <v>31</v>
      </c>
      <c r="B10" s="34" t="n">
        <v>38139</v>
      </c>
      <c r="C10" s="26" t="n">
        <v>12000</v>
      </c>
      <c r="D10" s="26" t="s">
        <v>41</v>
      </c>
      <c r="E10" s="33" t="n">
        <f aca="false">IF(D10="totale",(C10/(A10*24))/F10,IF(D10="marché libre",(C10/(A10*24))/G10,"spécifier histo"))</f>
        <v>0.0806451612903226</v>
      </c>
      <c r="F10" s="59" t="n">
        <v>200</v>
      </c>
      <c r="G10" s="59" t="n">
        <f aca="false">F10-H10</f>
        <v>200</v>
      </c>
      <c r="H10" s="59" t="n">
        <v>0</v>
      </c>
      <c r="I10" s="9"/>
      <c r="J10" s="30"/>
      <c r="K10" s="0"/>
      <c r="P10" s="0"/>
      <c r="R10" s="0"/>
    </row>
    <row r="11" customFormat="false" ht="22.75" hidden="false" customHeight="true" outlineLevel="0" collapsed="false">
      <c r="A11" s="0" t="n">
        <v>31</v>
      </c>
      <c r="B11" s="31" t="n">
        <v>38169</v>
      </c>
      <c r="C11" s="26" t="n">
        <v>0</v>
      </c>
      <c r="D11" s="26" t="s">
        <v>41</v>
      </c>
      <c r="E11" s="33" t="n">
        <f aca="false">IF(D11="totale",(C11/(A11*24))/F11,IF(D11="marché libre",(C11/(A11*24))/G11,"spécifier histo"))</f>
        <v>0</v>
      </c>
      <c r="F11" s="59" t="n">
        <v>200</v>
      </c>
      <c r="G11" s="59" t="n">
        <f aca="false">F11-H11</f>
        <v>200</v>
      </c>
      <c r="H11" s="59" t="n">
        <v>0</v>
      </c>
      <c r="I11" s="9"/>
      <c r="J11" s="30"/>
      <c r="K11" s="0"/>
      <c r="P11" s="0"/>
      <c r="R11" s="0"/>
    </row>
    <row r="12" customFormat="false" ht="22.75" hidden="false" customHeight="true" outlineLevel="0" collapsed="false">
      <c r="A12" s="0" t="n">
        <v>28</v>
      </c>
      <c r="B12" s="34" t="n">
        <v>38200</v>
      </c>
      <c r="C12" s="26" t="n">
        <v>0</v>
      </c>
      <c r="D12" s="26" t="s">
        <v>41</v>
      </c>
      <c r="E12" s="33" t="n">
        <f aca="false">IF(D12="totale",(C12/(A12*24))/F12,IF(D12="marché libre",(C12/(A12*24))/G12,"spécifier histo"))</f>
        <v>0</v>
      </c>
      <c r="F12" s="59" t="n">
        <v>200</v>
      </c>
      <c r="G12" s="59" t="n">
        <f aca="false">F12-H12</f>
        <v>200</v>
      </c>
      <c r="H12" s="59" t="n">
        <v>0</v>
      </c>
      <c r="I12" s="9"/>
      <c r="J12" s="30"/>
      <c r="K12" s="0"/>
      <c r="P12" s="0"/>
      <c r="R12" s="0"/>
    </row>
    <row r="13" customFormat="false" ht="22.75" hidden="false" customHeight="true" outlineLevel="0" collapsed="false">
      <c r="A13" s="0" t="n">
        <v>31</v>
      </c>
      <c r="B13" s="31" t="n">
        <v>38231</v>
      </c>
      <c r="C13" s="26" t="n">
        <v>0</v>
      </c>
      <c r="D13" s="26" t="s">
        <v>41</v>
      </c>
      <c r="E13" s="33" t="n">
        <f aca="false">IF(D13="totale",(C13/(A13*24))/F13,IF(D13="marché libre",(C13/(A13*24))/G13,"spécifier histo"))</f>
        <v>0</v>
      </c>
      <c r="F13" s="59" t="n">
        <v>200</v>
      </c>
      <c r="G13" s="59" t="n">
        <f aca="false">F13-H13</f>
        <v>200</v>
      </c>
      <c r="H13" s="59" t="n">
        <v>0</v>
      </c>
      <c r="I13" s="9"/>
      <c r="J13" s="30"/>
      <c r="K13" s="0"/>
      <c r="P13" s="0"/>
      <c r="R13" s="0"/>
    </row>
    <row r="14" customFormat="false" ht="22.75" hidden="false" customHeight="true" outlineLevel="0" collapsed="false">
      <c r="A14" s="0" t="n">
        <v>30</v>
      </c>
      <c r="B14" s="34" t="n">
        <v>38261</v>
      </c>
      <c r="C14" s="26" t="n">
        <v>12920</v>
      </c>
      <c r="D14" s="26" t="s">
        <v>41</v>
      </c>
      <c r="E14" s="33" t="n">
        <f aca="false">IF(D14="totale",(C14/(A14*24))/F14,IF(D14="marché libre",(C14/(A14*24))/G14,"spécifier histo"))</f>
        <v>0.0897222222222222</v>
      </c>
      <c r="F14" s="59" t="n">
        <v>200</v>
      </c>
      <c r="G14" s="59" t="n">
        <f aca="false">F14-H14</f>
        <v>200</v>
      </c>
      <c r="H14" s="59" t="n">
        <v>0</v>
      </c>
      <c r="I14" s="9"/>
      <c r="J14" s="30"/>
      <c r="K14" s="0"/>
      <c r="P14" s="0"/>
      <c r="R14" s="0"/>
    </row>
    <row r="15" customFormat="false" ht="22.75" hidden="false" customHeight="true" outlineLevel="0" collapsed="false">
      <c r="A15" s="0" t="n">
        <v>31</v>
      </c>
      <c r="B15" s="31" t="n">
        <v>38292</v>
      </c>
      <c r="C15" s="26" t="n">
        <v>11960</v>
      </c>
      <c r="D15" s="26" t="s">
        <v>41</v>
      </c>
      <c r="E15" s="33" t="n">
        <f aca="false">IF(D15="totale",(C15/(A15*24))/F15,IF(D15="marché libre",(C15/(A15*24))/G15,"spécifier histo"))</f>
        <v>0.0803763440860215</v>
      </c>
      <c r="F15" s="59" t="n">
        <v>200</v>
      </c>
      <c r="G15" s="59" t="n">
        <f aca="false">F15-H15</f>
        <v>200</v>
      </c>
      <c r="H15" s="59" t="n">
        <v>0</v>
      </c>
      <c r="I15" s="9"/>
      <c r="J15" s="30"/>
      <c r="K15" s="0"/>
      <c r="P15" s="0"/>
      <c r="R15" s="0"/>
    </row>
    <row r="16" customFormat="false" ht="22.75" hidden="false" customHeight="true" outlineLevel="0" collapsed="false">
      <c r="A16" s="0" t="n">
        <v>30</v>
      </c>
      <c r="B16" s="34" t="n">
        <v>38322</v>
      </c>
      <c r="C16" s="26" t="n">
        <v>19080</v>
      </c>
      <c r="D16" s="26" t="s">
        <v>41</v>
      </c>
      <c r="E16" s="33" t="n">
        <f aca="false">IF(D16="totale",(C16/(A16*24))/F16,IF(D16="marché libre",(C16/(A16*24))/G16,"spécifier histo"))</f>
        <v>0.1325</v>
      </c>
      <c r="F16" s="59" t="n">
        <v>200</v>
      </c>
      <c r="G16" s="59" t="n">
        <f aca="false">F16-H16</f>
        <v>200</v>
      </c>
      <c r="H16" s="59" t="n">
        <v>0</v>
      </c>
      <c r="I16" s="9"/>
      <c r="J16" s="30"/>
      <c r="K16" s="0"/>
      <c r="P16" s="0"/>
    </row>
    <row r="17" customFormat="false" ht="22.75" hidden="false" customHeight="true" outlineLevel="0" collapsed="false">
      <c r="A17" s="0" t="n">
        <v>31</v>
      </c>
      <c r="B17" s="31" t="n">
        <v>38353</v>
      </c>
      <c r="C17" s="26" t="n">
        <v>71120</v>
      </c>
      <c r="D17" s="26" t="s">
        <v>41</v>
      </c>
      <c r="E17" s="33" t="n">
        <f aca="false">IF(D17="totale",(C17/(A17*24))/F17,IF(D17="marché libre",(C17/(A17*24))/G17,"spécifier histo"))</f>
        <v>0.477956989247312</v>
      </c>
      <c r="F17" s="59" t="n">
        <v>200</v>
      </c>
      <c r="G17" s="59" t="n">
        <f aca="false">F17-H17</f>
        <v>200</v>
      </c>
      <c r="H17" s="59" t="n">
        <v>0</v>
      </c>
      <c r="I17" s="9"/>
      <c r="J17" s="30"/>
      <c r="K17" s="0"/>
      <c r="P17" s="0"/>
    </row>
    <row r="18" customFormat="false" ht="22.75" hidden="false" customHeight="true" outlineLevel="0" collapsed="false">
      <c r="A18" s="0" t="n">
        <v>31</v>
      </c>
      <c r="B18" s="34" t="n">
        <v>38384</v>
      </c>
      <c r="C18" s="26" t="n">
        <v>68600</v>
      </c>
      <c r="D18" s="26" t="s">
        <v>41</v>
      </c>
      <c r="E18" s="33" t="n">
        <f aca="false">IF(D18="totale",(C18/(A18*24))/F18,IF(D18="marché libre",(C18/(A18*24))/G18,"spécifier histo"))</f>
        <v>0.461021505376344</v>
      </c>
      <c r="F18" s="59" t="n">
        <v>200</v>
      </c>
      <c r="G18" s="59" t="n">
        <f aca="false">F18-H18</f>
        <v>200</v>
      </c>
      <c r="H18" s="59" t="n">
        <v>0</v>
      </c>
      <c r="I18" s="9"/>
      <c r="J18" s="30"/>
      <c r="K18" s="0"/>
      <c r="P18" s="0"/>
    </row>
    <row r="19" customFormat="false" ht="22.75" hidden="false" customHeight="true" outlineLevel="0" collapsed="false">
      <c r="A19" s="0" t="n">
        <v>30</v>
      </c>
      <c r="B19" s="31" t="n">
        <v>38412</v>
      </c>
      <c r="C19" s="26" t="n">
        <v>67720</v>
      </c>
      <c r="D19" s="26" t="s">
        <v>41</v>
      </c>
      <c r="E19" s="33" t="n">
        <f aca="false">IF(D19="totale",(C19/(A19*24))/F19,IF(D19="marché libre",(C19/(A19*24))/G19,"spécifier histo"))</f>
        <v>0.470277777777778</v>
      </c>
      <c r="F19" s="59" t="n">
        <v>200</v>
      </c>
      <c r="G19" s="59" t="n">
        <f aca="false">F19-H19</f>
        <v>200</v>
      </c>
      <c r="H19" s="59" t="n">
        <v>0</v>
      </c>
      <c r="I19" s="9"/>
      <c r="J19" s="30"/>
      <c r="K19" s="0"/>
      <c r="P19" s="0"/>
    </row>
    <row r="20" customFormat="false" ht="22.75" hidden="false" customHeight="true" outlineLevel="0" collapsed="false">
      <c r="A20" s="0" t="n">
        <v>31</v>
      </c>
      <c r="B20" s="34" t="n">
        <v>38443</v>
      </c>
      <c r="C20" s="26" t="n">
        <v>60720</v>
      </c>
      <c r="D20" s="26" t="s">
        <v>41</v>
      </c>
      <c r="E20" s="33" t="n">
        <f aca="false">IF(D20="totale",(C20/(A20*24))/F20,IF(D20="marché libre",(C20/(A20*24))/G20,"spécifier histo"))</f>
        <v>0.408064516129032</v>
      </c>
      <c r="F20" s="59" t="n">
        <v>200</v>
      </c>
      <c r="G20" s="59" t="n">
        <f aca="false">F20-H20</f>
        <v>200</v>
      </c>
      <c r="H20" s="59" t="n">
        <v>0</v>
      </c>
      <c r="I20" s="9"/>
      <c r="J20" s="30"/>
      <c r="K20" s="0"/>
      <c r="P20" s="0"/>
    </row>
    <row r="21" customFormat="false" ht="22.75" hidden="false" customHeight="true" outlineLevel="0" collapsed="false">
      <c r="A21" s="0" t="n">
        <v>30</v>
      </c>
      <c r="B21" s="31" t="n">
        <v>38473</v>
      </c>
      <c r="C21" s="26" t="n">
        <v>67520</v>
      </c>
      <c r="D21" s="26" t="s">
        <v>41</v>
      </c>
      <c r="E21" s="33" t="n">
        <f aca="false">IF(D21="totale",(C21/(A21*24))/F21,IF(D21="marché libre",(C21/(A21*24))/G21,"spécifier histo"))</f>
        <v>0.468888888888889</v>
      </c>
      <c r="F21" s="59" t="n">
        <v>200</v>
      </c>
      <c r="G21" s="59" t="n">
        <f aca="false">F21-H21</f>
        <v>200</v>
      </c>
      <c r="H21" s="59" t="n">
        <v>0</v>
      </c>
      <c r="I21" s="9"/>
      <c r="J21" s="30"/>
      <c r="K21" s="0"/>
      <c r="P21" s="0"/>
    </row>
    <row r="22" customFormat="false" ht="22.75" hidden="false" customHeight="true" outlineLevel="0" collapsed="false">
      <c r="A22" s="0" t="n">
        <v>31</v>
      </c>
      <c r="B22" s="34" t="n">
        <v>38504</v>
      </c>
      <c r="C22" s="26" t="n">
        <v>0</v>
      </c>
      <c r="D22" s="26" t="s">
        <v>41</v>
      </c>
      <c r="E22" s="33" t="n">
        <f aca="false">IF(D22="totale",(C22/(A22*24))/F22,IF(D22="marché libre",(C22/(A22*24))/G22,"spécifier histo"))</f>
        <v>0</v>
      </c>
      <c r="F22" s="59" t="n">
        <v>200</v>
      </c>
      <c r="G22" s="59" t="n">
        <f aca="false">F22-H22</f>
        <v>200</v>
      </c>
      <c r="H22" s="59" t="n">
        <v>0</v>
      </c>
      <c r="I22" s="9"/>
      <c r="J22" s="30"/>
      <c r="K22" s="0"/>
      <c r="P22" s="0"/>
    </row>
    <row r="23" customFormat="false" ht="22.75" hidden="false" customHeight="true" outlineLevel="0" collapsed="false">
      <c r="A23" s="1" t="n">
        <v>31</v>
      </c>
      <c r="B23" s="31" t="n">
        <v>38534</v>
      </c>
      <c r="C23" s="26" t="n">
        <v>0</v>
      </c>
      <c r="D23" s="26" t="s">
        <v>41</v>
      </c>
      <c r="E23" s="33" t="n">
        <f aca="false">IF(D23="totale",(C23/(A23*24))/F23,IF(D23="marché libre",(C23/(A23*24))/G23,"spécifier histo"))</f>
        <v>0</v>
      </c>
      <c r="F23" s="59" t="n">
        <v>200</v>
      </c>
      <c r="G23" s="59" t="n">
        <f aca="false">F23-H23</f>
        <v>200</v>
      </c>
      <c r="H23" s="59" t="n">
        <v>0</v>
      </c>
      <c r="I23" s="9"/>
      <c r="J23" s="30"/>
      <c r="K23" s="0"/>
      <c r="P23" s="0"/>
    </row>
    <row r="24" customFormat="false" ht="22.75" hidden="false" customHeight="true" outlineLevel="0" collapsed="false">
      <c r="A24" s="0" t="n">
        <v>28</v>
      </c>
      <c r="B24" s="34" t="n">
        <v>38565</v>
      </c>
      <c r="C24" s="26" t="n">
        <v>0</v>
      </c>
      <c r="D24" s="26" t="s">
        <v>41</v>
      </c>
      <c r="E24" s="33" t="n">
        <f aca="false">IF(D24="totale",(C24/(A24*24))/F24,IF(D24="marché libre",(C24/(A24*24))/G24,"spécifier histo"))</f>
        <v>0</v>
      </c>
      <c r="F24" s="59" t="n">
        <v>200</v>
      </c>
      <c r="G24" s="59" t="n">
        <f aca="false">F24-H24</f>
        <v>200</v>
      </c>
      <c r="H24" s="59" t="n">
        <v>0</v>
      </c>
      <c r="I24" s="9"/>
      <c r="J24" s="30"/>
      <c r="K24" s="0"/>
      <c r="P24" s="0"/>
    </row>
    <row r="25" customFormat="false" ht="22.75" hidden="false" customHeight="true" outlineLevel="0" collapsed="false">
      <c r="A25" s="0" t="n">
        <v>31</v>
      </c>
      <c r="B25" s="31" t="n">
        <v>38596</v>
      </c>
      <c r="C25" s="26" t="n">
        <v>0</v>
      </c>
      <c r="D25" s="26" t="s">
        <v>41</v>
      </c>
      <c r="E25" s="33" t="n">
        <f aca="false">IF(D25="totale",(C25/(A25*24))/F25,IF(D25="marché libre",(C25/(A25*24))/G25,"spécifier histo"))</f>
        <v>0</v>
      </c>
      <c r="F25" s="59" t="n">
        <v>200</v>
      </c>
      <c r="G25" s="59" t="n">
        <f aca="false">F25-H25</f>
        <v>200</v>
      </c>
      <c r="H25" s="59" t="n">
        <v>0</v>
      </c>
      <c r="I25" s="9"/>
      <c r="J25" s="30"/>
      <c r="K25" s="0"/>
      <c r="P25" s="0"/>
    </row>
    <row r="26" customFormat="false" ht="22.75" hidden="false" customHeight="true" outlineLevel="0" collapsed="false">
      <c r="A26" s="0" t="n">
        <v>30</v>
      </c>
      <c r="B26" s="34" t="n">
        <v>38626</v>
      </c>
      <c r="C26" s="26" t="n">
        <v>0</v>
      </c>
      <c r="D26" s="26" t="s">
        <v>41</v>
      </c>
      <c r="E26" s="33" t="n">
        <f aca="false">IF(D26="totale",(C26/(A26*24))/F26,IF(D26="marché libre",(C26/(A26*24))/G26,"spécifier histo"))</f>
        <v>0</v>
      </c>
      <c r="F26" s="59" t="n">
        <v>200</v>
      </c>
      <c r="G26" s="59" t="n">
        <f aca="false">F26-H26</f>
        <v>200</v>
      </c>
      <c r="H26" s="59" t="n">
        <v>0</v>
      </c>
      <c r="I26" s="9"/>
      <c r="J26" s="30"/>
      <c r="K26" s="0"/>
      <c r="P26" s="0"/>
    </row>
    <row r="27" customFormat="false" ht="22.75" hidden="false" customHeight="true" outlineLevel="0" collapsed="false">
      <c r="A27" s="0" t="n">
        <v>31</v>
      </c>
      <c r="B27" s="31" t="n">
        <v>38657</v>
      </c>
      <c r="C27" s="26" t="n">
        <v>0</v>
      </c>
      <c r="D27" s="26" t="s">
        <v>41</v>
      </c>
      <c r="E27" s="33" t="n">
        <f aca="false">IF(D27="totale",(C27/(A27*24))/F27,IF(D27="marché libre",(C27/(A27*24))/G27,"spécifier histo"))</f>
        <v>0</v>
      </c>
      <c r="F27" s="59" t="n">
        <v>200</v>
      </c>
      <c r="G27" s="59" t="n">
        <f aca="false">F27-H27</f>
        <v>200</v>
      </c>
      <c r="H27" s="59" t="n">
        <v>0</v>
      </c>
      <c r="I27" s="9"/>
      <c r="J27" s="30"/>
      <c r="K27" s="0"/>
      <c r="P27" s="0"/>
    </row>
    <row r="28" customFormat="false" ht="22.75" hidden="false" customHeight="true" outlineLevel="0" collapsed="false">
      <c r="A28" s="0" t="n">
        <v>30</v>
      </c>
      <c r="B28" s="34" t="n">
        <v>38687</v>
      </c>
      <c r="C28" s="26" t="n">
        <v>30400</v>
      </c>
      <c r="D28" s="26" t="s">
        <v>41</v>
      </c>
      <c r="E28" s="33" t="n">
        <f aca="false">IF(D28="totale",(C28/(A28*24))/F28,IF(D28="marché libre",(C28/(A28*24))/G28,"spécifier histo"))</f>
        <v>0.211111111111111</v>
      </c>
      <c r="F28" s="59" t="n">
        <v>200</v>
      </c>
      <c r="G28" s="59" t="n">
        <f aca="false">F28-H28</f>
        <v>200</v>
      </c>
      <c r="H28" s="59" t="n">
        <v>0</v>
      </c>
      <c r="I28" s="9"/>
      <c r="J28" s="30"/>
      <c r="K28" s="0"/>
      <c r="P28" s="0"/>
    </row>
    <row r="29" customFormat="false" ht="22.75" hidden="false" customHeight="true" outlineLevel="0" collapsed="false">
      <c r="A29" s="0" t="n">
        <v>31</v>
      </c>
      <c r="B29" s="31" t="n">
        <v>38718</v>
      </c>
      <c r="C29" s="26" t="n">
        <v>73080</v>
      </c>
      <c r="D29" s="26" t="s">
        <v>41</v>
      </c>
      <c r="E29" s="33" t="n">
        <f aca="false">IF(D29="totale",(C29/(A29*24))/F29,IF(D29="marché libre",(C29/(A29*24))/G29,"spécifier histo"))</f>
        <v>0.491129032258064</v>
      </c>
      <c r="F29" s="59" t="n">
        <v>200</v>
      </c>
      <c r="G29" s="59" t="n">
        <f aca="false">F29-H29</f>
        <v>200</v>
      </c>
      <c r="H29" s="59" t="n">
        <v>0</v>
      </c>
      <c r="I29" s="9"/>
      <c r="J29" s="30"/>
      <c r="P29" s="0"/>
    </row>
    <row r="30" customFormat="false" ht="22.75" hidden="false" customHeight="true" outlineLevel="0" collapsed="false">
      <c r="A30" s="0" t="n">
        <v>31</v>
      </c>
      <c r="B30" s="34" t="n">
        <v>38749</v>
      </c>
      <c r="C30" s="26" t="n">
        <v>46680</v>
      </c>
      <c r="D30" s="26" t="s">
        <v>41</v>
      </c>
      <c r="E30" s="33" t="n">
        <f aca="false">IF(D30="totale",(C30/(A30*24))/F30,IF(D30="marché libre",(C30/(A30*24))/G30,"spécifier histo"))</f>
        <v>0.313709677419355</v>
      </c>
      <c r="F30" s="59" t="n">
        <v>200</v>
      </c>
      <c r="G30" s="59" t="n">
        <f aca="false">F30-H30</f>
        <v>200</v>
      </c>
      <c r="H30" s="59" t="n">
        <v>0</v>
      </c>
      <c r="I30" s="9"/>
      <c r="J30" s="30"/>
      <c r="P30" s="0"/>
    </row>
    <row r="31" customFormat="false" ht="22.75" hidden="false" customHeight="true" outlineLevel="0" collapsed="false">
      <c r="A31" s="0" t="n">
        <v>30</v>
      </c>
      <c r="B31" s="31" t="n">
        <v>38777</v>
      </c>
      <c r="C31" s="26" t="n">
        <v>32080</v>
      </c>
      <c r="D31" s="26" t="s">
        <v>41</v>
      </c>
      <c r="E31" s="33" t="n">
        <f aca="false">IF(D31="totale",(C31/(A31*24))/F31,IF(D31="marché libre",(C31/(A31*24))/G31,"spécifier histo"))</f>
        <v>0.222777777777778</v>
      </c>
      <c r="F31" s="59" t="n">
        <v>200</v>
      </c>
      <c r="G31" s="59" t="n">
        <f aca="false">F31-H31</f>
        <v>200</v>
      </c>
      <c r="H31" s="59" t="n">
        <v>0</v>
      </c>
      <c r="I31" s="9"/>
      <c r="J31" s="30"/>
      <c r="P31" s="0"/>
    </row>
    <row r="32" customFormat="false" ht="22.75" hidden="false" customHeight="true" outlineLevel="0" collapsed="false">
      <c r="A32" s="0" t="n">
        <v>31</v>
      </c>
      <c r="B32" s="34" t="n">
        <v>38808</v>
      </c>
      <c r="C32" s="26" t="n">
        <v>67680</v>
      </c>
      <c r="D32" s="26" t="s">
        <v>41</v>
      </c>
      <c r="E32" s="33" t="n">
        <f aca="false">IF(D32="totale",(C32/(A32*24))/F32,IF(D32="marché libre",(C32/(A32*24))/G32,"spécifier histo"))</f>
        <v>0.454838709677419</v>
      </c>
      <c r="F32" s="59" t="n">
        <v>200</v>
      </c>
      <c r="G32" s="59" t="n">
        <f aca="false">F32-H32</f>
        <v>200</v>
      </c>
      <c r="H32" s="59" t="n">
        <v>0</v>
      </c>
      <c r="I32" s="9"/>
      <c r="J32" s="30"/>
      <c r="P32" s="0"/>
    </row>
    <row r="33" customFormat="false" ht="22.75" hidden="false" customHeight="true" outlineLevel="0" collapsed="false">
      <c r="A33" s="0" t="n">
        <v>30</v>
      </c>
      <c r="B33" s="31" t="n">
        <v>38838</v>
      </c>
      <c r="C33" s="26" t="n">
        <v>73080</v>
      </c>
      <c r="D33" s="26" t="s">
        <v>41</v>
      </c>
      <c r="E33" s="33" t="n">
        <f aca="false">IF(D33="totale",(C33/(A33*24))/F33,IF(D33="marché libre",(C33/(A33*24))/G33,"spécifier histo"))</f>
        <v>0.5075</v>
      </c>
      <c r="F33" s="59" t="n">
        <v>200</v>
      </c>
      <c r="G33" s="59" t="n">
        <f aca="false">F33-H33</f>
        <v>200</v>
      </c>
      <c r="H33" s="59" t="n">
        <v>0</v>
      </c>
      <c r="I33" s="9"/>
      <c r="J33" s="30"/>
      <c r="P33" s="0"/>
    </row>
    <row r="34" customFormat="false" ht="22.75" hidden="false" customHeight="true" outlineLevel="0" collapsed="false">
      <c r="A34" s="0" t="n">
        <v>31</v>
      </c>
      <c r="B34" s="34" t="n">
        <v>38869</v>
      </c>
      <c r="C34" s="26" t="n">
        <v>24240</v>
      </c>
      <c r="D34" s="26" t="s">
        <v>41</v>
      </c>
      <c r="E34" s="33" t="n">
        <f aca="false">IF(D34="totale",(C34/(A34*24))/F34,IF(D34="marché libre",(C34/(A34*24))/G34,"spécifier histo"))</f>
        <v>0.162903225806452</v>
      </c>
      <c r="F34" s="59" t="n">
        <v>200</v>
      </c>
      <c r="G34" s="59" t="n">
        <f aca="false">F34-H34</f>
        <v>200</v>
      </c>
      <c r="H34" s="59" t="n">
        <v>0</v>
      </c>
      <c r="I34" s="9"/>
      <c r="J34" s="30"/>
      <c r="P34" s="0"/>
    </row>
    <row r="35" customFormat="false" ht="22.75" hidden="false" customHeight="true" outlineLevel="0" collapsed="false">
      <c r="A35" s="0" t="n">
        <v>31</v>
      </c>
      <c r="B35" s="31" t="n">
        <v>38899</v>
      </c>
      <c r="C35" s="26" t="n">
        <v>0</v>
      </c>
      <c r="D35" s="26" t="s">
        <v>41</v>
      </c>
      <c r="E35" s="33" t="n">
        <f aca="false">IF(D35="totale",(C35/(A35*24))/F35,IF(D35="marché libre",(C35/(A35*24))/G35,"spécifier histo"))</f>
        <v>0</v>
      </c>
      <c r="F35" s="59" t="n">
        <v>200</v>
      </c>
      <c r="G35" s="59" t="n">
        <f aca="false">F35-H35</f>
        <v>200</v>
      </c>
      <c r="H35" s="59" t="n">
        <v>0</v>
      </c>
      <c r="I35" s="9"/>
      <c r="J35" s="30"/>
      <c r="P35" s="0"/>
    </row>
    <row r="36" customFormat="false" ht="22.75" hidden="false" customHeight="true" outlineLevel="0" collapsed="false">
      <c r="A36" s="0" t="n">
        <v>28</v>
      </c>
      <c r="B36" s="34" t="n">
        <v>38930</v>
      </c>
      <c r="C36" s="26" t="n">
        <v>0</v>
      </c>
      <c r="D36" s="26" t="s">
        <v>41</v>
      </c>
      <c r="E36" s="33" t="n">
        <f aca="false">IF(D36="totale",(C36/(A36*24))/F36,IF(D36="marché libre",(C36/(A36*24))/G36,"spécifier histo"))</f>
        <v>0</v>
      </c>
      <c r="F36" s="59" t="n">
        <v>200</v>
      </c>
      <c r="G36" s="59" t="n">
        <f aca="false">F36-H36</f>
        <v>200</v>
      </c>
      <c r="H36" s="59" t="n">
        <v>0</v>
      </c>
      <c r="I36" s="9"/>
      <c r="J36" s="30"/>
      <c r="P36" s="0"/>
    </row>
    <row r="37" customFormat="false" ht="22.75" hidden="false" customHeight="true" outlineLevel="0" collapsed="false">
      <c r="A37" s="0" t="n">
        <v>31</v>
      </c>
      <c r="B37" s="31" t="n">
        <v>38961</v>
      </c>
      <c r="C37" s="26" t="n">
        <v>0</v>
      </c>
      <c r="D37" s="26" t="s">
        <v>41</v>
      </c>
      <c r="E37" s="33" t="n">
        <f aca="false">IF(D37="totale",(C37/(A37*24))/F37,IF(D37="marché libre",(C37/(A37*24))/G37,"spécifier histo"))</f>
        <v>0</v>
      </c>
      <c r="F37" s="59" t="n">
        <v>200</v>
      </c>
      <c r="G37" s="59" t="n">
        <f aca="false">F37-H37</f>
        <v>200</v>
      </c>
      <c r="H37" s="59" t="n">
        <v>0</v>
      </c>
      <c r="I37" s="9"/>
      <c r="J37" s="30"/>
      <c r="P37" s="0"/>
    </row>
    <row r="38" customFormat="false" ht="22.75" hidden="false" customHeight="true" outlineLevel="0" collapsed="false">
      <c r="A38" s="0" t="n">
        <v>30</v>
      </c>
      <c r="B38" s="34" t="n">
        <v>38991</v>
      </c>
      <c r="C38" s="26" t="n">
        <v>0</v>
      </c>
      <c r="D38" s="26" t="s">
        <v>41</v>
      </c>
      <c r="E38" s="33" t="n">
        <f aca="false">IF(D38="totale",(C38/(A38*24))/F38,IF(D38="marché libre",(C38/(A38*24))/G38,"spécifier histo"))</f>
        <v>0</v>
      </c>
      <c r="F38" s="59" t="n">
        <v>200</v>
      </c>
      <c r="G38" s="59" t="n">
        <f aca="false">F38-H38</f>
        <v>200</v>
      </c>
      <c r="H38" s="59" t="n">
        <v>0</v>
      </c>
      <c r="I38" s="9"/>
      <c r="J38" s="30"/>
      <c r="P38" s="0"/>
    </row>
    <row r="39" customFormat="false" ht="22.75" hidden="false" customHeight="true" outlineLevel="0" collapsed="false">
      <c r="A39" s="0" t="n">
        <v>31</v>
      </c>
      <c r="B39" s="31" t="n">
        <v>39022</v>
      </c>
      <c r="C39" s="26" t="n">
        <v>22543</v>
      </c>
      <c r="D39" s="26" t="s">
        <v>41</v>
      </c>
      <c r="E39" s="33" t="n">
        <f aca="false">IF(D39="totale",(C39/(A39*24))/F39,IF(D39="marché libre",(C39/(A39*24))/G39,"spécifier histo"))</f>
        <v>0.151498655913978</v>
      </c>
      <c r="F39" s="59" t="n">
        <v>200</v>
      </c>
      <c r="G39" s="59" t="n">
        <f aca="false">F39-H39</f>
        <v>200</v>
      </c>
      <c r="H39" s="59" t="n">
        <v>0</v>
      </c>
      <c r="I39" s="9"/>
      <c r="J39" s="30"/>
      <c r="P39" s="0"/>
    </row>
    <row r="40" customFormat="false" ht="22.75" hidden="false" customHeight="true" outlineLevel="0" collapsed="false">
      <c r="A40" s="0" t="n">
        <v>30</v>
      </c>
      <c r="B40" s="34" t="n">
        <v>39052</v>
      </c>
      <c r="C40" s="26" t="n">
        <v>69188</v>
      </c>
      <c r="D40" s="26" t="s">
        <v>41</v>
      </c>
      <c r="E40" s="33" t="n">
        <f aca="false">IF(D40="totale",(C40/(A40*24))/F40,IF(D40="marché libre",(C40/(A40*24))/G40,"spécifier histo"))</f>
        <v>0.480472222222222</v>
      </c>
      <c r="F40" s="59" t="n">
        <v>200</v>
      </c>
      <c r="G40" s="59" t="n">
        <f aca="false">F40-H40</f>
        <v>200</v>
      </c>
      <c r="H40" s="59" t="n">
        <v>0</v>
      </c>
      <c r="I40" s="9"/>
      <c r="J40" s="30"/>
      <c r="P40" s="0"/>
    </row>
    <row r="41" customFormat="false" ht="22.75" hidden="false" customHeight="true" outlineLevel="0" collapsed="false">
      <c r="A41" s="0" t="n">
        <v>31</v>
      </c>
      <c r="B41" s="31" t="n">
        <v>39083</v>
      </c>
      <c r="C41" s="26" t="n">
        <v>68195</v>
      </c>
      <c r="D41" s="26" t="s">
        <v>41</v>
      </c>
      <c r="E41" s="33" t="n">
        <f aca="false">IF(D41="totale",(C41/(A41*24))/F41,IF(D41="marché libre",(C41/(A41*24))/G41,"spécifier histo"))</f>
        <v>0.458299731182796</v>
      </c>
      <c r="F41" s="59" t="n">
        <v>200</v>
      </c>
      <c r="G41" s="59" t="n">
        <f aca="false">F41-H41</f>
        <v>200</v>
      </c>
      <c r="H41" s="59" t="n">
        <v>0</v>
      </c>
      <c r="I41" s="9"/>
      <c r="J41" s="30"/>
    </row>
    <row r="42" customFormat="false" ht="22.75" hidden="false" customHeight="true" outlineLevel="0" collapsed="false">
      <c r="A42" s="0" t="n">
        <v>31</v>
      </c>
      <c r="B42" s="34" t="n">
        <v>39114</v>
      </c>
      <c r="C42" s="26" t="n">
        <v>40057</v>
      </c>
      <c r="D42" s="26" t="s">
        <v>41</v>
      </c>
      <c r="E42" s="33" t="n">
        <f aca="false">IF(D42="totale",(C42/(A42*24))/F42,IF(D42="marché libre",(C42/(A42*24))/G42,"spécifier histo"))</f>
        <v>0.269200268817204</v>
      </c>
      <c r="F42" s="59" t="n">
        <v>200</v>
      </c>
      <c r="G42" s="59" t="n">
        <f aca="false">F42-H42</f>
        <v>200</v>
      </c>
      <c r="H42" s="59" t="n">
        <v>0</v>
      </c>
      <c r="I42" s="9"/>
      <c r="J42" s="30"/>
    </row>
    <row r="43" customFormat="false" ht="22.75" hidden="false" customHeight="true" outlineLevel="0" collapsed="false">
      <c r="A43" s="0" t="n">
        <v>30</v>
      </c>
      <c r="B43" s="31" t="n">
        <v>39142</v>
      </c>
      <c r="C43" s="26" t="n">
        <v>43062</v>
      </c>
      <c r="D43" s="26" t="s">
        <v>41</v>
      </c>
      <c r="E43" s="33" t="n">
        <f aca="false">IF(D43="totale",(C43/(A43*24))/F43,IF(D43="marché libre",(C43/(A43*24))/G43,"spécifier histo"))</f>
        <v>0.299041666666667</v>
      </c>
      <c r="F43" s="59" t="n">
        <v>200</v>
      </c>
      <c r="G43" s="59" t="n">
        <f aca="false">F43-H43</f>
        <v>200</v>
      </c>
      <c r="H43" s="59" t="n">
        <v>0</v>
      </c>
      <c r="I43" s="9"/>
      <c r="J43" s="30"/>
    </row>
    <row r="44" customFormat="false" ht="22.75" hidden="false" customHeight="true" outlineLevel="0" collapsed="false">
      <c r="A44" s="0" t="n">
        <v>31</v>
      </c>
      <c r="B44" s="34" t="n">
        <v>39173</v>
      </c>
      <c r="C44" s="26" t="n">
        <v>74388</v>
      </c>
      <c r="D44" s="26" t="s">
        <v>41</v>
      </c>
      <c r="E44" s="33" t="n">
        <f aca="false">IF(D44="totale",(C44/(A44*24))/F44,IF(D44="marché libre",(C44/(A44*24))/G44,"spécifier histo"))</f>
        <v>0.49991935483871</v>
      </c>
      <c r="F44" s="59" t="n">
        <v>200</v>
      </c>
      <c r="G44" s="59" t="n">
        <f aca="false">F44-H44</f>
        <v>200</v>
      </c>
      <c r="H44" s="59" t="n">
        <v>0</v>
      </c>
      <c r="I44" s="9"/>
      <c r="J44" s="30"/>
    </row>
    <row r="45" customFormat="false" ht="22.75" hidden="false" customHeight="true" outlineLevel="0" collapsed="false">
      <c r="A45" s="0" t="n">
        <v>30</v>
      </c>
      <c r="B45" s="31" t="n">
        <v>39203</v>
      </c>
      <c r="C45" s="26" t="n">
        <v>69259</v>
      </c>
      <c r="D45" s="26" t="s">
        <v>41</v>
      </c>
      <c r="E45" s="33" t="n">
        <f aca="false">IF(D45="totale",(C45/(A45*24))/F45,IF(D45="marché libre",(C45/(A45*24))/G45,"spécifier histo"))</f>
        <v>0.480965277777778</v>
      </c>
      <c r="F45" s="59" t="n">
        <v>200</v>
      </c>
      <c r="G45" s="59" t="n">
        <f aca="false">F45-H45</f>
        <v>200</v>
      </c>
      <c r="H45" s="59" t="n">
        <v>0</v>
      </c>
      <c r="I45" s="9"/>
      <c r="J45" s="30"/>
    </row>
    <row r="46" customFormat="false" ht="22.75" hidden="false" customHeight="true" outlineLevel="0" collapsed="false">
      <c r="A46" s="0" t="n">
        <v>31</v>
      </c>
      <c r="B46" s="34" t="n">
        <v>39234</v>
      </c>
      <c r="C46" s="26" t="n">
        <v>59816</v>
      </c>
      <c r="D46" s="26" t="s">
        <v>41</v>
      </c>
      <c r="E46" s="33" t="n">
        <f aca="false">IF(D46="totale",(C46/(A46*24))/F46,IF(D46="marché libre",(C46/(A46*24))/G46,"spécifier histo"))</f>
        <v>0.401989247311828</v>
      </c>
      <c r="F46" s="59" t="n">
        <v>200</v>
      </c>
      <c r="G46" s="59" t="n">
        <f aca="false">F46-H46</f>
        <v>200</v>
      </c>
      <c r="H46" s="59" t="n">
        <v>0</v>
      </c>
      <c r="I46" s="9"/>
      <c r="J46" s="30"/>
    </row>
    <row r="47" customFormat="false" ht="22.75" hidden="false" customHeight="true" outlineLevel="0" collapsed="false">
      <c r="A47" s="0" t="n">
        <v>31</v>
      </c>
      <c r="B47" s="31" t="n">
        <v>39264</v>
      </c>
      <c r="C47" s="26" t="n">
        <v>50558</v>
      </c>
      <c r="D47" s="26" t="s">
        <v>41</v>
      </c>
      <c r="E47" s="33" t="n">
        <f aca="false">IF(D47="totale",(C47/(A47*24))/F47,IF(D47="marché libre",(C47/(A47*24))/G47,"spécifier histo"))</f>
        <v>0.339771505376344</v>
      </c>
      <c r="F47" s="59" t="n">
        <v>200</v>
      </c>
      <c r="G47" s="59" t="n">
        <f aca="false">F47-H47</f>
        <v>200</v>
      </c>
      <c r="H47" s="59" t="n">
        <v>0</v>
      </c>
      <c r="I47" s="9"/>
      <c r="J47" s="30"/>
    </row>
    <row r="48" customFormat="false" ht="22.75" hidden="false" customHeight="true" outlineLevel="0" collapsed="false">
      <c r="A48" s="0" t="n">
        <v>28</v>
      </c>
      <c r="B48" s="34" t="n">
        <v>39295</v>
      </c>
      <c r="C48" s="26" t="n">
        <v>2497</v>
      </c>
      <c r="D48" s="26" t="s">
        <v>41</v>
      </c>
      <c r="E48" s="33" t="n">
        <f aca="false">IF(D48="totale",(C48/(A48*24))/F48,IF(D48="marché libre",(C48/(A48*24))/G48,"spécifier histo"))</f>
        <v>0.018578869047619</v>
      </c>
      <c r="F48" s="59" t="n">
        <v>200</v>
      </c>
      <c r="G48" s="59" t="n">
        <f aca="false">F48-H48</f>
        <v>200</v>
      </c>
      <c r="H48" s="59" t="n">
        <v>0</v>
      </c>
      <c r="I48" s="9"/>
      <c r="J48" s="30"/>
    </row>
    <row r="49" customFormat="false" ht="22.75" hidden="false" customHeight="true" outlineLevel="0" collapsed="false">
      <c r="A49" s="0" t="n">
        <v>31</v>
      </c>
      <c r="B49" s="31" t="n">
        <v>39326</v>
      </c>
      <c r="C49" s="26" t="n">
        <v>640</v>
      </c>
      <c r="D49" s="26" t="s">
        <v>41</v>
      </c>
      <c r="E49" s="33" t="n">
        <f aca="false">IF(D49="totale",(C49/(A49*24))/F49,IF(D49="marché libre",(C49/(A49*24))/G49,"spécifier histo"))</f>
        <v>0.0043010752688172</v>
      </c>
      <c r="F49" s="59" t="n">
        <v>200</v>
      </c>
      <c r="G49" s="59" t="n">
        <f aca="false">F49-H49</f>
        <v>200</v>
      </c>
      <c r="H49" s="59" t="n">
        <v>0</v>
      </c>
      <c r="I49" s="9"/>
      <c r="J49" s="30"/>
    </row>
    <row r="50" customFormat="false" ht="22.75" hidden="false" customHeight="true" outlineLevel="0" collapsed="false">
      <c r="A50" s="0" t="n">
        <v>30</v>
      </c>
      <c r="B50" s="34" t="n">
        <v>39356</v>
      </c>
      <c r="C50" s="26" t="n">
        <v>1361</v>
      </c>
      <c r="D50" s="26" t="s">
        <v>41</v>
      </c>
      <c r="E50" s="33" t="n">
        <f aca="false">IF(D50="totale",(C50/(A50*24))/F50,IF(D50="marché libre",(C50/(A50*24))/G50,"spécifier histo"))</f>
        <v>0.00945138888888889</v>
      </c>
      <c r="F50" s="59" t="n">
        <v>200</v>
      </c>
      <c r="G50" s="59" t="n">
        <f aca="false">F50-H50</f>
        <v>200</v>
      </c>
      <c r="H50" s="59" t="n">
        <v>0</v>
      </c>
      <c r="I50" s="9"/>
      <c r="J50" s="30"/>
    </row>
    <row r="51" customFormat="false" ht="22.75" hidden="false" customHeight="true" outlineLevel="0" collapsed="false">
      <c r="A51" s="0" t="n">
        <v>31</v>
      </c>
      <c r="B51" s="31" t="n">
        <v>39387</v>
      </c>
      <c r="C51" s="26" t="n">
        <v>6907</v>
      </c>
      <c r="D51" s="26" t="s">
        <v>41</v>
      </c>
      <c r="E51" s="33" t="n">
        <f aca="false">IF(D51="totale",(C51/(A51*24))/F51,IF(D51="marché libre",(C51/(A51*24))/G51,"spécifier histo"))</f>
        <v>0.0464180107526882</v>
      </c>
      <c r="F51" s="59" t="n">
        <v>200</v>
      </c>
      <c r="G51" s="59" t="n">
        <f aca="false">F51-H51</f>
        <v>200</v>
      </c>
      <c r="H51" s="59" t="n">
        <v>0</v>
      </c>
      <c r="I51" s="9"/>
      <c r="J51" s="30"/>
    </row>
    <row r="52" customFormat="false" ht="22.75" hidden="false" customHeight="true" outlineLevel="0" collapsed="false">
      <c r="A52" s="0" t="n">
        <v>30</v>
      </c>
      <c r="B52" s="34" t="n">
        <v>39417</v>
      </c>
      <c r="C52" s="26" t="n">
        <v>64130</v>
      </c>
      <c r="D52" s="26" t="s">
        <v>41</v>
      </c>
      <c r="E52" s="33" t="n">
        <f aca="false">IF(D52="totale",(C52/(A52*24))/F52,IF(D52="marché libre",(C52/(A52*24))/G52,"spécifier histo"))</f>
        <v>0.445347222222222</v>
      </c>
      <c r="F52" s="59" t="n">
        <v>200</v>
      </c>
      <c r="G52" s="59" t="n">
        <f aca="false">F52-H52</f>
        <v>200</v>
      </c>
      <c r="H52" s="59" t="n">
        <v>0</v>
      </c>
      <c r="I52" s="9"/>
      <c r="J52" s="30"/>
    </row>
    <row r="53" customFormat="false" ht="22.75" hidden="false" customHeight="true" outlineLevel="0" collapsed="false">
      <c r="A53" s="0" t="n">
        <v>31</v>
      </c>
      <c r="B53" s="31" t="n">
        <v>39448</v>
      </c>
      <c r="C53" s="26" t="n">
        <v>56907</v>
      </c>
      <c r="D53" s="26" t="s">
        <v>41</v>
      </c>
      <c r="E53" s="33" t="n">
        <f aca="false">IF(D53="totale",(C53/(A53*24))/F53,IF(D53="marché libre",(C53/(A53*24))/G53,"spécifier histo"))</f>
        <v>0.382439516129032</v>
      </c>
      <c r="F53" s="59" t="n">
        <v>200</v>
      </c>
      <c r="G53" s="59" t="n">
        <f aca="false">F53-H53</f>
        <v>200</v>
      </c>
      <c r="H53" s="59" t="n">
        <v>0</v>
      </c>
      <c r="I53" s="9"/>
      <c r="J53" s="30"/>
    </row>
    <row r="54" customFormat="false" ht="22.75" hidden="false" customHeight="true" outlineLevel="0" collapsed="false">
      <c r="A54" s="0" t="n">
        <v>31</v>
      </c>
      <c r="B54" s="34" t="n">
        <v>39479</v>
      </c>
      <c r="C54" s="26" t="n">
        <v>71371</v>
      </c>
      <c r="D54" s="26" t="s">
        <v>41</v>
      </c>
      <c r="E54" s="33" t="n">
        <f aca="false">IF(D54="totale",(C54/(A54*24))/F54,IF(D54="marché libre",(C54/(A54*24))/G54,"spécifier histo"))</f>
        <v>0.479643817204301</v>
      </c>
      <c r="F54" s="59" t="n">
        <v>200</v>
      </c>
      <c r="G54" s="59" t="n">
        <f aca="false">F54-H54</f>
        <v>200</v>
      </c>
      <c r="H54" s="59" t="n">
        <v>0</v>
      </c>
      <c r="I54" s="9"/>
      <c r="J54" s="30"/>
    </row>
    <row r="55" customFormat="false" ht="22.75" hidden="false" customHeight="true" outlineLevel="0" collapsed="false">
      <c r="A55" s="0" t="n">
        <v>30</v>
      </c>
      <c r="B55" s="31" t="n">
        <v>39508</v>
      </c>
      <c r="C55" s="26" t="n">
        <v>60897</v>
      </c>
      <c r="D55" s="26" t="s">
        <v>41</v>
      </c>
      <c r="E55" s="33" t="n">
        <f aca="false">IF(D55="totale",(C55/(A55*24))/F55,IF(D55="marché libre",(C55/(A55*24))/G55,"spécifier histo"))</f>
        <v>0.422895833333333</v>
      </c>
      <c r="F55" s="59" t="n">
        <v>200</v>
      </c>
      <c r="G55" s="59" t="n">
        <f aca="false">F55-H55</f>
        <v>200</v>
      </c>
      <c r="H55" s="59" t="n">
        <v>0</v>
      </c>
      <c r="I55" s="9"/>
      <c r="J55" s="30"/>
    </row>
    <row r="56" customFormat="false" ht="22.75" hidden="false" customHeight="true" outlineLevel="0" collapsed="false">
      <c r="A56" s="0" t="n">
        <v>31</v>
      </c>
      <c r="B56" s="34" t="n">
        <v>39539</v>
      </c>
      <c r="C56" s="26" t="n">
        <v>49522</v>
      </c>
      <c r="D56" s="26" t="s">
        <v>41</v>
      </c>
      <c r="E56" s="33" t="n">
        <f aca="false">IF(D56="totale",(C56/(A56*24))/F56,IF(D56="marché libre",(C56/(A56*24))/G56,"spécifier histo"))</f>
        <v>0.332809139784946</v>
      </c>
      <c r="F56" s="59" t="n">
        <v>200</v>
      </c>
      <c r="G56" s="59" t="n">
        <f aca="false">F56-H56</f>
        <v>200</v>
      </c>
      <c r="H56" s="59" t="n">
        <v>0</v>
      </c>
      <c r="I56" s="9"/>
      <c r="J56" s="30"/>
    </row>
    <row r="57" customFormat="false" ht="22.75" hidden="false" customHeight="true" outlineLevel="0" collapsed="false">
      <c r="A57" s="0" t="n">
        <v>30</v>
      </c>
      <c r="B57" s="31" t="n">
        <v>39569</v>
      </c>
      <c r="C57" s="26" t="n">
        <v>65251</v>
      </c>
      <c r="D57" s="26" t="s">
        <v>41</v>
      </c>
      <c r="E57" s="33" t="n">
        <f aca="false">IF(D57="totale",(C57/(A57*24))/F57,IF(D57="marché libre",(C57/(A57*24))/G57,"spécifier histo"))</f>
        <v>0.453131944444444</v>
      </c>
      <c r="F57" s="59" t="n">
        <v>200</v>
      </c>
      <c r="G57" s="59" t="n">
        <f aca="false">F57-H57</f>
        <v>200</v>
      </c>
      <c r="H57" s="59" t="n">
        <v>0</v>
      </c>
      <c r="I57" s="9"/>
      <c r="J57" s="30"/>
    </row>
    <row r="58" customFormat="false" ht="22.75" hidden="false" customHeight="true" outlineLevel="0" collapsed="false">
      <c r="A58" s="0" t="n">
        <v>31</v>
      </c>
      <c r="B58" s="34" t="n">
        <v>39600</v>
      </c>
      <c r="C58" s="26" t="n">
        <v>56018</v>
      </c>
      <c r="D58" s="26" t="s">
        <v>41</v>
      </c>
      <c r="E58" s="33" t="n">
        <f aca="false">IF(D58="totale",(C58/(A58*24))/F58,IF(D58="marché libre",(C58/(A58*24))/G58,"spécifier histo"))</f>
        <v>0.376465053763441</v>
      </c>
      <c r="F58" s="59" t="n">
        <v>200</v>
      </c>
      <c r="G58" s="59" t="n">
        <f aca="false">F58-H58</f>
        <v>200</v>
      </c>
      <c r="H58" s="59" t="n">
        <v>0</v>
      </c>
      <c r="I58" s="9"/>
      <c r="J58" s="30"/>
    </row>
    <row r="59" customFormat="false" ht="22.75" hidden="false" customHeight="true" outlineLevel="0" collapsed="false">
      <c r="A59" s="0" t="n">
        <v>31</v>
      </c>
      <c r="B59" s="31" t="n">
        <v>39630</v>
      </c>
      <c r="C59" s="26" t="n">
        <v>19498</v>
      </c>
      <c r="D59" s="26" t="s">
        <v>41</v>
      </c>
      <c r="E59" s="33" t="n">
        <f aca="false">IF(D59="totale",(C59/(A59*24))/F59,IF(D59="marché libre",(C59/(A59*24))/G59,"spécifier histo"))</f>
        <v>0.131034946236559</v>
      </c>
      <c r="F59" s="59" t="n">
        <v>200</v>
      </c>
      <c r="G59" s="59" t="n">
        <f aca="false">F59-H59</f>
        <v>200</v>
      </c>
      <c r="H59" s="59" t="n">
        <v>0</v>
      </c>
      <c r="I59" s="9"/>
      <c r="J59" s="30"/>
    </row>
    <row r="60" customFormat="false" ht="22.75" hidden="false" customHeight="true" outlineLevel="0" collapsed="false">
      <c r="A60" s="0" t="n">
        <v>28</v>
      </c>
      <c r="B60" s="34" t="n">
        <v>39661</v>
      </c>
      <c r="C60" s="26" t="n">
        <v>0</v>
      </c>
      <c r="D60" s="26" t="s">
        <v>41</v>
      </c>
      <c r="E60" s="33" t="n">
        <f aca="false">IF(D60="totale",(C60/(A60*24))/F60,IF(D60="marché libre",(C60/(A60*24))/G60,"spécifier histo"))</f>
        <v>0</v>
      </c>
      <c r="F60" s="59" t="n">
        <v>200</v>
      </c>
      <c r="G60" s="59" t="n">
        <f aca="false">F60-H60</f>
        <v>200</v>
      </c>
      <c r="H60" s="59" t="n">
        <v>0</v>
      </c>
      <c r="I60" s="9"/>
      <c r="J60" s="30"/>
    </row>
    <row r="61" customFormat="false" ht="22.75" hidden="false" customHeight="true" outlineLevel="0" collapsed="false">
      <c r="A61" s="0" t="n">
        <v>31</v>
      </c>
      <c r="B61" s="31" t="n">
        <v>39692</v>
      </c>
      <c r="C61" s="26" t="n">
        <v>307</v>
      </c>
      <c r="D61" s="26" t="s">
        <v>41</v>
      </c>
      <c r="E61" s="33" t="n">
        <f aca="false">IF(D61="totale",(C61/(A61*24))/F61,IF(D61="marché libre",(C61/(A61*24))/G61,"spécifier histo"))</f>
        <v>0.00206317204301075</v>
      </c>
      <c r="F61" s="59" t="n">
        <v>200</v>
      </c>
      <c r="G61" s="59" t="n">
        <f aca="false">F61-H61</f>
        <v>200</v>
      </c>
      <c r="H61" s="59" t="n">
        <v>0</v>
      </c>
      <c r="I61" s="9"/>
      <c r="J61" s="30"/>
    </row>
    <row r="62" customFormat="false" ht="22.75" hidden="false" customHeight="true" outlineLevel="0" collapsed="false">
      <c r="A62" s="0" t="n">
        <v>30</v>
      </c>
      <c r="B62" s="34" t="n">
        <v>39722</v>
      </c>
      <c r="C62" s="26" t="n">
        <v>7699</v>
      </c>
      <c r="D62" s="26" t="s">
        <v>41</v>
      </c>
      <c r="E62" s="33" t="n">
        <f aca="false">IF(D62="totale",(C62/(A62*24))/F62,IF(D62="marché libre",(C62/(A62*24))/G62,"spécifier histo"))</f>
        <v>0.0534652777777778</v>
      </c>
      <c r="F62" s="59" t="n">
        <v>200</v>
      </c>
      <c r="G62" s="59" t="n">
        <f aca="false">F62-H62</f>
        <v>200</v>
      </c>
      <c r="H62" s="59" t="n">
        <v>0</v>
      </c>
      <c r="I62" s="9"/>
      <c r="J62" s="30"/>
    </row>
    <row r="63" customFormat="false" ht="22.75" hidden="false" customHeight="true" outlineLevel="0" collapsed="false">
      <c r="A63" s="0" t="n">
        <v>31</v>
      </c>
      <c r="B63" s="31" t="n">
        <v>39753</v>
      </c>
      <c r="C63" s="26" t="n">
        <v>52334</v>
      </c>
      <c r="D63" s="26" t="s">
        <v>41</v>
      </c>
      <c r="E63" s="33" t="n">
        <f aca="false">IF(D63="totale",(C63/(A63*24))/F63,IF(D63="marché libre",(C63/(A63*24))/G63,"spécifier histo"))</f>
        <v>0.351706989247312</v>
      </c>
      <c r="F63" s="59" t="n">
        <v>200</v>
      </c>
      <c r="G63" s="59" t="n">
        <f aca="false">F63-H63</f>
        <v>200</v>
      </c>
      <c r="H63" s="59" t="n">
        <v>0</v>
      </c>
      <c r="I63" s="9"/>
      <c r="J63" s="30"/>
    </row>
    <row r="64" customFormat="false" ht="22.75" hidden="false" customHeight="true" outlineLevel="0" collapsed="false">
      <c r="A64" s="0" t="n">
        <v>30</v>
      </c>
      <c r="B64" s="34" t="n">
        <v>39783</v>
      </c>
      <c r="C64" s="26" t="n">
        <v>56441</v>
      </c>
      <c r="D64" s="26" t="s">
        <v>41</v>
      </c>
      <c r="E64" s="33" t="n">
        <f aca="false">IF(D64="totale",(C64/(A64*24))/F64,IF(D64="marché libre",(C64/(A64*24))/G64,"spécifier histo"))</f>
        <v>0.391951388888889</v>
      </c>
      <c r="F64" s="59" t="n">
        <v>200</v>
      </c>
      <c r="G64" s="59" t="n">
        <f aca="false">F64-H64</f>
        <v>200</v>
      </c>
      <c r="H64" s="59" t="n">
        <v>0</v>
      </c>
      <c r="I64" s="9"/>
      <c r="J64" s="30"/>
    </row>
    <row r="65" customFormat="false" ht="22.75" hidden="false" customHeight="true" outlineLevel="0" collapsed="false">
      <c r="A65" s="0" t="n">
        <v>31</v>
      </c>
      <c r="B65" s="31" t="n">
        <v>39814</v>
      </c>
      <c r="C65" s="26" t="n">
        <v>56223</v>
      </c>
      <c r="D65" s="26" t="s">
        <v>41</v>
      </c>
      <c r="E65" s="33" t="n">
        <f aca="false">IF(D65="totale",(C65/(A65*24))/F65,IF(D65="marché libre",(C65/(A65*24))/G65,"spécifier histo"))</f>
        <v>0.377842741935484</v>
      </c>
      <c r="F65" s="59" t="n">
        <v>200</v>
      </c>
      <c r="G65" s="59" t="n">
        <f aca="false">F65-H65</f>
        <v>200</v>
      </c>
      <c r="H65" s="59" t="n">
        <v>0</v>
      </c>
      <c r="I65" s="9"/>
      <c r="J65" s="30"/>
    </row>
    <row r="66" customFormat="false" ht="22.75" hidden="false" customHeight="true" outlineLevel="0" collapsed="false">
      <c r="A66" s="0" t="n">
        <v>31</v>
      </c>
      <c r="B66" s="34" t="n">
        <v>39845</v>
      </c>
      <c r="C66" s="26" t="n">
        <v>67041</v>
      </c>
      <c r="D66" s="26" t="s">
        <v>41</v>
      </c>
      <c r="E66" s="33" t="n">
        <f aca="false">IF(D66="totale",(C66/(A66*24))/F66,IF(D66="marché libre",(C66/(A66*24))/G66,"spécifier histo"))</f>
        <v>0.45054435483871</v>
      </c>
      <c r="F66" s="59" t="n">
        <v>200</v>
      </c>
      <c r="G66" s="59" t="n">
        <f aca="false">F66-H66</f>
        <v>200</v>
      </c>
      <c r="H66" s="59" t="n">
        <v>0</v>
      </c>
      <c r="I66" s="9"/>
      <c r="J66" s="30"/>
    </row>
    <row r="67" customFormat="false" ht="22.75" hidden="false" customHeight="true" outlineLevel="0" collapsed="false">
      <c r="A67" s="0" t="n">
        <v>30</v>
      </c>
      <c r="B67" s="31" t="n">
        <v>39873</v>
      </c>
      <c r="C67" s="26" t="n">
        <v>78672</v>
      </c>
      <c r="D67" s="26" t="s">
        <v>41</v>
      </c>
      <c r="E67" s="33" t="n">
        <f aca="false">IF(D67="totale",(C67/(A67*24))/F67,IF(D67="marché libre",(C67/(A67*24))/G67,"spécifier histo"))</f>
        <v>0.546333333333333</v>
      </c>
      <c r="F67" s="59" t="n">
        <v>200</v>
      </c>
      <c r="G67" s="59" t="n">
        <f aca="false">F67-H67</f>
        <v>200</v>
      </c>
      <c r="H67" s="59" t="n">
        <v>0</v>
      </c>
      <c r="I67" s="9"/>
      <c r="J67" s="30"/>
    </row>
    <row r="68" customFormat="false" ht="22.75" hidden="false" customHeight="true" outlineLevel="0" collapsed="false">
      <c r="A68" s="0" t="n">
        <v>31</v>
      </c>
      <c r="B68" s="34" t="n">
        <v>39904</v>
      </c>
      <c r="C68" s="26" t="n">
        <v>67447</v>
      </c>
      <c r="D68" s="26" t="s">
        <v>41</v>
      </c>
      <c r="E68" s="33" t="n">
        <f aca="false">IF(D68="totale",(C68/(A68*24))/F68,IF(D68="marché libre",(C68/(A68*24))/G68,"spécifier histo"))</f>
        <v>0.453272849462366</v>
      </c>
      <c r="F68" s="59" t="n">
        <v>200</v>
      </c>
      <c r="G68" s="59" t="n">
        <f aca="false">F68-H68</f>
        <v>200</v>
      </c>
      <c r="H68" s="59" t="n">
        <v>0</v>
      </c>
      <c r="I68" s="9"/>
      <c r="J68" s="30"/>
    </row>
    <row r="69" customFormat="false" ht="22.75" hidden="false" customHeight="true" outlineLevel="0" collapsed="false">
      <c r="A69" s="0" t="n">
        <v>30</v>
      </c>
      <c r="B69" s="31" t="n">
        <v>39934</v>
      </c>
      <c r="C69" s="26" t="n">
        <v>61601</v>
      </c>
      <c r="D69" s="26" t="s">
        <v>41</v>
      </c>
      <c r="E69" s="33" t="n">
        <f aca="false">IF(D69="totale",(C69/(A69*24))/F69,IF(D69="marché libre",(C69/(A69*24))/G69,"spécifier histo"))</f>
        <v>0.427784722222222</v>
      </c>
      <c r="F69" s="59" t="n">
        <v>200</v>
      </c>
      <c r="G69" s="59" t="n">
        <f aca="false">F69-H69</f>
        <v>200</v>
      </c>
      <c r="H69" s="59" t="n">
        <v>0</v>
      </c>
      <c r="I69" s="9"/>
      <c r="J69" s="30"/>
    </row>
    <row r="70" customFormat="false" ht="22.75" hidden="false" customHeight="true" outlineLevel="0" collapsed="false">
      <c r="A70" s="0" t="n">
        <v>31</v>
      </c>
      <c r="B70" s="34" t="n">
        <v>39965</v>
      </c>
      <c r="C70" s="26" t="n">
        <v>63418</v>
      </c>
      <c r="D70" s="26" t="s">
        <v>41</v>
      </c>
      <c r="E70" s="33" t="n">
        <f aca="false">IF(D70="totale",(C70/(A70*24))/F70,IF(D70="marché libre",(C70/(A70*24))/G70,"spécifier histo"))</f>
        <v>0.42619623655914</v>
      </c>
      <c r="F70" s="59" t="n">
        <v>200</v>
      </c>
      <c r="G70" s="59" t="n">
        <f aca="false">F70-H70</f>
        <v>200</v>
      </c>
      <c r="H70" s="59" t="n">
        <v>0</v>
      </c>
      <c r="I70" s="9"/>
      <c r="J70" s="30"/>
    </row>
    <row r="71" customFormat="false" ht="22.75" hidden="false" customHeight="true" outlineLevel="0" collapsed="false">
      <c r="A71" s="0" t="n">
        <v>31</v>
      </c>
      <c r="B71" s="31" t="n">
        <v>39995</v>
      </c>
      <c r="C71" s="26" t="n">
        <v>5374</v>
      </c>
      <c r="D71" s="26" t="s">
        <v>41</v>
      </c>
      <c r="E71" s="33" t="n">
        <f aca="false">IF(D71="totale",(C71/(A71*24))/F71,IF(D71="marché libre",(C71/(A71*24))/G71,"spécifier histo"))</f>
        <v>0.0361155913978495</v>
      </c>
      <c r="F71" s="59" t="n">
        <v>200</v>
      </c>
      <c r="G71" s="59" t="n">
        <f aca="false">F71-H71</f>
        <v>200</v>
      </c>
      <c r="H71" s="59" t="n">
        <v>0</v>
      </c>
      <c r="I71" s="9"/>
      <c r="J71" s="30"/>
    </row>
    <row r="72" customFormat="false" ht="22.75" hidden="false" customHeight="true" outlineLevel="0" collapsed="false">
      <c r="A72" s="0" t="n">
        <v>31</v>
      </c>
      <c r="B72" s="34" t="n">
        <v>40026</v>
      </c>
      <c r="C72" s="26" t="n">
        <v>0</v>
      </c>
      <c r="D72" s="26" t="s">
        <v>41</v>
      </c>
      <c r="E72" s="33" t="n">
        <f aca="false">IF(D72="totale",(C72/(A72*24))/F72,IF(D72="marché libre",(C72/(A72*24))/G72,"spécifier histo"))</f>
        <v>0</v>
      </c>
      <c r="F72" s="59" t="n">
        <v>200</v>
      </c>
      <c r="G72" s="59" t="n">
        <f aca="false">F72-H72</f>
        <v>200</v>
      </c>
      <c r="H72" s="59" t="n">
        <v>0</v>
      </c>
      <c r="I72" s="9"/>
      <c r="J72" s="30"/>
    </row>
    <row r="73" customFormat="false" ht="22.75" hidden="false" customHeight="true" outlineLevel="0" collapsed="false">
      <c r="A73" s="0" t="n">
        <v>28</v>
      </c>
      <c r="B73" s="31" t="n">
        <v>40057</v>
      </c>
      <c r="C73" s="26" t="n">
        <v>0</v>
      </c>
      <c r="D73" s="26" t="s">
        <v>41</v>
      </c>
      <c r="E73" s="33" t="n">
        <f aca="false">IF(D73="totale",(C73/(A73*24))/F73,IF(D73="marché libre",(C73/(A73*24))/G73,"spécifier histo"))</f>
        <v>0</v>
      </c>
      <c r="F73" s="59" t="n">
        <v>200</v>
      </c>
      <c r="G73" s="59" t="n">
        <f aca="false">F73-H73</f>
        <v>200</v>
      </c>
      <c r="H73" s="59" t="n">
        <v>0</v>
      </c>
      <c r="I73" s="9"/>
      <c r="J73" s="30"/>
    </row>
    <row r="74" customFormat="false" ht="22.75" hidden="false" customHeight="true" outlineLevel="0" collapsed="false">
      <c r="A74" s="0" t="n">
        <v>31</v>
      </c>
      <c r="B74" s="34" t="n">
        <v>40087</v>
      </c>
      <c r="C74" s="26" t="n">
        <v>0</v>
      </c>
      <c r="D74" s="26" t="s">
        <v>41</v>
      </c>
      <c r="E74" s="33" t="n">
        <f aca="false">IF(D74="totale",(C74/(A74*24))/F74,IF(D74="marché libre",(C74/(A74*24))/G74,"spécifier histo"))</f>
        <v>0</v>
      </c>
      <c r="F74" s="59" t="n">
        <v>200</v>
      </c>
      <c r="G74" s="59" t="n">
        <f aca="false">F74-H74</f>
        <v>200</v>
      </c>
      <c r="H74" s="59" t="n">
        <v>0</v>
      </c>
      <c r="I74" s="9"/>
      <c r="J74" s="30"/>
    </row>
    <row r="75" customFormat="false" ht="22.75" hidden="false" customHeight="true" outlineLevel="0" collapsed="false">
      <c r="A75" s="0" t="n">
        <v>30</v>
      </c>
      <c r="B75" s="31" t="n">
        <v>40118</v>
      </c>
      <c r="C75" s="26" t="n">
        <v>40459</v>
      </c>
      <c r="D75" s="26" t="s">
        <v>41</v>
      </c>
      <c r="E75" s="33" t="n">
        <f aca="false">IF(D75="totale",(C75/(A75*24))/F75,IF(D75="marché libre",(C75/(A75*24))/G75,"spécifier histo"))</f>
        <v>0.280965277777778</v>
      </c>
      <c r="F75" s="59" t="n">
        <v>200</v>
      </c>
      <c r="G75" s="59" t="n">
        <f aca="false">F75-H75</f>
        <v>200</v>
      </c>
      <c r="H75" s="59" t="n">
        <v>0</v>
      </c>
      <c r="I75" s="9"/>
      <c r="J75" s="30"/>
    </row>
    <row r="76" customFormat="false" ht="22.75" hidden="false" customHeight="true" outlineLevel="0" collapsed="false">
      <c r="A76" s="0" t="n">
        <v>31</v>
      </c>
      <c r="B76" s="34" t="n">
        <v>40148</v>
      </c>
      <c r="C76" s="26" t="n">
        <v>68599</v>
      </c>
      <c r="D76" s="26" t="s">
        <v>41</v>
      </c>
      <c r="E76" s="33" t="n">
        <f aca="false">IF(D76="totale",(C76/(A76*24))/F76,IF(D76="marché libre",(C76/(A76*24))/G76,"spécifier histo"))</f>
        <v>0.461014784946237</v>
      </c>
      <c r="F76" s="59" t="n">
        <v>200</v>
      </c>
      <c r="G76" s="59" t="n">
        <f aca="false">F76-H76</f>
        <v>200</v>
      </c>
      <c r="H76" s="59" t="n">
        <v>0</v>
      </c>
      <c r="I76" s="9"/>
      <c r="J76" s="30"/>
    </row>
    <row r="77" customFormat="false" ht="22.75" hidden="false" customHeight="true" outlineLevel="0" collapsed="false">
      <c r="A77" s="0" t="n">
        <v>30</v>
      </c>
      <c r="B77" s="31" t="n">
        <v>40179</v>
      </c>
      <c r="C77" s="26" t="n">
        <v>48847</v>
      </c>
      <c r="D77" s="26" t="s">
        <v>41</v>
      </c>
      <c r="E77" s="33" t="n">
        <f aca="false">IF(D77="totale",(C77/(A77*24))/F77,IF(D77="marché libre",(C77/(A77*24))/G77,"spécifier histo"))</f>
        <v>0.339215277777778</v>
      </c>
      <c r="F77" s="59" t="n">
        <v>200</v>
      </c>
      <c r="G77" s="59" t="n">
        <f aca="false">F77-H77</f>
        <v>200</v>
      </c>
      <c r="H77" s="59" t="n">
        <v>0</v>
      </c>
      <c r="I77" s="9"/>
      <c r="J77" s="30"/>
    </row>
    <row r="78" customFormat="false" ht="22.75" hidden="false" customHeight="true" outlineLevel="0" collapsed="false">
      <c r="A78" s="0" t="n">
        <v>31</v>
      </c>
      <c r="B78" s="34" t="n">
        <v>40210</v>
      </c>
      <c r="C78" s="26" t="n">
        <v>50095</v>
      </c>
      <c r="D78" s="26" t="s">
        <v>41</v>
      </c>
      <c r="E78" s="33" t="n">
        <f aca="false">IF(D78="totale",(C78/(A78*24))/F78,IF(D78="marché libre",(C78/(A78*24))/G78,"spécifier histo"))</f>
        <v>0.336659946236559</v>
      </c>
      <c r="F78" s="59" t="n">
        <v>200</v>
      </c>
      <c r="G78" s="59" t="n">
        <f aca="false">F78-H78</f>
        <v>200</v>
      </c>
      <c r="H78" s="59" t="n">
        <v>0</v>
      </c>
      <c r="I78" s="9"/>
      <c r="J78" s="30"/>
    </row>
    <row r="79" customFormat="false" ht="22.75" hidden="false" customHeight="true" outlineLevel="0" collapsed="false">
      <c r="A79" s="0" t="n">
        <v>31</v>
      </c>
      <c r="B79" s="31" t="n">
        <v>40238</v>
      </c>
      <c r="C79" s="26" t="n">
        <v>70455</v>
      </c>
      <c r="D79" s="26" t="s">
        <v>41</v>
      </c>
      <c r="E79" s="33" t="n">
        <f aca="false">IF(D79="totale",(C79/(A79*24))/F79,IF(D79="marché libre",(C79/(A79*24))/G79,"spécifier histo"))</f>
        <v>0.473487903225806</v>
      </c>
      <c r="F79" s="59" t="n">
        <v>200</v>
      </c>
      <c r="G79" s="59" t="n">
        <f aca="false">F79-H79</f>
        <v>200</v>
      </c>
      <c r="H79" s="59" t="n">
        <v>0</v>
      </c>
      <c r="I79" s="9"/>
      <c r="J79" s="30"/>
    </row>
    <row r="80" customFormat="false" ht="22.75" hidden="false" customHeight="true" outlineLevel="0" collapsed="false">
      <c r="A80" s="0" t="n">
        <v>30</v>
      </c>
      <c r="B80" s="34" t="n">
        <v>40269</v>
      </c>
      <c r="C80" s="26" t="n">
        <v>59533</v>
      </c>
      <c r="D80" s="26" t="s">
        <v>41</v>
      </c>
      <c r="E80" s="33" t="n">
        <f aca="false">IF(D80="totale",(C80/(A80*24))/F80,IF(D80="marché libre",(C80/(A80*24))/G80,"spécifier histo"))</f>
        <v>0.413423611111111</v>
      </c>
      <c r="F80" s="59" t="n">
        <v>200</v>
      </c>
      <c r="G80" s="59" t="n">
        <f aca="false">F80-H80</f>
        <v>200</v>
      </c>
      <c r="H80" s="59" t="n">
        <v>0</v>
      </c>
      <c r="I80" s="9"/>
      <c r="J80" s="30"/>
    </row>
    <row r="81" customFormat="false" ht="22.75" hidden="false" customHeight="true" outlineLevel="0" collapsed="false">
      <c r="A81" s="0" t="n">
        <v>31</v>
      </c>
      <c r="B81" s="31" t="n">
        <v>40299</v>
      </c>
      <c r="C81" s="26" t="n">
        <v>72358</v>
      </c>
      <c r="D81" s="26" t="s">
        <v>41</v>
      </c>
      <c r="E81" s="33" t="n">
        <f aca="false">IF(D81="totale",(C81/(A81*24))/F81,IF(D81="marché libre",(C81/(A81*24))/G81,"spécifier histo"))</f>
        <v>0.48627688172043</v>
      </c>
      <c r="F81" s="59" t="n">
        <v>200</v>
      </c>
      <c r="G81" s="59" t="n">
        <f aca="false">F81-H81</f>
        <v>200</v>
      </c>
      <c r="H81" s="59" t="n">
        <v>0</v>
      </c>
      <c r="I81" s="9"/>
      <c r="J81" s="30"/>
    </row>
    <row r="82" customFormat="false" ht="22.75" hidden="false" customHeight="true" outlineLevel="0" collapsed="false">
      <c r="A82" s="0" t="n">
        <v>30</v>
      </c>
      <c r="B82" s="34" t="n">
        <v>40330</v>
      </c>
      <c r="C82" s="26" t="n">
        <v>56214</v>
      </c>
      <c r="D82" s="26" t="s">
        <v>41</v>
      </c>
      <c r="E82" s="33" t="n">
        <f aca="false">IF(D82="totale",(C82/(A82*24))/F82,IF(D82="marché libre",(C82/(A82*24))/G82,"spécifier histo"))</f>
        <v>0.390375</v>
      </c>
      <c r="F82" s="59" t="n">
        <v>200</v>
      </c>
      <c r="G82" s="59" t="n">
        <f aca="false">F82-H82</f>
        <v>200</v>
      </c>
      <c r="H82" s="59" t="n">
        <v>0</v>
      </c>
      <c r="I82" s="9"/>
      <c r="J82" s="30"/>
    </row>
    <row r="83" customFormat="false" ht="22.75" hidden="false" customHeight="true" outlineLevel="0" collapsed="false">
      <c r="A83" s="0" t="n">
        <v>31</v>
      </c>
      <c r="B83" s="31" t="n">
        <v>40360</v>
      </c>
      <c r="C83" s="26" t="n">
        <v>3328</v>
      </c>
      <c r="D83" s="26" t="s">
        <v>41</v>
      </c>
      <c r="E83" s="33" t="n">
        <f aca="false">IF(D83="totale",(C83/(A83*24))/F83,IF(D83="marché libre",(C83/(A83*24))/G83,"spécifier histo"))</f>
        <v>0.0223655913978495</v>
      </c>
      <c r="F83" s="59" t="n">
        <v>200</v>
      </c>
      <c r="G83" s="59" t="n">
        <f aca="false">F83-H83</f>
        <v>200</v>
      </c>
      <c r="H83" s="59" t="n">
        <v>0</v>
      </c>
      <c r="I83" s="9"/>
      <c r="J83" s="30"/>
    </row>
    <row r="84" customFormat="false" ht="22.75" hidden="false" customHeight="true" outlineLevel="0" collapsed="false">
      <c r="A84" s="1" t="n">
        <v>31</v>
      </c>
      <c r="B84" s="34" t="n">
        <v>40391</v>
      </c>
      <c r="C84" s="26" t="n">
        <v>0</v>
      </c>
      <c r="D84" s="26" t="s">
        <v>41</v>
      </c>
      <c r="E84" s="33" t="n">
        <f aca="false">IF(D84="totale",(C84/(A84*24))/F84,IF(D84="marché libre",(C84/(A84*24))/G84,"spécifier histo"))</f>
        <v>0</v>
      </c>
      <c r="F84" s="59" t="n">
        <v>200</v>
      </c>
      <c r="G84" s="59" t="n">
        <f aca="false">F84-H84</f>
        <v>200</v>
      </c>
      <c r="H84" s="59" t="n">
        <v>0</v>
      </c>
      <c r="I84" s="9"/>
      <c r="J84" s="30"/>
    </row>
    <row r="85" customFormat="false" ht="22.75" hidden="false" customHeight="true" outlineLevel="0" collapsed="false">
      <c r="A85" s="0" t="n">
        <v>28</v>
      </c>
      <c r="B85" s="31" t="n">
        <v>40422</v>
      </c>
      <c r="C85" s="26" t="n">
        <v>0</v>
      </c>
      <c r="D85" s="26" t="s">
        <v>41</v>
      </c>
      <c r="E85" s="33" t="n">
        <f aca="false">IF(D85="totale",(C85/(A85*24))/F85,IF(D85="marché libre",(C85/(A85*24))/G85,"spécifier histo"))</f>
        <v>0</v>
      </c>
      <c r="F85" s="59" t="n">
        <v>200</v>
      </c>
      <c r="G85" s="59" t="n">
        <f aca="false">F85-H85</f>
        <v>200</v>
      </c>
      <c r="H85" s="59" t="n">
        <v>0</v>
      </c>
      <c r="I85" s="9"/>
      <c r="J85" s="30"/>
    </row>
    <row r="86" customFormat="false" ht="22.75" hidden="false" customHeight="true" outlineLevel="0" collapsed="false">
      <c r="A86" s="0" t="n">
        <v>31</v>
      </c>
      <c r="B86" s="34" t="n">
        <v>40452</v>
      </c>
      <c r="C86" s="26" t="n">
        <v>0</v>
      </c>
      <c r="D86" s="26" t="s">
        <v>41</v>
      </c>
      <c r="E86" s="33" t="n">
        <f aca="false">IF(D86="totale",(C86/(A86*24))/F86,IF(D86="marché libre",(C86/(A86*24))/G86,"spécifier histo"))</f>
        <v>0</v>
      </c>
      <c r="F86" s="59" t="n">
        <v>200</v>
      </c>
      <c r="G86" s="59" t="n">
        <f aca="false">F86-H86</f>
        <v>200</v>
      </c>
      <c r="H86" s="59" t="n">
        <v>0</v>
      </c>
      <c r="I86" s="9"/>
      <c r="J86" s="30"/>
    </row>
    <row r="87" customFormat="false" ht="22.75" hidden="false" customHeight="true" outlineLevel="0" collapsed="false">
      <c r="A87" s="0" t="n">
        <v>30</v>
      </c>
      <c r="B87" s="31" t="n">
        <v>40483</v>
      </c>
      <c r="C87" s="26" t="n">
        <v>25294</v>
      </c>
      <c r="D87" s="26" t="s">
        <v>41</v>
      </c>
      <c r="E87" s="33" t="n">
        <f aca="false">IF(D87="totale",(C87/(A87*24))/F87,IF(D87="marché libre",(C87/(A87*24))/G87,"spécifier histo"))</f>
        <v>0.175652777777778</v>
      </c>
      <c r="F87" s="59" t="n">
        <v>200</v>
      </c>
      <c r="G87" s="59" t="n">
        <f aca="false">F87-H87</f>
        <v>200</v>
      </c>
      <c r="H87" s="59" t="n">
        <v>0</v>
      </c>
      <c r="I87" s="9"/>
      <c r="J87" s="30"/>
    </row>
    <row r="88" customFormat="false" ht="22.75" hidden="false" customHeight="true" outlineLevel="0" collapsed="false">
      <c r="A88" s="0" t="n">
        <v>31</v>
      </c>
      <c r="B88" s="34" t="n">
        <v>40513</v>
      </c>
      <c r="C88" s="26" t="n">
        <v>71158</v>
      </c>
      <c r="D88" s="26" t="s">
        <v>41</v>
      </c>
      <c r="E88" s="33" t="n">
        <f aca="false">IF(D88="totale",(C88/(A88*24))/F88,IF(D88="marché libre",(C88/(A88*24))/G88,"spécifier histo"))</f>
        <v>0.478212365591398</v>
      </c>
      <c r="F88" s="59" t="n">
        <v>200</v>
      </c>
      <c r="G88" s="59" t="n">
        <f aca="false">F88-H88</f>
        <v>200</v>
      </c>
      <c r="H88" s="59" t="n">
        <v>0</v>
      </c>
      <c r="I88" s="9"/>
      <c r="J88" s="30"/>
    </row>
    <row r="89" customFormat="false" ht="22.75" hidden="false" customHeight="true" outlineLevel="0" collapsed="false">
      <c r="A89" s="0" t="n">
        <v>30</v>
      </c>
      <c r="B89" s="31" t="n">
        <v>40544</v>
      </c>
      <c r="C89" s="26" t="n">
        <v>80250</v>
      </c>
      <c r="D89" s="26" t="s">
        <v>41</v>
      </c>
      <c r="E89" s="33" t="n">
        <f aca="false">IF(D89="totale",(C89/(A89*24))/F89,IF(D89="marché libre",(C89/(A89*24))/G89,"spécifier histo"))</f>
        <v>0.557291666666667</v>
      </c>
      <c r="F89" s="59" t="n">
        <v>200</v>
      </c>
      <c r="G89" s="59" t="n">
        <f aca="false">F89-H89</f>
        <v>200</v>
      </c>
      <c r="H89" s="59" t="n">
        <v>0</v>
      </c>
      <c r="I89" s="9"/>
      <c r="J89" s="30"/>
    </row>
    <row r="90" customFormat="false" ht="22.75" hidden="false" customHeight="true" outlineLevel="0" collapsed="false">
      <c r="A90" s="0" t="n">
        <v>31</v>
      </c>
      <c r="B90" s="34" t="n">
        <v>40575</v>
      </c>
      <c r="C90" s="26" t="n">
        <v>69957</v>
      </c>
      <c r="D90" s="26" t="s">
        <v>41</v>
      </c>
      <c r="E90" s="33" t="n">
        <f aca="false">IF(D90="totale",(C90/(A90*24))/F90,IF(D90="marché libre",(C90/(A90*24))/G90,"spécifier histo"))</f>
        <v>0.470141129032258</v>
      </c>
      <c r="F90" s="59" t="n">
        <v>200</v>
      </c>
      <c r="G90" s="59" t="n">
        <f aca="false">F90-H90</f>
        <v>200</v>
      </c>
      <c r="H90" s="59" t="n">
        <v>0</v>
      </c>
      <c r="I90" s="9"/>
      <c r="J90" s="30"/>
    </row>
    <row r="91" customFormat="false" ht="22.75" hidden="false" customHeight="true" outlineLevel="0" collapsed="false">
      <c r="A91" s="0" t="n">
        <v>31</v>
      </c>
      <c r="B91" s="31" t="n">
        <v>40603</v>
      </c>
      <c r="C91" s="26" t="n">
        <v>78804</v>
      </c>
      <c r="D91" s="26" t="s">
        <v>41</v>
      </c>
      <c r="E91" s="33" t="n">
        <f aca="false">IF(D91="totale",(C91/(A91*24))/F91,IF(D91="marché libre",(C91/(A91*24))/G91,"spécifier histo"))</f>
        <v>0.529596774193548</v>
      </c>
      <c r="F91" s="59" t="n">
        <v>200</v>
      </c>
      <c r="G91" s="59" t="n">
        <f aca="false">F91-H91</f>
        <v>200</v>
      </c>
      <c r="H91" s="59" t="n">
        <v>0</v>
      </c>
      <c r="I91" s="9"/>
      <c r="J91" s="30"/>
    </row>
    <row r="92" customFormat="false" ht="22.75" hidden="false" customHeight="true" outlineLevel="0" collapsed="false">
      <c r="A92" s="0" t="n">
        <v>30</v>
      </c>
      <c r="B92" s="34" t="n">
        <v>40634</v>
      </c>
      <c r="C92" s="26" t="n">
        <v>53449</v>
      </c>
      <c r="D92" s="26" t="s">
        <v>41</v>
      </c>
      <c r="E92" s="33" t="n">
        <f aca="false">IF(D92="totale",(C92/(A92*24))/F92,IF(D92="marché libre",(C92/(A92*24))/G92,"spécifier histo"))</f>
        <v>0.371173611111111</v>
      </c>
      <c r="F92" s="59" t="n">
        <v>200</v>
      </c>
      <c r="G92" s="59" t="n">
        <f aca="false">F92-H92</f>
        <v>200</v>
      </c>
      <c r="H92" s="59" t="n">
        <v>0</v>
      </c>
      <c r="I92" s="9"/>
      <c r="J92" s="30"/>
    </row>
    <row r="93" customFormat="false" ht="22.75" hidden="false" customHeight="true" outlineLevel="0" collapsed="false">
      <c r="A93" s="0" t="n">
        <v>31</v>
      </c>
      <c r="B93" s="31" t="n">
        <v>40664</v>
      </c>
      <c r="C93" s="26" t="n">
        <v>6316</v>
      </c>
      <c r="D93" s="26" t="s">
        <v>41</v>
      </c>
      <c r="E93" s="33" t="n">
        <f aca="false">IF(D93="totale",(C93/(A93*24))/F93,IF(D93="marché libre",(C93/(A93*24))/G93,"spécifier histo"))</f>
        <v>0.0424462365591398</v>
      </c>
      <c r="F93" s="59" t="n">
        <v>200</v>
      </c>
      <c r="G93" s="59" t="n">
        <f aca="false">F93-H93</f>
        <v>200</v>
      </c>
      <c r="H93" s="59" t="n">
        <v>0</v>
      </c>
      <c r="I93" s="9"/>
      <c r="J93" s="30"/>
    </row>
    <row r="94" customFormat="false" ht="22.75" hidden="false" customHeight="true" outlineLevel="0" collapsed="false">
      <c r="A94" s="0" t="n">
        <v>30</v>
      </c>
      <c r="B94" s="34" t="n">
        <v>40695</v>
      </c>
      <c r="C94" s="26" t="n">
        <v>187</v>
      </c>
      <c r="D94" s="26" t="s">
        <v>41</v>
      </c>
      <c r="E94" s="33" t="n">
        <f aca="false">IF(D94="totale",(C94/(A94*24))/F94,IF(D94="marché libre",(C94/(A94*24))/G94,"spécifier histo"))</f>
        <v>0.00129861111111111</v>
      </c>
      <c r="F94" s="59" t="n">
        <v>200</v>
      </c>
      <c r="G94" s="59" t="n">
        <f aca="false">F94-H94</f>
        <v>200</v>
      </c>
      <c r="H94" s="59" t="n">
        <v>0</v>
      </c>
      <c r="I94" s="9"/>
      <c r="J94" s="30"/>
    </row>
    <row r="95" customFormat="false" ht="22.75" hidden="false" customHeight="true" outlineLevel="0" collapsed="false">
      <c r="A95" s="0" t="n">
        <v>31</v>
      </c>
      <c r="B95" s="31" t="n">
        <v>40725</v>
      </c>
      <c r="C95" s="26" t="n">
        <v>0</v>
      </c>
      <c r="D95" s="26" t="s">
        <v>41</v>
      </c>
      <c r="E95" s="33" t="n">
        <f aca="false">IF(D95="totale",(C95/(A95*24))/F95,IF(D95="marché libre",(C95/(A95*24))/G95,"spécifier histo"))</f>
        <v>0</v>
      </c>
      <c r="F95" s="59" t="n">
        <v>200</v>
      </c>
      <c r="G95" s="59" t="n">
        <f aca="false">F95-H95</f>
        <v>200</v>
      </c>
      <c r="H95" s="59" t="n">
        <v>0</v>
      </c>
      <c r="I95" s="9"/>
      <c r="J95" s="30"/>
    </row>
    <row r="96" customFormat="false" ht="22.75" hidden="false" customHeight="true" outlineLevel="0" collapsed="false">
      <c r="A96" s="0" t="n">
        <v>31</v>
      </c>
      <c r="B96" s="34" t="n">
        <v>40756</v>
      </c>
      <c r="C96" s="26" t="n">
        <v>0</v>
      </c>
      <c r="D96" s="26" t="s">
        <v>41</v>
      </c>
      <c r="E96" s="33" t="n">
        <f aca="false">IF(D96="totale",(C96/(A96*24))/F96,IF(D96="marché libre",(C96/(A96*24))/G96,"spécifier histo"))</f>
        <v>0</v>
      </c>
      <c r="F96" s="59" t="n">
        <v>200</v>
      </c>
      <c r="G96" s="59" t="n">
        <f aca="false">F96-H96</f>
        <v>200</v>
      </c>
      <c r="H96" s="59" t="n">
        <v>0</v>
      </c>
      <c r="I96" s="9"/>
      <c r="J96" s="30"/>
    </row>
    <row r="97" customFormat="false" ht="22.75" hidden="false" customHeight="true" outlineLevel="0" collapsed="false">
      <c r="A97" s="0" t="n">
        <v>28</v>
      </c>
      <c r="B97" s="31" t="n">
        <v>40787</v>
      </c>
      <c r="C97" s="26" t="n">
        <v>0</v>
      </c>
      <c r="D97" s="26" t="s">
        <v>41</v>
      </c>
      <c r="E97" s="33" t="n">
        <f aca="false">IF(D97="totale",(C97/(A97*24))/F97,IF(D97="marché libre",(C97/(A97*24))/G97,"spécifier histo"))</f>
        <v>0</v>
      </c>
      <c r="F97" s="59" t="n">
        <v>200</v>
      </c>
      <c r="G97" s="59" t="n">
        <f aca="false">F97-H97</f>
        <v>200</v>
      </c>
      <c r="H97" s="59" t="n">
        <v>0</v>
      </c>
      <c r="I97" s="9"/>
      <c r="J97" s="30"/>
    </row>
    <row r="98" customFormat="false" ht="22.75" hidden="false" customHeight="true" outlineLevel="0" collapsed="false">
      <c r="A98" s="0" t="n">
        <v>31</v>
      </c>
      <c r="B98" s="34" t="n">
        <v>40817</v>
      </c>
      <c r="C98" s="26" t="n">
        <v>0</v>
      </c>
      <c r="D98" s="26" t="s">
        <v>41</v>
      </c>
      <c r="E98" s="33" t="n">
        <f aca="false">IF(D98="totale",(C98/(A98*24))/F98,IF(D98="marché libre",(C98/(A98*24))/G98,"spécifier histo"))</f>
        <v>0</v>
      </c>
      <c r="F98" s="59" t="n">
        <v>200</v>
      </c>
      <c r="G98" s="59" t="n">
        <f aca="false">F98-H98</f>
        <v>200</v>
      </c>
      <c r="H98" s="59" t="n">
        <v>0</v>
      </c>
      <c r="I98" s="9"/>
      <c r="J98" s="30"/>
    </row>
    <row r="99" customFormat="false" ht="22.75" hidden="false" customHeight="true" outlineLevel="0" collapsed="false">
      <c r="A99" s="0" t="n">
        <v>30</v>
      </c>
      <c r="B99" s="31" t="n">
        <v>40848</v>
      </c>
      <c r="C99" s="26" t="n">
        <v>2835</v>
      </c>
      <c r="D99" s="26" t="s">
        <v>41</v>
      </c>
      <c r="E99" s="33" t="n">
        <f aca="false">IF(D99="totale",(C99/(A99*24))/F99,IF(D99="marché libre",(C99/(A99*24))/G99,"spécifier histo"))</f>
        <v>0.0196875</v>
      </c>
      <c r="F99" s="59" t="n">
        <v>200</v>
      </c>
      <c r="G99" s="59" t="n">
        <f aca="false">F99-H99</f>
        <v>200</v>
      </c>
      <c r="H99" s="59" t="n">
        <v>0</v>
      </c>
      <c r="I99" s="9"/>
      <c r="J99" s="30"/>
    </row>
    <row r="100" customFormat="false" ht="22.75" hidden="false" customHeight="true" outlineLevel="0" collapsed="false">
      <c r="A100" s="0" t="n">
        <v>31</v>
      </c>
      <c r="B100" s="34" t="n">
        <v>40878</v>
      </c>
      <c r="C100" s="26" t="n">
        <v>47117</v>
      </c>
      <c r="D100" s="26" t="s">
        <v>41</v>
      </c>
      <c r="E100" s="33" t="n">
        <f aca="false">IF(D100="totale",(C100/(A100*24))/F100,IF(D100="marché libre",(C100/(A100*24))/G100,"spécifier histo"))</f>
        <v>0.316646505376344</v>
      </c>
      <c r="F100" s="59" t="n">
        <v>200</v>
      </c>
      <c r="G100" s="59" t="n">
        <f aca="false">F100-H100</f>
        <v>200</v>
      </c>
      <c r="H100" s="59" t="n">
        <v>0</v>
      </c>
      <c r="I100" s="9"/>
      <c r="J100" s="30"/>
    </row>
    <row r="101" customFormat="false" ht="22.75" hidden="false" customHeight="true" outlineLevel="0" collapsed="false">
      <c r="A101" s="0" t="n">
        <v>30</v>
      </c>
      <c r="B101" s="31" t="n">
        <v>40909</v>
      </c>
      <c r="C101" s="26" t="n">
        <v>40350</v>
      </c>
      <c r="D101" s="26" t="s">
        <v>41</v>
      </c>
      <c r="E101" s="33" t="n">
        <f aca="false">IF(D101="totale",(C101/(A101*24))/F101,IF(D101="marché libre",(C101/(A101*24))/G101,"spécifier histo"))</f>
        <v>0.280208333333333</v>
      </c>
      <c r="F101" s="59" t="n">
        <v>200</v>
      </c>
      <c r="G101" s="59" t="n">
        <f aca="false">F101-H101</f>
        <v>200</v>
      </c>
      <c r="H101" s="59" t="n">
        <v>0</v>
      </c>
      <c r="I101" s="9"/>
      <c r="J101" s="30"/>
    </row>
    <row r="102" customFormat="false" ht="22.75" hidden="false" customHeight="true" outlineLevel="0" collapsed="false">
      <c r="A102" s="0" t="n">
        <v>31</v>
      </c>
      <c r="B102" s="34" t="n">
        <v>40940</v>
      </c>
      <c r="C102" s="26" t="n">
        <v>65208</v>
      </c>
      <c r="D102" s="26" t="s">
        <v>41</v>
      </c>
      <c r="E102" s="33" t="n">
        <f aca="false">IF(D102="totale",(C102/(A102*24))/F102,IF(D102="marché libre",(C102/(A102*24))/G102,"spécifier histo"))</f>
        <v>0.438225806451613</v>
      </c>
      <c r="F102" s="59" t="n">
        <v>200</v>
      </c>
      <c r="G102" s="59" t="n">
        <f aca="false">F102-H102</f>
        <v>200</v>
      </c>
      <c r="H102" s="59" t="n">
        <v>0</v>
      </c>
      <c r="I102" s="9"/>
      <c r="J102" s="30"/>
    </row>
    <row r="103" customFormat="false" ht="22.75" hidden="false" customHeight="true" outlineLevel="0" collapsed="false">
      <c r="A103" s="0" t="n">
        <v>31</v>
      </c>
      <c r="B103" s="31" t="n">
        <v>40969</v>
      </c>
      <c r="C103" s="26" t="n">
        <v>59612</v>
      </c>
      <c r="D103" s="26" t="s">
        <v>41</v>
      </c>
      <c r="E103" s="33" t="n">
        <f aca="false">IF(D103="totale",(C103/(A103*24))/F103,IF(D103="marché libre",(C103/(A103*24))/G103,"spécifier histo"))</f>
        <v>0.400618279569892</v>
      </c>
      <c r="F103" s="59" t="n">
        <v>200</v>
      </c>
      <c r="G103" s="59" t="n">
        <f aca="false">F103-H103</f>
        <v>200</v>
      </c>
      <c r="H103" s="59" t="n">
        <v>0</v>
      </c>
      <c r="I103" s="9"/>
      <c r="J103" s="30"/>
    </row>
    <row r="104" customFormat="false" ht="22.75" hidden="false" customHeight="true" outlineLevel="0" collapsed="false">
      <c r="A104" s="0" t="n">
        <v>30</v>
      </c>
      <c r="B104" s="34" t="n">
        <v>41000</v>
      </c>
      <c r="C104" s="26" t="n">
        <v>41603</v>
      </c>
      <c r="D104" s="26" t="s">
        <v>41</v>
      </c>
      <c r="E104" s="33" t="n">
        <f aca="false">IF(D104="totale",(C104/(A104*24))/F104,IF(D104="marché libre",(C104/(A104*24))/G104,"spécifier histo"))</f>
        <v>0.288909722222222</v>
      </c>
      <c r="F104" s="59" t="n">
        <v>200</v>
      </c>
      <c r="G104" s="59" t="n">
        <f aca="false">F104-H104</f>
        <v>200</v>
      </c>
      <c r="H104" s="59" t="n">
        <v>0</v>
      </c>
      <c r="I104" s="9"/>
      <c r="J104" s="30"/>
    </row>
    <row r="105" customFormat="false" ht="22.75" hidden="false" customHeight="true" outlineLevel="0" collapsed="false">
      <c r="A105" s="0" t="n">
        <v>31</v>
      </c>
      <c r="B105" s="31" t="n">
        <v>41030</v>
      </c>
      <c r="C105" s="26" t="n">
        <v>47438</v>
      </c>
      <c r="D105" s="26" t="s">
        <v>41</v>
      </c>
      <c r="E105" s="33" t="n">
        <f aca="false">IF(D105="totale",(C105/(A105*24))/F105,IF(D105="marché libre",(C105/(A105*24))/G105,"spécifier histo"))</f>
        <v>0.31880376344086</v>
      </c>
      <c r="F105" s="59" t="n">
        <v>200</v>
      </c>
      <c r="G105" s="59" t="n">
        <f aca="false">F105-H105</f>
        <v>200</v>
      </c>
      <c r="H105" s="59" t="n">
        <v>0</v>
      </c>
      <c r="I105" s="9"/>
      <c r="J105" s="30"/>
    </row>
    <row r="106" customFormat="false" ht="22.75" hidden="false" customHeight="true" outlineLevel="0" collapsed="false">
      <c r="A106" s="0" t="n">
        <v>30</v>
      </c>
      <c r="B106" s="34" t="n">
        <v>41061</v>
      </c>
      <c r="C106" s="26" t="n">
        <v>41341</v>
      </c>
      <c r="D106" s="26" t="s">
        <v>41</v>
      </c>
      <c r="E106" s="33" t="n">
        <f aca="false">IF(D106="totale",(C106/(A106*24))/F106,IF(D106="marché libre",(C106/(A106*24))/G106,"spécifier histo"))</f>
        <v>0.287090277777778</v>
      </c>
      <c r="F106" s="59" t="n">
        <v>200</v>
      </c>
      <c r="G106" s="59" t="n">
        <f aca="false">F106-H106</f>
        <v>200</v>
      </c>
      <c r="H106" s="59" t="n">
        <v>0</v>
      </c>
      <c r="I106" s="9"/>
      <c r="J106" s="30"/>
    </row>
    <row r="107" customFormat="false" ht="22.75" hidden="false" customHeight="true" outlineLevel="0" collapsed="false">
      <c r="A107" s="0" t="n">
        <v>31</v>
      </c>
      <c r="B107" s="31" t="n">
        <v>41091</v>
      </c>
      <c r="C107" s="26" t="n">
        <v>2870</v>
      </c>
      <c r="D107" s="26" t="s">
        <v>41</v>
      </c>
      <c r="E107" s="33" t="n">
        <f aca="false">IF(D107="totale",(C107/(A107*24))/F107,IF(D107="marché libre",(C107/(A107*24))/G107,"spécifier histo"))</f>
        <v>0.0192876344086022</v>
      </c>
      <c r="F107" s="59" t="n">
        <v>200</v>
      </c>
      <c r="G107" s="59" t="n">
        <f aca="false">F107-H107</f>
        <v>200</v>
      </c>
      <c r="H107" s="59" t="n">
        <v>0</v>
      </c>
      <c r="I107" s="9"/>
      <c r="J107" s="30"/>
    </row>
    <row r="108" customFormat="false" ht="22.75" hidden="false" customHeight="true" outlineLevel="0" collapsed="false">
      <c r="A108" s="0" t="n">
        <v>31</v>
      </c>
      <c r="B108" s="34" t="n">
        <v>41122</v>
      </c>
      <c r="C108" s="26" t="n">
        <v>162</v>
      </c>
      <c r="D108" s="26" t="s">
        <v>41</v>
      </c>
      <c r="E108" s="33" t="n">
        <f aca="false">IF(D108="totale",(C108/(A108*24))/F108,IF(D108="marché libre",(C108/(A108*24))/G108,"spécifier histo"))</f>
        <v>0.00108870967741935</v>
      </c>
      <c r="F108" s="59" t="n">
        <v>200</v>
      </c>
      <c r="G108" s="59" t="n">
        <f aca="false">F108-H108</f>
        <v>200</v>
      </c>
      <c r="H108" s="59" t="n">
        <v>0</v>
      </c>
      <c r="I108" s="9"/>
      <c r="J108" s="30"/>
    </row>
    <row r="109" customFormat="false" ht="22.75" hidden="false" customHeight="true" outlineLevel="0" collapsed="false">
      <c r="A109" s="0" t="n">
        <v>28</v>
      </c>
      <c r="B109" s="31" t="n">
        <v>41153</v>
      </c>
      <c r="C109" s="26" t="n">
        <v>156</v>
      </c>
      <c r="D109" s="26" t="s">
        <v>41</v>
      </c>
      <c r="E109" s="33" t="n">
        <f aca="false">IF(D109="totale",(C109/(A109*24))/F109,IF(D109="marché libre",(C109/(A109*24))/G109,"spécifier histo"))</f>
        <v>0.00116071428571429</v>
      </c>
      <c r="F109" s="59" t="n">
        <v>200</v>
      </c>
      <c r="G109" s="59" t="n">
        <f aca="false">F109-H109</f>
        <v>200</v>
      </c>
      <c r="H109" s="59" t="n">
        <v>0</v>
      </c>
      <c r="I109" s="9"/>
      <c r="J109" s="30"/>
    </row>
    <row r="110" customFormat="false" ht="22.75" hidden="false" customHeight="true" outlineLevel="0" collapsed="false">
      <c r="A110" s="0" t="n">
        <v>31</v>
      </c>
      <c r="B110" s="34" t="n">
        <v>41183</v>
      </c>
      <c r="C110" s="26" t="n">
        <f aca="false">1448+43</f>
        <v>1491</v>
      </c>
      <c r="D110" s="26" t="s">
        <v>41</v>
      </c>
      <c r="E110" s="33" t="n">
        <f aca="false">IF(D110="totale",(C110/(A110*24))/F110,IF(D110="marché libre",(C110/(A110*24))/G110,"spécifier histo"))</f>
        <v>0.0100201612903226</v>
      </c>
      <c r="F110" s="59" t="n">
        <v>200</v>
      </c>
      <c r="G110" s="59" t="n">
        <f aca="false">F110-H110</f>
        <v>200</v>
      </c>
      <c r="H110" s="59" t="n">
        <v>0</v>
      </c>
      <c r="I110" s="9"/>
      <c r="J110" s="30"/>
    </row>
    <row r="111" customFormat="false" ht="22.75" hidden="false" customHeight="true" outlineLevel="0" collapsed="false">
      <c r="A111" s="0" t="n">
        <v>30</v>
      </c>
      <c r="B111" s="31" t="n">
        <v>41214</v>
      </c>
      <c r="C111" s="26" t="n">
        <v>28061</v>
      </c>
      <c r="D111" s="26" t="s">
        <v>41</v>
      </c>
      <c r="E111" s="33" t="n">
        <f aca="false">IF(D111="totale",(C111/(A111*24))/F111,IF(D111="marché libre",(C111/(A111*24))/G111,"spécifier histo"))</f>
        <v>0.194868055555556</v>
      </c>
      <c r="F111" s="59" t="n">
        <v>200</v>
      </c>
      <c r="G111" s="59" t="n">
        <f aca="false">F111-H111</f>
        <v>200</v>
      </c>
      <c r="H111" s="59" t="n">
        <v>0</v>
      </c>
      <c r="I111" s="9"/>
      <c r="J111" s="30"/>
    </row>
    <row r="112" customFormat="false" ht="19.85" hidden="false" customHeight="true" outlineLevel="0" collapsed="false">
      <c r="A112" s="0" t="n">
        <v>31</v>
      </c>
      <c r="B112" s="34" t="n">
        <v>41244</v>
      </c>
      <c r="C112" s="26" t="n">
        <v>32412</v>
      </c>
      <c r="D112" s="26" t="s">
        <v>41</v>
      </c>
      <c r="E112" s="33" t="n">
        <f aca="false">IF(D112="totale",(C112/(A112*24))/F112,IF(D112="marché libre",(C112/(A112*24))/G112,"spécifier histo"))</f>
        <v>0.217822580645161</v>
      </c>
      <c r="F112" s="59" t="n">
        <v>200</v>
      </c>
      <c r="G112" s="59" t="n">
        <f aca="false">F112-H112</f>
        <v>200</v>
      </c>
      <c r="H112" s="59" t="n">
        <v>0</v>
      </c>
      <c r="J112" s="127"/>
    </row>
    <row r="113" customFormat="false" ht="19.85" hidden="false" customHeight="true" outlineLevel="0" collapsed="false">
      <c r="A113" s="0" t="n">
        <v>30</v>
      </c>
      <c r="B113" s="31" t="n">
        <v>41275</v>
      </c>
      <c r="C113" s="26" t="n">
        <v>35782</v>
      </c>
      <c r="D113" s="26" t="s">
        <v>41</v>
      </c>
      <c r="E113" s="33" t="n">
        <f aca="false">IF(D113="totale",(C113/(A113*24))/F113,IF(D113="marché libre",(C113/(A113*24))/G113,"spécifier histo"))</f>
        <v>0.248486111111111</v>
      </c>
      <c r="F113" s="59" t="n">
        <v>200</v>
      </c>
      <c r="G113" s="59" t="n">
        <f aca="false">F113-H113</f>
        <v>200</v>
      </c>
      <c r="H113" s="59" t="n">
        <v>0</v>
      </c>
      <c r="J113" s="55"/>
    </row>
    <row r="114" customFormat="false" ht="19.85" hidden="false" customHeight="true" outlineLevel="0" collapsed="false">
      <c r="A114" s="0" t="n">
        <v>31</v>
      </c>
      <c r="B114" s="34" t="n">
        <v>41306</v>
      </c>
      <c r="C114" s="26" t="n">
        <v>15657</v>
      </c>
      <c r="D114" s="26" t="s">
        <v>41</v>
      </c>
      <c r="E114" s="33" t="n">
        <f aca="false">IF(D114="totale",(C114/(A114*24))/F114,IF(D114="marché libre",(C114/(A114*24))/G114,"spécifier histo"))</f>
        <v>0.105221774193548</v>
      </c>
      <c r="F114" s="59" t="n">
        <v>200</v>
      </c>
      <c r="G114" s="59" t="n">
        <f aca="false">F114-H114</f>
        <v>200</v>
      </c>
      <c r="H114" s="59" t="n">
        <v>0</v>
      </c>
      <c r="J114" s="55"/>
    </row>
    <row r="115" customFormat="false" ht="19.85" hidden="false" customHeight="true" outlineLevel="0" collapsed="false">
      <c r="A115" s="0" t="n">
        <v>31</v>
      </c>
      <c r="B115" s="31" t="n">
        <v>41334</v>
      </c>
      <c r="C115" s="26" t="n">
        <v>61361</v>
      </c>
      <c r="D115" s="26" t="s">
        <v>41</v>
      </c>
      <c r="E115" s="33" t="n">
        <f aca="false">IF(D115="totale",(C115/(A115*24))/F115,IF(D115="marché libre",(C115/(A115*24))/G115,"spécifier histo"))</f>
        <v>0.412372311827957</v>
      </c>
      <c r="F115" s="59" t="n">
        <v>200</v>
      </c>
      <c r="G115" s="59" t="n">
        <f aca="false">F115-H115</f>
        <v>200</v>
      </c>
      <c r="H115" s="59" t="n">
        <v>0</v>
      </c>
      <c r="J115" s="55"/>
    </row>
    <row r="116" customFormat="false" ht="19.85" hidden="false" customHeight="true" outlineLevel="0" collapsed="false">
      <c r="A116" s="0" t="n">
        <v>30</v>
      </c>
      <c r="B116" s="34" t="n">
        <v>41365</v>
      </c>
      <c r="C116" s="26" t="n">
        <v>56595</v>
      </c>
      <c r="D116" s="26" t="s">
        <v>41</v>
      </c>
      <c r="E116" s="33" t="n">
        <f aca="false">IF(D116="totale",(C116/(A116*24))/F116,IF(D116="marché libre",(C116/(A116*24))/G116,"spécifier histo"))</f>
        <v>0.393020833333333</v>
      </c>
      <c r="F116" s="59" t="n">
        <v>200</v>
      </c>
      <c r="G116" s="59" t="n">
        <f aca="false">F116-H116</f>
        <v>200</v>
      </c>
      <c r="H116" s="59" t="n">
        <v>0</v>
      </c>
      <c r="J116" s="55"/>
    </row>
    <row r="117" customFormat="false" ht="19.85" hidden="false" customHeight="true" outlineLevel="0" collapsed="false">
      <c r="A117" s="0" t="n">
        <v>31</v>
      </c>
      <c r="B117" s="31" t="n">
        <v>41395</v>
      </c>
      <c r="C117" s="26" t="n">
        <v>49877</v>
      </c>
      <c r="D117" s="26" t="s">
        <v>41</v>
      </c>
      <c r="E117" s="33" t="n">
        <f aca="false">IF(D117="totale",(C117/(A117*24))/F117,IF(D117="marché libre",(C117/(A117*24))/G117,"spécifier histo"))</f>
        <v>0.335194892473118</v>
      </c>
      <c r="F117" s="59" t="n">
        <v>200</v>
      </c>
      <c r="G117" s="59" t="n">
        <f aca="false">F117-H117</f>
        <v>200</v>
      </c>
      <c r="H117" s="59" t="n">
        <v>0</v>
      </c>
      <c r="J117" s="55"/>
    </row>
    <row r="118" customFormat="false" ht="19.85" hidden="false" customHeight="true" outlineLevel="0" collapsed="false">
      <c r="A118" s="0" t="n">
        <v>30</v>
      </c>
      <c r="B118" s="34" t="n">
        <v>41426</v>
      </c>
      <c r="C118" s="26" t="n">
        <v>48886</v>
      </c>
      <c r="D118" s="26" t="s">
        <v>41</v>
      </c>
      <c r="E118" s="33" t="n">
        <f aca="false">IF(D118="totale",(C118/(A118*24))/F118,IF(D118="marché libre",(C118/(A118*24))/G118,"spécifier histo"))</f>
        <v>0.339486111111111</v>
      </c>
      <c r="F118" s="59" t="n">
        <v>200</v>
      </c>
      <c r="G118" s="59" t="n">
        <f aca="false">F118-H118</f>
        <v>200</v>
      </c>
      <c r="H118" s="59" t="n">
        <v>0</v>
      </c>
      <c r="J118" s="55"/>
    </row>
    <row r="119" customFormat="false" ht="19.85" hidden="false" customHeight="true" outlineLevel="0" collapsed="false">
      <c r="A119" s="0" t="n">
        <v>31</v>
      </c>
      <c r="B119" s="31" t="n">
        <v>41456</v>
      </c>
      <c r="C119" s="26" t="n">
        <v>23938</v>
      </c>
      <c r="D119" s="26" t="s">
        <v>41</v>
      </c>
      <c r="E119" s="33" t="n">
        <f aca="false">IF(D119="totale",(C119/(A119*24))/F119,IF(D119="marché libre",(C119/(A119*24))/G119,"spécifier histo"))</f>
        <v>0.160873655913978</v>
      </c>
      <c r="F119" s="59" t="n">
        <v>200</v>
      </c>
      <c r="G119" s="59" t="n">
        <f aca="false">F119-H119</f>
        <v>200</v>
      </c>
      <c r="H119" s="59" t="n">
        <v>0</v>
      </c>
      <c r="J119" s="55"/>
    </row>
    <row r="120" customFormat="false" ht="19.85" hidden="false" customHeight="true" outlineLevel="0" collapsed="false">
      <c r="A120" s="0" t="n">
        <v>31</v>
      </c>
      <c r="B120" s="34" t="n">
        <v>41487</v>
      </c>
      <c r="C120" s="26" t="n">
        <v>172</v>
      </c>
      <c r="D120" s="26" t="s">
        <v>41</v>
      </c>
      <c r="E120" s="33" t="n">
        <f aca="false">IF(D120="totale",(C120/(A120*24))/F120,IF(D120="marché libre",(C120/(A120*24))/G120,"spécifier histo"))</f>
        <v>0.00115591397849462</v>
      </c>
      <c r="F120" s="59" t="n">
        <v>200</v>
      </c>
      <c r="G120" s="59" t="n">
        <f aca="false">F120-H120</f>
        <v>200</v>
      </c>
      <c r="H120" s="59" t="n">
        <v>0</v>
      </c>
      <c r="J120" s="55"/>
    </row>
    <row r="121" customFormat="false" ht="19.85" hidden="false" customHeight="true" outlineLevel="0" collapsed="false">
      <c r="A121" s="0" t="n">
        <v>28</v>
      </c>
      <c r="B121" s="31" t="n">
        <v>41518</v>
      </c>
      <c r="C121" s="26" t="n">
        <v>161</v>
      </c>
      <c r="D121" s="26" t="s">
        <v>41</v>
      </c>
      <c r="E121" s="33" t="n">
        <f aca="false">IF(D121="totale",(C121/(A121*24))/F121,IF(D121="marché libre",(C121/(A121*24))/G121,"spécifier histo"))</f>
        <v>0.00119791666666667</v>
      </c>
      <c r="F121" s="59" t="n">
        <v>200</v>
      </c>
      <c r="G121" s="59" t="n">
        <f aca="false">F121-H121</f>
        <v>200</v>
      </c>
      <c r="H121" s="59" t="n">
        <v>0</v>
      </c>
      <c r="J121" s="55"/>
    </row>
    <row r="122" customFormat="false" ht="19.85" hidden="false" customHeight="true" outlineLevel="0" collapsed="false">
      <c r="A122" s="0" t="n">
        <v>31</v>
      </c>
      <c r="B122" s="34" t="n">
        <v>41548</v>
      </c>
      <c r="C122" s="26" t="n">
        <v>18554</v>
      </c>
      <c r="D122" s="26" t="s">
        <v>41</v>
      </c>
      <c r="E122" s="33" t="n">
        <f aca="false">IF(D122="totale",(C122/(A122*24))/F122,IF(D122="marché libre",(C122/(A122*24))/G122,"spécifier histo"))</f>
        <v>0.124690860215054</v>
      </c>
      <c r="F122" s="59" t="n">
        <v>200</v>
      </c>
      <c r="G122" s="59" t="n">
        <f aca="false">F122-H122</f>
        <v>200</v>
      </c>
      <c r="H122" s="59" t="n">
        <v>0</v>
      </c>
      <c r="J122" s="55"/>
    </row>
    <row r="123" customFormat="false" ht="19.85" hidden="false" customHeight="true" outlineLevel="0" collapsed="false">
      <c r="A123" s="0" t="n">
        <v>30</v>
      </c>
      <c r="B123" s="31" t="n">
        <v>41579</v>
      </c>
      <c r="C123" s="26" t="n">
        <v>28623</v>
      </c>
      <c r="D123" s="26" t="s">
        <v>41</v>
      </c>
      <c r="E123" s="130" t="n">
        <f aca="false">IF(D123="totale",(C123/(A123*24))/F123,IF(D123="marché libre",(C123/(A123*24))/G123,"spécifier histo"))</f>
        <v>0.198770833333333</v>
      </c>
      <c r="F123" s="59" t="n">
        <v>200</v>
      </c>
      <c r="G123" s="59" t="n">
        <f aca="false">F123-H123</f>
        <v>200</v>
      </c>
      <c r="H123" s="59" t="n">
        <v>0</v>
      </c>
      <c r="J123" s="55"/>
    </row>
    <row r="124" customFormat="false" ht="19.85" hidden="false" customHeight="true" outlineLevel="0" collapsed="false">
      <c r="A124" s="0" t="n">
        <v>31</v>
      </c>
      <c r="B124" s="34" t="n">
        <v>41609</v>
      </c>
      <c r="C124" s="26" t="n">
        <v>0</v>
      </c>
      <c r="D124" s="26" t="s">
        <v>41</v>
      </c>
      <c r="E124" s="33" t="n">
        <f aca="false">IF(D124="totale",(C125/(A124*24))/F124,IF(D124="marché libre",(C125/(A124*24))/G124,"spécifier histo"))</f>
        <v>0.242029569892473</v>
      </c>
      <c r="F124" s="59" t="n">
        <v>200</v>
      </c>
      <c r="G124" s="59" t="n">
        <f aca="false">F124-H124</f>
        <v>200</v>
      </c>
      <c r="H124" s="59" t="n">
        <v>0</v>
      </c>
      <c r="J124" s="55"/>
      <c r="L124" s="38"/>
    </row>
    <row r="125" customFormat="false" ht="19.85" hidden="false" customHeight="true" outlineLevel="0" collapsed="false">
      <c r="A125" s="0" t="n">
        <v>30</v>
      </c>
      <c r="B125" s="160" t="n">
        <v>41640</v>
      </c>
      <c r="C125" s="465" t="n">
        <v>36014</v>
      </c>
      <c r="D125" s="465" t="s">
        <v>41</v>
      </c>
      <c r="E125" s="163" t="n">
        <f aca="false">IF(D125="totale",(C126/(A125*24))/F125,IF(D125="marché libre",(C126/(A125*24))/G125,"spécifier histo"))</f>
        <v>0.000930555555555556</v>
      </c>
      <c r="F125" s="284" t="n">
        <v>200</v>
      </c>
      <c r="G125" s="283" t="n">
        <f aca="false">F125-H125</f>
        <v>200</v>
      </c>
      <c r="H125" s="283" t="n">
        <v>0</v>
      </c>
      <c r="J125" s="55"/>
      <c r="K125" s="55"/>
      <c r="L125" s="0"/>
      <c r="M125" s="0"/>
    </row>
    <row r="126" customFormat="false" ht="19.85" hidden="false" customHeight="true" outlineLevel="0" collapsed="false">
      <c r="A126" s="0" t="n">
        <v>31</v>
      </c>
      <c r="B126" s="34" t="n">
        <v>41671</v>
      </c>
      <c r="C126" s="26" t="n">
        <v>134</v>
      </c>
      <c r="D126" s="26" t="s">
        <v>41</v>
      </c>
      <c r="E126" s="33" t="n">
        <f aca="false">IF(D126="totale",(C127/(A126*24))/F126,IF(D126="marché libre",(C127/(A126*24))/G126,"spécifier histo"))</f>
        <v>0.186344086021505</v>
      </c>
      <c r="F126" s="59" t="n">
        <v>200</v>
      </c>
      <c r="G126" s="59" t="n">
        <f aca="false">F126-H126</f>
        <v>200</v>
      </c>
      <c r="H126" s="59" t="n">
        <v>0</v>
      </c>
      <c r="J126" s="55"/>
      <c r="L126" s="0"/>
      <c r="M126" s="0"/>
    </row>
    <row r="127" customFormat="false" ht="19.85" hidden="false" customHeight="true" outlineLevel="0" collapsed="false">
      <c r="A127" s="0" t="n">
        <v>31</v>
      </c>
      <c r="B127" s="31" t="n">
        <v>41699</v>
      </c>
      <c r="C127" s="26" t="n">
        <v>27728</v>
      </c>
      <c r="D127" s="26" t="s">
        <v>41</v>
      </c>
      <c r="E127" s="33" t="n">
        <f aca="false">IF(D127="totale",(C128/(A127*24))/F127,IF(D127="marché libre",(C128/(A127*24))/G127,"spécifier histo"))</f>
        <v>0.347950268817204</v>
      </c>
      <c r="F127" s="59" t="n">
        <v>200</v>
      </c>
      <c r="G127" s="59" t="n">
        <f aca="false">F127-H127</f>
        <v>200</v>
      </c>
      <c r="H127" s="59" t="n">
        <v>0</v>
      </c>
      <c r="J127" s="55"/>
      <c r="L127" s="0"/>
      <c r="M127" s="0"/>
    </row>
    <row r="128" customFormat="false" ht="19.85" hidden="false" customHeight="true" outlineLevel="0" collapsed="false">
      <c r="A128" s="0" t="n">
        <v>30</v>
      </c>
      <c r="B128" s="34" t="n">
        <v>41730</v>
      </c>
      <c r="C128" s="26" t="n">
        <v>51775</v>
      </c>
      <c r="D128" s="26" t="s">
        <v>41</v>
      </c>
      <c r="E128" s="33" t="n">
        <f aca="false">IF(D128="totale",(C129/(A128*24))/F128,IF(D128="marché libre",(C129/(A128*24))/G128,"spécifier histo"))</f>
        <v>0.356638888888889</v>
      </c>
      <c r="F128" s="59" t="n">
        <v>200</v>
      </c>
      <c r="G128" s="59" t="n">
        <f aca="false">F128-H128</f>
        <v>200</v>
      </c>
      <c r="H128" s="59" t="n">
        <v>0</v>
      </c>
      <c r="J128" s="55"/>
      <c r="L128" s="0"/>
      <c r="M128" s="0"/>
    </row>
    <row r="129" customFormat="false" ht="19.85" hidden="false" customHeight="true" outlineLevel="0" collapsed="false">
      <c r="A129" s="0" t="n">
        <v>31</v>
      </c>
      <c r="B129" s="31" t="n">
        <v>41760</v>
      </c>
      <c r="C129" s="26" t="n">
        <v>51356</v>
      </c>
      <c r="D129" s="26" t="s">
        <v>41</v>
      </c>
      <c r="E129" s="33" t="n">
        <f aca="false">IF(D129="totale",(C130/(A129*24))/F129,IF(D129="marché libre",(C130/(A129*24))/G129,"spécifier histo"))</f>
        <v>0.294133064516129</v>
      </c>
      <c r="F129" s="59" t="n">
        <v>200</v>
      </c>
      <c r="G129" s="59" t="n">
        <f aca="false">F129-H129</f>
        <v>200</v>
      </c>
      <c r="H129" s="59" t="n">
        <v>0</v>
      </c>
      <c r="J129" s="55"/>
      <c r="L129" s="0"/>
    </row>
    <row r="130" customFormat="false" ht="19.85" hidden="false" customHeight="true" outlineLevel="0" collapsed="false">
      <c r="A130" s="0" t="n">
        <v>30</v>
      </c>
      <c r="B130" s="34" t="n">
        <v>41791</v>
      </c>
      <c r="C130" s="26" t="n">
        <v>43767</v>
      </c>
      <c r="D130" s="26" t="s">
        <v>41</v>
      </c>
      <c r="E130" s="33" t="n">
        <f aca="false">IF(D130="totale",(C131/(A130*24))/F130,IF(D130="marché libre",(C131/(A130*24))/G130,"spécifier histo"))</f>
        <v>0.0891875</v>
      </c>
      <c r="F130" s="59" t="n">
        <v>200</v>
      </c>
      <c r="G130" s="59" t="n">
        <f aca="false">F130-H130</f>
        <v>200</v>
      </c>
      <c r="H130" s="59" t="n">
        <v>0</v>
      </c>
      <c r="J130" s="55"/>
      <c r="L130" s="0"/>
    </row>
    <row r="131" customFormat="false" ht="19.85" hidden="false" customHeight="true" outlineLevel="0" collapsed="false">
      <c r="A131" s="0" t="n">
        <v>31</v>
      </c>
      <c r="B131" s="31" t="n">
        <v>41821</v>
      </c>
      <c r="C131" s="26" t="n">
        <v>12843</v>
      </c>
      <c r="D131" s="26" t="s">
        <v>41</v>
      </c>
      <c r="E131" s="33" t="n">
        <f aca="false">IF(D131="totale",(C132/(A131*24))/F131,IF(D131="marché libre",(C132/(A131*24))/G131,"spécifier histo"))</f>
        <v>0</v>
      </c>
      <c r="F131" s="59" t="n">
        <v>200</v>
      </c>
      <c r="G131" s="59" t="n">
        <f aca="false">F131-H131</f>
        <v>200</v>
      </c>
      <c r="H131" s="59" t="n">
        <v>0</v>
      </c>
      <c r="J131" s="55"/>
      <c r="L131" s="131"/>
    </row>
    <row r="132" customFormat="false" ht="19.85" hidden="false" customHeight="true" outlineLevel="0" collapsed="false">
      <c r="A132" s="0" t="n">
        <v>31</v>
      </c>
      <c r="B132" s="34" t="n">
        <v>41852</v>
      </c>
      <c r="C132" s="26" t="n">
        <v>0</v>
      </c>
      <c r="D132" s="26" t="s">
        <v>41</v>
      </c>
      <c r="E132" s="33" t="n">
        <f aca="false">IF(D132="totale",(C133/(A132*24))/F132,IF(D132="marché libre",(C133/(A132*24))/G132,"spécifier histo"))</f>
        <v>0.0594422043010753</v>
      </c>
      <c r="F132" s="59" t="n">
        <v>200</v>
      </c>
      <c r="G132" s="59" t="n">
        <f aca="false">F132-H132</f>
        <v>200</v>
      </c>
      <c r="H132" s="59" t="n">
        <v>0</v>
      </c>
      <c r="J132" s="55"/>
      <c r="L132" s="0"/>
    </row>
    <row r="133" customFormat="false" ht="19.85" hidden="false" customHeight="true" outlineLevel="0" collapsed="false">
      <c r="A133" s="0" t="n">
        <v>30</v>
      </c>
      <c r="B133" s="31" t="n">
        <v>41883</v>
      </c>
      <c r="C133" s="26" t="n">
        <v>8845</v>
      </c>
      <c r="D133" s="26" t="s">
        <v>41</v>
      </c>
      <c r="E133" s="33" t="n">
        <f aca="false">IF(D133="totale",(C134/(A133*24))/F133,IF(D133="marché libre",(C134/(A133*24))/G133,"spécifier histo"))</f>
        <v>0</v>
      </c>
      <c r="F133" s="59" t="n">
        <v>200</v>
      </c>
      <c r="G133" s="59" t="n">
        <f aca="false">F133-H133</f>
        <v>200</v>
      </c>
      <c r="H133" s="59" t="n">
        <v>0</v>
      </c>
      <c r="J133" s="55"/>
      <c r="L133" s="0"/>
    </row>
    <row r="134" customFormat="false" ht="19.85" hidden="false" customHeight="true" outlineLevel="0" collapsed="false">
      <c r="A134" s="0" t="n">
        <v>31</v>
      </c>
      <c r="B134" s="34" t="n">
        <v>41913</v>
      </c>
      <c r="C134" s="26" t="n">
        <v>0</v>
      </c>
      <c r="D134" s="26" t="s">
        <v>41</v>
      </c>
      <c r="E134" s="33" t="n">
        <f aca="false">IF(D134="totale",(C135/(A134*24))/F134,IF(D134="marché libre",(C135/(A134*24))/G134,"spécifier histo"))</f>
        <v>0.105564516129032</v>
      </c>
      <c r="F134" s="59" t="n">
        <v>200</v>
      </c>
      <c r="G134" s="59" t="n">
        <f aca="false">F134-H134</f>
        <v>200</v>
      </c>
      <c r="H134" s="59" t="n">
        <v>0</v>
      </c>
      <c r="J134" s="73"/>
      <c r="L134" s="0"/>
    </row>
    <row r="135" customFormat="false" ht="19.85" hidden="false" customHeight="true" outlineLevel="0" collapsed="false">
      <c r="A135" s="0" t="n">
        <v>30</v>
      </c>
      <c r="B135" s="31" t="n">
        <v>41944</v>
      </c>
      <c r="C135" s="26" t="n">
        <v>15708</v>
      </c>
      <c r="D135" s="26" t="s">
        <v>41</v>
      </c>
      <c r="E135" s="33" t="n">
        <f aca="false">IF(D135="totale",(C136/(A135*24))/F135,IF(D135="marché libre",(C136/(A135*24))/G135,"spécifier histo"))</f>
        <v>0.467520833333333</v>
      </c>
      <c r="F135" s="59" t="n">
        <v>200</v>
      </c>
      <c r="G135" s="59" t="n">
        <f aca="false">F135-H135</f>
        <v>200</v>
      </c>
      <c r="H135" s="59" t="n">
        <v>0</v>
      </c>
      <c r="J135" s="55"/>
      <c r="L135" s="0"/>
    </row>
    <row r="136" customFormat="false" ht="19.95" hidden="false" customHeight="true" outlineLevel="0" collapsed="false">
      <c r="A136" s="0" t="n">
        <v>31</v>
      </c>
      <c r="B136" s="34" t="n">
        <v>41974</v>
      </c>
      <c r="C136" s="26" t="n">
        <v>67323</v>
      </c>
      <c r="D136" s="26" t="s">
        <v>41</v>
      </c>
      <c r="E136" s="33" t="n">
        <f aca="false">IF(D136="totale",(C134/(A136*24))/F136,IF(D136="marché libre",(C134/(A136*24))/G136,"spécifier histo"))</f>
        <v>0</v>
      </c>
      <c r="F136" s="59" t="n">
        <v>200</v>
      </c>
      <c r="G136" s="59" t="n">
        <f aca="false">F136-H136</f>
        <v>200</v>
      </c>
      <c r="H136" s="59" t="n">
        <v>0</v>
      </c>
      <c r="J136" s="55"/>
      <c r="L136" s="0"/>
    </row>
    <row r="137" customFormat="false" ht="19.85" hidden="false" customHeight="true" outlineLevel="0" collapsed="false">
      <c r="A137" s="0" t="n">
        <v>31</v>
      </c>
      <c r="B137" s="31" t="n">
        <v>42005</v>
      </c>
      <c r="C137" s="128" t="n">
        <v>64237</v>
      </c>
      <c r="D137" s="26" t="s">
        <v>41</v>
      </c>
      <c r="E137" s="33" t="n">
        <f aca="false">IF(D137="totale",(C135/(A137*24))/F137,IF(D137="marché libre",(C135/(A137*24))/G137,"spécifier histo"))</f>
        <v>0.105564516129032</v>
      </c>
      <c r="F137" s="59" t="n">
        <v>200</v>
      </c>
      <c r="G137" s="57" t="n">
        <f aca="false">F137-H137</f>
        <v>200</v>
      </c>
      <c r="H137" s="57" t="n">
        <v>0</v>
      </c>
      <c r="J137" s="55"/>
    </row>
    <row r="138" customFormat="false" ht="19.85" hidden="false" customHeight="true" outlineLevel="0" collapsed="false">
      <c r="A138" s="0" t="n">
        <v>28</v>
      </c>
      <c r="B138" s="34" t="n">
        <v>42036</v>
      </c>
      <c r="C138" s="128" t="n">
        <v>52138</v>
      </c>
      <c r="D138" s="26" t="s">
        <v>41</v>
      </c>
      <c r="E138" s="33" t="n">
        <f aca="false">IF(D138="totale",(C136/(A138*24))/F138,IF(D138="marché libre",(C136/(A138*24))/G138,"spécifier histo"))</f>
        <v>0.500915178571429</v>
      </c>
      <c r="F138" s="59" t="n">
        <v>200</v>
      </c>
      <c r="G138" s="59" t="n">
        <f aca="false">F138-H138</f>
        <v>200</v>
      </c>
      <c r="H138" s="59" t="n">
        <v>0</v>
      </c>
      <c r="J138" s="55"/>
    </row>
    <row r="139" customFormat="false" ht="19.85" hidden="false" customHeight="true" outlineLevel="0" collapsed="false">
      <c r="A139" s="0" t="n">
        <v>31</v>
      </c>
      <c r="B139" s="31" t="n">
        <v>42064</v>
      </c>
      <c r="C139" s="104" t="n">
        <v>61950</v>
      </c>
      <c r="D139" s="26" t="s">
        <v>41</v>
      </c>
      <c r="E139" s="33" t="n">
        <f aca="false">IF(D139="totale",(C139/(A139*24))/F139,IF(D139="marché libre",(C139/(A139*24))/G139,"spécifier histo"))</f>
        <v>0.41633064516129</v>
      </c>
      <c r="F139" s="59" t="n">
        <v>200</v>
      </c>
      <c r="G139" s="59" t="n">
        <f aca="false">F139-H139</f>
        <v>200</v>
      </c>
      <c r="H139" s="59" t="n">
        <v>0</v>
      </c>
      <c r="J139" s="55"/>
    </row>
    <row r="140" customFormat="false" ht="19.85" hidden="false" customHeight="true" outlineLevel="0" collapsed="false">
      <c r="A140" s="0" t="n">
        <v>30</v>
      </c>
      <c r="B140" s="34" t="n">
        <v>42095</v>
      </c>
      <c r="C140" s="104" t="n">
        <v>63007</v>
      </c>
      <c r="D140" s="26" t="s">
        <v>41</v>
      </c>
      <c r="E140" s="33" t="n">
        <f aca="false">IF(D140="totale",(C140/(A140*24))/F140,IF(D140="marché libre",(C140/(A140*24))/G140,"spécifier histo"))</f>
        <v>0.437548611111111</v>
      </c>
      <c r="F140" s="59" t="n">
        <v>200</v>
      </c>
      <c r="G140" s="59" t="n">
        <f aca="false">F140-H140</f>
        <v>200</v>
      </c>
      <c r="H140" s="59" t="n">
        <v>0</v>
      </c>
      <c r="J140" s="55"/>
    </row>
    <row r="141" customFormat="false" ht="19.85" hidden="false" customHeight="true" outlineLevel="0" collapsed="false">
      <c r="A141" s="0" t="n">
        <v>31</v>
      </c>
      <c r="B141" s="31" t="n">
        <v>42125</v>
      </c>
      <c r="C141" s="104" t="n">
        <v>25724</v>
      </c>
      <c r="D141" s="26" t="s">
        <v>41</v>
      </c>
      <c r="E141" s="33" t="n">
        <f aca="false">IF(D141="totale",(C141/(A141*24))/F141,IF(D141="marché libre",(C141/(A141*24))/G141,"spécifier histo"))</f>
        <v>0.172876344086022</v>
      </c>
      <c r="F141" s="59" t="n">
        <v>200</v>
      </c>
      <c r="G141" s="59" t="n">
        <f aca="false">F141-H141</f>
        <v>200</v>
      </c>
      <c r="H141" s="59" t="n">
        <v>0</v>
      </c>
      <c r="J141" s="55"/>
    </row>
    <row r="142" customFormat="false" ht="19.85" hidden="false" customHeight="true" outlineLevel="0" collapsed="false">
      <c r="A142" s="0" t="n">
        <v>30</v>
      </c>
      <c r="B142" s="34" t="n">
        <v>42156</v>
      </c>
      <c r="C142" s="104" t="n">
        <v>18612</v>
      </c>
      <c r="D142" s="26" t="s">
        <v>41</v>
      </c>
      <c r="E142" s="33" t="n">
        <f aca="false">IF(D142="totale",(C142/(A142*24))/F142,IF(D142="marché libre",(C142/(A142*24))/G142,"spécifier histo"))</f>
        <v>0.12925</v>
      </c>
      <c r="F142" s="59" t="n">
        <v>200</v>
      </c>
      <c r="G142" s="59" t="n">
        <f aca="false">F142-H142</f>
        <v>200</v>
      </c>
      <c r="H142" s="59" t="n">
        <v>0</v>
      </c>
      <c r="J142" s="55"/>
    </row>
    <row r="143" customFormat="false" ht="19.85" hidden="false" customHeight="true" outlineLevel="0" collapsed="false">
      <c r="A143" s="0" t="n">
        <v>31</v>
      </c>
      <c r="B143" s="31" t="n">
        <v>42186</v>
      </c>
      <c r="C143" s="56" t="n">
        <v>0</v>
      </c>
      <c r="D143" s="26" t="s">
        <v>41</v>
      </c>
      <c r="E143" s="33" t="n">
        <f aca="false">IF(D143="totale",(C143/(A143*24))/F143,IF(D143="marché libre",(C143/(A143*24))/G143,"spécifier histo"))</f>
        <v>0</v>
      </c>
      <c r="F143" s="59" t="n">
        <v>200</v>
      </c>
      <c r="G143" s="59" t="n">
        <f aca="false">F143-H143</f>
        <v>200</v>
      </c>
      <c r="H143" s="59" t="n">
        <v>0</v>
      </c>
      <c r="J143" s="55"/>
    </row>
    <row r="144" customFormat="false" ht="19.85" hidden="false" customHeight="true" outlineLevel="0" collapsed="false">
      <c r="A144" s="0" t="n">
        <v>31</v>
      </c>
      <c r="B144" s="34" t="n">
        <v>42217</v>
      </c>
      <c r="C144" s="56" t="n">
        <v>0</v>
      </c>
      <c r="D144" s="26" t="s">
        <v>41</v>
      </c>
      <c r="E144" s="33" t="n">
        <f aca="false">IF(D144="totale",(C144/(A144*24))/F144,IF(D144="marché libre",(C144/(A144*24))/G144,"spécifier histo"))</f>
        <v>0</v>
      </c>
      <c r="F144" s="59" t="n">
        <v>200</v>
      </c>
      <c r="G144" s="59" t="n">
        <f aca="false">F144-H144</f>
        <v>200</v>
      </c>
      <c r="H144" s="59" t="n">
        <v>0</v>
      </c>
      <c r="J144" s="55"/>
    </row>
    <row r="145" customFormat="false" ht="19.85" hidden="false" customHeight="true" outlineLevel="0" collapsed="false">
      <c r="A145" s="0" t="n">
        <v>30</v>
      </c>
      <c r="B145" s="31" t="n">
        <v>42248</v>
      </c>
      <c r="C145" s="56" t="n">
        <v>0</v>
      </c>
      <c r="D145" s="26" t="s">
        <v>41</v>
      </c>
      <c r="E145" s="33" t="n">
        <f aca="false">IF(D145="totale",(C145/(A145*24))/F145,IF(D145="marché libre",(C145/(A145*24))/G145,"spécifier histo"))</f>
        <v>0</v>
      </c>
      <c r="F145" s="59" t="n">
        <v>200</v>
      </c>
      <c r="G145" s="59" t="n">
        <f aca="false">F145-H145</f>
        <v>200</v>
      </c>
      <c r="H145" s="59" t="n">
        <v>0</v>
      </c>
      <c r="J145" s="55"/>
    </row>
    <row r="146" customFormat="false" ht="19.85" hidden="false" customHeight="true" outlineLevel="0" collapsed="false">
      <c r="A146" s="0" t="n">
        <v>31</v>
      </c>
      <c r="B146" s="34" t="n">
        <v>42278</v>
      </c>
      <c r="C146" s="56" t="n">
        <v>3458</v>
      </c>
      <c r="D146" s="26" t="s">
        <v>41</v>
      </c>
      <c r="E146" s="33" t="n">
        <f aca="false">IF(D146="totale",(C146/(A146*24))/F146,IF(D146="marché libre",(C146/(A146*24))/G146,"spécifier histo"))</f>
        <v>0.023239247311828</v>
      </c>
      <c r="F146" s="59" t="n">
        <v>200</v>
      </c>
      <c r="G146" s="59" t="n">
        <f aca="false">F146-H146</f>
        <v>200</v>
      </c>
      <c r="H146" s="59" t="n">
        <v>0</v>
      </c>
      <c r="J146" s="55"/>
    </row>
    <row r="147" customFormat="false" ht="19.85" hidden="false" customHeight="true" outlineLevel="0" collapsed="false">
      <c r="A147" s="0" t="n">
        <v>30</v>
      </c>
      <c r="B147" s="31" t="n">
        <v>42309</v>
      </c>
      <c r="C147" s="56" t="n">
        <v>17881</v>
      </c>
      <c r="D147" s="26" t="s">
        <v>41</v>
      </c>
      <c r="E147" s="33" t="n">
        <f aca="false">IF(D147="totale",(C147/(A147*24))/F147,IF(D147="marché libre",(C147/(A147*24))/G147,"spécifier histo"))</f>
        <v>0.124173611111111</v>
      </c>
      <c r="F147" s="59" t="n">
        <v>200</v>
      </c>
      <c r="G147" s="59" t="n">
        <f aca="false">F147-H147</f>
        <v>200</v>
      </c>
      <c r="H147" s="59" t="n">
        <v>0</v>
      </c>
      <c r="J147" s="55"/>
    </row>
    <row r="148" customFormat="false" ht="19.85" hidden="false" customHeight="true" outlineLevel="0" collapsed="false">
      <c r="A148" s="0" t="n">
        <v>31</v>
      </c>
      <c r="B148" s="34" t="n">
        <v>42339</v>
      </c>
      <c r="C148" s="56" t="n">
        <v>21373</v>
      </c>
      <c r="D148" s="26" t="s">
        <v>41</v>
      </c>
      <c r="E148" s="33" t="n">
        <f aca="false">IF(D148="totale",(C148/(A148*24))/F148,IF(D148="marché libre",(C148/(A148*24))/G148,"spécifier histo"))</f>
        <v>0.143635752688172</v>
      </c>
      <c r="F148" s="59" t="n">
        <v>200</v>
      </c>
      <c r="G148" s="59" t="n">
        <f aca="false">F148-H148</f>
        <v>200</v>
      </c>
      <c r="H148" s="59" t="n">
        <v>0</v>
      </c>
      <c r="J148" s="55"/>
      <c r="K148" s="0"/>
    </row>
    <row r="149" customFormat="false" ht="19.85" hidden="false" customHeight="true" outlineLevel="0" collapsed="false">
      <c r="A149" s="0" t="n">
        <v>31</v>
      </c>
      <c r="B149" s="31" t="n">
        <v>42370</v>
      </c>
      <c r="C149" s="135" t="n">
        <v>32538</v>
      </c>
      <c r="D149" s="26" t="s">
        <v>41</v>
      </c>
      <c r="E149" s="33" t="n">
        <f aca="false">IF(D149="totale",(C149/(A149*24))/F149,IF(D149="marché libre",(C149/(A149*24))/G149,"spécifier histo"))</f>
        <v>0.21866935483871</v>
      </c>
      <c r="F149" s="59" t="n">
        <v>200</v>
      </c>
      <c r="G149" s="59" t="n">
        <f aca="false">F149-H149</f>
        <v>200</v>
      </c>
      <c r="H149" s="59" t="n">
        <v>0</v>
      </c>
      <c r="J149" s="55"/>
      <c r="K149" s="0"/>
    </row>
    <row r="150" customFormat="false" ht="19.85" hidden="false" customHeight="true" outlineLevel="0" collapsed="false">
      <c r="A150" s="0" t="n">
        <v>28</v>
      </c>
      <c r="B150" s="34" t="n">
        <v>42401</v>
      </c>
      <c r="C150" s="135" t="n">
        <v>21801</v>
      </c>
      <c r="D150" s="26" t="s">
        <v>41</v>
      </c>
      <c r="E150" s="33" t="n">
        <f aca="false">IF(D150="totale",(C150/(A150*24))/F150,IF(D150="marché libre",(C150/(A150*24))/G150,"spécifier histo"))</f>
        <v>0.162209821428571</v>
      </c>
      <c r="F150" s="59" t="n">
        <v>200</v>
      </c>
      <c r="G150" s="59" t="n">
        <f aca="false">F150-H150</f>
        <v>200</v>
      </c>
      <c r="H150" s="59" t="n">
        <v>0</v>
      </c>
      <c r="J150" s="55"/>
      <c r="K150" s="0"/>
    </row>
    <row r="151" customFormat="false" ht="19.85" hidden="false" customHeight="true" outlineLevel="0" collapsed="false">
      <c r="A151" s="0" t="n">
        <v>31</v>
      </c>
      <c r="B151" s="31" t="n">
        <v>42430</v>
      </c>
      <c r="C151" s="135" t="n">
        <v>41904</v>
      </c>
      <c r="D151" s="26" t="s">
        <v>41</v>
      </c>
      <c r="E151" s="33" t="n">
        <f aca="false">IF(D151="totale",(C151/(A151*24))/F151,IF(D151="marché libre",(C151/(A151*24))/G151,"spécifier histo"))</f>
        <v>0.281612903225806</v>
      </c>
      <c r="F151" s="59" t="n">
        <v>200</v>
      </c>
      <c r="G151" s="59" t="n">
        <f aca="false">F151-H151</f>
        <v>200</v>
      </c>
      <c r="H151" s="59" t="n">
        <v>0</v>
      </c>
      <c r="J151" s="55"/>
      <c r="K151" s="0"/>
    </row>
    <row r="152" customFormat="false" ht="19.85" hidden="false" customHeight="true" outlineLevel="0" collapsed="false">
      <c r="A152" s="0" t="n">
        <v>30</v>
      </c>
      <c r="B152" s="34" t="n">
        <v>42461</v>
      </c>
      <c r="C152" s="135" t="n">
        <v>54527</v>
      </c>
      <c r="D152" s="26" t="s">
        <v>41</v>
      </c>
      <c r="E152" s="33" t="n">
        <f aca="false">IF(D152="totale",(C152/(A152*24))/F152,IF(D152="marché libre",(C152/(A152*24))/G152,"spécifier histo"))</f>
        <v>0.378659722222222</v>
      </c>
      <c r="F152" s="59" t="n">
        <v>200</v>
      </c>
      <c r="G152" s="59" t="n">
        <f aca="false">F152-H152</f>
        <v>200</v>
      </c>
      <c r="H152" s="59" t="n">
        <v>0</v>
      </c>
      <c r="J152" s="55"/>
      <c r="K152" s="0"/>
    </row>
    <row r="153" customFormat="false" ht="19.85" hidden="false" customHeight="true" outlineLevel="0" collapsed="false">
      <c r="A153" s="0" t="n">
        <v>31</v>
      </c>
      <c r="B153" s="31" t="n">
        <v>42491</v>
      </c>
      <c r="C153" s="135" t="n">
        <v>56824</v>
      </c>
      <c r="D153" s="26" t="s">
        <v>41</v>
      </c>
      <c r="E153" s="33" t="n">
        <f aca="false">IF(D153="totale",(C153/(A153*24))/F153,IF(D153="marché libre",(C153/(A153*24))/G153,"spécifier histo"))</f>
        <v>0.381881720430108</v>
      </c>
      <c r="F153" s="59" t="n">
        <v>200</v>
      </c>
      <c r="G153" s="59" t="n">
        <f aca="false">F153-H153</f>
        <v>200</v>
      </c>
      <c r="H153" s="59" t="n">
        <v>0</v>
      </c>
      <c r="J153" s="55"/>
      <c r="K153" s="0"/>
    </row>
    <row r="154" customFormat="false" ht="19.85" hidden="false" customHeight="true" outlineLevel="0" collapsed="false">
      <c r="A154" s="0" t="n">
        <v>30</v>
      </c>
      <c r="B154" s="34" t="n">
        <v>42522</v>
      </c>
      <c r="C154" s="135" t="n">
        <v>48352</v>
      </c>
      <c r="D154" s="26" t="s">
        <v>41</v>
      </c>
      <c r="E154" s="33" t="n">
        <f aca="false">IF(D154="totale",(C154/(A154*24))/F154,IF(D154="marché libre",(C154/(A154*24))/G154,"spécifier histo"))</f>
        <v>0.335777777777778</v>
      </c>
      <c r="F154" s="59" t="n">
        <v>200</v>
      </c>
      <c r="G154" s="59" t="n">
        <f aca="false">F154-H154</f>
        <v>200</v>
      </c>
      <c r="H154" s="59" t="n">
        <v>0</v>
      </c>
      <c r="J154" s="55"/>
      <c r="K154" s="0"/>
    </row>
    <row r="155" customFormat="false" ht="19.85" hidden="false" customHeight="true" outlineLevel="0" collapsed="false">
      <c r="A155" s="0" t="n">
        <v>31</v>
      </c>
      <c r="B155" s="31" t="n">
        <v>42552</v>
      </c>
      <c r="C155" s="135" t="n">
        <v>461</v>
      </c>
      <c r="D155" s="26" t="s">
        <v>41</v>
      </c>
      <c r="E155" s="33" t="n">
        <f aca="false">IF(D155="totale",(C155/(A155*24))/F155,IF(D155="marché libre",(C155/(A155*24))/G155,"spécifier histo"))</f>
        <v>0.00309811827956989</v>
      </c>
      <c r="F155" s="59" t="n">
        <v>200</v>
      </c>
      <c r="G155" s="59" t="n">
        <f aca="false">F155-H155</f>
        <v>200</v>
      </c>
      <c r="H155" s="59" t="n">
        <v>0</v>
      </c>
      <c r="J155" s="55"/>
      <c r="K155" s="0"/>
    </row>
    <row r="156" customFormat="false" ht="19.85" hidden="false" customHeight="true" outlineLevel="0" collapsed="false">
      <c r="A156" s="0" t="n">
        <v>31</v>
      </c>
      <c r="B156" s="34" t="n">
        <v>42583</v>
      </c>
      <c r="C156" s="135" t="n">
        <v>8</v>
      </c>
      <c r="D156" s="26" t="s">
        <v>41</v>
      </c>
      <c r="E156" s="33" t="n">
        <f aca="false">IF(D156="totale",(C156/(A156*24))/F156,IF(D156="marché libre",(C156/(A156*24))/G156,"spécifier histo"))</f>
        <v>5.37634408602151E-005</v>
      </c>
      <c r="F156" s="59" t="n">
        <v>200</v>
      </c>
      <c r="G156" s="59" t="n">
        <f aca="false">F156-H156</f>
        <v>200</v>
      </c>
      <c r="H156" s="59" t="n">
        <v>0</v>
      </c>
      <c r="J156" s="55"/>
      <c r="K156" s="0"/>
    </row>
    <row r="157" customFormat="false" ht="19.85" hidden="false" customHeight="true" outlineLevel="0" collapsed="false">
      <c r="A157" s="0" t="n">
        <v>30</v>
      </c>
      <c r="B157" s="31" t="n">
        <v>42614</v>
      </c>
      <c r="C157" s="135" t="n">
        <v>1</v>
      </c>
      <c r="D157" s="26" t="s">
        <v>41</v>
      </c>
      <c r="E157" s="33" t="n">
        <f aca="false">IF(D157="totale",(C157/(A157*24))/F157,IF(D157="marché libre",(C157/(A157*24))/G157,"spécifier histo"))</f>
        <v>6.94444444444445E-006</v>
      </c>
      <c r="F157" s="59" t="n">
        <v>200</v>
      </c>
      <c r="G157" s="59" t="n">
        <f aca="false">F157-H157</f>
        <v>200</v>
      </c>
      <c r="H157" s="59" t="n">
        <v>0</v>
      </c>
      <c r="J157" s="55"/>
      <c r="K157" s="0"/>
    </row>
    <row r="158" customFormat="false" ht="19.85" hidden="false" customHeight="true" outlineLevel="0" collapsed="false">
      <c r="A158" s="0" t="n">
        <v>31</v>
      </c>
      <c r="B158" s="34" t="n">
        <v>42644</v>
      </c>
      <c r="C158" s="135" t="n">
        <v>0</v>
      </c>
      <c r="D158" s="26" t="s">
        <v>41</v>
      </c>
      <c r="E158" s="33" t="n">
        <f aca="false">IF(D158="totale",(C158/(A158*24))/F158,IF(D158="marché libre",(C158/(A158*24))/G158,"spécifier histo"))</f>
        <v>0</v>
      </c>
      <c r="F158" s="59" t="n">
        <v>200</v>
      </c>
      <c r="G158" s="59" t="n">
        <f aca="false">F158-H158</f>
        <v>200</v>
      </c>
      <c r="H158" s="59" t="n">
        <v>0</v>
      </c>
      <c r="J158" s="55"/>
      <c r="K158" s="0"/>
    </row>
    <row r="159" customFormat="false" ht="19.85" hidden="false" customHeight="true" outlineLevel="0" collapsed="false">
      <c r="A159" s="0" t="n">
        <v>30</v>
      </c>
      <c r="B159" s="31" t="n">
        <v>42675</v>
      </c>
      <c r="C159" s="135" t="n">
        <v>7498</v>
      </c>
      <c r="D159" s="26" t="s">
        <v>41</v>
      </c>
      <c r="E159" s="33" t="n">
        <f aca="false">IF(D159="totale",(C159/(A159*24))/F159,IF(D159="marché libre",(C159/(A159*24))/G159,"spécifier histo"))</f>
        <v>0.0520694444444445</v>
      </c>
      <c r="F159" s="59" t="n">
        <v>200</v>
      </c>
      <c r="G159" s="59" t="n">
        <f aca="false">F159-H159</f>
        <v>200</v>
      </c>
      <c r="H159" s="59" t="n">
        <v>0</v>
      </c>
      <c r="J159" s="55"/>
      <c r="K159" s="0"/>
    </row>
    <row r="160" customFormat="false" ht="19.85" hidden="false" customHeight="true" outlineLevel="0" collapsed="false">
      <c r="A160" s="0" t="n">
        <v>31</v>
      </c>
      <c r="B160" s="34" t="n">
        <v>42705</v>
      </c>
      <c r="C160" s="135" t="n">
        <v>26694</v>
      </c>
      <c r="D160" s="26" t="s">
        <v>41</v>
      </c>
      <c r="E160" s="33" t="n">
        <f aca="false">IF(D160="totale",(C160/(A160*24))/F160,IF(D160="marché libre",(C160/(A160*24))/G160,"spécifier histo"))</f>
        <v>0.179395161290323</v>
      </c>
      <c r="F160" s="59" t="n">
        <v>200</v>
      </c>
      <c r="G160" s="59" t="n">
        <f aca="false">F160-H160</f>
        <v>200</v>
      </c>
      <c r="H160" s="59" t="n">
        <v>0</v>
      </c>
      <c r="J160" s="55"/>
    </row>
    <row r="161" customFormat="false" ht="19.85" hidden="false" customHeight="true" outlineLevel="0" collapsed="false">
      <c r="A161" s="0" t="n">
        <v>31</v>
      </c>
      <c r="B161" s="31" t="n">
        <v>42736</v>
      </c>
      <c r="C161" s="135" t="n">
        <v>28632</v>
      </c>
      <c r="D161" s="26" t="s">
        <v>41</v>
      </c>
      <c r="E161" s="33" t="n">
        <f aca="false">IF(D161="totale",(C161/(A161*24))/F161,IF(D161="marché libre",(C161/(A161*24))/G161,"spécifier histo"))</f>
        <v>0.19241935483871</v>
      </c>
      <c r="F161" s="59" t="n">
        <v>200</v>
      </c>
      <c r="G161" s="59" t="n">
        <f aca="false">F161-H161</f>
        <v>200</v>
      </c>
      <c r="H161" s="59" t="n">
        <v>0</v>
      </c>
      <c r="J161" s="30"/>
      <c r="K161" s="0"/>
    </row>
    <row r="162" customFormat="false" ht="19.85" hidden="false" customHeight="true" outlineLevel="0" collapsed="false">
      <c r="A162" s="0" t="n">
        <v>28</v>
      </c>
      <c r="B162" s="34" t="n">
        <v>42767</v>
      </c>
      <c r="C162" s="135" t="n">
        <v>45752</v>
      </c>
      <c r="D162" s="26" t="s">
        <v>41</v>
      </c>
      <c r="E162" s="33" t="n">
        <f aca="false">IF(D162="totale",(C162/(A162*24))/F162,IF(D162="marché libre",(C162/(A162*24))/G162,"spécifier histo"))</f>
        <v>0.340416666666667</v>
      </c>
      <c r="F162" s="59" t="n">
        <v>200</v>
      </c>
      <c r="G162" s="59" t="n">
        <f aca="false">F162-H162</f>
        <v>200</v>
      </c>
      <c r="H162" s="59" t="n">
        <v>0</v>
      </c>
      <c r="J162" s="55"/>
      <c r="K162" s="0"/>
    </row>
    <row r="163" customFormat="false" ht="19.85" hidden="false" customHeight="true" outlineLevel="0" collapsed="false">
      <c r="A163" s="0" t="n">
        <v>31</v>
      </c>
      <c r="B163" s="31" t="n">
        <v>42795</v>
      </c>
      <c r="C163" s="135" t="n">
        <v>41193</v>
      </c>
      <c r="D163" s="26" t="s">
        <v>41</v>
      </c>
      <c r="E163" s="33" t="n">
        <f aca="false">IF(D163="totale",(C163/(A163*24))/F163,IF(D163="marché libre",(C163/(A163*24))/G163,"spécifier histo"))</f>
        <v>0.276834677419355</v>
      </c>
      <c r="F163" s="59" t="n">
        <v>200</v>
      </c>
      <c r="G163" s="59" t="n">
        <f aca="false">F163-H163</f>
        <v>200</v>
      </c>
      <c r="H163" s="59" t="n">
        <v>0</v>
      </c>
      <c r="J163" s="55"/>
      <c r="K163" s="0"/>
    </row>
    <row r="164" customFormat="false" ht="19.85" hidden="false" customHeight="true" outlineLevel="0" collapsed="false">
      <c r="A164" s="0" t="n">
        <v>30</v>
      </c>
      <c r="B164" s="34" t="n">
        <v>42826</v>
      </c>
      <c r="C164" s="292" t="n">
        <v>54312</v>
      </c>
      <c r="D164" s="26" t="s">
        <v>41</v>
      </c>
      <c r="E164" s="33" t="n">
        <f aca="false">IF(D164="totale",(C164/(A164*24))/F164,IF(D164="marché libre",(C164/(A164*24))/G164,"spécifier histo"))</f>
        <v>0.377166666666667</v>
      </c>
      <c r="F164" s="59" t="n">
        <v>200</v>
      </c>
      <c r="G164" s="59" t="n">
        <f aca="false">F164-H164</f>
        <v>200</v>
      </c>
      <c r="H164" s="59" t="n">
        <v>0</v>
      </c>
      <c r="J164" s="55"/>
      <c r="K164" s="0"/>
    </row>
    <row r="165" customFormat="false" ht="19.85" hidden="false" customHeight="true" outlineLevel="0" collapsed="false">
      <c r="A165" s="0" t="n">
        <v>31</v>
      </c>
      <c r="B165" s="31" t="n">
        <v>42856</v>
      </c>
      <c r="C165" s="292" t="n">
        <v>42891</v>
      </c>
      <c r="D165" s="26" t="s">
        <v>41</v>
      </c>
      <c r="E165" s="33" t="n">
        <f aca="false">IF(D165="totale",(C165/(A165*24))/F165,IF(D165="marché libre",(C165/(A165*24))/G165,"spécifier histo"))</f>
        <v>0.288245967741935</v>
      </c>
      <c r="F165" s="59" t="n">
        <v>200</v>
      </c>
      <c r="G165" s="59" t="n">
        <f aca="false">F165-H165</f>
        <v>200</v>
      </c>
      <c r="H165" s="59" t="n">
        <v>0</v>
      </c>
      <c r="J165" s="55"/>
      <c r="K165" s="0"/>
    </row>
    <row r="166" customFormat="false" ht="22.45" hidden="false" customHeight="true" outlineLevel="0" collapsed="false">
      <c r="A166" s="0" t="n">
        <v>30</v>
      </c>
      <c r="B166" s="34" t="n">
        <v>42887</v>
      </c>
      <c r="C166" s="292" t="n">
        <v>10525</v>
      </c>
      <c r="D166" s="26" t="s">
        <v>41</v>
      </c>
      <c r="E166" s="33" t="n">
        <f aca="false">IF(D166="totale",(C166/(A166*24))/F166,IF(D166="marché libre",(C166/(A166*24))/G166,"spécifier histo"))</f>
        <v>0.0730902777777778</v>
      </c>
      <c r="F166" s="59" t="n">
        <v>200</v>
      </c>
      <c r="G166" s="59" t="n">
        <f aca="false">F166-H166</f>
        <v>200</v>
      </c>
      <c r="H166" s="59" t="n">
        <v>0</v>
      </c>
      <c r="J166" s="55"/>
      <c r="K166" s="0"/>
    </row>
    <row r="167" customFormat="false" ht="21.65" hidden="false" customHeight="true" outlineLevel="0" collapsed="false">
      <c r="A167" s="0" t="n">
        <v>31</v>
      </c>
      <c r="B167" s="31" t="n">
        <v>42917</v>
      </c>
      <c r="C167" s="292" t="n">
        <v>0</v>
      </c>
      <c r="D167" s="26" t="s">
        <v>41</v>
      </c>
      <c r="E167" s="33" t="n">
        <f aca="false">IF(D167="totale",(C167/(A167*24))/F167,IF(D167="marché libre",(C167/(A167*24))/G167,"spécifier histo"))</f>
        <v>0</v>
      </c>
      <c r="F167" s="59" t="n">
        <v>200</v>
      </c>
      <c r="G167" s="59" t="n">
        <f aca="false">F167-H167</f>
        <v>200</v>
      </c>
      <c r="H167" s="59" t="n">
        <v>0</v>
      </c>
      <c r="J167" s="55"/>
      <c r="K167" s="0"/>
    </row>
    <row r="168" customFormat="false" ht="21.65" hidden="false" customHeight="true" outlineLevel="0" collapsed="false">
      <c r="A168" s="0" t="n">
        <v>31</v>
      </c>
      <c r="B168" s="34" t="n">
        <v>42948</v>
      </c>
      <c r="C168" s="292" t="n">
        <v>0</v>
      </c>
      <c r="D168" s="26" t="s">
        <v>41</v>
      </c>
      <c r="E168" s="33" t="n">
        <f aca="false">IF(D168="totale",(C168/(A168*24))/F168,IF(D168="marché libre",(C168/(A168*24))/G168,"spécifier histo"))</f>
        <v>0</v>
      </c>
      <c r="F168" s="59" t="n">
        <v>200</v>
      </c>
      <c r="G168" s="59" t="n">
        <f aca="false">F168-H168</f>
        <v>200</v>
      </c>
      <c r="H168" s="59" t="n">
        <v>0</v>
      </c>
      <c r="J168" s="55"/>
      <c r="K168" s="0"/>
    </row>
    <row r="169" customFormat="false" ht="21.65" hidden="false" customHeight="true" outlineLevel="0" collapsed="false">
      <c r="A169" s="0" t="n">
        <v>30</v>
      </c>
      <c r="B169" s="31" t="n">
        <v>42979</v>
      </c>
      <c r="C169" s="292" t="n">
        <v>0</v>
      </c>
      <c r="D169" s="26" t="s">
        <v>41</v>
      </c>
      <c r="E169" s="33" t="n">
        <f aca="false">IF(D169="totale",(C169/(A169*24))/F169,IF(D169="marché libre",(C169/(A169*24))/G169,"spécifier histo"))</f>
        <v>0</v>
      </c>
      <c r="F169" s="59" t="n">
        <v>200</v>
      </c>
      <c r="G169" s="59" t="n">
        <f aca="false">F169-H169</f>
        <v>200</v>
      </c>
      <c r="H169" s="59" t="n">
        <v>0</v>
      </c>
      <c r="J169" s="55"/>
      <c r="K169" s="0"/>
    </row>
    <row r="170" customFormat="false" ht="21.65" hidden="false" customHeight="true" outlineLevel="0" collapsed="false">
      <c r="A170" s="0" t="n">
        <v>31</v>
      </c>
      <c r="B170" s="34" t="n">
        <v>43009</v>
      </c>
      <c r="C170" s="292" t="n">
        <v>0</v>
      </c>
      <c r="D170" s="26" t="s">
        <v>41</v>
      </c>
      <c r="E170" s="33" t="n">
        <f aca="false">IF(D170="totale",(C170/(A170*24))/F170,IF(D170="marché libre",(C170/(A170*24))/G170,"spécifier histo"))</f>
        <v>0</v>
      </c>
      <c r="F170" s="59" t="n">
        <v>200</v>
      </c>
      <c r="G170" s="59" t="n">
        <f aca="false">F170-H170</f>
        <v>200</v>
      </c>
      <c r="H170" s="59" t="n">
        <v>0</v>
      </c>
      <c r="J170" s="55"/>
      <c r="K170" s="0"/>
    </row>
    <row r="171" customFormat="false" ht="21.65" hidden="false" customHeight="true" outlineLevel="0" collapsed="false">
      <c r="A171" s="0" t="n">
        <v>30</v>
      </c>
      <c r="B171" s="31" t="n">
        <v>43040</v>
      </c>
      <c r="C171" s="292" t="n">
        <v>0</v>
      </c>
      <c r="D171" s="26" t="s">
        <v>41</v>
      </c>
      <c r="E171" s="33" t="n">
        <f aca="false">IF(D171="totale",(C171/(A171*24))/F171,IF(D171="marché libre",(C171/(A171*24))/G171,"spécifier histo"))</f>
        <v>0</v>
      </c>
      <c r="F171" s="59" t="n">
        <v>200</v>
      </c>
      <c r="G171" s="59" t="n">
        <f aca="false">F171-H171</f>
        <v>200</v>
      </c>
      <c r="H171" s="59" t="n">
        <v>0</v>
      </c>
      <c r="J171" s="55"/>
      <c r="K171" s="0"/>
    </row>
    <row r="172" customFormat="false" ht="21.65" hidden="false" customHeight="true" outlineLevel="0" collapsed="false">
      <c r="A172" s="0" t="n">
        <v>31</v>
      </c>
      <c r="B172" s="34" t="n">
        <v>43070</v>
      </c>
      <c r="C172" s="292" t="n">
        <v>15240</v>
      </c>
      <c r="D172" s="26" t="s">
        <v>41</v>
      </c>
      <c r="E172" s="33" t="n">
        <f aca="false">IF(D172="totale",(C172/(A172*24))/F172,IF(D172="marché libre",(C172/(A172*24))/G172,"spécifier histo"))</f>
        <v>0.10241935483871</v>
      </c>
      <c r="F172" s="59" t="n">
        <v>200</v>
      </c>
      <c r="G172" s="59" t="n">
        <f aca="false">F172-H172</f>
        <v>200</v>
      </c>
      <c r="H172" s="59" t="n">
        <v>0</v>
      </c>
      <c r="J172" s="55"/>
      <c r="K172" s="0"/>
    </row>
    <row r="173" customFormat="false" ht="23.8" hidden="false" customHeight="true" outlineLevel="0" collapsed="false">
      <c r="A173" s="0" t="n">
        <v>31</v>
      </c>
      <c r="B173" s="31" t="n">
        <v>43101</v>
      </c>
      <c r="C173" s="135" t="n">
        <v>1576</v>
      </c>
      <c r="D173" s="128" t="s">
        <v>42</v>
      </c>
      <c r="E173" s="33" t="n">
        <f aca="false">IF(D173="totale",(C173/(A173*24))/F173,IF(D173="marché libre",(C173/(A173*24))/G173,"spécifier histo"))</f>
        <v>0.0105913978494624</v>
      </c>
      <c r="F173" s="57" t="n">
        <v>200</v>
      </c>
      <c r="G173" s="57" t="n">
        <f aca="false">F173-H173</f>
        <v>200</v>
      </c>
      <c r="H173" s="57" t="n">
        <v>0</v>
      </c>
      <c r="J173" s="30"/>
    </row>
    <row r="174" customFormat="false" ht="28.35" hidden="false" customHeight="true" outlineLevel="0" collapsed="false">
      <c r="A174" s="0" t="n">
        <v>31</v>
      </c>
      <c r="B174" s="34" t="n">
        <v>43132</v>
      </c>
      <c r="C174" s="1" t="n">
        <v>649</v>
      </c>
      <c r="D174" s="128" t="s">
        <v>42</v>
      </c>
      <c r="E174" s="33" t="n">
        <f aca="false">IF(D174="totale",(C174/(A174*24))/F174,IF(D174="marché libre",(C174/(A174*24))/G174,"spécifier histo"))</f>
        <v>0.00436155913978495</v>
      </c>
      <c r="F174" s="59" t="n">
        <v>200</v>
      </c>
      <c r="G174" s="59" t="n">
        <f aca="false">F174-H174</f>
        <v>200</v>
      </c>
      <c r="H174" s="59" t="n">
        <v>0</v>
      </c>
    </row>
    <row r="175" customFormat="false" ht="28.35" hidden="false" customHeight="true" outlineLevel="0" collapsed="false">
      <c r="A175" s="0" t="n">
        <v>28</v>
      </c>
      <c r="B175" s="31" t="n">
        <v>43160</v>
      </c>
      <c r="C175" s="1" t="n">
        <v>4564</v>
      </c>
      <c r="D175" s="128" t="s">
        <v>42</v>
      </c>
      <c r="E175" s="33" t="n">
        <f aca="false">IF(D175="totale",(C175/(A175*24))/F175,IF(D175="marché libre",(C175/(A175*24))/G175,"spécifier histo"))</f>
        <v>0.0339583333333333</v>
      </c>
      <c r="F175" s="59" t="n">
        <v>200</v>
      </c>
      <c r="G175" s="59" t="n">
        <f aca="false">F175-H175</f>
        <v>200</v>
      </c>
      <c r="H175" s="59" t="n">
        <v>0</v>
      </c>
    </row>
    <row r="176" customFormat="false" ht="28.35" hidden="false" customHeight="true" outlineLevel="0" collapsed="false">
      <c r="A176" s="0" t="n">
        <v>31</v>
      </c>
      <c r="B176" s="34" t="n">
        <v>43191</v>
      </c>
      <c r="C176" s="1" t="n">
        <v>0</v>
      </c>
      <c r="D176" s="128" t="s">
        <v>42</v>
      </c>
      <c r="E176" s="33" t="n">
        <f aca="false">IF(D176="totale",(C176/(A176*24))/F176,IF(D176="marché libre",(C176/(A176*24))/G176,"spécifier histo"))</f>
        <v>0</v>
      </c>
      <c r="F176" s="59" t="n">
        <v>200</v>
      </c>
      <c r="G176" s="59" t="n">
        <f aca="false">F176-H176</f>
        <v>200</v>
      </c>
      <c r="H176" s="59" t="n">
        <v>0</v>
      </c>
    </row>
    <row r="177" customFormat="false" ht="28.35" hidden="false" customHeight="true" outlineLevel="0" collapsed="false">
      <c r="A177" s="0" t="n">
        <v>30</v>
      </c>
      <c r="B177" s="31" t="n">
        <v>43221</v>
      </c>
      <c r="C177" s="1" t="n">
        <v>7639</v>
      </c>
      <c r="D177" s="128" t="s">
        <v>42</v>
      </c>
      <c r="E177" s="33" t="n">
        <f aca="false">IF(D177="totale",(C177/(A177*24))/F177,IF(D177="marché libre",(C177/(A177*24))/G177,"spécifier histo"))</f>
        <v>0.0530486111111111</v>
      </c>
      <c r="F177" s="59" t="n">
        <v>200</v>
      </c>
      <c r="G177" s="59" t="n">
        <f aca="false">F177-H177</f>
        <v>200</v>
      </c>
      <c r="H177" s="59" t="n">
        <v>0</v>
      </c>
    </row>
    <row r="178" customFormat="false" ht="28.35" hidden="false" customHeight="true" outlineLevel="0" collapsed="false">
      <c r="A178" s="0" t="n">
        <v>31</v>
      </c>
      <c r="B178" s="34" t="n">
        <v>43252</v>
      </c>
      <c r="C178" s="1" t="n">
        <v>42325</v>
      </c>
      <c r="D178" s="128" t="s">
        <v>42</v>
      </c>
      <c r="E178" s="33" t="n">
        <f aca="false">IF(D178="totale",(C178/(A178*24))/F178,IF(D178="marché libre",(C178/(A178*24))/G178,"spécifier histo"))</f>
        <v>0.284442204301075</v>
      </c>
      <c r="F178" s="59" t="n">
        <v>200</v>
      </c>
      <c r="G178" s="59" t="n">
        <f aca="false">F178-H178</f>
        <v>200</v>
      </c>
      <c r="H178" s="59" t="n">
        <v>0</v>
      </c>
    </row>
    <row r="179" customFormat="false" ht="28.35" hidden="false" customHeight="true" outlineLevel="0" collapsed="false">
      <c r="A179" s="0" t="n">
        <v>30</v>
      </c>
      <c r="B179" s="31" t="n">
        <v>43282</v>
      </c>
      <c r="C179" s="1" t="n">
        <v>18337</v>
      </c>
      <c r="D179" s="128" t="s">
        <v>42</v>
      </c>
      <c r="E179" s="33" t="n">
        <f aca="false">IF(D179="totale",(C179/(A179*24))/F179,IF(D179="marché libre",(C179/(A179*24))/G179,"spécifier histo"))</f>
        <v>0.127340277777778</v>
      </c>
      <c r="F179" s="59" t="n">
        <v>200</v>
      </c>
      <c r="G179" s="59" t="n">
        <f aca="false">F179-H179</f>
        <v>200</v>
      </c>
      <c r="H179" s="59" t="n">
        <v>0</v>
      </c>
    </row>
    <row r="180" customFormat="false" ht="28.35" hidden="false" customHeight="true" outlineLevel="0" collapsed="false">
      <c r="A180" s="0" t="n">
        <v>31</v>
      </c>
      <c r="B180" s="34" t="n">
        <v>43313</v>
      </c>
      <c r="C180" s="1" t="n">
        <v>0</v>
      </c>
      <c r="D180" s="128" t="s">
        <v>42</v>
      </c>
      <c r="E180" s="33" t="n">
        <f aca="false">IF(D180="totale",(C180/(A180*24))/F180,IF(D180="marché libre",(C180/(A180*24))/G180,"spécifier histo"))</f>
        <v>0</v>
      </c>
      <c r="F180" s="59" t="n">
        <v>200</v>
      </c>
      <c r="G180" s="59" t="n">
        <f aca="false">F180-H180</f>
        <v>200</v>
      </c>
      <c r="H180" s="59" t="n">
        <v>0</v>
      </c>
    </row>
    <row r="181" customFormat="false" ht="28.35" hidden="false" customHeight="true" outlineLevel="0" collapsed="false">
      <c r="A181" s="0" t="n">
        <v>31</v>
      </c>
      <c r="B181" s="31" t="n">
        <v>43344</v>
      </c>
      <c r="C181" s="1" t="n">
        <v>0</v>
      </c>
      <c r="D181" s="128" t="s">
        <v>42</v>
      </c>
      <c r="E181" s="33" t="n">
        <f aca="false">IF(D181="totale",(C181/(A181*24))/F181,IF(D181="marché libre",(C181/(A181*24))/G181,"spécifier histo"))</f>
        <v>0</v>
      </c>
      <c r="F181" s="59" t="n">
        <v>200</v>
      </c>
      <c r="G181" s="59" t="n">
        <f aca="false">F181-H181</f>
        <v>200</v>
      </c>
      <c r="H181" s="59" t="n">
        <v>0</v>
      </c>
    </row>
    <row r="182" customFormat="false" ht="28.35" hidden="false" customHeight="true" outlineLevel="0" collapsed="false">
      <c r="A182" s="0" t="n">
        <v>30</v>
      </c>
      <c r="B182" s="34" t="n">
        <v>43374</v>
      </c>
      <c r="C182" s="1" t="n">
        <v>32</v>
      </c>
      <c r="D182" s="128" t="s">
        <v>42</v>
      </c>
      <c r="E182" s="33" t="n">
        <f aca="false">IF(D182="totale",(C182/(A182*24))/F182,IF(D182="marché libre",(C182/(A182*24))/G182,"spécifier histo"))</f>
        <v>0.000222222222222222</v>
      </c>
      <c r="F182" s="59" t="n">
        <v>200</v>
      </c>
      <c r="G182" s="59" t="n">
        <f aca="false">F182-H182</f>
        <v>200</v>
      </c>
      <c r="H182" s="59" t="n">
        <v>0</v>
      </c>
    </row>
    <row r="183" customFormat="false" ht="28.35" hidden="false" customHeight="true" outlineLevel="0" collapsed="false">
      <c r="A183" s="0"/>
    </row>
    <row r="184" customFormat="false" ht="28.35" hidden="false" customHeight="true" outlineLevel="0" collapsed="false">
      <c r="A184" s="0"/>
    </row>
    <row r="185" customFormat="false" ht="28.35" hidden="false" customHeight="true" outlineLevel="0" collapsed="false">
      <c r="A185" s="0"/>
    </row>
    <row r="186" customFormat="false" ht="28.35" hidden="false" customHeight="true" outlineLevel="0" collapsed="false">
      <c r="A186" s="0"/>
    </row>
    <row r="187" customFormat="false" ht="28.35" hidden="false" customHeight="true" outlineLevel="0" collapsed="false">
      <c r="A187" s="0"/>
    </row>
    <row r="188" customFormat="false" ht="28.35" hidden="false" customHeight="true" outlineLevel="0" collapsed="false">
      <c r="A188" s="0"/>
    </row>
    <row r="189" customFormat="false" ht="28.35" hidden="false" customHeight="true" outlineLevel="0" collapsed="false">
      <c r="A189" s="0"/>
    </row>
    <row r="190" customFormat="false" ht="28.35" hidden="false" customHeight="true" outlineLevel="0" collapsed="false">
      <c r="A190" s="0"/>
    </row>
    <row r="191" customFormat="false" ht="28.35" hidden="false" customHeight="true" outlineLevel="0" collapsed="false">
      <c r="A191" s="0"/>
    </row>
    <row r="192" customFormat="false" ht="28.35" hidden="false" customHeight="true" outlineLevel="0" collapsed="false">
      <c r="A192" s="0"/>
    </row>
    <row r="193" customFormat="false" ht="28.35" hidden="false" customHeight="true" outlineLevel="0" collapsed="false">
      <c r="A193" s="0"/>
    </row>
    <row r="194" customFormat="false" ht="28.35" hidden="false" customHeight="true" outlineLevel="0" collapsed="false">
      <c r="A194" s="0"/>
    </row>
    <row r="195" customFormat="false" ht="28.35" hidden="false" customHeight="true" outlineLevel="0" collapsed="false">
      <c r="A195" s="0"/>
    </row>
    <row r="196" customFormat="false" ht="28.35" hidden="false" customHeight="true" outlineLevel="0" collapsed="false">
      <c r="A196" s="0"/>
    </row>
    <row r="197" customFormat="false" ht="28.35" hidden="false" customHeight="true" outlineLevel="0" collapsed="false">
      <c r="A197" s="0"/>
    </row>
    <row r="198" customFormat="false" ht="28.35" hidden="false" customHeight="true" outlineLevel="0" collapsed="false">
      <c r="A198" s="0"/>
    </row>
    <row r="199" customFormat="false" ht="28.35" hidden="false" customHeight="true" outlineLevel="0" collapsed="false">
      <c r="A199" s="0"/>
    </row>
    <row r="200" customFormat="false" ht="28.35" hidden="false" customHeight="true" outlineLevel="0" collapsed="false">
      <c r="A200" s="0"/>
    </row>
    <row r="201" customFormat="false" ht="28.35" hidden="false" customHeight="true" outlineLevel="0" collapsed="false">
      <c r="A201" s="0"/>
    </row>
    <row r="202" customFormat="false" ht="28.35" hidden="false" customHeight="true" outlineLevel="0" collapsed="false">
      <c r="A202" s="0"/>
    </row>
    <row r="203" customFormat="false" ht="28.35" hidden="false" customHeight="true" outlineLevel="0" collapsed="false">
      <c r="A203" s="0"/>
    </row>
    <row r="204" customFormat="false" ht="28.35" hidden="false" customHeight="true" outlineLevel="0" collapsed="false">
      <c r="A204" s="0"/>
    </row>
    <row r="205" customFormat="false" ht="28.35" hidden="false" customHeight="true" outlineLevel="0" collapsed="false">
      <c r="A205" s="0"/>
    </row>
    <row r="206" customFormat="false" ht="28.35" hidden="false" customHeight="true" outlineLevel="0" collapsed="false">
      <c r="A206" s="0"/>
    </row>
    <row r="207" customFormat="false" ht="28.35" hidden="false" customHeight="true" outlineLevel="0" collapsed="false">
      <c r="A207" s="0"/>
    </row>
    <row r="208" customFormat="false" ht="28.35" hidden="false" customHeight="true" outlineLevel="0" collapsed="false">
      <c r="A208" s="0"/>
    </row>
    <row r="209" customFormat="false" ht="28.35" hidden="false" customHeight="true" outlineLevel="0" collapsed="false">
      <c r="A209" s="0"/>
    </row>
    <row r="210" customFormat="false" ht="28.35" hidden="false" customHeight="true" outlineLevel="0" collapsed="false">
      <c r="A210" s="0"/>
    </row>
    <row r="211" customFormat="false" ht="28.35" hidden="false" customHeight="true" outlineLevel="0" collapsed="false">
      <c r="A211" s="0"/>
    </row>
    <row r="212" customFormat="false" ht="28.35" hidden="false" customHeight="true" outlineLevel="0" collapsed="false">
      <c r="A212" s="0"/>
    </row>
    <row r="213" customFormat="false" ht="28.35" hidden="false" customHeight="true" outlineLevel="0" collapsed="false">
      <c r="A213" s="0"/>
    </row>
    <row r="214" customFormat="false" ht="28.35" hidden="false" customHeight="true" outlineLevel="0" collapsed="false">
      <c r="A214" s="0"/>
    </row>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82">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3.xml><?xml version="1.0" encoding="utf-8"?>
<worksheet xmlns="http://schemas.openxmlformats.org/spreadsheetml/2006/main" xmlns:r="http://schemas.openxmlformats.org/officeDocument/2006/relationships">
  <sheetPr filterMode="false">
    <tabColor rgb="FF00CC33"/>
    <pageSetUpPr fitToPage="false"/>
  </sheetPr>
  <dimension ref="A1:AY49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475" activePane="bottomRight" state="frozen"/>
      <selection pane="topLeft" activeCell="A1" activeCellId="0" sqref="A1"/>
      <selection pane="topRight" activeCell="B1" activeCellId="0" sqref="B1"/>
      <selection pane="bottomLeft" activeCell="A475" activeCellId="0" sqref="A475"/>
      <selection pane="bottomRight" activeCell="A8" activeCellId="0" sqref="A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22" t="s">
        <v>108</v>
      </c>
      <c r="B1" s="2" t="s">
        <v>0</v>
      </c>
      <c r="C1" s="2"/>
      <c r="D1" s="2"/>
      <c r="E1" s="2"/>
      <c r="F1" s="3" t="s">
        <v>1</v>
      </c>
      <c r="G1" s="3"/>
      <c r="H1" s="3"/>
      <c r="I1" s="3"/>
      <c r="J1" s="3"/>
      <c r="K1" s="3"/>
      <c r="L1" s="3"/>
      <c r="M1" s="3"/>
      <c r="N1" s="3"/>
    </row>
    <row r="2" customFormat="false" ht="30.8" hidden="false" customHeight="true" outlineLevel="0" collapsed="false">
      <c r="A2" s="26" t="n">
        <v>10</v>
      </c>
      <c r="B2" s="2"/>
      <c r="C2" s="2"/>
      <c r="D2" s="2"/>
      <c r="E2" s="2"/>
      <c r="F2" s="3" t="s">
        <v>2</v>
      </c>
      <c r="G2" s="3"/>
      <c r="H2" s="3"/>
      <c r="I2" s="3"/>
      <c r="J2" s="3" t="s">
        <v>3</v>
      </c>
      <c r="K2" s="3"/>
      <c r="L2" s="3" t="s">
        <v>4</v>
      </c>
      <c r="M2" s="3"/>
      <c r="N2" s="3" t="s">
        <v>573</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848</v>
      </c>
      <c r="C4" s="16" t="n">
        <v>62242</v>
      </c>
      <c r="D4" s="5" t="s">
        <v>849</v>
      </c>
      <c r="E4" s="14" t="s">
        <v>580</v>
      </c>
      <c r="F4" s="15" t="n">
        <v>2200</v>
      </c>
      <c r="G4" s="15" t="n">
        <v>2400</v>
      </c>
      <c r="H4" s="15" t="n">
        <v>1000</v>
      </c>
      <c r="I4" s="16" t="s">
        <v>850</v>
      </c>
      <c r="J4" s="16" t="n">
        <v>1000</v>
      </c>
      <c r="K4" s="16" t="s">
        <v>851</v>
      </c>
      <c r="L4" s="16" t="s">
        <v>48</v>
      </c>
      <c r="M4" s="16" t="n">
        <v>1000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852</v>
      </c>
      <c r="H6" s="19"/>
      <c r="I6" s="19"/>
      <c r="J6" s="19"/>
      <c r="K6" s="19"/>
      <c r="L6" s="19"/>
      <c r="M6" s="19"/>
      <c r="N6" s="19"/>
      <c r="P6" s="21" t="n">
        <v>42370</v>
      </c>
      <c r="Q6" s="19" t="s">
        <v>27</v>
      </c>
      <c r="R6" s="9"/>
      <c r="S6" s="22"/>
      <c r="T6" s="5" t="s">
        <v>28</v>
      </c>
    </row>
    <row r="7" customFormat="false" ht="66.9" hidden="false" customHeight="true" outlineLevel="0" collapsed="false">
      <c r="A7" s="0"/>
      <c r="B7" s="0"/>
      <c r="C7" s="23" t="s">
        <v>853</v>
      </c>
      <c r="D7" s="23"/>
      <c r="F7" s="20"/>
      <c r="G7" s="20"/>
      <c r="H7" s="19"/>
      <c r="I7" s="19"/>
      <c r="J7" s="19"/>
      <c r="K7" s="19"/>
      <c r="L7" s="19"/>
      <c r="M7" s="19"/>
      <c r="N7" s="19"/>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17.95" hidden="false" customHeight="true" outlineLevel="0" collapsed="false">
      <c r="A10" s="0" t="n">
        <v>30</v>
      </c>
      <c r="B10" s="34" t="n">
        <v>28277</v>
      </c>
      <c r="C10" s="60" t="n">
        <v>288000</v>
      </c>
      <c r="D10" s="58" t="s">
        <v>41</v>
      </c>
      <c r="E10" s="33" t="n">
        <f aca="false">IF(D10="totale",(C10/(A10*24))/F10,IF(D10="marché libre",(C10/(A10*24))/G10,"spécifier histo"))</f>
        <v>0.181818181818182</v>
      </c>
      <c r="F10" s="59" t="n">
        <v>2200</v>
      </c>
      <c r="G10" s="59" t="n">
        <f aca="false">F10-H10</f>
        <v>2200</v>
      </c>
      <c r="H10" s="59"/>
      <c r="I10" s="0"/>
    </row>
    <row r="11" customFormat="false" ht="17.95" hidden="false" customHeight="true" outlineLevel="0" collapsed="false">
      <c r="A11" s="0" t="n">
        <v>31</v>
      </c>
      <c r="B11" s="31" t="n">
        <v>28307</v>
      </c>
      <c r="C11" s="60" t="n">
        <v>268800</v>
      </c>
      <c r="D11" s="58" t="s">
        <v>41</v>
      </c>
      <c r="E11" s="33" t="n">
        <f aca="false">IF(D11="totale",(C11/(A11*24))/F11,IF(D11="marché libre",(C11/(A11*24))/G11,"spécifier histo"))</f>
        <v>0.164222873900293</v>
      </c>
      <c r="F11" s="57" t="n">
        <v>2200</v>
      </c>
      <c r="G11" s="59" t="n">
        <f aca="false">F11-H11</f>
        <v>2200</v>
      </c>
      <c r="H11" s="59"/>
      <c r="I11" s="0"/>
      <c r="J11" s="0"/>
      <c r="K11" s="0"/>
      <c r="L11" s="0"/>
      <c r="M11" s="0"/>
      <c r="N11" s="0"/>
      <c r="O11" s="0"/>
      <c r="P11" s="0"/>
      <c r="Q11" s="0"/>
      <c r="R11" s="0"/>
      <c r="S11" s="0"/>
      <c r="T11" s="0"/>
      <c r="U11" s="0"/>
      <c r="V11" s="0"/>
    </row>
    <row r="12" customFormat="false" ht="17.95" hidden="false" customHeight="true" outlineLevel="0" collapsed="false">
      <c r="A12" s="0" t="n">
        <v>31</v>
      </c>
      <c r="B12" s="34" t="n">
        <v>28338</v>
      </c>
      <c r="C12" s="60" t="n">
        <v>167700</v>
      </c>
      <c r="D12" s="58" t="s">
        <v>41</v>
      </c>
      <c r="E12" s="33" t="n">
        <f aca="false">IF(D12="totale",(C12/(A12*24))/F12,IF(D12="marché libre",(C12/(A12*24))/G12,"spécifier histo"))</f>
        <v>0.102456011730205</v>
      </c>
      <c r="F12" s="59" t="n">
        <v>2200</v>
      </c>
      <c r="G12" s="59" t="n">
        <f aca="false">F12-H12</f>
        <v>2200</v>
      </c>
      <c r="H12" s="59"/>
      <c r="I12" s="0"/>
      <c r="J12" s="0"/>
      <c r="K12" s="0"/>
      <c r="L12" s="0"/>
      <c r="M12" s="0"/>
      <c r="N12" s="0"/>
      <c r="O12" s="0"/>
      <c r="P12" s="0"/>
      <c r="Q12" s="0"/>
      <c r="R12" s="0"/>
      <c r="S12" s="0"/>
      <c r="T12" s="0"/>
      <c r="U12" s="0"/>
      <c r="V12" s="0"/>
    </row>
    <row r="13" customFormat="false" ht="17.95" hidden="false" customHeight="true" outlineLevel="0" collapsed="false">
      <c r="A13" s="0" t="n">
        <v>30</v>
      </c>
      <c r="B13" s="31" t="n">
        <v>28369</v>
      </c>
      <c r="C13" s="60" t="n">
        <v>709800</v>
      </c>
      <c r="D13" s="58" t="s">
        <v>41</v>
      </c>
      <c r="E13" s="33" t="n">
        <f aca="false">IF(D13="totale",(C13/(A13*24))/F13,IF(D13="marché libre",(C13/(A13*24))/G13,"spécifier histo"))</f>
        <v>0.448106060606061</v>
      </c>
      <c r="F13" s="57" t="n">
        <v>2200</v>
      </c>
      <c r="G13" s="59" t="n">
        <f aca="false">F13-H13</f>
        <v>2200</v>
      </c>
      <c r="H13" s="59"/>
      <c r="I13" s="0"/>
      <c r="J13" s="0"/>
      <c r="K13" s="0"/>
      <c r="L13" s="0"/>
      <c r="M13" s="0"/>
      <c r="N13" s="0"/>
      <c r="O13" s="0"/>
      <c r="P13" s="0"/>
      <c r="Q13" s="0"/>
      <c r="R13" s="0"/>
      <c r="S13" s="0"/>
      <c r="T13" s="0"/>
      <c r="U13" s="0"/>
      <c r="V13" s="0"/>
    </row>
    <row r="14" customFormat="false" ht="17.95" hidden="false" customHeight="true" outlineLevel="0" collapsed="false">
      <c r="A14" s="0" t="n">
        <v>31</v>
      </c>
      <c r="B14" s="34" t="n">
        <v>28399</v>
      </c>
      <c r="C14" s="60" t="n">
        <v>438600</v>
      </c>
      <c r="D14" s="58" t="s">
        <v>41</v>
      </c>
      <c r="E14" s="33" t="n">
        <f aca="false">IF(D14="totale",(C14/(A14*24))/F14,IF(D14="marché libre",(C14/(A14*24))/G14,"spécifier histo"))</f>
        <v>0.267961876832845</v>
      </c>
      <c r="F14" s="59" t="n">
        <v>2200</v>
      </c>
      <c r="G14" s="59" t="n">
        <f aca="false">F14-H14</f>
        <v>2200</v>
      </c>
      <c r="H14" s="59"/>
      <c r="I14" s="0"/>
      <c r="J14" s="0"/>
      <c r="K14" s="0"/>
      <c r="L14" s="0"/>
      <c r="M14" s="0"/>
      <c r="N14" s="0"/>
      <c r="O14" s="0"/>
      <c r="P14" s="0"/>
      <c r="Q14" s="0"/>
      <c r="R14" s="0"/>
      <c r="S14" s="0"/>
      <c r="T14" s="0"/>
      <c r="U14" s="0"/>
      <c r="V14" s="0"/>
    </row>
    <row r="15" customFormat="false" ht="17.95" hidden="false" customHeight="true" outlineLevel="0" collapsed="false">
      <c r="A15" s="0" t="n">
        <v>30</v>
      </c>
      <c r="B15" s="31" t="n">
        <v>28430</v>
      </c>
      <c r="C15" s="60" t="n">
        <v>657300</v>
      </c>
      <c r="D15" s="58" t="s">
        <v>41</v>
      </c>
      <c r="E15" s="33" t="n">
        <f aca="false">IF(D15="totale",(C15/(A15*24))/F15,IF(D15="marché libre",(C15/(A15*24))/G15,"spécifier histo"))</f>
        <v>0.414962121212121</v>
      </c>
      <c r="F15" s="59" t="n">
        <v>2200</v>
      </c>
      <c r="G15" s="59" t="n">
        <f aca="false">F15-H15</f>
        <v>2200</v>
      </c>
      <c r="H15" s="59"/>
      <c r="I15" s="0"/>
      <c r="J15" s="0"/>
      <c r="K15" s="0"/>
      <c r="L15" s="0"/>
      <c r="M15" s="0"/>
      <c r="N15" s="0"/>
      <c r="O15" s="0"/>
      <c r="P15" s="0"/>
      <c r="Q15" s="0"/>
      <c r="R15" s="0"/>
      <c r="S15" s="0"/>
      <c r="T15" s="0"/>
      <c r="U15" s="0"/>
      <c r="V15" s="0"/>
    </row>
    <row r="16" customFormat="false" ht="17.95" hidden="false" customHeight="true" outlineLevel="0" collapsed="false">
      <c r="A16" s="0" t="n">
        <v>31</v>
      </c>
      <c r="B16" s="34" t="n">
        <v>28460</v>
      </c>
      <c r="C16" s="60" t="n">
        <v>657900</v>
      </c>
      <c r="D16" s="58" t="s">
        <v>41</v>
      </c>
      <c r="E16" s="33" t="n">
        <f aca="false">IF(D16="totale",(C16/(A16*24))/F16,IF(D16="marché libre",(C16/(A16*24))/G16,"spécifier histo"))</f>
        <v>0.401942815249267</v>
      </c>
      <c r="F16" s="59" t="n">
        <v>2200</v>
      </c>
      <c r="G16" s="59" t="n">
        <f aca="false">F16-H16</f>
        <v>2200</v>
      </c>
      <c r="H16" s="59"/>
      <c r="I16" s="0"/>
      <c r="J16" s="0"/>
      <c r="K16" s="0"/>
      <c r="L16" s="0"/>
      <c r="M16" s="0"/>
      <c r="N16" s="0"/>
      <c r="O16" s="0"/>
      <c r="P16" s="0"/>
      <c r="Q16" s="0"/>
      <c r="R16" s="0"/>
      <c r="S16" s="0"/>
      <c r="T16" s="0"/>
      <c r="U16" s="0"/>
      <c r="V16" s="0"/>
    </row>
    <row r="17" customFormat="false" ht="17.95" hidden="false" customHeight="true" outlineLevel="0" collapsed="false">
      <c r="A17" s="0" t="n">
        <v>31</v>
      </c>
      <c r="B17" s="31" t="n">
        <v>28491</v>
      </c>
      <c r="C17" s="1" t="n">
        <v>809100</v>
      </c>
      <c r="D17" s="58" t="s">
        <v>41</v>
      </c>
      <c r="E17" s="33" t="n">
        <f aca="false">IF(D17="totale",(C17/(A17*24))/F17,IF(D17="marché libre",(C17/(A17*24))/G17,"spécifier histo"))</f>
        <v>0.494318181818182</v>
      </c>
      <c r="F17" s="59" t="n">
        <v>2200</v>
      </c>
      <c r="G17" s="59" t="n">
        <f aca="false">F17-H17</f>
        <v>2200</v>
      </c>
      <c r="H17" s="59"/>
      <c r="I17" s="0"/>
      <c r="J17" s="0"/>
      <c r="K17" s="0"/>
      <c r="L17" s="0"/>
      <c r="M17" s="0"/>
      <c r="N17" s="0"/>
      <c r="O17" s="0"/>
      <c r="P17" s="0"/>
      <c r="Q17" s="0"/>
      <c r="R17" s="0"/>
      <c r="S17" s="0"/>
      <c r="T17" s="0"/>
      <c r="U17" s="0"/>
      <c r="V17" s="0"/>
    </row>
    <row r="18" customFormat="false" ht="19.85" hidden="false" customHeight="true" outlineLevel="0" collapsed="false">
      <c r="A18" s="0" t="n">
        <v>28</v>
      </c>
      <c r="B18" s="34" t="n">
        <v>28522</v>
      </c>
      <c r="C18" s="1" t="n">
        <v>401100</v>
      </c>
      <c r="D18" s="58" t="s">
        <v>41</v>
      </c>
      <c r="E18" s="33" t="n">
        <f aca="false">IF(D18="totale",(C18/(A18*24))/F18,IF(D18="marché libre",(C18/(A18*24))/G18,"spécifier histo"))</f>
        <v>0.271306818181818</v>
      </c>
      <c r="F18" s="59" t="n">
        <v>2200</v>
      </c>
      <c r="G18" s="59" t="n">
        <f aca="false">F18-H18</f>
        <v>2200</v>
      </c>
      <c r="H18" s="59"/>
      <c r="I18" s="0"/>
      <c r="J18" s="0"/>
      <c r="K18" s="0"/>
      <c r="L18" s="0"/>
      <c r="M18" s="0"/>
      <c r="N18" s="0"/>
      <c r="O18" s="0"/>
      <c r="P18" s="0"/>
      <c r="Q18" s="0"/>
      <c r="R18" s="0"/>
      <c r="S18" s="0"/>
      <c r="T18" s="0"/>
      <c r="U18" s="0"/>
      <c r="V18" s="0"/>
    </row>
    <row r="19" customFormat="false" ht="19.85" hidden="false" customHeight="true" outlineLevel="0" collapsed="false">
      <c r="A19" s="0" t="n">
        <v>31</v>
      </c>
      <c r="B19" s="31" t="n">
        <v>28550</v>
      </c>
      <c r="C19" s="1" t="n">
        <v>503100</v>
      </c>
      <c r="D19" s="58" t="s">
        <v>41</v>
      </c>
      <c r="E19" s="33" t="n">
        <f aca="false">IF(D19="totale",(C19/(A19*24))/F19,IF(D19="marché libre",(C19/(A19*24))/G19,"spécifier histo"))</f>
        <v>0.307368035190616</v>
      </c>
      <c r="F19" s="59" t="n">
        <v>2200</v>
      </c>
      <c r="G19" s="59" t="n">
        <f aca="false">F19-H19</f>
        <v>2200</v>
      </c>
      <c r="H19" s="59"/>
      <c r="I19" s="0"/>
      <c r="J19" s="0"/>
      <c r="K19" s="0"/>
      <c r="L19" s="0"/>
      <c r="M19" s="0"/>
      <c r="N19" s="0"/>
      <c r="O19" s="0"/>
      <c r="P19" s="0"/>
      <c r="Q19" s="0"/>
      <c r="R19" s="0"/>
      <c r="S19" s="0"/>
      <c r="T19" s="0"/>
      <c r="U19" s="0"/>
      <c r="V19" s="0"/>
    </row>
    <row r="20" customFormat="false" ht="19.85" hidden="false" customHeight="true" outlineLevel="0" collapsed="false">
      <c r="A20" s="0" t="n">
        <v>30</v>
      </c>
      <c r="B20" s="34" t="n">
        <v>28581</v>
      </c>
      <c r="C20" s="1" t="n">
        <v>888900</v>
      </c>
      <c r="D20" s="58" t="s">
        <v>41</v>
      </c>
      <c r="E20" s="33" t="n">
        <f aca="false">IF(D20="totale",(C20/(A20*24))/F20,IF(D20="marché libre",(C20/(A20*24))/G20,"spécifier histo"))</f>
        <v>0.561174242424242</v>
      </c>
      <c r="F20" s="59" t="n">
        <v>2200</v>
      </c>
      <c r="G20" s="59" t="n">
        <f aca="false">F20-H20</f>
        <v>2200</v>
      </c>
      <c r="H20" s="59"/>
      <c r="I20" s="0"/>
      <c r="J20" s="0"/>
      <c r="K20" s="0"/>
      <c r="L20" s="0"/>
      <c r="M20" s="0"/>
      <c r="N20" s="0"/>
      <c r="O20" s="0"/>
      <c r="P20" s="0"/>
      <c r="Q20" s="0"/>
      <c r="R20" s="0"/>
      <c r="S20" s="0"/>
      <c r="T20" s="0"/>
      <c r="U20" s="0"/>
      <c r="V20" s="0"/>
    </row>
    <row r="21" customFormat="false" ht="19.85" hidden="false" customHeight="true" outlineLevel="0" collapsed="false">
      <c r="A21" s="0" t="n">
        <v>31</v>
      </c>
      <c r="B21" s="31" t="n">
        <v>28611</v>
      </c>
      <c r="C21" s="1" t="n">
        <v>554700</v>
      </c>
      <c r="D21" s="58" t="s">
        <v>41</v>
      </c>
      <c r="E21" s="33" t="n">
        <f aca="false">IF(D21="totale",(C21/(A21*24))/F21,IF(D21="marché libre",(C21/(A21*24))/G21,"spécifier histo"))</f>
        <v>0.338892961876833</v>
      </c>
      <c r="F21" s="59" t="n">
        <v>2200</v>
      </c>
      <c r="G21" s="59" t="n">
        <f aca="false">F21-H21</f>
        <v>2200</v>
      </c>
      <c r="H21" s="59"/>
      <c r="I21" s="0"/>
      <c r="J21" s="0"/>
      <c r="K21" s="0"/>
      <c r="L21" s="0"/>
      <c r="M21" s="0"/>
      <c r="N21" s="0"/>
      <c r="O21" s="0"/>
      <c r="P21" s="0"/>
      <c r="Q21" s="0"/>
      <c r="R21" s="0"/>
      <c r="S21" s="0"/>
      <c r="T21" s="0"/>
      <c r="U21" s="0"/>
      <c r="V21" s="0"/>
    </row>
    <row r="22" customFormat="false" ht="19.85" hidden="false" customHeight="true" outlineLevel="0" collapsed="false">
      <c r="A22" s="0" t="n">
        <v>30</v>
      </c>
      <c r="B22" s="34" t="n">
        <v>28642</v>
      </c>
      <c r="C22" s="1" t="n">
        <v>735900</v>
      </c>
      <c r="D22" s="58" t="s">
        <v>41</v>
      </c>
      <c r="E22" s="33" t="n">
        <f aca="false">IF(D22="totale",(C22/(A22*24))/F22,IF(D22="marché libre",(C22/(A22*24))/G22,"spécifier histo"))</f>
        <v>0.464583333333333</v>
      </c>
      <c r="F22" s="59" t="n">
        <v>2200</v>
      </c>
      <c r="G22" s="59" t="n">
        <f aca="false">F22-H22</f>
        <v>2200</v>
      </c>
      <c r="H22" s="59"/>
      <c r="I22" s="0"/>
      <c r="J22" s="0"/>
      <c r="K22" s="0"/>
      <c r="L22" s="0"/>
      <c r="M22" s="0"/>
      <c r="N22" s="0"/>
      <c r="O22" s="0"/>
      <c r="P22" s="0"/>
      <c r="Q22" s="0"/>
      <c r="R22" s="0"/>
      <c r="S22" s="0"/>
      <c r="T22" s="0"/>
      <c r="U22" s="0"/>
      <c r="V22" s="0"/>
    </row>
    <row r="23" customFormat="false" ht="19.85" hidden="false" customHeight="true" outlineLevel="0" collapsed="false">
      <c r="A23" s="0" t="n">
        <v>31</v>
      </c>
      <c r="B23" s="31" t="n">
        <v>28672</v>
      </c>
      <c r="C23" s="1" t="n">
        <v>214200</v>
      </c>
      <c r="D23" s="58" t="s">
        <v>41</v>
      </c>
      <c r="E23" s="33" t="n">
        <f aca="false">IF(D23="totale",(C23/(A23*24))/F23,IF(D23="marché libre",(C23/(A23*24))/G23,"spécifier histo"))</f>
        <v>0.130865102639296</v>
      </c>
      <c r="F23" s="59" t="n">
        <v>2200</v>
      </c>
      <c r="G23" s="59" t="n">
        <f aca="false">F23-H23</f>
        <v>2200</v>
      </c>
      <c r="H23" s="59"/>
      <c r="I23" s="0"/>
      <c r="J23" s="0"/>
      <c r="K23" s="0"/>
      <c r="L23" s="0"/>
      <c r="M23" s="0"/>
      <c r="N23" s="0"/>
      <c r="O23" s="0"/>
      <c r="P23" s="0"/>
      <c r="Q23" s="0"/>
      <c r="R23" s="0"/>
      <c r="S23" s="0"/>
      <c r="T23" s="0"/>
      <c r="U23" s="0"/>
      <c r="V23" s="0"/>
    </row>
    <row r="24" customFormat="false" ht="19.85" hidden="false" customHeight="true" outlineLevel="0" collapsed="false">
      <c r="A24" s="0" t="n">
        <v>31</v>
      </c>
      <c r="B24" s="34" t="n">
        <v>28703</v>
      </c>
      <c r="C24" s="1" t="n">
        <v>26700</v>
      </c>
      <c r="D24" s="58" t="s">
        <v>41</v>
      </c>
      <c r="E24" s="33" t="n">
        <f aca="false">IF(D24="totale",(C24/(A24*24))/F24,IF(D24="marché libre",(C24/(A24*24))/G24,"spécifier histo"))</f>
        <v>0.0163123167155425</v>
      </c>
      <c r="F24" s="59" t="n">
        <v>2200</v>
      </c>
      <c r="G24" s="59" t="n">
        <f aca="false">F24-H24</f>
        <v>2200</v>
      </c>
      <c r="H24" s="59"/>
      <c r="I24" s="0"/>
      <c r="J24" s="0"/>
      <c r="K24" s="0"/>
      <c r="L24" s="0"/>
      <c r="M24" s="0"/>
      <c r="N24" s="0"/>
      <c r="O24" s="0"/>
      <c r="P24" s="0"/>
      <c r="Q24" s="0"/>
      <c r="R24" s="0"/>
      <c r="S24" s="0"/>
      <c r="T24" s="0"/>
      <c r="U24" s="0"/>
      <c r="V24" s="0"/>
    </row>
    <row r="25" customFormat="false" ht="19.85" hidden="false" customHeight="true" outlineLevel="0" collapsed="false">
      <c r="A25" s="0" t="n">
        <v>30</v>
      </c>
      <c r="B25" s="31" t="n">
        <v>28734</v>
      </c>
      <c r="C25" s="1" t="n">
        <v>268800</v>
      </c>
      <c r="D25" s="58" t="s">
        <v>41</v>
      </c>
      <c r="E25" s="33" t="n">
        <f aca="false">IF(D25="totale",(C25/(A25*24))/F25,IF(D25="marché libre",(C25/(A25*24))/G25,"spécifier histo"))</f>
        <v>0.16969696969697</v>
      </c>
      <c r="F25" s="59" t="n">
        <v>2200</v>
      </c>
      <c r="G25" s="59" t="n">
        <f aca="false">F25-H25</f>
        <v>2200</v>
      </c>
      <c r="H25" s="59"/>
      <c r="I25" s="0"/>
      <c r="J25" s="0"/>
      <c r="K25" s="0"/>
      <c r="L25" s="0"/>
      <c r="M25" s="0"/>
      <c r="N25" s="0"/>
      <c r="O25" s="0"/>
      <c r="P25" s="0"/>
      <c r="Q25" s="0"/>
      <c r="R25" s="0"/>
      <c r="S25" s="0"/>
      <c r="T25" s="0"/>
      <c r="U25" s="0"/>
      <c r="V25" s="0"/>
    </row>
    <row r="26" customFormat="false" ht="19.85" hidden="false" customHeight="true" outlineLevel="0" collapsed="false">
      <c r="A26" s="0" t="n">
        <v>31</v>
      </c>
      <c r="B26" s="34" t="n">
        <v>28764</v>
      </c>
      <c r="C26" s="1" t="n">
        <v>531900</v>
      </c>
      <c r="D26" s="58" t="s">
        <v>41</v>
      </c>
      <c r="E26" s="33" t="n">
        <f aca="false">IF(D26="totale",(C26/(A26*24))/F26,IF(D26="marché libre",(C26/(A26*24))/G26,"spécifier histo"))</f>
        <v>0.324963343108504</v>
      </c>
      <c r="F26" s="59" t="n">
        <v>2200</v>
      </c>
      <c r="G26" s="59" t="n">
        <f aca="false">F26-H26</f>
        <v>2200</v>
      </c>
      <c r="H26" s="59"/>
      <c r="I26" s="0"/>
      <c r="J26" s="0"/>
      <c r="K26" s="0"/>
      <c r="L26" s="0"/>
      <c r="M26" s="0"/>
      <c r="N26" s="0"/>
      <c r="O26" s="0"/>
      <c r="P26" s="0"/>
      <c r="Q26" s="0"/>
      <c r="R26" s="0"/>
      <c r="S26" s="0"/>
      <c r="T26" s="0"/>
      <c r="U26" s="0"/>
      <c r="V26" s="0"/>
    </row>
    <row r="27" customFormat="false" ht="19.85" hidden="false" customHeight="true" outlineLevel="0" collapsed="false">
      <c r="A27" s="0" t="n">
        <v>30</v>
      </c>
      <c r="B27" s="31" t="n">
        <v>28795</v>
      </c>
      <c r="C27" s="1" t="n">
        <v>404400</v>
      </c>
      <c r="D27" s="58" t="s">
        <v>41</v>
      </c>
      <c r="E27" s="33" t="n">
        <f aca="false">IF(D27="totale",(C27/(A27*24))/F27,IF(D27="marché libre",(C27/(A27*24))/G27,"spécifier histo"))</f>
        <v>0.25530303030303</v>
      </c>
      <c r="F27" s="59" t="n">
        <v>2200</v>
      </c>
      <c r="G27" s="59" t="n">
        <f aca="false">F27-H27</f>
        <v>2200</v>
      </c>
      <c r="H27" s="59"/>
      <c r="I27" s="0"/>
      <c r="J27" s="0"/>
      <c r="K27" s="0"/>
      <c r="L27" s="0"/>
      <c r="M27" s="0"/>
      <c r="N27" s="0"/>
      <c r="O27" s="0"/>
      <c r="P27" s="0"/>
      <c r="Q27" s="0"/>
      <c r="R27" s="0"/>
      <c r="S27" s="0"/>
      <c r="T27" s="0"/>
      <c r="U27" s="0"/>
      <c r="V27" s="0"/>
    </row>
    <row r="28" customFormat="false" ht="19.85" hidden="false" customHeight="true" outlineLevel="0" collapsed="false">
      <c r="A28" s="0" t="n">
        <v>31</v>
      </c>
      <c r="B28" s="34" t="n">
        <v>28825</v>
      </c>
      <c r="C28" s="1" t="n">
        <v>552900</v>
      </c>
      <c r="D28" s="58" t="s">
        <v>41</v>
      </c>
      <c r="E28" s="33" t="n">
        <f aca="false">IF(D28="totale",(C28/(A28*24))/F28,IF(D28="marché libre",(C28/(A28*24))/G28,"spécifier histo"))</f>
        <v>0.337793255131965</v>
      </c>
      <c r="F28" s="59" t="n">
        <v>2200</v>
      </c>
      <c r="G28" s="59" t="n">
        <f aca="false">F28-H28</f>
        <v>2200</v>
      </c>
      <c r="H28" s="59"/>
      <c r="I28" s="0"/>
      <c r="J28" s="0"/>
      <c r="K28" s="0"/>
      <c r="L28" s="0"/>
      <c r="M28" s="0"/>
      <c r="N28" s="0"/>
      <c r="O28" s="0"/>
      <c r="P28" s="0"/>
      <c r="Q28" s="0"/>
      <c r="R28" s="0"/>
      <c r="S28" s="0"/>
      <c r="T28" s="0"/>
      <c r="U28" s="0"/>
      <c r="V28" s="0"/>
    </row>
    <row r="29" customFormat="false" ht="19.85" hidden="false" customHeight="true" outlineLevel="0" collapsed="false">
      <c r="A29" s="0" t="n">
        <v>31</v>
      </c>
      <c r="B29" s="31" t="n">
        <v>28856</v>
      </c>
      <c r="C29" s="1" t="n">
        <v>449100</v>
      </c>
      <c r="D29" s="58" t="s">
        <v>41</v>
      </c>
      <c r="E29" s="33" t="n">
        <f aca="false">IF(D29="totale",(C29/(A29*24))/F29,IF(D29="marché libre",(C29/(A29*24))/G29,"spécifier histo"))</f>
        <v>0.274376832844575</v>
      </c>
      <c r="F29" s="59" t="n">
        <v>2200</v>
      </c>
      <c r="G29" s="59" t="n">
        <f aca="false">F29-H29</f>
        <v>2200</v>
      </c>
      <c r="H29" s="59"/>
      <c r="I29" s="0"/>
      <c r="J29" s="0"/>
      <c r="K29" s="0"/>
      <c r="L29" s="0"/>
      <c r="M29" s="0"/>
      <c r="N29" s="0"/>
      <c r="O29" s="0"/>
      <c r="P29" s="0"/>
      <c r="Q29" s="0"/>
      <c r="R29" s="0"/>
      <c r="S29" s="0"/>
      <c r="T29" s="0"/>
      <c r="U29" s="0"/>
      <c r="V29" s="0"/>
    </row>
    <row r="30" customFormat="false" ht="19.85" hidden="false" customHeight="true" outlineLevel="0" collapsed="false">
      <c r="A30" s="0" t="n">
        <v>28</v>
      </c>
      <c r="B30" s="34" t="n">
        <v>28887</v>
      </c>
      <c r="C30" s="1" t="n">
        <v>264600</v>
      </c>
      <c r="D30" s="58" t="s">
        <v>41</v>
      </c>
      <c r="E30" s="33" t="n">
        <f aca="false">IF(D30="totale",(C30/(A30*24))/F30,IF(D30="marché libre",(C30/(A30*24))/G30,"spécifier histo"))</f>
        <v>0.178977272727273</v>
      </c>
      <c r="F30" s="59" t="n">
        <v>2200</v>
      </c>
      <c r="G30" s="59" t="n">
        <f aca="false">F30-H30</f>
        <v>2200</v>
      </c>
      <c r="H30" s="59"/>
      <c r="I30" s="0"/>
      <c r="J30" s="0"/>
      <c r="K30" s="0"/>
      <c r="L30" s="0"/>
      <c r="M30" s="0"/>
      <c r="N30" s="0"/>
      <c r="O30" s="0"/>
      <c r="P30" s="0"/>
      <c r="Q30" s="0"/>
      <c r="R30" s="0"/>
      <c r="S30" s="0"/>
      <c r="T30" s="0"/>
      <c r="U30" s="0"/>
      <c r="V30" s="0"/>
    </row>
    <row r="31" customFormat="false" ht="19.85" hidden="false" customHeight="true" outlineLevel="0" collapsed="false">
      <c r="A31" s="0" t="n">
        <v>31</v>
      </c>
      <c r="B31" s="31" t="n">
        <v>28915</v>
      </c>
      <c r="C31" s="1" t="n">
        <v>699900</v>
      </c>
      <c r="D31" s="58" t="s">
        <v>41</v>
      </c>
      <c r="E31" s="33" t="n">
        <f aca="false">IF(D31="totale",(C31/(A31*24))/F31,IF(D31="marché libre",(C31/(A31*24))/G31,"spécifier histo"))</f>
        <v>0.427602639296188</v>
      </c>
      <c r="F31" s="59" t="n">
        <v>2200</v>
      </c>
      <c r="G31" s="59" t="n">
        <f aca="false">F31-H31</f>
        <v>2200</v>
      </c>
      <c r="H31" s="59"/>
      <c r="I31" s="0"/>
      <c r="J31" s="0"/>
      <c r="K31" s="0"/>
      <c r="L31" s="0"/>
      <c r="M31" s="0"/>
      <c r="N31" s="0"/>
      <c r="O31" s="0"/>
      <c r="P31" s="0"/>
      <c r="Q31" s="0"/>
      <c r="R31" s="0"/>
      <c r="S31" s="0"/>
      <c r="T31" s="0"/>
      <c r="U31" s="0"/>
      <c r="V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row>
    <row r="32" customFormat="false" ht="19.85" hidden="false" customHeight="true" outlineLevel="0" collapsed="false">
      <c r="A32" s="0" t="n">
        <v>30</v>
      </c>
      <c r="B32" s="34" t="n">
        <v>28946</v>
      </c>
      <c r="C32" s="1" t="n">
        <v>789900</v>
      </c>
      <c r="D32" s="58" t="s">
        <v>41</v>
      </c>
      <c r="E32" s="33" t="n">
        <f aca="false">IF(D32="totale",(C32/(A32*24))/F32,IF(D32="marché libre",(C32/(A32*24))/G32,"spécifier histo"))</f>
        <v>0.498674242424242</v>
      </c>
      <c r="F32" s="59" t="n">
        <v>2200</v>
      </c>
      <c r="G32" s="59" t="n">
        <f aca="false">F32-H32</f>
        <v>2200</v>
      </c>
      <c r="H32" s="59"/>
      <c r="I32" s="0"/>
      <c r="J32" s="0"/>
      <c r="K32" s="0"/>
      <c r="L32" s="0"/>
      <c r="M32" s="0"/>
      <c r="N32" s="0"/>
      <c r="O32" s="0"/>
      <c r="P32" s="0"/>
      <c r="Q32" s="0"/>
      <c r="R32" s="0"/>
      <c r="S32" s="0"/>
      <c r="T32" s="0"/>
      <c r="U32" s="0"/>
      <c r="V32" s="0"/>
      <c r="X32" s="1" t="n">
        <v>2005</v>
      </c>
      <c r="Y32" s="1" t="n">
        <v>2006</v>
      </c>
      <c r="Z32" s="1" t="n">
        <v>2007</v>
      </c>
      <c r="AA32" s="1" t="n">
        <v>2008</v>
      </c>
      <c r="AB32" s="1" t="n">
        <v>2009</v>
      </c>
      <c r="AC32" s="1" t="n">
        <v>2010</v>
      </c>
      <c r="AD32" s="1" t="n">
        <v>2011</v>
      </c>
      <c r="AE32" s="1" t="n">
        <v>2012</v>
      </c>
      <c r="AF32" s="1" t="n">
        <v>2013</v>
      </c>
      <c r="AG32" s="1" t="n">
        <v>2014</v>
      </c>
      <c r="AH32" s="1" t="n">
        <v>2015</v>
      </c>
      <c r="AI32" s="1" t="n">
        <v>2016</v>
      </c>
      <c r="AJ32" s="1" t="n">
        <v>2017</v>
      </c>
      <c r="AL32" s="0"/>
      <c r="AM32" s="0"/>
      <c r="AN32" s="0"/>
      <c r="AO32" s="0"/>
      <c r="AP32" s="0"/>
      <c r="AQ32" s="0"/>
      <c r="AR32" s="0"/>
      <c r="AS32" s="0"/>
      <c r="AT32" s="0"/>
      <c r="AU32" s="0"/>
      <c r="AV32" s="0"/>
      <c r="AW32" s="0"/>
      <c r="AX32" s="0"/>
      <c r="AY32" s="0"/>
    </row>
    <row r="33" customFormat="false" ht="19.85" hidden="false" customHeight="true" outlineLevel="0" collapsed="false">
      <c r="A33" s="0" t="n">
        <v>31</v>
      </c>
      <c r="B33" s="31" t="n">
        <v>28976</v>
      </c>
      <c r="C33" s="1" t="n">
        <v>789900</v>
      </c>
      <c r="D33" s="58" t="s">
        <v>41</v>
      </c>
      <c r="E33" s="33" t="n">
        <f aca="false">IF(D33="totale",(C33/(A33*24))/F33,IF(D33="marché libre",(C33/(A33*24))/G33,"spécifier histo"))</f>
        <v>0.48258797653959</v>
      </c>
      <c r="F33" s="59" t="n">
        <v>2200</v>
      </c>
      <c r="G33" s="59" t="n">
        <f aca="false">F33-H33</f>
        <v>2200</v>
      </c>
      <c r="H33" s="59"/>
      <c r="I33" s="0"/>
      <c r="J33" s="0"/>
      <c r="K33" s="0"/>
      <c r="L33" s="0"/>
      <c r="M33" s="0"/>
      <c r="N33" s="0"/>
      <c r="O33" s="0"/>
      <c r="P33" s="0"/>
      <c r="Q33" s="0"/>
      <c r="R33" s="0"/>
      <c r="S33" s="0"/>
      <c r="T33" s="0"/>
      <c r="U33" s="0"/>
      <c r="V33" s="0"/>
      <c r="W33" s="0"/>
      <c r="X33" s="0"/>
      <c r="Y33" s="0"/>
      <c r="Z33" s="0"/>
      <c r="AA33" s="0"/>
      <c r="AB33" s="0"/>
      <c r="AC33" s="0"/>
      <c r="AD33" s="0"/>
      <c r="AE33" s="0"/>
      <c r="AF33" s="0"/>
      <c r="AG33" s="0"/>
      <c r="AH33" s="0"/>
      <c r="AL33" s="0"/>
      <c r="AM33" s="0"/>
      <c r="AN33" s="0"/>
      <c r="AO33" s="0"/>
      <c r="AP33" s="0"/>
      <c r="AQ33" s="0"/>
      <c r="AR33" s="0"/>
      <c r="AS33" s="0"/>
      <c r="AT33" s="0"/>
      <c r="AU33" s="0"/>
      <c r="AV33" s="0"/>
      <c r="AW33" s="0"/>
      <c r="AX33" s="0"/>
      <c r="AY33" s="0"/>
    </row>
    <row r="34" customFormat="false" ht="19.85" hidden="false" customHeight="true" outlineLevel="0" collapsed="false">
      <c r="A34" s="0" t="n">
        <v>30</v>
      </c>
      <c r="B34" s="34" t="n">
        <v>29007</v>
      </c>
      <c r="C34" s="1" t="n">
        <v>719100</v>
      </c>
      <c r="D34" s="58" t="s">
        <v>41</v>
      </c>
      <c r="E34" s="33" t="n">
        <f aca="false">IF(D34="totale",(C34/(A34*24))/F34,IF(D34="marché libre",(C34/(A34*24))/G34,"spécifier histo"))</f>
        <v>0.453977272727273</v>
      </c>
      <c r="F34" s="59" t="n">
        <v>2200</v>
      </c>
      <c r="G34" s="59" t="n">
        <f aca="false">F34-H34</f>
        <v>2200</v>
      </c>
      <c r="H34" s="59"/>
      <c r="I34" s="0"/>
      <c r="J34" s="0"/>
      <c r="K34" s="0"/>
      <c r="L34" s="0"/>
      <c r="M34" s="0"/>
      <c r="N34" s="0"/>
      <c r="O34" s="0"/>
      <c r="P34" s="0"/>
      <c r="Q34" s="0"/>
      <c r="R34" s="0"/>
      <c r="S34" s="0"/>
      <c r="T34" s="0"/>
      <c r="U34" s="0"/>
      <c r="V34" s="0"/>
      <c r="W34" s="0"/>
      <c r="X34" s="0"/>
      <c r="Y34" s="0"/>
      <c r="Z34" s="0"/>
      <c r="AA34" s="0"/>
      <c r="AB34" s="0"/>
      <c r="AC34" s="0"/>
      <c r="AD34" s="0"/>
      <c r="AE34" s="0"/>
      <c r="AF34" s="0"/>
      <c r="AG34" s="0"/>
      <c r="AH34" s="0"/>
      <c r="AL34" s="0"/>
      <c r="AM34" s="0"/>
      <c r="AN34" s="0"/>
      <c r="AO34" s="0"/>
      <c r="AP34" s="0"/>
      <c r="AQ34" s="0"/>
      <c r="AR34" s="0"/>
      <c r="AS34" s="0"/>
      <c r="AT34" s="0"/>
      <c r="AU34" s="0"/>
      <c r="AV34" s="0"/>
      <c r="AW34" s="0"/>
      <c r="AX34" s="0"/>
      <c r="AY34" s="0"/>
    </row>
    <row r="35" customFormat="false" ht="19.85" hidden="false" customHeight="true" outlineLevel="0" collapsed="false">
      <c r="A35" s="0" t="n">
        <v>31</v>
      </c>
      <c r="B35" s="31" t="n">
        <v>29037</v>
      </c>
      <c r="C35" s="1" t="n">
        <v>219900</v>
      </c>
      <c r="D35" s="58" t="s">
        <v>41</v>
      </c>
      <c r="E35" s="33" t="n">
        <f aca="false">IF(D35="totale",(C35/(A35*24))/F35,IF(D35="marché libre",(C35/(A35*24))/G35,"spécifier histo"))</f>
        <v>0.134347507331378</v>
      </c>
      <c r="F35" s="59" t="n">
        <v>2200</v>
      </c>
      <c r="G35" s="59" t="n">
        <f aca="false">F35-H35</f>
        <v>2200</v>
      </c>
      <c r="H35" s="59"/>
      <c r="I35" s="0"/>
      <c r="J35" s="0"/>
      <c r="K35" s="0"/>
      <c r="L35" s="0"/>
      <c r="M35" s="0"/>
      <c r="N35" s="0"/>
      <c r="O35" s="0"/>
      <c r="P35" s="0"/>
      <c r="Q35" s="0"/>
      <c r="R35" s="0"/>
      <c r="S35" s="0"/>
      <c r="T35" s="0"/>
      <c r="U35" s="0"/>
      <c r="V35" s="0"/>
      <c r="W35" s="0"/>
      <c r="X35" s="0"/>
      <c r="Y35" s="0"/>
      <c r="Z35" s="0"/>
      <c r="AA35" s="0"/>
      <c r="AB35" s="0"/>
      <c r="AC35" s="0"/>
      <c r="AD35" s="0"/>
      <c r="AE35" s="0"/>
      <c r="AF35" s="0"/>
      <c r="AG35" s="0"/>
      <c r="AH35" s="0"/>
      <c r="AL35" s="0"/>
      <c r="AM35" s="0"/>
      <c r="AN35" s="0"/>
      <c r="AO35" s="0"/>
      <c r="AP35" s="0"/>
      <c r="AQ35" s="0"/>
      <c r="AR35" s="0"/>
      <c r="AS35" s="0"/>
      <c r="AT35" s="0"/>
      <c r="AU35" s="0"/>
      <c r="AV35" s="0"/>
      <c r="AW35" s="0"/>
      <c r="AX35" s="0"/>
      <c r="AY35" s="0"/>
    </row>
    <row r="36" customFormat="false" ht="19.85" hidden="false" customHeight="true" outlineLevel="0" collapsed="false">
      <c r="A36" s="0" t="n">
        <v>31</v>
      </c>
      <c r="B36" s="34" t="n">
        <v>29068</v>
      </c>
      <c r="C36" s="1" t="n">
        <v>96600</v>
      </c>
      <c r="D36" s="58" t="s">
        <v>41</v>
      </c>
      <c r="E36" s="33" t="n">
        <f aca="false">IF(D36="totale",(C36/(A36*24))/F36,IF(D36="marché libre",(C36/(A36*24))/G36,"spécifier histo"))</f>
        <v>0.0590175953079179</v>
      </c>
      <c r="F36" s="59" t="n">
        <v>2200</v>
      </c>
      <c r="G36" s="59" t="n">
        <f aca="false">F36-H36</f>
        <v>2200</v>
      </c>
      <c r="H36" s="59"/>
      <c r="I36" s="0"/>
      <c r="J36" s="0"/>
      <c r="K36" s="0"/>
      <c r="L36" s="0"/>
      <c r="M36" s="0"/>
      <c r="N36" s="0"/>
      <c r="O36" s="0"/>
      <c r="P36" s="0"/>
      <c r="Q36" s="0"/>
      <c r="R36" s="0"/>
      <c r="S36" s="0"/>
      <c r="T36" s="0"/>
      <c r="U36" s="0"/>
      <c r="V36" s="0"/>
      <c r="W36" s="0"/>
      <c r="X36" s="0"/>
      <c r="Y36" s="0"/>
      <c r="Z36" s="0"/>
      <c r="AA36" s="0"/>
      <c r="AB36" s="0"/>
      <c r="AC36" s="0"/>
      <c r="AD36" s="0"/>
      <c r="AE36" s="0"/>
      <c r="AF36" s="0"/>
      <c r="AG36" s="0"/>
      <c r="AH36" s="0"/>
      <c r="AL36" s="0"/>
      <c r="AM36" s="0"/>
      <c r="AN36" s="0"/>
      <c r="AO36" s="0"/>
      <c r="AP36" s="0"/>
      <c r="AQ36" s="0"/>
      <c r="AR36" s="0"/>
      <c r="AS36" s="0"/>
      <c r="AT36" s="0"/>
      <c r="AU36" s="0"/>
      <c r="AV36" s="0"/>
      <c r="AW36" s="0"/>
      <c r="AX36" s="0"/>
      <c r="AY36" s="0"/>
    </row>
    <row r="37" customFormat="false" ht="19.85" hidden="false" customHeight="true" outlineLevel="0" collapsed="false">
      <c r="A37" s="0" t="n">
        <v>30</v>
      </c>
      <c r="B37" s="31" t="n">
        <v>29099</v>
      </c>
      <c r="C37" s="1" t="n">
        <v>73800</v>
      </c>
      <c r="D37" s="58" t="s">
        <v>41</v>
      </c>
      <c r="E37" s="33" t="n">
        <f aca="false">IF(D37="totale",(C37/(A37*24))/F37,IF(D37="marché libre",(C37/(A37*24))/G37,"spécifier histo"))</f>
        <v>0.0465909090909091</v>
      </c>
      <c r="F37" s="59" t="n">
        <v>2200</v>
      </c>
      <c r="G37" s="59" t="n">
        <f aca="false">F37-H37</f>
        <v>2200</v>
      </c>
      <c r="H37" s="59"/>
      <c r="I37" s="0"/>
      <c r="J37" s="0"/>
      <c r="K37" s="0"/>
      <c r="L37" s="0"/>
      <c r="M37" s="0"/>
      <c r="N37" s="0"/>
      <c r="O37" s="0"/>
      <c r="P37" s="0"/>
      <c r="Q37" s="0"/>
      <c r="R37" s="0"/>
      <c r="S37" s="0"/>
      <c r="T37" s="0"/>
      <c r="U37" s="0"/>
      <c r="V37" s="0"/>
      <c r="W37" s="0"/>
      <c r="X37" s="0"/>
      <c r="Y37" s="0"/>
      <c r="Z37" s="0"/>
      <c r="AA37" s="0"/>
      <c r="AB37" s="0"/>
      <c r="AC37" s="0"/>
      <c r="AD37" s="0"/>
      <c r="AE37" s="0"/>
      <c r="AF37" s="0"/>
      <c r="AG37" s="0"/>
      <c r="AH37" s="0"/>
      <c r="AL37" s="0"/>
      <c r="AM37" s="0"/>
      <c r="AN37" s="0"/>
      <c r="AO37" s="0"/>
      <c r="AP37" s="0"/>
      <c r="AQ37" s="0"/>
      <c r="AR37" s="0"/>
      <c r="AS37" s="0"/>
      <c r="AT37" s="0"/>
      <c r="AU37" s="0"/>
      <c r="AV37" s="0"/>
      <c r="AW37" s="0"/>
      <c r="AX37" s="0"/>
      <c r="AY37" s="0"/>
    </row>
    <row r="38" customFormat="false" ht="19.85" hidden="false" customHeight="true" outlineLevel="0" collapsed="false">
      <c r="A38" s="0" t="n">
        <v>31</v>
      </c>
      <c r="B38" s="34" t="n">
        <v>29129</v>
      </c>
      <c r="C38" s="1" t="n">
        <v>368100</v>
      </c>
      <c r="D38" s="58" t="s">
        <v>41</v>
      </c>
      <c r="E38" s="33" t="n">
        <f aca="false">IF(D38="totale",(C38/(A38*24))/F38,IF(D38="marché libre",(C38/(A38*24))/G38,"spécifier histo"))</f>
        <v>0.224890029325513</v>
      </c>
      <c r="F38" s="59" t="n">
        <v>2200</v>
      </c>
      <c r="G38" s="59" t="n">
        <f aca="false">F38-H38</f>
        <v>2200</v>
      </c>
      <c r="H38" s="59"/>
      <c r="I38" s="0"/>
      <c r="J38" s="0"/>
      <c r="K38" s="0"/>
      <c r="L38" s="0"/>
      <c r="M38" s="0"/>
      <c r="N38" s="0"/>
      <c r="O38" s="0"/>
      <c r="P38" s="0"/>
      <c r="Q38" s="0"/>
      <c r="R38" s="0"/>
      <c r="S38" s="0"/>
      <c r="T38" s="0"/>
      <c r="U38" s="0"/>
      <c r="V38" s="0"/>
      <c r="W38" s="0"/>
      <c r="X38" s="0"/>
      <c r="Y38" s="0"/>
      <c r="Z38" s="0"/>
      <c r="AA38" s="0"/>
      <c r="AB38" s="0"/>
      <c r="AC38" s="0"/>
      <c r="AD38" s="0"/>
      <c r="AE38" s="0"/>
      <c r="AF38" s="0"/>
      <c r="AG38" s="0"/>
      <c r="AL38" s="0"/>
      <c r="AM38" s="0"/>
      <c r="AN38" s="0"/>
      <c r="AO38" s="0"/>
      <c r="AP38" s="0"/>
      <c r="AQ38" s="0"/>
      <c r="AR38" s="0"/>
      <c r="AS38" s="0"/>
      <c r="AT38" s="0"/>
      <c r="AU38" s="0"/>
      <c r="AV38" s="0"/>
      <c r="AW38" s="0"/>
      <c r="AX38" s="0"/>
      <c r="AY38" s="0"/>
    </row>
    <row r="39" customFormat="false" ht="19.85" hidden="false" customHeight="true" outlineLevel="0" collapsed="false">
      <c r="A39" s="0" t="n">
        <v>30</v>
      </c>
      <c r="B39" s="31" t="n">
        <v>29160</v>
      </c>
      <c r="C39" s="1" t="n">
        <v>596100</v>
      </c>
      <c r="D39" s="58" t="s">
        <v>41</v>
      </c>
      <c r="E39" s="33" t="n">
        <f aca="false">IF(D39="totale",(C39/(A39*24))/F39,IF(D39="marché libre",(C39/(A39*24))/G39,"spécifier histo"))</f>
        <v>0.376325757575758</v>
      </c>
      <c r="F39" s="59" t="n">
        <v>2200</v>
      </c>
      <c r="G39" s="59" t="n">
        <f aca="false">F39-H39</f>
        <v>2200</v>
      </c>
      <c r="H39" s="59"/>
      <c r="I39" s="0"/>
      <c r="J39" s="0"/>
      <c r="K39" s="0"/>
      <c r="L39" s="0"/>
      <c r="M39" s="0"/>
      <c r="N39" s="0"/>
      <c r="O39" s="0"/>
      <c r="P39" s="0"/>
      <c r="Q39" s="0"/>
      <c r="R39" s="0"/>
      <c r="S39" s="0"/>
      <c r="T39" s="0"/>
      <c r="U39" s="0"/>
      <c r="V39" s="0"/>
      <c r="W39" s="0"/>
      <c r="X39" s="0"/>
      <c r="Y39" s="0"/>
      <c r="Z39" s="0"/>
      <c r="AA39" s="0"/>
      <c r="AB39" s="0"/>
      <c r="AC39" s="0"/>
      <c r="AD39" s="0"/>
      <c r="AE39" s="0"/>
      <c r="AF39" s="0"/>
      <c r="AG39" s="0"/>
      <c r="AL39" s="0"/>
      <c r="AM39" s="0"/>
      <c r="AN39" s="0"/>
      <c r="AO39" s="0"/>
      <c r="AP39" s="0"/>
      <c r="AQ39" s="0"/>
      <c r="AR39" s="0"/>
      <c r="AS39" s="0"/>
      <c r="AT39" s="0"/>
      <c r="AU39" s="0"/>
      <c r="AV39" s="0"/>
      <c r="AW39" s="0"/>
      <c r="AX39" s="0"/>
      <c r="AY39" s="0"/>
    </row>
    <row r="40" customFormat="false" ht="19.85" hidden="false" customHeight="true" outlineLevel="0" collapsed="false">
      <c r="A40" s="0" t="n">
        <v>31</v>
      </c>
      <c r="B40" s="34" t="n">
        <v>29190</v>
      </c>
      <c r="C40" s="1" t="n">
        <v>502800</v>
      </c>
      <c r="D40" s="58" t="s">
        <v>41</v>
      </c>
      <c r="E40" s="33" t="n">
        <f aca="false">IF(D40="totale",(C40/(A40*24))/F40,IF(D40="marché libre",(C40/(A40*24))/G40,"spécifier histo"))</f>
        <v>0.307184750733138</v>
      </c>
      <c r="F40" s="59" t="n">
        <v>2200</v>
      </c>
      <c r="G40" s="59" t="n">
        <f aca="false">F40-H40</f>
        <v>2200</v>
      </c>
      <c r="H40" s="59"/>
      <c r="I40" s="0"/>
      <c r="J40" s="0"/>
      <c r="K40" s="0"/>
      <c r="L40" s="0"/>
      <c r="M40" s="0"/>
      <c r="N40" s="0"/>
      <c r="O40" s="0"/>
      <c r="P40" s="0"/>
      <c r="Q40" s="0"/>
      <c r="R40" s="0"/>
      <c r="S40" s="0"/>
      <c r="T40" s="0"/>
      <c r="U40" s="0"/>
      <c r="V40" s="0"/>
      <c r="W40" s="0"/>
      <c r="X40" s="0"/>
      <c r="Y40" s="0"/>
      <c r="Z40" s="0"/>
      <c r="AA40" s="0"/>
      <c r="AB40" s="0"/>
      <c r="AC40" s="0"/>
      <c r="AD40" s="0"/>
      <c r="AE40" s="0"/>
      <c r="AF40" s="0"/>
      <c r="AG40" s="0"/>
      <c r="AL40" s="0"/>
      <c r="AM40" s="0"/>
      <c r="AN40" s="0"/>
      <c r="AO40" s="0"/>
      <c r="AP40" s="0"/>
      <c r="AQ40" s="0"/>
      <c r="AR40" s="0"/>
      <c r="AS40" s="0"/>
      <c r="AT40" s="0"/>
      <c r="AU40" s="0"/>
      <c r="AV40" s="0"/>
      <c r="AW40" s="0"/>
      <c r="AX40" s="0"/>
      <c r="AY40" s="0"/>
    </row>
    <row r="41" customFormat="false" ht="19.85" hidden="false" customHeight="true" outlineLevel="0" collapsed="false">
      <c r="A41" s="0" t="n">
        <v>31</v>
      </c>
      <c r="B41" s="31" t="n">
        <v>29221</v>
      </c>
      <c r="C41" s="1" t="n">
        <v>515700</v>
      </c>
      <c r="D41" s="58" t="s">
        <v>41</v>
      </c>
      <c r="E41" s="33" t="n">
        <f aca="false">IF(D41="totale",(C41/(A41*24))/F41,IF(D41="marché libre",(C41/(A41*24))/G41,"spécifier histo"))</f>
        <v>0.315065982404692</v>
      </c>
      <c r="F41" s="59" t="n">
        <v>2200</v>
      </c>
      <c r="G41" s="59" t="n">
        <f aca="false">F41-H41</f>
        <v>2200</v>
      </c>
      <c r="H41" s="59"/>
      <c r="I41" s="0"/>
      <c r="J41" s="0"/>
      <c r="K41" s="0"/>
      <c r="L41" s="0"/>
      <c r="M41" s="0"/>
      <c r="N41" s="0"/>
      <c r="O41" s="0"/>
      <c r="P41" s="0"/>
      <c r="Q41" s="0"/>
      <c r="R41" s="0"/>
      <c r="S41" s="0"/>
      <c r="T41" s="0"/>
      <c r="U41" s="0"/>
      <c r="V41" s="0"/>
      <c r="W41" s="0"/>
      <c r="X41" s="0"/>
      <c r="Y41" s="0"/>
      <c r="Z41" s="0"/>
      <c r="AA41" s="0"/>
      <c r="AB41" s="0"/>
      <c r="AC41" s="0"/>
      <c r="AD41" s="0"/>
      <c r="AE41" s="0"/>
      <c r="AF41" s="0"/>
      <c r="AG41" s="0"/>
      <c r="AL41" s="0"/>
      <c r="AM41" s="0"/>
      <c r="AN41" s="0"/>
      <c r="AO41" s="0"/>
      <c r="AP41" s="0"/>
      <c r="AQ41" s="0"/>
      <c r="AR41" s="0"/>
      <c r="AS41" s="0"/>
      <c r="AT41" s="0"/>
      <c r="AU41" s="0"/>
      <c r="AV41" s="0"/>
      <c r="AW41" s="0"/>
      <c r="AX41" s="0"/>
      <c r="AY41" s="0"/>
    </row>
    <row r="42" customFormat="false" ht="19.85" hidden="false" customHeight="true" outlineLevel="0" collapsed="false">
      <c r="A42" s="0" t="n">
        <v>28</v>
      </c>
      <c r="B42" s="34" t="n">
        <v>29252</v>
      </c>
      <c r="C42" s="1" t="n">
        <v>557400</v>
      </c>
      <c r="D42" s="58" t="s">
        <v>41</v>
      </c>
      <c r="E42" s="33" t="n">
        <f aca="false">IF(D42="totale",(C42/(A42*24))/F42,IF(D42="marché libre",(C42/(A42*24))/G42,"spécifier histo"))</f>
        <v>0.377029220779221</v>
      </c>
      <c r="F42" s="59" t="n">
        <v>2200</v>
      </c>
      <c r="G42" s="59" t="n">
        <f aca="false">F42-H42</f>
        <v>2200</v>
      </c>
      <c r="H42" s="59"/>
      <c r="I42" s="0"/>
      <c r="J42" s="0"/>
      <c r="K42" s="0"/>
      <c r="L42" s="0"/>
      <c r="M42" s="0"/>
      <c r="N42" s="0"/>
      <c r="O42" s="0"/>
      <c r="P42" s="0"/>
      <c r="Q42" s="0"/>
      <c r="R42" s="0"/>
      <c r="S42" s="0"/>
      <c r="T42" s="0"/>
      <c r="U42" s="0"/>
      <c r="V42" s="0"/>
      <c r="W42" s="0"/>
      <c r="X42" s="0"/>
      <c r="Y42" s="0"/>
      <c r="Z42" s="0"/>
      <c r="AA42" s="0"/>
      <c r="AB42" s="0"/>
      <c r="AC42" s="0"/>
      <c r="AD42" s="0"/>
      <c r="AE42" s="0"/>
      <c r="AF42" s="0"/>
      <c r="AG42" s="0"/>
      <c r="AL42" s="0"/>
      <c r="AM42" s="0"/>
      <c r="AN42" s="0"/>
      <c r="AO42" s="0"/>
      <c r="AP42" s="0"/>
      <c r="AQ42" s="0"/>
      <c r="AR42" s="0"/>
      <c r="AS42" s="0"/>
      <c r="AT42" s="0"/>
      <c r="AU42" s="0"/>
      <c r="AV42" s="0"/>
      <c r="AW42" s="0"/>
      <c r="AX42" s="0"/>
      <c r="AY42" s="0"/>
    </row>
    <row r="43" customFormat="false" ht="19.85" hidden="false" customHeight="true" outlineLevel="0" collapsed="false">
      <c r="A43" s="0" t="n">
        <v>31</v>
      </c>
      <c r="B43" s="31" t="n">
        <v>29281</v>
      </c>
      <c r="C43" s="1" t="n">
        <v>924300</v>
      </c>
      <c r="D43" s="58" t="s">
        <v>41</v>
      </c>
      <c r="E43" s="33" t="n">
        <f aca="false">IF(D43="totale",(C43/(A43*24))/F43,IF(D43="marché libre",(C43/(A43*24))/G43,"spécifier histo"))</f>
        <v>0.564699413489736</v>
      </c>
      <c r="F43" s="59" t="n">
        <v>2200</v>
      </c>
      <c r="G43" s="59" t="n">
        <f aca="false">F43-H43</f>
        <v>2200</v>
      </c>
      <c r="H43" s="59"/>
      <c r="I43" s="0"/>
      <c r="J43" s="0"/>
      <c r="K43" s="0"/>
      <c r="L43" s="0"/>
      <c r="M43" s="0"/>
      <c r="N43" s="0"/>
      <c r="O43" s="0"/>
      <c r="P43" s="0"/>
      <c r="Q43" s="0"/>
      <c r="R43" s="0"/>
      <c r="S43" s="0"/>
      <c r="T43" s="0"/>
      <c r="U43" s="0"/>
      <c r="V43" s="0"/>
      <c r="W43" s="0"/>
      <c r="X43" s="0"/>
      <c r="Y43" s="0"/>
      <c r="Z43" s="0"/>
      <c r="AA43" s="0"/>
      <c r="AB43" s="0"/>
      <c r="AC43" s="0"/>
      <c r="AD43" s="0"/>
      <c r="AE43" s="0"/>
      <c r="AF43" s="0"/>
      <c r="AG43" s="0"/>
      <c r="AL43" s="0"/>
      <c r="AM43" s="0"/>
      <c r="AN43" s="0"/>
      <c r="AO43" s="0"/>
      <c r="AP43" s="0"/>
      <c r="AQ43" s="0"/>
      <c r="AR43" s="0"/>
      <c r="AS43" s="0"/>
      <c r="AT43" s="0"/>
      <c r="AU43" s="0"/>
      <c r="AV43" s="0"/>
      <c r="AW43" s="0"/>
      <c r="AX43" s="0"/>
      <c r="AY43" s="0"/>
    </row>
    <row r="44" customFormat="false" ht="19.85" hidden="false" customHeight="true" outlineLevel="0" collapsed="false">
      <c r="A44" s="0" t="n">
        <v>30</v>
      </c>
      <c r="B44" s="34" t="n">
        <v>29312</v>
      </c>
      <c r="C44" s="1" t="n">
        <v>617700</v>
      </c>
      <c r="D44" s="58" t="s">
        <v>41</v>
      </c>
      <c r="E44" s="33" t="n">
        <f aca="false">IF(D44="totale",(C44/(A44*24))/F44,IF(D44="marché libre",(C44/(A44*24))/G44,"spécifier histo"))</f>
        <v>0.389962121212121</v>
      </c>
      <c r="F44" s="59" t="n">
        <v>2200</v>
      </c>
      <c r="G44" s="59" t="n">
        <f aca="false">F44-H44</f>
        <v>2200</v>
      </c>
      <c r="H44" s="59"/>
      <c r="I44" s="0"/>
      <c r="J44" s="0"/>
      <c r="K44" s="0"/>
      <c r="L44" s="0"/>
      <c r="M44" s="0"/>
      <c r="N44" s="0"/>
      <c r="O44" s="0"/>
      <c r="P44" s="0"/>
      <c r="Q44" s="0"/>
      <c r="R44" s="0"/>
      <c r="S44" s="0"/>
      <c r="T44" s="0"/>
      <c r="U44" s="0"/>
      <c r="V44" s="0"/>
      <c r="W44" s="0"/>
      <c r="X44" s="0"/>
      <c r="Y44" s="0"/>
      <c r="Z44" s="0"/>
      <c r="AA44" s="0"/>
      <c r="AB44" s="0"/>
      <c r="AC44" s="0"/>
      <c r="AD44" s="0"/>
      <c r="AE44" s="0"/>
      <c r="AF44" s="0"/>
      <c r="AG44" s="0"/>
      <c r="AL44" s="0"/>
      <c r="AM44" s="0"/>
      <c r="AN44" s="0"/>
      <c r="AO44" s="0"/>
      <c r="AP44" s="0"/>
      <c r="AQ44" s="0"/>
      <c r="AR44" s="0"/>
      <c r="AS44" s="0"/>
      <c r="AT44" s="0"/>
      <c r="AU44" s="0"/>
      <c r="AV44" s="0"/>
      <c r="AW44" s="0"/>
      <c r="AX44" s="0"/>
      <c r="AY44" s="0"/>
    </row>
    <row r="45" customFormat="false" ht="19.85" hidden="false" customHeight="true" outlineLevel="0" collapsed="false">
      <c r="A45" s="0" t="n">
        <v>31</v>
      </c>
      <c r="B45" s="31" t="n">
        <v>29342</v>
      </c>
      <c r="C45" s="1" t="n">
        <v>728700</v>
      </c>
      <c r="D45" s="58" t="s">
        <v>41</v>
      </c>
      <c r="E45" s="33" t="n">
        <f aca="false">IF(D45="totale",(C45/(A45*24))/F45,IF(D45="marché libre",(C45/(A45*24))/G45,"spécifier histo"))</f>
        <v>0.445197947214076</v>
      </c>
      <c r="F45" s="59" t="n">
        <v>2200</v>
      </c>
      <c r="G45" s="59" t="n">
        <f aca="false">F45-H45</f>
        <v>2200</v>
      </c>
      <c r="H45" s="59"/>
      <c r="I45" s="0"/>
      <c r="J45" s="0"/>
      <c r="K45" s="0"/>
      <c r="L45" s="0"/>
      <c r="M45" s="0"/>
      <c r="N45" s="0"/>
      <c r="O45" s="0"/>
      <c r="P45" s="0"/>
      <c r="Q45" s="0"/>
      <c r="R45" s="0"/>
      <c r="S45" s="0"/>
      <c r="T45" s="0"/>
      <c r="U45" s="0"/>
      <c r="V45" s="0"/>
      <c r="X45" s="0"/>
      <c r="AB45" s="0"/>
      <c r="AE45" s="0"/>
    </row>
    <row r="46" customFormat="false" ht="19.85" hidden="false" customHeight="true" outlineLevel="0" collapsed="false">
      <c r="A46" s="0" t="n">
        <v>30</v>
      </c>
      <c r="B46" s="34" t="n">
        <v>29373</v>
      </c>
      <c r="C46" s="1" t="n">
        <v>820500</v>
      </c>
      <c r="D46" s="58" t="s">
        <v>41</v>
      </c>
      <c r="E46" s="33" t="n">
        <f aca="false">IF(D46="totale",(C46/(A46*24))/F46,IF(D46="marché libre",(C46/(A46*24))/G46,"spécifier histo"))</f>
        <v>0.517992424242424</v>
      </c>
      <c r="F46" s="59" t="n">
        <v>2200</v>
      </c>
      <c r="G46" s="59" t="n">
        <f aca="false">F46-H46</f>
        <v>2200</v>
      </c>
      <c r="H46" s="59"/>
      <c r="I46" s="0"/>
      <c r="J46" s="0"/>
      <c r="K46" s="0"/>
      <c r="L46" s="0"/>
      <c r="M46" s="0"/>
      <c r="N46" s="0"/>
      <c r="O46" s="0"/>
      <c r="P46" s="0"/>
      <c r="Q46" s="0"/>
      <c r="R46" s="0"/>
      <c r="S46" s="0"/>
      <c r="T46" s="0"/>
      <c r="U46" s="0"/>
      <c r="V46" s="0"/>
      <c r="X46" s="0"/>
      <c r="AB46" s="0"/>
      <c r="AE46" s="0"/>
    </row>
    <row r="47" customFormat="false" ht="19.85" hidden="false" customHeight="true" outlineLevel="0" collapsed="false">
      <c r="A47" s="0" t="n">
        <v>31</v>
      </c>
      <c r="B47" s="31" t="n">
        <v>29403</v>
      </c>
      <c r="C47" s="1" t="n">
        <v>574500</v>
      </c>
      <c r="D47" s="58" t="s">
        <v>41</v>
      </c>
      <c r="E47" s="33" t="n">
        <f aca="false">IF(D47="totale",(C47/(A47*24))/F47,IF(D47="marché libre",(C47/(A47*24))/G47,"spécifier histo"))</f>
        <v>0.350989736070381</v>
      </c>
      <c r="F47" s="59" t="n">
        <v>2200</v>
      </c>
      <c r="G47" s="59" t="n">
        <f aca="false">F47-H47</f>
        <v>2200</v>
      </c>
      <c r="H47" s="59"/>
      <c r="I47" s="0"/>
      <c r="J47" s="0"/>
      <c r="K47" s="0"/>
      <c r="L47" s="0"/>
      <c r="M47" s="0"/>
      <c r="N47" s="0"/>
      <c r="O47" s="0"/>
      <c r="P47" s="0"/>
      <c r="Q47" s="0"/>
      <c r="R47" s="0"/>
      <c r="S47" s="0"/>
      <c r="T47" s="0"/>
      <c r="U47" s="0"/>
      <c r="V47" s="0"/>
      <c r="X47" s="0"/>
      <c r="AB47" s="0"/>
      <c r="AE47" s="0"/>
    </row>
    <row r="48" customFormat="false" ht="19.85" hidden="false" customHeight="true" outlineLevel="0" collapsed="false">
      <c r="A48" s="0" t="n">
        <v>31</v>
      </c>
      <c r="B48" s="34" t="n">
        <v>29434</v>
      </c>
      <c r="C48" s="1" t="n">
        <v>155700</v>
      </c>
      <c r="D48" s="58" t="s">
        <v>41</v>
      </c>
      <c r="E48" s="33" t="n">
        <f aca="false">IF(D48="totale",(C48/(A48*24))/F48,IF(D48="marché libre",(C48/(A48*24))/G48,"spécifier histo"))</f>
        <v>0.095124633431085</v>
      </c>
      <c r="F48" s="59" t="n">
        <v>2200</v>
      </c>
      <c r="G48" s="59" t="n">
        <f aca="false">F48-H48</f>
        <v>2200</v>
      </c>
      <c r="H48" s="59"/>
      <c r="I48" s="0"/>
      <c r="J48" s="0"/>
      <c r="K48" s="0"/>
      <c r="L48" s="0"/>
      <c r="M48" s="0"/>
      <c r="N48" s="0"/>
      <c r="O48" s="0"/>
      <c r="P48" s="0"/>
      <c r="Q48" s="0"/>
      <c r="R48" s="0"/>
      <c r="S48" s="0"/>
      <c r="T48" s="0"/>
      <c r="U48" s="0"/>
      <c r="V48" s="0"/>
      <c r="X48" s="0"/>
      <c r="AB48" s="0"/>
      <c r="AE48" s="0"/>
    </row>
    <row r="49" customFormat="false" ht="19.85" hidden="false" customHeight="true" outlineLevel="0" collapsed="false">
      <c r="A49" s="0" t="n">
        <v>30</v>
      </c>
      <c r="B49" s="31" t="n">
        <v>29465</v>
      </c>
      <c r="C49" s="1" t="n">
        <v>252300</v>
      </c>
      <c r="D49" s="58" t="s">
        <v>41</v>
      </c>
      <c r="E49" s="33" t="n">
        <f aca="false">IF(D49="totale",(C49/(A49*24))/F49,IF(D49="marché libre",(C49/(A49*24))/G49,"spécifier histo"))</f>
        <v>0.159280303030303</v>
      </c>
      <c r="F49" s="59" t="n">
        <v>2200</v>
      </c>
      <c r="G49" s="59" t="n">
        <f aca="false">F49-H49</f>
        <v>2200</v>
      </c>
      <c r="H49" s="59"/>
      <c r="I49" s="0"/>
      <c r="J49" s="0"/>
      <c r="K49" s="0"/>
      <c r="L49" s="0"/>
      <c r="M49" s="0"/>
      <c r="N49" s="0"/>
      <c r="O49" s="0"/>
      <c r="P49" s="0"/>
      <c r="Q49" s="0"/>
      <c r="R49" s="0"/>
      <c r="S49" s="0"/>
      <c r="T49" s="0"/>
      <c r="U49" s="0"/>
      <c r="V49" s="0"/>
      <c r="X49" s="0"/>
      <c r="AB49" s="0"/>
      <c r="AE49" s="0"/>
    </row>
    <row r="50" customFormat="false" ht="19.85" hidden="false" customHeight="true" outlineLevel="0" collapsed="false">
      <c r="A50" s="0" t="n">
        <v>31</v>
      </c>
      <c r="B50" s="34" t="n">
        <v>29495</v>
      </c>
      <c r="C50" s="1" t="n">
        <v>624000</v>
      </c>
      <c r="D50" s="58" t="s">
        <v>41</v>
      </c>
      <c r="E50" s="33" t="n">
        <f aca="false">IF(D50="totale",(C50/(A50*24))/F50,IF(D50="marché libre",(C50/(A50*24))/G50,"spécifier histo"))</f>
        <v>0.381231671554252</v>
      </c>
      <c r="F50" s="59" t="n">
        <v>2200</v>
      </c>
      <c r="G50" s="59" t="n">
        <f aca="false">F50-H50</f>
        <v>2200</v>
      </c>
      <c r="H50" s="59"/>
      <c r="I50" s="0"/>
      <c r="J50" s="0"/>
      <c r="K50" s="0"/>
      <c r="L50" s="0"/>
      <c r="M50" s="0"/>
      <c r="N50" s="0"/>
      <c r="O50" s="0"/>
      <c r="P50" s="0"/>
      <c r="Q50" s="0"/>
      <c r="R50" s="0"/>
      <c r="S50" s="0"/>
      <c r="T50" s="0"/>
      <c r="U50" s="0"/>
      <c r="V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row>
    <row r="51" customFormat="false" ht="19.85" hidden="false" customHeight="true" outlineLevel="0" collapsed="false">
      <c r="A51" s="0" t="n">
        <v>30</v>
      </c>
      <c r="B51" s="31" t="n">
        <v>29526</v>
      </c>
      <c r="C51" s="1" t="n">
        <v>537300</v>
      </c>
      <c r="D51" s="58" t="s">
        <v>41</v>
      </c>
      <c r="E51" s="33" t="n">
        <f aca="false">IF(D51="totale",(C51/(A51*24))/F51,IF(D51="marché libre",(C51/(A51*24))/G51,"spécifier histo"))</f>
        <v>0.339204545454545</v>
      </c>
      <c r="F51" s="59" t="n">
        <v>2200</v>
      </c>
      <c r="G51" s="59" t="n">
        <f aca="false">F51-H51</f>
        <v>2200</v>
      </c>
      <c r="H51" s="59"/>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row>
    <row r="52" customFormat="false" ht="19.85" hidden="false" customHeight="true" outlineLevel="0" collapsed="false">
      <c r="A52" s="0" t="n">
        <v>31</v>
      </c>
      <c r="B52" s="34" t="n">
        <v>29556</v>
      </c>
      <c r="C52" s="1" t="n">
        <v>573300</v>
      </c>
      <c r="D52" s="58" t="s">
        <v>41</v>
      </c>
      <c r="E52" s="33" t="n">
        <f aca="false">IF(D52="totale",(C52/(A52*24))/F52,IF(D52="marché libre",(C52/(A52*24))/G52,"spécifier histo"))</f>
        <v>0.350256598240469</v>
      </c>
      <c r="F52" s="59" t="n">
        <v>2200</v>
      </c>
      <c r="G52" s="59" t="n">
        <f aca="false">F52-H52</f>
        <v>2200</v>
      </c>
      <c r="H52" s="59"/>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row>
    <row r="53" customFormat="false" ht="19.85" hidden="false" customHeight="true" outlineLevel="0" collapsed="false">
      <c r="A53" s="0" t="n">
        <v>31</v>
      </c>
      <c r="B53" s="31" t="n">
        <v>29587</v>
      </c>
      <c r="C53" s="1" t="n">
        <v>406500</v>
      </c>
      <c r="D53" s="58" t="s">
        <v>41</v>
      </c>
      <c r="E53" s="33" t="n">
        <f aca="false">IF(D53="totale",(C53/(A53*24))/F53,IF(D53="marché libre",(C53/(A53*24))/G53,"spécifier histo"))</f>
        <v>0.248350439882698</v>
      </c>
      <c r="F53" s="59" t="n">
        <v>2200</v>
      </c>
      <c r="G53" s="59" t="n">
        <f aca="false">F53-H53</f>
        <v>2200</v>
      </c>
      <c r="H53" s="59"/>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row>
    <row r="54" customFormat="false" ht="19.85" hidden="false" customHeight="true" outlineLevel="0" collapsed="false">
      <c r="A54" s="0" t="n">
        <v>28</v>
      </c>
      <c r="B54" s="34" t="n">
        <v>29618</v>
      </c>
      <c r="C54" s="1" t="n">
        <v>788700</v>
      </c>
      <c r="D54" s="58" t="s">
        <v>41</v>
      </c>
      <c r="E54" s="33" t="n">
        <f aca="false">IF(D54="totale",(C54/(A54*24))/F54,IF(D54="marché libre",(C54/(A54*24))/G54,"spécifier histo"))</f>
        <v>0.533482142857143</v>
      </c>
      <c r="F54" s="59" t="n">
        <v>2200</v>
      </c>
      <c r="G54" s="59" t="n">
        <f aca="false">F54-H54</f>
        <v>2200</v>
      </c>
      <c r="H54" s="59"/>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row>
    <row r="55" customFormat="false" ht="19.85" hidden="false" customHeight="true" outlineLevel="0" collapsed="false">
      <c r="A55" s="0" t="n">
        <v>31</v>
      </c>
      <c r="B55" s="31" t="n">
        <v>29646</v>
      </c>
      <c r="C55" s="1" t="n">
        <v>869400</v>
      </c>
      <c r="D55" s="58" t="s">
        <v>41</v>
      </c>
      <c r="E55" s="33" t="n">
        <f aca="false">IF(D55="totale",(C55/(A55*24))/F55,IF(D55="marché libre",(C55/(A55*24))/G55,"spécifier histo"))</f>
        <v>0.531158357771261</v>
      </c>
      <c r="F55" s="59" t="n">
        <v>2200</v>
      </c>
      <c r="G55" s="59" t="n">
        <f aca="false">F55-H55</f>
        <v>2200</v>
      </c>
      <c r="H55" s="59"/>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row>
    <row r="56" customFormat="false" ht="19.85" hidden="false" customHeight="true" outlineLevel="0" collapsed="false">
      <c r="A56" s="0" t="n">
        <v>30</v>
      </c>
      <c r="B56" s="34" t="n">
        <v>29677</v>
      </c>
      <c r="C56" s="1" t="n">
        <v>744300</v>
      </c>
      <c r="D56" s="58" t="s">
        <v>41</v>
      </c>
      <c r="E56" s="33" t="n">
        <f aca="false">IF(D56="totale",(C56/(A56*24))/F56,IF(D56="marché libre",(C56/(A56*24))/G56,"spécifier histo"))</f>
        <v>0.469886363636364</v>
      </c>
      <c r="F56" s="59" t="n">
        <v>2200</v>
      </c>
      <c r="G56" s="59" t="n">
        <f aca="false">F56-H56</f>
        <v>2200</v>
      </c>
      <c r="H56" s="59"/>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row>
    <row r="57" customFormat="false" ht="19.85" hidden="false" customHeight="true" outlineLevel="0" collapsed="false">
      <c r="A57" s="0" t="n">
        <v>31</v>
      </c>
      <c r="B57" s="31" t="n">
        <v>29707</v>
      </c>
      <c r="C57" s="1" t="n">
        <v>624000</v>
      </c>
      <c r="D57" s="58" t="s">
        <v>41</v>
      </c>
      <c r="E57" s="33" t="n">
        <f aca="false">IF(D57="totale",(C57/(A57*24))/F57,IF(D57="marché libre",(C57/(A57*24))/G57,"spécifier histo"))</f>
        <v>0.381231671554252</v>
      </c>
      <c r="F57" s="59" t="n">
        <v>2200</v>
      </c>
      <c r="G57" s="59" t="n">
        <f aca="false">F57-H57</f>
        <v>2200</v>
      </c>
      <c r="H57" s="59"/>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row>
    <row r="58" customFormat="false" ht="19.85" hidden="false" customHeight="true" outlineLevel="0" collapsed="false">
      <c r="A58" s="0" t="n">
        <v>30</v>
      </c>
      <c r="B58" s="34" t="n">
        <v>29738</v>
      </c>
      <c r="C58" s="1" t="n">
        <v>770400</v>
      </c>
      <c r="D58" s="58" t="s">
        <v>41</v>
      </c>
      <c r="E58" s="33" t="n">
        <f aca="false">IF(D58="totale",(C58/(A58*24))/F58,IF(D58="marché libre",(C58/(A58*24))/G58,"spécifier histo"))</f>
        <v>0.486363636363636</v>
      </c>
      <c r="F58" s="59" t="n">
        <v>2200</v>
      </c>
      <c r="G58" s="59" t="n">
        <f aca="false">F58-H58</f>
        <v>2200</v>
      </c>
      <c r="H58" s="59"/>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row>
    <row r="59" customFormat="false" ht="19.85" hidden="false" customHeight="true" outlineLevel="0" collapsed="false">
      <c r="A59" s="0" t="n">
        <v>31</v>
      </c>
      <c r="B59" s="31" t="n">
        <v>29768</v>
      </c>
      <c r="C59" s="1" t="n">
        <v>522900</v>
      </c>
      <c r="D59" s="58" t="s">
        <v>41</v>
      </c>
      <c r="E59" s="33" t="n">
        <f aca="false">IF(D59="totale",(C59/(A59*24))/F59,IF(D59="marché libre",(C59/(A59*24))/G59,"spécifier histo"))</f>
        <v>0.319464809384164</v>
      </c>
      <c r="F59" s="59" t="n">
        <v>2200</v>
      </c>
      <c r="G59" s="59" t="n">
        <f aca="false">F59-H59</f>
        <v>2200</v>
      </c>
      <c r="H59" s="59"/>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row>
    <row r="60" customFormat="false" ht="19.85" hidden="false" customHeight="true" outlineLevel="0" collapsed="false">
      <c r="A60" s="0" t="n">
        <v>31</v>
      </c>
      <c r="B60" s="34" t="n">
        <v>29799</v>
      </c>
      <c r="C60" s="1" t="n">
        <v>227400</v>
      </c>
      <c r="D60" s="58" t="s">
        <v>41</v>
      </c>
      <c r="E60" s="33" t="n">
        <f aca="false">IF(D60="totale",(C60/(A60*24))/F60,IF(D60="marché libre",(C60/(A60*24))/G60,"spécifier histo"))</f>
        <v>0.138929618768328</v>
      </c>
      <c r="F60" s="59" t="n">
        <v>2200</v>
      </c>
      <c r="G60" s="59" t="n">
        <f aca="false">F60-H60</f>
        <v>2200</v>
      </c>
      <c r="H60" s="59"/>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row>
    <row r="61" customFormat="false" ht="19.85" hidden="false" customHeight="true" outlineLevel="0" collapsed="false">
      <c r="A61" s="0" t="n">
        <v>30</v>
      </c>
      <c r="B61" s="31" t="n">
        <v>29830</v>
      </c>
      <c r="C61" s="1" t="n">
        <v>211800</v>
      </c>
      <c r="D61" s="58" t="s">
        <v>41</v>
      </c>
      <c r="E61" s="33" t="n">
        <f aca="false">IF(D61="totale",(C61/(A61*24))/F61,IF(D61="marché libre",(C61/(A61*24))/G61,"spécifier histo"))</f>
        <v>0.133712121212121</v>
      </c>
      <c r="F61" s="59" t="n">
        <v>2200</v>
      </c>
      <c r="G61" s="59" t="n">
        <f aca="false">F61-H61</f>
        <v>2200</v>
      </c>
      <c r="H61" s="59"/>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row>
    <row r="62" customFormat="false" ht="19.85" hidden="false" customHeight="true" outlineLevel="0" collapsed="false">
      <c r="A62" s="0" t="n">
        <v>31</v>
      </c>
      <c r="B62" s="34" t="n">
        <v>29860</v>
      </c>
      <c r="C62" s="1" t="n">
        <v>412500</v>
      </c>
      <c r="D62" s="58" t="s">
        <v>41</v>
      </c>
      <c r="E62" s="33" t="n">
        <f aca="false">IF(D62="totale",(C62/(A62*24))/F62,IF(D62="marché libre",(C62/(A62*24))/G62,"spécifier histo"))</f>
        <v>0.252016129032258</v>
      </c>
      <c r="F62" s="59" t="n">
        <v>2200</v>
      </c>
      <c r="G62" s="59" t="n">
        <f aca="false">F62-H62</f>
        <v>2200</v>
      </c>
      <c r="H62" s="59"/>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row>
    <row r="63" customFormat="false" ht="19.85" hidden="false" customHeight="true" outlineLevel="0" collapsed="false">
      <c r="A63" s="0" t="n">
        <v>30</v>
      </c>
      <c r="B63" s="31" t="n">
        <v>29891</v>
      </c>
      <c r="C63" s="1" t="n">
        <v>546900</v>
      </c>
      <c r="D63" s="58" t="s">
        <v>41</v>
      </c>
      <c r="E63" s="33" t="n">
        <f aca="false">IF(D63="totale",(C63/(A63*24))/F63,IF(D63="marché libre",(C63/(A63*24))/G63,"spécifier histo"))</f>
        <v>0.345265151515152</v>
      </c>
      <c r="F63" s="59" t="n">
        <v>2200</v>
      </c>
      <c r="G63" s="59" t="n">
        <f aca="false">F63-H63</f>
        <v>2200</v>
      </c>
      <c r="H63" s="59"/>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row>
    <row r="64" customFormat="false" ht="19.85" hidden="false" customHeight="true" outlineLevel="0" collapsed="false">
      <c r="A64" s="0" t="n">
        <v>31</v>
      </c>
      <c r="B64" s="34" t="n">
        <v>29921</v>
      </c>
      <c r="C64" s="1" t="n">
        <v>264600</v>
      </c>
      <c r="D64" s="58" t="s">
        <v>41</v>
      </c>
      <c r="E64" s="33" t="n">
        <f aca="false">IF(D64="totale",(C64/(A64*24))/F64,IF(D64="marché libre",(C64/(A64*24))/G64,"spécifier histo"))</f>
        <v>0.161656891495601</v>
      </c>
      <c r="F64" s="59" t="n">
        <v>2200</v>
      </c>
      <c r="G64" s="59" t="n">
        <f aca="false">F64-H64</f>
        <v>2200</v>
      </c>
      <c r="H64" s="59"/>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row>
    <row r="65" customFormat="false" ht="19.85" hidden="false" customHeight="true" outlineLevel="0" collapsed="false">
      <c r="A65" s="0" t="n">
        <v>31</v>
      </c>
      <c r="B65" s="31" t="n">
        <v>29952</v>
      </c>
      <c r="C65" s="1" t="n">
        <v>513600</v>
      </c>
      <c r="D65" s="58" t="s">
        <v>41</v>
      </c>
      <c r="E65" s="33" t="n">
        <f aca="false">IF(D65="totale",(C65/(A65*24))/F65,IF(D65="marché libre",(C65/(A65*24))/G65,"spécifier histo"))</f>
        <v>0.313782991202346</v>
      </c>
      <c r="F65" s="59" t="n">
        <v>2200</v>
      </c>
      <c r="G65" s="59" t="n">
        <f aca="false">F65-H65</f>
        <v>2200</v>
      </c>
      <c r="H65" s="59"/>
      <c r="K65" s="0"/>
      <c r="N65" s="0"/>
      <c r="O65" s="0"/>
      <c r="S65" s="0"/>
      <c r="U65" s="0"/>
      <c r="V65" s="0"/>
      <c r="X65" s="0"/>
      <c r="AB65" s="0"/>
      <c r="AE65" s="0"/>
    </row>
    <row r="66" customFormat="false" ht="19.85" hidden="false" customHeight="true" outlineLevel="0" collapsed="false">
      <c r="A66" s="0" t="n">
        <v>28</v>
      </c>
      <c r="B66" s="34" t="n">
        <v>29983</v>
      </c>
      <c r="C66" s="1" t="n">
        <v>809400</v>
      </c>
      <c r="D66" s="58" t="s">
        <v>41</v>
      </c>
      <c r="E66" s="33" t="n">
        <f aca="false">IF(D66="totale",(C66/(A66*24))/F66,IF(D66="marché libre",(C66/(A66*24))/G66,"spécifier histo"))</f>
        <v>0.547483766233766</v>
      </c>
      <c r="F66" s="59" t="n">
        <v>2200</v>
      </c>
      <c r="G66" s="59" t="n">
        <f aca="false">F66-H66</f>
        <v>2200</v>
      </c>
      <c r="H66" s="59"/>
      <c r="K66" s="0"/>
      <c r="N66" s="0"/>
      <c r="O66" s="0"/>
      <c r="S66" s="0"/>
      <c r="U66" s="0"/>
      <c r="V66" s="0"/>
      <c r="X66" s="0"/>
      <c r="AB66" s="0"/>
      <c r="AE66" s="0"/>
    </row>
    <row r="67" customFormat="false" ht="19.85" hidden="false" customHeight="true" outlineLevel="0" collapsed="false">
      <c r="A67" s="0" t="n">
        <v>31</v>
      </c>
      <c r="B67" s="31" t="n">
        <v>30011</v>
      </c>
      <c r="C67" s="1" t="n">
        <v>923700</v>
      </c>
      <c r="D67" s="58" t="s">
        <v>41</v>
      </c>
      <c r="E67" s="33" t="n">
        <f aca="false">IF(D67="totale",(C67/(A67*24))/F67,IF(D67="marché libre",(C67/(A67*24))/G67,"spécifier histo"))</f>
        <v>0.56433284457478</v>
      </c>
      <c r="F67" s="59" t="n">
        <v>2200</v>
      </c>
      <c r="G67" s="59" t="n">
        <f aca="false">F67-H67</f>
        <v>2200</v>
      </c>
      <c r="H67" s="59"/>
      <c r="K67" s="0"/>
      <c r="N67" s="0"/>
      <c r="O67" s="0"/>
      <c r="S67" s="0"/>
      <c r="U67" s="0"/>
      <c r="V67" s="0"/>
      <c r="X67" s="0"/>
      <c r="AB67" s="0"/>
      <c r="AE67" s="0"/>
    </row>
    <row r="68" customFormat="false" ht="19.85" hidden="false" customHeight="true" outlineLevel="0" collapsed="false">
      <c r="A68" s="0" t="n">
        <v>30</v>
      </c>
      <c r="B68" s="34" t="n">
        <v>30042</v>
      </c>
      <c r="C68" s="1" t="n">
        <v>526200</v>
      </c>
      <c r="D68" s="58" t="s">
        <v>41</v>
      </c>
      <c r="E68" s="33" t="n">
        <f aca="false">IF(D68="totale",(C68/(A68*24))/F68,IF(D68="marché libre",(C68/(A68*24))/G68,"spécifier histo"))</f>
        <v>0.33219696969697</v>
      </c>
      <c r="F68" s="59" t="n">
        <v>2200</v>
      </c>
      <c r="G68" s="59" t="n">
        <f aca="false">F68-H68</f>
        <v>2200</v>
      </c>
      <c r="H68" s="59"/>
      <c r="K68" s="0"/>
      <c r="N68" s="0"/>
      <c r="O68" s="0"/>
      <c r="S68" s="0"/>
      <c r="V68" s="0"/>
      <c r="X68" s="0"/>
      <c r="AB68" s="0"/>
      <c r="AE68" s="0"/>
    </row>
    <row r="69" customFormat="false" ht="19.85" hidden="false" customHeight="true" outlineLevel="0" collapsed="false">
      <c r="A69" s="0" t="n">
        <v>31</v>
      </c>
      <c r="B69" s="31" t="n">
        <v>30072</v>
      </c>
      <c r="C69" s="1" t="n">
        <v>332700</v>
      </c>
      <c r="D69" s="58" t="s">
        <v>41</v>
      </c>
      <c r="E69" s="33" t="n">
        <f aca="false">IF(D69="totale",(C69/(A69*24))/F69,IF(D69="marché libre",(C69/(A69*24))/G69,"spécifier histo"))</f>
        <v>0.203262463343109</v>
      </c>
      <c r="F69" s="59" t="n">
        <v>2200</v>
      </c>
      <c r="G69" s="59" t="n">
        <f aca="false">F69-H69</f>
        <v>2200</v>
      </c>
      <c r="H69" s="59"/>
      <c r="K69" s="0"/>
      <c r="N69" s="0"/>
      <c r="O69" s="0"/>
      <c r="S69" s="0"/>
      <c r="V69" s="0"/>
      <c r="X69" s="0"/>
      <c r="AB69" s="0"/>
      <c r="AE69" s="0"/>
    </row>
    <row r="70" customFormat="false" ht="19.85" hidden="false" customHeight="true" outlineLevel="0" collapsed="false">
      <c r="A70" s="0" t="n">
        <v>30</v>
      </c>
      <c r="B70" s="34" t="n">
        <v>30103</v>
      </c>
      <c r="C70" s="1" t="n">
        <v>135000</v>
      </c>
      <c r="D70" s="58" t="s">
        <v>41</v>
      </c>
      <c r="E70" s="33" t="n">
        <f aca="false">IF(D70="totale",(C70/(A70*24))/F70,IF(D70="marché libre",(C70/(A70*24))/G70,"spécifier histo"))</f>
        <v>0.0852272727272727</v>
      </c>
      <c r="F70" s="59" t="n">
        <v>2200</v>
      </c>
      <c r="G70" s="59" t="n">
        <f aca="false">F70-H70</f>
        <v>2200</v>
      </c>
      <c r="H70" s="59"/>
      <c r="K70" s="0"/>
      <c r="N70" s="0"/>
      <c r="O70" s="0"/>
      <c r="S70" s="0"/>
      <c r="V70" s="0"/>
      <c r="X70" s="0"/>
      <c r="AB70" s="0"/>
      <c r="AE70" s="0"/>
    </row>
    <row r="71" customFormat="false" ht="19.85" hidden="false" customHeight="true" outlineLevel="0" collapsed="false">
      <c r="A71" s="0" t="n">
        <v>31</v>
      </c>
      <c r="B71" s="31" t="n">
        <v>30133</v>
      </c>
      <c r="C71" s="1" t="n">
        <v>18900</v>
      </c>
      <c r="D71" s="58" t="s">
        <v>41</v>
      </c>
      <c r="E71" s="33" t="n">
        <f aca="false">IF(D71="totale",(C71/(A71*24))/F71,IF(D71="marché libre",(C71/(A71*24))/G71,"spécifier histo"))</f>
        <v>0.0115469208211144</v>
      </c>
      <c r="F71" s="59" t="n">
        <v>2200</v>
      </c>
      <c r="G71" s="59" t="n">
        <f aca="false">F71-H71</f>
        <v>2200</v>
      </c>
      <c r="H71" s="59"/>
      <c r="K71" s="0"/>
      <c r="N71" s="0"/>
      <c r="O71" s="0"/>
      <c r="S71" s="0"/>
      <c r="V71" s="0"/>
      <c r="X71" s="0"/>
      <c r="AB71" s="0"/>
      <c r="AE71" s="0"/>
    </row>
    <row r="72" customFormat="false" ht="19.85" hidden="false" customHeight="true" outlineLevel="0" collapsed="false">
      <c r="A72" s="0" t="n">
        <v>31</v>
      </c>
      <c r="B72" s="34" t="n">
        <v>30164</v>
      </c>
      <c r="C72" s="1" t="n">
        <v>235200</v>
      </c>
      <c r="D72" s="58" t="s">
        <v>41</v>
      </c>
      <c r="E72" s="33" t="n">
        <f aca="false">IF(D72="totale",(C72/(A72*24))/F72,IF(D72="marché libre",(C72/(A72*24))/G72,"spécifier histo"))</f>
        <v>0.143695014662757</v>
      </c>
      <c r="F72" s="59" t="n">
        <v>2200</v>
      </c>
      <c r="G72" s="59" t="n">
        <f aca="false">F72-H72</f>
        <v>2200</v>
      </c>
      <c r="H72" s="59"/>
      <c r="K72" s="0"/>
      <c r="N72" s="0"/>
      <c r="O72" s="0"/>
      <c r="S72" s="0"/>
      <c r="V72" s="0"/>
      <c r="X72" s="0"/>
      <c r="AB72" s="0"/>
      <c r="AE72" s="0"/>
    </row>
    <row r="73" customFormat="false" ht="19.85" hidden="false" customHeight="true" outlineLevel="0" collapsed="false">
      <c r="A73" s="0" t="n">
        <v>30</v>
      </c>
      <c r="B73" s="31" t="n">
        <v>30195</v>
      </c>
      <c r="C73" s="1" t="n">
        <v>398400</v>
      </c>
      <c r="D73" s="58" t="s">
        <v>41</v>
      </c>
      <c r="E73" s="33" t="n">
        <f aca="false">IF(D73="totale",(C73/(A73*24))/F73,IF(D73="marché libre",(C73/(A73*24))/G73,"spécifier histo"))</f>
        <v>0.251515151515152</v>
      </c>
      <c r="F73" s="59" t="n">
        <v>2200</v>
      </c>
      <c r="G73" s="59" t="n">
        <f aca="false">F73-H73</f>
        <v>2200</v>
      </c>
      <c r="H73" s="59"/>
      <c r="K73" s="0"/>
      <c r="N73" s="0"/>
      <c r="O73" s="0"/>
      <c r="S73" s="0"/>
      <c r="V73" s="0"/>
      <c r="X73" s="0"/>
      <c r="AB73" s="0"/>
      <c r="AE73" s="0"/>
    </row>
    <row r="74" customFormat="false" ht="19.85" hidden="false" customHeight="true" outlineLevel="0" collapsed="false">
      <c r="A74" s="0" t="n">
        <v>31</v>
      </c>
      <c r="B74" s="34" t="n">
        <v>30225</v>
      </c>
      <c r="C74" s="1" t="n">
        <v>532200</v>
      </c>
      <c r="D74" s="58" t="s">
        <v>41</v>
      </c>
      <c r="E74" s="33" t="n">
        <f aca="false">IF(D74="totale",(C74/(A74*24))/F74,IF(D74="marché libre",(C74/(A74*24))/G74,"spécifier histo"))</f>
        <v>0.325146627565982</v>
      </c>
      <c r="F74" s="59" t="n">
        <v>2200</v>
      </c>
      <c r="G74" s="59" t="n">
        <f aca="false">F74-H74</f>
        <v>2200</v>
      </c>
      <c r="H74" s="59"/>
      <c r="K74" s="0"/>
      <c r="N74" s="0"/>
      <c r="O74" s="0"/>
      <c r="S74" s="0"/>
      <c r="V74" s="0"/>
      <c r="X74" s="0"/>
      <c r="AB74" s="0"/>
    </row>
    <row r="75" customFormat="false" ht="19.85" hidden="false" customHeight="true" outlineLevel="0" collapsed="false">
      <c r="A75" s="0" t="n">
        <v>30</v>
      </c>
      <c r="B75" s="31" t="n">
        <v>30256</v>
      </c>
      <c r="C75" s="1" t="n">
        <v>409200</v>
      </c>
      <c r="D75" s="58" t="s">
        <v>41</v>
      </c>
      <c r="E75" s="33" t="n">
        <f aca="false">IF(D75="totale",(C75/(A75*24))/F75,IF(D75="marché libre",(C75/(A75*24))/G75,"spécifier histo"))</f>
        <v>0.258333333333333</v>
      </c>
      <c r="F75" s="59" t="n">
        <v>2200</v>
      </c>
      <c r="G75" s="59" t="n">
        <f aca="false">F75-H75</f>
        <v>2200</v>
      </c>
      <c r="H75" s="59"/>
      <c r="K75" s="0"/>
      <c r="N75" s="0"/>
      <c r="O75" s="0"/>
      <c r="S75" s="0"/>
      <c r="V75" s="0"/>
      <c r="X75" s="0"/>
      <c r="AB75" s="0"/>
    </row>
    <row r="76" customFormat="false" ht="19.85" hidden="false" customHeight="true" outlineLevel="0" collapsed="false">
      <c r="A76" s="0" t="n">
        <v>31</v>
      </c>
      <c r="B76" s="34" t="n">
        <v>30286</v>
      </c>
      <c r="C76" s="1" t="n">
        <v>269100</v>
      </c>
      <c r="D76" s="58" t="s">
        <v>41</v>
      </c>
      <c r="E76" s="33" t="n">
        <f aca="false">IF(D76="totale",(C76/(A76*24))/F76,IF(D76="marché libre",(C76/(A76*24))/G76,"spécifier histo"))</f>
        <v>0.164406158357771</v>
      </c>
      <c r="F76" s="59" t="n">
        <v>2200</v>
      </c>
      <c r="G76" s="59" t="n">
        <f aca="false">F76-H76</f>
        <v>2200</v>
      </c>
      <c r="H76" s="59"/>
      <c r="K76" s="0"/>
      <c r="N76" s="0"/>
      <c r="O76" s="0"/>
      <c r="S76" s="0"/>
      <c r="V76" s="0"/>
      <c r="X76" s="0"/>
      <c r="AB76" s="0"/>
    </row>
    <row r="77" customFormat="false" ht="19.85" hidden="false" customHeight="true" outlineLevel="0" collapsed="false">
      <c r="A77" s="0" t="n">
        <v>31</v>
      </c>
      <c r="B77" s="31" t="n">
        <v>30317</v>
      </c>
      <c r="C77" s="1" t="n">
        <v>538800</v>
      </c>
      <c r="D77" s="58" t="s">
        <v>41</v>
      </c>
      <c r="E77" s="33" t="n">
        <f aca="false">IF(D77="totale",(C77/(A77*24))/F77,IF(D77="marché libre",(C77/(A77*24))/G77,"spécifier histo"))</f>
        <v>0.329178885630499</v>
      </c>
      <c r="F77" s="59" t="n">
        <v>2200</v>
      </c>
      <c r="G77" s="59" t="n">
        <f aca="false">F77-H77</f>
        <v>2200</v>
      </c>
      <c r="H77" s="59"/>
      <c r="K77" s="0"/>
      <c r="N77" s="0"/>
      <c r="O77" s="0"/>
      <c r="S77" s="0"/>
      <c r="V77" s="0"/>
      <c r="X77" s="0"/>
      <c r="AB77" s="0"/>
    </row>
    <row r="78" customFormat="false" ht="19.85" hidden="false" customHeight="true" outlineLevel="0" collapsed="false">
      <c r="A78" s="0" t="n">
        <v>28</v>
      </c>
      <c r="B78" s="34" t="n">
        <v>30348</v>
      </c>
      <c r="C78" s="1" t="n">
        <v>518100</v>
      </c>
      <c r="D78" s="58" t="s">
        <v>41</v>
      </c>
      <c r="E78" s="33" t="n">
        <f aca="false">IF(D78="totale",(C78/(A78*24))/F78,IF(D78="marché libre",(C78/(A78*24))/G78,"spécifier histo"))</f>
        <v>0.350446428571429</v>
      </c>
      <c r="F78" s="59" t="n">
        <v>2200</v>
      </c>
      <c r="G78" s="59" t="n">
        <f aca="false">F78-H78</f>
        <v>2200</v>
      </c>
      <c r="H78" s="59"/>
      <c r="K78" s="0"/>
      <c r="N78" s="0"/>
      <c r="O78" s="0"/>
      <c r="S78" s="0"/>
      <c r="V78" s="0"/>
      <c r="X78" s="0"/>
      <c r="AB78" s="0"/>
    </row>
    <row r="79" customFormat="false" ht="19.85" hidden="false" customHeight="true" outlineLevel="0" collapsed="false">
      <c r="A79" s="0" t="n">
        <v>31</v>
      </c>
      <c r="B79" s="31" t="n">
        <v>30376</v>
      </c>
      <c r="C79" s="1" t="n">
        <v>903000</v>
      </c>
      <c r="D79" s="58" t="s">
        <v>41</v>
      </c>
      <c r="E79" s="33" t="n">
        <f aca="false">IF(D79="totale",(C79/(A79*24))/F79,IF(D79="marché libre",(C79/(A79*24))/G79,"spécifier histo"))</f>
        <v>0.551686217008798</v>
      </c>
      <c r="F79" s="59" t="n">
        <v>2200</v>
      </c>
      <c r="G79" s="59" t="n">
        <f aca="false">F79-H79</f>
        <v>2200</v>
      </c>
      <c r="H79" s="59"/>
      <c r="K79" s="0"/>
      <c r="N79" s="0"/>
      <c r="O79" s="0"/>
      <c r="S79" s="0"/>
      <c r="V79" s="0"/>
      <c r="X79" s="0"/>
      <c r="AB79" s="0"/>
    </row>
    <row r="80" customFormat="false" ht="19.85" hidden="false" customHeight="true" outlineLevel="0" collapsed="false">
      <c r="A80" s="0" t="n">
        <v>30</v>
      </c>
      <c r="B80" s="34" t="n">
        <v>30407</v>
      </c>
      <c r="C80" s="1" t="n">
        <v>804300</v>
      </c>
      <c r="D80" s="58" t="s">
        <v>41</v>
      </c>
      <c r="E80" s="33" t="n">
        <f aca="false">IF(D80="totale",(C80/(A80*24))/F80,IF(D80="marché libre",(C80/(A80*24))/G80,"spécifier histo"))</f>
        <v>0.507765151515151</v>
      </c>
      <c r="F80" s="59" t="n">
        <v>2200</v>
      </c>
      <c r="G80" s="59" t="n">
        <f aca="false">F80-H80</f>
        <v>2200</v>
      </c>
      <c r="H80" s="59"/>
      <c r="K80" s="0"/>
      <c r="N80" s="0"/>
      <c r="O80" s="0"/>
      <c r="P80" s="0"/>
      <c r="S80" s="0"/>
      <c r="V80" s="0"/>
      <c r="X80" s="0"/>
      <c r="AB80" s="0"/>
    </row>
    <row r="81" customFormat="false" ht="19.85" hidden="false" customHeight="true" outlineLevel="0" collapsed="false">
      <c r="A81" s="0" t="n">
        <v>31</v>
      </c>
      <c r="B81" s="31" t="n">
        <v>30437</v>
      </c>
      <c r="C81" s="1" t="n">
        <v>756900</v>
      </c>
      <c r="D81" s="58" t="s">
        <v>41</v>
      </c>
      <c r="E81" s="33" t="n">
        <f aca="false">IF(D81="totale",(C81/(A81*24))/F81,IF(D81="marché libre",(C81/(A81*24))/G81,"spécifier histo"))</f>
        <v>0.462426686217009</v>
      </c>
      <c r="F81" s="59" t="n">
        <v>2200</v>
      </c>
      <c r="G81" s="59" t="n">
        <f aca="false">F81-H81</f>
        <v>2200</v>
      </c>
      <c r="H81" s="59"/>
      <c r="J81" s="55"/>
      <c r="K81" s="0"/>
      <c r="N81" s="0"/>
      <c r="O81" s="0"/>
      <c r="P81" s="0"/>
      <c r="S81" s="0"/>
      <c r="V81" s="0"/>
      <c r="X81" s="0"/>
      <c r="AB81" s="0"/>
    </row>
    <row r="82" customFormat="false" ht="19.85" hidden="false" customHeight="true" outlineLevel="0" collapsed="false">
      <c r="A82" s="0" t="n">
        <v>30</v>
      </c>
      <c r="B82" s="34" t="n">
        <v>30468</v>
      </c>
      <c r="C82" s="1" t="n">
        <v>399600</v>
      </c>
      <c r="D82" s="58" t="s">
        <v>41</v>
      </c>
      <c r="E82" s="33" t="n">
        <f aca="false">IF(D82="totale",(C82/(A82*24))/F82,IF(D82="marché libre",(C82/(A82*24))/G82,"spécifier histo"))</f>
        <v>0.252272727272727</v>
      </c>
      <c r="F82" s="59" t="n">
        <v>2200</v>
      </c>
      <c r="G82" s="59" t="n">
        <f aca="false">F82-H82</f>
        <v>2200</v>
      </c>
      <c r="H82" s="59"/>
      <c r="J82" s="55"/>
      <c r="K82" s="0"/>
      <c r="N82" s="0"/>
      <c r="O82" s="0"/>
      <c r="P82" s="0"/>
      <c r="S82" s="0"/>
      <c r="V82" s="0"/>
      <c r="X82" s="0"/>
      <c r="AB82" s="0"/>
    </row>
    <row r="83" customFormat="false" ht="19.85" hidden="false" customHeight="true" outlineLevel="0" collapsed="false">
      <c r="A83" s="0" t="n">
        <v>31</v>
      </c>
      <c r="B83" s="31" t="n">
        <v>30498</v>
      </c>
      <c r="C83" s="1" t="n">
        <v>117600</v>
      </c>
      <c r="D83" s="58" t="s">
        <v>41</v>
      </c>
      <c r="E83" s="33" t="n">
        <f aca="false">IF(D83="totale",(C83/(A83*24))/F83,IF(D83="marché libre",(C83/(A83*24))/G83,"spécifier histo"))</f>
        <v>0.0718475073313783</v>
      </c>
      <c r="F83" s="59" t="n">
        <v>2200</v>
      </c>
      <c r="G83" s="59" t="n">
        <f aca="false">F83-H83</f>
        <v>2200</v>
      </c>
      <c r="H83" s="59"/>
      <c r="J83" s="55"/>
      <c r="K83" s="0"/>
      <c r="N83" s="0"/>
      <c r="O83" s="0"/>
      <c r="P83" s="0"/>
      <c r="S83" s="0"/>
      <c r="V83" s="0"/>
      <c r="X83" s="0"/>
      <c r="AB83" s="0"/>
    </row>
    <row r="84" customFormat="false" ht="19.85" hidden="false" customHeight="true" outlineLevel="0" collapsed="false">
      <c r="A84" s="0" t="n">
        <v>31</v>
      </c>
      <c r="B84" s="34" t="n">
        <v>30529</v>
      </c>
      <c r="C84" s="1" t="n">
        <v>19800</v>
      </c>
      <c r="D84" s="58" t="s">
        <v>41</v>
      </c>
      <c r="E84" s="33" t="n">
        <f aca="false">IF(D84="totale",(C84/(A84*24))/F84,IF(D84="marché libre",(C84/(A84*24))/G84,"spécifier histo"))</f>
        <v>0.0120967741935484</v>
      </c>
      <c r="F84" s="59" t="n">
        <v>2200</v>
      </c>
      <c r="G84" s="59" t="n">
        <f aca="false">F84-H84</f>
        <v>2200</v>
      </c>
      <c r="H84" s="59"/>
      <c r="J84" s="55"/>
      <c r="K84" s="0"/>
      <c r="N84" s="0"/>
      <c r="O84" s="0"/>
      <c r="P84" s="0"/>
      <c r="S84" s="0"/>
      <c r="V84" s="0"/>
      <c r="X84" s="0"/>
      <c r="AB84" s="0"/>
    </row>
    <row r="85" customFormat="false" ht="19.85" hidden="false" customHeight="true" outlineLevel="0" collapsed="false">
      <c r="A85" s="0" t="n">
        <v>30</v>
      </c>
      <c r="B85" s="31" t="n">
        <v>30560</v>
      </c>
      <c r="C85" s="1" t="n">
        <v>71100</v>
      </c>
      <c r="D85" s="58" t="s">
        <v>41</v>
      </c>
      <c r="E85" s="33" t="n">
        <f aca="false">IF(D85="totale",(C85/(A85*24))/F85,IF(D85="marché libre",(C85/(A85*24))/G85,"spécifier histo"))</f>
        <v>0.0448863636363636</v>
      </c>
      <c r="F85" s="59" t="n">
        <v>2200</v>
      </c>
      <c r="G85" s="59" t="n">
        <f aca="false">F85-H85</f>
        <v>2200</v>
      </c>
      <c r="H85" s="59"/>
      <c r="J85" s="55"/>
      <c r="K85" s="0"/>
      <c r="N85" s="0"/>
      <c r="O85" s="0"/>
      <c r="P85" s="0"/>
      <c r="S85" s="0"/>
      <c r="V85" s="0"/>
      <c r="X85" s="0"/>
      <c r="AB85" s="0"/>
    </row>
    <row r="86" customFormat="false" ht="19.85" hidden="false" customHeight="true" outlineLevel="0" collapsed="false">
      <c r="A86" s="0" t="n">
        <v>31</v>
      </c>
      <c r="B86" s="34" t="n">
        <v>30590</v>
      </c>
      <c r="C86" s="1" t="n">
        <v>335100</v>
      </c>
      <c r="D86" s="58" t="s">
        <v>41</v>
      </c>
      <c r="E86" s="33" t="n">
        <f aca="false">IF(D86="totale",(C86/(A86*24))/F86,IF(D86="marché libre",(C86/(A86*24))/G86,"spécifier histo"))</f>
        <v>0.204728739002933</v>
      </c>
      <c r="F86" s="59" t="n">
        <v>2200</v>
      </c>
      <c r="G86" s="59" t="n">
        <f aca="false">F86-H86</f>
        <v>2200</v>
      </c>
      <c r="H86" s="59"/>
      <c r="J86" s="55"/>
      <c r="K86" s="0"/>
      <c r="N86" s="0"/>
      <c r="O86" s="0"/>
      <c r="P86" s="0"/>
      <c r="S86" s="0"/>
      <c r="V86" s="0"/>
      <c r="X86" s="0"/>
      <c r="AB86" s="0"/>
    </row>
    <row r="87" customFormat="false" ht="19.85" hidden="false" customHeight="true" outlineLevel="0" collapsed="false">
      <c r="A87" s="0" t="n">
        <v>30</v>
      </c>
      <c r="B87" s="31" t="n">
        <v>30621</v>
      </c>
      <c r="C87" s="1" t="n">
        <v>394200</v>
      </c>
      <c r="D87" s="58" t="s">
        <v>41</v>
      </c>
      <c r="E87" s="33" t="n">
        <f aca="false">IF(D87="totale",(C87/(A87*24))/F87,IF(D87="marché libre",(C87/(A87*24))/G87,"spécifier histo"))</f>
        <v>0.248863636363636</v>
      </c>
      <c r="F87" s="59" t="n">
        <v>2200</v>
      </c>
      <c r="G87" s="59" t="n">
        <f aca="false">F87-H87</f>
        <v>2200</v>
      </c>
      <c r="H87" s="59"/>
      <c r="J87" s="55"/>
      <c r="K87" s="0"/>
      <c r="N87" s="0"/>
      <c r="O87" s="0"/>
      <c r="P87" s="0"/>
      <c r="S87" s="0"/>
      <c r="X87" s="0"/>
      <c r="AB87" s="0"/>
    </row>
    <row r="88" customFormat="false" ht="19.85" hidden="false" customHeight="true" outlineLevel="0" collapsed="false">
      <c r="A88" s="0" t="n">
        <v>31</v>
      </c>
      <c r="B88" s="34" t="n">
        <v>30651</v>
      </c>
      <c r="C88" s="1" t="n">
        <v>592800</v>
      </c>
      <c r="D88" s="58" t="s">
        <v>41</v>
      </c>
      <c r="E88" s="33" t="n">
        <f aca="false">IF(D88="totale",(C88/(A88*24))/F88,IF(D88="marché libre",(C88/(A88*24))/G88,"spécifier histo"))</f>
        <v>0.36217008797654</v>
      </c>
      <c r="F88" s="59" t="n">
        <v>2200</v>
      </c>
      <c r="G88" s="59" t="n">
        <f aca="false">F88-H88</f>
        <v>2200</v>
      </c>
      <c r="H88" s="59"/>
      <c r="J88" s="55"/>
      <c r="K88" s="0"/>
      <c r="N88" s="0"/>
      <c r="O88" s="0"/>
      <c r="P88" s="0"/>
      <c r="S88" s="0"/>
      <c r="X88" s="0"/>
      <c r="AB88" s="0"/>
    </row>
    <row r="89" customFormat="false" ht="19.85" hidden="false" customHeight="true" outlineLevel="0" collapsed="false">
      <c r="A89" s="0" t="n">
        <v>31</v>
      </c>
      <c r="B89" s="31" t="n">
        <v>30682</v>
      </c>
      <c r="C89" s="1" t="n">
        <v>815100</v>
      </c>
      <c r="D89" s="58" t="s">
        <v>41</v>
      </c>
      <c r="E89" s="33" t="n">
        <f aca="false">IF(D89="totale",(C89/(A89*24))/F89,IF(D89="marché libre",(C89/(A89*24))/G89,"spécifier histo"))</f>
        <v>0.497983870967742</v>
      </c>
      <c r="F89" s="59" t="n">
        <v>2200</v>
      </c>
      <c r="G89" s="59" t="n">
        <f aca="false">F89-H89</f>
        <v>2200</v>
      </c>
      <c r="H89" s="59"/>
      <c r="J89" s="55"/>
      <c r="K89" s="0"/>
      <c r="N89" s="0"/>
      <c r="O89" s="0"/>
      <c r="P89" s="0"/>
      <c r="S89" s="0"/>
      <c r="X89" s="0"/>
      <c r="AB89" s="0"/>
    </row>
    <row r="90" customFormat="false" ht="19.85" hidden="false" customHeight="true" outlineLevel="0" collapsed="false">
      <c r="A90" s="0" t="n">
        <v>28</v>
      </c>
      <c r="B90" s="34" t="n">
        <v>30713</v>
      </c>
      <c r="C90" s="1" t="n">
        <v>863700</v>
      </c>
      <c r="D90" s="58" t="s">
        <v>41</v>
      </c>
      <c r="E90" s="33" t="n">
        <f aca="false">IF(D90="totale",(C90/(A90*24))/F90,IF(D90="marché libre",(C90/(A90*24))/G90,"spécifier histo"))</f>
        <v>0.584212662337662</v>
      </c>
      <c r="F90" s="59" t="n">
        <v>2200</v>
      </c>
      <c r="G90" s="59" t="n">
        <f aca="false">F90-H90</f>
        <v>2200</v>
      </c>
      <c r="H90" s="59"/>
      <c r="J90" s="55"/>
      <c r="K90" s="0"/>
      <c r="N90" s="0"/>
      <c r="O90" s="0"/>
      <c r="P90" s="0"/>
      <c r="S90" s="0"/>
      <c r="X90" s="0"/>
      <c r="AB90" s="0"/>
    </row>
    <row r="91" customFormat="false" ht="19.85" hidden="false" customHeight="true" outlineLevel="0" collapsed="false">
      <c r="A91" s="0" t="n">
        <v>31</v>
      </c>
      <c r="B91" s="31" t="n">
        <v>30742</v>
      </c>
      <c r="C91" s="1" t="n">
        <v>925500</v>
      </c>
      <c r="D91" s="58" t="s">
        <v>41</v>
      </c>
      <c r="E91" s="33" t="n">
        <f aca="false">IF(D91="totale",(C91/(A91*24))/F91,IF(D91="marché libre",(C91/(A91*24))/G91,"spécifier histo"))</f>
        <v>0.565432551319648</v>
      </c>
      <c r="F91" s="59" t="n">
        <v>2200</v>
      </c>
      <c r="G91" s="59" t="n">
        <f aca="false">F91-H91</f>
        <v>2200</v>
      </c>
      <c r="H91" s="59"/>
      <c r="J91" s="55"/>
      <c r="K91" s="0"/>
      <c r="N91" s="0"/>
      <c r="O91" s="0"/>
      <c r="P91" s="0"/>
      <c r="S91" s="0"/>
      <c r="X91" s="0"/>
      <c r="AB91" s="0"/>
    </row>
    <row r="92" customFormat="false" ht="19.85" hidden="false" customHeight="true" outlineLevel="0" collapsed="false">
      <c r="A92" s="0" t="n">
        <v>30</v>
      </c>
      <c r="B92" s="34" t="n">
        <v>30773</v>
      </c>
      <c r="C92" s="1" t="n">
        <v>705600</v>
      </c>
      <c r="D92" s="58" t="s">
        <v>41</v>
      </c>
      <c r="E92" s="33" t="n">
        <f aca="false">IF(D92="totale",(C92/(A92*24))/F92,IF(D92="marché libre",(C92/(A92*24))/G92,"spécifier histo"))</f>
        <v>0.445454545454545</v>
      </c>
      <c r="F92" s="59" t="n">
        <v>2200</v>
      </c>
      <c r="G92" s="59" t="n">
        <f aca="false">F92-H92</f>
        <v>2200</v>
      </c>
      <c r="H92" s="59"/>
      <c r="J92" s="55"/>
      <c r="K92" s="0"/>
      <c r="N92" s="0"/>
      <c r="O92" s="0"/>
      <c r="S92" s="0"/>
      <c r="X92" s="0"/>
      <c r="AB92" s="0"/>
    </row>
    <row r="93" customFormat="false" ht="19.85" hidden="false" customHeight="true" outlineLevel="0" collapsed="false">
      <c r="A93" s="0" t="n">
        <v>31</v>
      </c>
      <c r="B93" s="31" t="n">
        <v>30803</v>
      </c>
      <c r="C93" s="1" t="n">
        <v>772800</v>
      </c>
      <c r="D93" s="58" t="s">
        <v>41</v>
      </c>
      <c r="E93" s="33" t="n">
        <f aca="false">IF(D93="totale",(C93/(A93*24))/F93,IF(D93="marché libre",(C93/(A93*24))/G93,"spécifier histo"))</f>
        <v>0.472140762463343</v>
      </c>
      <c r="F93" s="59" t="n">
        <v>2200</v>
      </c>
      <c r="G93" s="59" t="n">
        <f aca="false">F93-H93</f>
        <v>2200</v>
      </c>
      <c r="H93" s="59"/>
      <c r="J93" s="55"/>
      <c r="K93" s="0"/>
      <c r="N93" s="0"/>
      <c r="O93" s="0"/>
      <c r="S93" s="0"/>
      <c r="X93" s="0"/>
      <c r="AB93" s="0"/>
    </row>
    <row r="94" customFormat="false" ht="19.85" hidden="false" customHeight="true" outlineLevel="0" collapsed="false">
      <c r="A94" s="0" t="n">
        <v>30</v>
      </c>
      <c r="B94" s="34" t="n">
        <v>30834</v>
      </c>
      <c r="C94" s="1" t="n">
        <v>806400</v>
      </c>
      <c r="D94" s="58" t="s">
        <v>41</v>
      </c>
      <c r="E94" s="33" t="n">
        <f aca="false">IF(D94="totale",(C94/(A94*24))/F94,IF(D94="marché libre",(C94/(A94*24))/G94,"spécifier histo"))</f>
        <v>0.509090909090909</v>
      </c>
      <c r="F94" s="59" t="n">
        <v>2200</v>
      </c>
      <c r="G94" s="59" t="n">
        <f aca="false">F94-H94</f>
        <v>2200</v>
      </c>
      <c r="H94" s="59"/>
      <c r="J94" s="55"/>
      <c r="K94" s="0"/>
      <c r="N94" s="0"/>
      <c r="O94" s="0"/>
      <c r="S94" s="0"/>
      <c r="X94" s="0"/>
      <c r="AB94" s="0"/>
    </row>
    <row r="95" customFormat="false" ht="19.85" hidden="false" customHeight="true" outlineLevel="0" collapsed="false">
      <c r="A95" s="0" t="n">
        <v>31</v>
      </c>
      <c r="B95" s="31" t="n">
        <v>30864</v>
      </c>
      <c r="C95" s="1" t="n">
        <v>324300</v>
      </c>
      <c r="D95" s="58" t="s">
        <v>41</v>
      </c>
      <c r="E95" s="33" t="n">
        <f aca="false">IF(D95="totale",(C95/(A95*24))/F95,IF(D95="marché libre",(C95/(A95*24))/G95,"spécifier histo"))</f>
        <v>0.198130498533724</v>
      </c>
      <c r="F95" s="59" t="n">
        <v>2200</v>
      </c>
      <c r="G95" s="59" t="n">
        <f aca="false">F95-H95</f>
        <v>2200</v>
      </c>
      <c r="H95" s="59"/>
      <c r="J95" s="55"/>
      <c r="K95" s="0"/>
      <c r="N95" s="0"/>
      <c r="O95" s="0"/>
      <c r="S95" s="0"/>
      <c r="X95" s="0"/>
      <c r="AB95" s="0"/>
    </row>
    <row r="96" customFormat="false" ht="19.85" hidden="false" customHeight="true" outlineLevel="0" collapsed="false">
      <c r="A96" s="0" t="n">
        <v>31</v>
      </c>
      <c r="B96" s="34" t="n">
        <v>30895</v>
      </c>
      <c r="C96" s="1" t="n">
        <v>204000</v>
      </c>
      <c r="D96" s="58" t="s">
        <v>41</v>
      </c>
      <c r="E96" s="33" t="n">
        <f aca="false">IF(D96="totale",(C96/(A96*24))/F96,IF(D96="marché libre",(C96/(A96*24))/G96,"spécifier histo"))</f>
        <v>0.124633431085044</v>
      </c>
      <c r="F96" s="59" t="n">
        <v>2200</v>
      </c>
      <c r="G96" s="59" t="n">
        <f aca="false">F96-H96</f>
        <v>2200</v>
      </c>
      <c r="H96" s="59"/>
      <c r="J96" s="55"/>
      <c r="K96" s="0"/>
      <c r="N96" s="0"/>
      <c r="O96" s="0"/>
      <c r="S96" s="0"/>
      <c r="X96" s="0"/>
      <c r="AB96" s="0"/>
    </row>
    <row r="97" customFormat="false" ht="19.85" hidden="false" customHeight="true" outlineLevel="0" collapsed="false">
      <c r="A97" s="0" t="n">
        <v>30</v>
      </c>
      <c r="B97" s="31" t="n">
        <v>30926</v>
      </c>
      <c r="C97" s="1" t="n">
        <v>315000</v>
      </c>
      <c r="D97" s="58" t="s">
        <v>41</v>
      </c>
      <c r="E97" s="33" t="n">
        <f aca="false">IF(D97="totale",(C97/(A97*24))/F97,IF(D97="marché libre",(C97/(A97*24))/G97,"spécifier histo"))</f>
        <v>0.198863636363636</v>
      </c>
      <c r="F97" s="59" t="n">
        <v>2200</v>
      </c>
      <c r="G97" s="59" t="n">
        <f aca="false">F97-H97</f>
        <v>2200</v>
      </c>
      <c r="H97" s="59"/>
      <c r="J97" s="55"/>
      <c r="K97" s="0"/>
      <c r="N97" s="0"/>
      <c r="O97" s="0"/>
      <c r="S97" s="0"/>
      <c r="X97" s="0"/>
      <c r="AB97" s="0"/>
    </row>
    <row r="98" customFormat="false" ht="19.85" hidden="false" customHeight="true" outlineLevel="0" collapsed="false">
      <c r="A98" s="0" t="n">
        <v>31</v>
      </c>
      <c r="B98" s="34" t="n">
        <v>30956</v>
      </c>
      <c r="C98" s="1" t="n">
        <v>511500</v>
      </c>
      <c r="D98" s="58" t="s">
        <v>41</v>
      </c>
      <c r="E98" s="33" t="n">
        <f aca="false">IF(D98="totale",(C98/(A98*24))/F98,IF(D98="marché libre",(C98/(A98*24))/G98,"spécifier histo"))</f>
        <v>0.3125</v>
      </c>
      <c r="F98" s="59" t="n">
        <v>2200</v>
      </c>
      <c r="G98" s="59" t="n">
        <f aca="false">F98-H98</f>
        <v>2200</v>
      </c>
      <c r="H98" s="59"/>
      <c r="J98" s="55"/>
      <c r="K98" s="0"/>
      <c r="N98" s="0"/>
      <c r="O98" s="0"/>
      <c r="S98" s="0"/>
      <c r="X98" s="0"/>
      <c r="AB98" s="0"/>
    </row>
    <row r="99" customFormat="false" ht="19.85" hidden="false" customHeight="true" outlineLevel="0" collapsed="false">
      <c r="A99" s="0" t="n">
        <v>30</v>
      </c>
      <c r="B99" s="31" t="n">
        <v>30987</v>
      </c>
      <c r="C99" s="1" t="n">
        <v>441600</v>
      </c>
      <c r="D99" s="58" t="s">
        <v>41</v>
      </c>
      <c r="E99" s="33" t="n">
        <f aca="false">IF(D99="totale",(C99/(A99*24))/F99,IF(D99="marché libre",(C99/(A99*24))/G99,"spécifier histo"))</f>
        <v>0.278787878787879</v>
      </c>
      <c r="F99" s="59" t="n">
        <v>2200</v>
      </c>
      <c r="G99" s="59" t="n">
        <f aca="false">F99-H99</f>
        <v>2200</v>
      </c>
      <c r="H99" s="59"/>
      <c r="J99" s="55"/>
      <c r="N99" s="0"/>
      <c r="O99" s="0"/>
      <c r="S99" s="0"/>
      <c r="X99" s="0"/>
      <c r="AB99" s="0"/>
    </row>
    <row r="100" customFormat="false" ht="19.85" hidden="false" customHeight="true" outlineLevel="0" collapsed="false">
      <c r="A100" s="0" t="n">
        <v>31</v>
      </c>
      <c r="B100" s="34" t="n">
        <v>31017</v>
      </c>
      <c r="C100" s="1" t="n">
        <v>703200</v>
      </c>
      <c r="D100" s="58" t="s">
        <v>41</v>
      </c>
      <c r="E100" s="33" t="n">
        <f aca="false">IF(D100="totale",(C100/(A100*24))/F100,IF(D100="marché libre",(C100/(A100*24))/G100,"spécifier histo"))</f>
        <v>0.429618768328446</v>
      </c>
      <c r="F100" s="59" t="n">
        <v>2200</v>
      </c>
      <c r="G100" s="59" t="n">
        <f aca="false">F100-H100</f>
        <v>2200</v>
      </c>
      <c r="H100" s="59"/>
      <c r="J100" s="55"/>
      <c r="N100" s="0"/>
      <c r="O100" s="0"/>
      <c r="S100" s="0"/>
      <c r="X100" s="0"/>
      <c r="AB100" s="0"/>
    </row>
    <row r="101" customFormat="false" ht="19.85" hidden="false" customHeight="true" outlineLevel="0" collapsed="false">
      <c r="A101" s="0" t="n">
        <v>31</v>
      </c>
      <c r="B101" s="31" t="n">
        <v>31048</v>
      </c>
      <c r="C101" s="1" t="n">
        <v>891300</v>
      </c>
      <c r="D101" s="58" t="s">
        <v>41</v>
      </c>
      <c r="E101" s="33" t="n">
        <f aca="false">IF(D101="totale",(C101/(A101*24))/F101,IF(D101="marché libre",(C101/(A101*24))/G101,"spécifier histo"))</f>
        <v>0.544538123167155</v>
      </c>
      <c r="F101" s="59" t="n">
        <v>2200</v>
      </c>
      <c r="G101" s="59" t="n">
        <f aca="false">F101-H101</f>
        <v>2200</v>
      </c>
      <c r="H101" s="59"/>
      <c r="J101" s="55"/>
      <c r="N101" s="0"/>
      <c r="O101" s="0"/>
      <c r="S101" s="0"/>
      <c r="X101" s="0"/>
      <c r="AB101" s="0"/>
    </row>
    <row r="102" customFormat="false" ht="19.85" hidden="false" customHeight="true" outlineLevel="0" collapsed="false">
      <c r="A102" s="0" t="n">
        <v>28</v>
      </c>
      <c r="B102" s="34" t="n">
        <v>31079</v>
      </c>
      <c r="C102" s="1" t="n">
        <v>829200</v>
      </c>
      <c r="D102" s="58" t="s">
        <v>41</v>
      </c>
      <c r="E102" s="33" t="n">
        <f aca="false">IF(D102="totale",(C102/(A102*24))/F102,IF(D102="marché libre",(C102/(A102*24))/G102,"spécifier histo"))</f>
        <v>0.560876623376623</v>
      </c>
      <c r="F102" s="59" t="n">
        <v>2200</v>
      </c>
      <c r="G102" s="59" t="n">
        <f aca="false">F102-H102</f>
        <v>2200</v>
      </c>
      <c r="H102" s="59"/>
      <c r="J102" s="55"/>
      <c r="N102" s="0"/>
      <c r="O102" s="0"/>
      <c r="S102" s="0"/>
      <c r="X102" s="0"/>
      <c r="AB102" s="0"/>
    </row>
    <row r="103" customFormat="false" ht="19.85" hidden="false" customHeight="true" outlineLevel="0" collapsed="false">
      <c r="A103" s="0" t="n">
        <v>31</v>
      </c>
      <c r="B103" s="31" t="n">
        <v>31107</v>
      </c>
      <c r="C103" s="1" t="n">
        <v>971700</v>
      </c>
      <c r="D103" s="58" t="s">
        <v>41</v>
      </c>
      <c r="E103" s="33" t="n">
        <f aca="false">IF(D103="totale",(C103/(A103*24))/F103,IF(D103="marché libre",(C103/(A103*24))/G103,"spécifier histo"))</f>
        <v>0.593658357771261</v>
      </c>
      <c r="F103" s="59" t="n">
        <v>2200</v>
      </c>
      <c r="G103" s="59" t="n">
        <f aca="false">F103-H103</f>
        <v>2200</v>
      </c>
      <c r="H103" s="59"/>
      <c r="J103" s="55"/>
      <c r="N103" s="0"/>
      <c r="O103" s="0"/>
      <c r="S103" s="0"/>
      <c r="X103" s="0"/>
      <c r="AB103" s="0"/>
    </row>
    <row r="104" customFormat="false" ht="19.85" hidden="false" customHeight="true" outlineLevel="0" collapsed="false">
      <c r="A104" s="0" t="n">
        <v>30</v>
      </c>
      <c r="B104" s="34" t="n">
        <v>31138</v>
      </c>
      <c r="C104" s="1" t="n">
        <v>911700</v>
      </c>
      <c r="D104" s="58" t="s">
        <v>41</v>
      </c>
      <c r="E104" s="33" t="n">
        <f aca="false">IF(D104="totale",(C104/(A104*24))/F104,IF(D104="marché libre",(C104/(A104*24))/G104,"spécifier histo"))</f>
        <v>0.575568181818182</v>
      </c>
      <c r="F104" s="59" t="n">
        <v>2200</v>
      </c>
      <c r="G104" s="59" t="n">
        <f aca="false">F104-H104</f>
        <v>2200</v>
      </c>
      <c r="H104" s="59"/>
      <c r="J104" s="55"/>
      <c r="N104" s="0"/>
      <c r="O104" s="0"/>
      <c r="S104" s="0"/>
      <c r="X104" s="0"/>
      <c r="AB104" s="0"/>
    </row>
    <row r="105" customFormat="false" ht="19.85" hidden="false" customHeight="true" outlineLevel="0" collapsed="false">
      <c r="A105" s="0" t="n">
        <v>31</v>
      </c>
      <c r="B105" s="31" t="n">
        <v>31168</v>
      </c>
      <c r="C105" s="1" t="n">
        <v>849900</v>
      </c>
      <c r="D105" s="58" t="s">
        <v>41</v>
      </c>
      <c r="E105" s="33" t="n">
        <f aca="false">IF(D105="totale",(C105/(A105*24))/F105,IF(D105="marché libre",(C105/(A105*24))/G105,"spécifier histo"))</f>
        <v>0.519244868035191</v>
      </c>
      <c r="F105" s="59" t="n">
        <v>2200</v>
      </c>
      <c r="G105" s="59" t="n">
        <f aca="false">F105-H105</f>
        <v>2200</v>
      </c>
      <c r="H105" s="59"/>
      <c r="J105" s="55"/>
      <c r="N105" s="0"/>
      <c r="O105" s="0"/>
      <c r="S105" s="0"/>
      <c r="X105" s="0"/>
      <c r="AB105" s="0"/>
    </row>
    <row r="106" customFormat="false" ht="19.85" hidden="false" customHeight="true" outlineLevel="0" collapsed="false">
      <c r="A106" s="0" t="n">
        <v>30</v>
      </c>
      <c r="B106" s="34" t="n">
        <v>31199</v>
      </c>
      <c r="C106" s="1" t="n">
        <v>488100</v>
      </c>
      <c r="D106" s="58" t="s">
        <v>41</v>
      </c>
      <c r="E106" s="33" t="n">
        <f aca="false">IF(D106="totale",(C106/(A106*24))/F106,IF(D106="marché libre",(C106/(A106*24))/G106,"spécifier histo"))</f>
        <v>0.308143939393939</v>
      </c>
      <c r="F106" s="59" t="n">
        <v>2200</v>
      </c>
      <c r="G106" s="59" t="n">
        <f aca="false">F106-H106</f>
        <v>2200</v>
      </c>
      <c r="H106" s="59"/>
      <c r="J106" s="55"/>
      <c r="N106" s="0"/>
      <c r="O106" s="0"/>
      <c r="S106" s="0"/>
      <c r="X106" s="0"/>
      <c r="AB106" s="0"/>
    </row>
    <row r="107" customFormat="false" ht="19.85" hidden="false" customHeight="true" outlineLevel="0" collapsed="false">
      <c r="A107" s="0" t="n">
        <v>31</v>
      </c>
      <c r="B107" s="31" t="n">
        <v>31229</v>
      </c>
      <c r="C107" s="1" t="n">
        <v>234300</v>
      </c>
      <c r="D107" s="58" t="s">
        <v>41</v>
      </c>
      <c r="E107" s="33" t="n">
        <f aca="false">IF(D107="totale",(C107/(A107*24))/F107,IF(D107="marché libre",(C107/(A107*24))/G107,"spécifier histo"))</f>
        <v>0.143145161290323</v>
      </c>
      <c r="F107" s="59" t="n">
        <v>2200</v>
      </c>
      <c r="G107" s="59" t="n">
        <f aca="false">F107-H107</f>
        <v>2200</v>
      </c>
      <c r="H107" s="59"/>
      <c r="J107" s="55"/>
      <c r="N107" s="0"/>
      <c r="O107" s="0"/>
      <c r="S107" s="0"/>
      <c r="X107" s="0"/>
      <c r="AB107" s="0"/>
    </row>
    <row r="108" customFormat="false" ht="19.85" hidden="false" customHeight="true" outlineLevel="0" collapsed="false">
      <c r="A108" s="0" t="n">
        <v>31</v>
      </c>
      <c r="B108" s="34" t="n">
        <v>31260</v>
      </c>
      <c r="C108" s="1" t="n">
        <v>368100</v>
      </c>
      <c r="D108" s="58" t="s">
        <v>41</v>
      </c>
      <c r="E108" s="33" t="n">
        <f aca="false">IF(D108="totale",(C108/(A108*24))/F108,IF(D108="marché libre",(C108/(A108*24))/G108,"spécifier histo"))</f>
        <v>0.224890029325513</v>
      </c>
      <c r="F108" s="59" t="n">
        <v>2200</v>
      </c>
      <c r="G108" s="59" t="n">
        <f aca="false">F108-H108</f>
        <v>2200</v>
      </c>
      <c r="H108" s="59"/>
      <c r="J108" s="55"/>
      <c r="N108" s="0"/>
      <c r="O108" s="0"/>
      <c r="S108" s="0"/>
      <c r="X108" s="0"/>
      <c r="AB108" s="0"/>
    </row>
    <row r="109" customFormat="false" ht="19.85" hidden="false" customHeight="true" outlineLevel="0" collapsed="false">
      <c r="A109" s="0" t="n">
        <v>30</v>
      </c>
      <c r="B109" s="31" t="n">
        <v>31291</v>
      </c>
      <c r="C109" s="1" t="n">
        <v>315900</v>
      </c>
      <c r="D109" s="58" t="s">
        <v>41</v>
      </c>
      <c r="E109" s="33" t="n">
        <f aca="false">IF(D109="totale",(C109/(A109*24))/F109,IF(D109="marché libre",(C109/(A109*24))/G109,"spécifier histo"))</f>
        <v>0.199431818181818</v>
      </c>
      <c r="F109" s="59" t="n">
        <v>2200</v>
      </c>
      <c r="G109" s="59" t="n">
        <f aca="false">F109-H109</f>
        <v>2200</v>
      </c>
      <c r="H109" s="59"/>
      <c r="J109" s="55"/>
      <c r="N109" s="0"/>
      <c r="O109" s="0"/>
      <c r="S109" s="0"/>
      <c r="X109" s="0"/>
      <c r="AB109" s="0"/>
    </row>
    <row r="110" customFormat="false" ht="19.85" hidden="false" customHeight="true" outlineLevel="0" collapsed="false">
      <c r="A110" s="0" t="n">
        <v>31</v>
      </c>
      <c r="B110" s="34" t="n">
        <v>31321</v>
      </c>
      <c r="C110" s="1" t="n">
        <v>417900</v>
      </c>
      <c r="D110" s="58" t="s">
        <v>41</v>
      </c>
      <c r="E110" s="33" t="n">
        <f aca="false">IF(D110="totale",(C110/(A110*24))/F110,IF(D110="marché libre",(C110/(A110*24))/G110,"spécifier histo"))</f>
        <v>0.255315249266862</v>
      </c>
      <c r="F110" s="59" t="n">
        <v>2200</v>
      </c>
      <c r="G110" s="59" t="n">
        <f aca="false">F110-H110</f>
        <v>2200</v>
      </c>
      <c r="H110" s="59"/>
      <c r="J110" s="55"/>
      <c r="N110" s="0"/>
      <c r="O110" s="0"/>
      <c r="S110" s="0"/>
      <c r="X110" s="0"/>
    </row>
    <row r="111" customFormat="false" ht="19.85" hidden="false" customHeight="true" outlineLevel="0" collapsed="false">
      <c r="A111" s="0" t="n">
        <v>30</v>
      </c>
      <c r="B111" s="31" t="n">
        <v>31352</v>
      </c>
      <c r="C111" s="1" t="n">
        <v>448500</v>
      </c>
      <c r="D111" s="58" t="s">
        <v>41</v>
      </c>
      <c r="E111" s="33" t="n">
        <f aca="false">IF(D111="totale",(C111/(A111*24))/F111,IF(D111="marché libre",(C111/(A111*24))/G111,"spécifier histo"))</f>
        <v>0.283143939393939</v>
      </c>
      <c r="F111" s="59" t="n">
        <v>2200</v>
      </c>
      <c r="G111" s="59" t="n">
        <f aca="false">F111-H111</f>
        <v>2200</v>
      </c>
      <c r="H111" s="59"/>
      <c r="J111" s="55"/>
      <c r="N111" s="0"/>
      <c r="O111" s="0"/>
      <c r="S111" s="0"/>
      <c r="X111" s="0"/>
    </row>
    <row r="112" customFormat="false" ht="19.85" hidden="false" customHeight="true" outlineLevel="0" collapsed="false">
      <c r="A112" s="0" t="n">
        <v>31</v>
      </c>
      <c r="B112" s="34" t="n">
        <v>31382</v>
      </c>
      <c r="C112" s="1" t="n">
        <v>101400</v>
      </c>
      <c r="D112" s="58" t="s">
        <v>41</v>
      </c>
      <c r="E112" s="33" t="n">
        <f aca="false">IF(D112="totale",(C112/(A112*24))/F112,IF(D112="marché libre",(C112/(A112*24))/G112,"spécifier histo"))</f>
        <v>0.061950146627566</v>
      </c>
      <c r="F112" s="59" t="n">
        <v>2200</v>
      </c>
      <c r="G112" s="59" t="n">
        <f aca="false">F112-H112</f>
        <v>2200</v>
      </c>
      <c r="H112" s="59"/>
      <c r="J112" s="55"/>
      <c r="N112" s="0"/>
      <c r="O112" s="0"/>
      <c r="S112" s="0"/>
      <c r="X112" s="0"/>
    </row>
    <row r="113" customFormat="false" ht="19.85" hidden="false" customHeight="true" outlineLevel="0" collapsed="false">
      <c r="A113" s="0" t="n">
        <v>31</v>
      </c>
      <c r="B113" s="31" t="n">
        <v>31413</v>
      </c>
      <c r="C113" s="1" t="n">
        <v>626700</v>
      </c>
      <c r="D113" s="58" t="s">
        <v>41</v>
      </c>
      <c r="E113" s="33" t="n">
        <f aca="false">IF(D113="totale",(C113/(A113*24))/F113,IF(D113="marché libre",(C113/(A113*24))/G113,"spécifier histo"))</f>
        <v>0.382881231671554</v>
      </c>
      <c r="F113" s="59" t="n">
        <v>2200</v>
      </c>
      <c r="G113" s="59" t="n">
        <f aca="false">F113-H113</f>
        <v>2200</v>
      </c>
      <c r="H113" s="59"/>
      <c r="J113" s="55"/>
      <c r="N113" s="0"/>
      <c r="O113" s="0"/>
      <c r="S113" s="0"/>
      <c r="X113" s="0"/>
    </row>
    <row r="114" customFormat="false" ht="19.85" hidden="false" customHeight="true" outlineLevel="0" collapsed="false">
      <c r="A114" s="0" t="n">
        <v>28</v>
      </c>
      <c r="B114" s="34" t="n">
        <v>31444</v>
      </c>
      <c r="C114" s="1" t="n">
        <v>784200</v>
      </c>
      <c r="D114" s="58" t="s">
        <v>41</v>
      </c>
      <c r="E114" s="33" t="n">
        <f aca="false">IF(D114="totale",(C114/(A114*24))/F114,IF(D114="marché libre",(C114/(A114*24))/G114,"spécifier histo"))</f>
        <v>0.530438311688312</v>
      </c>
      <c r="F114" s="59" t="n">
        <v>2200</v>
      </c>
      <c r="G114" s="59" t="n">
        <f aca="false">F114-H114</f>
        <v>2200</v>
      </c>
      <c r="H114" s="59"/>
      <c r="J114" s="55"/>
      <c r="N114" s="0"/>
      <c r="O114" s="0"/>
      <c r="S114" s="0"/>
      <c r="X114" s="0"/>
    </row>
    <row r="115" customFormat="false" ht="19.85" hidden="false" customHeight="true" outlineLevel="0" collapsed="false">
      <c r="A115" s="0" t="n">
        <v>31</v>
      </c>
      <c r="B115" s="31" t="n">
        <v>31472</v>
      </c>
      <c r="C115" s="1" t="n">
        <v>543900</v>
      </c>
      <c r="D115" s="58" t="s">
        <v>41</v>
      </c>
      <c r="E115" s="33" t="n">
        <f aca="false">IF(D115="totale",(C115/(A115*24))/F115,IF(D115="marché libre",(C115/(A115*24))/G115,"spécifier histo"))</f>
        <v>0.332294721407625</v>
      </c>
      <c r="F115" s="59" t="n">
        <v>2200</v>
      </c>
      <c r="G115" s="59" t="n">
        <f aca="false">F115-H115</f>
        <v>2200</v>
      </c>
      <c r="H115" s="59"/>
      <c r="J115" s="55"/>
      <c r="N115" s="0"/>
      <c r="O115" s="0"/>
      <c r="S115" s="0"/>
      <c r="X115" s="0"/>
    </row>
    <row r="116" customFormat="false" ht="19.85" hidden="false" customHeight="true" outlineLevel="0" collapsed="false">
      <c r="A116" s="0" t="n">
        <v>30</v>
      </c>
      <c r="B116" s="34" t="n">
        <v>31503</v>
      </c>
      <c r="C116" s="1" t="n">
        <v>418800</v>
      </c>
      <c r="D116" s="58" t="s">
        <v>41</v>
      </c>
      <c r="E116" s="33" t="n">
        <f aca="false">IF(D116="totale",(C116/(A116*24))/F116,IF(D116="marché libre",(C116/(A116*24))/G116,"spécifier histo"))</f>
        <v>0.264393939393939</v>
      </c>
      <c r="F116" s="59" t="n">
        <v>2200</v>
      </c>
      <c r="G116" s="59" t="n">
        <f aca="false">F116-H116</f>
        <v>2200</v>
      </c>
      <c r="H116" s="59"/>
      <c r="J116" s="55"/>
      <c r="N116" s="0"/>
      <c r="O116" s="0"/>
      <c r="S116" s="0"/>
      <c r="X116" s="0"/>
    </row>
    <row r="117" customFormat="false" ht="19.85" hidden="false" customHeight="true" outlineLevel="0" collapsed="false">
      <c r="A117" s="0" t="n">
        <v>31</v>
      </c>
      <c r="B117" s="31" t="n">
        <v>31533</v>
      </c>
      <c r="C117" s="1" t="n">
        <v>506400</v>
      </c>
      <c r="D117" s="58" t="s">
        <v>41</v>
      </c>
      <c r="E117" s="33" t="n">
        <f aca="false">IF(D117="totale",(C117/(A117*24))/F117,IF(D117="marché libre",(C117/(A117*24))/G117,"spécifier histo"))</f>
        <v>0.309384164222874</v>
      </c>
      <c r="F117" s="59" t="n">
        <v>2200</v>
      </c>
      <c r="G117" s="59" t="n">
        <f aca="false">F117-H117</f>
        <v>2200</v>
      </c>
      <c r="H117" s="59"/>
      <c r="J117" s="55"/>
      <c r="N117" s="0"/>
      <c r="O117" s="0"/>
      <c r="S117" s="0"/>
      <c r="X117" s="0"/>
    </row>
    <row r="118" customFormat="false" ht="19.85" hidden="false" customHeight="true" outlineLevel="0" collapsed="false">
      <c r="A118" s="0" t="n">
        <v>30</v>
      </c>
      <c r="B118" s="34" t="n">
        <v>31564</v>
      </c>
      <c r="C118" s="1" t="n">
        <v>335700</v>
      </c>
      <c r="D118" s="58" t="s">
        <v>41</v>
      </c>
      <c r="E118" s="33" t="n">
        <f aca="false">IF(D118="totale",(C118/(A118*24))/F118,IF(D118="marché libre",(C118/(A118*24))/G118,"spécifier histo"))</f>
        <v>0.211931818181818</v>
      </c>
      <c r="F118" s="59" t="n">
        <v>2200</v>
      </c>
      <c r="G118" s="59" t="n">
        <f aca="false">F118-H118</f>
        <v>2200</v>
      </c>
      <c r="H118" s="59"/>
      <c r="J118" s="55"/>
      <c r="N118" s="0"/>
      <c r="O118" s="0"/>
      <c r="S118" s="0"/>
      <c r="X118" s="0"/>
    </row>
    <row r="119" customFormat="false" ht="19.85" hidden="false" customHeight="true" outlineLevel="0" collapsed="false">
      <c r="A119" s="0" t="n">
        <v>31</v>
      </c>
      <c r="B119" s="31" t="n">
        <v>31594</v>
      </c>
      <c r="C119" s="1" t="n">
        <v>94500</v>
      </c>
      <c r="D119" s="58" t="s">
        <v>41</v>
      </c>
      <c r="E119" s="33" t="n">
        <f aca="false">IF(D119="totale",(C119/(A119*24))/F119,IF(D119="marché libre",(C119/(A119*24))/G119,"spécifier histo"))</f>
        <v>0.0577346041055719</v>
      </c>
      <c r="F119" s="59" t="n">
        <v>2200</v>
      </c>
      <c r="G119" s="59" t="n">
        <f aca="false">F119-H119</f>
        <v>2200</v>
      </c>
      <c r="H119" s="59"/>
      <c r="J119" s="55"/>
      <c r="N119" s="0"/>
      <c r="O119" s="0"/>
      <c r="S119" s="0"/>
      <c r="X119" s="0"/>
    </row>
    <row r="120" customFormat="false" ht="19.85" hidden="false" customHeight="true" outlineLevel="0" collapsed="false">
      <c r="A120" s="0" t="n">
        <v>31</v>
      </c>
      <c r="B120" s="34" t="n">
        <v>31625</v>
      </c>
      <c r="C120" s="1" t="n">
        <v>83400</v>
      </c>
      <c r="D120" s="58" t="s">
        <v>41</v>
      </c>
      <c r="E120" s="33" t="n">
        <f aca="false">IF(D120="totale",(C120/(A120*24))/F120,IF(D120="marché libre",(C120/(A120*24))/G120,"spécifier histo"))</f>
        <v>0.0509530791788856</v>
      </c>
      <c r="F120" s="59" t="n">
        <v>2200</v>
      </c>
      <c r="G120" s="59" t="n">
        <f aca="false">F120-H120</f>
        <v>2200</v>
      </c>
      <c r="H120" s="59"/>
      <c r="J120" s="55"/>
      <c r="N120" s="0"/>
      <c r="O120" s="0"/>
      <c r="S120" s="0"/>
      <c r="X120" s="0"/>
    </row>
    <row r="121" customFormat="false" ht="19.85" hidden="false" customHeight="true" outlineLevel="0" collapsed="false">
      <c r="A121" s="0" t="n">
        <v>30</v>
      </c>
      <c r="B121" s="31" t="n">
        <v>31656</v>
      </c>
      <c r="C121" s="1" t="n">
        <v>152400</v>
      </c>
      <c r="D121" s="58" t="s">
        <v>41</v>
      </c>
      <c r="E121" s="33" t="n">
        <f aca="false">IF(D121="totale",(C121/(A121*24))/F121,IF(D121="marché libre",(C121/(A121*24))/G121,"spécifier histo"))</f>
        <v>0.0962121212121212</v>
      </c>
      <c r="F121" s="59" t="n">
        <v>2200</v>
      </c>
      <c r="G121" s="59" t="n">
        <f aca="false">F121-H121</f>
        <v>2200</v>
      </c>
      <c r="H121" s="59"/>
      <c r="J121" s="55"/>
      <c r="N121" s="0"/>
      <c r="O121" s="0"/>
      <c r="S121" s="0"/>
      <c r="X121" s="0"/>
    </row>
    <row r="122" customFormat="false" ht="19.85" hidden="false" customHeight="true" outlineLevel="0" collapsed="false">
      <c r="A122" s="0" t="n">
        <v>31</v>
      </c>
      <c r="B122" s="34" t="n">
        <v>31686</v>
      </c>
      <c r="C122" s="1" t="n">
        <v>166200</v>
      </c>
      <c r="D122" s="58" t="s">
        <v>41</v>
      </c>
      <c r="E122" s="33" t="n">
        <f aca="false">IF(D122="totale",(C122/(A122*24))/F122,IF(D122="marché libre",(C122/(A122*24))/G122,"spécifier histo"))</f>
        <v>0.101539589442815</v>
      </c>
      <c r="F122" s="59" t="n">
        <v>2200</v>
      </c>
      <c r="G122" s="59" t="n">
        <f aca="false">F122-H122</f>
        <v>2200</v>
      </c>
      <c r="H122" s="59"/>
      <c r="J122" s="0"/>
      <c r="K122" s="0"/>
      <c r="L122" s="0"/>
      <c r="M122" s="0"/>
      <c r="N122" s="0"/>
      <c r="O122" s="0"/>
      <c r="P122" s="0"/>
      <c r="S122" s="0"/>
      <c r="X122" s="0"/>
    </row>
    <row r="123" customFormat="false" ht="19.85" hidden="false" customHeight="true" outlineLevel="0" collapsed="false">
      <c r="A123" s="0" t="n">
        <v>30</v>
      </c>
      <c r="B123" s="31" t="n">
        <v>31717</v>
      </c>
      <c r="C123" s="1" t="n">
        <v>548100</v>
      </c>
      <c r="D123" s="58" t="s">
        <v>41</v>
      </c>
      <c r="E123" s="33" t="n">
        <f aca="false">IF(D123="totale",(C123/(A123*24))/F123,IF(D123="marché libre",(C123/(A123*24))/G123,"spécifier histo"))</f>
        <v>0.346022727272727</v>
      </c>
      <c r="F123" s="59" t="n">
        <v>2200</v>
      </c>
      <c r="G123" s="59" t="n">
        <f aca="false">F123-H123</f>
        <v>2200</v>
      </c>
      <c r="H123" s="0"/>
      <c r="J123" s="0"/>
      <c r="K123" s="0"/>
      <c r="L123" s="0"/>
      <c r="M123" s="0"/>
      <c r="N123" s="0"/>
      <c r="O123" s="0"/>
      <c r="P123" s="0"/>
      <c r="S123" s="0"/>
      <c r="X123" s="0"/>
    </row>
    <row r="124" customFormat="false" ht="19.85" hidden="false" customHeight="true" outlineLevel="0" collapsed="false">
      <c r="A124" s="0" t="n">
        <v>31</v>
      </c>
      <c r="B124" s="34" t="n">
        <v>31747</v>
      </c>
      <c r="C124" s="1" t="n">
        <v>760200</v>
      </c>
      <c r="D124" s="58" t="s">
        <v>41</v>
      </c>
      <c r="E124" s="33" t="n">
        <f aca="false">IF(D124="totale",(C124/(A124*24))/F124,IF(D124="marché libre",(C124/(A124*24))/G124,"spécifier histo"))</f>
        <v>0.464442815249267</v>
      </c>
      <c r="F124" s="59" t="n">
        <v>2200</v>
      </c>
      <c r="G124" s="59" t="n">
        <f aca="false">F124-H124</f>
        <v>2200</v>
      </c>
      <c r="H124" s="0"/>
      <c r="J124" s="0"/>
      <c r="K124" s="0"/>
      <c r="L124" s="0"/>
      <c r="M124" s="0"/>
      <c r="N124" s="0"/>
      <c r="O124" s="0"/>
      <c r="P124" s="0"/>
      <c r="S124" s="0"/>
      <c r="X124" s="0"/>
    </row>
    <row r="125" customFormat="false" ht="19.85" hidden="false" customHeight="true" outlineLevel="0" collapsed="false">
      <c r="A125" s="0" t="n">
        <v>31</v>
      </c>
      <c r="B125" s="31" t="n">
        <v>31778</v>
      </c>
      <c r="C125" s="1" t="n">
        <v>935700</v>
      </c>
      <c r="D125" s="58" t="s">
        <v>41</v>
      </c>
      <c r="E125" s="33" t="n">
        <f aca="false">IF(D125="totale",(C125/(A125*24))/F125,IF(D125="marché libre",(C125/(A125*24))/G125,"spécifier histo"))</f>
        <v>0.5716642228739</v>
      </c>
      <c r="F125" s="59" t="n">
        <v>2200</v>
      </c>
      <c r="G125" s="59" t="n">
        <f aca="false">F125-H125</f>
        <v>2200</v>
      </c>
      <c r="H125" s="0"/>
      <c r="J125" s="0"/>
      <c r="K125" s="0"/>
      <c r="L125" s="0"/>
      <c r="M125" s="0"/>
      <c r="N125" s="0"/>
      <c r="O125" s="0"/>
      <c r="P125" s="0"/>
      <c r="S125" s="0"/>
      <c r="X125" s="0"/>
    </row>
    <row r="126" customFormat="false" ht="19.85" hidden="false" customHeight="true" outlineLevel="0" collapsed="false">
      <c r="A126" s="0" t="n">
        <v>28</v>
      </c>
      <c r="B126" s="34" t="n">
        <v>31809</v>
      </c>
      <c r="C126" s="1" t="n">
        <v>845100</v>
      </c>
      <c r="D126" s="58" t="s">
        <v>41</v>
      </c>
      <c r="E126" s="33" t="n">
        <f aca="false">IF(D126="totale",(C126/(A126*24))/F126,IF(D126="marché libre",(C126/(A126*24))/G126,"spécifier histo"))</f>
        <v>0.571631493506494</v>
      </c>
      <c r="F126" s="59" t="n">
        <v>2200</v>
      </c>
      <c r="G126" s="59" t="n">
        <f aca="false">F126-H126</f>
        <v>2200</v>
      </c>
      <c r="H126" s="0"/>
      <c r="J126" s="0"/>
      <c r="K126" s="0"/>
      <c r="L126" s="0"/>
      <c r="M126" s="0"/>
      <c r="N126" s="0"/>
      <c r="O126" s="0"/>
      <c r="P126" s="0"/>
      <c r="S126" s="0"/>
      <c r="X126" s="0"/>
    </row>
    <row r="127" customFormat="false" ht="19.85" hidden="false" customHeight="true" outlineLevel="0" collapsed="false">
      <c r="A127" s="0" t="n">
        <v>31</v>
      </c>
      <c r="B127" s="31" t="n">
        <v>31837</v>
      </c>
      <c r="C127" s="1" t="n">
        <v>919500</v>
      </c>
      <c r="D127" s="58" t="s">
        <v>41</v>
      </c>
      <c r="E127" s="33" t="n">
        <f aca="false">IF(D127="totale",(C127/(A127*24))/F127,IF(D127="marché libre",(C127/(A127*24))/G127,"spécifier histo"))</f>
        <v>0.561766862170088</v>
      </c>
      <c r="F127" s="59" t="n">
        <v>2200</v>
      </c>
      <c r="G127" s="59" t="n">
        <f aca="false">F127-H127</f>
        <v>2200</v>
      </c>
      <c r="H127" s="0"/>
      <c r="J127" s="55"/>
      <c r="N127" s="0"/>
      <c r="O127" s="0"/>
      <c r="S127" s="0"/>
      <c r="X127" s="0"/>
    </row>
    <row r="128" customFormat="false" ht="19.85" hidden="false" customHeight="true" outlineLevel="0" collapsed="false">
      <c r="A128" s="0" t="n">
        <v>30</v>
      </c>
      <c r="B128" s="34" t="n">
        <v>31868</v>
      </c>
      <c r="C128" s="1" t="n">
        <v>894900</v>
      </c>
      <c r="D128" s="58" t="s">
        <v>41</v>
      </c>
      <c r="E128" s="33" t="n">
        <f aca="false">IF(D128="totale",(C128/(A128*24))/F128,IF(D128="marché libre",(C128/(A128*24))/G128,"spécifier histo"))</f>
        <v>0.564962121212121</v>
      </c>
      <c r="F128" s="59" t="n">
        <v>2200</v>
      </c>
      <c r="G128" s="59" t="n">
        <f aca="false">F128-H128</f>
        <v>2200</v>
      </c>
      <c r="H128" s="0"/>
      <c r="N128" s="0"/>
      <c r="Q128" s="0"/>
    </row>
    <row r="129" customFormat="false" ht="19.85" hidden="false" customHeight="true" outlineLevel="0" collapsed="false">
      <c r="A129" s="0" t="n">
        <v>31</v>
      </c>
      <c r="B129" s="31" t="n">
        <v>31898</v>
      </c>
      <c r="C129" s="1" t="n">
        <v>688200</v>
      </c>
      <c r="D129" s="58" t="s">
        <v>41</v>
      </c>
      <c r="E129" s="33" t="n">
        <f aca="false">IF(D129="totale",(C129/(A129*24))/F129,IF(D129="marché libre",(C129/(A129*24))/G129,"spécifier histo"))</f>
        <v>0.420454545454545</v>
      </c>
      <c r="F129" s="59" t="n">
        <v>2200</v>
      </c>
      <c r="G129" s="59" t="n">
        <f aca="false">F129-H129</f>
        <v>2200</v>
      </c>
      <c r="H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row>
    <row r="130" customFormat="false" ht="19.85" hidden="false" customHeight="true" outlineLevel="0" collapsed="false">
      <c r="A130" s="0" t="n">
        <v>30</v>
      </c>
      <c r="B130" s="34" t="n">
        <v>31929</v>
      </c>
      <c r="C130" s="1" t="n">
        <v>416100</v>
      </c>
      <c r="D130" s="58" t="s">
        <v>41</v>
      </c>
      <c r="E130" s="33" t="n">
        <f aca="false">IF(D130="totale",(C130/(A130*24))/F130,IF(D130="marché libre",(C130/(A130*24))/G130,"spécifier histo"))</f>
        <v>0.262689393939394</v>
      </c>
      <c r="F130" s="59" t="n">
        <v>2200</v>
      </c>
      <c r="G130" s="59" t="n">
        <f aca="false">F130-H130</f>
        <v>2200</v>
      </c>
      <c r="H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row>
    <row r="131" customFormat="false" ht="19.85" hidden="false" customHeight="true" outlineLevel="0" collapsed="false">
      <c r="A131" s="0" t="n">
        <v>31</v>
      </c>
      <c r="B131" s="31" t="n">
        <v>31959</v>
      </c>
      <c r="C131" s="1" t="n">
        <v>365700</v>
      </c>
      <c r="D131" s="58" t="s">
        <v>41</v>
      </c>
      <c r="E131" s="33" t="n">
        <f aca="false">IF(D131="totale",(C131/(A131*24))/F131,IF(D131="marché libre",(C131/(A131*24))/G131,"spécifier histo"))</f>
        <v>0.223423753665689</v>
      </c>
      <c r="F131" s="59" t="n">
        <v>2200</v>
      </c>
      <c r="G131" s="59" t="n">
        <f aca="false">F131-H131</f>
        <v>2200</v>
      </c>
      <c r="H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row>
    <row r="132" customFormat="false" ht="19.85" hidden="false" customHeight="true" outlineLevel="0" collapsed="false">
      <c r="A132" s="0" t="n">
        <v>31</v>
      </c>
      <c r="B132" s="34" t="n">
        <v>31990</v>
      </c>
      <c r="C132" s="1" t="n">
        <v>139800</v>
      </c>
      <c r="D132" s="58" t="s">
        <v>41</v>
      </c>
      <c r="E132" s="33" t="n">
        <f aca="false">IF(D132="totale",(C132/(A132*24))/F132,IF(D132="marché libre",(C132/(A132*24))/G132,"spécifier histo"))</f>
        <v>0.0854105571847507</v>
      </c>
      <c r="F132" s="59" t="n">
        <v>2200</v>
      </c>
      <c r="G132" s="59" t="n">
        <f aca="false">F132-H132</f>
        <v>2200</v>
      </c>
      <c r="H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row>
    <row r="133" customFormat="false" ht="19.85" hidden="false" customHeight="true" outlineLevel="0" collapsed="false">
      <c r="A133" s="0" t="n">
        <v>30</v>
      </c>
      <c r="B133" s="31" t="n">
        <v>32021</v>
      </c>
      <c r="C133" s="1" t="n">
        <v>270900</v>
      </c>
      <c r="D133" s="58" t="s">
        <v>41</v>
      </c>
      <c r="E133" s="33" t="n">
        <f aca="false">IF(D133="totale",(C133/(A133*24))/F133,IF(D133="marché libre",(C133/(A133*24))/G133,"spécifier histo"))</f>
        <v>0.171022727272727</v>
      </c>
      <c r="F133" s="59" t="n">
        <v>2200</v>
      </c>
      <c r="G133" s="59" t="n">
        <f aca="false">F133-H133</f>
        <v>2200</v>
      </c>
      <c r="H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row>
    <row r="134" customFormat="false" ht="19.85" hidden="false" customHeight="true" outlineLevel="0" collapsed="false">
      <c r="A134" s="0" t="n">
        <v>31</v>
      </c>
      <c r="B134" s="34" t="n">
        <v>32051</v>
      </c>
      <c r="C134" s="1" t="n">
        <v>489000</v>
      </c>
      <c r="D134" s="58" t="s">
        <v>41</v>
      </c>
      <c r="E134" s="33" t="n">
        <f aca="false">IF(D134="totale",(C134/(A134*24))/F134,IF(D134="marché libre",(C134/(A134*24))/G134,"spécifier histo"))</f>
        <v>0.29875366568915</v>
      </c>
      <c r="F134" s="59" t="n">
        <v>2200</v>
      </c>
      <c r="G134" s="59" t="n">
        <f aca="false">F134-H134</f>
        <v>2200</v>
      </c>
      <c r="H134" s="0"/>
      <c r="K134" s="0"/>
      <c r="L134" s="0"/>
      <c r="M134" s="0"/>
      <c r="N134" s="0"/>
      <c r="O134" s="0"/>
      <c r="P134" s="0"/>
      <c r="Q134" s="0"/>
      <c r="R134" s="0"/>
      <c r="S134" s="0"/>
      <c r="T134" s="0"/>
      <c r="U134" s="0"/>
      <c r="V134" s="0"/>
      <c r="W134" s="0"/>
      <c r="X134" s="0"/>
      <c r="Y134" s="0"/>
      <c r="Z134" s="0"/>
      <c r="AA134" s="0"/>
      <c r="AB134" s="0"/>
      <c r="AC134" s="0"/>
      <c r="AD134" s="0"/>
      <c r="AE134" s="0"/>
      <c r="AF134" s="0"/>
      <c r="AG134" s="0"/>
      <c r="AH134" s="0"/>
    </row>
    <row r="135" customFormat="false" ht="19.85" hidden="false" customHeight="true" outlineLevel="0" collapsed="false">
      <c r="A135" s="0" t="n">
        <v>30</v>
      </c>
      <c r="B135" s="31" t="n">
        <v>32082</v>
      </c>
      <c r="C135" s="1" t="n">
        <v>749400</v>
      </c>
      <c r="D135" s="58" t="s">
        <v>41</v>
      </c>
      <c r="E135" s="33" t="n">
        <f aca="false">IF(D135="totale",(C135/(A135*24))/F135,IF(D135="marché libre",(C135/(A135*24))/G135,"spécifier histo"))</f>
        <v>0.473106060606061</v>
      </c>
      <c r="F135" s="59" t="n">
        <v>2200</v>
      </c>
      <c r="G135" s="59" t="n">
        <f aca="false">F135-H135</f>
        <v>2200</v>
      </c>
      <c r="H135" s="0"/>
      <c r="K135" s="0"/>
      <c r="L135" s="0"/>
      <c r="M135" s="0"/>
      <c r="N135" s="0"/>
      <c r="O135" s="0"/>
      <c r="P135" s="0"/>
      <c r="Q135" s="0"/>
      <c r="R135" s="0"/>
      <c r="S135" s="0"/>
      <c r="T135" s="0"/>
      <c r="U135" s="0"/>
      <c r="V135" s="0"/>
      <c r="W135" s="0"/>
      <c r="X135" s="0"/>
      <c r="Y135" s="0"/>
      <c r="Z135" s="0"/>
      <c r="AA135" s="0"/>
      <c r="AB135" s="0"/>
      <c r="AC135" s="0"/>
      <c r="AD135" s="0"/>
      <c r="AE135" s="0"/>
      <c r="AF135" s="0"/>
      <c r="AG135" s="0"/>
      <c r="AH135" s="0"/>
    </row>
    <row r="136" customFormat="false" ht="19.85" hidden="false" customHeight="true" outlineLevel="0" collapsed="false">
      <c r="A136" s="0" t="n">
        <v>31</v>
      </c>
      <c r="B136" s="34" t="n">
        <v>32112</v>
      </c>
      <c r="C136" s="1" t="n">
        <v>780300</v>
      </c>
      <c r="D136" s="58" t="s">
        <v>41</v>
      </c>
      <c r="E136" s="33" t="n">
        <f aca="false">IF(D136="totale",(C136/(A136*24))/F136,IF(D136="marché libre",(C136/(A136*24))/G136,"spécifier histo"))</f>
        <v>0.476722873900293</v>
      </c>
      <c r="F136" s="59" t="n">
        <v>2200</v>
      </c>
      <c r="G136" s="59" t="n">
        <f aca="false">F136-H136</f>
        <v>2200</v>
      </c>
      <c r="H136" s="0"/>
      <c r="K136" s="0"/>
      <c r="L136" s="0"/>
      <c r="M136" s="0"/>
      <c r="N136" s="0"/>
      <c r="O136" s="0"/>
      <c r="P136" s="0"/>
      <c r="Q136" s="0"/>
      <c r="R136" s="0"/>
      <c r="S136" s="0"/>
      <c r="T136" s="0"/>
      <c r="U136" s="0"/>
      <c r="V136" s="0"/>
      <c r="W136" s="0"/>
      <c r="X136" s="0"/>
      <c r="Y136" s="0"/>
      <c r="Z136" s="0"/>
      <c r="AA136" s="0"/>
      <c r="AB136" s="0"/>
      <c r="AC136" s="0"/>
      <c r="AD136" s="0"/>
      <c r="AE136" s="0"/>
      <c r="AF136" s="0"/>
      <c r="AG136" s="0"/>
      <c r="AH136" s="0"/>
    </row>
    <row r="137" customFormat="false" ht="19.95" hidden="false" customHeight="true" outlineLevel="0" collapsed="false">
      <c r="A137" s="0" t="n">
        <v>31</v>
      </c>
      <c r="B137" s="31" t="n">
        <v>32143</v>
      </c>
      <c r="C137" s="1" t="n">
        <v>836100</v>
      </c>
      <c r="D137" s="58" t="s">
        <v>41</v>
      </c>
      <c r="E137" s="33" t="n">
        <f aca="false">IF(D137="totale",(C137/(A137*24))/F137,IF(D137="marché libre",(C137/(A137*24))/G137,"spécifier histo"))</f>
        <v>0.510813782991202</v>
      </c>
      <c r="F137" s="59" t="n">
        <v>2200</v>
      </c>
      <c r="G137" s="59" t="n">
        <f aca="false">F137-H137</f>
        <v>2200</v>
      </c>
      <c r="H137" s="0"/>
      <c r="K137" s="0"/>
      <c r="L137" s="0"/>
      <c r="M137" s="0"/>
      <c r="N137" s="0"/>
      <c r="O137" s="0"/>
      <c r="P137" s="0"/>
      <c r="Q137" s="0"/>
      <c r="R137" s="0"/>
      <c r="S137" s="0"/>
      <c r="T137" s="0"/>
      <c r="U137" s="0"/>
      <c r="V137" s="0"/>
      <c r="W137" s="0"/>
      <c r="X137" s="0"/>
      <c r="Y137" s="0"/>
      <c r="Z137" s="0"/>
      <c r="AA137" s="0"/>
      <c r="AB137" s="0"/>
      <c r="AC137" s="0"/>
      <c r="AD137" s="0"/>
      <c r="AE137" s="0"/>
      <c r="AF137" s="0"/>
      <c r="AG137" s="0"/>
      <c r="AH137" s="0"/>
    </row>
    <row r="138" customFormat="false" ht="19.85" hidden="false" customHeight="true" outlineLevel="0" collapsed="false">
      <c r="A138" s="0" t="n">
        <v>28</v>
      </c>
      <c r="B138" s="34" t="n">
        <v>32174</v>
      </c>
      <c r="C138" s="1" t="n">
        <v>680100</v>
      </c>
      <c r="D138" s="58" t="s">
        <v>41</v>
      </c>
      <c r="E138" s="33" t="n">
        <f aca="false">IF(D138="totale",(C138/(A138*24))/F138,IF(D138="marché libre",(C138/(A138*24))/G138,"spécifier histo"))</f>
        <v>0.460024350649351</v>
      </c>
      <c r="F138" s="59" t="n">
        <v>2200</v>
      </c>
      <c r="G138" s="59" t="n">
        <f aca="false">F138-H138</f>
        <v>2200</v>
      </c>
      <c r="H138" s="0"/>
      <c r="K138" s="0"/>
      <c r="L138" s="0"/>
      <c r="M138" s="0"/>
      <c r="N138" s="0"/>
      <c r="O138" s="0"/>
      <c r="P138" s="0"/>
      <c r="Q138" s="0"/>
      <c r="R138" s="0"/>
      <c r="S138" s="0"/>
      <c r="T138" s="0"/>
      <c r="U138" s="0"/>
      <c r="V138" s="0"/>
      <c r="W138" s="0"/>
      <c r="X138" s="0"/>
      <c r="Y138" s="0"/>
      <c r="Z138" s="0"/>
      <c r="AA138" s="0"/>
      <c r="AB138" s="0"/>
      <c r="AC138" s="0"/>
      <c r="AD138" s="0"/>
      <c r="AE138" s="0"/>
      <c r="AF138" s="0"/>
      <c r="AG138" s="0"/>
      <c r="AH138" s="0"/>
    </row>
    <row r="139" customFormat="false" ht="19.85" hidden="false" customHeight="true" outlineLevel="0" collapsed="false">
      <c r="A139" s="0" t="n">
        <v>31</v>
      </c>
      <c r="B139" s="31" t="n">
        <v>32203</v>
      </c>
      <c r="C139" s="1" t="n">
        <v>881400</v>
      </c>
      <c r="D139" s="58" t="s">
        <v>41</v>
      </c>
      <c r="E139" s="33" t="n">
        <f aca="false">IF(D139="totale",(C139/(A139*24))/F139,IF(D139="marché libre",(C139/(A139*24))/G139,"spécifier histo"))</f>
        <v>0.538489736070381</v>
      </c>
      <c r="F139" s="59" t="n">
        <v>2200</v>
      </c>
      <c r="G139" s="59" t="n">
        <f aca="false">F139-H139</f>
        <v>2200</v>
      </c>
      <c r="H139" s="0"/>
      <c r="K139" s="0"/>
      <c r="L139" s="0"/>
      <c r="M139" s="0"/>
      <c r="N139" s="0"/>
      <c r="O139" s="0"/>
      <c r="P139" s="0"/>
      <c r="Q139" s="0"/>
      <c r="R139" s="0"/>
      <c r="S139" s="0"/>
      <c r="T139" s="0"/>
      <c r="U139" s="0"/>
      <c r="V139" s="0"/>
      <c r="W139" s="0"/>
      <c r="X139" s="0"/>
      <c r="Y139" s="0"/>
      <c r="Z139" s="0"/>
      <c r="AA139" s="0"/>
      <c r="AB139" s="0"/>
      <c r="AC139" s="0"/>
      <c r="AD139" s="0"/>
      <c r="AE139" s="0"/>
      <c r="AF139" s="0"/>
      <c r="AG139" s="0"/>
      <c r="AH139" s="0"/>
    </row>
    <row r="140" customFormat="false" ht="19.85" hidden="false" customHeight="true" outlineLevel="0" collapsed="false">
      <c r="A140" s="0" t="n">
        <v>30</v>
      </c>
      <c r="B140" s="34" t="n">
        <v>32234</v>
      </c>
      <c r="C140" s="1" t="n">
        <v>947400</v>
      </c>
      <c r="D140" s="58" t="s">
        <v>41</v>
      </c>
      <c r="E140" s="33" t="n">
        <f aca="false">IF(D140="totale",(C140/(A140*24))/F140,IF(D140="marché libre",(C140/(A140*24))/G140,"spécifier histo"))</f>
        <v>0.59810606060606</v>
      </c>
      <c r="F140" s="59" t="n">
        <v>2200</v>
      </c>
      <c r="G140" s="59" t="n">
        <f aca="false">F140-H140</f>
        <v>2200</v>
      </c>
      <c r="H140" s="0"/>
      <c r="K140" s="0"/>
      <c r="L140" s="0"/>
      <c r="M140" s="0"/>
      <c r="N140" s="0"/>
      <c r="O140" s="0"/>
      <c r="P140" s="0"/>
      <c r="Q140" s="0"/>
      <c r="R140" s="0"/>
      <c r="S140" s="0"/>
      <c r="T140" s="0"/>
      <c r="U140" s="0"/>
      <c r="V140" s="0"/>
      <c r="W140" s="0"/>
      <c r="X140" s="0"/>
      <c r="Y140" s="0"/>
      <c r="Z140" s="0"/>
      <c r="AA140" s="0"/>
      <c r="AB140" s="0"/>
      <c r="AC140" s="0"/>
      <c r="AD140" s="0"/>
      <c r="AE140" s="0"/>
      <c r="AF140" s="0"/>
      <c r="AG140" s="0"/>
      <c r="AH140" s="0"/>
    </row>
    <row r="141" customFormat="false" ht="19.85" hidden="false" customHeight="true" outlineLevel="0" collapsed="false">
      <c r="A141" s="0" t="n">
        <v>31</v>
      </c>
      <c r="B141" s="31" t="n">
        <v>32264</v>
      </c>
      <c r="C141" s="1" t="n">
        <v>883200</v>
      </c>
      <c r="D141" s="58" t="s">
        <v>41</v>
      </c>
      <c r="E141" s="33" t="n">
        <f aca="false">IF(D141="totale",(C141/(A141*24))/F141,IF(D141="marché libre",(C141/(A141*24))/G141,"spécifier histo"))</f>
        <v>0.539589442815249</v>
      </c>
      <c r="F141" s="59" t="n">
        <v>2200</v>
      </c>
      <c r="G141" s="59" t="n">
        <f aca="false">F141-H141</f>
        <v>2200</v>
      </c>
      <c r="H141" s="0"/>
      <c r="K141" s="0"/>
      <c r="N141" s="0"/>
      <c r="O141" s="0"/>
      <c r="Q141" s="0"/>
      <c r="S141" s="0"/>
      <c r="U141" s="0"/>
      <c r="V141" s="0"/>
      <c r="W141" s="0"/>
      <c r="X141" s="0"/>
      <c r="AA141" s="0"/>
      <c r="AB141" s="0"/>
      <c r="AE141" s="0"/>
      <c r="AH141" s="0"/>
    </row>
    <row r="142" customFormat="false" ht="19.85" hidden="false" customHeight="true" outlineLevel="0" collapsed="false">
      <c r="A142" s="0" t="n">
        <v>30</v>
      </c>
      <c r="B142" s="34" t="n">
        <v>32295</v>
      </c>
      <c r="C142" s="1" t="n">
        <v>570600</v>
      </c>
      <c r="D142" s="58" t="s">
        <v>41</v>
      </c>
      <c r="E142" s="33" t="n">
        <f aca="false">IF(D142="totale",(C142/(A142*24))/F142,IF(D142="marché libre",(C142/(A142*24))/G142,"spécifier histo"))</f>
        <v>0.360227272727273</v>
      </c>
      <c r="F142" s="59" t="n">
        <v>2200</v>
      </c>
      <c r="G142" s="59" t="n">
        <f aca="false">F142-H142</f>
        <v>2200</v>
      </c>
      <c r="H142" s="0"/>
      <c r="J142" s="55"/>
      <c r="K142" s="0"/>
      <c r="N142" s="0"/>
      <c r="Q142" s="0"/>
      <c r="S142" s="0"/>
      <c r="W142" s="0"/>
      <c r="X142" s="0"/>
      <c r="AA142" s="0"/>
      <c r="AE142" s="0"/>
      <c r="AH142" s="0"/>
    </row>
    <row r="143" customFormat="false" ht="19.85" hidden="false" customHeight="true" outlineLevel="0" collapsed="false">
      <c r="A143" s="0" t="n">
        <v>31</v>
      </c>
      <c r="B143" s="31" t="n">
        <v>32325</v>
      </c>
      <c r="C143" s="1" t="n">
        <v>362700</v>
      </c>
      <c r="D143" s="58" t="s">
        <v>41</v>
      </c>
      <c r="E143" s="33" t="n">
        <f aca="false">IF(D143="totale",(C143/(A143*24))/F143,IF(D143="marché libre",(C143/(A143*24))/G143,"spécifier histo"))</f>
        <v>0.221590909090909</v>
      </c>
      <c r="F143" s="59" t="n">
        <v>2200</v>
      </c>
      <c r="G143" s="59" t="n">
        <f aca="false">F143-H143</f>
        <v>2200</v>
      </c>
      <c r="H143" s="0"/>
      <c r="J143" s="55"/>
      <c r="K143" s="0"/>
      <c r="N143" s="0"/>
      <c r="Q143" s="0"/>
      <c r="S143" s="0"/>
      <c r="W143" s="0"/>
      <c r="X143" s="0"/>
      <c r="AA143" s="0"/>
      <c r="AE143" s="0"/>
      <c r="AH143" s="0"/>
    </row>
    <row r="144" customFormat="false" ht="19.85" hidden="false" customHeight="true" outlineLevel="0" collapsed="false">
      <c r="A144" s="0" t="n">
        <v>31</v>
      </c>
      <c r="B144" s="34" t="n">
        <v>32356</v>
      </c>
      <c r="C144" s="1" t="n">
        <v>99600</v>
      </c>
      <c r="D144" s="58" t="s">
        <v>41</v>
      </c>
      <c r="E144" s="33" t="n">
        <f aca="false">IF(D144="totale",(C144/(A144*24))/F144,IF(D144="marché libre",(C144/(A144*24))/G144,"spécifier histo"))</f>
        <v>0.0608504398826979</v>
      </c>
      <c r="F144" s="59" t="n">
        <v>2200</v>
      </c>
      <c r="G144" s="59" t="n">
        <f aca="false">F144-H144</f>
        <v>2200</v>
      </c>
      <c r="H144" s="0"/>
      <c r="J144" s="55"/>
      <c r="K144" s="0"/>
      <c r="N144" s="0"/>
      <c r="Q144" s="0"/>
      <c r="S144" s="0"/>
      <c r="W144" s="0"/>
      <c r="X144" s="0"/>
      <c r="AA144" s="0"/>
      <c r="AE144" s="0"/>
      <c r="AH144" s="0"/>
    </row>
    <row r="145" customFormat="false" ht="19.85" hidden="false" customHeight="true" outlineLevel="0" collapsed="false">
      <c r="A145" s="0" t="n">
        <v>30</v>
      </c>
      <c r="B145" s="31" t="n">
        <v>32387</v>
      </c>
      <c r="C145" s="1" t="n">
        <v>448500</v>
      </c>
      <c r="D145" s="58" t="s">
        <v>41</v>
      </c>
      <c r="E145" s="33" t="n">
        <f aca="false">IF(D145="totale",(C145/(A145*24))/F145,IF(D145="marché libre",(C145/(A145*24))/G145,"spécifier histo"))</f>
        <v>0.283143939393939</v>
      </c>
      <c r="F145" s="59" t="n">
        <v>2200</v>
      </c>
      <c r="G145" s="59" t="n">
        <f aca="false">F145-H145</f>
        <v>2200</v>
      </c>
      <c r="H145" s="0"/>
      <c r="J145" s="55"/>
      <c r="K145" s="0"/>
      <c r="N145" s="0"/>
      <c r="Q145" s="0"/>
      <c r="S145" s="0"/>
      <c r="W145" s="0"/>
      <c r="X145" s="0"/>
      <c r="AA145" s="0"/>
      <c r="AE145" s="0"/>
      <c r="AH145" s="0"/>
    </row>
    <row r="146" customFormat="false" ht="19.85" hidden="false" customHeight="true" outlineLevel="0" collapsed="false">
      <c r="A146" s="0" t="n">
        <v>31</v>
      </c>
      <c r="B146" s="34" t="n">
        <v>32417</v>
      </c>
      <c r="C146" s="1" t="n">
        <v>272100</v>
      </c>
      <c r="D146" s="58" t="s">
        <v>41</v>
      </c>
      <c r="E146" s="33" t="n">
        <f aca="false">IF(D146="totale",(C146/(A146*24))/F146,IF(D146="marché libre",(C146/(A146*24))/G146,"spécifier histo"))</f>
        <v>0.166239002932551</v>
      </c>
      <c r="F146" s="59" t="n">
        <v>2200</v>
      </c>
      <c r="G146" s="59" t="n">
        <f aca="false">F146-H146</f>
        <v>2200</v>
      </c>
      <c r="H146" s="0"/>
      <c r="J146" s="55"/>
      <c r="K146" s="0"/>
      <c r="N146" s="0"/>
      <c r="Q146" s="0"/>
      <c r="S146" s="0"/>
      <c r="W146" s="0"/>
      <c r="X146" s="0"/>
      <c r="AA146" s="0"/>
      <c r="AE146" s="0"/>
    </row>
    <row r="147" customFormat="false" ht="19.85" hidden="false" customHeight="true" outlineLevel="0" collapsed="false">
      <c r="A147" s="0" t="n">
        <v>30</v>
      </c>
      <c r="B147" s="31" t="n">
        <v>32448</v>
      </c>
      <c r="C147" s="1" t="n">
        <v>619500</v>
      </c>
      <c r="D147" s="58" t="s">
        <v>41</v>
      </c>
      <c r="E147" s="33" t="n">
        <f aca="false">IF(D147="totale",(C147/(A147*24))/F147,IF(D147="marché libre",(C147/(A147*24))/G147,"spécifier histo"))</f>
        <v>0.391098484848485</v>
      </c>
      <c r="F147" s="59" t="n">
        <v>2200</v>
      </c>
      <c r="G147" s="59" t="n">
        <f aca="false">F147-H147</f>
        <v>2200</v>
      </c>
      <c r="H147" s="0"/>
      <c r="J147" s="55"/>
      <c r="K147" s="0"/>
      <c r="N147" s="0"/>
      <c r="Q147" s="0"/>
      <c r="S147" s="0"/>
      <c r="W147" s="0"/>
      <c r="X147" s="0"/>
      <c r="AA147" s="0"/>
      <c r="AE147" s="0"/>
    </row>
    <row r="148" customFormat="false" ht="19.85" hidden="false" customHeight="true" outlineLevel="0" collapsed="false">
      <c r="A148" s="0" t="n">
        <v>31</v>
      </c>
      <c r="B148" s="34" t="n">
        <v>32478</v>
      </c>
      <c r="C148" s="1" t="n">
        <v>547500</v>
      </c>
      <c r="D148" s="58" t="s">
        <v>41</v>
      </c>
      <c r="E148" s="33" t="n">
        <f aca="false">IF(D148="totale",(C148/(A148*24))/F148,IF(D148="marché libre",(C148/(A148*24))/G148,"spécifier histo"))</f>
        <v>0.334494134897361</v>
      </c>
      <c r="F148" s="59" t="n">
        <v>2200</v>
      </c>
      <c r="G148" s="59" t="n">
        <f aca="false">F148-H148</f>
        <v>2200</v>
      </c>
      <c r="H148" s="0"/>
      <c r="J148" s="55"/>
      <c r="K148" s="0"/>
      <c r="N148" s="0"/>
      <c r="Q148" s="0"/>
      <c r="S148" s="0"/>
      <c r="W148" s="0"/>
      <c r="X148" s="0"/>
      <c r="AA148" s="0"/>
      <c r="AE148" s="0"/>
    </row>
    <row r="149" customFormat="false" ht="19.85" hidden="false" customHeight="true" outlineLevel="0" collapsed="false">
      <c r="A149" s="0" t="n">
        <v>31</v>
      </c>
      <c r="B149" s="31" t="n">
        <v>32509</v>
      </c>
      <c r="C149" s="1" t="n">
        <v>150600</v>
      </c>
      <c r="D149" s="58" t="s">
        <v>41</v>
      </c>
      <c r="E149" s="33" t="n">
        <f aca="false">IF(D149="totale",(C149/(A149*24))/F149,IF(D149="marché libre",(C149/(A149*24))/G149,"spécifier histo"))</f>
        <v>0.0920087976539589</v>
      </c>
      <c r="F149" s="59" t="n">
        <v>2200</v>
      </c>
      <c r="G149" s="59" t="n">
        <f aca="false">F149-H149</f>
        <v>2200</v>
      </c>
      <c r="H149" s="0"/>
      <c r="J149" s="55"/>
      <c r="K149" s="0"/>
      <c r="N149" s="0"/>
      <c r="Q149" s="0"/>
      <c r="S149" s="0"/>
      <c r="W149" s="0"/>
      <c r="X149" s="0"/>
      <c r="AA149" s="0"/>
      <c r="AE149" s="0"/>
    </row>
    <row r="150" customFormat="false" ht="19.85" hidden="false" customHeight="true" outlineLevel="0" collapsed="false">
      <c r="A150" s="0" t="n">
        <v>28</v>
      </c>
      <c r="B150" s="34" t="n">
        <v>32540</v>
      </c>
      <c r="C150" s="1" t="n">
        <v>283200</v>
      </c>
      <c r="D150" s="58" t="s">
        <v>41</v>
      </c>
      <c r="E150" s="33" t="n">
        <f aca="false">IF(D150="totale",(C150/(A150*24))/F150,IF(D150="marché libre",(C150/(A150*24))/G150,"spécifier histo"))</f>
        <v>0.191558441558442</v>
      </c>
      <c r="F150" s="59" t="n">
        <v>2200</v>
      </c>
      <c r="G150" s="59" t="n">
        <f aca="false">F150-H150</f>
        <v>2200</v>
      </c>
      <c r="H150" s="0"/>
      <c r="J150" s="55"/>
      <c r="K150" s="0"/>
      <c r="N150" s="0"/>
      <c r="Q150" s="0"/>
      <c r="S150" s="0"/>
      <c r="W150" s="0"/>
      <c r="X150" s="0"/>
      <c r="AA150" s="0"/>
      <c r="AE150" s="0"/>
    </row>
    <row r="151" customFormat="false" ht="19.85" hidden="false" customHeight="true" outlineLevel="0" collapsed="false">
      <c r="A151" s="0" t="n">
        <v>31</v>
      </c>
      <c r="B151" s="31" t="n">
        <v>32568</v>
      </c>
      <c r="C151" s="1" t="n">
        <v>834600</v>
      </c>
      <c r="D151" s="58" t="s">
        <v>41</v>
      </c>
      <c r="E151" s="33" t="n">
        <f aca="false">IF(D151="totale",(C151/(A151*24))/F151,IF(D151="marché libre",(C151/(A151*24))/G151,"spécifier histo"))</f>
        <v>0.509897360703812</v>
      </c>
      <c r="F151" s="59" t="n">
        <v>2200</v>
      </c>
      <c r="G151" s="59" t="n">
        <f aca="false">F151-H151</f>
        <v>2200</v>
      </c>
      <c r="H151" s="0"/>
      <c r="J151" s="55"/>
      <c r="K151" s="0"/>
      <c r="N151" s="0"/>
      <c r="Q151" s="0"/>
      <c r="S151" s="0"/>
      <c r="W151" s="0"/>
      <c r="X151" s="0"/>
      <c r="AA151" s="0"/>
      <c r="AE151" s="0"/>
    </row>
    <row r="152" customFormat="false" ht="19.85" hidden="false" customHeight="true" outlineLevel="0" collapsed="false">
      <c r="A152" s="0" t="n">
        <v>30</v>
      </c>
      <c r="B152" s="34" t="n">
        <v>32599</v>
      </c>
      <c r="C152" s="1" t="n">
        <v>709800</v>
      </c>
      <c r="D152" s="58" t="s">
        <v>41</v>
      </c>
      <c r="E152" s="33" t="n">
        <f aca="false">IF(D152="totale",(C152/(A152*24))/F152,IF(D152="marché libre",(C152/(A152*24))/G152,"spécifier histo"))</f>
        <v>0.448106060606061</v>
      </c>
      <c r="F152" s="59" t="n">
        <v>2200</v>
      </c>
      <c r="G152" s="59" t="n">
        <f aca="false">F152-H152</f>
        <v>2200</v>
      </c>
      <c r="H152" s="0"/>
      <c r="J152" s="55"/>
      <c r="K152" s="0"/>
      <c r="N152" s="0"/>
      <c r="Q152" s="0"/>
      <c r="S152" s="0"/>
      <c r="W152" s="0"/>
      <c r="X152" s="0"/>
      <c r="AA152" s="0"/>
      <c r="AE152" s="0"/>
    </row>
    <row r="153" customFormat="false" ht="19.85" hidden="false" customHeight="true" outlineLevel="0" collapsed="false">
      <c r="A153" s="0" t="n">
        <v>31</v>
      </c>
      <c r="B153" s="31" t="n">
        <v>32629</v>
      </c>
      <c r="C153" s="1" t="n">
        <v>805200</v>
      </c>
      <c r="D153" s="58" t="s">
        <v>41</v>
      </c>
      <c r="E153" s="33" t="n">
        <f aca="false">IF(D153="totale",(C153/(A153*24))/F153,IF(D153="marché libre",(C153/(A153*24))/G153,"spécifier histo"))</f>
        <v>0.491935483870968</v>
      </c>
      <c r="F153" s="59" t="n">
        <v>2200</v>
      </c>
      <c r="G153" s="59" t="n">
        <f aca="false">F153-H153</f>
        <v>2200</v>
      </c>
      <c r="H153" s="0"/>
      <c r="J153" s="55"/>
      <c r="K153" s="0"/>
      <c r="N153" s="0"/>
      <c r="Q153" s="0"/>
      <c r="S153" s="0"/>
      <c r="W153" s="0"/>
      <c r="X153" s="0"/>
      <c r="AA153" s="0"/>
      <c r="AE153" s="0"/>
    </row>
    <row r="154" customFormat="false" ht="19.85" hidden="false" customHeight="true" outlineLevel="0" collapsed="false">
      <c r="A154" s="0" t="n">
        <v>30</v>
      </c>
      <c r="B154" s="34" t="n">
        <v>32660</v>
      </c>
      <c r="C154" s="1" t="n">
        <v>312000</v>
      </c>
      <c r="D154" s="58" t="s">
        <v>41</v>
      </c>
      <c r="E154" s="33" t="n">
        <f aca="false">IF(D154="totale",(C154/(A154*24))/F154,IF(D154="marché libre",(C154/(A154*24))/G154,"spécifier histo"))</f>
        <v>0.196969696969697</v>
      </c>
      <c r="F154" s="59" t="n">
        <v>2200</v>
      </c>
      <c r="G154" s="59" t="n">
        <f aca="false">F154-H154</f>
        <v>2200</v>
      </c>
      <c r="H154" s="0"/>
      <c r="J154" s="55"/>
      <c r="K154" s="0"/>
      <c r="N154" s="0"/>
      <c r="Q154" s="0"/>
      <c r="S154" s="0"/>
      <c r="W154" s="0"/>
      <c r="X154" s="0"/>
      <c r="AA154" s="0"/>
      <c r="AE154" s="0"/>
    </row>
    <row r="155" customFormat="false" ht="19.85" hidden="false" customHeight="true" outlineLevel="0" collapsed="false">
      <c r="A155" s="0" t="n">
        <v>31</v>
      </c>
      <c r="B155" s="31" t="n">
        <v>32690</v>
      </c>
      <c r="C155" s="1" t="n">
        <v>173700</v>
      </c>
      <c r="D155" s="58" t="s">
        <v>41</v>
      </c>
      <c r="E155" s="33" t="n">
        <f aca="false">IF(D155="totale",(C155/(A155*24))/F155,IF(D155="marché libre",(C155/(A155*24))/G155,"spécifier histo"))</f>
        <v>0.106121700879765</v>
      </c>
      <c r="F155" s="59" t="n">
        <v>2200</v>
      </c>
      <c r="G155" s="59" t="n">
        <f aca="false">F155-H155</f>
        <v>2200</v>
      </c>
      <c r="H155" s="0"/>
      <c r="J155" s="55"/>
      <c r="K155" s="0"/>
      <c r="N155" s="0"/>
      <c r="Q155" s="0"/>
      <c r="S155" s="0"/>
      <c r="W155" s="0"/>
      <c r="X155" s="0"/>
      <c r="AA155" s="0"/>
      <c r="AE155" s="0"/>
    </row>
    <row r="156" customFormat="false" ht="19.85" hidden="false" customHeight="true" outlineLevel="0" collapsed="false">
      <c r="A156" s="0" t="n">
        <v>31</v>
      </c>
      <c r="B156" s="34" t="n">
        <v>32721</v>
      </c>
      <c r="C156" s="1" t="n">
        <v>0</v>
      </c>
      <c r="D156" s="58" t="s">
        <v>41</v>
      </c>
      <c r="E156" s="33" t="n">
        <f aca="false">IF(D156="totale",(C156/(A156*24))/F156,IF(D156="marché libre",(C156/(A156*24))/G156,"spécifier histo"))</f>
        <v>0</v>
      </c>
      <c r="F156" s="59" t="n">
        <v>2200</v>
      </c>
      <c r="G156" s="59" t="n">
        <f aca="false">F156-H156</f>
        <v>2200</v>
      </c>
      <c r="H156" s="0"/>
      <c r="J156" s="55"/>
      <c r="K156" s="0"/>
      <c r="N156" s="0"/>
      <c r="Q156" s="0"/>
      <c r="S156" s="0"/>
      <c r="W156" s="0"/>
      <c r="X156" s="0"/>
      <c r="AA156" s="0"/>
      <c r="AE156" s="0"/>
    </row>
    <row r="157" customFormat="false" ht="19.85" hidden="false" customHeight="true" outlineLevel="0" collapsed="false">
      <c r="A157" s="0" t="n">
        <v>30</v>
      </c>
      <c r="B157" s="31" t="n">
        <v>32752</v>
      </c>
      <c r="C157" s="1" t="n">
        <v>17700</v>
      </c>
      <c r="D157" s="58" t="s">
        <v>41</v>
      </c>
      <c r="E157" s="33" t="n">
        <f aca="false">IF(D157="totale",(C157/(A157*24))/F157,IF(D157="marché libre",(C157/(A157*24))/G157,"spécifier histo"))</f>
        <v>0.0111742424242424</v>
      </c>
      <c r="F157" s="59" t="n">
        <v>2200</v>
      </c>
      <c r="G157" s="59" t="n">
        <f aca="false">F157-H157</f>
        <v>2200</v>
      </c>
      <c r="H157" s="0"/>
      <c r="J157" s="55"/>
      <c r="K157" s="0"/>
      <c r="N157" s="0"/>
      <c r="Q157" s="0"/>
      <c r="S157" s="0"/>
      <c r="W157" s="0"/>
      <c r="X157" s="0"/>
      <c r="AA157" s="0"/>
      <c r="AE157" s="0"/>
    </row>
    <row r="158" customFormat="false" ht="19.85" hidden="false" customHeight="true" outlineLevel="0" collapsed="false">
      <c r="A158" s="0" t="n">
        <v>31</v>
      </c>
      <c r="B158" s="34" t="n">
        <v>32782</v>
      </c>
      <c r="C158" s="1" t="n">
        <v>43200</v>
      </c>
      <c r="D158" s="58" t="s">
        <v>41</v>
      </c>
      <c r="E158" s="33" t="n">
        <f aca="false">IF(D158="totale",(C158/(A158*24))/F158,IF(D158="marché libre",(C158/(A158*24))/G158,"spécifier histo"))</f>
        <v>0.0263929618768328</v>
      </c>
      <c r="F158" s="59" t="n">
        <v>2200</v>
      </c>
      <c r="G158" s="59" t="n">
        <f aca="false">F158-H158</f>
        <v>2200</v>
      </c>
      <c r="H158" s="0"/>
      <c r="J158" s="55"/>
      <c r="K158" s="0"/>
      <c r="N158" s="0"/>
      <c r="Q158" s="0"/>
      <c r="S158" s="0"/>
      <c r="W158" s="0"/>
      <c r="AA158" s="0"/>
      <c r="AE158" s="0"/>
    </row>
    <row r="159" customFormat="false" ht="19.85" hidden="false" customHeight="true" outlineLevel="0" collapsed="false">
      <c r="A159" s="0" t="n">
        <v>30</v>
      </c>
      <c r="B159" s="31" t="n">
        <v>32813</v>
      </c>
      <c r="C159" s="1" t="n">
        <v>321300</v>
      </c>
      <c r="D159" s="58" t="s">
        <v>41</v>
      </c>
      <c r="E159" s="33" t="n">
        <f aca="false">IF(D159="totale",(C159/(A159*24))/F159,IF(D159="marché libre",(C159/(A159*24))/G159,"spécifier histo"))</f>
        <v>0.202840909090909</v>
      </c>
      <c r="F159" s="59" t="n">
        <v>2200</v>
      </c>
      <c r="G159" s="59" t="n">
        <f aca="false">F159-H159</f>
        <v>2200</v>
      </c>
      <c r="H159" s="0"/>
      <c r="J159" s="55"/>
      <c r="K159" s="0"/>
      <c r="N159" s="0"/>
      <c r="Q159" s="0"/>
      <c r="S159" s="0"/>
      <c r="W159" s="0"/>
      <c r="AA159" s="0"/>
      <c r="AE159" s="0"/>
    </row>
    <row r="160" customFormat="false" ht="19.85" hidden="false" customHeight="true" outlineLevel="0" collapsed="false">
      <c r="A160" s="0" t="n">
        <v>31</v>
      </c>
      <c r="B160" s="34" t="n">
        <v>32843</v>
      </c>
      <c r="C160" s="1" t="n">
        <v>294600</v>
      </c>
      <c r="D160" s="58" t="s">
        <v>41</v>
      </c>
      <c r="E160" s="33" t="n">
        <f aca="false">IF(D160="totale",(C160/(A160*24))/F160,IF(D160="marché libre",(C160/(A160*24))/G160,"spécifier histo"))</f>
        <v>0.179985337243402</v>
      </c>
      <c r="F160" s="59" t="n">
        <v>2200</v>
      </c>
      <c r="G160" s="59" t="n">
        <f aca="false">F160-H160</f>
        <v>2200</v>
      </c>
      <c r="H160" s="0"/>
      <c r="J160" s="55"/>
      <c r="K160" s="0"/>
      <c r="N160" s="0"/>
      <c r="Q160" s="0"/>
      <c r="S160" s="0"/>
      <c r="W160" s="0"/>
      <c r="AA160" s="0"/>
      <c r="AE160" s="0"/>
    </row>
    <row r="161" customFormat="false" ht="19.85" hidden="false" customHeight="true" outlineLevel="0" collapsed="false">
      <c r="A161" s="0" t="n">
        <v>31</v>
      </c>
      <c r="B161" s="31" t="n">
        <v>32874</v>
      </c>
      <c r="C161" s="1" t="n">
        <v>460800</v>
      </c>
      <c r="D161" s="58" t="s">
        <v>41</v>
      </c>
      <c r="E161" s="33" t="n">
        <f aca="false">IF(D161="totale",(C161/(A161*24))/F161,IF(D161="marché libre",(C161/(A161*24))/G161,"spécifier histo"))</f>
        <v>0.281524926686217</v>
      </c>
      <c r="F161" s="59" t="n">
        <v>2200</v>
      </c>
      <c r="G161" s="59" t="n">
        <f aca="false">F161-H161</f>
        <v>2200</v>
      </c>
      <c r="H161" s="0"/>
      <c r="J161" s="55"/>
      <c r="K161" s="0"/>
      <c r="N161" s="0"/>
      <c r="Q161" s="0"/>
      <c r="S161" s="0"/>
      <c r="W161" s="0"/>
      <c r="AA161" s="0"/>
      <c r="AE161" s="0"/>
    </row>
    <row r="162" customFormat="false" ht="19.85" hidden="false" customHeight="true" outlineLevel="0" collapsed="false">
      <c r="A162" s="0" t="n">
        <v>28</v>
      </c>
      <c r="B162" s="34" t="n">
        <v>32905</v>
      </c>
      <c r="C162" s="1" t="n">
        <v>512700</v>
      </c>
      <c r="D162" s="58" t="s">
        <v>41</v>
      </c>
      <c r="E162" s="33" t="n">
        <f aca="false">IF(D162="totale",(C162/(A162*24))/F162,IF(D162="marché libre",(C162/(A162*24))/G162,"spécifier histo"))</f>
        <v>0.346793831168831</v>
      </c>
      <c r="F162" s="59" t="n">
        <v>2200</v>
      </c>
      <c r="G162" s="59" t="n">
        <f aca="false">F162-H162</f>
        <v>2200</v>
      </c>
      <c r="H162" s="0"/>
      <c r="J162" s="30"/>
      <c r="K162" s="0"/>
      <c r="N162" s="0"/>
      <c r="Q162" s="0"/>
      <c r="S162" s="0"/>
      <c r="W162" s="0"/>
      <c r="AA162" s="0"/>
      <c r="AE162" s="0"/>
    </row>
    <row r="163" customFormat="false" ht="19.85" hidden="false" customHeight="true" outlineLevel="0" collapsed="false">
      <c r="A163" s="0" t="n">
        <v>31</v>
      </c>
      <c r="B163" s="31" t="n">
        <v>32933</v>
      </c>
      <c r="C163" s="1" t="n">
        <v>749100</v>
      </c>
      <c r="D163" s="58" t="s">
        <v>41</v>
      </c>
      <c r="E163" s="33" t="n">
        <f aca="false">IF(D163="totale",(C163/(A163*24))/F163,IF(D163="marché libre",(C163/(A163*24))/G163,"spécifier histo"))</f>
        <v>0.457661290322581</v>
      </c>
      <c r="F163" s="59" t="n">
        <v>2200</v>
      </c>
      <c r="G163" s="59" t="n">
        <f aca="false">F163-H163</f>
        <v>2200</v>
      </c>
      <c r="H163" s="0"/>
      <c r="J163" s="55" t="s">
        <v>854</v>
      </c>
      <c r="K163" s="0"/>
      <c r="N163" s="0"/>
      <c r="Q163" s="0"/>
      <c r="S163" s="0"/>
      <c r="W163" s="0"/>
      <c r="AA163" s="0"/>
      <c r="AE163" s="0"/>
    </row>
    <row r="164" customFormat="false" ht="19.85" hidden="false" customHeight="true" outlineLevel="0" collapsed="false">
      <c r="A164" s="0" t="n">
        <v>30</v>
      </c>
      <c r="B164" s="34" t="n">
        <v>32964</v>
      </c>
      <c r="C164" s="1" t="n">
        <v>657000</v>
      </c>
      <c r="D164" s="58" t="s">
        <v>41</v>
      </c>
      <c r="E164" s="33" t="n">
        <f aca="false">IF(D164="totale",(C164/(A164*24))/F164,IF(D164="marché libre",(C164/(A164*24))/G164,"spécifier histo"))</f>
        <v>0.414772727272727</v>
      </c>
      <c r="F164" s="59" t="n">
        <v>2200</v>
      </c>
      <c r="G164" s="59" t="n">
        <f aca="false">F164-H164</f>
        <v>2200</v>
      </c>
      <c r="H164" s="0"/>
      <c r="J164" s="55" t="s">
        <v>855</v>
      </c>
      <c r="K164" s="0"/>
      <c r="N164" s="0"/>
      <c r="Q164" s="0"/>
      <c r="S164" s="0"/>
      <c r="W164" s="0"/>
      <c r="AA164" s="0"/>
      <c r="AE164" s="0"/>
    </row>
    <row r="165" customFormat="false" ht="19.85" hidden="false" customHeight="true" outlineLevel="0" collapsed="false">
      <c r="A165" s="0" t="n">
        <v>31</v>
      </c>
      <c r="B165" s="31" t="n">
        <v>32994</v>
      </c>
      <c r="C165" s="1" t="n">
        <v>428100</v>
      </c>
      <c r="D165" s="58" t="s">
        <v>41</v>
      </c>
      <c r="E165" s="33" t="n">
        <f aca="false">IF(D165="totale",(C165/(A165*24))/F165,IF(D165="marché libre",(C165/(A165*24))/G165,"spécifier histo"))</f>
        <v>0.261546920821114</v>
      </c>
      <c r="F165" s="59" t="n">
        <v>2200</v>
      </c>
      <c r="G165" s="59" t="n">
        <f aca="false">F165-H165</f>
        <v>2200</v>
      </c>
      <c r="H165" s="0"/>
      <c r="J165" s="55"/>
      <c r="K165" s="0"/>
      <c r="N165" s="0"/>
      <c r="Q165" s="0"/>
      <c r="S165" s="0"/>
      <c r="W165" s="0"/>
      <c r="AA165" s="0"/>
      <c r="AE165" s="0"/>
    </row>
    <row r="166" customFormat="false" ht="19.85" hidden="false" customHeight="true" outlineLevel="0" collapsed="false">
      <c r="A166" s="0" t="n">
        <v>30</v>
      </c>
      <c r="B166" s="34" t="n">
        <v>33025</v>
      </c>
      <c r="C166" s="1" t="n">
        <v>349800</v>
      </c>
      <c r="D166" s="58" t="s">
        <v>41</v>
      </c>
      <c r="E166" s="33" t="n">
        <f aca="false">IF(D166="totale",(C166/(A166*24))/F166,IF(D166="marché libre",(C166/(A166*24))/G166,"spécifier histo"))</f>
        <v>0.220833333333333</v>
      </c>
      <c r="F166" s="59" t="n">
        <v>2200</v>
      </c>
      <c r="G166" s="59" t="n">
        <f aca="false">F166-H166</f>
        <v>2200</v>
      </c>
      <c r="H166" s="0"/>
      <c r="J166" s="55"/>
      <c r="K166" s="0"/>
      <c r="N166" s="0"/>
      <c r="Q166" s="0"/>
      <c r="S166" s="0"/>
      <c r="W166" s="0"/>
      <c r="AA166" s="0"/>
      <c r="AE166" s="0"/>
    </row>
    <row r="167" customFormat="false" ht="22.45" hidden="false" customHeight="true" outlineLevel="0" collapsed="false">
      <c r="A167" s="0" t="n">
        <v>31</v>
      </c>
      <c r="B167" s="31" t="n">
        <v>33055</v>
      </c>
      <c r="C167" s="1" t="n">
        <v>69300</v>
      </c>
      <c r="D167" s="58" t="s">
        <v>41</v>
      </c>
      <c r="E167" s="33" t="n">
        <f aca="false">IF(D167="totale",(C167/(A167*24))/F167,IF(D167="marché libre",(C167/(A167*24))/G167,"spécifier histo"))</f>
        <v>0.0423387096774194</v>
      </c>
      <c r="F167" s="59" t="n">
        <v>2200</v>
      </c>
      <c r="G167" s="59" t="n">
        <f aca="false">F167-H167</f>
        <v>2200</v>
      </c>
      <c r="H167" s="0"/>
      <c r="J167" s="55"/>
      <c r="K167" s="0"/>
      <c r="N167" s="0"/>
      <c r="Q167" s="0"/>
      <c r="S167" s="0"/>
      <c r="W167" s="0"/>
      <c r="AA167" s="0"/>
      <c r="AE167" s="0"/>
    </row>
    <row r="168" customFormat="false" ht="21.65" hidden="false" customHeight="true" outlineLevel="0" collapsed="false">
      <c r="A168" s="0" t="n">
        <v>31</v>
      </c>
      <c r="B168" s="34" t="n">
        <v>33086</v>
      </c>
      <c r="C168" s="1" t="n">
        <v>0</v>
      </c>
      <c r="D168" s="58" t="s">
        <v>41</v>
      </c>
      <c r="E168" s="33" t="n">
        <f aca="false">IF(D168="totale",(C168/(A168*24))/F168,IF(D168="marché libre",(C168/(A168*24))/G168,"spécifier histo"))</f>
        <v>0</v>
      </c>
      <c r="F168" s="59" t="n">
        <v>2200</v>
      </c>
      <c r="G168" s="59" t="n">
        <f aca="false">F168-H168</f>
        <v>2200</v>
      </c>
      <c r="H168" s="0"/>
      <c r="J168" s="55"/>
      <c r="K168" s="0"/>
      <c r="N168" s="0"/>
      <c r="Q168" s="0"/>
      <c r="S168" s="0"/>
      <c r="W168" s="0"/>
      <c r="AA168" s="0"/>
      <c r="AE168" s="0"/>
    </row>
    <row r="169" customFormat="false" ht="21.65" hidden="false" customHeight="true" outlineLevel="0" collapsed="false">
      <c r="A169" s="0" t="n">
        <v>30</v>
      </c>
      <c r="B169" s="31" t="n">
        <v>33117</v>
      </c>
      <c r="C169" s="1" t="n">
        <v>0</v>
      </c>
      <c r="D169" s="58" t="s">
        <v>41</v>
      </c>
      <c r="E169" s="33" t="n">
        <f aca="false">IF(D169="totale",(C169/(A169*24))/F169,IF(D169="marché libre",(C169/(A169*24))/G169,"spécifier histo"))</f>
        <v>0</v>
      </c>
      <c r="F169" s="59" t="n">
        <v>2200</v>
      </c>
      <c r="G169" s="59" t="n">
        <f aca="false">F169-H169</f>
        <v>2200</v>
      </c>
      <c r="H169" s="0"/>
      <c r="J169" s="55"/>
      <c r="K169" s="0"/>
      <c r="N169" s="0"/>
      <c r="Q169" s="0"/>
      <c r="S169" s="0"/>
      <c r="W169" s="0"/>
      <c r="AA169" s="0"/>
      <c r="AE169" s="0"/>
    </row>
    <row r="170" customFormat="false" ht="21.65" hidden="false" customHeight="true" outlineLevel="0" collapsed="false">
      <c r="A170" s="0" t="n">
        <v>31</v>
      </c>
      <c r="B170" s="34" t="n">
        <v>33147</v>
      </c>
      <c r="C170" s="1" t="n">
        <v>97200</v>
      </c>
      <c r="D170" s="58" t="s">
        <v>41</v>
      </c>
      <c r="E170" s="33" t="n">
        <f aca="false">IF(D170="totale",(C170/(A170*24))/F170,IF(D170="marché libre",(C170/(A170*24))/G170,"spécifier histo"))</f>
        <v>0.0593841642228739</v>
      </c>
      <c r="F170" s="59" t="n">
        <v>2200</v>
      </c>
      <c r="G170" s="59" t="n">
        <f aca="false">F170-H170</f>
        <v>2200</v>
      </c>
      <c r="H170" s="0"/>
      <c r="J170" s="55"/>
      <c r="K170" s="0"/>
      <c r="N170" s="0"/>
      <c r="Q170" s="0"/>
      <c r="S170" s="0"/>
      <c r="W170" s="0"/>
      <c r="AA170" s="0"/>
      <c r="AE170" s="0"/>
    </row>
    <row r="171" customFormat="false" ht="21.65" hidden="false" customHeight="true" outlineLevel="0" collapsed="false">
      <c r="A171" s="0" t="n">
        <v>30</v>
      </c>
      <c r="B171" s="31" t="n">
        <v>33178</v>
      </c>
      <c r="C171" s="1" t="n">
        <v>745200</v>
      </c>
      <c r="D171" s="58" t="s">
        <v>41</v>
      </c>
      <c r="E171" s="33" t="n">
        <f aca="false">IF(D171="totale",(C171/(A171*24))/F171,IF(D171="marché libre",(C171/(A171*24))/G171,"spécifier histo"))</f>
        <v>0.470454545454545</v>
      </c>
      <c r="F171" s="59" t="n">
        <v>2200</v>
      </c>
      <c r="G171" s="59" t="n">
        <f aca="false">F171-H171</f>
        <v>2200</v>
      </c>
      <c r="H171" s="0"/>
      <c r="J171" s="55"/>
      <c r="K171" s="0"/>
      <c r="N171" s="0"/>
      <c r="Q171" s="0"/>
      <c r="S171" s="0"/>
      <c r="W171" s="0"/>
      <c r="AA171" s="0"/>
      <c r="AE171" s="0"/>
    </row>
    <row r="172" customFormat="false" ht="21.65" hidden="false" customHeight="true" outlineLevel="0" collapsed="false">
      <c r="A172" s="0" t="n">
        <v>31</v>
      </c>
      <c r="B172" s="34" t="n">
        <v>33208</v>
      </c>
      <c r="C172" s="1" t="n">
        <v>743400</v>
      </c>
      <c r="D172" s="58" t="s">
        <v>41</v>
      </c>
      <c r="E172" s="33" t="n">
        <f aca="false">IF(D172="totale",(C172/(A172*24))/F172,IF(D172="marché libre",(C172/(A172*24))/G172,"spécifier histo"))</f>
        <v>0.454178885630499</v>
      </c>
      <c r="F172" s="59" t="n">
        <v>2200</v>
      </c>
      <c r="G172" s="59" t="n">
        <f aca="false">F172-H172</f>
        <v>2200</v>
      </c>
      <c r="H172" s="0"/>
      <c r="J172" s="55"/>
      <c r="K172" s="0"/>
      <c r="N172" s="0"/>
      <c r="Q172" s="0"/>
      <c r="S172" s="0"/>
      <c r="W172" s="0"/>
      <c r="AA172" s="0"/>
      <c r="AE172" s="0"/>
    </row>
    <row r="173" customFormat="false" ht="21.65" hidden="false" customHeight="true" outlineLevel="0" collapsed="false">
      <c r="A173" s="0" t="n">
        <v>31</v>
      </c>
      <c r="B173" s="31" t="n">
        <v>33239</v>
      </c>
      <c r="C173" s="1" t="n">
        <v>885600</v>
      </c>
      <c r="D173" s="58" t="s">
        <v>41</v>
      </c>
      <c r="E173" s="33" t="n">
        <f aca="false">IF(D173="totale",(C173/(A173*24))/F173,IF(D173="marché libre",(C173/(A173*24))/G173,"spécifier histo"))</f>
        <v>0.541055718475073</v>
      </c>
      <c r="F173" s="59" t="n">
        <v>2200</v>
      </c>
      <c r="G173" s="59" t="n">
        <f aca="false">F173-H173</f>
        <v>2200</v>
      </c>
      <c r="H173" s="0"/>
      <c r="J173" s="55"/>
      <c r="K173" s="0"/>
      <c r="N173" s="0"/>
      <c r="Q173" s="0"/>
      <c r="S173" s="0"/>
      <c r="W173" s="0"/>
      <c r="AA173" s="0"/>
      <c r="AE173" s="0"/>
    </row>
    <row r="174" customFormat="false" ht="15.95" hidden="false" customHeight="true" outlineLevel="0" collapsed="false">
      <c r="A174" s="0" t="n">
        <v>28</v>
      </c>
      <c r="B174" s="34" t="n">
        <v>33270</v>
      </c>
      <c r="C174" s="1" t="n">
        <v>770700</v>
      </c>
      <c r="D174" s="58" t="s">
        <v>41</v>
      </c>
      <c r="E174" s="33" t="n">
        <f aca="false">IF(D174="totale",(C174/(A174*24))/F174,IF(D174="marché libre",(C174/(A174*24))/G174,"spécifier histo"))</f>
        <v>0.521306818181818</v>
      </c>
      <c r="F174" s="59" t="n">
        <v>2200</v>
      </c>
      <c r="G174" s="59" t="n">
        <f aca="false">F174-H174</f>
        <v>2200</v>
      </c>
      <c r="H174" s="0"/>
      <c r="J174" s="30"/>
      <c r="K174" s="0"/>
      <c r="N174" s="0"/>
      <c r="Q174" s="0"/>
      <c r="S174" s="0"/>
      <c r="W174" s="0"/>
      <c r="AA174" s="0"/>
      <c r="AE174" s="0"/>
    </row>
    <row r="175" customFormat="false" ht="15.95" hidden="false" customHeight="true" outlineLevel="0" collapsed="false">
      <c r="A175" s="0" t="n">
        <v>31</v>
      </c>
      <c r="B175" s="31" t="n">
        <v>33298</v>
      </c>
      <c r="C175" s="1" t="n">
        <v>825000</v>
      </c>
      <c r="D175" s="58" t="s">
        <v>41</v>
      </c>
      <c r="E175" s="33" t="n">
        <f aca="false">IF(D175="totale",(C175/(A175*24))/F175,IF(D175="marché libre",(C175/(A175*24))/G175,"spécifier histo"))</f>
        <v>0.504032258064516</v>
      </c>
      <c r="F175" s="59" t="n">
        <v>2200</v>
      </c>
      <c r="G175" s="59" t="n">
        <f aca="false">F175-H175</f>
        <v>2200</v>
      </c>
      <c r="K175" s="0"/>
      <c r="N175" s="0"/>
      <c r="Q175" s="0"/>
      <c r="S175" s="0"/>
      <c r="W175" s="0"/>
      <c r="AA175" s="0"/>
      <c r="AE175" s="0"/>
    </row>
    <row r="176" customFormat="false" ht="15.95" hidden="false" customHeight="true" outlineLevel="0" collapsed="false">
      <c r="A176" s="0" t="n">
        <v>30</v>
      </c>
      <c r="B176" s="34" t="n">
        <v>33329</v>
      </c>
      <c r="C176" s="1" t="n">
        <v>526500</v>
      </c>
      <c r="D176" s="58" t="s">
        <v>41</v>
      </c>
      <c r="E176" s="33" t="n">
        <f aca="false">IF(D176="totale",(C176/(A176*24))/F176,IF(D176="marché libre",(C176/(A176*24))/G176,"spécifier histo"))</f>
        <v>0.332386363636364</v>
      </c>
      <c r="F176" s="59" t="n">
        <v>2200</v>
      </c>
      <c r="G176" s="59" t="n">
        <f aca="false">F176-H176</f>
        <v>2200</v>
      </c>
      <c r="K176" s="0"/>
      <c r="N176" s="0"/>
      <c r="Q176" s="0"/>
      <c r="S176" s="0"/>
      <c r="W176" s="0"/>
      <c r="AA176" s="0"/>
      <c r="AE176" s="0"/>
    </row>
    <row r="177" customFormat="false" ht="15.95" hidden="false" customHeight="true" outlineLevel="0" collapsed="false">
      <c r="A177" s="0" t="n">
        <v>31</v>
      </c>
      <c r="B177" s="31" t="n">
        <v>33359</v>
      </c>
      <c r="C177" s="1" t="n">
        <v>373500</v>
      </c>
      <c r="D177" s="58" t="s">
        <v>41</v>
      </c>
      <c r="E177" s="33" t="n">
        <f aca="false">IF(D177="totale",(C177/(A177*24))/F177,IF(D177="marché libre",(C177/(A177*24))/G177,"spécifier histo"))</f>
        <v>0.228189149560117</v>
      </c>
      <c r="F177" s="59" t="n">
        <v>2200</v>
      </c>
      <c r="G177" s="59" t="n">
        <f aca="false">F177-H177</f>
        <v>2200</v>
      </c>
      <c r="K177" s="0"/>
      <c r="N177" s="0"/>
      <c r="Q177" s="0"/>
      <c r="S177" s="0"/>
      <c r="W177" s="0"/>
      <c r="AE177" s="0"/>
    </row>
    <row r="178" customFormat="false" ht="15.95" hidden="false" customHeight="true" outlineLevel="0" collapsed="false">
      <c r="A178" s="0" t="n">
        <v>30</v>
      </c>
      <c r="B178" s="34" t="n">
        <v>33390</v>
      </c>
      <c r="C178" s="1" t="n">
        <v>161100</v>
      </c>
      <c r="D178" s="58" t="s">
        <v>41</v>
      </c>
      <c r="E178" s="33" t="n">
        <f aca="false">IF(D178="totale",(C178/(A178*24))/F178,IF(D178="marché libre",(C178/(A178*24))/G178,"spécifier histo"))</f>
        <v>0.101704545454545</v>
      </c>
      <c r="F178" s="59" t="n">
        <v>2200</v>
      </c>
      <c r="G178" s="59" t="n">
        <f aca="false">F178-H178</f>
        <v>2200</v>
      </c>
      <c r="K178" s="0"/>
      <c r="N178" s="0"/>
      <c r="Q178" s="0"/>
      <c r="S178" s="0"/>
      <c r="W178" s="0"/>
      <c r="AE178" s="0"/>
    </row>
    <row r="179" customFormat="false" ht="15.95" hidden="false" customHeight="true" outlineLevel="0" collapsed="false">
      <c r="A179" s="0" t="n">
        <v>31</v>
      </c>
      <c r="B179" s="31" t="n">
        <v>33420</v>
      </c>
      <c r="C179" s="1" t="n">
        <v>37500</v>
      </c>
      <c r="D179" s="58" t="s">
        <v>41</v>
      </c>
      <c r="E179" s="33" t="n">
        <f aca="false">IF(D179="totale",(C179/(A179*24))/F179,IF(D179="marché libre",(C179/(A179*24))/G179,"spécifier histo"))</f>
        <v>0.0229105571847507</v>
      </c>
      <c r="F179" s="59" t="n">
        <v>2200</v>
      </c>
      <c r="G179" s="59" t="n">
        <f aca="false">F179-H179</f>
        <v>2200</v>
      </c>
      <c r="K179" s="0"/>
      <c r="N179" s="0"/>
      <c r="Q179" s="0"/>
      <c r="S179" s="0"/>
      <c r="W179" s="0"/>
      <c r="AE179" s="0"/>
    </row>
    <row r="180" customFormat="false" ht="15.95" hidden="false" customHeight="true" outlineLevel="0" collapsed="false">
      <c r="A180" s="0" t="n">
        <v>31</v>
      </c>
      <c r="B180" s="34" t="n">
        <v>33451</v>
      </c>
      <c r="C180" s="1" t="n">
        <v>0</v>
      </c>
      <c r="D180" s="58" t="s">
        <v>41</v>
      </c>
      <c r="E180" s="33" t="n">
        <f aca="false">IF(D180="totale",(C180/(A180*24))/F180,IF(D180="marché libre",(C180/(A180*24))/G180,"spécifier histo"))</f>
        <v>0</v>
      </c>
      <c r="F180" s="59" t="n">
        <v>2200</v>
      </c>
      <c r="G180" s="59" t="n">
        <f aca="false">F180-H180</f>
        <v>2200</v>
      </c>
      <c r="K180" s="0"/>
      <c r="N180" s="0"/>
      <c r="Q180" s="0"/>
      <c r="S180" s="0"/>
      <c r="W180" s="0"/>
      <c r="AE180" s="0"/>
    </row>
    <row r="181" customFormat="false" ht="15.95" hidden="false" customHeight="true" outlineLevel="0" collapsed="false">
      <c r="A181" s="0" t="n">
        <v>30</v>
      </c>
      <c r="B181" s="31" t="n">
        <v>33482</v>
      </c>
      <c r="C181" s="1" t="n">
        <v>9300</v>
      </c>
      <c r="D181" s="58" t="s">
        <v>41</v>
      </c>
      <c r="E181" s="33" t="n">
        <f aca="false">IF(D181="totale",(C181/(A181*24))/F181,IF(D181="marché libre",(C181/(A181*24))/G181,"spécifier histo"))</f>
        <v>0.00587121212121212</v>
      </c>
      <c r="F181" s="59" t="n">
        <v>2200</v>
      </c>
      <c r="G181" s="59" t="n">
        <f aca="false">F181-H181</f>
        <v>2200</v>
      </c>
      <c r="K181" s="0"/>
      <c r="N181" s="0"/>
      <c r="Q181" s="0"/>
      <c r="S181" s="0"/>
      <c r="W181" s="0"/>
      <c r="AE181" s="0"/>
    </row>
    <row r="182" customFormat="false" ht="15.95" hidden="false" customHeight="true" outlineLevel="0" collapsed="false">
      <c r="A182" s="0" t="n">
        <v>31</v>
      </c>
      <c r="B182" s="34" t="n">
        <v>33512</v>
      </c>
      <c r="C182" s="1" t="n">
        <v>47400</v>
      </c>
      <c r="D182" s="58" t="s">
        <v>41</v>
      </c>
      <c r="E182" s="33" t="n">
        <f aca="false">IF(D182="totale",(C182/(A182*24))/F182,IF(D182="marché libre",(C182/(A182*24))/G182,"spécifier histo"))</f>
        <v>0.0289589442815249</v>
      </c>
      <c r="F182" s="59" t="n">
        <v>2200</v>
      </c>
      <c r="G182" s="59" t="n">
        <f aca="false">F182-H182</f>
        <v>2200</v>
      </c>
      <c r="K182" s="0"/>
      <c r="N182" s="0"/>
      <c r="Q182" s="0"/>
      <c r="S182" s="0"/>
      <c r="W182" s="0"/>
    </row>
    <row r="183" customFormat="false" ht="15.95" hidden="false" customHeight="true" outlineLevel="0" collapsed="false">
      <c r="A183" s="0" t="n">
        <v>30</v>
      </c>
      <c r="B183" s="31" t="n">
        <v>33543</v>
      </c>
      <c r="C183" s="1" t="n">
        <v>579300</v>
      </c>
      <c r="D183" s="58" t="s">
        <v>41</v>
      </c>
      <c r="E183" s="33" t="n">
        <f aca="false">IF(D183="totale",(C183/(A183*24))/F183,IF(D183="marché libre",(C183/(A183*24))/G183,"spécifier histo"))</f>
        <v>0.365719696969697</v>
      </c>
      <c r="F183" s="59" t="n">
        <v>2200</v>
      </c>
      <c r="G183" s="59" t="n">
        <f aca="false">F183-H183</f>
        <v>2200</v>
      </c>
      <c r="K183" s="0"/>
      <c r="N183" s="0"/>
      <c r="Q183" s="0"/>
      <c r="S183" s="0"/>
      <c r="W183" s="0"/>
    </row>
    <row r="184" customFormat="false" ht="15.95" hidden="false" customHeight="true" outlineLevel="0" collapsed="false">
      <c r="A184" s="0" t="n">
        <v>31</v>
      </c>
      <c r="B184" s="34" t="n">
        <v>33573</v>
      </c>
      <c r="C184" s="1" t="n">
        <v>545400</v>
      </c>
      <c r="D184" s="58" t="s">
        <v>41</v>
      </c>
      <c r="E184" s="33" t="n">
        <f aca="false">IF(D184="totale",(C184/(A184*24))/F184,IF(D184="marché libre",(C184/(A184*24))/G184,"spécifier histo"))</f>
        <v>0.333211143695015</v>
      </c>
      <c r="F184" s="59" t="n">
        <v>2200</v>
      </c>
      <c r="G184" s="59" t="n">
        <f aca="false">F184-H184</f>
        <v>2200</v>
      </c>
      <c r="K184" s="0"/>
      <c r="N184" s="0"/>
      <c r="Q184" s="0"/>
      <c r="S184" s="0"/>
      <c r="W184" s="0"/>
    </row>
    <row r="185" customFormat="false" ht="15.95" hidden="false" customHeight="true" outlineLevel="0" collapsed="false">
      <c r="A185" s="0" t="n">
        <v>31</v>
      </c>
      <c r="B185" s="31" t="n">
        <v>33604</v>
      </c>
      <c r="C185" s="1" t="n">
        <v>538500</v>
      </c>
      <c r="D185" s="58" t="s">
        <v>41</v>
      </c>
      <c r="E185" s="33" t="n">
        <f aca="false">IF(D185="totale",(C185/(A185*24))/F185,IF(D185="marché libre",(C185/(A185*24))/G185,"spécifier histo"))</f>
        <v>0.32899560117302</v>
      </c>
      <c r="F185" s="59" t="n">
        <v>2200</v>
      </c>
      <c r="G185" s="59" t="n">
        <f aca="false">F185-H185</f>
        <v>2200</v>
      </c>
      <c r="K185" s="0"/>
      <c r="N185" s="0"/>
      <c r="Q185" s="0"/>
      <c r="S185" s="0"/>
      <c r="W185" s="0"/>
    </row>
    <row r="186" customFormat="false" ht="15.95" hidden="false" customHeight="true" outlineLevel="0" collapsed="false">
      <c r="A186" s="0" t="n">
        <v>28</v>
      </c>
      <c r="B186" s="34" t="n">
        <v>33635</v>
      </c>
      <c r="C186" s="1" t="n">
        <v>551700</v>
      </c>
      <c r="D186" s="58" t="s">
        <v>41</v>
      </c>
      <c r="E186" s="33" t="n">
        <f aca="false">IF(D186="totale",(C186/(A186*24))/F186,IF(D186="marché libre",(C186/(A186*24))/G186,"spécifier histo"))</f>
        <v>0.373173701298701</v>
      </c>
      <c r="F186" s="59" t="n">
        <v>2200</v>
      </c>
      <c r="G186" s="59" t="n">
        <f aca="false">F186-H186</f>
        <v>2200</v>
      </c>
      <c r="K186" s="0"/>
      <c r="N186" s="0"/>
      <c r="Q186" s="0"/>
      <c r="S186" s="0"/>
      <c r="W186" s="0"/>
    </row>
    <row r="187" customFormat="false" ht="15.95" hidden="false" customHeight="true" outlineLevel="0" collapsed="false">
      <c r="A187" s="0" t="n">
        <v>31</v>
      </c>
      <c r="B187" s="31" t="n">
        <v>33664</v>
      </c>
      <c r="C187" s="1" t="n">
        <v>437400</v>
      </c>
      <c r="D187" s="58" t="s">
        <v>41</v>
      </c>
      <c r="E187" s="33" t="n">
        <f aca="false">IF(D187="totale",(C187/(A187*24))/F187,IF(D187="marché libre",(C187/(A187*24))/G187,"spécifier histo"))</f>
        <v>0.267228739002933</v>
      </c>
      <c r="F187" s="59" t="n">
        <v>2200</v>
      </c>
      <c r="G187" s="59" t="n">
        <f aca="false">F187-H187</f>
        <v>2200</v>
      </c>
      <c r="K187" s="0"/>
      <c r="N187" s="0"/>
      <c r="Q187" s="0"/>
      <c r="S187" s="0"/>
      <c r="W187" s="0"/>
    </row>
    <row r="188" customFormat="false" ht="15.95" hidden="false" customHeight="true" outlineLevel="0" collapsed="false">
      <c r="A188" s="0" t="n">
        <v>30</v>
      </c>
      <c r="B188" s="34" t="n">
        <v>33695</v>
      </c>
      <c r="C188" s="1" t="n">
        <v>766200</v>
      </c>
      <c r="D188" s="58" t="s">
        <v>41</v>
      </c>
      <c r="E188" s="33" t="n">
        <f aca="false">IF(D188="totale",(C188/(A188*24))/F188,IF(D188="marché libre",(C188/(A188*24))/G188,"spécifier histo"))</f>
        <v>0.483712121212121</v>
      </c>
      <c r="F188" s="59" t="n">
        <v>2200</v>
      </c>
      <c r="G188" s="59" t="n">
        <f aca="false">F188-H188</f>
        <v>2200</v>
      </c>
      <c r="K188" s="0"/>
      <c r="N188" s="0"/>
      <c r="Q188" s="0"/>
      <c r="S188" s="0"/>
      <c r="W188" s="0"/>
    </row>
    <row r="189" customFormat="false" ht="15.95" hidden="false" customHeight="true" outlineLevel="0" collapsed="false">
      <c r="A189" s="0" t="n">
        <v>31</v>
      </c>
      <c r="B189" s="31" t="n">
        <v>33725</v>
      </c>
      <c r="C189" s="1" t="n">
        <v>368100</v>
      </c>
      <c r="D189" s="58" t="s">
        <v>41</v>
      </c>
      <c r="E189" s="33" t="n">
        <f aca="false">IF(D189="totale",(C189/(A189*24))/F189,IF(D189="marché libre",(C189/(A189*24))/G189,"spécifier histo"))</f>
        <v>0.224890029325513</v>
      </c>
      <c r="F189" s="59" t="n">
        <v>2200</v>
      </c>
      <c r="G189" s="59" t="n">
        <f aca="false">F189-H189</f>
        <v>2200</v>
      </c>
      <c r="K189" s="0"/>
      <c r="N189" s="0"/>
      <c r="Q189" s="0"/>
      <c r="S189" s="0"/>
      <c r="W189" s="0"/>
    </row>
    <row r="190" customFormat="false" ht="15.95" hidden="false" customHeight="true" outlineLevel="0" collapsed="false">
      <c r="A190" s="0" t="n">
        <v>30</v>
      </c>
      <c r="B190" s="34" t="n">
        <v>33756</v>
      </c>
      <c r="C190" s="1" t="n">
        <v>815100</v>
      </c>
      <c r="D190" s="58" t="s">
        <v>41</v>
      </c>
      <c r="E190" s="33" t="n">
        <f aca="false">IF(D190="totale",(C190/(A190*24))/F190,IF(D190="marché libre",(C190/(A190*24))/G190,"spécifier histo"))</f>
        <v>0.514583333333333</v>
      </c>
      <c r="F190" s="59" t="n">
        <v>2200</v>
      </c>
      <c r="G190" s="59" t="n">
        <f aca="false">F190-H190</f>
        <v>2200</v>
      </c>
      <c r="K190" s="0"/>
      <c r="N190" s="0"/>
      <c r="Q190" s="0"/>
      <c r="S190" s="0"/>
      <c r="W190" s="0"/>
    </row>
    <row r="191" customFormat="false" ht="15.95" hidden="false" customHeight="true" outlineLevel="0" collapsed="false">
      <c r="A191" s="0" t="n">
        <v>31</v>
      </c>
      <c r="B191" s="31" t="n">
        <v>33786</v>
      </c>
      <c r="C191" s="9" t="n">
        <v>794400</v>
      </c>
      <c r="D191" s="58" t="s">
        <v>41</v>
      </c>
      <c r="E191" s="33" t="n">
        <f aca="false">IF(D191="totale",(C191/(A191*24))/F191,IF(D191="marché libre",(C191/(A191*24))/G191,"spécifier histo"))</f>
        <v>0.48533724340176</v>
      </c>
      <c r="F191" s="59" t="n">
        <v>2200</v>
      </c>
      <c r="G191" s="59" t="n">
        <f aca="false">F191-H191</f>
        <v>2200</v>
      </c>
      <c r="K191" s="0"/>
      <c r="N191" s="0"/>
      <c r="Q191" s="0"/>
      <c r="S191" s="0"/>
      <c r="W191" s="0"/>
    </row>
    <row r="192" customFormat="false" ht="12.8" hidden="false" customHeight="false" outlineLevel="0" collapsed="false">
      <c r="A192" s="0" t="n">
        <v>31</v>
      </c>
      <c r="B192" s="34" t="n">
        <v>33817</v>
      </c>
      <c r="C192" s="9" t="n">
        <v>258300</v>
      </c>
      <c r="D192" s="58" t="s">
        <v>41</v>
      </c>
      <c r="E192" s="33" t="n">
        <f aca="false">IF(D192="totale",(C192/(A192*24))/F192,IF(D192="marché libre",(C192/(A192*24))/G192,"spécifier histo"))</f>
        <v>0.157807917888563</v>
      </c>
      <c r="F192" s="59" t="n">
        <v>2200</v>
      </c>
      <c r="G192" s="59" t="n">
        <f aca="false">F192-H192</f>
        <v>2200</v>
      </c>
      <c r="K192" s="0"/>
      <c r="N192" s="0"/>
      <c r="Q192" s="0"/>
      <c r="S192" s="0"/>
      <c r="W192" s="0"/>
    </row>
    <row r="193" customFormat="false" ht="12.8" hidden="false" customHeight="false" outlineLevel="0" collapsed="false">
      <c r="A193" s="0" t="n">
        <v>30</v>
      </c>
      <c r="B193" s="31" t="n">
        <v>33848</v>
      </c>
      <c r="C193" s="9" t="n">
        <v>520800</v>
      </c>
      <c r="D193" s="58" t="s">
        <v>41</v>
      </c>
      <c r="E193" s="33" t="n">
        <f aca="false">IF(D193="totale",(C193/(A193*24))/F193,IF(D193="marché libre",(C193/(A193*24))/G193,"spécifier histo"))</f>
        <v>0.328787878787879</v>
      </c>
      <c r="F193" s="59" t="n">
        <v>2200</v>
      </c>
      <c r="G193" s="59" t="n">
        <f aca="false">F193-H193</f>
        <v>2200</v>
      </c>
      <c r="K193" s="0"/>
      <c r="N193" s="0"/>
      <c r="Q193" s="0"/>
      <c r="S193" s="0"/>
      <c r="W193" s="0"/>
    </row>
    <row r="194" customFormat="false" ht="12.8" hidden="false" customHeight="false" outlineLevel="0" collapsed="false">
      <c r="A194" s="0" t="n">
        <v>31</v>
      </c>
      <c r="B194" s="34" t="n">
        <v>33878</v>
      </c>
      <c r="C194" s="9" t="n">
        <v>698100</v>
      </c>
      <c r="D194" s="58" t="s">
        <v>41</v>
      </c>
      <c r="E194" s="33" t="n">
        <f aca="false">IF(D194="totale",(C194/(A194*24))/F194,IF(D194="marché libre",(C194/(A194*24))/G194,"spécifier histo"))</f>
        <v>0.42650293255132</v>
      </c>
      <c r="F194" s="59" t="n">
        <v>2200</v>
      </c>
      <c r="G194" s="59" t="n">
        <f aca="false">F194-H194</f>
        <v>2200</v>
      </c>
      <c r="K194" s="0"/>
      <c r="N194" s="0"/>
      <c r="Q194" s="0"/>
      <c r="S194" s="0"/>
      <c r="W194" s="0"/>
    </row>
    <row r="195" customFormat="false" ht="12.8" hidden="false" customHeight="false" outlineLevel="0" collapsed="false">
      <c r="A195" s="0" t="n">
        <v>30</v>
      </c>
      <c r="B195" s="31" t="n">
        <v>33909</v>
      </c>
      <c r="C195" s="9" t="n">
        <v>628200</v>
      </c>
      <c r="D195" s="58" t="s">
        <v>41</v>
      </c>
      <c r="E195" s="33" t="n">
        <f aca="false">IF(D195="totale",(C195/(A195*24))/F195,IF(D195="marché libre",(C195/(A195*24))/G195,"spécifier histo"))</f>
        <v>0.396590909090909</v>
      </c>
      <c r="F195" s="59" t="n">
        <v>2200</v>
      </c>
      <c r="G195" s="59" t="n">
        <f aca="false">F195-H195</f>
        <v>2200</v>
      </c>
      <c r="K195" s="0"/>
      <c r="N195" s="0"/>
      <c r="Q195" s="0"/>
      <c r="S195" s="0"/>
      <c r="W195" s="0"/>
    </row>
    <row r="196" customFormat="false" ht="12.8" hidden="false" customHeight="false" outlineLevel="0" collapsed="false">
      <c r="A196" s="0" t="n">
        <v>31</v>
      </c>
      <c r="B196" s="34" t="n">
        <v>33939</v>
      </c>
      <c r="C196" s="9" t="n">
        <v>708000</v>
      </c>
      <c r="D196" s="58" t="s">
        <v>41</v>
      </c>
      <c r="E196" s="33" t="n">
        <f aca="false">IF(D196="totale",(C196/(A196*24))/F196,IF(D196="marché libre",(C196/(A196*24))/G196,"spécifier histo"))</f>
        <v>0.432551319648094</v>
      </c>
      <c r="F196" s="59" t="n">
        <v>2200</v>
      </c>
      <c r="G196" s="59" t="n">
        <f aca="false">F196-H196</f>
        <v>2200</v>
      </c>
      <c r="K196" s="0"/>
      <c r="N196" s="0"/>
      <c r="Q196" s="0"/>
      <c r="S196" s="0"/>
      <c r="W196" s="0"/>
    </row>
    <row r="197" customFormat="false" ht="12.8" hidden="false" customHeight="false" outlineLevel="0" collapsed="false">
      <c r="A197" s="0" t="n">
        <v>31</v>
      </c>
      <c r="B197" s="31" t="n">
        <v>33970</v>
      </c>
      <c r="C197" s="9" t="n">
        <v>409200</v>
      </c>
      <c r="D197" s="58" t="s">
        <v>41</v>
      </c>
      <c r="E197" s="33" t="n">
        <f aca="false">IF(D197="totale",(C197/(A197*24))/F197,IF(D197="marché libre",(C197/(A197*24))/G197,"spécifier histo"))</f>
        <v>0.25</v>
      </c>
      <c r="F197" s="59" t="n">
        <v>2200</v>
      </c>
      <c r="G197" s="59" t="n">
        <f aca="false">F197-H197</f>
        <v>2200</v>
      </c>
      <c r="K197" s="0"/>
      <c r="N197" s="0"/>
      <c r="Q197" s="0"/>
      <c r="S197" s="0"/>
      <c r="W197" s="0"/>
    </row>
    <row r="198" customFormat="false" ht="12.8" hidden="false" customHeight="false" outlineLevel="0" collapsed="false">
      <c r="A198" s="0" t="n">
        <v>28</v>
      </c>
      <c r="B198" s="34" t="n">
        <v>34001</v>
      </c>
      <c r="C198" s="9" t="n">
        <v>377400</v>
      </c>
      <c r="D198" s="58" t="s">
        <v>41</v>
      </c>
      <c r="E198" s="33" t="n">
        <f aca="false">IF(D198="totale",(C198/(A198*24))/F198,IF(D198="marché libre",(C198/(A198*24))/G198,"spécifier histo"))</f>
        <v>0.255275974025974</v>
      </c>
      <c r="F198" s="59" t="n">
        <v>2200</v>
      </c>
      <c r="G198" s="59" t="n">
        <f aca="false">F198-H198</f>
        <v>2200</v>
      </c>
      <c r="K198" s="0"/>
      <c r="N198" s="0"/>
      <c r="Q198" s="0"/>
      <c r="S198" s="0"/>
      <c r="W198" s="0"/>
    </row>
    <row r="199" customFormat="false" ht="12.8" hidden="false" customHeight="false" outlineLevel="0" collapsed="false">
      <c r="A199" s="0" t="n">
        <v>31</v>
      </c>
      <c r="B199" s="31" t="n">
        <v>34029</v>
      </c>
      <c r="C199" s="9" t="n">
        <v>151500</v>
      </c>
      <c r="D199" s="58" t="s">
        <v>41</v>
      </c>
      <c r="E199" s="33" t="n">
        <f aca="false">IF(D199="totale",(C199/(A199*24))/F199,IF(D199="marché libre",(C199/(A199*24))/G199,"spécifier histo"))</f>
        <v>0.092558651026393</v>
      </c>
      <c r="F199" s="59" t="n">
        <v>2200</v>
      </c>
      <c r="G199" s="59" t="n">
        <f aca="false">F199-H199</f>
        <v>2200</v>
      </c>
      <c r="K199" s="0"/>
      <c r="N199" s="0"/>
      <c r="Q199" s="0"/>
      <c r="S199" s="0"/>
      <c r="W199" s="0"/>
    </row>
    <row r="200" customFormat="false" ht="12.8" hidden="false" customHeight="false" outlineLevel="0" collapsed="false">
      <c r="A200" s="0" t="n">
        <v>30</v>
      </c>
      <c r="B200" s="34" t="n">
        <v>34060</v>
      </c>
      <c r="C200" s="9" t="n">
        <v>441900</v>
      </c>
      <c r="D200" s="58" t="s">
        <v>41</v>
      </c>
      <c r="E200" s="33" t="n">
        <f aca="false">IF(D200="totale",(C200/(A200*24))/F200,IF(D200="marché libre",(C200/(A200*24))/G200,"spécifier histo"))</f>
        <v>0.278977272727273</v>
      </c>
      <c r="F200" s="59" t="n">
        <v>2200</v>
      </c>
      <c r="G200" s="59" t="n">
        <f aca="false">F200-H200</f>
        <v>2200</v>
      </c>
      <c r="K200" s="0"/>
      <c r="N200" s="0"/>
      <c r="Q200" s="0"/>
      <c r="S200" s="0"/>
      <c r="W200" s="0"/>
    </row>
    <row r="201" customFormat="false" ht="12.8" hidden="false" customHeight="false" outlineLevel="0" collapsed="false">
      <c r="A201" s="0" t="n">
        <v>31</v>
      </c>
      <c r="B201" s="31" t="n">
        <v>34090</v>
      </c>
      <c r="C201" s="9" t="n">
        <v>716400</v>
      </c>
      <c r="D201" s="58" t="s">
        <v>41</v>
      </c>
      <c r="E201" s="33" t="n">
        <f aca="false">IF(D201="totale",(C201/(A201*24))/F201,IF(D201="marché libre",(C201/(A201*24))/G201,"spécifier histo"))</f>
        <v>0.437683284457478</v>
      </c>
      <c r="F201" s="59" t="n">
        <v>2200</v>
      </c>
      <c r="G201" s="59" t="n">
        <f aca="false">F201-H201</f>
        <v>2200</v>
      </c>
      <c r="N201" s="0"/>
      <c r="S201" s="0"/>
      <c r="W201" s="0"/>
    </row>
    <row r="202" customFormat="false" ht="12.8" hidden="false" customHeight="false" outlineLevel="0" collapsed="false">
      <c r="A202" s="0" t="n">
        <v>30</v>
      </c>
      <c r="B202" s="34" t="n">
        <v>34121</v>
      </c>
      <c r="C202" s="9" t="n">
        <v>639900</v>
      </c>
      <c r="D202" s="58" t="s">
        <v>41</v>
      </c>
      <c r="E202" s="33" t="n">
        <f aca="false">IF(D202="totale",(C202/(A202*24))/F202,IF(D202="marché libre",(C202/(A202*24))/G202,"spécifier histo"))</f>
        <v>0.403977272727273</v>
      </c>
      <c r="F202" s="59" t="n">
        <v>2200</v>
      </c>
      <c r="G202" s="59" t="n">
        <f aca="false">F202-H202</f>
        <v>2200</v>
      </c>
      <c r="N202" s="0"/>
      <c r="S202" s="0"/>
      <c r="W202" s="0"/>
    </row>
    <row r="203" customFormat="false" ht="12.8" hidden="false" customHeight="false" outlineLevel="0" collapsed="false">
      <c r="A203" s="0" t="n">
        <v>31</v>
      </c>
      <c r="B203" s="31" t="n">
        <v>34151</v>
      </c>
      <c r="C203" s="9" t="n">
        <v>698700</v>
      </c>
      <c r="D203" s="58" t="s">
        <v>41</v>
      </c>
      <c r="E203" s="33" t="n">
        <f aca="false">IF(D203="totale",(C203/(A203*24))/F203,IF(D203="marché libre",(C203/(A203*24))/G203,"spécifier histo"))</f>
        <v>0.426869501466276</v>
      </c>
      <c r="F203" s="59" t="n">
        <v>2200</v>
      </c>
      <c r="G203" s="59" t="n">
        <f aca="false">F203-H203</f>
        <v>2200</v>
      </c>
      <c r="N203" s="0"/>
      <c r="S203" s="0"/>
      <c r="W203" s="0"/>
    </row>
    <row r="204" customFormat="false" ht="12.8" hidden="false" customHeight="false" outlineLevel="0" collapsed="false">
      <c r="A204" s="0" t="n">
        <v>31</v>
      </c>
      <c r="B204" s="34" t="n">
        <v>34182</v>
      </c>
      <c r="C204" s="9" t="n">
        <v>251100</v>
      </c>
      <c r="D204" s="58" t="s">
        <v>41</v>
      </c>
      <c r="E204" s="33" t="n">
        <f aca="false">IF(D204="totale",(C204/(A204*24))/F204,IF(D204="marché libre",(C204/(A204*24))/G204,"spécifier histo"))</f>
        <v>0.153409090909091</v>
      </c>
      <c r="F204" s="59" t="n">
        <v>2200</v>
      </c>
      <c r="G204" s="59" t="n">
        <f aca="false">F204-H204</f>
        <v>2200</v>
      </c>
      <c r="N204" s="0"/>
      <c r="S204" s="0"/>
      <c r="W204" s="0"/>
    </row>
    <row r="205" customFormat="false" ht="12.8" hidden="false" customHeight="false" outlineLevel="0" collapsed="false">
      <c r="A205" s="0" t="n">
        <v>30</v>
      </c>
      <c r="B205" s="31" t="n">
        <v>34213</v>
      </c>
      <c r="C205" s="9" t="n">
        <v>179400</v>
      </c>
      <c r="D205" s="58" t="s">
        <v>41</v>
      </c>
      <c r="E205" s="33" t="n">
        <f aca="false">IF(D205="totale",(C205/(A205*24))/F205,IF(D205="marché libre",(C205/(A205*24))/G205,"spécifier histo"))</f>
        <v>0.113257575757576</v>
      </c>
      <c r="F205" s="59" t="n">
        <v>2200</v>
      </c>
      <c r="G205" s="59" t="n">
        <f aca="false">F205-H205</f>
        <v>2200</v>
      </c>
      <c r="N205" s="0"/>
      <c r="S205" s="0"/>
      <c r="W205" s="0"/>
    </row>
    <row r="206" customFormat="false" ht="12.8" hidden="false" customHeight="false" outlineLevel="0" collapsed="false">
      <c r="A206" s="0" t="n">
        <v>31</v>
      </c>
      <c r="B206" s="34" t="n">
        <v>34243</v>
      </c>
      <c r="C206" s="9" t="n">
        <v>811500</v>
      </c>
      <c r="D206" s="58" t="s">
        <v>41</v>
      </c>
      <c r="E206" s="33" t="n">
        <f aca="false">IF(D206="totale",(C206/(A206*24))/F206,IF(D206="marché libre",(C206/(A206*24))/G206,"spécifier histo"))</f>
        <v>0.495784457478006</v>
      </c>
      <c r="F206" s="59" t="n">
        <v>2200</v>
      </c>
      <c r="G206" s="59" t="n">
        <f aca="false">F206-H206</f>
        <v>2200</v>
      </c>
      <c r="N206" s="0"/>
      <c r="S206" s="0"/>
      <c r="W206" s="0"/>
    </row>
    <row r="207" customFormat="false" ht="12.8" hidden="false" customHeight="false" outlineLevel="0" collapsed="false">
      <c r="A207" s="0" t="n">
        <v>30</v>
      </c>
      <c r="B207" s="31" t="n">
        <v>34274</v>
      </c>
      <c r="C207" s="9" t="n">
        <v>663900</v>
      </c>
      <c r="D207" s="58" t="s">
        <v>41</v>
      </c>
      <c r="E207" s="33" t="n">
        <f aca="false">IF(D207="totale",(C207/(A207*24))/F207,IF(D207="marché libre",(C207/(A207*24))/G207,"spécifier histo"))</f>
        <v>0.419128787878788</v>
      </c>
      <c r="F207" s="59" t="n">
        <v>2200</v>
      </c>
      <c r="G207" s="59" t="n">
        <f aca="false">F207-H207</f>
        <v>2200</v>
      </c>
      <c r="N207" s="0"/>
      <c r="S207" s="0"/>
      <c r="W207" s="0"/>
    </row>
    <row r="208" customFormat="false" ht="12.8" hidden="false" customHeight="false" outlineLevel="0" collapsed="false">
      <c r="A208" s="0" t="n">
        <v>31</v>
      </c>
      <c r="B208" s="34" t="n">
        <v>34304</v>
      </c>
      <c r="C208" s="9" t="n">
        <v>546300</v>
      </c>
      <c r="D208" s="58" t="s">
        <v>41</v>
      </c>
      <c r="E208" s="33" t="n">
        <f aca="false">IF(D208="totale",(C208/(A208*24))/F208,IF(D208="marché libre",(C208/(A208*24))/G208,"spécifier histo"))</f>
        <v>0.333760997067449</v>
      </c>
      <c r="F208" s="59" t="n">
        <v>2200</v>
      </c>
      <c r="G208" s="59" t="n">
        <f aca="false">F208-H208</f>
        <v>2200</v>
      </c>
      <c r="N208" s="0"/>
      <c r="S208" s="0"/>
      <c r="W208" s="0"/>
    </row>
    <row r="209" customFormat="false" ht="12.8" hidden="false" customHeight="false" outlineLevel="0" collapsed="false">
      <c r="A209" s="0" t="n">
        <v>31</v>
      </c>
      <c r="B209" s="31" t="n">
        <v>34335</v>
      </c>
      <c r="C209" s="9" t="n">
        <v>504000</v>
      </c>
      <c r="D209" s="58" t="s">
        <v>41</v>
      </c>
      <c r="E209" s="33" t="n">
        <f aca="false">IF(D209="totale",(C209/(A209*24))/F209,IF(D209="marché libre",(C209/(A209*24))/G209,"spécifier histo"))</f>
        <v>0.30791788856305</v>
      </c>
      <c r="F209" s="59" t="n">
        <v>2200</v>
      </c>
      <c r="G209" s="59" t="n">
        <f aca="false">F209-H209</f>
        <v>2200</v>
      </c>
      <c r="N209" s="0"/>
      <c r="S209" s="0"/>
      <c r="W209" s="0"/>
    </row>
    <row r="210" customFormat="false" ht="12.8" hidden="false" customHeight="false" outlineLevel="0" collapsed="false">
      <c r="A210" s="0" t="n">
        <v>28</v>
      </c>
      <c r="B210" s="34" t="n">
        <v>34366</v>
      </c>
      <c r="C210" s="9" t="n">
        <v>713400</v>
      </c>
      <c r="D210" s="58" t="s">
        <v>41</v>
      </c>
      <c r="E210" s="33" t="n">
        <f aca="false">IF(D210="totale",(C210/(A210*24))/F210,IF(D210="marché libre",(C210/(A210*24))/G210,"spécifier histo"))</f>
        <v>0.482548701298701</v>
      </c>
      <c r="F210" s="59" t="n">
        <v>2200</v>
      </c>
      <c r="G210" s="59" t="n">
        <f aca="false">F210-H210</f>
        <v>2200</v>
      </c>
      <c r="N210" s="0"/>
      <c r="S210" s="0"/>
      <c r="W210" s="0"/>
    </row>
    <row r="211" customFormat="false" ht="12.8" hidden="false" customHeight="false" outlineLevel="0" collapsed="false">
      <c r="A211" s="0" t="n">
        <v>31</v>
      </c>
      <c r="B211" s="31" t="n">
        <v>34394</v>
      </c>
      <c r="C211" s="9" t="n">
        <v>820500</v>
      </c>
      <c r="D211" s="58" t="s">
        <v>41</v>
      </c>
      <c r="E211" s="33" t="n">
        <f aca="false">IF(D211="totale",(C211/(A211*24))/F211,IF(D211="marché libre",(C211/(A211*24))/G211,"spécifier histo"))</f>
        <v>0.501282991202346</v>
      </c>
      <c r="F211" s="59" t="n">
        <v>2200</v>
      </c>
      <c r="G211" s="59" t="n">
        <f aca="false">F211-H211</f>
        <v>2200</v>
      </c>
      <c r="N211" s="0"/>
      <c r="S211" s="0"/>
      <c r="W211" s="0"/>
    </row>
    <row r="212" customFormat="false" ht="12.8" hidden="false" customHeight="false" outlineLevel="0" collapsed="false">
      <c r="A212" s="0" t="n">
        <v>30</v>
      </c>
      <c r="B212" s="34" t="n">
        <v>34425</v>
      </c>
      <c r="C212" s="9" t="n">
        <v>775500</v>
      </c>
      <c r="D212" s="58" t="s">
        <v>41</v>
      </c>
      <c r="E212" s="33" t="n">
        <f aca="false">IF(D212="totale",(C212/(A212*24))/F212,IF(D212="marché libre",(C212/(A212*24))/G212,"spécifier histo"))</f>
        <v>0.489583333333333</v>
      </c>
      <c r="F212" s="59" t="n">
        <v>2200</v>
      </c>
      <c r="G212" s="59" t="n">
        <f aca="false">F212-H212</f>
        <v>2200</v>
      </c>
      <c r="N212" s="0"/>
      <c r="S212" s="0"/>
      <c r="W212" s="0"/>
    </row>
    <row r="213" customFormat="false" ht="12.8" hidden="false" customHeight="false" outlineLevel="0" collapsed="false">
      <c r="A213" s="0" t="n">
        <v>31</v>
      </c>
      <c r="B213" s="31" t="n">
        <v>34455</v>
      </c>
      <c r="C213" s="9" t="n">
        <v>764700</v>
      </c>
      <c r="D213" s="58" t="s">
        <v>41</v>
      </c>
      <c r="E213" s="33" t="n">
        <f aca="false">IF(D213="totale",(C213/(A213*24))/F213,IF(D213="marché libre",(C213/(A213*24))/G213,"spécifier histo"))</f>
        <v>0.467192082111437</v>
      </c>
      <c r="F213" s="59" t="n">
        <v>2200</v>
      </c>
      <c r="G213" s="59" t="n">
        <f aca="false">F213-H213</f>
        <v>2200</v>
      </c>
      <c r="N213" s="0"/>
      <c r="S213" s="0"/>
      <c r="W213" s="0"/>
    </row>
    <row r="214" customFormat="false" ht="12.8" hidden="false" customHeight="false" outlineLevel="0" collapsed="false">
      <c r="A214" s="0" t="n">
        <v>30</v>
      </c>
      <c r="B214" s="34" t="n">
        <v>34486</v>
      </c>
      <c r="C214" s="9" t="n">
        <v>252900</v>
      </c>
      <c r="D214" s="58" t="s">
        <v>41</v>
      </c>
      <c r="E214" s="33" t="n">
        <f aca="false">IF(D214="totale",(C214/(A214*24))/F214,IF(D214="marché libre",(C214/(A214*24))/G214,"spécifier histo"))</f>
        <v>0.159659090909091</v>
      </c>
      <c r="F214" s="59" t="n">
        <v>2200</v>
      </c>
      <c r="G214" s="59" t="n">
        <f aca="false">F214-H214</f>
        <v>2200</v>
      </c>
      <c r="N214" s="0"/>
      <c r="S214" s="0"/>
      <c r="W214" s="0"/>
    </row>
    <row r="215" customFormat="false" ht="12.8" hidden="false" customHeight="false" outlineLevel="0" collapsed="false">
      <c r="A215" s="0" t="n">
        <v>31</v>
      </c>
      <c r="B215" s="31" t="n">
        <v>34516</v>
      </c>
      <c r="C215" s="9" t="n">
        <v>140100</v>
      </c>
      <c r="D215" s="58" t="s">
        <v>41</v>
      </c>
      <c r="E215" s="33" t="n">
        <f aca="false">IF(D215="totale",(C215/(A215*24))/F215,IF(D215="marché libre",(C215/(A215*24))/G215,"spécifier histo"))</f>
        <v>0.0855938416422288</v>
      </c>
      <c r="F215" s="59" t="n">
        <v>2200</v>
      </c>
      <c r="G215" s="59" t="n">
        <f aca="false">F215-H215</f>
        <v>2200</v>
      </c>
      <c r="N215" s="0"/>
      <c r="S215" s="0"/>
      <c r="W215" s="0"/>
    </row>
    <row r="216" customFormat="false" ht="12.8" hidden="false" customHeight="false" outlineLevel="0" collapsed="false">
      <c r="A216" s="0" t="n">
        <v>31</v>
      </c>
      <c r="B216" s="34" t="n">
        <v>34547</v>
      </c>
      <c r="C216" s="9" t="n">
        <v>15900</v>
      </c>
      <c r="D216" s="58" t="s">
        <v>41</v>
      </c>
      <c r="E216" s="33" t="n">
        <f aca="false">IF(D216="totale",(C216/(A216*24))/F216,IF(D216="marché libre",(C216/(A216*24))/G216,"spécifier histo"))</f>
        <v>0.00971407624633431</v>
      </c>
      <c r="F216" s="59" t="n">
        <v>2200</v>
      </c>
      <c r="G216" s="59" t="n">
        <f aca="false">F216-H216</f>
        <v>2200</v>
      </c>
      <c r="N216" s="0"/>
      <c r="S216" s="0"/>
      <c r="W216" s="0"/>
    </row>
    <row r="217" customFormat="false" ht="12.8" hidden="false" customHeight="false" outlineLevel="0" collapsed="false">
      <c r="A217" s="0" t="n">
        <v>30</v>
      </c>
      <c r="B217" s="31" t="n">
        <v>34578</v>
      </c>
      <c r="C217" s="9" t="n">
        <v>227700</v>
      </c>
      <c r="D217" s="58" t="s">
        <v>41</v>
      </c>
      <c r="E217" s="33" t="n">
        <f aca="false">IF(D217="totale",(C217/(A217*24))/F217,IF(D217="marché libre",(C217/(A217*24))/G217,"spécifier histo"))</f>
        <v>0.14375</v>
      </c>
      <c r="F217" s="59" t="n">
        <v>2200</v>
      </c>
      <c r="G217" s="59" t="n">
        <f aca="false">F217-H217</f>
        <v>2200</v>
      </c>
      <c r="N217" s="0"/>
      <c r="S217" s="0"/>
      <c r="W217" s="0"/>
    </row>
    <row r="218" customFormat="false" ht="12.8" hidden="false" customHeight="false" outlineLevel="0" collapsed="false">
      <c r="A218" s="0" t="n">
        <v>31</v>
      </c>
      <c r="B218" s="34" t="n">
        <v>34608</v>
      </c>
      <c r="C218" s="9" t="n">
        <v>587700</v>
      </c>
      <c r="D218" s="58" t="s">
        <v>41</v>
      </c>
      <c r="E218" s="33" t="n">
        <f aca="false">IF(D218="totale",(C218/(A218*24))/F218,IF(D218="marché libre",(C218/(A218*24))/G218,"spécifier histo"))</f>
        <v>0.359054252199413</v>
      </c>
      <c r="F218" s="59" t="n">
        <v>2200</v>
      </c>
      <c r="G218" s="59" t="n">
        <f aca="false">F218-H218</f>
        <v>2200</v>
      </c>
      <c r="N218" s="0"/>
      <c r="W218" s="0"/>
    </row>
    <row r="219" customFormat="false" ht="12.8" hidden="false" customHeight="false" outlineLevel="0" collapsed="false">
      <c r="A219" s="0" t="n">
        <v>30</v>
      </c>
      <c r="B219" s="31" t="n">
        <v>34639</v>
      </c>
      <c r="C219" s="9" t="n">
        <v>638100</v>
      </c>
      <c r="D219" s="58" t="s">
        <v>41</v>
      </c>
      <c r="E219" s="33" t="n">
        <f aca="false">IF(D219="totale",(C219/(A219*24))/F219,IF(D219="marché libre",(C219/(A219*24))/G219,"spécifier histo"))</f>
        <v>0.402840909090909</v>
      </c>
      <c r="F219" s="59" t="n">
        <v>2200</v>
      </c>
      <c r="G219" s="59" t="n">
        <f aca="false">F219-H219</f>
        <v>2200</v>
      </c>
      <c r="N219" s="0"/>
      <c r="W219" s="0"/>
    </row>
    <row r="220" customFormat="false" ht="12.8" hidden="false" customHeight="false" outlineLevel="0" collapsed="false">
      <c r="A220" s="0" t="n">
        <v>31</v>
      </c>
      <c r="B220" s="34" t="n">
        <v>34669</v>
      </c>
      <c r="C220" s="9" t="n">
        <v>587100</v>
      </c>
      <c r="D220" s="58" t="s">
        <v>41</v>
      </c>
      <c r="E220" s="33" t="n">
        <f aca="false">IF(D220="totale",(C220/(A220*24))/F220,IF(D220="marché libre",(C220/(A220*24))/G220,"spécifier histo"))</f>
        <v>0.358687683284457</v>
      </c>
      <c r="F220" s="59" t="n">
        <v>2200</v>
      </c>
      <c r="G220" s="59" t="n">
        <f aca="false">F220-H220</f>
        <v>2200</v>
      </c>
      <c r="N220" s="0"/>
      <c r="W220" s="0"/>
    </row>
    <row r="221" customFormat="false" ht="12.8" hidden="false" customHeight="false" outlineLevel="0" collapsed="false">
      <c r="A221" s="0" t="n">
        <v>31</v>
      </c>
      <c r="B221" s="31" t="n">
        <v>34700</v>
      </c>
      <c r="C221" s="9" t="n">
        <v>815700</v>
      </c>
      <c r="D221" s="58" t="s">
        <v>41</v>
      </c>
      <c r="E221" s="33" t="n">
        <f aca="false">IF(D221="totale",(C221/(A221*24))/F221,IF(D221="marché libre",(C221/(A221*24))/G221,"spécifier histo"))</f>
        <v>0.498350439882698</v>
      </c>
      <c r="F221" s="59" t="n">
        <v>2200</v>
      </c>
      <c r="G221" s="59" t="n">
        <f aca="false">F221-H221</f>
        <v>2200</v>
      </c>
      <c r="N221" s="0"/>
      <c r="W221" s="0"/>
    </row>
    <row r="222" customFormat="false" ht="12.8" hidden="false" customHeight="false" outlineLevel="0" collapsed="false">
      <c r="A222" s="0" t="n">
        <v>28</v>
      </c>
      <c r="B222" s="34" t="n">
        <v>34731</v>
      </c>
      <c r="C222" s="9" t="n">
        <v>735000</v>
      </c>
      <c r="D222" s="58" t="s">
        <v>41</v>
      </c>
      <c r="E222" s="33" t="n">
        <f aca="false">IF(D222="totale",(C222/(A222*24))/F222,IF(D222="marché libre",(C222/(A222*24))/G222,"spécifier histo"))</f>
        <v>0.497159090909091</v>
      </c>
      <c r="F222" s="59" t="n">
        <v>2200</v>
      </c>
      <c r="G222" s="59" t="n">
        <f aca="false">F222-H222</f>
        <v>2200</v>
      </c>
      <c r="N222" s="0"/>
      <c r="W222" s="0"/>
    </row>
    <row r="223" customFormat="false" ht="12.8" hidden="false" customHeight="false" outlineLevel="0" collapsed="false">
      <c r="A223" s="0" t="n">
        <v>31</v>
      </c>
      <c r="B223" s="31" t="n">
        <v>34759</v>
      </c>
      <c r="C223" s="9" t="n">
        <v>880200</v>
      </c>
      <c r="D223" s="58" t="s">
        <v>41</v>
      </c>
      <c r="E223" s="33" t="n">
        <f aca="false">IF(D223="totale",(C223/(A223*24))/F223,IF(D223="marché libre",(C223/(A223*24))/G223,"spécifier histo"))</f>
        <v>0.537756598240469</v>
      </c>
      <c r="F223" s="59" t="n">
        <v>2200</v>
      </c>
      <c r="G223" s="59" t="n">
        <f aca="false">F223-H223</f>
        <v>2200</v>
      </c>
      <c r="N223" s="0"/>
      <c r="W223" s="0"/>
    </row>
    <row r="224" customFormat="false" ht="12.8" hidden="false" customHeight="false" outlineLevel="0" collapsed="false">
      <c r="A224" s="0" t="n">
        <v>30</v>
      </c>
      <c r="B224" s="34" t="n">
        <v>34790</v>
      </c>
      <c r="C224" s="9" t="n">
        <v>875400</v>
      </c>
      <c r="D224" s="58" t="s">
        <v>41</v>
      </c>
      <c r="E224" s="33" t="n">
        <f aca="false">IF(D224="totale",(C224/(A224*24))/F224,IF(D224="marché libre",(C224/(A224*24))/G224,"spécifier histo"))</f>
        <v>0.552651515151515</v>
      </c>
      <c r="F224" s="59" t="n">
        <v>2200</v>
      </c>
      <c r="G224" s="59" t="n">
        <f aca="false">F224-H224</f>
        <v>2200</v>
      </c>
      <c r="N224" s="0"/>
      <c r="W224" s="0"/>
    </row>
    <row r="225" customFormat="false" ht="12.8" hidden="false" customHeight="false" outlineLevel="0" collapsed="false">
      <c r="A225" s="0" t="n">
        <v>31</v>
      </c>
      <c r="B225" s="31" t="n">
        <v>34820</v>
      </c>
      <c r="C225" s="9" t="n">
        <v>615000</v>
      </c>
      <c r="D225" s="58" t="s">
        <v>41</v>
      </c>
      <c r="E225" s="33" t="n">
        <f aca="false">IF(D225="totale",(C225/(A225*24))/F225,IF(D225="marché libre",(C225/(A225*24))/G225,"spécifier histo"))</f>
        <v>0.375733137829912</v>
      </c>
      <c r="F225" s="59" t="n">
        <v>2200</v>
      </c>
      <c r="G225" s="59" t="n">
        <f aca="false">F225-H225</f>
        <v>2200</v>
      </c>
      <c r="N225" s="0"/>
      <c r="W225" s="0"/>
    </row>
    <row r="226" customFormat="false" ht="12.8" hidden="false" customHeight="false" outlineLevel="0" collapsed="false">
      <c r="A226" s="0" t="n">
        <v>30</v>
      </c>
      <c r="B226" s="34" t="n">
        <v>34851</v>
      </c>
      <c r="C226" s="9" t="n">
        <v>205500</v>
      </c>
      <c r="D226" s="58" t="s">
        <v>41</v>
      </c>
      <c r="E226" s="33" t="n">
        <f aca="false">IF(D226="totale",(C226/(A226*24))/F226,IF(D226="marché libre",(C226/(A226*24))/G226,"spécifier histo"))</f>
        <v>0.129734848484848</v>
      </c>
      <c r="F226" s="59" t="n">
        <v>2200</v>
      </c>
      <c r="G226" s="59" t="n">
        <f aca="false">F226-H226</f>
        <v>2200</v>
      </c>
      <c r="N226" s="0"/>
      <c r="W226" s="0"/>
    </row>
    <row r="227" customFormat="false" ht="12.8" hidden="false" customHeight="false" outlineLevel="0" collapsed="false">
      <c r="A227" s="0" t="n">
        <v>31</v>
      </c>
      <c r="B227" s="31" t="n">
        <v>34881</v>
      </c>
      <c r="C227" s="9"/>
      <c r="D227" s="58" t="s">
        <v>41</v>
      </c>
      <c r="E227" s="33" t="n">
        <f aca="false">IF(D227="totale",(C227/(A227*24))/F227,IF(D227="marché libre",(C227/(A227*24))/G227,"spécifier histo"))</f>
        <v>0</v>
      </c>
      <c r="F227" s="59" t="n">
        <v>2200</v>
      </c>
      <c r="G227" s="59" t="n">
        <f aca="false">F227-H227</f>
        <v>2200</v>
      </c>
      <c r="N227" s="0"/>
      <c r="W227" s="0"/>
    </row>
    <row r="228" customFormat="false" ht="12.8" hidden="false" customHeight="false" outlineLevel="0" collapsed="false">
      <c r="A228" s="0" t="n">
        <v>31</v>
      </c>
      <c r="B228" s="34" t="n">
        <v>34912</v>
      </c>
      <c r="C228" s="9"/>
      <c r="D228" s="58" t="s">
        <v>41</v>
      </c>
      <c r="E228" s="33" t="n">
        <f aca="false">IF(D228="totale",(C228/(A228*24))/F228,IF(D228="marché libre",(C228/(A228*24))/G228,"spécifier histo"))</f>
        <v>0</v>
      </c>
      <c r="F228" s="59" t="n">
        <v>2200</v>
      </c>
      <c r="G228" s="59" t="n">
        <f aca="false">F228-H228</f>
        <v>2200</v>
      </c>
      <c r="N228" s="0"/>
      <c r="W228" s="0"/>
    </row>
    <row r="229" customFormat="false" ht="12.8" hidden="false" customHeight="false" outlineLevel="0" collapsed="false">
      <c r="A229" s="0" t="n">
        <v>30</v>
      </c>
      <c r="B229" s="31" t="n">
        <v>34943</v>
      </c>
      <c r="C229" s="9"/>
      <c r="D229" s="58" t="s">
        <v>41</v>
      </c>
      <c r="E229" s="33" t="n">
        <f aca="false">IF(D229="totale",(C229/(A229*24))/F229,IF(D229="marché libre",(C229/(A229*24))/G229,"spécifier histo"))</f>
        <v>0</v>
      </c>
      <c r="F229" s="59" t="n">
        <v>2200</v>
      </c>
      <c r="G229" s="59" t="n">
        <f aca="false">F229-H229</f>
        <v>2200</v>
      </c>
      <c r="N229" s="0"/>
      <c r="W229" s="0"/>
    </row>
    <row r="230" customFormat="false" ht="12.8" hidden="false" customHeight="false" outlineLevel="0" collapsed="false">
      <c r="A230" s="0" t="n">
        <v>31</v>
      </c>
      <c r="B230" s="34" t="n">
        <v>34973</v>
      </c>
      <c r="C230" s="9" t="n">
        <v>201600</v>
      </c>
      <c r="D230" s="58" t="s">
        <v>41</v>
      </c>
      <c r="E230" s="33" t="n">
        <f aca="false">IF(D230="totale",(C230/(A230*24))/F230,IF(D230="marché libre",(C230/(A230*24))/G230,"spécifier histo"))</f>
        <v>0.12316715542522</v>
      </c>
      <c r="F230" s="59" t="n">
        <v>2200</v>
      </c>
      <c r="G230" s="59" t="n">
        <f aca="false">F230-H230</f>
        <v>2200</v>
      </c>
      <c r="N230" s="0"/>
      <c r="W230" s="0"/>
    </row>
    <row r="231" customFormat="false" ht="12.8" hidden="false" customHeight="false" outlineLevel="0" collapsed="false">
      <c r="A231" s="0" t="n">
        <v>30</v>
      </c>
      <c r="B231" s="31" t="n">
        <v>35004</v>
      </c>
      <c r="C231" s="9" t="n">
        <v>433200</v>
      </c>
      <c r="D231" s="58" t="s">
        <v>41</v>
      </c>
      <c r="E231" s="33" t="n">
        <f aca="false">IF(D231="totale",(C231/(A231*24))/F231,IF(D231="marché libre",(C231/(A231*24))/G231,"spécifier histo"))</f>
        <v>0.273484848484848</v>
      </c>
      <c r="F231" s="59" t="n">
        <v>2200</v>
      </c>
      <c r="G231" s="59" t="n">
        <f aca="false">F231-H231</f>
        <v>2200</v>
      </c>
      <c r="N231" s="0"/>
      <c r="W231" s="0"/>
    </row>
    <row r="232" customFormat="false" ht="12.8" hidden="false" customHeight="false" outlineLevel="0" collapsed="false">
      <c r="A232" s="0" t="n">
        <v>31</v>
      </c>
      <c r="B232" s="34" t="n">
        <v>35034</v>
      </c>
      <c r="C232" s="9" t="n">
        <v>710700</v>
      </c>
      <c r="D232" s="58" t="s">
        <v>41</v>
      </c>
      <c r="E232" s="33" t="n">
        <f aca="false">IF(D232="totale",(C232/(A232*24))/F232,IF(D232="marché libre",(C232/(A232*24))/G232,"spécifier histo"))</f>
        <v>0.434200879765396</v>
      </c>
      <c r="F232" s="59" t="n">
        <v>2200</v>
      </c>
      <c r="G232" s="59" t="n">
        <f aca="false">F232-H232</f>
        <v>2200</v>
      </c>
      <c r="N232" s="0"/>
      <c r="W232" s="0"/>
    </row>
    <row r="233" customFormat="false" ht="12.8" hidden="false" customHeight="false" outlineLevel="0" collapsed="false">
      <c r="A233" s="0" t="n">
        <v>31</v>
      </c>
      <c r="B233" s="31" t="n">
        <v>35065</v>
      </c>
      <c r="C233" s="9" t="n">
        <v>739800</v>
      </c>
      <c r="D233" s="58" t="s">
        <v>41</v>
      </c>
      <c r="E233" s="33" t="n">
        <f aca="false">IF(D233="totale",(C233/(A233*24))/F233,IF(D233="marché libre",(C233/(A233*24))/G233,"spécifier histo"))</f>
        <v>0.451979472140762</v>
      </c>
      <c r="F233" s="59" t="n">
        <v>2200</v>
      </c>
      <c r="G233" s="59" t="n">
        <f aca="false">F233-H233</f>
        <v>2200</v>
      </c>
      <c r="N233" s="0"/>
      <c r="W233" s="0"/>
    </row>
    <row r="234" customFormat="false" ht="12.8" hidden="false" customHeight="false" outlineLevel="0" collapsed="false">
      <c r="A234" s="0" t="n">
        <v>28</v>
      </c>
      <c r="B234" s="34" t="n">
        <v>35096</v>
      </c>
      <c r="C234" s="9" t="n">
        <v>829800</v>
      </c>
      <c r="D234" s="58" t="s">
        <v>41</v>
      </c>
      <c r="E234" s="33" t="n">
        <f aca="false">IF(D234="totale",(C234/(A234*24))/F234,IF(D234="marché libre",(C234/(A234*24))/G234,"spécifier histo"))</f>
        <v>0.561282467532468</v>
      </c>
      <c r="F234" s="59" t="n">
        <v>2200</v>
      </c>
      <c r="G234" s="59" t="n">
        <f aca="false">F234-H234</f>
        <v>2200</v>
      </c>
      <c r="N234" s="0"/>
      <c r="W234" s="0"/>
    </row>
    <row r="235" customFormat="false" ht="12.8" hidden="false" customHeight="false" outlineLevel="0" collapsed="false">
      <c r="A235" s="0" t="n">
        <v>31</v>
      </c>
      <c r="B235" s="31" t="n">
        <v>35125</v>
      </c>
      <c r="C235" s="9" t="n">
        <v>863100</v>
      </c>
      <c r="D235" s="58" t="s">
        <v>41</v>
      </c>
      <c r="E235" s="33" t="n">
        <f aca="false">IF(D235="totale",(C235/(A235*24))/F235,IF(D235="marché libre",(C235/(A235*24))/G235,"spécifier histo"))</f>
        <v>0.527309384164223</v>
      </c>
      <c r="F235" s="59" t="n">
        <v>2200</v>
      </c>
      <c r="G235" s="59" t="n">
        <f aca="false">F235-H235</f>
        <v>2200</v>
      </c>
      <c r="N235" s="0"/>
      <c r="W235" s="0"/>
    </row>
    <row r="236" customFormat="false" ht="12.8" hidden="false" customHeight="false" outlineLevel="0" collapsed="false">
      <c r="A236" s="0" t="n">
        <v>30</v>
      </c>
      <c r="B236" s="34" t="n">
        <v>35156</v>
      </c>
      <c r="C236" s="9" t="n">
        <v>599100</v>
      </c>
      <c r="D236" s="58" t="s">
        <v>41</v>
      </c>
      <c r="E236" s="33" t="n">
        <f aca="false">IF(D236="totale",(C236/(A236*24))/F236,IF(D236="marché libre",(C236/(A236*24))/G236,"spécifier histo"))</f>
        <v>0.378219696969697</v>
      </c>
      <c r="F236" s="59" t="n">
        <v>2200</v>
      </c>
      <c r="G236" s="59" t="n">
        <f aca="false">F236-H236</f>
        <v>2200</v>
      </c>
      <c r="N236" s="0"/>
      <c r="W236" s="0"/>
    </row>
    <row r="237" customFormat="false" ht="12.8" hidden="false" customHeight="false" outlineLevel="0" collapsed="false">
      <c r="A237" s="0" t="n">
        <v>31</v>
      </c>
      <c r="B237" s="31" t="n">
        <v>35186</v>
      </c>
      <c r="C237" s="9" t="n">
        <v>751800</v>
      </c>
      <c r="D237" s="58" t="s">
        <v>41</v>
      </c>
      <c r="E237" s="33" t="n">
        <f aca="false">IF(D237="totale",(C237/(A237*24))/F237,IF(D237="marché libre",(C237/(A237*24))/G237,"spécifier histo"))</f>
        <v>0.459310850439883</v>
      </c>
      <c r="F237" s="59" t="n">
        <v>2200</v>
      </c>
      <c r="G237" s="59" t="n">
        <f aca="false">F237-H237</f>
        <v>2200</v>
      </c>
      <c r="N237" s="0"/>
      <c r="W237" s="0"/>
    </row>
    <row r="238" customFormat="false" ht="12.8" hidden="false" customHeight="false" outlineLevel="0" collapsed="false">
      <c r="A238" s="0" t="n">
        <v>30</v>
      </c>
      <c r="B238" s="34" t="n">
        <v>35217</v>
      </c>
      <c r="C238" s="9" t="n">
        <v>396000</v>
      </c>
      <c r="D238" s="58" t="s">
        <v>41</v>
      </c>
      <c r="E238" s="33" t="n">
        <f aca="false">IF(D238="totale",(C238/(A238*24))/F238,IF(D238="marché libre",(C238/(A238*24))/G238,"spécifier histo"))</f>
        <v>0.25</v>
      </c>
      <c r="F238" s="59" t="n">
        <v>2200</v>
      </c>
      <c r="G238" s="59" t="n">
        <f aca="false">F238-H238</f>
        <v>2200</v>
      </c>
      <c r="N238" s="0"/>
      <c r="W238" s="0"/>
    </row>
    <row r="239" customFormat="false" ht="12.8" hidden="false" customHeight="false" outlineLevel="0" collapsed="false">
      <c r="A239" s="0" t="n">
        <v>31</v>
      </c>
      <c r="B239" s="31" t="n">
        <v>35247</v>
      </c>
      <c r="C239" s="9" t="n">
        <v>353100</v>
      </c>
      <c r="D239" s="58" t="s">
        <v>41</v>
      </c>
      <c r="E239" s="33" t="n">
        <f aca="false">IF(D239="totale",(C239/(A239*24))/F239,IF(D239="marché libre",(C239/(A239*24))/G239,"spécifier histo"))</f>
        <v>0.215725806451613</v>
      </c>
      <c r="F239" s="59" t="n">
        <v>2200</v>
      </c>
      <c r="G239" s="59" t="n">
        <f aca="false">F239-H239</f>
        <v>2200</v>
      </c>
      <c r="N239" s="0"/>
      <c r="W239" s="0"/>
    </row>
    <row r="240" customFormat="false" ht="12.8" hidden="false" customHeight="false" outlineLevel="0" collapsed="false">
      <c r="A240" s="0" t="n">
        <v>31</v>
      </c>
      <c r="B240" s="34" t="n">
        <v>35278</v>
      </c>
      <c r="C240" s="9" t="n">
        <v>146100</v>
      </c>
      <c r="D240" s="58" t="s">
        <v>41</v>
      </c>
      <c r="E240" s="33" t="n">
        <f aca="false">IF(D240="totale",(C240/(A240*24))/F240,IF(D240="marché libre",(C240/(A240*24))/G240,"spécifier histo"))</f>
        <v>0.0892595307917889</v>
      </c>
      <c r="F240" s="59" t="n">
        <v>2200</v>
      </c>
      <c r="G240" s="59" t="n">
        <f aca="false">F240-H240</f>
        <v>2200</v>
      </c>
      <c r="N240" s="0"/>
      <c r="W240" s="0"/>
    </row>
    <row r="241" customFormat="false" ht="12.8" hidden="false" customHeight="false" outlineLevel="0" collapsed="false">
      <c r="A241" s="0" t="n">
        <v>30</v>
      </c>
      <c r="B241" s="31" t="n">
        <v>35309</v>
      </c>
      <c r="C241" s="9" t="n">
        <v>552300</v>
      </c>
      <c r="D241" s="58" t="s">
        <v>41</v>
      </c>
      <c r="E241" s="33" t="n">
        <f aca="false">IF(D241="totale",(C241/(A241*24))/F241,IF(D241="marché libre",(C241/(A241*24))/G241,"spécifier histo"))</f>
        <v>0.348674242424242</v>
      </c>
      <c r="F241" s="59" t="n">
        <v>2200</v>
      </c>
      <c r="G241" s="59" t="n">
        <f aca="false">F241-H241</f>
        <v>2200</v>
      </c>
      <c r="N241" s="0"/>
      <c r="W241" s="0"/>
    </row>
    <row r="242" customFormat="false" ht="12.8" hidden="false" customHeight="false" outlineLevel="0" collapsed="false">
      <c r="A242" s="0" t="n">
        <v>31</v>
      </c>
      <c r="B242" s="34" t="n">
        <v>35339</v>
      </c>
      <c r="C242" s="9" t="n">
        <v>310800</v>
      </c>
      <c r="D242" s="58" t="s">
        <v>41</v>
      </c>
      <c r="E242" s="33" t="n">
        <f aca="false">IF(D242="totale",(C242/(A242*24))/F242,IF(D242="marché libre",(C242/(A242*24))/G242,"spécifier histo"))</f>
        <v>0.189882697947214</v>
      </c>
      <c r="F242" s="59" t="n">
        <v>2200</v>
      </c>
      <c r="G242" s="59" t="n">
        <f aca="false">F242-H242</f>
        <v>2200</v>
      </c>
      <c r="N242" s="0"/>
      <c r="W242" s="0"/>
    </row>
    <row r="243" customFormat="false" ht="12.8" hidden="false" customHeight="false" outlineLevel="0" collapsed="false">
      <c r="A243" s="0" t="n">
        <v>30</v>
      </c>
      <c r="B243" s="31" t="n">
        <v>35370</v>
      </c>
      <c r="C243" s="9" t="n">
        <v>480600</v>
      </c>
      <c r="D243" s="58" t="s">
        <v>41</v>
      </c>
      <c r="E243" s="33" t="n">
        <f aca="false">IF(D243="totale",(C243/(A243*24))/F243,IF(D243="marché libre",(C243/(A243*24))/G243,"spécifier histo"))</f>
        <v>0.303409090909091</v>
      </c>
      <c r="F243" s="59" t="n">
        <v>2200</v>
      </c>
      <c r="G243" s="59" t="n">
        <f aca="false">F243-H243</f>
        <v>2200</v>
      </c>
      <c r="N243" s="0"/>
      <c r="W243" s="0"/>
    </row>
    <row r="244" customFormat="false" ht="12.8" hidden="false" customHeight="false" outlineLevel="0" collapsed="false">
      <c r="A244" s="0" t="n">
        <v>31</v>
      </c>
      <c r="B244" s="34" t="n">
        <v>35400</v>
      </c>
      <c r="C244" s="9" t="n">
        <v>855000</v>
      </c>
      <c r="D244" s="58" t="s">
        <v>41</v>
      </c>
      <c r="E244" s="33" t="n">
        <f aca="false">IF(D244="totale",(C244/(A244*24))/F244,IF(D244="marché libre",(C244/(A244*24))/G244,"spécifier histo"))</f>
        <v>0.522360703812317</v>
      </c>
      <c r="F244" s="59" t="n">
        <v>2200</v>
      </c>
      <c r="G244" s="59" t="n">
        <f aca="false">F244-H244</f>
        <v>2200</v>
      </c>
      <c r="N244" s="0"/>
      <c r="W244" s="0"/>
    </row>
    <row r="245" customFormat="false" ht="12.8" hidden="false" customHeight="false" outlineLevel="0" collapsed="false">
      <c r="A245" s="0" t="n">
        <v>31</v>
      </c>
      <c r="B245" s="31" t="n">
        <v>35431</v>
      </c>
      <c r="C245" s="9" t="n">
        <v>920100</v>
      </c>
      <c r="D245" s="58" t="s">
        <v>41</v>
      </c>
      <c r="E245" s="33" t="n">
        <f aca="false">IF(D245="totale",(C245/(A245*24))/F245,IF(D245="marché libre",(C245/(A245*24))/G245,"spécifier histo"))</f>
        <v>0.562133431085044</v>
      </c>
      <c r="F245" s="59" t="n">
        <v>2200</v>
      </c>
      <c r="G245" s="59" t="n">
        <f aca="false">F245-H245</f>
        <v>2200</v>
      </c>
      <c r="N245" s="0"/>
      <c r="W245" s="0"/>
    </row>
    <row r="246" customFormat="false" ht="12.8" hidden="false" customHeight="false" outlineLevel="0" collapsed="false">
      <c r="A246" s="0" t="n">
        <v>28</v>
      </c>
      <c r="B246" s="34" t="n">
        <v>35462</v>
      </c>
      <c r="C246" s="9" t="n">
        <v>858600</v>
      </c>
      <c r="D246" s="58" t="s">
        <v>41</v>
      </c>
      <c r="E246" s="33" t="n">
        <f aca="false">IF(D246="totale",(C246/(A246*24))/F246,IF(D246="marché libre",(C246/(A246*24))/G246,"spécifier histo"))</f>
        <v>0.580762987012987</v>
      </c>
      <c r="F246" s="59" t="n">
        <v>2200</v>
      </c>
      <c r="G246" s="59" t="n">
        <f aca="false">F246-H246</f>
        <v>2200</v>
      </c>
      <c r="N246" s="0"/>
      <c r="W246" s="0"/>
    </row>
    <row r="247" customFormat="false" ht="12.8" hidden="false" customHeight="false" outlineLevel="0" collapsed="false">
      <c r="A247" s="0" t="n">
        <v>31</v>
      </c>
      <c r="B247" s="31" t="n">
        <v>35490</v>
      </c>
      <c r="C247" s="9" t="n">
        <v>500100</v>
      </c>
      <c r="D247" s="58" t="s">
        <v>41</v>
      </c>
      <c r="E247" s="33" t="n">
        <f aca="false">IF(D247="totale",(C247/(A247*24))/F247,IF(D247="marché libre",(C247/(A247*24))/G247,"spécifier histo"))</f>
        <v>0.305535190615836</v>
      </c>
      <c r="F247" s="59" t="n">
        <v>2200</v>
      </c>
      <c r="G247" s="59" t="n">
        <f aca="false">F247-H247</f>
        <v>2200</v>
      </c>
      <c r="N247" s="0"/>
      <c r="W247" s="0"/>
    </row>
    <row r="248" customFormat="false" ht="12.8" hidden="false" customHeight="false" outlineLevel="0" collapsed="false">
      <c r="A248" s="0" t="n">
        <v>30</v>
      </c>
      <c r="B248" s="34" t="n">
        <v>35521</v>
      </c>
      <c r="C248" s="9" t="n">
        <v>297300</v>
      </c>
      <c r="D248" s="58" t="s">
        <v>41</v>
      </c>
      <c r="E248" s="33" t="n">
        <f aca="false">IF(D248="totale",(C248/(A248*24))/F248,IF(D248="marché libre",(C248/(A248*24))/G248,"spécifier histo"))</f>
        <v>0.187689393939394</v>
      </c>
      <c r="F248" s="59" t="n">
        <v>2200</v>
      </c>
      <c r="G248" s="59" t="n">
        <f aca="false">F248-H248</f>
        <v>2200</v>
      </c>
      <c r="N248" s="0"/>
      <c r="W248" s="0"/>
    </row>
    <row r="249" customFormat="false" ht="12.8" hidden="false" customHeight="false" outlineLevel="0" collapsed="false">
      <c r="A249" s="0" t="n">
        <v>31</v>
      </c>
      <c r="B249" s="31" t="n">
        <v>35551</v>
      </c>
      <c r="C249" s="9" t="n">
        <v>378900</v>
      </c>
      <c r="D249" s="58" t="s">
        <v>41</v>
      </c>
      <c r="E249" s="33" t="n">
        <f aca="false">IF(D249="totale",(C249/(A249*24))/F249,IF(D249="marché libre",(C249/(A249*24))/G249,"spécifier histo"))</f>
        <v>0.231488269794721</v>
      </c>
      <c r="F249" s="59" t="n">
        <v>2200</v>
      </c>
      <c r="G249" s="59" t="n">
        <f aca="false">F249-H249</f>
        <v>2200</v>
      </c>
      <c r="N249" s="0"/>
      <c r="W249" s="0"/>
    </row>
    <row r="250" customFormat="false" ht="12.8" hidden="false" customHeight="false" outlineLevel="0" collapsed="false">
      <c r="A250" s="0" t="n">
        <v>30</v>
      </c>
      <c r="B250" s="34" t="n">
        <v>35582</v>
      </c>
      <c r="C250" s="9" t="n">
        <v>248400</v>
      </c>
      <c r="D250" s="58" t="s">
        <v>41</v>
      </c>
      <c r="E250" s="33" t="n">
        <f aca="false">IF(D250="totale",(C250/(A250*24))/F250,IF(D250="marché libre",(C250/(A250*24))/G250,"spécifier histo"))</f>
        <v>0.156818181818182</v>
      </c>
      <c r="F250" s="59" t="n">
        <v>2200</v>
      </c>
      <c r="G250" s="59" t="n">
        <f aca="false">F250-H250</f>
        <v>2200</v>
      </c>
      <c r="N250" s="0"/>
      <c r="W250" s="0"/>
    </row>
    <row r="251" customFormat="false" ht="12.8" hidden="false" customHeight="false" outlineLevel="0" collapsed="false">
      <c r="A251" s="0" t="n">
        <v>31</v>
      </c>
      <c r="B251" s="31" t="n">
        <v>35612</v>
      </c>
      <c r="C251" s="9" t="n">
        <v>595200</v>
      </c>
      <c r="D251" s="58" t="s">
        <v>41</v>
      </c>
      <c r="E251" s="33" t="n">
        <f aca="false">IF(D251="totale",(C251/(A251*24))/F251,IF(D251="marché libre",(C251/(A251*24))/G251,"spécifier histo"))</f>
        <v>0.363636363636364</v>
      </c>
      <c r="F251" s="59" t="n">
        <v>2200</v>
      </c>
      <c r="G251" s="59" t="n">
        <f aca="false">F251-H251</f>
        <v>2200</v>
      </c>
      <c r="N251" s="0"/>
      <c r="W251" s="0"/>
    </row>
    <row r="252" customFormat="false" ht="12.8" hidden="false" customHeight="false" outlineLevel="0" collapsed="false">
      <c r="A252" s="0" t="n">
        <v>31</v>
      </c>
      <c r="B252" s="34" t="n">
        <v>35643</v>
      </c>
      <c r="C252" s="9" t="n">
        <v>155100</v>
      </c>
      <c r="D252" s="58" t="s">
        <v>41</v>
      </c>
      <c r="E252" s="33" t="n">
        <f aca="false">IF(D252="totale",(C252/(A252*24))/F252,IF(D252="marché libre",(C252/(A252*24))/G252,"spécifier histo"))</f>
        <v>0.094758064516129</v>
      </c>
      <c r="F252" s="59" t="n">
        <v>2200</v>
      </c>
      <c r="G252" s="59" t="n">
        <f aca="false">F252-H252</f>
        <v>2200</v>
      </c>
      <c r="N252" s="0"/>
      <c r="W252" s="0"/>
    </row>
    <row r="253" customFormat="false" ht="12.8" hidden="false" customHeight="false" outlineLevel="0" collapsed="false">
      <c r="A253" s="0" t="n">
        <v>30</v>
      </c>
      <c r="B253" s="31" t="n">
        <v>35674</v>
      </c>
      <c r="C253" s="9" t="n">
        <v>269100</v>
      </c>
      <c r="D253" s="58" t="s">
        <v>41</v>
      </c>
      <c r="E253" s="33" t="n">
        <f aca="false">IF(D253="totale",(C253/(A253*24))/F253,IF(D253="marché libre",(C253/(A253*24))/G253,"spécifier histo"))</f>
        <v>0.169886363636364</v>
      </c>
      <c r="F253" s="59" t="n">
        <v>2200</v>
      </c>
      <c r="G253" s="59" t="n">
        <f aca="false">F253-H253</f>
        <v>2200</v>
      </c>
      <c r="N253" s="0"/>
      <c r="W253" s="0"/>
    </row>
    <row r="254" customFormat="false" ht="12.8" hidden="false" customHeight="false" outlineLevel="0" collapsed="false">
      <c r="A254" s="0" t="n">
        <v>31</v>
      </c>
      <c r="B254" s="34" t="n">
        <v>35704</v>
      </c>
      <c r="C254" s="9" t="n">
        <v>370200</v>
      </c>
      <c r="D254" s="58" t="s">
        <v>41</v>
      </c>
      <c r="E254" s="33" t="n">
        <f aca="false">IF(D254="totale",(C254/(A254*24))/F254,IF(D254="marché libre",(C254/(A254*24))/G254,"spécifier histo"))</f>
        <v>0.226173020527859</v>
      </c>
      <c r="F254" s="59" t="n">
        <v>2200</v>
      </c>
      <c r="G254" s="59" t="n">
        <f aca="false">F254-H254</f>
        <v>2200</v>
      </c>
      <c r="N254" s="0"/>
      <c r="W254" s="0"/>
    </row>
    <row r="255" customFormat="false" ht="12.8" hidden="false" customHeight="false" outlineLevel="0" collapsed="false">
      <c r="A255" s="0" t="n">
        <v>30</v>
      </c>
      <c r="B255" s="31" t="n">
        <v>35735</v>
      </c>
      <c r="C255" s="9" t="n">
        <v>722784</v>
      </c>
      <c r="D255" s="58" t="s">
        <v>41</v>
      </c>
      <c r="E255" s="33" t="n">
        <f aca="false">IF(D255="totale",(C255/(A255*24))/F255,IF(D255="marché libre",(C255/(A255*24))/G255,"spécifier histo"))</f>
        <v>0.45630303030303</v>
      </c>
      <c r="F255" s="59" t="n">
        <v>2200</v>
      </c>
      <c r="G255" s="59" t="n">
        <f aca="false">F255-H255</f>
        <v>2200</v>
      </c>
      <c r="N255" s="0"/>
      <c r="W255" s="0"/>
    </row>
    <row r="256" customFormat="false" ht="12.8" hidden="false" customHeight="false" outlineLevel="0" collapsed="false">
      <c r="A256" s="0" t="n">
        <v>31</v>
      </c>
      <c r="B256" s="34" t="n">
        <v>35765</v>
      </c>
      <c r="C256" s="9" t="n">
        <v>903900</v>
      </c>
      <c r="D256" s="58" t="s">
        <v>41</v>
      </c>
      <c r="E256" s="33" t="n">
        <f aca="false">IF(D256="totale",(C256/(A256*24))/F256,IF(D256="marché libre",(C256/(A256*24))/G256,"spécifier histo"))</f>
        <v>0.552236070381232</v>
      </c>
      <c r="F256" s="59" t="n">
        <v>2200</v>
      </c>
      <c r="G256" s="59" t="n">
        <f aca="false">F256-H256</f>
        <v>2200</v>
      </c>
      <c r="N256" s="0"/>
      <c r="W256" s="0"/>
    </row>
    <row r="257" customFormat="false" ht="12.8" hidden="false" customHeight="false" outlineLevel="0" collapsed="false">
      <c r="A257" s="0" t="n">
        <v>31</v>
      </c>
      <c r="B257" s="31" t="n">
        <v>35796</v>
      </c>
      <c r="C257" s="9" t="n">
        <v>832500</v>
      </c>
      <c r="D257" s="58" t="s">
        <v>41</v>
      </c>
      <c r="E257" s="33" t="n">
        <f aca="false">IF(D257="totale",(C257/(A257*24))/F257,IF(D257="marché libre",(C257/(A257*24))/G257,"spécifier histo"))</f>
        <v>0.508614369501466</v>
      </c>
      <c r="F257" s="59" t="n">
        <v>2200</v>
      </c>
      <c r="G257" s="59" t="n">
        <f aca="false">F257-H257</f>
        <v>2200</v>
      </c>
      <c r="N257" s="0"/>
      <c r="W257" s="0"/>
    </row>
    <row r="258" customFormat="false" ht="12.8" hidden="false" customHeight="false" outlineLevel="0" collapsed="false">
      <c r="A258" s="0" t="n">
        <v>28</v>
      </c>
      <c r="B258" s="34" t="n">
        <v>35827</v>
      </c>
      <c r="C258" s="9" t="n">
        <v>838800</v>
      </c>
      <c r="D258" s="58" t="s">
        <v>41</v>
      </c>
      <c r="E258" s="33" t="n">
        <f aca="false">IF(D258="totale",(C258/(A258*24))/F258,IF(D258="marché libre",(C258/(A258*24))/G258,"spécifier histo"))</f>
        <v>0.56737012987013</v>
      </c>
      <c r="F258" s="59" t="n">
        <v>2200</v>
      </c>
      <c r="G258" s="59" t="n">
        <f aca="false">F258-H258</f>
        <v>2200</v>
      </c>
      <c r="N258" s="0"/>
      <c r="W258" s="0"/>
    </row>
    <row r="259" customFormat="false" ht="12.8" hidden="false" customHeight="false" outlineLevel="0" collapsed="false">
      <c r="A259" s="0" t="n">
        <v>31</v>
      </c>
      <c r="B259" s="31" t="n">
        <v>35855</v>
      </c>
      <c r="C259" s="9" t="n">
        <v>946500</v>
      </c>
      <c r="D259" s="58" t="s">
        <v>41</v>
      </c>
      <c r="E259" s="33" t="n">
        <f aca="false">IF(D259="totale",(C259/(A259*24))/F259,IF(D259="marché libre",(C259/(A259*24))/G259,"spécifier histo"))</f>
        <v>0.578262463343109</v>
      </c>
      <c r="F259" s="59" t="n">
        <v>2200</v>
      </c>
      <c r="G259" s="59" t="n">
        <f aca="false">F259-H259</f>
        <v>2200</v>
      </c>
      <c r="N259" s="0"/>
      <c r="W259" s="0"/>
    </row>
    <row r="260" customFormat="false" ht="12.8" hidden="false" customHeight="false" outlineLevel="0" collapsed="false">
      <c r="A260" s="0" t="n">
        <v>30</v>
      </c>
      <c r="B260" s="34" t="n">
        <v>35886</v>
      </c>
      <c r="C260" s="9" t="n">
        <v>872700</v>
      </c>
      <c r="D260" s="58" t="s">
        <v>41</v>
      </c>
      <c r="E260" s="33" t="n">
        <f aca="false">IF(D260="totale",(C260/(A260*24))/F260,IF(D260="marché libre",(C260/(A260*24))/G260,"spécifier histo"))</f>
        <v>0.55094696969697</v>
      </c>
      <c r="F260" s="59" t="n">
        <v>2200</v>
      </c>
      <c r="G260" s="59" t="n">
        <f aca="false">F260-H260</f>
        <v>2200</v>
      </c>
      <c r="N260" s="0"/>
      <c r="W260" s="0"/>
    </row>
    <row r="261" customFormat="false" ht="12.8" hidden="false" customHeight="false" outlineLevel="0" collapsed="false">
      <c r="A261" s="0" t="n">
        <v>31</v>
      </c>
      <c r="B261" s="31" t="n">
        <v>35916</v>
      </c>
      <c r="C261" s="9" t="n">
        <v>919800</v>
      </c>
      <c r="D261" s="58" t="s">
        <v>41</v>
      </c>
      <c r="E261" s="33" t="n">
        <f aca="false">IF(D261="totale",(C261/(A261*24))/F261,IF(D261="marché libre",(C261/(A261*24))/G261,"spécifier histo"))</f>
        <v>0.561950146627566</v>
      </c>
      <c r="F261" s="59" t="n">
        <v>2200</v>
      </c>
      <c r="G261" s="59" t="n">
        <f aca="false">F261-H261</f>
        <v>2200</v>
      </c>
      <c r="N261" s="0"/>
      <c r="W261" s="0"/>
    </row>
    <row r="262" customFormat="false" ht="12.8" hidden="false" customHeight="false" outlineLevel="0" collapsed="false">
      <c r="A262" s="0" t="n">
        <v>30</v>
      </c>
      <c r="B262" s="34" t="n">
        <v>35947</v>
      </c>
      <c r="C262" s="9" t="n">
        <v>494100</v>
      </c>
      <c r="D262" s="58" t="s">
        <v>41</v>
      </c>
      <c r="E262" s="33" t="n">
        <f aca="false">IF(D262="totale",(C262/(A262*24))/F262,IF(D262="marché libre",(C262/(A262*24))/G262,"spécifier histo"))</f>
        <v>0.311931818181818</v>
      </c>
      <c r="F262" s="59" t="n">
        <v>2200</v>
      </c>
      <c r="G262" s="59" t="n">
        <f aca="false">F262-H262</f>
        <v>2200</v>
      </c>
      <c r="N262" s="0"/>
      <c r="W262" s="0"/>
    </row>
    <row r="263" customFormat="false" ht="12.8" hidden="false" customHeight="false" outlineLevel="0" collapsed="false">
      <c r="A263" s="0" t="n">
        <v>31</v>
      </c>
      <c r="B263" s="31" t="n">
        <v>35977</v>
      </c>
      <c r="C263" s="9" t="n">
        <v>0</v>
      </c>
      <c r="D263" s="58" t="s">
        <v>41</v>
      </c>
      <c r="E263" s="33" t="n">
        <f aca="false">IF(D263="totale",(C263/(A263*24))/F263,IF(D263="marché libre",(C263/(A263*24))/G263,"spécifier histo"))</f>
        <v>0</v>
      </c>
      <c r="F263" s="59" t="n">
        <v>2200</v>
      </c>
      <c r="G263" s="59" t="n">
        <f aca="false">F263-H263</f>
        <v>2200</v>
      </c>
      <c r="N263" s="0"/>
      <c r="W263" s="0"/>
    </row>
    <row r="264" customFormat="false" ht="12.8" hidden="false" customHeight="false" outlineLevel="0" collapsed="false">
      <c r="A264" s="0" t="n">
        <v>31</v>
      </c>
      <c r="B264" s="34" t="n">
        <v>36008</v>
      </c>
      <c r="C264" s="9" t="n">
        <v>0</v>
      </c>
      <c r="D264" s="58" t="s">
        <v>41</v>
      </c>
      <c r="E264" s="33" t="n">
        <f aca="false">IF(D264="totale",(C264/(A264*24))/F264,IF(D264="marché libre",(C264/(A264*24))/G264,"spécifier histo"))</f>
        <v>0</v>
      </c>
      <c r="F264" s="59" t="n">
        <v>2200</v>
      </c>
      <c r="G264" s="59" t="n">
        <f aca="false">F264-H264</f>
        <v>2200</v>
      </c>
      <c r="N264" s="0"/>
      <c r="W264" s="0"/>
    </row>
    <row r="265" customFormat="false" ht="12.8" hidden="false" customHeight="false" outlineLevel="0" collapsed="false">
      <c r="A265" s="0" t="n">
        <v>30</v>
      </c>
      <c r="B265" s="31" t="n">
        <v>36039</v>
      </c>
      <c r="C265" s="9" t="n">
        <v>0</v>
      </c>
      <c r="D265" s="58" t="s">
        <v>41</v>
      </c>
      <c r="E265" s="33" t="n">
        <f aca="false">IF(D265="totale",(C265/(A265*24))/F265,IF(D265="marché libre",(C265/(A265*24))/G265,"spécifier histo"))</f>
        <v>0</v>
      </c>
      <c r="F265" s="59" t="n">
        <v>2200</v>
      </c>
      <c r="G265" s="59" t="n">
        <f aca="false">F265-H265</f>
        <v>2200</v>
      </c>
      <c r="N265" s="0"/>
      <c r="W265" s="0"/>
    </row>
    <row r="266" customFormat="false" ht="12.8" hidden="false" customHeight="false" outlineLevel="0" collapsed="false">
      <c r="A266" s="0" t="n">
        <v>31</v>
      </c>
      <c r="B266" s="34" t="n">
        <v>36069</v>
      </c>
      <c r="C266" s="9" t="n">
        <v>0</v>
      </c>
      <c r="D266" s="58" t="s">
        <v>41</v>
      </c>
      <c r="E266" s="33" t="n">
        <f aca="false">IF(D266="totale",(C266/(A266*24))/F266,IF(D266="marché libre",(C266/(A266*24))/G266,"spécifier histo"))</f>
        <v>0</v>
      </c>
      <c r="F266" s="59" t="n">
        <v>2200</v>
      </c>
      <c r="G266" s="59" t="n">
        <f aca="false">F266-H266</f>
        <v>2200</v>
      </c>
      <c r="N266" s="0"/>
      <c r="W266" s="0"/>
    </row>
    <row r="267" customFormat="false" ht="12.8" hidden="false" customHeight="false" outlineLevel="0" collapsed="false">
      <c r="A267" s="0" t="n">
        <v>30</v>
      </c>
      <c r="B267" s="31" t="n">
        <v>36100</v>
      </c>
      <c r="C267" s="9" t="n">
        <v>0</v>
      </c>
      <c r="D267" s="58" t="s">
        <v>41</v>
      </c>
      <c r="E267" s="33" t="n">
        <f aca="false">IF(D267="totale",(C267/(A267*24))/F267,IF(D267="marché libre",(C267/(A267*24))/G267,"spécifier histo"))</f>
        <v>0</v>
      </c>
      <c r="F267" s="59" t="n">
        <v>2200</v>
      </c>
      <c r="G267" s="59" t="n">
        <f aca="false">F267-H267</f>
        <v>2200</v>
      </c>
      <c r="N267" s="0"/>
      <c r="W267" s="0"/>
    </row>
    <row r="268" customFormat="false" ht="12.8" hidden="false" customHeight="false" outlineLevel="0" collapsed="false">
      <c r="A268" s="0" t="n">
        <v>31</v>
      </c>
      <c r="B268" s="34" t="n">
        <v>36130</v>
      </c>
      <c r="C268" s="9" t="n">
        <v>0</v>
      </c>
      <c r="D268" s="58" t="s">
        <v>41</v>
      </c>
      <c r="E268" s="33" t="n">
        <f aca="false">IF(D268="totale",(C268/(A268*24))/F268,IF(D268="marché libre",(C268/(A268*24))/G268,"spécifier histo"))</f>
        <v>0</v>
      </c>
      <c r="F268" s="59" t="n">
        <v>2200</v>
      </c>
      <c r="G268" s="59" t="n">
        <f aca="false">F268-H268</f>
        <v>2200</v>
      </c>
      <c r="N268" s="0"/>
      <c r="W268" s="0"/>
    </row>
    <row r="269" customFormat="false" ht="12.8" hidden="false" customHeight="false" outlineLevel="0" collapsed="false">
      <c r="A269" s="0" t="n">
        <v>31</v>
      </c>
      <c r="B269" s="31" t="n">
        <v>36161</v>
      </c>
      <c r="C269" s="9" t="n">
        <v>0</v>
      </c>
      <c r="D269" s="58" t="s">
        <v>41</v>
      </c>
      <c r="E269" s="33" t="n">
        <f aca="false">IF(D269="totale",(C269/(A269*24))/F269,IF(D269="marché libre",(C269/(A269*24))/G269,"spécifier histo"))</f>
        <v>0</v>
      </c>
      <c r="F269" s="59" t="n">
        <v>2200</v>
      </c>
      <c r="G269" s="59" t="n">
        <f aca="false">F269-H269</f>
        <v>2200</v>
      </c>
      <c r="N269" s="0"/>
      <c r="W269" s="0"/>
    </row>
    <row r="270" customFormat="false" ht="12.8" hidden="false" customHeight="false" outlineLevel="0" collapsed="false">
      <c r="A270" s="0" t="n">
        <v>28</v>
      </c>
      <c r="B270" s="34" t="n">
        <v>36192</v>
      </c>
      <c r="C270" s="9" t="n">
        <v>216400</v>
      </c>
      <c r="D270" s="58" t="s">
        <v>41</v>
      </c>
      <c r="E270" s="33" t="n">
        <f aca="false">IF(D270="totale",(C270/(A270*24))/F270,IF(D270="marché libre",(C270/(A270*24))/G270,"spécifier histo"))</f>
        <v>0.146374458874459</v>
      </c>
      <c r="F270" s="59" t="n">
        <v>2200</v>
      </c>
      <c r="G270" s="59" t="n">
        <f aca="false">F270-H270</f>
        <v>2200</v>
      </c>
      <c r="N270" s="0"/>
      <c r="W270" s="0"/>
    </row>
    <row r="271" customFormat="false" ht="12.8" hidden="false" customHeight="false" outlineLevel="0" collapsed="false">
      <c r="A271" s="0" t="n">
        <v>31</v>
      </c>
      <c r="B271" s="31" t="n">
        <v>36220</v>
      </c>
      <c r="C271" s="9" t="n">
        <v>968400</v>
      </c>
      <c r="D271" s="58" t="s">
        <v>41</v>
      </c>
      <c r="E271" s="33" t="n">
        <f aca="false">IF(D271="totale",(C271/(A271*24))/F271,IF(D271="marché libre",(C271/(A271*24))/G271,"spécifier histo"))</f>
        <v>0.591642228739003</v>
      </c>
      <c r="F271" s="59" t="n">
        <v>2200</v>
      </c>
      <c r="G271" s="59" t="n">
        <f aca="false">F271-H271</f>
        <v>2200</v>
      </c>
      <c r="N271" s="0"/>
      <c r="W271" s="0"/>
    </row>
    <row r="272" customFormat="false" ht="12.8" hidden="false" customHeight="false" outlineLevel="0" collapsed="false">
      <c r="A272" s="0" t="n">
        <v>30</v>
      </c>
      <c r="B272" s="34" t="n">
        <v>36251</v>
      </c>
      <c r="C272" s="9" t="n">
        <v>682000</v>
      </c>
      <c r="D272" s="58" t="s">
        <v>41</v>
      </c>
      <c r="E272" s="33" t="n">
        <f aca="false">IF(D272="totale",(C272/(A272*24))/F272,IF(D272="marché libre",(C272/(A272*24))/G272,"spécifier histo"))</f>
        <v>0.430555555555556</v>
      </c>
      <c r="F272" s="59" t="n">
        <v>2200</v>
      </c>
      <c r="G272" s="59" t="n">
        <f aca="false">F272-H272</f>
        <v>2200</v>
      </c>
      <c r="N272" s="0"/>
      <c r="W272" s="0"/>
    </row>
    <row r="273" customFormat="false" ht="12.8" hidden="false" customHeight="false" outlineLevel="0" collapsed="false">
      <c r="A273" s="0" t="n">
        <v>31</v>
      </c>
      <c r="B273" s="31" t="n">
        <v>36281</v>
      </c>
      <c r="C273" s="9" t="n">
        <v>883200</v>
      </c>
      <c r="D273" s="58" t="s">
        <v>41</v>
      </c>
      <c r="E273" s="33" t="n">
        <f aca="false">IF(D273="totale",(C273/(A273*24))/F273,IF(D273="marché libre",(C273/(A273*24))/G273,"spécifier histo"))</f>
        <v>0.539589442815249</v>
      </c>
      <c r="F273" s="59" t="n">
        <v>2200</v>
      </c>
      <c r="G273" s="59" t="n">
        <f aca="false">F273-H273</f>
        <v>2200</v>
      </c>
      <c r="N273" s="0"/>
      <c r="W273" s="0"/>
    </row>
    <row r="274" customFormat="false" ht="12.8" hidden="false" customHeight="false" outlineLevel="0" collapsed="false">
      <c r="A274" s="0" t="n">
        <v>30</v>
      </c>
      <c r="B274" s="34" t="n">
        <v>36312</v>
      </c>
      <c r="C274" s="9" t="n">
        <v>572000</v>
      </c>
      <c r="D274" s="58" t="s">
        <v>41</v>
      </c>
      <c r="E274" s="33" t="n">
        <f aca="false">IF(D274="totale",(C274/(A274*24))/F274,IF(D274="marché libre",(C274/(A274*24))/G274,"spécifier histo"))</f>
        <v>0.361111111111111</v>
      </c>
      <c r="F274" s="59" t="n">
        <v>2200</v>
      </c>
      <c r="G274" s="59" t="n">
        <f aca="false">F274-H274</f>
        <v>2200</v>
      </c>
      <c r="N274" s="0"/>
      <c r="W274" s="0"/>
    </row>
    <row r="275" customFormat="false" ht="12.8" hidden="false" customHeight="false" outlineLevel="0" collapsed="false">
      <c r="A275" s="0" t="n">
        <v>31</v>
      </c>
      <c r="B275" s="31" t="n">
        <v>36342</v>
      </c>
      <c r="C275" s="9" t="n">
        <v>289200</v>
      </c>
      <c r="D275" s="58" t="s">
        <v>41</v>
      </c>
      <c r="E275" s="33" t="n">
        <f aca="false">IF(D275="totale",(C275/(A275*24))/F275,IF(D275="marché libre",(C275/(A275*24))/G275,"spécifier histo"))</f>
        <v>0.176686217008798</v>
      </c>
      <c r="F275" s="59" t="n">
        <v>2200</v>
      </c>
      <c r="G275" s="59" t="n">
        <f aca="false">F275-H275</f>
        <v>2200</v>
      </c>
      <c r="N275" s="0"/>
      <c r="W275" s="0"/>
    </row>
    <row r="276" customFormat="false" ht="12.8" hidden="false" customHeight="false" outlineLevel="0" collapsed="false">
      <c r="A276" s="0" t="n">
        <v>31</v>
      </c>
      <c r="B276" s="34" t="n">
        <v>36373</v>
      </c>
      <c r="C276" s="9" t="n">
        <v>158400</v>
      </c>
      <c r="D276" s="58" t="s">
        <v>41</v>
      </c>
      <c r="E276" s="33" t="n">
        <f aca="false">IF(D276="totale",(C276/(A276*24))/F276,IF(D276="marché libre",(C276/(A276*24))/G276,"spécifier histo"))</f>
        <v>0.0967741935483871</v>
      </c>
      <c r="F276" s="59" t="n">
        <v>2200</v>
      </c>
      <c r="G276" s="59" t="n">
        <f aca="false">F276-H276</f>
        <v>2200</v>
      </c>
      <c r="N276" s="0"/>
      <c r="W276" s="0"/>
    </row>
    <row r="277" customFormat="false" ht="12.8" hidden="false" customHeight="false" outlineLevel="0" collapsed="false">
      <c r="A277" s="0" t="n">
        <v>30</v>
      </c>
      <c r="B277" s="31" t="n">
        <v>36404</v>
      </c>
      <c r="C277" s="9" t="n">
        <v>404000</v>
      </c>
      <c r="D277" s="58" t="s">
        <v>41</v>
      </c>
      <c r="E277" s="33" t="n">
        <f aca="false">IF(D277="totale",(C277/(A277*24))/F277,IF(D277="marché libre",(C277/(A277*24))/G277,"spécifier histo"))</f>
        <v>0.255050505050505</v>
      </c>
      <c r="F277" s="59" t="n">
        <v>2200</v>
      </c>
      <c r="G277" s="59" t="n">
        <f aca="false">F277-H277</f>
        <v>2200</v>
      </c>
      <c r="N277" s="0"/>
      <c r="W277" s="0"/>
    </row>
    <row r="278" customFormat="false" ht="12.8" hidden="false" customHeight="false" outlineLevel="0" collapsed="false">
      <c r="A278" s="0" t="n">
        <v>31</v>
      </c>
      <c r="B278" s="34" t="n">
        <v>36434</v>
      </c>
      <c r="C278" s="9" t="n">
        <v>595200</v>
      </c>
      <c r="D278" s="58" t="s">
        <v>41</v>
      </c>
      <c r="E278" s="33" t="n">
        <f aca="false">IF(D278="totale",(C278/(A278*24))/F278,IF(D278="marché libre",(C278/(A278*24))/G278,"spécifier histo"))</f>
        <v>0.363636363636364</v>
      </c>
      <c r="F278" s="59" t="n">
        <v>2200</v>
      </c>
      <c r="G278" s="59" t="n">
        <f aca="false">F278-H278</f>
        <v>2200</v>
      </c>
    </row>
    <row r="279" customFormat="false" ht="12.8" hidden="false" customHeight="false" outlineLevel="0" collapsed="false">
      <c r="A279" s="0" t="n">
        <v>30</v>
      </c>
      <c r="B279" s="31" t="n">
        <v>36465</v>
      </c>
      <c r="C279" s="9" t="n">
        <v>792400</v>
      </c>
      <c r="D279" s="58" t="s">
        <v>41</v>
      </c>
      <c r="E279" s="33" t="n">
        <f aca="false">IF(D279="totale",(C279/(A279*24))/F279,IF(D279="marché libre",(C279/(A279*24))/G279,"spécifier histo"))</f>
        <v>0.500252525252525</v>
      </c>
      <c r="F279" s="59" t="n">
        <v>2200</v>
      </c>
      <c r="G279" s="59" t="n">
        <f aca="false">F279-H279</f>
        <v>2200</v>
      </c>
    </row>
    <row r="280" customFormat="false" ht="12.8" hidden="false" customHeight="false" outlineLevel="0" collapsed="false">
      <c r="A280" s="0" t="n">
        <v>31</v>
      </c>
      <c r="B280" s="34" t="n">
        <v>36495</v>
      </c>
      <c r="C280" s="9" t="n">
        <v>1137200</v>
      </c>
      <c r="D280" s="58" t="s">
        <v>41</v>
      </c>
      <c r="E280" s="33" t="n">
        <f aca="false">IF(D280="totale",(C280/(A280*24))/F280,IF(D280="marché libre",(C280/(A280*24))/G280,"spécifier histo"))</f>
        <v>0.694770283479961</v>
      </c>
      <c r="F280" s="59" t="n">
        <v>2200</v>
      </c>
      <c r="G280" s="59" t="n">
        <f aca="false">F280-H280</f>
        <v>2200</v>
      </c>
    </row>
    <row r="281" customFormat="false" ht="12.8" hidden="false" customHeight="false" outlineLevel="0" collapsed="false">
      <c r="A281" s="0" t="n">
        <v>31</v>
      </c>
      <c r="B281" s="31" t="n">
        <v>36526</v>
      </c>
      <c r="C281" s="9" t="n">
        <v>1213200</v>
      </c>
      <c r="D281" s="58" t="s">
        <v>41</v>
      </c>
      <c r="E281" s="33" t="n">
        <f aca="false">IF(D281="totale",(C281/(A281*24))/F281,IF(D281="marché libre",(C281/(A281*24))/G281,"spécifier histo"))</f>
        <v>0.741202346041056</v>
      </c>
      <c r="F281" s="59" t="n">
        <v>2200</v>
      </c>
      <c r="G281" s="59" t="n">
        <f aca="false">F281-H281</f>
        <v>2200</v>
      </c>
    </row>
    <row r="282" customFormat="false" ht="12.8" hidden="false" customHeight="false" outlineLevel="0" collapsed="false">
      <c r="A282" s="0" t="n">
        <v>28</v>
      </c>
      <c r="B282" s="34" t="n">
        <v>36557</v>
      </c>
      <c r="C282" s="9" t="n">
        <v>1213600</v>
      </c>
      <c r="D282" s="58" t="s">
        <v>41</v>
      </c>
      <c r="E282" s="33" t="n">
        <f aca="false">IF(D282="totale",(C282/(A282*24))/F282,IF(D282="marché libre",(C282/(A282*24))/G282,"spécifier histo"))</f>
        <v>0.820887445887446</v>
      </c>
      <c r="F282" s="59" t="n">
        <v>2200</v>
      </c>
      <c r="G282" s="59" t="n">
        <f aca="false">F282-H282</f>
        <v>2200</v>
      </c>
    </row>
    <row r="283" customFormat="false" ht="12.8" hidden="false" customHeight="false" outlineLevel="0" collapsed="false">
      <c r="A283" s="0" t="n">
        <v>31</v>
      </c>
      <c r="B283" s="31" t="n">
        <v>36586</v>
      </c>
      <c r="C283" s="9" t="n">
        <v>1328000</v>
      </c>
      <c r="D283" s="58" t="s">
        <v>41</v>
      </c>
      <c r="E283" s="33" t="n">
        <f aca="false">IF(D283="totale",(C283/(A283*24))/F283,IF(D283="marché libre",(C283/(A283*24))/G283,"spécifier histo"))</f>
        <v>0.811339198435973</v>
      </c>
      <c r="F283" s="59" t="n">
        <v>2200</v>
      </c>
      <c r="G283" s="59" t="n">
        <f aca="false">F283-H283</f>
        <v>2200</v>
      </c>
    </row>
    <row r="284" customFormat="false" ht="12.8" hidden="false" customHeight="false" outlineLevel="0" collapsed="false">
      <c r="A284" s="0" t="n">
        <v>30</v>
      </c>
      <c r="B284" s="34" t="n">
        <v>36617</v>
      </c>
      <c r="C284" s="9" t="n">
        <v>1385600</v>
      </c>
      <c r="D284" s="58" t="s">
        <v>41</v>
      </c>
      <c r="E284" s="33" t="n">
        <f aca="false">IF(D284="totale",(C284/(A284*24))/F284,IF(D284="marché libre",(C284/(A284*24))/G284,"spécifier histo"))</f>
        <v>0.874747474747475</v>
      </c>
      <c r="F284" s="59" t="n">
        <v>2200</v>
      </c>
      <c r="G284" s="59" t="n">
        <f aca="false">F284-H284</f>
        <v>2200</v>
      </c>
    </row>
    <row r="285" customFormat="false" ht="12.8" hidden="false" customHeight="false" outlineLevel="0" collapsed="false">
      <c r="A285" s="0" t="n">
        <v>31</v>
      </c>
      <c r="B285" s="31" t="n">
        <v>36647</v>
      </c>
      <c r="C285" s="9" t="n">
        <v>940400</v>
      </c>
      <c r="D285" s="58" t="s">
        <v>41</v>
      </c>
      <c r="E285" s="33" t="n">
        <f aca="false">IF(D285="totale",(C285/(A285*24))/F285,IF(D285="marché libre",(C285/(A285*24))/G285,"spécifier histo"))</f>
        <v>0.574535679374389</v>
      </c>
      <c r="F285" s="59" t="n">
        <v>2200</v>
      </c>
      <c r="G285" s="59" t="n">
        <f aca="false">F285-H285</f>
        <v>2200</v>
      </c>
    </row>
    <row r="286" customFormat="false" ht="12.8" hidden="false" customHeight="false" outlineLevel="0" collapsed="false">
      <c r="A286" s="0" t="n">
        <v>30</v>
      </c>
      <c r="B286" s="34" t="n">
        <v>36678</v>
      </c>
      <c r="C286" s="9" t="n">
        <v>796400</v>
      </c>
      <c r="D286" s="58" t="s">
        <v>41</v>
      </c>
      <c r="E286" s="33" t="n">
        <f aca="false">IF(D286="totale",(C286/(A286*24))/F286,IF(D286="marché libre",(C286/(A286*24))/G286,"spécifier histo"))</f>
        <v>0.502777777777778</v>
      </c>
      <c r="F286" s="59" t="n">
        <v>2200</v>
      </c>
      <c r="G286" s="59" t="n">
        <f aca="false">F286-H286</f>
        <v>2200</v>
      </c>
    </row>
    <row r="287" customFormat="false" ht="12.8" hidden="false" customHeight="false" outlineLevel="0" collapsed="false">
      <c r="A287" s="0" t="n">
        <v>31</v>
      </c>
      <c r="B287" s="31" t="n">
        <v>36708</v>
      </c>
      <c r="C287" s="9" t="n">
        <v>164000</v>
      </c>
      <c r="D287" s="58" t="s">
        <v>41</v>
      </c>
      <c r="E287" s="33" t="n">
        <f aca="false">IF(D287="totale",(C287/(A287*24))/F287,IF(D287="marché libre",(C287/(A287*24))/G287,"spécifier histo"))</f>
        <v>0.10019550342131</v>
      </c>
      <c r="F287" s="59" t="n">
        <v>2200</v>
      </c>
      <c r="G287" s="59" t="n">
        <f aca="false">F287-H287</f>
        <v>2200</v>
      </c>
    </row>
    <row r="288" customFormat="false" ht="12.8" hidden="false" customHeight="false" outlineLevel="0" collapsed="false">
      <c r="A288" s="0" t="n">
        <v>31</v>
      </c>
      <c r="B288" s="34" t="n">
        <v>36739</v>
      </c>
      <c r="C288" s="9" t="n">
        <v>132800</v>
      </c>
      <c r="D288" s="58" t="s">
        <v>41</v>
      </c>
      <c r="E288" s="33" t="n">
        <f aca="false">IF(D288="totale",(C288/(A288*24))/F288,IF(D288="marché libre",(C288/(A288*24))/G288,"spécifier histo"))</f>
        <v>0.0811339198435973</v>
      </c>
      <c r="F288" s="59" t="n">
        <v>2200</v>
      </c>
      <c r="G288" s="59" t="n">
        <f aca="false">F288-H288</f>
        <v>2200</v>
      </c>
    </row>
    <row r="289" customFormat="false" ht="12.8" hidden="false" customHeight="false" outlineLevel="0" collapsed="false">
      <c r="A289" s="0" t="n">
        <v>30</v>
      </c>
      <c r="B289" s="31" t="n">
        <v>36770</v>
      </c>
      <c r="C289" s="9" t="n">
        <v>705200</v>
      </c>
      <c r="D289" s="58" t="s">
        <v>41</v>
      </c>
      <c r="E289" s="33" t="n">
        <f aca="false">IF(D289="totale",(C289/(A289*24))/F289,IF(D289="marché libre",(C289/(A289*24))/G289,"spécifier histo"))</f>
        <v>0.44520202020202</v>
      </c>
      <c r="F289" s="59" t="n">
        <v>2200</v>
      </c>
      <c r="G289" s="59" t="n">
        <f aca="false">F289-H289</f>
        <v>2200</v>
      </c>
    </row>
    <row r="290" customFormat="false" ht="12.8" hidden="false" customHeight="false" outlineLevel="0" collapsed="false">
      <c r="A290" s="0" t="n">
        <v>31</v>
      </c>
      <c r="B290" s="34" t="n">
        <v>36800</v>
      </c>
      <c r="C290" s="9" t="n">
        <v>817600</v>
      </c>
      <c r="D290" s="58" t="s">
        <v>41</v>
      </c>
      <c r="E290" s="33" t="n">
        <f aca="false">IF(D290="totale",(C290/(A290*24))/F290,IF(D290="marché libre",(C290/(A290*24))/G290,"spécifier histo"))</f>
        <v>0.499511241446725</v>
      </c>
      <c r="F290" s="59" t="n">
        <v>2200</v>
      </c>
      <c r="G290" s="59" t="n">
        <f aca="false">F290-H290</f>
        <v>2200</v>
      </c>
    </row>
    <row r="291" customFormat="false" ht="12.8" hidden="false" customHeight="false" outlineLevel="0" collapsed="false">
      <c r="A291" s="0" t="n">
        <v>30</v>
      </c>
      <c r="B291" s="31" t="n">
        <v>36831</v>
      </c>
      <c r="C291" s="9" t="n">
        <v>1173200</v>
      </c>
      <c r="D291" s="58" t="s">
        <v>41</v>
      </c>
      <c r="E291" s="33" t="n">
        <f aca="false">IF(D291="totale",(C291/(A291*24))/F291,IF(D291="marché libre",(C291/(A291*24))/G291,"spécifier histo"))</f>
        <v>0.740656565656566</v>
      </c>
      <c r="F291" s="59" t="n">
        <v>2200</v>
      </c>
      <c r="G291" s="59" t="n">
        <f aca="false">F291-H291</f>
        <v>2200</v>
      </c>
    </row>
    <row r="292" customFormat="false" ht="12.8" hidden="false" customHeight="false" outlineLevel="0" collapsed="false">
      <c r="A292" s="0" t="n">
        <v>31</v>
      </c>
      <c r="B292" s="34" t="n">
        <v>36861</v>
      </c>
      <c r="C292" s="9" t="n">
        <v>1200400</v>
      </c>
      <c r="D292" s="58" t="s">
        <v>41</v>
      </c>
      <c r="E292" s="33" t="n">
        <f aca="false">IF(D292="totale",(C292/(A292*24))/F292,IF(D292="marché libre",(C292/(A292*24))/G292,"spécifier histo"))</f>
        <v>0.733382209188661</v>
      </c>
      <c r="F292" s="59" t="n">
        <v>2200</v>
      </c>
      <c r="G292" s="59" t="n">
        <f aca="false">F292-H292</f>
        <v>2200</v>
      </c>
    </row>
    <row r="293" customFormat="false" ht="12.8" hidden="false" customHeight="false" outlineLevel="0" collapsed="false">
      <c r="A293" s="0" t="n">
        <v>31</v>
      </c>
      <c r="B293" s="31" t="n">
        <v>36892</v>
      </c>
      <c r="C293" s="9" t="n">
        <v>1279600</v>
      </c>
      <c r="D293" s="58" t="s">
        <v>41</v>
      </c>
      <c r="E293" s="33" t="n">
        <f aca="false">IF(D293="totale",(C293/(A293*24))/F293,IF(D293="marché libre",(C293/(A293*24))/G293,"spécifier histo"))</f>
        <v>0.781769305962854</v>
      </c>
      <c r="F293" s="59" t="n">
        <v>2200</v>
      </c>
      <c r="G293" s="59" t="n">
        <f aca="false">F293-H293</f>
        <v>2200</v>
      </c>
    </row>
    <row r="294" customFormat="false" ht="12.8" hidden="false" customHeight="false" outlineLevel="0" collapsed="false">
      <c r="A294" s="0" t="n">
        <v>28</v>
      </c>
      <c r="B294" s="34" t="n">
        <v>36923</v>
      </c>
      <c r="C294" s="9" t="n">
        <v>1273600</v>
      </c>
      <c r="D294" s="58" t="s">
        <v>41</v>
      </c>
      <c r="E294" s="33" t="n">
        <f aca="false">IF(D294="totale",(C294/(A294*24))/F294,IF(D294="marché libre",(C294/(A294*24))/G294,"spécifier histo"))</f>
        <v>0.861471861471861</v>
      </c>
      <c r="F294" s="59" t="n">
        <v>2200</v>
      </c>
      <c r="G294" s="59" t="n">
        <f aca="false">F294-H294</f>
        <v>2200</v>
      </c>
    </row>
    <row r="295" customFormat="false" ht="12.8" hidden="false" customHeight="false" outlineLevel="0" collapsed="false">
      <c r="A295" s="0" t="n">
        <v>31</v>
      </c>
      <c r="B295" s="31" t="n">
        <v>36951</v>
      </c>
      <c r="C295" s="9" t="n">
        <v>1822800</v>
      </c>
      <c r="D295" s="58" t="s">
        <v>41</v>
      </c>
      <c r="E295" s="33" t="n">
        <f aca="false">IF(D295="totale",(C295/(A295*24))/F295,IF(D295="marché libre",(C295/(A295*24))/G295,"spécifier histo"))</f>
        <v>1.11363636363636</v>
      </c>
      <c r="F295" s="59" t="n">
        <v>2200</v>
      </c>
      <c r="G295" s="59" t="n">
        <f aca="false">F295-H295</f>
        <v>2200</v>
      </c>
    </row>
    <row r="296" customFormat="false" ht="12.8" hidden="false" customHeight="false" outlineLevel="0" collapsed="false">
      <c r="A296" s="0" t="n">
        <v>30</v>
      </c>
      <c r="B296" s="34" t="n">
        <v>36982</v>
      </c>
      <c r="C296" s="9" t="n">
        <v>1369200</v>
      </c>
      <c r="D296" s="58" t="s">
        <v>41</v>
      </c>
      <c r="E296" s="33" t="n">
        <f aca="false">IF(D296="totale",(C296/(A296*24))/F296,IF(D296="marché libre",(C296/(A296*24))/G296,"spécifier histo"))</f>
        <v>0.864393939393939</v>
      </c>
      <c r="F296" s="59" t="n">
        <v>2200</v>
      </c>
      <c r="G296" s="59" t="n">
        <f aca="false">F296-H296</f>
        <v>2200</v>
      </c>
    </row>
    <row r="297" customFormat="false" ht="12.8" hidden="false" customHeight="false" outlineLevel="0" collapsed="false">
      <c r="A297" s="0" t="n">
        <v>31</v>
      </c>
      <c r="B297" s="31" t="n">
        <v>37012</v>
      </c>
      <c r="C297" s="9" t="n">
        <v>1360400</v>
      </c>
      <c r="D297" s="58" t="s">
        <v>41</v>
      </c>
      <c r="E297" s="33" t="n">
        <f aca="false">IF(D297="totale",(C297/(A297*24))/F297,IF(D297="marché libre",(C297/(A297*24))/G297,"spécifier histo"))</f>
        <v>0.831133919843597</v>
      </c>
      <c r="F297" s="59" t="n">
        <v>2200</v>
      </c>
      <c r="G297" s="59" t="n">
        <f aca="false">F297-H297</f>
        <v>2200</v>
      </c>
    </row>
    <row r="298" customFormat="false" ht="12.8" hidden="false" customHeight="false" outlineLevel="0" collapsed="false">
      <c r="A298" s="0" t="n">
        <v>30</v>
      </c>
      <c r="B298" s="34" t="n">
        <v>37043</v>
      </c>
      <c r="C298" s="9" t="n">
        <v>701600</v>
      </c>
      <c r="D298" s="58" t="s">
        <v>41</v>
      </c>
      <c r="E298" s="33" t="n">
        <f aca="false">IF(D298="totale",(C298/(A298*24))/F298,IF(D298="marché libre",(C298/(A298*24))/G298,"spécifier histo"))</f>
        <v>0.442929292929293</v>
      </c>
      <c r="F298" s="59" t="n">
        <v>2200</v>
      </c>
      <c r="G298" s="59" t="n">
        <f aca="false">F298-H298</f>
        <v>2200</v>
      </c>
    </row>
    <row r="299" customFormat="false" ht="12.8" hidden="false" customHeight="false" outlineLevel="0" collapsed="false">
      <c r="A299" s="0" t="n">
        <v>31</v>
      </c>
      <c r="B299" s="31" t="n">
        <v>37073</v>
      </c>
      <c r="C299" s="9" t="n">
        <v>343600</v>
      </c>
      <c r="D299" s="58" t="s">
        <v>41</v>
      </c>
      <c r="E299" s="33" t="n">
        <f aca="false">IF(D299="totale",(C299/(A299*24))/F299,IF(D299="marché libre",(C299/(A299*24))/G299,"spécifier histo"))</f>
        <v>0.209921798631476</v>
      </c>
      <c r="F299" s="59" t="n">
        <v>2200</v>
      </c>
      <c r="G299" s="59" t="n">
        <f aca="false">F299-H299</f>
        <v>2200</v>
      </c>
    </row>
    <row r="300" customFormat="false" ht="12.8" hidden="false" customHeight="false" outlineLevel="0" collapsed="false">
      <c r="A300" s="0" t="n">
        <v>31</v>
      </c>
      <c r="B300" s="34" t="n">
        <v>37104</v>
      </c>
      <c r="C300" s="9" t="n">
        <v>215600</v>
      </c>
      <c r="D300" s="58" t="s">
        <v>41</v>
      </c>
      <c r="E300" s="33" t="n">
        <f aca="false">IF(D300="totale",(C300/(A300*24))/F300,IF(D300="marché libre",(C300/(A300*24))/G300,"spécifier histo"))</f>
        <v>0.131720430107527</v>
      </c>
      <c r="F300" s="59" t="n">
        <v>2200</v>
      </c>
      <c r="G300" s="59" t="n">
        <f aca="false">F300-H300</f>
        <v>2200</v>
      </c>
    </row>
    <row r="301" customFormat="false" ht="12.8" hidden="false" customHeight="false" outlineLevel="0" collapsed="false">
      <c r="A301" s="0" t="n">
        <v>30</v>
      </c>
      <c r="B301" s="31" t="n">
        <v>37135</v>
      </c>
      <c r="C301" s="9" t="n">
        <v>272162</v>
      </c>
      <c r="D301" s="58" t="s">
        <v>41</v>
      </c>
      <c r="E301" s="33" t="n">
        <f aca="false">IF(D301="totale",(C301/(A301*24))/F301,IF(D301="marché libre",(C301/(A301*24))/G301,"spécifier histo"))</f>
        <v>0.171819444444444</v>
      </c>
      <c r="F301" s="59" t="n">
        <v>2200</v>
      </c>
      <c r="G301" s="59" t="n">
        <f aca="false">F301-H301</f>
        <v>2200</v>
      </c>
    </row>
    <row r="302" customFormat="false" ht="12.8" hidden="false" customHeight="false" outlineLevel="0" collapsed="false">
      <c r="A302" s="0" t="n">
        <v>31</v>
      </c>
      <c r="B302" s="34" t="n">
        <v>37165</v>
      </c>
      <c r="C302" s="9" t="n">
        <v>582578</v>
      </c>
      <c r="D302" s="58" t="s">
        <v>41</v>
      </c>
      <c r="E302" s="33" t="n">
        <f aca="false">IF(D302="totale",(C302/(A302*24))/F302,IF(D302="marché libre",(C302/(A302*24))/G302,"spécifier histo"))</f>
        <v>0.355924975562072</v>
      </c>
      <c r="F302" s="59" t="n">
        <v>2200</v>
      </c>
      <c r="G302" s="59" t="n">
        <f aca="false">F302-H302</f>
        <v>2200</v>
      </c>
    </row>
    <row r="303" customFormat="false" ht="12.8" hidden="false" customHeight="false" outlineLevel="0" collapsed="false">
      <c r="A303" s="0" t="n">
        <v>30</v>
      </c>
      <c r="B303" s="31" t="n">
        <v>37196</v>
      </c>
      <c r="C303" s="9" t="n">
        <v>827643</v>
      </c>
      <c r="D303" s="58" t="s">
        <v>41</v>
      </c>
      <c r="E303" s="33" t="n">
        <f aca="false">IF(D303="totale",(C303/(A303*24))/F303,IF(D303="marché libre",(C303/(A303*24))/G303,"spécifier histo"))</f>
        <v>0.522501893939394</v>
      </c>
      <c r="F303" s="59" t="n">
        <v>2200</v>
      </c>
      <c r="G303" s="59" t="n">
        <f aca="false">F303-H303</f>
        <v>2200</v>
      </c>
    </row>
    <row r="304" customFormat="false" ht="12.8" hidden="false" customHeight="false" outlineLevel="0" collapsed="false">
      <c r="A304" s="0" t="n">
        <v>31</v>
      </c>
      <c r="B304" s="34" t="n">
        <v>37226</v>
      </c>
      <c r="C304" s="9" t="n">
        <v>921286</v>
      </c>
      <c r="D304" s="58" t="s">
        <v>41</v>
      </c>
      <c r="E304" s="33" t="n">
        <f aca="false">IF(D304="totale",(C304/(A304*24))/F304,IF(D304="marché libre",(C304/(A304*24))/G304,"spécifier histo"))</f>
        <v>0.562858015640274</v>
      </c>
      <c r="F304" s="59" t="n">
        <v>2200</v>
      </c>
      <c r="G304" s="59" t="n">
        <f aca="false">F304-H304</f>
        <v>2200</v>
      </c>
    </row>
    <row r="305" customFormat="false" ht="12.8" hidden="false" customHeight="false" outlineLevel="0" collapsed="false">
      <c r="A305" s="0" t="n">
        <v>31</v>
      </c>
      <c r="B305" s="31" t="n">
        <v>37257</v>
      </c>
      <c r="C305" s="9" t="n">
        <v>537948</v>
      </c>
      <c r="D305" s="58" t="s">
        <v>41</v>
      </c>
      <c r="E305" s="33" t="n">
        <f aca="false">IF(D305="totale",(C305/(A305*24))/F305,IF(D305="marché libre",(C305/(A305*24))/G305,"spécifier histo"))</f>
        <v>0.328658357771261</v>
      </c>
      <c r="F305" s="59" t="n">
        <v>2200</v>
      </c>
      <c r="G305" s="59" t="n">
        <f aca="false">F305-H305</f>
        <v>2200</v>
      </c>
    </row>
    <row r="306" customFormat="false" ht="12.8" hidden="false" customHeight="false" outlineLevel="0" collapsed="false">
      <c r="A306" s="0" t="n">
        <v>28</v>
      </c>
      <c r="B306" s="34" t="n">
        <v>37288</v>
      </c>
      <c r="C306" s="9" t="n">
        <v>723241</v>
      </c>
      <c r="D306" s="58" t="s">
        <v>41</v>
      </c>
      <c r="E306" s="33" t="n">
        <f aca="false">IF(D306="totale",(C306/(A306*24))/F306,IF(D306="marché libre",(C306/(A306*24))/G306,"spécifier histo"))</f>
        <v>0.489205221861472</v>
      </c>
      <c r="F306" s="59" t="n">
        <v>2200</v>
      </c>
      <c r="G306" s="59" t="n">
        <f aca="false">F306-H306</f>
        <v>2200</v>
      </c>
    </row>
    <row r="307" customFormat="false" ht="12.8" hidden="false" customHeight="false" outlineLevel="0" collapsed="false">
      <c r="A307" s="0" t="n">
        <v>31</v>
      </c>
      <c r="B307" s="31" t="n">
        <v>37316</v>
      </c>
      <c r="C307" s="9" t="n">
        <v>902159</v>
      </c>
      <c r="D307" s="58" t="s">
        <v>41</v>
      </c>
      <c r="E307" s="33" t="n">
        <f aca="false">IF(D307="totale",(C307/(A307*24))/F307,IF(D307="marché libre",(C307/(A307*24))/G307,"spécifier histo"))</f>
        <v>0.551172409579668</v>
      </c>
      <c r="F307" s="59" t="n">
        <v>2200</v>
      </c>
      <c r="G307" s="59" t="n">
        <f aca="false">F307-H307</f>
        <v>2200</v>
      </c>
    </row>
    <row r="308" customFormat="false" ht="12.8" hidden="false" customHeight="false" outlineLevel="0" collapsed="false">
      <c r="A308" s="0" t="n">
        <v>30</v>
      </c>
      <c r="B308" s="34" t="n">
        <v>37347</v>
      </c>
      <c r="C308" s="9" t="n">
        <v>261801</v>
      </c>
      <c r="D308" s="58" t="s">
        <v>41</v>
      </c>
      <c r="E308" s="33" t="n">
        <f aca="false">IF(D308="totale",(C308/(A308*24))/F308,IF(D308="marché libre",(C308/(A308*24))/G308,"spécifier histo"))</f>
        <v>0.165278409090909</v>
      </c>
      <c r="F308" s="59" t="n">
        <v>2200</v>
      </c>
      <c r="G308" s="59" t="n">
        <f aca="false">F308-H308</f>
        <v>2200</v>
      </c>
    </row>
    <row r="309" customFormat="false" ht="12.8" hidden="false" customHeight="false" outlineLevel="0" collapsed="false">
      <c r="A309" s="0" t="n">
        <v>31</v>
      </c>
      <c r="B309" s="31" t="n">
        <v>37377</v>
      </c>
      <c r="C309" s="9" t="n">
        <v>153813</v>
      </c>
      <c r="D309" s="58" t="s">
        <v>41</v>
      </c>
      <c r="E309" s="33" t="n">
        <f aca="false">IF(D309="totale",(C309/(A309*24))/F309,IF(D309="marché libre",(C309/(A309*24))/G309,"spécifier histo"))</f>
        <v>0.0939717741935484</v>
      </c>
      <c r="F309" s="59" t="n">
        <v>2200</v>
      </c>
      <c r="G309" s="59" t="n">
        <f aca="false">F309-H309</f>
        <v>2200</v>
      </c>
    </row>
    <row r="310" customFormat="false" ht="12.8" hidden="false" customHeight="false" outlineLevel="0" collapsed="false">
      <c r="A310" s="0" t="n">
        <v>30</v>
      </c>
      <c r="B310" s="34" t="n">
        <v>37408</v>
      </c>
      <c r="C310" s="9" t="n">
        <v>416412</v>
      </c>
      <c r="D310" s="58" t="s">
        <v>41</v>
      </c>
      <c r="E310" s="33" t="n">
        <f aca="false">IF(D310="totale",(C310/(A310*24))/F310,IF(D310="marché libre",(C310/(A310*24))/G310,"spécifier histo"))</f>
        <v>0.262886363636364</v>
      </c>
      <c r="F310" s="59" t="n">
        <v>2200</v>
      </c>
      <c r="G310" s="59" t="n">
        <f aca="false">F310-H310</f>
        <v>2200</v>
      </c>
    </row>
    <row r="311" customFormat="false" ht="12.8" hidden="false" customHeight="false" outlineLevel="0" collapsed="false">
      <c r="A311" s="0" t="n">
        <v>31</v>
      </c>
      <c r="B311" s="31" t="n">
        <v>37438</v>
      </c>
      <c r="C311" s="9" t="n">
        <v>180910</v>
      </c>
      <c r="D311" s="58" t="s">
        <v>41</v>
      </c>
      <c r="E311" s="33" t="n">
        <f aca="false">IF(D311="totale",(C311/(A311*24))/F311,IF(D311="marché libre",(C311/(A311*24))/G311,"spécifier histo"))</f>
        <v>0.110526637341153</v>
      </c>
      <c r="F311" s="59" t="n">
        <v>2200</v>
      </c>
      <c r="G311" s="59" t="n">
        <f aca="false">F311-H311</f>
        <v>2200</v>
      </c>
    </row>
    <row r="312" customFormat="false" ht="12.8" hidden="false" customHeight="false" outlineLevel="0" collapsed="false">
      <c r="A312" s="0" t="n">
        <v>31</v>
      </c>
      <c r="B312" s="34" t="n">
        <v>37469</v>
      </c>
      <c r="C312" s="9" t="n">
        <v>77704</v>
      </c>
      <c r="D312" s="58" t="s">
        <v>41</v>
      </c>
      <c r="E312" s="33" t="n">
        <f aca="false">IF(D312="totale",(C312/(A312*24))/F312,IF(D312="marché libre",(C312/(A312*24))/G312,"spécifier histo"))</f>
        <v>0.0474731182795699</v>
      </c>
      <c r="F312" s="59" t="n">
        <v>2200</v>
      </c>
      <c r="G312" s="59" t="n">
        <f aca="false">F312-H312</f>
        <v>2200</v>
      </c>
    </row>
    <row r="313" customFormat="false" ht="12.8" hidden="false" customHeight="false" outlineLevel="0" collapsed="false">
      <c r="A313" s="0" t="n">
        <v>30</v>
      </c>
      <c r="B313" s="31" t="n">
        <v>37500</v>
      </c>
      <c r="C313" s="9" t="n">
        <v>151422</v>
      </c>
      <c r="D313" s="58" t="s">
        <v>41</v>
      </c>
      <c r="E313" s="33" t="n">
        <f aca="false">IF(D313="totale",(C313/(A313*24))/F313,IF(D313="marché libre",(C313/(A313*24))/G313,"spécifier histo"))</f>
        <v>0.095594696969697</v>
      </c>
      <c r="F313" s="59" t="n">
        <v>2200</v>
      </c>
      <c r="G313" s="59" t="n">
        <f aca="false">F313-H313</f>
        <v>2200</v>
      </c>
    </row>
    <row r="314" customFormat="false" ht="12.8" hidden="false" customHeight="false" outlineLevel="0" collapsed="false">
      <c r="A314" s="0" t="n">
        <v>31</v>
      </c>
      <c r="B314" s="34" t="n">
        <v>37530</v>
      </c>
      <c r="C314" s="9" t="n">
        <v>584172</v>
      </c>
      <c r="D314" s="58" t="s">
        <v>41</v>
      </c>
      <c r="E314" s="33" t="n">
        <f aca="false">IF(D314="totale",(C314/(A314*24))/F314,IF(D314="marché libre",(C314/(A314*24))/G314,"spécifier histo"))</f>
        <v>0.356898826979472</v>
      </c>
      <c r="F314" s="59" t="n">
        <v>2200</v>
      </c>
      <c r="G314" s="59" t="n">
        <f aca="false">F314-H314</f>
        <v>2200</v>
      </c>
    </row>
    <row r="315" customFormat="false" ht="12.8" hidden="false" customHeight="false" outlineLevel="0" collapsed="false">
      <c r="A315" s="0" t="n">
        <v>30</v>
      </c>
      <c r="B315" s="31" t="n">
        <v>37561</v>
      </c>
      <c r="C315" s="9" t="n">
        <v>908933</v>
      </c>
      <c r="D315" s="58" t="s">
        <v>41</v>
      </c>
      <c r="E315" s="33" t="n">
        <f aca="false">IF(D315="totale",(C315/(A315*24))/F315,IF(D315="marché libre",(C315/(A315*24))/G315,"spécifier histo"))</f>
        <v>0.573821338383838</v>
      </c>
      <c r="F315" s="59" t="n">
        <v>2200</v>
      </c>
      <c r="G315" s="59" t="n">
        <f aca="false">F315-H315</f>
        <v>2200</v>
      </c>
    </row>
    <row r="316" customFormat="false" ht="12.8" hidden="false" customHeight="false" outlineLevel="0" collapsed="false">
      <c r="A316" s="0" t="n">
        <v>31</v>
      </c>
      <c r="B316" s="34" t="n">
        <v>37591</v>
      </c>
      <c r="C316" s="9" t="n">
        <v>1286692</v>
      </c>
      <c r="D316" s="58" t="s">
        <v>41</v>
      </c>
      <c r="E316" s="33" t="n">
        <f aca="false">IF(D316="totale",(C316/(A316*24))/F316,IF(D316="marché libre",(C316/(A316*24))/G316,"spécifier histo"))</f>
        <v>0.786102150537634</v>
      </c>
      <c r="F316" s="59" t="n">
        <v>2200</v>
      </c>
      <c r="G316" s="59" t="n">
        <f aca="false">F316-H316</f>
        <v>2200</v>
      </c>
    </row>
    <row r="317" customFormat="false" ht="12.8" hidden="false" customHeight="false" outlineLevel="0" collapsed="false">
      <c r="A317" s="0" t="n">
        <v>31</v>
      </c>
      <c r="B317" s="31" t="n">
        <v>37622</v>
      </c>
      <c r="C317" s="9" t="n">
        <v>1279918</v>
      </c>
      <c r="D317" s="58" t="s">
        <v>41</v>
      </c>
      <c r="E317" s="33" t="n">
        <f aca="false">IF(D317="totale",(C317/(A317*24))/F317,IF(D317="marché libre",(C317/(A317*24))/G317,"spécifier histo"))</f>
        <v>0.781963587487781</v>
      </c>
      <c r="F317" s="59" t="n">
        <v>2200</v>
      </c>
      <c r="G317" s="59" t="n">
        <f aca="false">F317-H317</f>
        <v>2200</v>
      </c>
    </row>
    <row r="318" customFormat="false" ht="12.8" hidden="false" customHeight="false" outlineLevel="0" collapsed="false">
      <c r="A318" s="0" t="n">
        <v>28</v>
      </c>
      <c r="B318" s="34" t="n">
        <v>37653</v>
      </c>
      <c r="C318" s="9" t="n">
        <v>1270354</v>
      </c>
      <c r="D318" s="58" t="s">
        <v>41</v>
      </c>
      <c r="E318" s="33" t="n">
        <f aca="false">IF(D318="totale",(C318/(A318*24))/F318,IF(D318="marché libre",(C318/(A318*24))/G318,"spécifier histo"))</f>
        <v>0.859276244588745</v>
      </c>
      <c r="F318" s="59" t="n">
        <v>2200</v>
      </c>
      <c r="G318" s="59" t="n">
        <f aca="false">F318-H318</f>
        <v>2200</v>
      </c>
    </row>
    <row r="319" customFormat="false" ht="12.8" hidden="false" customHeight="false" outlineLevel="0" collapsed="false">
      <c r="A319" s="0" t="n">
        <v>31</v>
      </c>
      <c r="B319" s="31" t="n">
        <v>37681</v>
      </c>
      <c r="C319" s="9" t="n">
        <v>1595115</v>
      </c>
      <c r="D319" s="58" t="s">
        <v>41</v>
      </c>
      <c r="E319" s="33" t="n">
        <f aca="false">IF(D319="totale",(C319/(A319*24))/F319,IF(D319="marché libre",(C319/(A319*24))/G319,"spécifier histo"))</f>
        <v>0.974532624633431</v>
      </c>
      <c r="F319" s="59" t="n">
        <v>2200</v>
      </c>
      <c r="G319" s="59" t="n">
        <f aca="false">F319-H319</f>
        <v>2200</v>
      </c>
    </row>
    <row r="320" customFormat="false" ht="12.8" hidden="false" customHeight="false" outlineLevel="0" collapsed="false">
      <c r="A320" s="0" t="n">
        <v>30</v>
      </c>
      <c r="B320" s="34" t="n">
        <v>37712</v>
      </c>
      <c r="C320" s="9" t="n">
        <v>465425</v>
      </c>
      <c r="D320" s="58" t="s">
        <v>41</v>
      </c>
      <c r="E320" s="33" t="n">
        <f aca="false">IF(D320="totale",(C320/(A320*24))/F320,IF(D320="marché libre",(C320/(A320*24))/G320,"spécifier histo"))</f>
        <v>0.293828914141414</v>
      </c>
      <c r="F320" s="59" t="n">
        <v>2200</v>
      </c>
      <c r="G320" s="59" t="n">
        <f aca="false">F320-H320</f>
        <v>2200</v>
      </c>
    </row>
    <row r="321" customFormat="false" ht="12.8" hidden="false" customHeight="false" outlineLevel="0" collapsed="false">
      <c r="A321" s="0" t="n">
        <v>31</v>
      </c>
      <c r="B321" s="31" t="n">
        <v>37742</v>
      </c>
      <c r="C321" s="9" t="n">
        <v>97229</v>
      </c>
      <c r="D321" s="58" t="s">
        <v>41</v>
      </c>
      <c r="E321" s="33" t="n">
        <f aca="false">IF(D321="totale",(C321/(A321*24))/F321,IF(D321="marché libre",(C321/(A321*24))/G321,"spécifier histo"))</f>
        <v>0.0594018817204301</v>
      </c>
      <c r="F321" s="59" t="n">
        <v>2200</v>
      </c>
      <c r="G321" s="59" t="n">
        <f aca="false">F321-H321</f>
        <v>2200</v>
      </c>
    </row>
    <row r="322" customFormat="false" ht="12.8" hidden="false" customHeight="false" outlineLevel="0" collapsed="false">
      <c r="A322" s="0" t="n">
        <v>30</v>
      </c>
      <c r="B322" s="34" t="n">
        <v>37773</v>
      </c>
      <c r="C322" s="9" t="n">
        <v>5977</v>
      </c>
      <c r="D322" s="58" t="s">
        <v>41</v>
      </c>
      <c r="E322" s="33" t="n">
        <f aca="false">IF(D322="totale",(C322/(A322*24))/F322,IF(D322="marché libre",(C322/(A322*24))/G322,"spécifier histo"))</f>
        <v>0.00377335858585859</v>
      </c>
      <c r="F322" s="59" t="n">
        <v>2200</v>
      </c>
      <c r="G322" s="59" t="n">
        <f aca="false">F322-H322</f>
        <v>2200</v>
      </c>
    </row>
    <row r="323" customFormat="false" ht="12.8" hidden="false" customHeight="false" outlineLevel="0" collapsed="false">
      <c r="A323" s="0" t="n">
        <v>31</v>
      </c>
      <c r="B323" s="31" t="n">
        <v>37803</v>
      </c>
      <c r="C323" s="9" t="n">
        <v>41840</v>
      </c>
      <c r="D323" s="58" t="s">
        <v>41</v>
      </c>
      <c r="E323" s="33" t="n">
        <f aca="false">IF(D323="totale",(C323/(A323*24))/F323,IF(D323="marché libre",(C323/(A323*24))/G323,"spécifier histo"))</f>
        <v>0.0255620723362659</v>
      </c>
      <c r="F323" s="59" t="n">
        <v>2200</v>
      </c>
      <c r="G323" s="59" t="n">
        <f aca="false">F323-H323</f>
        <v>2200</v>
      </c>
    </row>
    <row r="324" customFormat="false" ht="12.8" hidden="false" customHeight="false" outlineLevel="0" collapsed="false">
      <c r="A324" s="0" t="n">
        <v>31</v>
      </c>
      <c r="B324" s="34" t="n">
        <v>37834</v>
      </c>
      <c r="C324" s="9" t="n">
        <v>0</v>
      </c>
      <c r="D324" s="58" t="s">
        <v>41</v>
      </c>
      <c r="E324" s="33" t="n">
        <f aca="false">IF(D324="totale",(C324/(A324*24))/F324,IF(D324="marché libre",(C324/(A324*24))/G324,"spécifier histo"))</f>
        <v>0</v>
      </c>
      <c r="F324" s="59" t="n">
        <v>2200</v>
      </c>
      <c r="G324" s="59" t="n">
        <f aca="false">F324-H324</f>
        <v>2200</v>
      </c>
    </row>
    <row r="325" customFormat="false" ht="12.8" hidden="false" customHeight="false" outlineLevel="0" collapsed="false">
      <c r="A325" s="0" t="n">
        <v>30</v>
      </c>
      <c r="B325" s="31" t="n">
        <v>37865</v>
      </c>
      <c r="C325" s="9" t="n">
        <v>0</v>
      </c>
      <c r="D325" s="58" t="s">
        <v>41</v>
      </c>
      <c r="E325" s="33" t="n">
        <f aca="false">IF(D325="totale",(C325/(A325*24))/F325,IF(D325="marché libre",(C325/(A325*24))/G325,"spécifier histo"))</f>
        <v>0</v>
      </c>
      <c r="F325" s="59" t="n">
        <v>2200</v>
      </c>
      <c r="G325" s="59" t="n">
        <f aca="false">F325-H325</f>
        <v>2200</v>
      </c>
    </row>
    <row r="326" customFormat="false" ht="12.8" hidden="false" customHeight="false" outlineLevel="0" collapsed="false">
      <c r="A326" s="0" t="n">
        <v>31</v>
      </c>
      <c r="B326" s="34" t="n">
        <v>37895</v>
      </c>
      <c r="C326" s="9" t="n">
        <v>94440</v>
      </c>
      <c r="D326" s="58" t="s">
        <v>41</v>
      </c>
      <c r="E326" s="33" t="n">
        <f aca="false">IF(D326="totale",(C326/(A326*24))/F326,IF(D326="marché libre",(C326/(A326*24))/G326,"spécifier histo"))</f>
        <v>0.0576979472140762</v>
      </c>
      <c r="F326" s="59" t="n">
        <v>2200</v>
      </c>
      <c r="G326" s="59" t="n">
        <f aca="false">F326-H326</f>
        <v>2200</v>
      </c>
    </row>
    <row r="327" customFormat="false" ht="12.8" hidden="false" customHeight="false" outlineLevel="0" collapsed="false">
      <c r="A327" s="0" t="n">
        <v>30</v>
      </c>
      <c r="B327" s="31" t="n">
        <v>37926</v>
      </c>
      <c r="C327" s="9" t="n">
        <v>871077</v>
      </c>
      <c r="D327" s="58" t="s">
        <v>41</v>
      </c>
      <c r="E327" s="33" t="n">
        <f aca="false">IF(D327="totale",(C327/(A327*24))/F327,IF(D327="marché libre",(C327/(A327*24))/G327,"spécifier histo"))</f>
        <v>0.549922348484848</v>
      </c>
      <c r="F327" s="59" t="n">
        <v>2200</v>
      </c>
      <c r="G327" s="59" t="n">
        <f aca="false">F327-H327</f>
        <v>2200</v>
      </c>
    </row>
    <row r="328" customFormat="false" ht="12.8" hidden="false" customHeight="false" outlineLevel="0" collapsed="false">
      <c r="A328" s="0" t="n">
        <v>31</v>
      </c>
      <c r="B328" s="34" t="n">
        <v>37956</v>
      </c>
      <c r="C328" s="9" t="n">
        <v>474191</v>
      </c>
      <c r="D328" s="58" t="s">
        <v>41</v>
      </c>
      <c r="E328" s="33" t="n">
        <f aca="false">IF(D328="totale",(C328/(A328*24))/F328,IF(D328="marché libre",(C328/(A328*24))/G328,"spécifier histo"))</f>
        <v>0.289706133919844</v>
      </c>
      <c r="F328" s="59" t="n">
        <v>2200</v>
      </c>
      <c r="G328" s="59" t="n">
        <f aca="false">F328-H328</f>
        <v>2200</v>
      </c>
    </row>
    <row r="329" customFormat="false" ht="12.8" hidden="false" customHeight="false" outlineLevel="0" collapsed="false">
      <c r="A329" s="0" t="n">
        <v>31</v>
      </c>
      <c r="B329" s="31" t="n">
        <v>37987</v>
      </c>
      <c r="C329" s="9" t="n">
        <v>790186</v>
      </c>
      <c r="D329" s="58" t="s">
        <v>41</v>
      </c>
      <c r="E329" s="33" t="n">
        <f aca="false">IF(D329="totale",(C329/(A329*24))/F329,IF(D329="marché libre",(C329/(A329*24))/G329,"spécifier histo"))</f>
        <v>0.482762707722385</v>
      </c>
      <c r="F329" s="59" t="n">
        <v>2200</v>
      </c>
      <c r="G329" s="59" t="n">
        <f aca="false">F329-H329</f>
        <v>2200</v>
      </c>
    </row>
    <row r="330" customFormat="false" ht="12.8" hidden="false" customHeight="false" outlineLevel="0" collapsed="false">
      <c r="A330" s="0" t="n">
        <v>28</v>
      </c>
      <c r="B330" s="34" t="n">
        <v>38018</v>
      </c>
      <c r="C330" s="9" t="n">
        <v>1180298</v>
      </c>
      <c r="D330" s="58" t="s">
        <v>41</v>
      </c>
      <c r="E330" s="33" t="n">
        <f aca="false">IF(D330="totale",(C330/(A330*24))/F330,IF(D330="marché libre",(C330/(A330*24))/G330,"spécifier histo"))</f>
        <v>0.798361742424242</v>
      </c>
      <c r="F330" s="59" t="n">
        <v>2200</v>
      </c>
      <c r="G330" s="59" t="n">
        <f aca="false">F330-H330</f>
        <v>2200</v>
      </c>
    </row>
    <row r="331" customFormat="false" ht="12.8" hidden="false" customHeight="false" outlineLevel="0" collapsed="false">
      <c r="A331" s="0" t="n">
        <v>31</v>
      </c>
      <c r="B331" s="31" t="n">
        <v>38047</v>
      </c>
      <c r="C331" s="9" t="n">
        <v>1328134</v>
      </c>
      <c r="D331" s="58" t="s">
        <v>41</v>
      </c>
      <c r="E331" s="33" t="n">
        <f aca="false">IF(D331="totale",(C331/(A331*24))/F331,IF(D331="marché libre",(C331/(A331*24))/G331,"spécifier histo"))</f>
        <v>0.811421065493646</v>
      </c>
      <c r="F331" s="59" t="n">
        <v>2200</v>
      </c>
      <c r="G331" s="59" t="n">
        <f aca="false">F331-H331</f>
        <v>2200</v>
      </c>
    </row>
    <row r="332" customFormat="false" ht="12.8" hidden="false" customHeight="false" outlineLevel="0" collapsed="false">
      <c r="A332" s="0" t="n">
        <v>30</v>
      </c>
      <c r="B332" s="34" t="n">
        <v>38078</v>
      </c>
      <c r="C332" s="9" t="n">
        <v>1169539</v>
      </c>
      <c r="D332" s="58" t="s">
        <v>41</v>
      </c>
      <c r="E332" s="33" t="n">
        <f aca="false">IF(D332="totale",(C332/(A332*24))/F332,IF(D332="marché libre",(C332/(A332*24))/G332,"spécifier histo"))</f>
        <v>0.738345328282828</v>
      </c>
      <c r="F332" s="59" t="n">
        <v>2200</v>
      </c>
      <c r="G332" s="59" t="n">
        <f aca="false">F332-H332</f>
        <v>2200</v>
      </c>
    </row>
    <row r="333" customFormat="false" ht="12.8" hidden="false" customHeight="false" outlineLevel="0" collapsed="false">
      <c r="A333" s="0" t="n">
        <v>31</v>
      </c>
      <c r="B333" s="31" t="n">
        <v>38108</v>
      </c>
      <c r="C333" s="9" t="n">
        <v>1016522</v>
      </c>
      <c r="D333" s="58" t="s">
        <v>41</v>
      </c>
      <c r="E333" s="33" t="n">
        <f aca="false">IF(D333="totale",(C333/(A333*24))/F333,IF(D333="marché libre",(C333/(A333*24))/G333,"spécifier histo"))</f>
        <v>0.621042277614858</v>
      </c>
      <c r="F333" s="59" t="n">
        <v>2200</v>
      </c>
      <c r="G333" s="59" t="n">
        <f aca="false">F333-H333</f>
        <v>2200</v>
      </c>
    </row>
    <row r="334" customFormat="false" ht="12.8" hidden="false" customHeight="false" outlineLevel="0" collapsed="false">
      <c r="A334" s="0" t="n">
        <v>30</v>
      </c>
      <c r="B334" s="34" t="n">
        <v>38139</v>
      </c>
      <c r="C334" s="9" t="n">
        <v>310017</v>
      </c>
      <c r="D334" s="58" t="s">
        <v>41</v>
      </c>
      <c r="E334" s="33" t="n">
        <f aca="false">IF(D334="totale",(C334/(A334*24))/F334,IF(D334="marché libre",(C334/(A334*24))/G334,"spécifier histo"))</f>
        <v>0.195717803030303</v>
      </c>
      <c r="F334" s="59" t="n">
        <v>2200</v>
      </c>
      <c r="G334" s="59" t="n">
        <f aca="false">F334-H334</f>
        <v>2200</v>
      </c>
    </row>
    <row r="335" customFormat="false" ht="12.8" hidden="false" customHeight="false" outlineLevel="0" collapsed="false">
      <c r="A335" s="0" t="n">
        <v>31</v>
      </c>
      <c r="B335" s="31" t="n">
        <v>38169</v>
      </c>
      <c r="C335" s="9" t="n">
        <v>505273</v>
      </c>
      <c r="D335" s="58" t="s">
        <v>41</v>
      </c>
      <c r="E335" s="33" t="n">
        <f aca="false">IF(D335="totale",(C335/(A335*24))/F335,IF(D335="marché libre",(C335/(A335*24))/G335,"spécifier histo"))</f>
        <v>0.308695625610948</v>
      </c>
      <c r="F335" s="59" t="n">
        <v>2200</v>
      </c>
      <c r="G335" s="59" t="n">
        <f aca="false">F335-H335</f>
        <v>2200</v>
      </c>
    </row>
    <row r="336" customFormat="false" ht="12.8" hidden="false" customHeight="false" outlineLevel="0" collapsed="false">
      <c r="A336" s="0" t="n">
        <v>31</v>
      </c>
      <c r="B336" s="34" t="n">
        <v>38200</v>
      </c>
      <c r="C336" s="9" t="n">
        <v>168557</v>
      </c>
      <c r="D336" s="58" t="s">
        <v>41</v>
      </c>
      <c r="E336" s="33" t="n">
        <f aca="false">IF(D336="totale",(C336/(A336*24))/F336,IF(D336="marché libre",(C336/(A336*24))/G336,"spécifier histo"))</f>
        <v>0.102979594330401</v>
      </c>
      <c r="F336" s="59" t="n">
        <v>2200</v>
      </c>
      <c r="G336" s="59" t="n">
        <f aca="false">F336-H336</f>
        <v>2200</v>
      </c>
    </row>
    <row r="337" customFormat="false" ht="12.8" hidden="false" customHeight="false" outlineLevel="0" collapsed="false">
      <c r="A337" s="0" t="n">
        <v>30</v>
      </c>
      <c r="B337" s="31" t="n">
        <v>38231</v>
      </c>
      <c r="C337" s="9" t="n">
        <v>221555</v>
      </c>
      <c r="D337" s="58" t="s">
        <v>41</v>
      </c>
      <c r="E337" s="33" t="n">
        <f aca="false">IF(D337="totale",(C337/(A337*24))/F337,IF(D337="marché libre",(C337/(A337*24))/G337,"spécifier histo"))</f>
        <v>0.139870580808081</v>
      </c>
      <c r="F337" s="59" t="n">
        <v>2200</v>
      </c>
      <c r="G337" s="59" t="n">
        <f aca="false">F337-H337</f>
        <v>2200</v>
      </c>
    </row>
    <row r="338" customFormat="false" ht="12.8" hidden="false" customHeight="false" outlineLevel="0" collapsed="false">
      <c r="A338" s="0" t="n">
        <v>31</v>
      </c>
      <c r="B338" s="34" t="n">
        <v>38261</v>
      </c>
      <c r="C338" s="9" t="n">
        <v>204819</v>
      </c>
      <c r="D338" s="58" t="s">
        <v>41</v>
      </c>
      <c r="E338" s="33" t="n">
        <f aca="false">IF(D338="totale",(C338/(A338*24))/F338,IF(D338="marché libre",(C338/(A338*24))/G338,"spécifier histo"))</f>
        <v>0.125133797653959</v>
      </c>
      <c r="F338" s="59" t="n">
        <v>2200</v>
      </c>
      <c r="G338" s="59" t="n">
        <f aca="false">F338-H338</f>
        <v>2200</v>
      </c>
    </row>
    <row r="339" customFormat="false" ht="12.8" hidden="false" customHeight="false" outlineLevel="0" collapsed="false">
      <c r="A339" s="0" t="n">
        <v>30</v>
      </c>
      <c r="B339" s="31" t="n">
        <v>38292</v>
      </c>
      <c r="C339" s="9" t="n">
        <v>865897</v>
      </c>
      <c r="D339" s="58" t="s">
        <v>41</v>
      </c>
      <c r="E339" s="33" t="n">
        <f aca="false">IF(D339="totale",(C339/(A339*24))/F339,IF(D339="marché libre",(C339/(A339*24))/G339,"spécifier histo"))</f>
        <v>0.546652146464647</v>
      </c>
      <c r="F339" s="59" t="n">
        <v>2200</v>
      </c>
      <c r="G339" s="59" t="n">
        <f aca="false">F339-H339</f>
        <v>2200</v>
      </c>
    </row>
    <row r="340" customFormat="false" ht="12.8" hidden="false" customHeight="false" outlineLevel="0" collapsed="false">
      <c r="A340" s="0" t="n">
        <v>31</v>
      </c>
      <c r="B340" s="34" t="n">
        <v>38322</v>
      </c>
      <c r="C340" s="9" t="n">
        <v>882235</v>
      </c>
      <c r="D340" s="58" t="s">
        <v>41</v>
      </c>
      <c r="E340" s="33" t="n">
        <f aca="false">IF(D340="totale",(C340/(A340*24))/F340,IF(D340="marché libre",(C340/(A340*24))/G340,"spécifier histo"))</f>
        <v>0.538999877810362</v>
      </c>
      <c r="F340" s="59" t="n">
        <v>2200</v>
      </c>
      <c r="G340" s="59" t="n">
        <f aca="false">F340-H340</f>
        <v>2200</v>
      </c>
    </row>
    <row r="341" customFormat="false" ht="12.8" hidden="false" customHeight="false" outlineLevel="0" collapsed="false">
      <c r="A341" s="0" t="n">
        <v>31</v>
      </c>
      <c r="B341" s="31" t="n">
        <v>38353</v>
      </c>
      <c r="C341" s="9" t="n">
        <v>777434</v>
      </c>
      <c r="D341" s="58" t="s">
        <v>41</v>
      </c>
      <c r="E341" s="33" t="n">
        <f aca="false">IF(D341="totale",(C341/(A341*24))/F341,IF(D341="marché libre",(C341/(A341*24))/G341,"spécifier histo"))</f>
        <v>0.474971896383187</v>
      </c>
      <c r="F341" s="59" t="n">
        <v>2200</v>
      </c>
      <c r="G341" s="59" t="n">
        <f aca="false">F341-H341</f>
        <v>2200</v>
      </c>
    </row>
    <row r="342" customFormat="false" ht="12.8" hidden="false" customHeight="false" outlineLevel="0" collapsed="false">
      <c r="A342" s="0" t="n">
        <v>28</v>
      </c>
      <c r="B342" s="34" t="n">
        <v>38384</v>
      </c>
      <c r="C342" s="9" t="n">
        <v>1132082</v>
      </c>
      <c r="D342" s="58" t="s">
        <v>41</v>
      </c>
      <c r="E342" s="33" t="n">
        <f aca="false">IF(D342="totale",(C342/(A342*24))/F342,IF(D342="marché libre",(C342/(A342*24))/G342,"spécifier histo"))</f>
        <v>0.765748106060606</v>
      </c>
      <c r="F342" s="59" t="n">
        <v>2200</v>
      </c>
      <c r="G342" s="59" t="n">
        <f aca="false">F342-H342</f>
        <v>2200</v>
      </c>
    </row>
    <row r="343" customFormat="false" ht="12.8" hidden="false" customHeight="false" outlineLevel="0" collapsed="false">
      <c r="A343" s="0" t="n">
        <v>31</v>
      </c>
      <c r="B343" s="31" t="n">
        <v>38412</v>
      </c>
      <c r="C343" s="9" t="n">
        <v>501686</v>
      </c>
      <c r="D343" s="58" t="s">
        <v>41</v>
      </c>
      <c r="E343" s="33" t="n">
        <f aca="false">IF(D343="totale",(C343/(A343*24))/F343,IF(D343="marché libre",(C343/(A343*24))/G343,"spécifier histo"))</f>
        <v>0.306504154447703</v>
      </c>
      <c r="F343" s="59" t="n">
        <v>2200</v>
      </c>
      <c r="G343" s="59" t="n">
        <f aca="false">F343-H343</f>
        <v>2200</v>
      </c>
    </row>
    <row r="344" customFormat="false" ht="12.8" hidden="false" customHeight="false" outlineLevel="0" collapsed="false">
      <c r="A344" s="0" t="n">
        <v>30</v>
      </c>
      <c r="B344" s="34" t="n">
        <v>38443</v>
      </c>
      <c r="C344" s="9" t="n">
        <v>814493</v>
      </c>
      <c r="D344" s="58" t="s">
        <v>41</v>
      </c>
      <c r="E344" s="33" t="n">
        <f aca="false">IF(D344="totale",(C344/(A344*24))/F344,IF(D344="marché libre",(C344/(A344*24))/G344,"spécifier histo"))</f>
        <v>0.514200126262626</v>
      </c>
      <c r="F344" s="59" t="n">
        <v>2200</v>
      </c>
      <c r="G344" s="59" t="n">
        <f aca="false">F344-H344</f>
        <v>2200</v>
      </c>
    </row>
    <row r="345" customFormat="false" ht="12.8" hidden="false" customHeight="false" outlineLevel="0" collapsed="false">
      <c r="A345" s="0" t="n">
        <v>31</v>
      </c>
      <c r="B345" s="31" t="n">
        <v>38473</v>
      </c>
      <c r="C345" s="9" t="n">
        <v>643944</v>
      </c>
      <c r="D345" s="58" t="s">
        <v>41</v>
      </c>
      <c r="E345" s="33" t="n">
        <f aca="false">IF(D345="totale",(C345/(A345*24))/F345,IF(D345="marché libre",(C345/(A345*24))/G345,"spécifier histo"))</f>
        <v>0.39341642228739</v>
      </c>
      <c r="F345" s="59" t="n">
        <v>2200</v>
      </c>
      <c r="G345" s="59" t="n">
        <f aca="false">F345-H345</f>
        <v>2200</v>
      </c>
    </row>
    <row r="346" customFormat="false" ht="12.8" hidden="false" customHeight="false" outlineLevel="0" collapsed="false">
      <c r="A346" s="0" t="n">
        <v>30</v>
      </c>
      <c r="B346" s="34" t="n">
        <v>38504</v>
      </c>
      <c r="C346" s="9" t="n">
        <v>181707</v>
      </c>
      <c r="D346" s="58" t="s">
        <v>41</v>
      </c>
      <c r="E346" s="33" t="n">
        <f aca="false">IF(D346="totale",(C346/(A346*24))/F346,IF(D346="marché libre",(C346/(A346*24))/G346,"spécifier histo"))</f>
        <v>0.114714015151515</v>
      </c>
      <c r="F346" s="59" t="n">
        <v>2200</v>
      </c>
      <c r="G346" s="59" t="n">
        <f aca="false">F346-H346</f>
        <v>2200</v>
      </c>
    </row>
    <row r="347" customFormat="false" ht="12.8" hidden="false" customHeight="false" outlineLevel="0" collapsed="false">
      <c r="A347" s="0" t="n">
        <v>31</v>
      </c>
      <c r="B347" s="31" t="n">
        <v>38534</v>
      </c>
      <c r="C347" s="9" t="n">
        <v>152219</v>
      </c>
      <c r="D347" s="58" t="s">
        <v>41</v>
      </c>
      <c r="E347" s="33" t="n">
        <f aca="false">IF(D347="totale",(C347/(A347*24))/F347,IF(D347="marché libre",(C347/(A347*24))/G347,"spécifier histo"))</f>
        <v>0.0929979227761486</v>
      </c>
      <c r="F347" s="59" t="n">
        <v>2200</v>
      </c>
      <c r="G347" s="59" t="n">
        <f aca="false">F347-H347</f>
        <v>2200</v>
      </c>
    </row>
    <row r="348" customFormat="false" ht="12.8" hidden="false" customHeight="false" outlineLevel="0" collapsed="false">
      <c r="A348" s="0" t="n">
        <v>31</v>
      </c>
      <c r="B348" s="34" t="n">
        <v>38565</v>
      </c>
      <c r="C348" s="9" t="n">
        <v>0</v>
      </c>
      <c r="D348" s="58" t="s">
        <v>41</v>
      </c>
      <c r="E348" s="33" t="n">
        <f aca="false">IF(D348="totale",(C348/(A348*24))/F348,IF(D348="marché libre",(C348/(A348*24))/G348,"spécifier histo"))</f>
        <v>0</v>
      </c>
      <c r="F348" s="59" t="n">
        <v>2200</v>
      </c>
      <c r="G348" s="59" t="n">
        <f aca="false">F348-H348</f>
        <v>2200</v>
      </c>
    </row>
    <row r="349" customFormat="false" ht="12.8" hidden="false" customHeight="false" outlineLevel="0" collapsed="false">
      <c r="A349" s="0" t="n">
        <v>30</v>
      </c>
      <c r="B349" s="31" t="n">
        <v>38596</v>
      </c>
      <c r="C349" s="9" t="n">
        <v>182902</v>
      </c>
      <c r="D349" s="58" t="s">
        <v>41</v>
      </c>
      <c r="E349" s="33" t="n">
        <f aca="false">IF(D349="totale",(C349/(A349*24))/F349,IF(D349="marché libre",(C349/(A349*24))/G349,"spécifier histo"))</f>
        <v>0.115468434343434</v>
      </c>
      <c r="F349" s="59" t="n">
        <v>2200</v>
      </c>
      <c r="G349" s="59" t="n">
        <f aca="false">F349-H349</f>
        <v>2200</v>
      </c>
    </row>
    <row r="350" customFormat="false" ht="12.8" hidden="false" customHeight="false" outlineLevel="0" collapsed="false">
      <c r="A350" s="0" t="n">
        <v>31</v>
      </c>
      <c r="B350" s="34" t="n">
        <v>38626</v>
      </c>
      <c r="C350" s="9" t="n">
        <v>208405</v>
      </c>
      <c r="D350" s="58" t="s">
        <v>41</v>
      </c>
      <c r="E350" s="33" t="n">
        <f aca="false">IF(D350="totale",(C350/(A350*24))/F350,IF(D350="marché libre",(C350/(A350*24))/G350,"spécifier histo"))</f>
        <v>0.127324657869013</v>
      </c>
      <c r="F350" s="59" t="n">
        <v>2200</v>
      </c>
      <c r="G350" s="59" t="n">
        <f aca="false">F350-H350</f>
        <v>2200</v>
      </c>
    </row>
    <row r="351" customFormat="false" ht="12.8" hidden="false" customHeight="false" outlineLevel="0" collapsed="false">
      <c r="A351" s="0" t="n">
        <v>30</v>
      </c>
      <c r="B351" s="31" t="n">
        <v>38657</v>
      </c>
      <c r="C351" s="9" t="n">
        <v>622824</v>
      </c>
      <c r="D351" s="58" t="s">
        <v>41</v>
      </c>
      <c r="E351" s="33" t="n">
        <f aca="false">IF(D351="totale",(C351/(A351*24))/F351,IF(D351="marché libre",(C351/(A351*24))/G351,"spécifier histo"))</f>
        <v>0.39319696969697</v>
      </c>
      <c r="F351" s="59" t="n">
        <v>2200</v>
      </c>
      <c r="G351" s="59" t="n">
        <f aca="false">F351-H351</f>
        <v>2200</v>
      </c>
    </row>
    <row r="352" customFormat="false" ht="12.8" hidden="false" customHeight="false" outlineLevel="0" collapsed="false">
      <c r="A352" s="0" t="n">
        <v>31</v>
      </c>
      <c r="B352" s="34" t="n">
        <v>38687</v>
      </c>
      <c r="C352" s="9" t="n">
        <v>1064739</v>
      </c>
      <c r="D352" s="58" t="s">
        <v>41</v>
      </c>
      <c r="E352" s="33" t="n">
        <f aca="false">IF(D352="totale",(C352/(A352*24))/F352,IF(D352="marché libre",(C352/(A352*24))/G352,"spécifier histo"))</f>
        <v>0.650500366568915</v>
      </c>
      <c r="F352" s="59" t="n">
        <v>2200</v>
      </c>
      <c r="G352" s="59" t="n">
        <f aca="false">F352-H352</f>
        <v>2200</v>
      </c>
    </row>
    <row r="353" customFormat="false" ht="12.8" hidden="false" customHeight="false" outlineLevel="0" collapsed="false">
      <c r="A353" s="0" t="n">
        <v>31</v>
      </c>
      <c r="B353" s="31" t="n">
        <v>38718</v>
      </c>
      <c r="C353" s="9" t="n">
        <v>991817</v>
      </c>
      <c r="D353" s="58" t="s">
        <v>41</v>
      </c>
      <c r="E353" s="33" t="n">
        <f aca="false">IF(D353="totale",(C353/(A353*24))/F353,IF(D353="marché libre",(C353/(A353*24))/G353,"spécifier histo"))</f>
        <v>0.605948802541545</v>
      </c>
      <c r="F353" s="59" t="n">
        <v>2200</v>
      </c>
      <c r="G353" s="59" t="n">
        <f aca="false">F353-H353</f>
        <v>2200</v>
      </c>
    </row>
    <row r="354" customFormat="false" ht="12.8" hidden="false" customHeight="false" outlineLevel="0" collapsed="false">
      <c r="A354" s="0" t="n">
        <v>28</v>
      </c>
      <c r="B354" s="34" t="n">
        <v>38749</v>
      </c>
      <c r="C354" s="9" t="n">
        <v>1149615</v>
      </c>
      <c r="D354" s="58" t="s">
        <v>41</v>
      </c>
      <c r="E354" s="33" t="n">
        <f aca="false">IF(D354="totale",(C354/(A354*24))/F354,IF(D354="marché libre",(C354/(A354*24))/G354,"spécifier histo"))</f>
        <v>0.777607548701299</v>
      </c>
      <c r="F354" s="59" t="n">
        <v>2200</v>
      </c>
      <c r="G354" s="59" t="n">
        <f aca="false">F354-H354</f>
        <v>2200</v>
      </c>
    </row>
    <row r="355" customFormat="false" ht="12.8" hidden="false" customHeight="false" outlineLevel="0" collapsed="false">
      <c r="A355" s="0" t="n">
        <v>31</v>
      </c>
      <c r="B355" s="31" t="n">
        <v>38777</v>
      </c>
      <c r="C355" s="9" t="n">
        <v>1345268</v>
      </c>
      <c r="D355" s="58" t="s">
        <v>41</v>
      </c>
      <c r="E355" s="33" t="n">
        <f aca="false">IF(D355="totale",(C355/(A355*24))/F355,IF(D355="marché libre",(C355/(A355*24))/G355,"spécifier histo"))</f>
        <v>0.821889051808407</v>
      </c>
      <c r="F355" s="59" t="n">
        <v>2200</v>
      </c>
      <c r="G355" s="59" t="n">
        <f aca="false">F355-H355</f>
        <v>2200</v>
      </c>
    </row>
    <row r="356" customFormat="false" ht="12.8" hidden="false" customHeight="false" outlineLevel="0" collapsed="false">
      <c r="A356" s="0" t="n">
        <v>30</v>
      </c>
      <c r="B356" s="34" t="n">
        <v>38808</v>
      </c>
      <c r="C356" s="9" t="n">
        <v>1159975</v>
      </c>
      <c r="D356" s="58" t="s">
        <v>41</v>
      </c>
      <c r="E356" s="33" t="n">
        <f aca="false">IF(D356="totale",(C356/(A356*24))/F356,IF(D356="marché libre",(C356/(A356*24))/G356,"spécifier histo"))</f>
        <v>0.73230744949495</v>
      </c>
      <c r="F356" s="59" t="n">
        <v>2200</v>
      </c>
      <c r="G356" s="59" t="n">
        <f aca="false">F356-H356</f>
        <v>2200</v>
      </c>
    </row>
    <row r="357" customFormat="false" ht="12.8" hidden="false" customHeight="false" outlineLevel="0" collapsed="false">
      <c r="A357" s="0" t="n">
        <v>31</v>
      </c>
      <c r="B357" s="31" t="n">
        <v>38838</v>
      </c>
      <c r="C357" s="9" t="n">
        <v>416412</v>
      </c>
      <c r="D357" s="58" t="s">
        <v>41</v>
      </c>
      <c r="E357" s="33" t="n">
        <f aca="false">IF(D357="totale",(C357/(A357*24))/F357,IF(D357="marché libre",(C357/(A357*24))/G357,"spécifier histo"))</f>
        <v>0.254406158357771</v>
      </c>
      <c r="F357" s="59" t="n">
        <v>2200</v>
      </c>
      <c r="G357" s="59" t="n">
        <f aca="false">F357-H357</f>
        <v>2200</v>
      </c>
    </row>
    <row r="358" customFormat="false" ht="12.8" hidden="false" customHeight="false" outlineLevel="0" collapsed="false">
      <c r="A358" s="0" t="n">
        <v>30</v>
      </c>
      <c r="B358" s="34" t="n">
        <v>38869</v>
      </c>
      <c r="C358" s="9" t="n">
        <v>49013</v>
      </c>
      <c r="D358" s="58" t="s">
        <v>41</v>
      </c>
      <c r="E358" s="33" t="n">
        <f aca="false">IF(D358="totale",(C358/(A358*24))/F358,IF(D358="marché libre",(C358/(A358*24))/G358,"spécifier histo"))</f>
        <v>0.0309425505050505</v>
      </c>
      <c r="F358" s="59" t="n">
        <v>2200</v>
      </c>
      <c r="G358" s="59" t="n">
        <f aca="false">F358-H358</f>
        <v>2200</v>
      </c>
    </row>
    <row r="359" customFormat="false" ht="12.8" hidden="false" customHeight="false" outlineLevel="0" collapsed="false">
      <c r="A359" s="0" t="n">
        <v>31</v>
      </c>
      <c r="B359" s="31" t="n">
        <v>38899</v>
      </c>
      <c r="C359" s="9" t="n">
        <v>5977</v>
      </c>
      <c r="D359" s="58" t="s">
        <v>41</v>
      </c>
      <c r="E359" s="33" t="n">
        <f aca="false">IF(D359="totale",(C359/(A359*24))/F359,IF(D359="marché libre",(C359/(A359*24))/G359,"spécifier histo"))</f>
        <v>0.00365163734115347</v>
      </c>
      <c r="F359" s="59" t="n">
        <v>2200</v>
      </c>
      <c r="G359" s="59" t="n">
        <f aca="false">F359-H359</f>
        <v>2200</v>
      </c>
    </row>
    <row r="360" customFormat="false" ht="12.8" hidden="false" customHeight="false" outlineLevel="0" collapsed="false">
      <c r="A360" s="0" t="n">
        <v>31</v>
      </c>
      <c r="B360" s="34" t="n">
        <v>38930</v>
      </c>
      <c r="C360" s="9" t="n">
        <v>17135</v>
      </c>
      <c r="D360" s="58" t="s">
        <v>41</v>
      </c>
      <c r="E360" s="33" t="n">
        <f aca="false">IF(D360="totale",(C360/(A360*24))/F360,IF(D360="marché libre",(C360/(A360*24))/G360,"spécifier histo"))</f>
        <v>0.0104685972629521</v>
      </c>
      <c r="F360" s="59" t="n">
        <v>2200</v>
      </c>
      <c r="G360" s="59" t="n">
        <f aca="false">F360-H360</f>
        <v>2200</v>
      </c>
    </row>
    <row r="361" customFormat="false" ht="12.8" hidden="false" customHeight="false" outlineLevel="0" collapsed="false">
      <c r="A361" s="0" t="n">
        <v>30</v>
      </c>
      <c r="B361" s="31" t="n">
        <v>38961</v>
      </c>
      <c r="C361" s="9" t="n">
        <v>127514</v>
      </c>
      <c r="D361" s="58" t="s">
        <v>41</v>
      </c>
      <c r="E361" s="33" t="n">
        <f aca="false">IF(D361="totale",(C361/(A361*24))/F361,IF(D361="marché libre",(C361/(A361*24))/G361,"spécifier histo"))</f>
        <v>0.0805012626262626</v>
      </c>
      <c r="F361" s="59" t="n">
        <v>2200</v>
      </c>
      <c r="G361" s="59" t="n">
        <f aca="false">F361-H361</f>
        <v>2200</v>
      </c>
    </row>
    <row r="362" customFormat="false" ht="12.8" hidden="false" customHeight="false" outlineLevel="0" collapsed="false">
      <c r="A362" s="0" t="n">
        <v>31</v>
      </c>
      <c r="B362" s="34" t="n">
        <v>38991</v>
      </c>
      <c r="C362" s="9" t="n">
        <v>407645</v>
      </c>
      <c r="D362" s="58" t="s">
        <v>41</v>
      </c>
      <c r="E362" s="33" t="n">
        <f aca="false">IF(D362="totale",(C362/(A362*24))/F362,IF(D362="marché libre",(C362/(A362*24))/G362,"spécifier histo"))</f>
        <v>0.249049975562072</v>
      </c>
      <c r="F362" s="59" t="n">
        <v>2200</v>
      </c>
      <c r="G362" s="59" t="n">
        <f aca="false">F362-H362</f>
        <v>2200</v>
      </c>
    </row>
    <row r="363" customFormat="false" ht="12.8" hidden="false" customHeight="false" outlineLevel="0" collapsed="false">
      <c r="A363" s="0" t="n">
        <v>30</v>
      </c>
      <c r="B363" s="31" t="n">
        <v>39022</v>
      </c>
      <c r="C363" s="9" t="n">
        <v>519618</v>
      </c>
      <c r="D363" s="58" t="s">
        <v>41</v>
      </c>
      <c r="E363" s="33" t="n">
        <f aca="false">IF(D363="totale",(C363/(A363*24))/F363,IF(D363="marché libre",(C363/(A363*24))/G363,"spécifier histo"))</f>
        <v>0.328041666666667</v>
      </c>
      <c r="F363" s="59" t="n">
        <v>2200</v>
      </c>
      <c r="G363" s="59" t="n">
        <f aca="false">F363-H363</f>
        <v>2200</v>
      </c>
    </row>
    <row r="364" customFormat="false" ht="12.8" hidden="false" customHeight="false" outlineLevel="0" collapsed="false">
      <c r="A364" s="0" t="n">
        <v>31</v>
      </c>
      <c r="B364" s="34" t="n">
        <v>39052</v>
      </c>
      <c r="C364" s="9" t="n">
        <v>828440</v>
      </c>
      <c r="D364" s="58" t="s">
        <v>41</v>
      </c>
      <c r="E364" s="33" t="n">
        <f aca="false">IF(D364="totale",(C364/(A364*24))/F364,IF(D364="marché libre",(C364/(A364*24))/G364,"spécifier histo"))</f>
        <v>0.506133919843597</v>
      </c>
      <c r="F364" s="59" t="n">
        <v>2200</v>
      </c>
      <c r="G364" s="59" t="n">
        <f aca="false">F364-H364</f>
        <v>2200</v>
      </c>
    </row>
    <row r="365" customFormat="false" ht="12.8" hidden="false" customHeight="false" outlineLevel="0" collapsed="false">
      <c r="A365" s="0" t="n">
        <v>31</v>
      </c>
      <c r="B365" s="31" t="n">
        <v>39083</v>
      </c>
      <c r="C365" s="9" t="n">
        <v>835613</v>
      </c>
      <c r="D365" s="58" t="s">
        <v>41</v>
      </c>
      <c r="E365" s="33" t="n">
        <f aca="false">IF(D365="totale",(C365/(A365*24))/F365,IF(D365="marché libre",(C365/(A365*24))/G365,"spécifier histo"))</f>
        <v>0.510516251221896</v>
      </c>
      <c r="F365" s="59" t="n">
        <v>2200</v>
      </c>
      <c r="G365" s="59" t="n">
        <f aca="false">F365-H365</f>
        <v>2200</v>
      </c>
    </row>
    <row r="366" customFormat="false" ht="12.8" hidden="false" customHeight="false" outlineLevel="0" collapsed="false">
      <c r="A366" s="0" t="n">
        <v>28</v>
      </c>
      <c r="B366" s="34" t="n">
        <v>39114</v>
      </c>
      <c r="C366" s="9" t="n">
        <v>1159975</v>
      </c>
      <c r="D366" s="58" t="s">
        <v>41</v>
      </c>
      <c r="E366" s="33" t="n">
        <f aca="false">IF(D366="totale",(C366/(A366*24))/F366,IF(D366="marché libre",(C366/(A366*24))/G366,"spécifier histo"))</f>
        <v>0.784615124458875</v>
      </c>
      <c r="F366" s="59" t="n">
        <v>2200</v>
      </c>
      <c r="G366" s="59" t="n">
        <f aca="false">F366-H366</f>
        <v>2200</v>
      </c>
    </row>
    <row r="367" customFormat="false" ht="12.8" hidden="false" customHeight="false" outlineLevel="0" collapsed="false">
      <c r="A367" s="0" t="n">
        <v>31</v>
      </c>
      <c r="B367" s="31" t="n">
        <v>39142</v>
      </c>
      <c r="C367" s="9" t="n">
        <v>1391891</v>
      </c>
      <c r="D367" s="58" t="s">
        <v>41</v>
      </c>
      <c r="E367" s="33" t="n">
        <f aca="false">IF(D367="totale",(C367/(A367*24))/F367,IF(D367="marché libre",(C367/(A367*24))/G367,"spécifier histo"))</f>
        <v>0.850373289345063</v>
      </c>
      <c r="F367" s="59" t="n">
        <v>2200</v>
      </c>
      <c r="G367" s="59" t="n">
        <f aca="false">F367-H367</f>
        <v>2200</v>
      </c>
    </row>
    <row r="368" customFormat="false" ht="12.8" hidden="false" customHeight="false" outlineLevel="0" collapsed="false">
      <c r="A368" s="0" t="n">
        <v>30</v>
      </c>
      <c r="B368" s="34" t="n">
        <v>39173</v>
      </c>
      <c r="C368" s="9" t="n">
        <v>599712</v>
      </c>
      <c r="D368" s="58" t="s">
        <v>41</v>
      </c>
      <c r="E368" s="33" t="n">
        <f aca="false">IF(D368="totale",(C368/(A368*24))/F368,IF(D368="marché libre",(C368/(A368*24))/G368,"spécifier histo"))</f>
        <v>0.378606060606061</v>
      </c>
      <c r="F368" s="59" t="n">
        <v>2200</v>
      </c>
      <c r="G368" s="59" t="n">
        <f aca="false">F368-H368</f>
        <v>2200</v>
      </c>
    </row>
    <row r="369" customFormat="false" ht="12.8" hidden="false" customHeight="false" outlineLevel="0" collapsed="false">
      <c r="A369" s="0" t="n">
        <v>31</v>
      </c>
      <c r="B369" s="31" t="n">
        <v>39203</v>
      </c>
      <c r="C369" s="9" t="n">
        <v>492123</v>
      </c>
      <c r="D369" s="58" t="s">
        <v>41</v>
      </c>
      <c r="E369" s="33" t="n">
        <f aca="false">IF(D369="totale",(C369/(A369*24))/F369,IF(D369="marché libre",(C369/(A369*24))/G369,"spécifier histo"))</f>
        <v>0.300661656891496</v>
      </c>
      <c r="F369" s="59" t="n">
        <v>2200</v>
      </c>
      <c r="G369" s="59" t="n">
        <f aca="false">F369-H369</f>
        <v>2200</v>
      </c>
    </row>
    <row r="370" customFormat="false" ht="12.8" hidden="false" customHeight="false" outlineLevel="0" collapsed="false">
      <c r="A370" s="0" t="n">
        <v>30</v>
      </c>
      <c r="B370" s="34" t="n">
        <v>39234</v>
      </c>
      <c r="C370" s="9" t="n">
        <v>730414</v>
      </c>
      <c r="D370" s="58" t="s">
        <v>41</v>
      </c>
      <c r="E370" s="33" t="n">
        <f aca="false">IF(D370="totale",(C370/(A370*24))/F370,IF(D370="marché libre",(C370/(A370*24))/G370,"spécifier histo"))</f>
        <v>0.46111994949495</v>
      </c>
      <c r="F370" s="59" t="n">
        <v>2200</v>
      </c>
      <c r="G370" s="59" t="n">
        <f aca="false">F370-H370</f>
        <v>2200</v>
      </c>
    </row>
    <row r="371" customFormat="false" ht="12.8" hidden="false" customHeight="false" outlineLevel="0" collapsed="false">
      <c r="A371" s="0" t="n">
        <v>31</v>
      </c>
      <c r="B371" s="31" t="n">
        <v>39264</v>
      </c>
      <c r="C371" s="9" t="n">
        <v>437930</v>
      </c>
      <c r="D371" s="58" t="s">
        <v>41</v>
      </c>
      <c r="E371" s="33" t="n">
        <f aca="false">IF(D371="totale",(C371/(A371*24))/F371,IF(D371="marché libre",(C371/(A371*24))/G371,"spécifier histo"))</f>
        <v>0.267552541544477</v>
      </c>
      <c r="F371" s="59" t="n">
        <v>2200</v>
      </c>
      <c r="G371" s="59" t="n">
        <f aca="false">F371-H371</f>
        <v>2200</v>
      </c>
    </row>
    <row r="372" customFormat="false" ht="12.8" hidden="false" customHeight="false" outlineLevel="0" collapsed="false">
      <c r="A372" s="0" t="n">
        <v>31</v>
      </c>
      <c r="B372" s="34" t="n">
        <v>39295</v>
      </c>
      <c r="C372" s="9" t="n">
        <v>378954</v>
      </c>
      <c r="D372" s="58" t="s">
        <v>41</v>
      </c>
      <c r="E372" s="33" t="n">
        <f aca="false">IF(D372="totale",(C372/(A372*24))/F372,IF(D372="marché libre",(C372/(A372*24))/G372,"spécifier histo"))</f>
        <v>0.231521260997067</v>
      </c>
      <c r="F372" s="59" t="n">
        <v>2200</v>
      </c>
      <c r="G372" s="59" t="n">
        <f aca="false">F372-H372</f>
        <v>2200</v>
      </c>
    </row>
    <row r="373" customFormat="false" ht="12.8" hidden="false" customHeight="false" outlineLevel="0" collapsed="false">
      <c r="A373" s="0" t="n">
        <v>30</v>
      </c>
      <c r="B373" s="31" t="n">
        <v>39326</v>
      </c>
      <c r="C373" s="9" t="n">
        <v>160986</v>
      </c>
      <c r="D373" s="58" t="s">
        <v>41</v>
      </c>
      <c r="E373" s="33" t="n">
        <f aca="false">IF(D373="totale",(C373/(A373*24))/F373,IF(D373="marché libre",(C373/(A373*24))/G373,"spécifier histo"))</f>
        <v>0.101632575757576</v>
      </c>
      <c r="F373" s="59" t="n">
        <v>2200</v>
      </c>
      <c r="G373" s="59" t="n">
        <f aca="false">F373-H373</f>
        <v>2200</v>
      </c>
    </row>
    <row r="374" customFormat="false" ht="12.8" hidden="false" customHeight="false" outlineLevel="0" collapsed="false">
      <c r="A374" s="0" t="n">
        <v>31</v>
      </c>
      <c r="B374" s="34" t="n">
        <v>39356</v>
      </c>
      <c r="C374" s="9" t="n">
        <v>239088</v>
      </c>
      <c r="D374" s="58" t="s">
        <v>41</v>
      </c>
      <c r="E374" s="33" t="n">
        <f aca="false">IF(D374="totale",(C374/(A374*24))/F374,IF(D374="marché libre",(C374/(A374*24))/G374,"spécifier histo"))</f>
        <v>0.146070381231672</v>
      </c>
      <c r="F374" s="59" t="n">
        <v>2200</v>
      </c>
      <c r="G374" s="59" t="n">
        <f aca="false">F374-H374</f>
        <v>2200</v>
      </c>
    </row>
    <row r="375" customFormat="false" ht="12.8" hidden="false" customHeight="false" outlineLevel="0" collapsed="false">
      <c r="A375" s="0" t="n">
        <v>30</v>
      </c>
      <c r="B375" s="31" t="n">
        <v>39387</v>
      </c>
      <c r="C375" s="9" t="n">
        <v>126318</v>
      </c>
      <c r="D375" s="58" t="s">
        <v>41</v>
      </c>
      <c r="E375" s="33" t="n">
        <f aca="false">IF(D375="totale",(C375/(A375*24))/F375,IF(D375="marché libre",(C375/(A375*24))/G375,"spécifier histo"))</f>
        <v>0.0797462121212121</v>
      </c>
      <c r="F375" s="59" t="n">
        <v>2200</v>
      </c>
      <c r="G375" s="59" t="n">
        <f aca="false">F375-H375</f>
        <v>2200</v>
      </c>
    </row>
    <row r="376" customFormat="false" ht="12.8" hidden="false" customHeight="false" outlineLevel="0" collapsed="false">
      <c r="A376" s="0" t="n">
        <v>31</v>
      </c>
      <c r="B376" s="34" t="n">
        <v>39417</v>
      </c>
      <c r="C376" s="9" t="n">
        <v>690964</v>
      </c>
      <c r="D376" s="58" t="s">
        <v>41</v>
      </c>
      <c r="E376" s="33" t="n">
        <f aca="false">IF(D376="totale",(C376/(A376*24))/F376,IF(D376="marché libre",(C376/(A376*24))/G376,"spécifier histo"))</f>
        <v>0.42214320625611</v>
      </c>
      <c r="F376" s="59" t="n">
        <v>2200</v>
      </c>
      <c r="G376" s="59" t="n">
        <f aca="false">F376-H376</f>
        <v>2200</v>
      </c>
    </row>
    <row r="377" customFormat="false" ht="12.8" hidden="false" customHeight="false" outlineLevel="0" collapsed="false">
      <c r="A377" s="0" t="n">
        <v>31</v>
      </c>
      <c r="B377" s="31" t="n">
        <v>39448</v>
      </c>
      <c r="C377" s="9" t="n">
        <v>1259595</v>
      </c>
      <c r="D377" s="58" t="s">
        <v>41</v>
      </c>
      <c r="E377" s="33" t="n">
        <f aca="false">IF(D377="totale",(C377/(A377*24))/F377,IF(D377="marché libre",(C377/(A377*24))/G377,"spécifier histo"))</f>
        <v>0.769547287390029</v>
      </c>
      <c r="F377" s="59" t="n">
        <v>2200</v>
      </c>
      <c r="G377" s="59" t="n">
        <f aca="false">F377-H377</f>
        <v>2200</v>
      </c>
    </row>
    <row r="378" customFormat="false" ht="12.8" hidden="false" customHeight="false" outlineLevel="0" collapsed="false">
      <c r="A378" s="0" t="n">
        <v>28</v>
      </c>
      <c r="B378" s="34" t="n">
        <v>39479</v>
      </c>
      <c r="C378" s="9" t="n">
        <v>990105</v>
      </c>
      <c r="D378" s="58" t="s">
        <v>41</v>
      </c>
      <c r="E378" s="33" t="n">
        <f aca="false">IF(D378="totale",(C378/(A378*24))/F378,IF(D378="marché libre",(C378/(A378*24))/G378,"spécifier histo"))</f>
        <v>0.66971387987013</v>
      </c>
      <c r="F378" s="59" t="n">
        <v>2200</v>
      </c>
      <c r="G378" s="59" t="n">
        <f aca="false">F378-H378</f>
        <v>2200</v>
      </c>
    </row>
    <row r="379" customFormat="false" ht="12.8" hidden="false" customHeight="false" outlineLevel="0" collapsed="false">
      <c r="A379" s="0" t="n">
        <v>31</v>
      </c>
      <c r="B379" s="31" t="n">
        <v>39508</v>
      </c>
      <c r="C379" s="9" t="n">
        <v>1258547</v>
      </c>
      <c r="D379" s="58" t="s">
        <v>41</v>
      </c>
      <c r="E379" s="33" t="n">
        <f aca="false">IF(D379="totale",(C379/(A379*24))/F379,IF(D379="marché libre",(C379/(A379*24))/G379,"spécifier histo"))</f>
        <v>0.768907013685239</v>
      </c>
      <c r="F379" s="59" t="n">
        <v>2200</v>
      </c>
      <c r="G379" s="59" t="n">
        <f aca="false">F379-H379</f>
        <v>2200</v>
      </c>
    </row>
    <row r="380" customFormat="false" ht="12.8" hidden="false" customHeight="false" outlineLevel="0" collapsed="false">
      <c r="A380" s="0" t="n">
        <v>30</v>
      </c>
      <c r="B380" s="34" t="n">
        <v>39539</v>
      </c>
      <c r="C380" s="9" t="n">
        <v>1343537</v>
      </c>
      <c r="D380" s="58" t="s">
        <v>41</v>
      </c>
      <c r="E380" s="33" t="n">
        <f aca="false">IF(D380="totale",(C380/(A380*24))/F380,IF(D380="marché libre",(C380/(A380*24))/G380,"spécifier histo"))</f>
        <v>0.848192550505051</v>
      </c>
      <c r="F380" s="59" t="n">
        <v>2200</v>
      </c>
      <c r="G380" s="59" t="n">
        <f aca="false">F380-H380</f>
        <v>2200</v>
      </c>
    </row>
    <row r="381" customFormat="false" ht="12.8" hidden="false" customHeight="false" outlineLevel="0" collapsed="false">
      <c r="A381" s="0" t="n">
        <v>31</v>
      </c>
      <c r="B381" s="31" t="n">
        <v>39569</v>
      </c>
      <c r="C381" s="9" t="n">
        <v>1280376</v>
      </c>
      <c r="D381" s="58" t="s">
        <v>41</v>
      </c>
      <c r="E381" s="33" t="n">
        <f aca="false">IF(D381="totale",(C381/(A381*24))/F381,IF(D381="marché libre",(C381/(A381*24))/G381,"spécifier histo"))</f>
        <v>0.782243401759531</v>
      </c>
      <c r="F381" s="59" t="n">
        <v>2200</v>
      </c>
      <c r="G381" s="59" t="n">
        <f aca="false">F381-H381</f>
        <v>2200</v>
      </c>
    </row>
    <row r="382" customFormat="false" ht="12.8" hidden="false" customHeight="false" outlineLevel="0" collapsed="false">
      <c r="A382" s="0" t="n">
        <v>30</v>
      </c>
      <c r="B382" s="34" t="n">
        <v>39600</v>
      </c>
      <c r="C382" s="9" t="n">
        <v>1019380</v>
      </c>
      <c r="D382" s="58" t="s">
        <v>41</v>
      </c>
      <c r="E382" s="33" t="n">
        <f aca="false">IF(D382="totale",(C382/(A382*24))/F382,IF(D382="marché libre",(C382/(A382*24))/G382,"spécifier histo"))</f>
        <v>0.64354797979798</v>
      </c>
      <c r="F382" s="59" t="n">
        <v>2200</v>
      </c>
      <c r="G382" s="59" t="n">
        <f aca="false">F382-H382</f>
        <v>2200</v>
      </c>
    </row>
    <row r="383" customFormat="false" ht="12.8" hidden="false" customHeight="false" outlineLevel="0" collapsed="false">
      <c r="A383" s="0" t="n">
        <v>31</v>
      </c>
      <c r="B383" s="31" t="n">
        <v>39630</v>
      </c>
      <c r="C383" s="9" t="n">
        <v>395049</v>
      </c>
      <c r="D383" s="58" t="s">
        <v>41</v>
      </c>
      <c r="E383" s="33" t="n">
        <f aca="false">IF(D383="totale",(C383/(A383*24))/F383,IF(D383="marché libre",(C383/(A383*24))/G383,"spécifier histo"))</f>
        <v>0.241354472140762</v>
      </c>
      <c r="F383" s="59" t="n">
        <v>2200</v>
      </c>
      <c r="G383" s="59" t="n">
        <f aca="false">F383-H383</f>
        <v>2200</v>
      </c>
    </row>
    <row r="384" customFormat="false" ht="12.8" hidden="false" customHeight="false" outlineLevel="0" collapsed="false">
      <c r="A384" s="0" t="n">
        <v>31</v>
      </c>
      <c r="B384" s="34" t="n">
        <v>39661</v>
      </c>
      <c r="C384" s="9" t="n">
        <v>145734</v>
      </c>
      <c r="D384" s="58" t="s">
        <v>41</v>
      </c>
      <c r="E384" s="33" t="n">
        <f aca="false">IF(D384="totale",(C384/(A384*24))/F384,IF(D384="marché libre",(C384/(A384*24))/G384,"spécifier histo"))</f>
        <v>0.0890359237536657</v>
      </c>
      <c r="F384" s="59" t="n">
        <v>2200</v>
      </c>
      <c r="G384" s="59" t="n">
        <f aca="false">F384-H384</f>
        <v>2200</v>
      </c>
    </row>
    <row r="385" customFormat="false" ht="12.8" hidden="false" customHeight="false" outlineLevel="0" collapsed="false">
      <c r="A385" s="0" t="n">
        <v>30</v>
      </c>
      <c r="B385" s="31" t="n">
        <v>39692</v>
      </c>
      <c r="C385" s="9" t="n">
        <v>138525</v>
      </c>
      <c r="D385" s="58" t="s">
        <v>41</v>
      </c>
      <c r="E385" s="33" t="n">
        <f aca="false">IF(D385="totale",(C385/(A385*24))/F385,IF(D385="marché libre",(C385/(A385*24))/G385,"spécifier histo"))</f>
        <v>0.0874526515151515</v>
      </c>
      <c r="F385" s="59" t="n">
        <v>2200</v>
      </c>
      <c r="G385" s="59" t="n">
        <f aca="false">F385-H385</f>
        <v>2200</v>
      </c>
    </row>
    <row r="386" customFormat="false" ht="12.8" hidden="false" customHeight="false" outlineLevel="0" collapsed="false">
      <c r="A386" s="0" t="n">
        <v>31</v>
      </c>
      <c r="B386" s="34" t="n">
        <v>39722</v>
      </c>
      <c r="C386" s="9" t="n">
        <v>264014</v>
      </c>
      <c r="D386" s="58" t="s">
        <v>41</v>
      </c>
      <c r="E386" s="33" t="n">
        <f aca="false">IF(D386="totale",(C386/(A386*24))/F386,IF(D386="marché libre",(C386/(A386*24))/G386,"spécifier histo"))</f>
        <v>0.161298875855327</v>
      </c>
      <c r="F386" s="59" t="n">
        <v>2200</v>
      </c>
      <c r="G386" s="59" t="n">
        <f aca="false">F386-H386</f>
        <v>2200</v>
      </c>
    </row>
    <row r="387" customFormat="false" ht="12.8" hidden="false" customHeight="false" outlineLevel="0" collapsed="false">
      <c r="A387" s="0" t="n">
        <v>30</v>
      </c>
      <c r="B387" s="31" t="n">
        <v>39753</v>
      </c>
      <c r="C387" s="9" t="n">
        <v>1188546</v>
      </c>
      <c r="D387" s="58" t="s">
        <v>41</v>
      </c>
      <c r="E387" s="33" t="n">
        <f aca="false">IF(D387="totale",(C387/(A387*24))/F387,IF(D387="marché libre",(C387/(A387*24))/G387,"spécifier histo"))</f>
        <v>0.750344696969697</v>
      </c>
      <c r="F387" s="59" t="n">
        <v>2200</v>
      </c>
      <c r="G387" s="59" t="n">
        <f aca="false">F387-H387</f>
        <v>2200</v>
      </c>
    </row>
    <row r="388" customFormat="false" ht="12.8" hidden="false" customHeight="false" outlineLevel="0" collapsed="false">
      <c r="A388" s="0" t="n">
        <v>31</v>
      </c>
      <c r="B388" s="34" t="n">
        <v>39783</v>
      </c>
      <c r="C388" s="9" t="n">
        <v>1393819</v>
      </c>
      <c r="D388" s="58" t="s">
        <v>41</v>
      </c>
      <c r="E388" s="33" t="n">
        <f aca="false">IF(D388="totale",(C388/(A388*24))/F388,IF(D388="marché libre",(C388/(A388*24))/G388,"spécifier histo"))</f>
        <v>0.851551197458456</v>
      </c>
      <c r="F388" s="59" t="n">
        <v>2200</v>
      </c>
      <c r="G388" s="59" t="n">
        <f aca="false">F388-H388</f>
        <v>2200</v>
      </c>
    </row>
    <row r="389" customFormat="false" ht="12.8" hidden="false" customHeight="false" outlineLevel="0" collapsed="false">
      <c r="A389" s="0" t="n">
        <v>31</v>
      </c>
      <c r="B389" s="31" t="n">
        <v>39814</v>
      </c>
      <c r="C389" s="9" t="n">
        <v>1368199</v>
      </c>
      <c r="D389" s="58" t="s">
        <v>41</v>
      </c>
      <c r="E389" s="33" t="n">
        <f aca="false">IF(D389="totale",(C389/(A389*24))/F389,IF(D389="marché libre",(C389/(A389*24))/G389,"spécifier histo"))</f>
        <v>0.835898704789834</v>
      </c>
      <c r="F389" s="59" t="n">
        <v>2200</v>
      </c>
      <c r="G389" s="59" t="n">
        <f aca="false">F389-H389</f>
        <v>2200</v>
      </c>
    </row>
    <row r="390" customFormat="false" ht="12.8" hidden="false" customHeight="false" outlineLevel="0" collapsed="false">
      <c r="A390" s="0" t="n">
        <v>28</v>
      </c>
      <c r="B390" s="34" t="n">
        <v>39845</v>
      </c>
      <c r="C390" s="9" t="n">
        <v>1220445</v>
      </c>
      <c r="D390" s="58" t="s">
        <v>41</v>
      </c>
      <c r="E390" s="33" t="n">
        <f aca="false">IF(D390="totale",(C390/(A390*24))/F390,IF(D390="marché libre",(C390/(A390*24))/G390,"spécifier histo"))</f>
        <v>0.825517451298701</v>
      </c>
      <c r="F390" s="59" t="n">
        <v>2200</v>
      </c>
      <c r="G390" s="59" t="n">
        <f aca="false">F390-H390</f>
        <v>2200</v>
      </c>
    </row>
    <row r="391" customFormat="false" ht="12.8" hidden="false" customHeight="false" outlineLevel="0" collapsed="false">
      <c r="A391" s="0" t="n">
        <v>31</v>
      </c>
      <c r="B391" s="31" t="n">
        <v>39873</v>
      </c>
      <c r="C391" s="9" t="n">
        <v>1029996</v>
      </c>
      <c r="D391" s="58" t="s">
        <v>41</v>
      </c>
      <c r="E391" s="33" t="n">
        <f aca="false">IF(D391="totale",(C391/(A391*24))/F391,IF(D391="marché libre",(C391/(A391*24))/G391,"spécifier histo"))</f>
        <v>0.629274193548387</v>
      </c>
      <c r="F391" s="59" t="n">
        <v>2200</v>
      </c>
      <c r="G391" s="59" t="n">
        <f aca="false">F391-H391</f>
        <v>2200</v>
      </c>
    </row>
    <row r="392" customFormat="false" ht="12.8" hidden="false" customHeight="false" outlineLevel="0" collapsed="false">
      <c r="A392" s="0" t="n">
        <v>30</v>
      </c>
      <c r="B392" s="34" t="n">
        <v>39904</v>
      </c>
      <c r="C392" s="9" t="n">
        <v>846936</v>
      </c>
      <c r="D392" s="58" t="s">
        <v>41</v>
      </c>
      <c r="E392" s="33" t="n">
        <f aca="false">IF(D392="totale",(C392/(A392*24))/F392,IF(D392="marché libre",(C392/(A392*24))/G392,"spécifier histo"))</f>
        <v>0.534681818181818</v>
      </c>
      <c r="F392" s="59" t="n">
        <v>2200</v>
      </c>
      <c r="G392" s="59" t="n">
        <f aca="false">F392-H392</f>
        <v>2200</v>
      </c>
    </row>
    <row r="393" customFormat="false" ht="12.8" hidden="false" customHeight="false" outlineLevel="0" collapsed="false">
      <c r="A393" s="0" t="n">
        <v>31</v>
      </c>
      <c r="B393" s="31" t="n">
        <v>39934</v>
      </c>
      <c r="C393" s="9" t="n">
        <v>846281</v>
      </c>
      <c r="D393" s="58" t="s">
        <v>41</v>
      </c>
      <c r="E393" s="33" t="n">
        <f aca="false">IF(D393="totale",(C393/(A393*24))/F393,IF(D393="marché libre",(C393/(A393*24))/G393,"spécifier histo"))</f>
        <v>0.517033846529814</v>
      </c>
      <c r="F393" s="59" t="n">
        <v>2200</v>
      </c>
      <c r="G393" s="59" t="n">
        <f aca="false">F393-H393</f>
        <v>2200</v>
      </c>
    </row>
    <row r="394" customFormat="false" ht="12.8" hidden="false" customHeight="false" outlineLevel="0" collapsed="false">
      <c r="A394" s="0" t="n">
        <v>30</v>
      </c>
      <c r="B394" s="34" t="n">
        <v>39965</v>
      </c>
      <c r="C394" s="9" t="n">
        <v>416643</v>
      </c>
      <c r="D394" s="58" t="s">
        <v>41</v>
      </c>
      <c r="E394" s="33" t="n">
        <f aca="false">IF(D394="totale",(C394/(A394*24))/F394,IF(D394="marché libre",(C394/(A394*24))/G394,"spécifier histo"))</f>
        <v>0.263032196969697</v>
      </c>
      <c r="F394" s="59" t="n">
        <v>2200</v>
      </c>
      <c r="G394" s="59" t="n">
        <f aca="false">F394-H394</f>
        <v>2200</v>
      </c>
    </row>
    <row r="395" customFormat="false" ht="12.8" hidden="false" customHeight="false" outlineLevel="0" collapsed="false">
      <c r="A395" s="0" t="n">
        <v>31</v>
      </c>
      <c r="B395" s="31" t="n">
        <v>39995</v>
      </c>
      <c r="C395" s="9" t="n">
        <v>207213</v>
      </c>
      <c r="D395" s="58" t="s">
        <v>41</v>
      </c>
      <c r="E395" s="33" t="n">
        <f aca="false">IF(D395="totale",(C395/(A395*24))/F395,IF(D395="marché libre",(C395/(A395*24))/G395,"spécifier histo"))</f>
        <v>0.126596407624633</v>
      </c>
      <c r="F395" s="59" t="n">
        <v>2200</v>
      </c>
      <c r="G395" s="59" t="n">
        <f aca="false">F395-H395</f>
        <v>2200</v>
      </c>
    </row>
    <row r="396" customFormat="false" ht="12.8" hidden="false" customHeight="false" outlineLevel="0" collapsed="false">
      <c r="A396" s="0" t="n">
        <v>31</v>
      </c>
      <c r="B396" s="34" t="n">
        <v>40026</v>
      </c>
      <c r="C396" s="9" t="n">
        <v>108278</v>
      </c>
      <c r="D396" s="58" t="s">
        <v>41</v>
      </c>
      <c r="E396" s="33" t="n">
        <f aca="false">IF(D396="totale",(C396/(A396*24))/F396,IF(D396="marché libre",(C396/(A396*24))/G396,"spécifier histo"))</f>
        <v>0.0661522482893451</v>
      </c>
      <c r="F396" s="59" t="n">
        <v>2200</v>
      </c>
      <c r="G396" s="59" t="n">
        <f aca="false">F396-H396</f>
        <v>2200</v>
      </c>
    </row>
    <row r="397" customFormat="false" ht="12.8" hidden="false" customHeight="false" outlineLevel="0" collapsed="false">
      <c r="A397" s="0" t="n">
        <v>30</v>
      </c>
      <c r="B397" s="31" t="n">
        <v>40057</v>
      </c>
      <c r="C397" s="9" t="n">
        <v>72215</v>
      </c>
      <c r="D397" s="58" t="s">
        <v>41</v>
      </c>
      <c r="E397" s="33" t="n">
        <f aca="false">IF(D397="totale",(C397/(A397*24))/F397,IF(D397="marché libre",(C397/(A397*24))/G397,"spécifier histo"))</f>
        <v>0.0455902777777778</v>
      </c>
      <c r="F397" s="59" t="n">
        <v>2200</v>
      </c>
      <c r="G397" s="59" t="n">
        <f aca="false">F397-H397</f>
        <v>2200</v>
      </c>
    </row>
    <row r="398" customFormat="false" ht="12.8" hidden="false" customHeight="false" outlineLevel="0" collapsed="false">
      <c r="A398" s="0" t="n">
        <v>31</v>
      </c>
      <c r="B398" s="34" t="n">
        <v>40087</v>
      </c>
      <c r="C398" s="9" t="n">
        <v>282373</v>
      </c>
      <c r="D398" s="58" t="s">
        <v>41</v>
      </c>
      <c r="E398" s="33" t="n">
        <f aca="false">IF(D398="totale",(C398/(A398*24))/F398,IF(D398="marché libre",(C398/(A398*24))/G398,"spécifier histo"))</f>
        <v>0.17251527370479</v>
      </c>
      <c r="F398" s="59" t="n">
        <v>2200</v>
      </c>
      <c r="G398" s="59" t="n">
        <f aca="false">F398-H398</f>
        <v>2200</v>
      </c>
    </row>
    <row r="399" customFormat="false" ht="12.8" hidden="false" customHeight="false" outlineLevel="0" collapsed="false">
      <c r="A399" s="0" t="n">
        <v>30</v>
      </c>
      <c r="B399" s="31" t="n">
        <v>40118</v>
      </c>
      <c r="C399" s="9" t="n">
        <v>523137</v>
      </c>
      <c r="D399" s="58" t="s">
        <v>41</v>
      </c>
      <c r="E399" s="33" t="n">
        <f aca="false">IF(D399="totale",(C399/(A399*24))/F399,IF(D399="marché libre",(C399/(A399*24))/G399,"spécifier histo"))</f>
        <v>0.330263257575758</v>
      </c>
      <c r="F399" s="59" t="n">
        <v>2200</v>
      </c>
      <c r="G399" s="59" t="n">
        <f aca="false">F399-H399</f>
        <v>2200</v>
      </c>
    </row>
    <row r="400" customFormat="false" ht="12.8" hidden="false" customHeight="false" outlineLevel="0" collapsed="false">
      <c r="A400" s="0" t="n">
        <v>31</v>
      </c>
      <c r="B400" s="34" t="n">
        <v>40148</v>
      </c>
      <c r="C400" s="9" t="n">
        <v>575982</v>
      </c>
      <c r="D400" s="58" t="s">
        <v>41</v>
      </c>
      <c r="E400" s="33" t="n">
        <f aca="false">IF(D400="totale",(C400/(A400*24))/F400,IF(D400="marché libre",(C400/(A400*24))/G400,"spécifier histo"))</f>
        <v>0.351895161290323</v>
      </c>
      <c r="F400" s="59" t="n">
        <v>2200</v>
      </c>
      <c r="G400" s="59" t="n">
        <f aca="false">F400-H400</f>
        <v>2200</v>
      </c>
    </row>
    <row r="401" customFormat="false" ht="12.8" hidden="false" customHeight="false" outlineLevel="0" collapsed="false">
      <c r="A401" s="0" t="n">
        <v>31</v>
      </c>
      <c r="B401" s="31" t="n">
        <v>40179</v>
      </c>
      <c r="C401" s="9" t="n">
        <v>1388495</v>
      </c>
      <c r="D401" s="58" t="s">
        <v>41</v>
      </c>
      <c r="E401" s="33" t="n">
        <f aca="false">IF(D401="totale",(C401/(A401*24))/F401,IF(D401="marché libre",(C401/(A401*24))/G401,"spécifier histo"))</f>
        <v>0.848298509286412</v>
      </c>
      <c r="F401" s="59" t="n">
        <v>2200</v>
      </c>
      <c r="G401" s="59" t="n">
        <f aca="false">F401-H401</f>
        <v>2200</v>
      </c>
    </row>
    <row r="402" customFormat="false" ht="12.8" hidden="false" customHeight="false" outlineLevel="0" collapsed="false">
      <c r="A402" s="0" t="n">
        <v>28</v>
      </c>
      <c r="B402" s="34" t="n">
        <v>40210</v>
      </c>
      <c r="C402" s="9" t="n">
        <v>1232722</v>
      </c>
      <c r="D402" s="58" t="s">
        <v>41</v>
      </c>
      <c r="E402" s="33" t="n">
        <f aca="false">IF(D402="totale",(C402/(A402*24))/F402,IF(D402="marché libre",(C402/(A402*24))/G402,"spécifier histo"))</f>
        <v>0.833821699134199</v>
      </c>
      <c r="F402" s="59" t="n">
        <v>2200</v>
      </c>
      <c r="G402" s="59" t="n">
        <f aca="false">F402-H402</f>
        <v>2200</v>
      </c>
    </row>
    <row r="403" customFormat="false" ht="12.8" hidden="false" customHeight="false" outlineLevel="0" collapsed="false">
      <c r="A403" s="0" t="n">
        <v>31</v>
      </c>
      <c r="B403" s="31" t="n">
        <v>40238</v>
      </c>
      <c r="C403" s="9" t="n">
        <v>1452348</v>
      </c>
      <c r="D403" s="58" t="s">
        <v>41</v>
      </c>
      <c r="E403" s="33" t="n">
        <f aca="false">IF(D403="totale",(C403/(A403*24))/F403,IF(D403="marché libre",(C403/(A403*24))/G403,"spécifier histo"))</f>
        <v>0.887309384164223</v>
      </c>
      <c r="F403" s="59" t="n">
        <v>2200</v>
      </c>
      <c r="G403" s="59" t="n">
        <f aca="false">F403-H403</f>
        <v>2200</v>
      </c>
    </row>
    <row r="404" customFormat="false" ht="12.8" hidden="false" customHeight="false" outlineLevel="0" collapsed="false">
      <c r="A404" s="0" t="n">
        <v>30</v>
      </c>
      <c r="B404" s="34" t="n">
        <v>40269</v>
      </c>
      <c r="C404" s="9" t="n">
        <v>1192835</v>
      </c>
      <c r="D404" s="58" t="s">
        <v>41</v>
      </c>
      <c r="E404" s="33" t="n">
        <f aca="false">IF(D404="totale",(C404/(A404*24))/F404,IF(D404="marché libre",(C404/(A404*24))/G404,"spécifier histo"))</f>
        <v>0.753052398989899</v>
      </c>
      <c r="F404" s="59" t="n">
        <v>2200</v>
      </c>
      <c r="G404" s="59" t="n">
        <f aca="false">F404-H404</f>
        <v>2200</v>
      </c>
    </row>
    <row r="405" customFormat="false" ht="12.8" hidden="false" customHeight="false" outlineLevel="0" collapsed="false">
      <c r="A405" s="0" t="n">
        <v>31</v>
      </c>
      <c r="B405" s="31" t="n">
        <v>40299</v>
      </c>
      <c r="C405" s="9" t="n">
        <v>997712</v>
      </c>
      <c r="D405" s="58" t="s">
        <v>41</v>
      </c>
      <c r="E405" s="33" t="n">
        <f aca="false">IF(D405="totale",(C405/(A405*24))/F405,IF(D405="marché libre",(C405/(A405*24))/G405,"spécifier histo"))</f>
        <v>0.609550342130987</v>
      </c>
      <c r="F405" s="59" t="n">
        <v>2200</v>
      </c>
      <c r="G405" s="59" t="n">
        <f aca="false">F405-H405</f>
        <v>2200</v>
      </c>
    </row>
    <row r="406" customFormat="false" ht="12.8" hidden="false" customHeight="false" outlineLevel="0" collapsed="false">
      <c r="A406" s="0" t="n">
        <v>30</v>
      </c>
      <c r="B406" s="34" t="n">
        <v>40330</v>
      </c>
      <c r="C406" s="9" t="n">
        <v>341112</v>
      </c>
      <c r="D406" s="58" t="s">
        <v>41</v>
      </c>
      <c r="E406" s="33" t="n">
        <f aca="false">IF(D406="totale",(C406/(A406*24))/F406,IF(D406="marché libre",(C406/(A406*24))/G406,"spécifier histo"))</f>
        <v>0.215348484848485</v>
      </c>
      <c r="F406" s="59" t="n">
        <v>2200</v>
      </c>
      <c r="G406" s="59" t="n">
        <f aca="false">F406-H406</f>
        <v>2200</v>
      </c>
    </row>
    <row r="407" customFormat="false" ht="12.8" hidden="false" customHeight="false" outlineLevel="0" collapsed="false">
      <c r="A407" s="0" t="n">
        <v>31</v>
      </c>
      <c r="B407" s="31" t="n">
        <v>40360</v>
      </c>
      <c r="C407" s="9" t="n">
        <v>174364</v>
      </c>
      <c r="D407" s="58" t="s">
        <v>41</v>
      </c>
      <c r="E407" s="33" t="n">
        <f aca="false">IF(D407="totale",(C407/(A407*24))/F407,IF(D407="marché libre",(C407/(A407*24))/G407,"spécifier histo"))</f>
        <v>0.106527370478983</v>
      </c>
      <c r="F407" s="59" t="n">
        <v>2200</v>
      </c>
      <c r="G407" s="59" t="n">
        <f aca="false">F407-H407</f>
        <v>2200</v>
      </c>
    </row>
    <row r="408" customFormat="false" ht="12.8" hidden="false" customHeight="false" outlineLevel="0" collapsed="false">
      <c r="A408" s="0" t="n">
        <v>31</v>
      </c>
      <c r="B408" s="34" t="n">
        <v>40391</v>
      </c>
      <c r="C408" s="9" t="n">
        <v>2207</v>
      </c>
      <c r="D408" s="58" t="s">
        <v>41</v>
      </c>
      <c r="E408" s="33" t="n">
        <f aca="false">IF(D408="totale",(C408/(A408*24))/F408,IF(D408="marché libre",(C408/(A408*24))/G408,"spécifier histo"))</f>
        <v>0.00134836265884653</v>
      </c>
      <c r="F408" s="59" t="n">
        <v>2200</v>
      </c>
      <c r="G408" s="59" t="n">
        <f aca="false">F408-H408</f>
        <v>2200</v>
      </c>
    </row>
    <row r="409" customFormat="false" ht="12.8" hidden="false" customHeight="false" outlineLevel="0" collapsed="false">
      <c r="A409" s="0" t="n">
        <v>30</v>
      </c>
      <c r="B409" s="31" t="n">
        <v>40422</v>
      </c>
      <c r="C409" s="9" t="n">
        <v>123701</v>
      </c>
      <c r="D409" s="58" t="s">
        <v>41</v>
      </c>
      <c r="E409" s="33" t="n">
        <f aca="false">IF(D409="totale",(C409/(A409*24))/F409,IF(D409="marché libre",(C409/(A409*24))/G409,"spécifier histo"))</f>
        <v>0.0780940656565657</v>
      </c>
      <c r="F409" s="59" t="n">
        <v>2200</v>
      </c>
      <c r="G409" s="59" t="n">
        <f aca="false">F409-H409</f>
        <v>2200</v>
      </c>
    </row>
    <row r="410" customFormat="false" ht="12.8" hidden="false" customHeight="false" outlineLevel="0" collapsed="false">
      <c r="A410" s="0" t="n">
        <v>31</v>
      </c>
      <c r="B410" s="34" t="n">
        <v>40452</v>
      </c>
      <c r="C410" s="9" t="n">
        <v>568408</v>
      </c>
      <c r="D410" s="58" t="s">
        <v>41</v>
      </c>
      <c r="E410" s="33" t="n">
        <f aca="false">IF(D410="totale",(C410/(A410*24))/F410,IF(D410="marché libre",(C410/(A410*24))/G410,"spécifier histo"))</f>
        <v>0.347267839687195</v>
      </c>
      <c r="F410" s="59" t="n">
        <v>2200</v>
      </c>
      <c r="G410" s="59" t="n">
        <f aca="false">F410-H410</f>
        <v>2200</v>
      </c>
    </row>
    <row r="411" customFormat="false" ht="12.8" hidden="false" customHeight="false" outlineLevel="0" collapsed="false">
      <c r="A411" s="0" t="n">
        <v>30</v>
      </c>
      <c r="B411" s="31" t="n">
        <v>40483</v>
      </c>
      <c r="C411" s="9" t="n">
        <v>1232325</v>
      </c>
      <c r="D411" s="58" t="s">
        <v>41</v>
      </c>
      <c r="E411" s="33" t="n">
        <f aca="false">IF(D411="totale",(C411/(A411*24))/F411,IF(D411="marché libre",(C411/(A411*24))/G411,"spécifier histo"))</f>
        <v>0.777982954545455</v>
      </c>
      <c r="F411" s="59" t="n">
        <v>2200</v>
      </c>
      <c r="G411" s="59" t="n">
        <f aca="false">F411-H411</f>
        <v>2200</v>
      </c>
    </row>
    <row r="412" customFormat="false" ht="12.8" hidden="false" customHeight="false" outlineLevel="0" collapsed="false">
      <c r="A412" s="0" t="n">
        <v>31</v>
      </c>
      <c r="B412" s="34" t="n">
        <v>40513</v>
      </c>
      <c r="C412" s="9" t="n">
        <v>1463719</v>
      </c>
      <c r="D412" s="58" t="s">
        <v>41</v>
      </c>
      <c r="E412" s="33" t="n">
        <f aca="false">IF(D412="totale",(C412/(A412*24))/F412,IF(D412="marché libre",(C412/(A412*24))/G412,"spécifier histo"))</f>
        <v>0.894256476050831</v>
      </c>
      <c r="F412" s="59" t="n">
        <v>2200</v>
      </c>
      <c r="G412" s="59" t="n">
        <f aca="false">F412-H412</f>
        <v>2200</v>
      </c>
    </row>
    <row r="413" customFormat="false" ht="12.8" hidden="false" customHeight="false" outlineLevel="0" collapsed="false">
      <c r="A413" s="0" t="n">
        <v>31</v>
      </c>
      <c r="B413" s="31" t="n">
        <v>40544</v>
      </c>
      <c r="C413" s="9" t="n">
        <v>1204299</v>
      </c>
      <c r="D413" s="58" t="s">
        <v>41</v>
      </c>
      <c r="E413" s="33" t="n">
        <f aca="false">IF(D413="totale",(C413/(A413*24))/F413,IF(D413="marché libre",(C413/(A413*24))/G413,"spécifier histo"))</f>
        <v>0.735764296187683</v>
      </c>
      <c r="F413" s="59" t="n">
        <v>2200</v>
      </c>
      <c r="G413" s="59" t="n">
        <f aca="false">F413-H413</f>
        <v>2200</v>
      </c>
    </row>
    <row r="414" customFormat="false" ht="12.8" hidden="false" customHeight="false" outlineLevel="0" collapsed="false">
      <c r="A414" s="0" t="n">
        <v>28</v>
      </c>
      <c r="B414" s="34" t="n">
        <v>40575</v>
      </c>
      <c r="C414" s="9" t="n">
        <v>805671</v>
      </c>
      <c r="D414" s="58" t="s">
        <v>41</v>
      </c>
      <c r="E414" s="33" t="n">
        <f aca="false">IF(D414="totale",(C414/(A414*24))/F414,IF(D414="marché libre",(C414/(A414*24))/G414,"spécifier histo"))</f>
        <v>0.544961444805195</v>
      </c>
      <c r="F414" s="59" t="n">
        <v>2200</v>
      </c>
      <c r="G414" s="59" t="n">
        <f aca="false">F414-H414</f>
        <v>2200</v>
      </c>
    </row>
    <row r="415" customFormat="false" ht="12.8" hidden="false" customHeight="false" outlineLevel="0" collapsed="false">
      <c r="A415" s="0" t="n">
        <v>31</v>
      </c>
      <c r="B415" s="31" t="n">
        <v>40603</v>
      </c>
      <c r="C415" s="9" t="n">
        <v>957094</v>
      </c>
      <c r="D415" s="58" t="s">
        <v>41</v>
      </c>
      <c r="E415" s="33" t="n">
        <f aca="false">IF(D415="totale",(C415/(A415*24))/F415,IF(D415="marché libre",(C415/(A415*24))/G415,"spécifier histo"))</f>
        <v>0.584734848484848</v>
      </c>
      <c r="F415" s="59" t="n">
        <v>2200</v>
      </c>
      <c r="G415" s="59" t="n">
        <f aca="false">F415-H415</f>
        <v>2200</v>
      </c>
    </row>
    <row r="416" customFormat="false" ht="12.8" hidden="false" customHeight="false" outlineLevel="0" collapsed="false">
      <c r="A416" s="0" t="n">
        <v>30</v>
      </c>
      <c r="B416" s="34" t="n">
        <v>40634</v>
      </c>
      <c r="C416" s="9" t="n">
        <v>471485</v>
      </c>
      <c r="D416" s="58" t="s">
        <v>41</v>
      </c>
      <c r="E416" s="33" t="n">
        <f aca="false">IF(D416="totale",(C416/(A416*24))/F416,IF(D416="marché libre",(C416/(A416*24))/G416,"spécifier histo"))</f>
        <v>0.297654671717172</v>
      </c>
      <c r="F416" s="59" t="n">
        <v>2200</v>
      </c>
      <c r="G416" s="59" t="n">
        <f aca="false">F416-H416</f>
        <v>2200</v>
      </c>
    </row>
    <row r="417" customFormat="false" ht="12.8" hidden="false" customHeight="false" outlineLevel="0" collapsed="false">
      <c r="A417" s="0" t="n">
        <v>31</v>
      </c>
      <c r="B417" s="31" t="n">
        <v>40664</v>
      </c>
      <c r="C417" s="9" t="n">
        <v>7400</v>
      </c>
      <c r="D417" s="58" t="s">
        <v>41</v>
      </c>
      <c r="E417" s="33" t="n">
        <f aca="false">IF(D417="totale",(C417/(A417*24))/F417,IF(D417="marché libre",(C417/(A417*24))/G417,"spécifier histo"))</f>
        <v>0.00452101661779081</v>
      </c>
      <c r="F417" s="59" t="n">
        <v>2200</v>
      </c>
      <c r="G417" s="59" t="n">
        <f aca="false">F417-H417</f>
        <v>2200</v>
      </c>
    </row>
    <row r="418" customFormat="false" ht="12.8" hidden="false" customHeight="false" outlineLevel="0" collapsed="false">
      <c r="A418" s="0" t="n">
        <v>30</v>
      </c>
      <c r="B418" s="34" t="n">
        <v>40695</v>
      </c>
      <c r="C418" s="9" t="n">
        <v>8444</v>
      </c>
      <c r="D418" s="58" t="s">
        <v>41</v>
      </c>
      <c r="E418" s="33" t="n">
        <f aca="false">IF(D418="totale",(C418/(A418*24))/F418,IF(D418="marché libre",(C418/(A418*24))/G418,"spécifier histo"))</f>
        <v>0.00533080808080808</v>
      </c>
      <c r="F418" s="59" t="n">
        <v>2200</v>
      </c>
      <c r="G418" s="59" t="n">
        <f aca="false">F418-H418</f>
        <v>2200</v>
      </c>
    </row>
    <row r="419" customFormat="false" ht="12.8" hidden="false" customHeight="false" outlineLevel="0" collapsed="false">
      <c r="A419" s="0" t="n">
        <v>31</v>
      </c>
      <c r="B419" s="31" t="n">
        <v>40725</v>
      </c>
      <c r="C419" s="9" t="n">
        <v>51219</v>
      </c>
      <c r="D419" s="58" t="s">
        <v>41</v>
      </c>
      <c r="E419" s="33" t="n">
        <f aca="false">IF(D419="totale",(C419/(A419*24))/F419,IF(D419="marché libre",(C419/(A419*24))/G419,"spécifier histo"))</f>
        <v>0.0312921554252199</v>
      </c>
      <c r="F419" s="59" t="n">
        <v>2200</v>
      </c>
      <c r="G419" s="59" t="n">
        <f aca="false">F419-H419</f>
        <v>2200</v>
      </c>
    </row>
    <row r="420" customFormat="false" ht="12.8" hidden="false" customHeight="false" outlineLevel="0" collapsed="false">
      <c r="A420" s="0" t="n">
        <v>31</v>
      </c>
      <c r="B420" s="34" t="n">
        <v>40756</v>
      </c>
      <c r="C420" s="9" t="n">
        <v>10819</v>
      </c>
      <c r="D420" s="58" t="s">
        <v>41</v>
      </c>
      <c r="E420" s="33" t="n">
        <f aca="false">IF(D420="totale",(C420/(A420*24))/F420,IF(D420="marché libre",(C420/(A420*24))/G420,"spécifier histo"))</f>
        <v>0.00660984848484848</v>
      </c>
      <c r="F420" s="59" t="n">
        <v>2200</v>
      </c>
      <c r="G420" s="59" t="n">
        <f aca="false">F420-H420</f>
        <v>2200</v>
      </c>
    </row>
    <row r="421" customFormat="false" ht="12.8" hidden="false" customHeight="false" outlineLevel="0" collapsed="false">
      <c r="A421" s="0" t="n">
        <v>30</v>
      </c>
      <c r="B421" s="31" t="n">
        <v>40787</v>
      </c>
      <c r="C421" s="9" t="n">
        <v>32020</v>
      </c>
      <c r="D421" s="58" t="s">
        <v>41</v>
      </c>
      <c r="E421" s="33" t="n">
        <f aca="false">IF(D421="totale",(C421/(A421*24))/F421,IF(D421="marché libre",(C421/(A421*24))/G421,"spécifier histo"))</f>
        <v>0.0202146464646465</v>
      </c>
      <c r="F421" s="59" t="n">
        <v>2200</v>
      </c>
      <c r="G421" s="59" t="n">
        <f aca="false">F421-H421</f>
        <v>2200</v>
      </c>
    </row>
    <row r="422" customFormat="false" ht="12.8" hidden="false" customHeight="false" outlineLevel="0" collapsed="false">
      <c r="A422" s="0" t="n">
        <v>31</v>
      </c>
      <c r="B422" s="34" t="n">
        <v>40817</v>
      </c>
      <c r="C422" s="9" t="n">
        <v>102016</v>
      </c>
      <c r="D422" s="58" t="s">
        <v>41</v>
      </c>
      <c r="E422" s="33" t="n">
        <f aca="false">IF(D422="totale",(C422/(A422*24))/F422,IF(D422="marché libre",(C422/(A422*24))/G422,"spécifier histo"))</f>
        <v>0.0623264907135875</v>
      </c>
      <c r="F422" s="59" t="n">
        <v>2200</v>
      </c>
      <c r="G422" s="59" t="n">
        <f aca="false">F422-H422</f>
        <v>2200</v>
      </c>
    </row>
    <row r="423" customFormat="false" ht="12.8" hidden="false" customHeight="false" outlineLevel="0" collapsed="false">
      <c r="A423" s="0" t="n">
        <v>30</v>
      </c>
      <c r="B423" s="31" t="n">
        <v>40848</v>
      </c>
      <c r="C423" s="9" t="n">
        <v>384964</v>
      </c>
      <c r="D423" s="58" t="s">
        <v>41</v>
      </c>
      <c r="E423" s="33" t="n">
        <f aca="false">IF(D423="totale",(C423/(A423*24))/F423,IF(D423="marché libre",(C423/(A423*24))/G423,"spécifier histo"))</f>
        <v>0.243032828282828</v>
      </c>
      <c r="F423" s="59" t="n">
        <v>2200</v>
      </c>
      <c r="G423" s="59" t="n">
        <f aca="false">F423-H423</f>
        <v>2200</v>
      </c>
    </row>
    <row r="424" customFormat="false" ht="12.8" hidden="false" customHeight="false" outlineLevel="0" collapsed="false">
      <c r="A424" s="0" t="n">
        <v>31</v>
      </c>
      <c r="B424" s="34" t="n">
        <v>40878</v>
      </c>
      <c r="C424" s="9" t="n">
        <v>1100577</v>
      </c>
      <c r="D424" s="58" t="s">
        <v>41</v>
      </c>
      <c r="E424" s="33" t="n">
        <f aca="false">IF(D424="totale",(C424/(A424*24))/F424,IF(D424="marché libre",(C424/(A424*24))/G424,"spécifier histo"))</f>
        <v>0.672395527859238</v>
      </c>
      <c r="F424" s="59" t="n">
        <v>2200</v>
      </c>
      <c r="G424" s="59" t="n">
        <f aca="false">F424-H424</f>
        <v>2200</v>
      </c>
    </row>
    <row r="425" customFormat="false" ht="12.8" hidden="false" customHeight="false" outlineLevel="0" collapsed="false">
      <c r="A425" s="0" t="n">
        <v>31</v>
      </c>
      <c r="B425" s="31" t="n">
        <v>40909</v>
      </c>
      <c r="C425" s="9" t="n">
        <v>1324691</v>
      </c>
      <c r="D425" s="58" t="s">
        <v>41</v>
      </c>
      <c r="E425" s="33" t="n">
        <f aca="false">IF(D425="totale",(C425/(A425*24))/F425,IF(D425="marché libre",(C425/(A425*24))/G425,"spécifier histo"))</f>
        <v>0.80931757086999</v>
      </c>
      <c r="F425" s="59" t="n">
        <v>2200</v>
      </c>
      <c r="G425" s="59" t="n">
        <f aca="false">F425-H425</f>
        <v>2200</v>
      </c>
    </row>
    <row r="426" customFormat="false" ht="12.8" hidden="false" customHeight="false" outlineLevel="0" collapsed="false">
      <c r="A426" s="0" t="n">
        <v>28</v>
      </c>
      <c r="B426" s="34" t="n">
        <v>40940</v>
      </c>
      <c r="C426" s="9" t="n">
        <v>920734</v>
      </c>
      <c r="D426" s="58" t="s">
        <v>41</v>
      </c>
      <c r="E426" s="33" t="n">
        <f aca="false">IF(D426="totale",(C426/(A426*24))/F426,IF(D426="marché libre",(C426/(A426*24))/G426,"spécifier histo"))</f>
        <v>0.622790854978355</v>
      </c>
      <c r="F426" s="59" t="n">
        <v>2200</v>
      </c>
      <c r="G426" s="59" t="n">
        <f aca="false">F426-H426</f>
        <v>2200</v>
      </c>
    </row>
    <row r="427" customFormat="false" ht="12.8" hidden="false" customHeight="false" outlineLevel="0" collapsed="false">
      <c r="A427" s="0" t="n">
        <v>31</v>
      </c>
      <c r="B427" s="31" t="n">
        <v>40969</v>
      </c>
      <c r="C427" s="9" t="n">
        <v>331927</v>
      </c>
      <c r="D427" s="58" t="s">
        <v>41</v>
      </c>
      <c r="E427" s="33" t="n">
        <f aca="false">IF(D427="totale",(C427/(A427*24))/F427,IF(D427="marché libre",(C427/(A427*24))/G427,"spécifier histo"))</f>
        <v>0.202790200391007</v>
      </c>
      <c r="F427" s="59" t="n">
        <v>2200</v>
      </c>
      <c r="G427" s="59" t="n">
        <f aca="false">F427-H427</f>
        <v>2200</v>
      </c>
    </row>
    <row r="428" customFormat="false" ht="12.8" hidden="false" customHeight="false" outlineLevel="0" collapsed="false">
      <c r="A428" s="0" t="n">
        <v>30</v>
      </c>
      <c r="B428" s="34" t="n">
        <v>41000</v>
      </c>
      <c r="C428" s="9" t="n">
        <v>942660</v>
      </c>
      <c r="D428" s="58" t="s">
        <v>41</v>
      </c>
      <c r="E428" s="33" t="n">
        <f aca="false">IF(D428="totale",(C428/(A428*24))/F428,IF(D428="marché libre",(C428/(A428*24))/G428,"spécifier histo"))</f>
        <v>0.595113636363636</v>
      </c>
      <c r="F428" s="59" t="n">
        <v>2200</v>
      </c>
      <c r="G428" s="59" t="n">
        <f aca="false">F428-H428</f>
        <v>2200</v>
      </c>
    </row>
    <row r="429" customFormat="false" ht="12.8" hidden="false" customHeight="false" outlineLevel="0" collapsed="false">
      <c r="A429" s="0" t="n">
        <v>31</v>
      </c>
      <c r="B429" s="31" t="n">
        <v>41030</v>
      </c>
      <c r="C429" s="9" t="n">
        <v>1453185</v>
      </c>
      <c r="D429" s="58" t="s">
        <v>41</v>
      </c>
      <c r="E429" s="33" t="n">
        <f aca="false">IF(D429="totale",(C429/(A429*24))/F429,IF(D429="marché libre",(C429/(A429*24))/G429,"spécifier histo"))</f>
        <v>0.887820747800586</v>
      </c>
      <c r="F429" s="59" t="n">
        <v>2200</v>
      </c>
      <c r="G429" s="59" t="n">
        <f aca="false">F429-H429</f>
        <v>2200</v>
      </c>
    </row>
    <row r="430" customFormat="false" ht="12.8" hidden="false" customHeight="false" outlineLevel="0" collapsed="false">
      <c r="A430" s="0" t="n">
        <v>30</v>
      </c>
      <c r="B430" s="34" t="n">
        <v>41061</v>
      </c>
      <c r="C430" s="9" t="n">
        <v>1091899</v>
      </c>
      <c r="D430" s="58" t="s">
        <v>41</v>
      </c>
      <c r="E430" s="33" t="n">
        <f aca="false">IF(D430="totale",(C430/(A430*24))/F430,IF(D430="marché libre",(C430/(A430*24))/G430,"spécifier histo"))</f>
        <v>0.689330176767677</v>
      </c>
      <c r="F430" s="59" t="n">
        <v>2200</v>
      </c>
      <c r="G430" s="59" t="n">
        <f aca="false">F430-H430</f>
        <v>2200</v>
      </c>
    </row>
    <row r="431" customFormat="false" ht="12.8" hidden="false" customHeight="false" outlineLevel="0" collapsed="false">
      <c r="A431" s="0" t="n">
        <v>31</v>
      </c>
      <c r="B431" s="31" t="n">
        <v>41091</v>
      </c>
      <c r="C431" s="9" t="n">
        <v>360251</v>
      </c>
      <c r="D431" s="58" t="s">
        <v>41</v>
      </c>
      <c r="E431" s="33" t="n">
        <f aca="false">IF(D431="totale",(C431/(A431*24))/F431,IF(D431="marché libre",(C431/(A431*24))/G431,"spécifier histo"))</f>
        <v>0.220094696969697</v>
      </c>
      <c r="F431" s="59" t="n">
        <v>2200</v>
      </c>
      <c r="G431" s="59" t="n">
        <f aca="false">F431-H431</f>
        <v>2200</v>
      </c>
    </row>
    <row r="432" customFormat="false" ht="12.8" hidden="false" customHeight="false" outlineLevel="0" collapsed="false">
      <c r="A432" s="0" t="n">
        <v>31</v>
      </c>
      <c r="B432" s="34" t="n">
        <v>41122</v>
      </c>
      <c r="C432" s="9" t="n">
        <v>286313</v>
      </c>
      <c r="D432" s="58" t="s">
        <v>41</v>
      </c>
      <c r="E432" s="33" t="n">
        <f aca="false">IF(D432="totale",(C432/(A432*24))/F432,IF(D432="marché libre",(C432/(A432*24))/G432,"spécifier histo"))</f>
        <v>0.174922409579668</v>
      </c>
      <c r="F432" s="59" t="n">
        <v>2200</v>
      </c>
      <c r="G432" s="59" t="n">
        <f aca="false">F432-H432</f>
        <v>2200</v>
      </c>
    </row>
    <row r="433" customFormat="false" ht="12.8" hidden="false" customHeight="false" outlineLevel="0" collapsed="false">
      <c r="A433" s="0" t="n">
        <v>30</v>
      </c>
      <c r="B433" s="31" t="n">
        <v>41153</v>
      </c>
      <c r="C433" s="9" t="n">
        <v>384036</v>
      </c>
      <c r="D433" s="58" t="s">
        <v>41</v>
      </c>
      <c r="E433" s="33" t="n">
        <f aca="false">IF(D433="totale",(C433/(A433*24))/F433,IF(D433="marché libre",(C433/(A433*24))/G433,"spécifier histo"))</f>
        <v>0.24244696969697</v>
      </c>
      <c r="F433" s="59" t="n">
        <v>2200</v>
      </c>
      <c r="G433" s="59" t="n">
        <f aca="false">F433-H433</f>
        <v>2200</v>
      </c>
    </row>
    <row r="434" customFormat="false" ht="12.8" hidden="false" customHeight="false" outlineLevel="0" collapsed="false">
      <c r="A434" s="0" t="n">
        <v>31</v>
      </c>
      <c r="B434" s="34" t="n">
        <v>41183</v>
      </c>
      <c r="C434" s="9" t="n">
        <v>78483</v>
      </c>
      <c r="D434" s="58" t="s">
        <v>41</v>
      </c>
      <c r="E434" s="33" t="n">
        <f aca="false">IF(D434="totale",(C434/(A434*24))/F434,IF(D434="marché libre",(C434/(A434*24))/G434,"spécifier histo"))</f>
        <v>0.0479490469208211</v>
      </c>
      <c r="F434" s="59" t="n">
        <v>2200</v>
      </c>
      <c r="G434" s="59" t="n">
        <f aca="false">F434-H434</f>
        <v>2200</v>
      </c>
    </row>
    <row r="435" customFormat="false" ht="12.8" hidden="false" customHeight="false" outlineLevel="0" collapsed="false">
      <c r="A435" s="0" t="n">
        <v>30</v>
      </c>
      <c r="B435" s="31" t="n">
        <v>41214</v>
      </c>
      <c r="C435" s="9" t="n">
        <v>419930</v>
      </c>
      <c r="D435" s="58" t="s">
        <v>41</v>
      </c>
      <c r="E435" s="33" t="n">
        <f aca="false">IF(D435="totale",(C435/(A435*24))/F435,IF(D435="marché libre",(C435/(A435*24))/G435,"spécifier histo"))</f>
        <v>0.265107323232323</v>
      </c>
      <c r="F435" s="59" t="n">
        <v>2200</v>
      </c>
      <c r="G435" s="59" t="n">
        <f aca="false">F435-H435</f>
        <v>2200</v>
      </c>
    </row>
    <row r="436" customFormat="false" ht="12.8" hidden="false" customHeight="false" outlineLevel="0" collapsed="false">
      <c r="A436" s="0" t="n">
        <v>31</v>
      </c>
      <c r="B436" s="34" t="n">
        <v>41244</v>
      </c>
      <c r="C436" s="9" t="n">
        <v>1024362</v>
      </c>
      <c r="D436" s="58" t="s">
        <v>41</v>
      </c>
      <c r="E436" s="33" t="n">
        <f aca="false">IF(D436="totale",(C436/(A436*24))/F436,IF(D436="marché libre",(C436/(A436*24))/G436,"spécifier histo"))</f>
        <v>0.62583211143695</v>
      </c>
      <c r="F436" s="59" t="n">
        <v>2200</v>
      </c>
      <c r="G436" s="59" t="n">
        <f aca="false">F436-H436</f>
        <v>2200</v>
      </c>
    </row>
    <row r="437" customFormat="false" ht="12.8" hidden="false" customHeight="false" outlineLevel="0" collapsed="false">
      <c r="A437" s="0" t="n">
        <v>31</v>
      </c>
      <c r="B437" s="31" t="n">
        <v>41275</v>
      </c>
      <c r="C437" s="9" t="n">
        <v>1332119</v>
      </c>
      <c r="D437" s="58" t="s">
        <v>41</v>
      </c>
      <c r="E437" s="33" t="n">
        <f aca="false">IF(D437="totale",(C437/(A437*24))/F437,IF(D437="marché libre",(C437/(A437*24))/G437,"spécifier histo"))</f>
        <v>0.813855694037146</v>
      </c>
      <c r="F437" s="59" t="n">
        <v>2200</v>
      </c>
      <c r="G437" s="59" t="n">
        <f aca="false">F437-H437</f>
        <v>2200</v>
      </c>
    </row>
    <row r="438" customFormat="false" ht="12.8" hidden="false" customHeight="false" outlineLevel="0" collapsed="false">
      <c r="A438" s="0" t="n">
        <v>28</v>
      </c>
      <c r="B438" s="34" t="n">
        <v>41306</v>
      </c>
      <c r="C438" s="9" t="n">
        <v>1418660</v>
      </c>
      <c r="D438" s="58" t="s">
        <v>41</v>
      </c>
      <c r="E438" s="33" t="n">
        <f aca="false">IF(D438="totale",(C438/(A438*24))/F438,IF(D438="marché libre",(C438/(A438*24))/G438,"spécifier histo"))</f>
        <v>0.95959145021645</v>
      </c>
      <c r="F438" s="59" t="n">
        <v>2200</v>
      </c>
      <c r="G438" s="59" t="n">
        <f aca="false">F438-H438</f>
        <v>2200</v>
      </c>
    </row>
    <row r="439" customFormat="false" ht="12.8" hidden="false" customHeight="false" outlineLevel="0" collapsed="false">
      <c r="A439" s="0" t="n">
        <v>31</v>
      </c>
      <c r="B439" s="31" t="n">
        <v>41334</v>
      </c>
      <c r="C439" s="9" t="n">
        <v>1456394</v>
      </c>
      <c r="D439" s="58" t="s">
        <v>41</v>
      </c>
      <c r="E439" s="33" t="n">
        <f aca="false">IF(D439="totale",(C439/(A439*24))/F439,IF(D439="marché libre",(C439/(A439*24))/G439,"spécifier histo"))</f>
        <v>0.889781280547409</v>
      </c>
      <c r="F439" s="59" t="n">
        <v>2200</v>
      </c>
      <c r="G439" s="59" t="n">
        <f aca="false">F439-H439</f>
        <v>2200</v>
      </c>
    </row>
    <row r="440" customFormat="false" ht="12.8" hidden="false" customHeight="false" outlineLevel="0" collapsed="false">
      <c r="A440" s="0" t="n">
        <v>30</v>
      </c>
      <c r="B440" s="34" t="n">
        <v>41365</v>
      </c>
      <c r="C440" s="9" t="n">
        <v>1310432</v>
      </c>
      <c r="D440" s="58" t="s">
        <v>41</v>
      </c>
      <c r="E440" s="33" t="n">
        <f aca="false">IF(D440="totale",(C440/(A440*24))/F440,IF(D440="marché libre",(C440/(A440*24))/G440,"spécifier histo"))</f>
        <v>0.827292929292929</v>
      </c>
      <c r="F440" s="59" t="n">
        <v>2200</v>
      </c>
      <c r="G440" s="59" t="n">
        <f aca="false">F440-H440</f>
        <v>2200</v>
      </c>
    </row>
    <row r="441" customFormat="false" ht="12.8" hidden="false" customHeight="false" outlineLevel="0" collapsed="false">
      <c r="A441" s="0" t="n">
        <v>31</v>
      </c>
      <c r="B441" s="31" t="n">
        <v>41395</v>
      </c>
      <c r="C441" s="9" t="n">
        <v>1226027</v>
      </c>
      <c r="D441" s="58" t="s">
        <v>41</v>
      </c>
      <c r="E441" s="33" t="n">
        <f aca="false">IF(D441="totale",(C441/(A441*24))/F441,IF(D441="marché libre",(C441/(A441*24))/G441,"spécifier histo"))</f>
        <v>0.749038978494624</v>
      </c>
      <c r="F441" s="59" t="n">
        <v>2200</v>
      </c>
      <c r="G441" s="59" t="n">
        <f aca="false">F441-H441</f>
        <v>2200</v>
      </c>
    </row>
    <row r="442" customFormat="false" ht="12.8" hidden="false" customHeight="false" outlineLevel="0" collapsed="false">
      <c r="A442" s="0" t="n">
        <v>30</v>
      </c>
      <c r="B442" s="34" t="n">
        <v>41426</v>
      </c>
      <c r="C442" s="9" t="n">
        <v>588294</v>
      </c>
      <c r="D442" s="58" t="s">
        <v>41</v>
      </c>
      <c r="E442" s="33" t="n">
        <f aca="false">IF(D442="totale",(C442/(A442*24))/F442,IF(D442="marché libre",(C442/(A442*24))/G442,"spécifier histo"))</f>
        <v>0.371397727272727</v>
      </c>
      <c r="F442" s="59" t="n">
        <v>2200</v>
      </c>
      <c r="G442" s="59" t="n">
        <f aca="false">F442-H442</f>
        <v>2200</v>
      </c>
      <c r="H442" s="0"/>
    </row>
    <row r="443" customFormat="false" ht="12.8" hidden="false" customHeight="false" outlineLevel="0" collapsed="false">
      <c r="A443" s="0" t="n">
        <v>31</v>
      </c>
      <c r="B443" s="31" t="n">
        <v>41456</v>
      </c>
      <c r="C443" s="9" t="n">
        <v>395171</v>
      </c>
      <c r="D443" s="58" t="s">
        <v>41</v>
      </c>
      <c r="E443" s="33" t="n">
        <f aca="false">IF(D443="totale",(C443/(A443*24))/F443,IF(D443="marché libre",(C443/(A443*24))/G443,"spécifier histo"))</f>
        <v>0.241429007820137</v>
      </c>
      <c r="F443" s="59" t="n">
        <v>2200</v>
      </c>
      <c r="G443" s="59" t="n">
        <f aca="false">F443-H443</f>
        <v>2200</v>
      </c>
      <c r="H443" s="0"/>
    </row>
    <row r="444" customFormat="false" ht="12.8" hidden="false" customHeight="false" outlineLevel="0" collapsed="false">
      <c r="A444" s="0" t="n">
        <v>31</v>
      </c>
      <c r="B444" s="34" t="n">
        <v>41487</v>
      </c>
      <c r="C444" s="9" t="n">
        <v>390936</v>
      </c>
      <c r="D444" s="58" t="s">
        <v>41</v>
      </c>
      <c r="E444" s="33" t="n">
        <f aca="false">IF(D444="totale",(C444/(A444*24))/F444,IF(D444="marché libre",(C444/(A444*24))/G444,"spécifier histo"))</f>
        <v>0.238841642228739</v>
      </c>
      <c r="F444" s="59" t="n">
        <v>2200</v>
      </c>
      <c r="G444" s="59" t="n">
        <f aca="false">F444-H444</f>
        <v>2200</v>
      </c>
      <c r="H444" s="0"/>
    </row>
    <row r="445" customFormat="false" ht="12.8" hidden="false" customHeight="false" outlineLevel="0" collapsed="false">
      <c r="A445" s="0" t="n">
        <v>30</v>
      </c>
      <c r="B445" s="31" t="n">
        <v>41518</v>
      </c>
      <c r="C445" s="9" t="n">
        <v>468839</v>
      </c>
      <c r="D445" s="58" t="s">
        <v>41</v>
      </c>
      <c r="E445" s="33" t="n">
        <f aca="false">IF(D445="totale",(C445/(A445*24))/F445,IF(D445="marché libre",(C445/(A445*24))/G445,"spécifier histo"))</f>
        <v>0.295984217171717</v>
      </c>
      <c r="F445" s="59" t="n">
        <v>2200</v>
      </c>
      <c r="G445" s="59" t="n">
        <f aca="false">F445-H445</f>
        <v>2200</v>
      </c>
      <c r="H445" s="0"/>
      <c r="J445" s="73" t="s">
        <v>856</v>
      </c>
    </row>
    <row r="446" customFormat="false" ht="12.8" hidden="false" customHeight="false" outlineLevel="0" collapsed="false">
      <c r="A446" s="0" t="n">
        <v>31</v>
      </c>
      <c r="B446" s="34" t="n">
        <v>41548</v>
      </c>
      <c r="C446" s="9" t="n">
        <v>540766</v>
      </c>
      <c r="D446" s="58" t="s">
        <v>41</v>
      </c>
      <c r="E446" s="33" t="n">
        <f aca="false">IF(D446="totale",(C446/(A446*24))/F446,IF(D446="marché libre",(C446/(A446*24))/G446,"spécifier histo"))</f>
        <v>0.330380009775171</v>
      </c>
      <c r="F446" s="59" t="n">
        <v>2200</v>
      </c>
      <c r="G446" s="59" t="n">
        <f aca="false">F446-H446</f>
        <v>2200</v>
      </c>
      <c r="H446" s="0"/>
      <c r="J446" s="55" t="s">
        <v>857</v>
      </c>
      <c r="K446" s="55" t="s">
        <v>858</v>
      </c>
      <c r="P446" s="0"/>
      <c r="Q446" s="0"/>
    </row>
    <row r="447" customFormat="false" ht="12.8" hidden="false" customHeight="false" outlineLevel="0" collapsed="false">
      <c r="A447" s="0" t="n">
        <v>30</v>
      </c>
      <c r="B447" s="31" t="n">
        <v>41579</v>
      </c>
      <c r="C447" s="9" t="n">
        <v>948144</v>
      </c>
      <c r="D447" s="58" t="s">
        <v>41</v>
      </c>
      <c r="E447" s="33" t="n">
        <f aca="false">IF(D447="totale",(C447/(A447*24))/F447,IF(D447="marché libre",(C447/(A447*24))/G447,"spécifier histo"))</f>
        <v>0.598575757575758</v>
      </c>
      <c r="F447" s="59" t="n">
        <v>2200</v>
      </c>
      <c r="G447" s="59" t="n">
        <f aca="false">F447-H447</f>
        <v>2200</v>
      </c>
      <c r="H447" s="0"/>
      <c r="J447" s="55"/>
      <c r="K447" s="55" t="s">
        <v>859</v>
      </c>
      <c r="P447" s="0"/>
      <c r="Q447" s="0"/>
    </row>
    <row r="448" customFormat="false" ht="12.8" hidden="false" customHeight="false" outlineLevel="0" collapsed="false">
      <c r="A448" s="0" t="n">
        <v>31</v>
      </c>
      <c r="B448" s="34" t="n">
        <v>41609</v>
      </c>
      <c r="C448" s="9" t="n">
        <v>802790</v>
      </c>
      <c r="D448" s="58" t="s">
        <v>41</v>
      </c>
      <c r="E448" s="33" t="n">
        <f aca="false">IF(D448="totale",(C448/(A448*24))/F448,IF(D448="marché libre",(C448/(A448*24))/G448,"spécifier histo"))</f>
        <v>0.490463098729228</v>
      </c>
      <c r="F448" s="59" t="n">
        <v>2200</v>
      </c>
      <c r="G448" s="59" t="n">
        <f aca="false">F448-H448</f>
        <v>2200</v>
      </c>
      <c r="H448" s="0"/>
      <c r="J448" s="55" t="s">
        <v>860</v>
      </c>
      <c r="P448" s="0"/>
      <c r="Q448" s="0"/>
    </row>
    <row r="449" customFormat="false" ht="12.8" hidden="false" customHeight="false" outlineLevel="0" collapsed="false">
      <c r="A449" s="0" t="n">
        <v>31</v>
      </c>
      <c r="B449" s="31" t="n">
        <v>41640</v>
      </c>
      <c r="C449" s="9" t="n">
        <v>1371749</v>
      </c>
      <c r="D449" s="58" t="s">
        <v>41</v>
      </c>
      <c r="E449" s="33" t="n">
        <f aca="false">IF(D449="totale",(C449/(A449*24))/F449,IF(D449="marché libre",(C449/(A449*24))/G449,"spécifier histo"))</f>
        <v>0.83806757086999</v>
      </c>
      <c r="F449" s="59" t="n">
        <v>2200</v>
      </c>
      <c r="G449" s="59" t="n">
        <f aca="false">F449-H449</f>
        <v>2200</v>
      </c>
      <c r="H449" s="0"/>
      <c r="J449" s="55"/>
      <c r="P449" s="0"/>
      <c r="Q449" s="0"/>
    </row>
    <row r="450" customFormat="false" ht="12.8" hidden="false" customHeight="false" outlineLevel="0" collapsed="false">
      <c r="A450" s="0" t="n">
        <v>28</v>
      </c>
      <c r="B450" s="34" t="n">
        <v>41671</v>
      </c>
      <c r="C450" s="9" t="n">
        <v>1331939</v>
      </c>
      <c r="D450" s="58" t="s">
        <v>41</v>
      </c>
      <c r="E450" s="33" t="n">
        <f aca="false">IF(D450="totale",(C450/(A450*24))/F450,IF(D450="marché libre",(C450/(A450*24))/G450,"spécifier histo"))</f>
        <v>0.900932765151515</v>
      </c>
      <c r="F450" s="59" t="n">
        <v>2200</v>
      </c>
      <c r="G450" s="59" t="n">
        <f aca="false">F450-H450</f>
        <v>2200</v>
      </c>
      <c r="H450" s="0"/>
      <c r="J450" s="55"/>
      <c r="P450" s="0"/>
      <c r="Q450" s="0"/>
    </row>
    <row r="451" customFormat="false" ht="12.8" hidden="false" customHeight="false" outlineLevel="0" collapsed="false">
      <c r="A451" s="0" t="n">
        <v>31</v>
      </c>
      <c r="B451" s="31" t="n">
        <v>41699</v>
      </c>
      <c r="C451" s="9" t="n">
        <v>1524689</v>
      </c>
      <c r="D451" s="58" t="s">
        <v>41</v>
      </c>
      <c r="E451" s="33" t="n">
        <f aca="false">IF(D451="totale",(C451/(A451*24))/F451,IF(D451="marché libre",(C451/(A451*24))/G451,"spécifier histo"))</f>
        <v>0.931505987292277</v>
      </c>
      <c r="F451" s="59" t="n">
        <v>2200</v>
      </c>
      <c r="G451" s="59" t="n">
        <f aca="false">F451-H451</f>
        <v>2200</v>
      </c>
      <c r="H451" s="0"/>
      <c r="J451" s="55"/>
    </row>
    <row r="452" customFormat="false" ht="12.8" hidden="false" customHeight="false" outlineLevel="0" collapsed="false">
      <c r="A452" s="0" t="n">
        <v>30</v>
      </c>
      <c r="B452" s="34" t="n">
        <v>41730</v>
      </c>
      <c r="C452" s="9" t="n">
        <v>883867</v>
      </c>
      <c r="D452" s="58" t="s">
        <v>41</v>
      </c>
      <c r="E452" s="33" t="n">
        <f aca="false">IF(D452="totale",(C452/(A452*24))/F452,IF(D452="marché libre",(C452/(A452*24))/G452,"spécifier histo"))</f>
        <v>0.557996843434343</v>
      </c>
      <c r="F452" s="59" t="n">
        <v>2200</v>
      </c>
      <c r="G452" s="59" t="n">
        <f aca="false">F452-H452</f>
        <v>2200</v>
      </c>
      <c r="H452" s="0"/>
      <c r="J452" s="55"/>
    </row>
    <row r="453" customFormat="false" ht="12.8" hidden="false" customHeight="false" outlineLevel="0" collapsed="false">
      <c r="A453" s="0" t="n">
        <v>31</v>
      </c>
      <c r="B453" s="31" t="n">
        <v>41760</v>
      </c>
      <c r="C453" s="9" t="n">
        <v>459618</v>
      </c>
      <c r="D453" s="58" t="s">
        <v>41</v>
      </c>
      <c r="E453" s="33" t="n">
        <f aca="false">IF(D453="totale",(C453/(A453*24))/F453,IF(D453="marché libre",(C453/(A453*24))/G453,"spécifier histo"))</f>
        <v>0.280802785923754</v>
      </c>
      <c r="F453" s="59" t="n">
        <v>2200</v>
      </c>
      <c r="G453" s="59" t="n">
        <f aca="false">F453-H453</f>
        <v>2200</v>
      </c>
      <c r="H453" s="0"/>
      <c r="J453" s="55"/>
    </row>
    <row r="454" customFormat="false" ht="12.8" hidden="false" customHeight="false" outlineLevel="0" collapsed="false">
      <c r="A454" s="0" t="n">
        <v>30</v>
      </c>
      <c r="B454" s="34" t="n">
        <v>41791</v>
      </c>
      <c r="C454" s="9" t="n">
        <v>65695</v>
      </c>
      <c r="D454" s="58" t="s">
        <v>41</v>
      </c>
      <c r="E454" s="33" t="n">
        <f aca="false">IF(D454="totale",(C454/(A454*24))/F454,IF(D454="marché libre",(C454/(A454*24))/G454,"spécifier histo"))</f>
        <v>0.0414741161616162</v>
      </c>
      <c r="F454" s="59" t="n">
        <v>2200</v>
      </c>
      <c r="G454" s="59" t="n">
        <f aca="false">F454-H454</f>
        <v>2200</v>
      </c>
      <c r="H454" s="0"/>
      <c r="J454" s="55"/>
    </row>
    <row r="455" customFormat="false" ht="12.8" hidden="false" customHeight="false" outlineLevel="0" collapsed="false">
      <c r="A455" s="0" t="n">
        <v>31</v>
      </c>
      <c r="B455" s="31" t="n">
        <v>41821</v>
      </c>
      <c r="C455" s="9" t="n">
        <v>312813</v>
      </c>
      <c r="D455" s="58" t="s">
        <v>41</v>
      </c>
      <c r="E455" s="33" t="n">
        <f aca="false">IF(D455="totale",(C455/(A455*24))/F455,IF(D455="marché libre",(C455/(A455*24))/G455,"spécifier histo"))</f>
        <v>0.191112536656891</v>
      </c>
      <c r="F455" s="59" t="n">
        <v>2200</v>
      </c>
      <c r="G455" s="59" t="n">
        <f aca="false">F455-H455</f>
        <v>2200</v>
      </c>
      <c r="H455" s="0"/>
      <c r="J455" s="55"/>
    </row>
    <row r="456" customFormat="false" ht="12.8" hidden="false" customHeight="false" outlineLevel="0" collapsed="false">
      <c r="A456" s="0" t="n">
        <v>31</v>
      </c>
      <c r="B456" s="34" t="n">
        <v>41852</v>
      </c>
      <c r="C456" s="9" t="n">
        <v>403669</v>
      </c>
      <c r="D456" s="58" t="s">
        <v>41</v>
      </c>
      <c r="E456" s="33" t="n">
        <f aca="false">IF(D456="totale",(C456/(A456*24))/F456,IF(D456="marché libre",(C456/(A456*24))/G456,"spécifier histo"))</f>
        <v>0.246620845552297</v>
      </c>
      <c r="F456" s="59" t="n">
        <v>2200</v>
      </c>
      <c r="G456" s="59" t="n">
        <f aca="false">F456-H456</f>
        <v>2200</v>
      </c>
      <c r="H456" s="0"/>
      <c r="J456" s="55"/>
    </row>
    <row r="457" customFormat="false" ht="12.8" hidden="false" customHeight="false" outlineLevel="0" collapsed="false">
      <c r="A457" s="0" t="n">
        <v>30</v>
      </c>
      <c r="B457" s="31" t="n">
        <v>41883</v>
      </c>
      <c r="C457" s="9" t="n">
        <v>244490</v>
      </c>
      <c r="D457" s="58" t="s">
        <v>41</v>
      </c>
      <c r="E457" s="33" t="n">
        <f aca="false">IF(D457="totale",(C457/(A457*24))/F457,IF(D457="marché libre",(C457/(A457*24))/G457,"spécifier histo"))</f>
        <v>0.154349747474747</v>
      </c>
      <c r="F457" s="59" t="n">
        <v>2200</v>
      </c>
      <c r="G457" s="59" t="n">
        <f aca="false">F457-H457</f>
        <v>2200</v>
      </c>
      <c r="H457" s="0"/>
      <c r="J457" s="55"/>
    </row>
    <row r="458" customFormat="false" ht="12.8" hidden="false" customHeight="false" outlineLevel="0" collapsed="false">
      <c r="A458" s="0" t="n">
        <v>31</v>
      </c>
      <c r="B458" s="34" t="n">
        <v>41913</v>
      </c>
      <c r="C458" s="9" t="n">
        <v>190560</v>
      </c>
      <c r="D458" s="58" t="s">
        <v>41</v>
      </c>
      <c r="E458" s="33" t="n">
        <f aca="false">IF(D458="totale",(C458/(A458*24))/F458,IF(D458="marché libre",(C458/(A458*24))/G458,"spécifier histo"))</f>
        <v>0.116422287390029</v>
      </c>
      <c r="F458" s="59" t="n">
        <v>2200</v>
      </c>
      <c r="G458" s="59" t="n">
        <f aca="false">F458-H458</f>
        <v>2200</v>
      </c>
      <c r="H458" s="0"/>
      <c r="J458" s="55"/>
    </row>
    <row r="459" customFormat="false" ht="12.8" hidden="false" customHeight="false" outlineLevel="0" collapsed="false">
      <c r="A459" s="0" t="n">
        <v>30</v>
      </c>
      <c r="B459" s="31" t="n">
        <v>41944</v>
      </c>
      <c r="C459" s="9" t="n">
        <v>660725</v>
      </c>
      <c r="D459" s="58" t="s">
        <v>41</v>
      </c>
      <c r="E459" s="33" t="n">
        <f aca="false">IF(D459="totale",(C459/(A459*24))/F459,IF(D459="marché libre",(C459/(A459*24))/G459,"spécifier histo"))</f>
        <v>0.417124368686869</v>
      </c>
      <c r="F459" s="59" t="n">
        <v>2200</v>
      </c>
      <c r="G459" s="59" t="n">
        <f aca="false">F459-H459</f>
        <v>2200</v>
      </c>
      <c r="H459" s="0"/>
      <c r="J459" s="55"/>
    </row>
    <row r="460" customFormat="false" ht="12.8" hidden="false" customHeight="false" outlineLevel="0" collapsed="false">
      <c r="A460" s="0" t="n">
        <v>31</v>
      </c>
      <c r="B460" s="34" t="n">
        <v>41974</v>
      </c>
      <c r="C460" s="9" t="n">
        <v>1062821</v>
      </c>
      <c r="D460" s="58" t="s">
        <v>41</v>
      </c>
      <c r="E460" s="33" t="n">
        <f aca="false">IF(D460="totale",(C460/(A460*24))/F460,IF(D460="marché libre",(C460/(A460*24))/G460,"spécifier histo"))</f>
        <v>0.649328567937439</v>
      </c>
      <c r="F460" s="59" t="n">
        <v>2200</v>
      </c>
      <c r="G460" s="59" t="n">
        <f aca="false">F460-H460</f>
        <v>2200</v>
      </c>
      <c r="H460" s="0"/>
      <c r="J460" s="55"/>
    </row>
    <row r="461" customFormat="false" ht="12.8" hidden="false" customHeight="false" outlineLevel="0" collapsed="false">
      <c r="A461" s="0" t="n">
        <v>31</v>
      </c>
      <c r="B461" s="31" t="n">
        <v>42005</v>
      </c>
      <c r="C461" s="9" t="n">
        <v>943829</v>
      </c>
      <c r="D461" s="58" t="s">
        <v>41</v>
      </c>
      <c r="E461" s="33" t="n">
        <f aca="false">IF(D461="totale",(C461/(A461*24))/F461,IF(D461="marché libre",(C461/(A461*24))/G461,"spécifier histo"))</f>
        <v>0.576630620723363</v>
      </c>
      <c r="F461" s="59" t="n">
        <v>2200</v>
      </c>
      <c r="G461" s="59" t="n">
        <f aca="false">F461-H461</f>
        <v>2200</v>
      </c>
      <c r="H461" s="0"/>
      <c r="J461" s="55"/>
    </row>
    <row r="462" customFormat="false" ht="12.8" hidden="false" customHeight="false" outlineLevel="0" collapsed="false">
      <c r="A462" s="0" t="n">
        <v>28</v>
      </c>
      <c r="B462" s="34" t="n">
        <v>42036</v>
      </c>
      <c r="C462" s="9" t="n">
        <v>1440982</v>
      </c>
      <c r="D462" s="58" t="s">
        <v>41</v>
      </c>
      <c r="E462" s="33" t="n">
        <f aca="false">IF(D462="totale",(C462/(A462*24))/F462,IF(D462="marché libre",(C462/(A462*24))/G462,"spécifier histo"))</f>
        <v>0.974690205627705</v>
      </c>
      <c r="F462" s="59" t="n">
        <v>2200</v>
      </c>
      <c r="G462" s="59" t="n">
        <f aca="false">F462-H462</f>
        <v>2200</v>
      </c>
      <c r="H462" s="0"/>
      <c r="J462" s="55"/>
    </row>
    <row r="463" customFormat="false" ht="12.8" hidden="false" customHeight="false" outlineLevel="0" collapsed="false">
      <c r="A463" s="0" t="n">
        <v>31</v>
      </c>
      <c r="B463" s="31" t="n">
        <v>42064</v>
      </c>
      <c r="C463" s="9" t="n">
        <v>1296310</v>
      </c>
      <c r="D463" s="58" t="s">
        <v>41</v>
      </c>
      <c r="E463" s="33" t="n">
        <f aca="false">IF(D463="totale",(C463/(A463*24))/F463,IF(D463="marché libre",(C463/(A463*24))/G463,"spécifier histo"))</f>
        <v>0.791978250244379</v>
      </c>
      <c r="F463" s="59" t="n">
        <v>2200</v>
      </c>
      <c r="G463" s="59" t="n">
        <f aca="false">F463-H463</f>
        <v>2200</v>
      </c>
      <c r="H463" s="0"/>
      <c r="J463" s="55"/>
    </row>
    <row r="464" customFormat="false" ht="12.8" hidden="false" customHeight="false" outlineLevel="0" collapsed="false">
      <c r="A464" s="0" t="n">
        <v>30</v>
      </c>
      <c r="B464" s="34" t="n">
        <v>42095</v>
      </c>
      <c r="C464" s="9" t="n">
        <v>691049</v>
      </c>
      <c r="D464" s="58" t="s">
        <v>41</v>
      </c>
      <c r="E464" s="33" t="n">
        <f aca="false">IF(D464="totale",(C464/(A464*24))/F464,IF(D464="marché libre",(C464/(A464*24))/G464,"spécifier histo"))</f>
        <v>0.436268308080808</v>
      </c>
      <c r="F464" s="59" t="n">
        <v>2200</v>
      </c>
      <c r="G464" s="59" t="n">
        <f aca="false">F464-H464</f>
        <v>2200</v>
      </c>
      <c r="H464" s="0"/>
      <c r="J464" s="55"/>
    </row>
    <row r="465" customFormat="false" ht="12.8" hidden="false" customHeight="false" outlineLevel="0" collapsed="false">
      <c r="A465" s="0" t="n">
        <v>31</v>
      </c>
      <c r="B465" s="31" t="n">
        <v>42125</v>
      </c>
      <c r="C465" s="9" t="n">
        <v>506996</v>
      </c>
      <c r="D465" s="58" t="s">
        <v>41</v>
      </c>
      <c r="E465" s="33" t="n">
        <f aca="false">IF(D465="totale",(C465/(A465*24))/F465,IF(D465="marché libre",(C465/(A465*24))/G465,"spécifier histo"))</f>
        <v>0.309748289345063</v>
      </c>
      <c r="F465" s="59" t="n">
        <v>2200</v>
      </c>
      <c r="G465" s="59" t="n">
        <f aca="false">F465-H465</f>
        <v>2200</v>
      </c>
      <c r="H465" s="0"/>
      <c r="J465" s="55"/>
    </row>
    <row r="466" customFormat="false" ht="12.8" hidden="false" customHeight="false" outlineLevel="0" collapsed="false">
      <c r="A466" s="0" t="n">
        <v>30</v>
      </c>
      <c r="B466" s="34" t="n">
        <v>42156</v>
      </c>
      <c r="C466" s="128" t="n">
        <v>152808</v>
      </c>
      <c r="D466" s="58" t="s">
        <v>41</v>
      </c>
      <c r="E466" s="33" t="n">
        <f aca="false">IF(D466="totale",(C466/(A466*24))/F466,IF(D466="marché libre",(C466/(A466*24))/G466,"spécifier histo"))</f>
        <v>0.096469696969697</v>
      </c>
      <c r="F466" s="59" t="n">
        <v>2200</v>
      </c>
      <c r="G466" s="59" t="n">
        <f aca="false">F466-H466</f>
        <v>2200</v>
      </c>
      <c r="H466" s="0"/>
      <c r="J466" s="55"/>
    </row>
    <row r="467" customFormat="false" ht="12.8" hidden="false" customHeight="false" outlineLevel="0" collapsed="false">
      <c r="A467" s="0" t="n">
        <v>31</v>
      </c>
      <c r="B467" s="31" t="n">
        <v>42186</v>
      </c>
      <c r="C467" s="128" t="n">
        <v>109215</v>
      </c>
      <c r="D467" s="58" t="s">
        <v>41</v>
      </c>
      <c r="E467" s="33" t="n">
        <f aca="false">IF(D467="totale",(C467/(A467*24))/F467,IF(D467="marché libre",(C467/(A467*24))/G467,"spécifier histo"))</f>
        <v>0.066724706744868</v>
      </c>
      <c r="F467" s="59" t="n">
        <v>2200</v>
      </c>
      <c r="G467" s="59" t="n">
        <f aca="false">F467-H467</f>
        <v>2200</v>
      </c>
      <c r="H467" s="0"/>
      <c r="J467" s="55"/>
    </row>
    <row r="468" customFormat="false" ht="12.8" hidden="false" customHeight="false" outlineLevel="0" collapsed="false">
      <c r="A468" s="0" t="n">
        <v>31</v>
      </c>
      <c r="B468" s="34" t="n">
        <v>42217</v>
      </c>
      <c r="C468" s="128" t="n">
        <v>177914</v>
      </c>
      <c r="D468" s="58" t="s">
        <v>41</v>
      </c>
      <c r="E468" s="33" t="n">
        <f aca="false">IF(D468="totale",(C468/(A468*24))/F468,IF(D468="marché libre",(C468/(A468*24))/G468,"spécifier histo"))</f>
        <v>0.10869623655914</v>
      </c>
      <c r="F468" s="59" t="n">
        <v>2200</v>
      </c>
      <c r="G468" s="59" t="n">
        <f aca="false">F468-H468</f>
        <v>2200</v>
      </c>
      <c r="H468" s="0"/>
      <c r="J468" s="55"/>
    </row>
    <row r="469" customFormat="false" ht="12.8" hidden="false" customHeight="false" outlineLevel="0" collapsed="false">
      <c r="A469" s="0" t="n">
        <v>30</v>
      </c>
      <c r="B469" s="31" t="n">
        <v>42248</v>
      </c>
      <c r="C469" s="128" t="n">
        <v>371000</v>
      </c>
      <c r="D469" s="58" t="s">
        <v>41</v>
      </c>
      <c r="E469" s="33" t="n">
        <f aca="false">IF(D469="totale",(C469/(A469*24))/F469,IF(D469="marché libre",(C469/(A469*24))/G469,"spécifier histo"))</f>
        <v>0.234217171717172</v>
      </c>
      <c r="F469" s="59" t="n">
        <v>2200</v>
      </c>
      <c r="G469" s="59" t="n">
        <f aca="false">F469-H469</f>
        <v>2200</v>
      </c>
      <c r="H469" s="0"/>
      <c r="J469" s="55"/>
    </row>
    <row r="470" customFormat="false" ht="12.8" hidden="false" customHeight="false" outlineLevel="0" collapsed="false">
      <c r="A470" s="0" t="n">
        <v>31</v>
      </c>
      <c r="B470" s="34" t="n">
        <v>42278</v>
      </c>
      <c r="C470" s="128" t="n">
        <v>422095</v>
      </c>
      <c r="D470" s="58" t="s">
        <v>41</v>
      </c>
      <c r="E470" s="33" t="n">
        <f aca="false">IF(D470="totale",(C470/(A470*24))/F470,IF(D470="marché libre",(C470/(A470*24))/G470,"spécifier histo"))</f>
        <v>0.257878176930596</v>
      </c>
      <c r="F470" s="59" t="n">
        <v>2200</v>
      </c>
      <c r="G470" s="59" t="n">
        <f aca="false">F470-H470</f>
        <v>2200</v>
      </c>
      <c r="H470" s="0"/>
      <c r="J470" s="55"/>
    </row>
    <row r="471" customFormat="false" ht="12.8" hidden="false" customHeight="false" outlineLevel="0" collapsed="false">
      <c r="A471" s="0" t="n">
        <v>30</v>
      </c>
      <c r="B471" s="31" t="n">
        <v>42309</v>
      </c>
      <c r="C471" s="128" t="n">
        <v>388359</v>
      </c>
      <c r="D471" s="58" t="s">
        <v>41</v>
      </c>
      <c r="E471" s="33" t="n">
        <f aca="false">IF(D471="totale",(C471/(A471*24))/F471,IF(D471="marché libre",(C471/(A471*24))/G471,"spécifier histo"))</f>
        <v>0.245176136363636</v>
      </c>
      <c r="F471" s="59" t="n">
        <v>2200</v>
      </c>
      <c r="G471" s="59" t="n">
        <f aca="false">F471-H471</f>
        <v>2200</v>
      </c>
      <c r="H471" s="0"/>
      <c r="J471" s="55"/>
    </row>
    <row r="472" customFormat="false" ht="12.8" hidden="false" customHeight="false" outlineLevel="0" collapsed="false">
      <c r="A472" s="0" t="n">
        <v>31</v>
      </c>
      <c r="B472" s="34" t="n">
        <v>42339</v>
      </c>
      <c r="C472" s="128" t="n">
        <v>250263</v>
      </c>
      <c r="D472" s="58" t="s">
        <v>41</v>
      </c>
      <c r="E472" s="33" t="n">
        <f aca="false">IF(D472="totale",(C472/(A472*24))/F472,IF(D472="marché libre",(C472/(A472*24))/G472,"spécifier histo"))</f>
        <v>0.152897727272727</v>
      </c>
      <c r="F472" s="59" t="n">
        <v>2200</v>
      </c>
      <c r="G472" s="59" t="n">
        <f aca="false">F472-H472</f>
        <v>2200</v>
      </c>
      <c r="H472" s="0"/>
      <c r="J472" s="55"/>
    </row>
    <row r="473" customFormat="false" ht="12.8" hidden="false" customHeight="false" outlineLevel="0" collapsed="false">
      <c r="A473" s="0" t="n">
        <v>31</v>
      </c>
      <c r="B473" s="31" t="n">
        <v>42370</v>
      </c>
      <c r="C473" s="1" t="n">
        <v>574699</v>
      </c>
      <c r="D473" s="240" t="s">
        <v>42</v>
      </c>
      <c r="E473" s="33" t="n">
        <f aca="false">IF(D473="totale",(C473/(A473*24))/F473,IF(D473="marché libre",(C473/(A473*24))/G473,"spécifier histo"))</f>
        <v>0.351111314760508</v>
      </c>
      <c r="F473" s="67" t="n">
        <v>2200</v>
      </c>
      <c r="G473" s="67" t="n">
        <f aca="false">F473-H473</f>
        <v>2200</v>
      </c>
      <c r="H473" s="466"/>
      <c r="J473" s="55"/>
    </row>
    <row r="474" customFormat="false" ht="12.8" hidden="false" customHeight="false" outlineLevel="0" collapsed="false">
      <c r="A474" s="0" t="n">
        <v>28</v>
      </c>
      <c r="B474" s="34" t="n">
        <v>42401</v>
      </c>
      <c r="C474" s="1" t="n">
        <v>669715</v>
      </c>
      <c r="D474" s="240" t="s">
        <v>42</v>
      </c>
      <c r="E474" s="33" t="n">
        <f aca="false">IF(D474="totale",(C474/(A474*24))/F474,IF(D474="marché libre",(C474/(A474*24))/G474,"spécifier histo"))</f>
        <v>0.996599702380952</v>
      </c>
      <c r="F474" s="59" t="n">
        <v>2200</v>
      </c>
      <c r="G474" s="59" t="n">
        <f aca="false">F474-H474</f>
        <v>1000</v>
      </c>
      <c r="H474" s="59" t="n">
        <v>1200</v>
      </c>
      <c r="I474" s="197" t="s">
        <v>861</v>
      </c>
      <c r="J474" s="197"/>
      <c r="K474" s="0"/>
    </row>
    <row r="475" customFormat="false" ht="12.8" hidden="false" customHeight="false" outlineLevel="0" collapsed="false">
      <c r="A475" s="0" t="n">
        <v>31</v>
      </c>
      <c r="B475" s="31" t="n">
        <v>42430</v>
      </c>
      <c r="C475" s="1" t="n">
        <v>689953</v>
      </c>
      <c r="D475" s="240" t="s">
        <v>42</v>
      </c>
      <c r="E475" s="33" t="n">
        <f aca="false">IF(D475="totale",(C475/(A475*24))/F475,IF(D475="marché libre",(C475/(A475*24))/G475,"spécifier histo"))</f>
        <v>0.927356182795699</v>
      </c>
      <c r="F475" s="59" t="n">
        <v>2200</v>
      </c>
      <c r="G475" s="59" t="n">
        <f aca="false">F475-H475</f>
        <v>1000</v>
      </c>
      <c r="H475" s="59" t="n">
        <v>1200</v>
      </c>
      <c r="J475" s="55"/>
    </row>
    <row r="476" customFormat="false" ht="12.8" hidden="false" customHeight="false" outlineLevel="0" collapsed="false">
      <c r="A476" s="0" t="n">
        <v>30</v>
      </c>
      <c r="B476" s="34" t="n">
        <v>42461</v>
      </c>
      <c r="C476" s="1" t="n">
        <v>638549</v>
      </c>
      <c r="D476" s="240" t="s">
        <v>42</v>
      </c>
      <c r="E476" s="33" t="n">
        <f aca="false">IF(D476="totale",(C476/(A476*24))/F476,IF(D476="marché libre",(C476/(A476*24))/G476,"spécifier histo"))</f>
        <v>0.886873611111111</v>
      </c>
      <c r="F476" s="59" t="n">
        <v>2200</v>
      </c>
      <c r="G476" s="59" t="n">
        <f aca="false">F476-H476</f>
        <v>1000</v>
      </c>
      <c r="H476" s="59" t="n">
        <v>1200</v>
      </c>
      <c r="J476" s="55"/>
    </row>
    <row r="477" customFormat="false" ht="12.8" hidden="false" customHeight="false" outlineLevel="0" collapsed="false">
      <c r="A477" s="0" t="n">
        <v>31</v>
      </c>
      <c r="B477" s="31" t="n">
        <v>42491</v>
      </c>
      <c r="C477" s="1" t="n">
        <v>131258</v>
      </c>
      <c r="D477" s="240" t="s">
        <v>42</v>
      </c>
      <c r="E477" s="33" t="n">
        <f aca="false">IF(D477="totale",(C477/(A477*24))/F477,IF(D477="marché libre",(C477/(A477*24))/G477,"spécifier histo"))</f>
        <v>0.176422043010753</v>
      </c>
      <c r="F477" s="59" t="n">
        <v>2200</v>
      </c>
      <c r="G477" s="59" t="n">
        <f aca="false">F477-H477</f>
        <v>1000</v>
      </c>
      <c r="H477" s="59" t="n">
        <v>1200</v>
      </c>
      <c r="J477" s="55"/>
      <c r="K477" s="63"/>
    </row>
    <row r="478" customFormat="false" ht="12.8" hidden="false" customHeight="false" outlineLevel="0" collapsed="false">
      <c r="A478" s="0" t="n">
        <v>30</v>
      </c>
      <c r="B478" s="34" t="n">
        <v>42522</v>
      </c>
      <c r="C478" s="1" t="n">
        <v>372141</v>
      </c>
      <c r="D478" s="240" t="s">
        <v>42</v>
      </c>
      <c r="E478" s="33" t="n">
        <f aca="false">IF(D478="totale",(C478/(A478*24))/F478,IF(D478="marché libre",(C478/(A478*24))/G478,"spécifier histo"))</f>
        <v>0.5168625</v>
      </c>
      <c r="F478" s="59" t="n">
        <v>2200</v>
      </c>
      <c r="G478" s="59" t="n">
        <f aca="false">F478-H478</f>
        <v>1000</v>
      </c>
      <c r="H478" s="59" t="n">
        <v>1200</v>
      </c>
      <c r="J478" s="55"/>
      <c r="K478" s="63"/>
    </row>
    <row r="479" customFormat="false" ht="12.8" hidden="false" customHeight="false" outlineLevel="0" collapsed="false">
      <c r="A479" s="0" t="n">
        <v>31</v>
      </c>
      <c r="B479" s="31" t="n">
        <v>42552</v>
      </c>
      <c r="C479" s="1" t="n">
        <v>15653</v>
      </c>
      <c r="D479" s="240" t="s">
        <v>42</v>
      </c>
      <c r="E479" s="33" t="n">
        <f aca="false">IF(D479="totale",(C479/(A479*24))/F479,IF(D479="marché libre",(C479/(A479*24))/G479,"spécifier histo"))</f>
        <v>0.0210389784946237</v>
      </c>
      <c r="F479" s="59" t="n">
        <v>2200</v>
      </c>
      <c r="G479" s="59" t="n">
        <f aca="false">F479-H479</f>
        <v>1000</v>
      </c>
      <c r="H479" s="59" t="n">
        <v>1200</v>
      </c>
      <c r="J479" s="55"/>
      <c r="K479" s="63"/>
    </row>
    <row r="480" customFormat="false" ht="12.8" hidden="false" customHeight="false" outlineLevel="0" collapsed="false">
      <c r="A480" s="0" t="n">
        <v>31</v>
      </c>
      <c r="B480" s="34" t="n">
        <v>42583</v>
      </c>
      <c r="C480" s="1" t="n">
        <v>0</v>
      </c>
      <c r="D480" s="240" t="s">
        <v>42</v>
      </c>
      <c r="E480" s="33" t="n">
        <f aca="false">IF(D480="totale",(C480/(A480*24))/F480,IF(D480="marché libre",(C480/(A480*24))/G480,"spécifier histo"))</f>
        <v>0</v>
      </c>
      <c r="F480" s="59" t="n">
        <v>2200</v>
      </c>
      <c r="G480" s="59" t="n">
        <f aca="false">F480-H480</f>
        <v>1000</v>
      </c>
      <c r="H480" s="59" t="n">
        <v>1200</v>
      </c>
      <c r="J480" s="55"/>
    </row>
    <row r="481" customFormat="false" ht="12.8" hidden="false" customHeight="false" outlineLevel="0" collapsed="false">
      <c r="A481" s="0" t="n">
        <v>30</v>
      </c>
      <c r="B481" s="31" t="n">
        <v>42614</v>
      </c>
      <c r="C481" s="1" t="n">
        <v>0</v>
      </c>
      <c r="D481" s="240" t="s">
        <v>42</v>
      </c>
      <c r="E481" s="33" t="n">
        <f aca="false">IF(D481="totale",(C481/(A481*24))/F481,IF(D481="marché libre",(C481/(A481*24))/G481,"spécifier histo"))</f>
        <v>0</v>
      </c>
      <c r="F481" s="59" t="n">
        <v>2200</v>
      </c>
      <c r="G481" s="59" t="n">
        <f aca="false">F481-H481</f>
        <v>1000</v>
      </c>
      <c r="H481" s="59" t="n">
        <v>1200</v>
      </c>
      <c r="J481" s="55"/>
    </row>
    <row r="482" customFormat="false" ht="12.8" hidden="false" customHeight="false" outlineLevel="0" collapsed="false">
      <c r="A482" s="0" t="n">
        <v>31</v>
      </c>
      <c r="B482" s="34" t="n">
        <v>42644</v>
      </c>
      <c r="C482" s="1" t="n">
        <v>0</v>
      </c>
      <c r="D482" s="240" t="s">
        <v>42</v>
      </c>
      <c r="E482" s="33" t="n">
        <f aca="false">IF(D482="totale",(C482/(A482*24))/F482,IF(D482="marché libre",(C482/(A482*24))/G482,"spécifier histo"))</f>
        <v>0</v>
      </c>
      <c r="F482" s="59" t="n">
        <v>2200</v>
      </c>
      <c r="G482" s="59" t="n">
        <f aca="false">F482-H482</f>
        <v>1000</v>
      </c>
      <c r="H482" s="59" t="n">
        <v>1200</v>
      </c>
      <c r="J482" s="0"/>
    </row>
    <row r="483" customFormat="false" ht="12.8" hidden="false" customHeight="false" outlineLevel="0" collapsed="false">
      <c r="A483" s="0" t="n">
        <v>30</v>
      </c>
      <c r="B483" s="31" t="n">
        <v>42675</v>
      </c>
      <c r="C483" s="1" t="n">
        <v>96664</v>
      </c>
      <c r="D483" s="240" t="s">
        <v>42</v>
      </c>
      <c r="E483" s="33" t="n">
        <f aca="false">IF(D483="totale",(C483/(A483*24))/F483,IF(D483="marché libre",(C483/(A483*24))/G483,"spécifier histo"))</f>
        <v>0.134255555555556</v>
      </c>
      <c r="F483" s="59" t="n">
        <v>2200</v>
      </c>
      <c r="G483" s="59" t="n">
        <f aca="false">F483-H483</f>
        <v>1000</v>
      </c>
      <c r="H483" s="59" t="n">
        <v>1200</v>
      </c>
      <c r="J483" s="0"/>
      <c r="K483" s="0"/>
      <c r="L483" s="0"/>
    </row>
    <row r="484" customFormat="false" ht="12.8" hidden="false" customHeight="false" outlineLevel="0" collapsed="false">
      <c r="A484" s="0" t="n">
        <v>31</v>
      </c>
      <c r="B484" s="34" t="n">
        <v>42705</v>
      </c>
      <c r="C484" s="1" t="n">
        <v>117956</v>
      </c>
      <c r="D484" s="240" t="s">
        <v>42</v>
      </c>
      <c r="E484" s="33" t="n">
        <f aca="false">IF(D484="totale",(C484/(A484*24))/F484,IF(D484="marché libre",(C484/(A484*24))/G484,"spécifier histo"))</f>
        <v>0.158543010752688</v>
      </c>
      <c r="F484" s="59" t="n">
        <v>2200</v>
      </c>
      <c r="G484" s="59" t="n">
        <f aca="false">F484-H484</f>
        <v>1000</v>
      </c>
      <c r="H484" s="59" t="n">
        <v>1200</v>
      </c>
      <c r="J484" s="0"/>
      <c r="K484" s="0"/>
      <c r="L484" s="0"/>
    </row>
    <row r="485" customFormat="false" ht="12.8" hidden="false" customHeight="false" outlineLevel="0" collapsed="false">
      <c r="A485" s="0" t="n">
        <v>31</v>
      </c>
      <c r="B485" s="31" t="n">
        <v>42736</v>
      </c>
      <c r="C485" s="1" t="n">
        <v>431993</v>
      </c>
      <c r="D485" s="240" t="s">
        <v>42</v>
      </c>
      <c r="E485" s="33" t="n">
        <f aca="false">IF(D485="totale",(C485/(A485*24))/F485,IF(D485="marché libre",(C485/(A485*24))/G485,"spécifier histo"))</f>
        <v>0.580635752688172</v>
      </c>
      <c r="F485" s="59" t="n">
        <v>2200</v>
      </c>
      <c r="G485" s="59" t="n">
        <f aca="false">F485-H485</f>
        <v>1000</v>
      </c>
      <c r="H485" s="59" t="n">
        <v>1200</v>
      </c>
      <c r="I485" s="0"/>
      <c r="J485" s="0"/>
      <c r="K485" s="0"/>
      <c r="L485" s="0"/>
    </row>
    <row r="486" customFormat="false" ht="12.8" hidden="false" customHeight="false" outlineLevel="0" collapsed="false">
      <c r="A486" s="0" t="n">
        <v>28</v>
      </c>
      <c r="B486" s="34" t="n">
        <v>42767</v>
      </c>
      <c r="C486" s="1" t="n">
        <v>311963</v>
      </c>
      <c r="D486" s="240" t="s">
        <v>42</v>
      </c>
      <c r="E486" s="33" t="n">
        <f aca="false">IF(D486="totale",(C486/(A486*24))/F486,IF(D486="marché libre",(C486/(A486*24))/G486,"spécifier histo"))</f>
        <v>0.464230654761905</v>
      </c>
      <c r="F486" s="59" t="n">
        <v>2200</v>
      </c>
      <c r="G486" s="59" t="n">
        <f aca="false">F486-H486</f>
        <v>1000</v>
      </c>
      <c r="H486" s="59" t="n">
        <v>1200</v>
      </c>
      <c r="J486" s="467" t="s">
        <v>854</v>
      </c>
    </row>
    <row r="487" customFormat="false" ht="12.8" hidden="false" customHeight="false" outlineLevel="0" collapsed="false">
      <c r="A487" s="0" t="n">
        <v>31</v>
      </c>
      <c r="B487" s="31" t="n">
        <v>42795</v>
      </c>
      <c r="C487" s="1" t="n">
        <v>545379</v>
      </c>
      <c r="D487" s="240" t="s">
        <v>42</v>
      </c>
      <c r="E487" s="33" t="n">
        <f aca="false">IF(D487="totale",(C487/(A487*24))/F487,IF(D487="marché libre",(C487/(A487*24))/G487,"spécifier histo"))</f>
        <v>0.733036290322581</v>
      </c>
      <c r="F487" s="59" t="n">
        <v>2200</v>
      </c>
      <c r="G487" s="59" t="n">
        <f aca="false">F487-H487</f>
        <v>1000</v>
      </c>
      <c r="H487" s="59" t="n">
        <v>1200</v>
      </c>
      <c r="J487" s="467" t="s">
        <v>855</v>
      </c>
    </row>
    <row r="488" customFormat="false" ht="12.8" hidden="false" customHeight="false" outlineLevel="0" collapsed="false">
      <c r="A488" s="0" t="n">
        <v>30</v>
      </c>
      <c r="B488" s="34" t="n">
        <v>42826</v>
      </c>
      <c r="C488" s="196" t="n">
        <v>0</v>
      </c>
      <c r="D488" s="240" t="s">
        <v>42</v>
      </c>
      <c r="E488" s="33" t="e">
        <f aca="false">IF(D488="totale",(C488/(A488*24))/F488,IF(D488="marché libre",(C488/(A488*24))/G488,"spécifier histo"))</f>
        <v>#DIV/0!</v>
      </c>
      <c r="F488" s="468" t="n">
        <v>0</v>
      </c>
      <c r="G488" s="468" t="n">
        <v>0</v>
      </c>
      <c r="H488" s="468" t="n">
        <v>0</v>
      </c>
      <c r="I488" s="368" t="s">
        <v>862</v>
      </c>
      <c r="J488" s="0"/>
    </row>
    <row r="489" customFormat="false" ht="12.8" hidden="false" customHeight="false" outlineLevel="0" collapsed="false">
      <c r="A489" s="0" t="n">
        <v>31</v>
      </c>
      <c r="B489" s="31" t="n">
        <v>42856</v>
      </c>
      <c r="C489" s="196" t="n">
        <v>0</v>
      </c>
      <c r="D489" s="240" t="s">
        <v>42</v>
      </c>
      <c r="E489" s="33" t="e">
        <f aca="false">IF(D489="totale",(C489/(A489*24))/F489,IF(D489="marché libre",(C489/(A489*24))/G489,"spécifier histo"))</f>
        <v>#DIV/0!</v>
      </c>
      <c r="F489" s="468" t="n">
        <v>0</v>
      </c>
      <c r="G489" s="468" t="n">
        <v>0</v>
      </c>
      <c r="H489" s="468" t="n">
        <v>0</v>
      </c>
      <c r="I489" s="368" t="s">
        <v>862</v>
      </c>
      <c r="J489" s="55" t="s">
        <v>863</v>
      </c>
      <c r="K489" s="55"/>
    </row>
    <row r="490" customFormat="false" ht="12.8" hidden="false" customHeight="false" outlineLevel="0" collapsed="false">
      <c r="A490" s="0" t="n">
        <v>30</v>
      </c>
      <c r="B490" s="34" t="n">
        <v>42887</v>
      </c>
      <c r="C490" s="196" t="n">
        <v>0</v>
      </c>
      <c r="D490" s="240" t="s">
        <v>42</v>
      </c>
      <c r="E490" s="33" t="e">
        <f aca="false">IF(D490="totale",(C490/(A490*24))/F490,IF(D490="marché libre",(C490/(A490*24))/G490,"spécifier histo"))</f>
        <v>#DIV/0!</v>
      </c>
      <c r="F490" s="468" t="n">
        <v>0</v>
      </c>
      <c r="G490" s="468" t="n">
        <v>0</v>
      </c>
      <c r="H490" s="468" t="n">
        <v>0</v>
      </c>
      <c r="I490" s="368" t="s">
        <v>862</v>
      </c>
      <c r="J490" s="0" t="s">
        <v>864</v>
      </c>
      <c r="K490" s="55"/>
    </row>
    <row r="491" customFormat="false" ht="12.8" hidden="false" customHeight="false" outlineLevel="0" collapsed="false">
      <c r="A491" s="0" t="n">
        <v>31</v>
      </c>
      <c r="B491" s="31" t="n">
        <v>42917</v>
      </c>
      <c r="C491" s="196" t="n">
        <v>0</v>
      </c>
      <c r="D491" s="240" t="s">
        <v>42</v>
      </c>
      <c r="E491" s="33" t="e">
        <f aca="false">IF(D491="totale",(C491/(A491*24))/F491,IF(D491="marché libre",(C491/(A491*24))/G491,"spécifier histo"))</f>
        <v>#DIV/0!</v>
      </c>
      <c r="F491" s="468" t="n">
        <v>0</v>
      </c>
      <c r="G491" s="468" t="n">
        <v>0</v>
      </c>
      <c r="H491" s="468" t="n">
        <v>0</v>
      </c>
      <c r="I491" s="368" t="s">
        <v>862</v>
      </c>
      <c r="J491" s="0" t="s">
        <v>865</v>
      </c>
      <c r="K491" s="55"/>
    </row>
    <row r="492" customFormat="false" ht="12.8" hidden="false" customHeight="false" outlineLevel="0" collapsed="false">
      <c r="A492" s="0" t="n">
        <v>31</v>
      </c>
      <c r="B492" s="34" t="n">
        <v>42948</v>
      </c>
      <c r="C492" s="196" t="n">
        <v>0</v>
      </c>
      <c r="D492" s="240" t="s">
        <v>42</v>
      </c>
      <c r="E492" s="33" t="e">
        <f aca="false">IF(D492="totale",(C492/(A492*24))/F492,IF(D492="marché libre",(C492/(A492*24))/G492,"spécifier histo"))</f>
        <v>#DIV/0!</v>
      </c>
      <c r="F492" s="468" t="n">
        <v>0</v>
      </c>
      <c r="G492" s="468" t="n">
        <v>0</v>
      </c>
      <c r="H492" s="468" t="n">
        <v>0</v>
      </c>
      <c r="I492" s="368" t="s">
        <v>862</v>
      </c>
      <c r="J492" s="0"/>
      <c r="K492" s="0"/>
      <c r="L492" s="0"/>
    </row>
    <row r="493" customFormat="false" ht="12.8" hidden="false" customHeight="false" outlineLevel="0" collapsed="false">
      <c r="A493" s="0" t="n">
        <v>30</v>
      </c>
      <c r="B493" s="31" t="n">
        <v>42979</v>
      </c>
      <c r="C493" s="1" t="n">
        <v>0</v>
      </c>
      <c r="D493" s="240" t="s">
        <v>42</v>
      </c>
      <c r="E493" s="33" t="n">
        <f aca="false">IF(D493="totale",(C493/(A493*24))/F493,IF(D493="marché libre",(C493/(A493*24))/G493,"spécifier histo"))</f>
        <v>0</v>
      </c>
      <c r="F493" s="59" t="n">
        <v>2200</v>
      </c>
      <c r="G493" s="59" t="n">
        <f aca="false">F493-H493</f>
        <v>1000</v>
      </c>
      <c r="H493" s="59" t="n">
        <v>1200</v>
      </c>
      <c r="J493" s="0"/>
      <c r="K493" s="0"/>
      <c r="L493" s="0"/>
    </row>
    <row r="494" customFormat="false" ht="12.8" hidden="false" customHeight="false" outlineLevel="0" collapsed="false">
      <c r="A494" s="0" t="n">
        <v>31</v>
      </c>
      <c r="B494" s="34" t="n">
        <v>43009</v>
      </c>
      <c r="C494" s="1" t="n">
        <v>0</v>
      </c>
      <c r="D494" s="240" t="s">
        <v>42</v>
      </c>
      <c r="E494" s="33" t="n">
        <f aca="false">IF(D494="totale",(C494/(A494*24))/F494,IF(D494="marché libre",(C494/(A494*24))/G494,"spécifier histo"))</f>
        <v>0</v>
      </c>
      <c r="F494" s="59" t="n">
        <v>2200</v>
      </c>
      <c r="G494" s="59" t="n">
        <f aca="false">F494-H494</f>
        <v>1000</v>
      </c>
      <c r="H494" s="59" t="n">
        <v>1200</v>
      </c>
      <c r="J494" s="0"/>
      <c r="K494" s="0"/>
      <c r="L494" s="0"/>
    </row>
    <row r="495" customFormat="false" ht="12.8" hidden="false" customHeight="false" outlineLevel="0" collapsed="false">
      <c r="A495" s="0" t="n">
        <v>30</v>
      </c>
      <c r="B495" s="31" t="n">
        <v>43040</v>
      </c>
      <c r="C495" s="1" t="n">
        <v>0</v>
      </c>
      <c r="D495" s="240" t="s">
        <v>42</v>
      </c>
      <c r="E495" s="33" t="n">
        <f aca="false">IF(D495="totale",(C495/(A495*24))/F495,IF(D495="marché libre",(C495/(A495*24))/G495,"spécifier histo"))</f>
        <v>0</v>
      </c>
      <c r="F495" s="59" t="n">
        <v>2200</v>
      </c>
      <c r="G495" s="59" t="n">
        <f aca="false">F495-H495</f>
        <v>1000</v>
      </c>
      <c r="H495" s="59" t="n">
        <v>1200</v>
      </c>
      <c r="J495" s="55"/>
    </row>
    <row r="496" customFormat="false" ht="12.8" hidden="false" customHeight="false" outlineLevel="0" collapsed="false">
      <c r="A496" s="0" t="n">
        <v>31</v>
      </c>
      <c r="B496" s="34" t="n">
        <v>43070</v>
      </c>
      <c r="C496" s="1" t="n">
        <v>256367</v>
      </c>
      <c r="D496" s="240" t="s">
        <v>42</v>
      </c>
      <c r="E496" s="33" t="n">
        <f aca="false">IF(D496="totale",(C496/(A496*24))/F496,IF(D496="marché libre",(C496/(A496*24))/G496,"spécifier histo"))</f>
        <v>0.344579301075269</v>
      </c>
      <c r="F496" s="59" t="n">
        <v>2200</v>
      </c>
      <c r="G496" s="59" t="n">
        <f aca="false">F496-H496</f>
        <v>1000</v>
      </c>
      <c r="H496" s="59" t="n">
        <v>1200</v>
      </c>
      <c r="J496" s="55"/>
    </row>
    <row r="497" customFormat="false" ht="12.8" hidden="false" customHeight="false" outlineLevel="0" collapsed="false">
      <c r="A497" s="0" t="n">
        <v>31</v>
      </c>
      <c r="B497" s="31" t="n">
        <v>43101</v>
      </c>
      <c r="C497" s="1" t="n">
        <v>538152</v>
      </c>
      <c r="D497" s="240" t="s">
        <v>42</v>
      </c>
      <c r="E497" s="33" t="n">
        <f aca="false">IF(D497="totale",(C497/(A497*24))/F497,IF(D497="marché libre",(C497/(A497*24))/G497,"spécifier histo"))</f>
        <v>0.723322580645161</v>
      </c>
      <c r="F497" s="59" t="n">
        <v>2200</v>
      </c>
      <c r="G497" s="59" t="n">
        <f aca="false">F497-H497</f>
        <v>1000</v>
      </c>
      <c r="H497" s="59" t="n">
        <v>1200</v>
      </c>
      <c r="I49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497">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4.xml><?xml version="1.0" encoding="utf-8"?>
<worksheet xmlns="http://schemas.openxmlformats.org/spreadsheetml/2006/main" xmlns:r="http://schemas.openxmlformats.org/officeDocument/2006/relationships">
  <sheetPr filterMode="false">
    <tabColor rgb="FF00CC33"/>
    <pageSetUpPr fitToPage="false"/>
  </sheetPr>
  <dimension ref="A1:W22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35" activePane="bottomRight" state="frozen"/>
      <selection pane="topLeft" activeCell="A1" activeCellId="0" sqref="A1"/>
      <selection pane="topRight" activeCell="B1" activeCellId="0" sqref="B1"/>
      <selection pane="bottomLeft" activeCell="A135" activeCellId="0" sqref="A135"/>
      <selection pane="bottomRight" activeCell="B138" activeCellId="0" sqref="B138"/>
    </sheetView>
  </sheetViews>
  <sheetFormatPr defaultRowHeight="12.8" zeroHeight="false" outlineLevelRow="0" outlineLevelCol="0"/>
  <cols>
    <col collapsed="false" customWidth="true" hidden="false" outlineLevel="0" max="1" min="1" style="1" width="4.17"/>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4.81"/>
    <col collapsed="false" customWidth="true" hidden="false" outlineLevel="0" max="9" min="9" style="1" width="18.2"/>
    <col collapsed="false" customWidth="true" hidden="false" outlineLevel="0" max="10" min="10" style="1" width="16.98"/>
    <col collapsed="false" customWidth="true" hidden="false" outlineLevel="0" max="11" min="11" style="1" width="13.89"/>
    <col collapsed="false" customWidth="true" hidden="false" outlineLevel="0" max="12" min="12" style="1" width="16.98"/>
    <col collapsed="false" customWidth="true" hidden="false" outlineLevel="0" max="13" min="13" style="1" width="23.61"/>
    <col collapsed="false" customWidth="false" hidden="false" outlineLevel="0" max="14" min="14" style="1" width="11.52"/>
    <col collapsed="false" customWidth="true" hidden="false" outlineLevel="0" max="15" min="15" style="1" width="10.8"/>
    <col collapsed="false" customWidth="true" hidden="false" outlineLevel="0" max="16" min="16" style="1" width="4.32"/>
    <col collapsed="false" customWidth="false" hidden="false" outlineLevel="0" max="17" min="17" style="1" width="11.52"/>
    <col collapsed="false" customWidth="true" hidden="false" outlineLevel="0" max="18" min="18" style="1" width="15.28"/>
    <col collapsed="false" customWidth="true" hidden="false" outlineLevel="0" max="19" min="19" style="1" width="4.32"/>
    <col collapsed="false" customWidth="false" hidden="false" outlineLevel="0" max="1025" min="20" style="1" width="11.52"/>
  </cols>
  <sheetData>
    <row r="1" customFormat="false" ht="30.8" hidden="false" customHeight="true" outlineLevel="0" collapsed="false">
      <c r="B1" s="2" t="s">
        <v>0</v>
      </c>
      <c r="C1" s="2"/>
      <c r="D1" s="2"/>
      <c r="E1" s="2"/>
      <c r="F1" s="3" t="s">
        <v>1</v>
      </c>
      <c r="G1" s="3"/>
      <c r="H1" s="3"/>
      <c r="I1" s="3"/>
      <c r="J1" s="3"/>
      <c r="K1" s="3"/>
      <c r="L1" s="3"/>
      <c r="M1" s="3"/>
      <c r="N1" s="3"/>
      <c r="O1" s="3"/>
    </row>
    <row r="2" customFormat="false" ht="30.8" hidden="false" customHeight="true" outlineLevel="0" collapsed="false">
      <c r="B2" s="2"/>
      <c r="C2" s="2"/>
      <c r="D2" s="2"/>
      <c r="E2" s="2"/>
      <c r="F2" s="3" t="s">
        <v>2</v>
      </c>
      <c r="G2" s="3"/>
      <c r="H2" s="3"/>
      <c r="I2" s="3"/>
      <c r="J2" s="3" t="s">
        <v>3</v>
      </c>
      <c r="K2" s="3"/>
      <c r="L2" s="3"/>
      <c r="M2" s="3" t="s">
        <v>4</v>
      </c>
      <c r="N2" s="3"/>
      <c r="O2" s="3" t="s">
        <v>5</v>
      </c>
      <c r="Q2" s="4"/>
      <c r="R2" s="5" t="s">
        <v>6</v>
      </c>
      <c r="T2" s="6"/>
      <c r="U2" s="7" t="s">
        <v>7</v>
      </c>
      <c r="V2" s="9"/>
      <c r="W2" s="9"/>
    </row>
    <row r="3" customFormat="false" ht="37.45" hidden="false" customHeight="true" outlineLevel="0" collapsed="false">
      <c r="B3" s="10" t="s">
        <v>9</v>
      </c>
      <c r="C3" s="10" t="s">
        <v>10</v>
      </c>
      <c r="D3" s="10" t="s">
        <v>11</v>
      </c>
      <c r="E3" s="11" t="s">
        <v>12</v>
      </c>
      <c r="F3" s="10" t="s">
        <v>13</v>
      </c>
      <c r="G3" s="10" t="s">
        <v>14</v>
      </c>
      <c r="H3" s="10" t="s">
        <v>15</v>
      </c>
      <c r="I3" s="10" t="s">
        <v>16</v>
      </c>
      <c r="J3" s="10" t="s">
        <v>91</v>
      </c>
      <c r="K3" s="10"/>
      <c r="L3" s="10" t="s">
        <v>18</v>
      </c>
      <c r="M3" s="10" t="s">
        <v>19</v>
      </c>
      <c r="N3" s="10" t="s">
        <v>17</v>
      </c>
      <c r="O3" s="3"/>
      <c r="Q3" s="12"/>
      <c r="R3" s="5" t="s">
        <v>20</v>
      </c>
      <c r="T3" s="13"/>
      <c r="U3" s="7" t="s">
        <v>21</v>
      </c>
      <c r="V3" s="9"/>
      <c r="W3" s="9"/>
    </row>
    <row r="4" customFormat="false" ht="40.8" hidden="false" customHeight="true" outlineLevel="0" collapsed="false">
      <c r="B4" s="5" t="s">
        <v>866</v>
      </c>
      <c r="C4" s="16" t="n">
        <v>62262</v>
      </c>
      <c r="D4" s="5" t="s">
        <v>867</v>
      </c>
      <c r="E4" s="14" t="s">
        <v>868</v>
      </c>
      <c r="F4" s="15" t="n">
        <v>810</v>
      </c>
      <c r="G4" s="15" t="n">
        <v>740</v>
      </c>
      <c r="H4" s="15" t="n">
        <v>810</v>
      </c>
      <c r="I4" s="16" t="s">
        <v>869</v>
      </c>
      <c r="J4" s="15" t="n">
        <v>740</v>
      </c>
      <c r="K4" s="15"/>
      <c r="L4" s="16"/>
      <c r="M4" s="16"/>
      <c r="N4" s="16"/>
      <c r="O4" s="4"/>
      <c r="Q4" s="17"/>
      <c r="R4" s="16" t="s">
        <v>23</v>
      </c>
      <c r="T4" s="18"/>
      <c r="U4" s="19" t="s">
        <v>24</v>
      </c>
      <c r="V4" s="19"/>
      <c r="W4" s="19"/>
    </row>
    <row r="5" customFormat="false" ht="28.35" hidden="false" customHeight="true" outlineLevel="0" collapsed="false">
      <c r="F5" s="9"/>
      <c r="G5" s="9"/>
      <c r="H5" s="9"/>
      <c r="J5" s="9"/>
      <c r="K5" s="9"/>
      <c r="Q5" s="9"/>
      <c r="R5" s="9"/>
    </row>
    <row r="6" customFormat="false" ht="28.35" hidden="false" customHeight="true" outlineLevel="0" collapsed="false">
      <c r="B6" s="0"/>
      <c r="C6" s="10" t="s">
        <v>25</v>
      </c>
      <c r="D6" s="10"/>
      <c r="F6" s="20" t="s">
        <v>26</v>
      </c>
      <c r="G6" s="19" t="s">
        <v>870</v>
      </c>
      <c r="H6" s="19"/>
      <c r="I6" s="19"/>
      <c r="J6" s="19"/>
      <c r="K6" s="19"/>
      <c r="L6" s="19"/>
      <c r="M6" s="19"/>
      <c r="N6" s="19"/>
      <c r="O6" s="19"/>
      <c r="Q6" s="469" t="s">
        <v>871</v>
      </c>
      <c r="R6" s="19" t="s">
        <v>27</v>
      </c>
      <c r="S6" s="9"/>
      <c r="T6" s="22"/>
      <c r="U6" s="5" t="s">
        <v>28</v>
      </c>
    </row>
    <row r="7" customFormat="false" ht="44.15" hidden="false" customHeight="true" outlineLevel="0" collapsed="false">
      <c r="B7" s="0"/>
      <c r="C7" s="126" t="s">
        <v>872</v>
      </c>
      <c r="D7" s="126"/>
      <c r="F7" s="20"/>
      <c r="G7" s="20"/>
      <c r="H7" s="19"/>
      <c r="I7" s="19"/>
      <c r="J7" s="19"/>
      <c r="K7" s="19"/>
      <c r="L7" s="19"/>
      <c r="M7" s="19"/>
      <c r="N7" s="19"/>
      <c r="O7" s="19"/>
      <c r="Q7" s="24"/>
      <c r="R7" s="5" t="s">
        <v>29</v>
      </c>
      <c r="S7" s="9"/>
      <c r="T7" s="25"/>
      <c r="U7" s="5" t="s">
        <v>30</v>
      </c>
    </row>
    <row r="8" customFormat="false" ht="44.15" hidden="false" customHeight="true" outlineLevel="0" collapsed="false">
      <c r="A8" s="1" t="n">
        <f aca="false">_xlfn.SHEET()</f>
        <v>54</v>
      </c>
      <c r="F8" s="9"/>
      <c r="G8" s="9"/>
      <c r="H8" s="9"/>
      <c r="J8" s="9"/>
      <c r="K8" s="9"/>
      <c r="S8" s="9"/>
      <c r="T8" s="27"/>
      <c r="U8" s="16" t="s">
        <v>31</v>
      </c>
    </row>
    <row r="9" customFormat="false" ht="39.95" hidden="false" customHeight="true" outlineLevel="0" collapsed="false">
      <c r="A9" s="1" t="n">
        <f aca="false">_xlfn.SHEETS()</f>
        <v>79</v>
      </c>
      <c r="B9" s="9" t="s">
        <v>32</v>
      </c>
      <c r="C9" s="9" t="s">
        <v>51</v>
      </c>
      <c r="D9" s="29" t="s">
        <v>52</v>
      </c>
      <c r="E9" s="1" t="s">
        <v>35</v>
      </c>
      <c r="F9" s="9" t="s">
        <v>36</v>
      </c>
      <c r="G9" s="9" t="s">
        <v>37</v>
      </c>
      <c r="H9" s="9" t="s">
        <v>38</v>
      </c>
      <c r="I9" s="9" t="s">
        <v>39</v>
      </c>
      <c r="J9" s="30" t="s">
        <v>40</v>
      </c>
      <c r="K9" s="30"/>
    </row>
    <row r="10" customFormat="false" ht="18.5" hidden="false" customHeight="true" outlineLevel="0" collapsed="false">
      <c r="A10" s="1" t="n">
        <v>31</v>
      </c>
      <c r="B10" s="31" t="n">
        <v>39448</v>
      </c>
      <c r="C10" s="9" t="n">
        <v>247840</v>
      </c>
      <c r="D10" s="29" t="s">
        <v>42</v>
      </c>
      <c r="E10" s="33" t="n">
        <f aca="false">IF(D10="totale",(C10/(A10*24))/F10,IF(D10="marché libre",(C10/(A10*24))/G10,"spécifier histo"))</f>
        <v>0.450159837256611</v>
      </c>
      <c r="F10" s="59" t="n">
        <v>740</v>
      </c>
      <c r="G10" s="59" t="n">
        <f aca="false">F10-H10</f>
        <v>740</v>
      </c>
      <c r="H10" s="9" t="n">
        <f aca="false">0</f>
        <v>0</v>
      </c>
      <c r="I10" s="9"/>
      <c r="J10" s="30"/>
      <c r="K10" s="30"/>
    </row>
    <row r="11" customFormat="false" ht="18.5" hidden="false" customHeight="true" outlineLevel="0" collapsed="false">
      <c r="A11" s="1" t="n">
        <v>28</v>
      </c>
      <c r="B11" s="34" t="n">
        <v>39479</v>
      </c>
      <c r="C11" s="9" t="n">
        <v>185760</v>
      </c>
      <c r="D11" s="29" t="s">
        <v>42</v>
      </c>
      <c r="E11" s="33" t="n">
        <f aca="false">IF(D11="totale",(C11/(A11*24))/F11,IF(D11="marché libre",(C11/(A11*24))/G11,"spécifier histo"))</f>
        <v>0.373552123552124</v>
      </c>
      <c r="F11" s="59" t="n">
        <v>740</v>
      </c>
      <c r="G11" s="59" t="n">
        <f aca="false">F11-H11</f>
        <v>740</v>
      </c>
      <c r="H11" s="9" t="n">
        <f aca="false">0</f>
        <v>0</v>
      </c>
      <c r="I11" s="9"/>
      <c r="J11" s="30"/>
      <c r="K11" s="30"/>
    </row>
    <row r="12" customFormat="false" ht="18.5" hidden="false" customHeight="true" outlineLevel="0" collapsed="false">
      <c r="A12" s="1" t="n">
        <v>31</v>
      </c>
      <c r="B12" s="31" t="n">
        <v>39508</v>
      </c>
      <c r="C12" s="9" t="n">
        <v>238400</v>
      </c>
      <c r="D12" s="29" t="s">
        <v>42</v>
      </c>
      <c r="E12" s="33" t="n">
        <f aca="false">IF(D12="totale",(C12/(A12*24))/F12,IF(D12="marché libre",(C12/(A12*24))/G12,"spécifier histo"))</f>
        <v>0.43301365882011</v>
      </c>
      <c r="F12" s="59" t="n">
        <v>740</v>
      </c>
      <c r="G12" s="59" t="n">
        <f aca="false">F12-H12</f>
        <v>740</v>
      </c>
      <c r="H12" s="9" t="n">
        <f aca="false">0</f>
        <v>0</v>
      </c>
      <c r="I12" s="9"/>
      <c r="J12" s="30"/>
      <c r="K12" s="30"/>
    </row>
    <row r="13" customFormat="false" ht="18.5" hidden="false" customHeight="true" outlineLevel="0" collapsed="false">
      <c r="A13" s="1" t="n">
        <v>30</v>
      </c>
      <c r="B13" s="34" t="n">
        <v>39539</v>
      </c>
      <c r="C13" s="9" t="n">
        <v>403840</v>
      </c>
      <c r="D13" s="29" t="s">
        <v>42</v>
      </c>
      <c r="E13" s="33" t="n">
        <f aca="false">IF(D13="totale",(C13/(A13*24))/F13,IF(D13="marché libre",(C13/(A13*24))/G13,"spécifier histo"))</f>
        <v>0.757957957957958</v>
      </c>
      <c r="F13" s="59" t="n">
        <v>740</v>
      </c>
      <c r="G13" s="59" t="n">
        <f aca="false">F13-H13</f>
        <v>740</v>
      </c>
      <c r="H13" s="9" t="n">
        <f aca="false">0</f>
        <v>0</v>
      </c>
      <c r="I13" s="9"/>
      <c r="J13" s="30"/>
      <c r="K13" s="30"/>
    </row>
    <row r="14" customFormat="false" ht="18.5" hidden="false" customHeight="true" outlineLevel="0" collapsed="false">
      <c r="A14" s="1" t="n">
        <v>31</v>
      </c>
      <c r="B14" s="31" t="n">
        <v>39569</v>
      </c>
      <c r="C14" s="9" t="n">
        <v>370720</v>
      </c>
      <c r="D14" s="29" t="s">
        <v>42</v>
      </c>
      <c r="E14" s="33" t="n">
        <f aca="false">IF(D14="totale",(C14/(A14*24))/F14,IF(D14="marché libre",(C14/(A14*24))/G14,"spécifier histo"))</f>
        <v>0.673350770124964</v>
      </c>
      <c r="F14" s="59" t="n">
        <v>740</v>
      </c>
      <c r="G14" s="59" t="n">
        <f aca="false">F14-H14</f>
        <v>740</v>
      </c>
      <c r="H14" s="9" t="n">
        <f aca="false">0</f>
        <v>0</v>
      </c>
      <c r="I14" s="9"/>
      <c r="J14" s="30"/>
      <c r="K14" s="30"/>
    </row>
    <row r="15" customFormat="false" ht="18.5" hidden="false" customHeight="true" outlineLevel="0" collapsed="false">
      <c r="A15" s="1" t="n">
        <v>30</v>
      </c>
      <c r="B15" s="34" t="n">
        <v>39600</v>
      </c>
      <c r="C15" s="9" t="n">
        <v>415200</v>
      </c>
      <c r="D15" s="29" t="s">
        <v>42</v>
      </c>
      <c r="E15" s="33" t="n">
        <f aca="false">IF(D15="totale",(C15/(A15*24))/F15,IF(D15="marché libre",(C15/(A15*24))/G15,"spécifier histo"))</f>
        <v>0.779279279279279</v>
      </c>
      <c r="F15" s="59" t="n">
        <v>740</v>
      </c>
      <c r="G15" s="59" t="n">
        <f aca="false">F15-H15</f>
        <v>740</v>
      </c>
      <c r="H15" s="9" t="n">
        <f aca="false">0</f>
        <v>0</v>
      </c>
      <c r="I15" s="9"/>
      <c r="J15" s="30"/>
      <c r="K15" s="30"/>
    </row>
    <row r="16" customFormat="false" ht="18.5" hidden="false" customHeight="true" outlineLevel="0" collapsed="false">
      <c r="A16" s="1" t="n">
        <v>31</v>
      </c>
      <c r="B16" s="31" t="n">
        <v>39630</v>
      </c>
      <c r="C16" s="9" t="n">
        <v>197280</v>
      </c>
      <c r="D16" s="29" t="s">
        <v>42</v>
      </c>
      <c r="E16" s="33" t="n">
        <f aca="false">IF(D16="totale",(C16/(A16*24))/F16,IF(D16="marché libre",(C16/(A16*24))/G16,"spécifier histo"))</f>
        <v>0.358326068003487</v>
      </c>
      <c r="F16" s="59" t="n">
        <v>740</v>
      </c>
      <c r="G16" s="59" t="n">
        <f aca="false">F16-H16</f>
        <v>740</v>
      </c>
      <c r="H16" s="9" t="n">
        <f aca="false">0</f>
        <v>0</v>
      </c>
      <c r="I16" s="9"/>
      <c r="J16" s="30"/>
      <c r="K16" s="30"/>
    </row>
    <row r="17" customFormat="false" ht="18.5" hidden="false" customHeight="true" outlineLevel="0" collapsed="false">
      <c r="A17" s="1" t="n">
        <v>31</v>
      </c>
      <c r="B17" s="34" t="n">
        <v>39661</v>
      </c>
      <c r="C17" s="9" t="n">
        <v>18008</v>
      </c>
      <c r="D17" s="29" t="s">
        <v>42</v>
      </c>
      <c r="E17" s="33" t="n">
        <f aca="false">IF(D17="totale",(C17/(A17*24))/F17,IF(D17="marché libre",(C17/(A17*24))/G17,"spécifier histo"))</f>
        <v>0.0327085149665795</v>
      </c>
      <c r="F17" s="59" t="n">
        <v>740</v>
      </c>
      <c r="G17" s="59" t="n">
        <f aca="false">F17-H17</f>
        <v>740</v>
      </c>
      <c r="H17" s="9" t="n">
        <f aca="false">0</f>
        <v>0</v>
      </c>
      <c r="I17" s="9"/>
      <c r="J17" s="30"/>
      <c r="K17" s="30"/>
    </row>
    <row r="18" customFormat="false" ht="18.5" hidden="false" customHeight="true" outlineLevel="0" collapsed="false">
      <c r="A18" s="1" t="n">
        <v>30</v>
      </c>
      <c r="B18" s="31" t="n">
        <v>39692</v>
      </c>
      <c r="C18" s="9" t="n">
        <v>13440</v>
      </c>
      <c r="D18" s="29" t="s">
        <v>42</v>
      </c>
      <c r="E18" s="33" t="n">
        <f aca="false">IF(D18="totale",(C18/(A18*24))/F18,IF(D18="marché libre",(C18/(A18*24))/G18,"spécifier histo"))</f>
        <v>0.0252252252252252</v>
      </c>
      <c r="F18" s="59" t="n">
        <v>740</v>
      </c>
      <c r="G18" s="59" t="n">
        <f aca="false">F18-H18</f>
        <v>740</v>
      </c>
      <c r="H18" s="9" t="n">
        <f aca="false">0</f>
        <v>0</v>
      </c>
      <c r="I18" s="9"/>
      <c r="J18" s="30"/>
      <c r="K18" s="30"/>
    </row>
    <row r="19" customFormat="false" ht="18.5" hidden="false" customHeight="true" outlineLevel="0" collapsed="false">
      <c r="A19" s="1" t="n">
        <v>31</v>
      </c>
      <c r="B19" s="34" t="n">
        <v>39722</v>
      </c>
      <c r="C19" s="9" t="n">
        <v>28320</v>
      </c>
      <c r="D19" s="29" t="s">
        <v>42</v>
      </c>
      <c r="E19" s="33" t="n">
        <f aca="false">IF(D19="totale",(C19/(A19*24))/F19,IF(D19="marché libre",(C19/(A19*24))/G19,"spécifier histo"))</f>
        <v>0.0514385353095031</v>
      </c>
      <c r="F19" s="59" t="n">
        <v>740</v>
      </c>
      <c r="G19" s="59" t="n">
        <f aca="false">F19-H19</f>
        <v>740</v>
      </c>
      <c r="H19" s="9" t="n">
        <f aca="false">0</f>
        <v>0</v>
      </c>
      <c r="I19" s="9"/>
      <c r="J19" s="30"/>
      <c r="K19" s="30"/>
    </row>
    <row r="20" customFormat="false" ht="18.5" hidden="false" customHeight="true" outlineLevel="0" collapsed="false">
      <c r="A20" s="1" t="n">
        <v>30</v>
      </c>
      <c r="B20" s="31" t="n">
        <v>39753</v>
      </c>
      <c r="C20" s="9" t="n">
        <v>315680</v>
      </c>
      <c r="D20" s="29" t="s">
        <v>42</v>
      </c>
      <c r="E20" s="33" t="n">
        <f aca="false">IF(D20="totale",(C20/(A20*24))/F20,IF(D20="marché libre",(C20/(A20*24))/G20,"spécifier histo"))</f>
        <v>0.592492492492492</v>
      </c>
      <c r="F20" s="59" t="n">
        <v>740</v>
      </c>
      <c r="G20" s="59" t="n">
        <f aca="false">F20-H20</f>
        <v>740</v>
      </c>
      <c r="H20" s="9" t="n">
        <f aca="false">0</f>
        <v>0</v>
      </c>
      <c r="I20" s="9"/>
      <c r="J20" s="30"/>
      <c r="K20" s="30"/>
    </row>
    <row r="21" customFormat="false" ht="18.5" hidden="false" customHeight="true" outlineLevel="0" collapsed="false">
      <c r="A21" s="1" t="n">
        <v>31</v>
      </c>
      <c r="B21" s="34" t="n">
        <v>39783</v>
      </c>
      <c r="C21" s="9" t="n">
        <v>190400</v>
      </c>
      <c r="D21" s="29" t="s">
        <v>42</v>
      </c>
      <c r="E21" s="33" t="n">
        <f aca="false">IF(D21="totale",(C21/(A21*24))/F21,IF(D21="marché libre",(C21/(A21*24))/G21,"spécifier histo"))</f>
        <v>0.34582970066841</v>
      </c>
      <c r="F21" s="59" t="n">
        <v>740</v>
      </c>
      <c r="G21" s="59" t="n">
        <f aca="false">F21-H21</f>
        <v>740</v>
      </c>
      <c r="H21" s="9" t="n">
        <f aca="false">0</f>
        <v>0</v>
      </c>
      <c r="I21" s="9"/>
      <c r="J21" s="30"/>
      <c r="K21" s="30"/>
    </row>
    <row r="22" customFormat="false" ht="18.5" hidden="false" customHeight="true" outlineLevel="0" collapsed="false">
      <c r="A22" s="1" t="n">
        <v>31</v>
      </c>
      <c r="B22" s="31" t="n">
        <v>39814</v>
      </c>
      <c r="C22" s="9" t="n">
        <v>218400</v>
      </c>
      <c r="D22" s="29" t="s">
        <v>42</v>
      </c>
      <c r="E22" s="33" t="n">
        <f aca="false">IF(D22="totale",(C22/(A22*24))/F22,IF(D22="marché libre",(C22/(A22*24))/G22,"spécifier histo"))</f>
        <v>0.396687009590235</v>
      </c>
      <c r="F22" s="59" t="n">
        <v>740</v>
      </c>
      <c r="G22" s="59" t="n">
        <f aca="false">F22-H22</f>
        <v>740</v>
      </c>
      <c r="H22" s="9" t="n">
        <f aca="false">0</f>
        <v>0</v>
      </c>
      <c r="I22" s="9"/>
      <c r="J22" s="30"/>
      <c r="K22" s="30"/>
    </row>
    <row r="23" customFormat="false" ht="18.5" hidden="false" customHeight="true" outlineLevel="0" collapsed="false">
      <c r="A23" s="1" t="n">
        <v>28</v>
      </c>
      <c r="B23" s="34" t="n">
        <v>39845</v>
      </c>
      <c r="C23" s="9" t="n">
        <v>186880</v>
      </c>
      <c r="D23" s="29" t="s">
        <v>42</v>
      </c>
      <c r="E23" s="33" t="n">
        <f aca="false">IF(D23="totale",(C23/(A23*24))/F23,IF(D23="marché libre",(C23/(A23*24))/G23,"spécifier histo"))</f>
        <v>0.375804375804376</v>
      </c>
      <c r="F23" s="59" t="n">
        <v>740</v>
      </c>
      <c r="G23" s="59" t="n">
        <f aca="false">F23-H23</f>
        <v>740</v>
      </c>
      <c r="H23" s="9" t="n">
        <f aca="false">0</f>
        <v>0</v>
      </c>
      <c r="I23" s="9"/>
      <c r="J23" s="30"/>
      <c r="K23" s="30"/>
    </row>
    <row r="24" customFormat="false" ht="18.5" hidden="false" customHeight="true" outlineLevel="0" collapsed="false">
      <c r="A24" s="1" t="n">
        <v>31</v>
      </c>
      <c r="B24" s="31" t="n">
        <v>39873</v>
      </c>
      <c r="C24" s="9" t="n">
        <v>390240</v>
      </c>
      <c r="D24" s="29" t="s">
        <v>42</v>
      </c>
      <c r="E24" s="33" t="n">
        <f aca="false">IF(D24="totale",(C24/(A24*24))/F24,IF(D24="marché libre",(C24/(A24*24))/G24,"spécifier histo"))</f>
        <v>0.708805579773322</v>
      </c>
      <c r="F24" s="59" t="n">
        <v>740</v>
      </c>
      <c r="G24" s="59" t="n">
        <f aca="false">F24-H24</f>
        <v>740</v>
      </c>
      <c r="H24" s="9" t="n">
        <f aca="false">0</f>
        <v>0</v>
      </c>
      <c r="I24" s="9"/>
      <c r="J24" s="30"/>
      <c r="K24" s="30"/>
    </row>
    <row r="25" customFormat="false" ht="18.5" hidden="false" customHeight="true" outlineLevel="0" collapsed="false">
      <c r="A25" s="1" t="n">
        <v>30</v>
      </c>
      <c r="B25" s="34" t="n">
        <v>39904</v>
      </c>
      <c r="C25" s="9" t="n">
        <v>471840</v>
      </c>
      <c r="D25" s="29" t="s">
        <v>42</v>
      </c>
      <c r="E25" s="33" t="n">
        <f aca="false">IF(D25="totale",(C25/(A25*24))/F25,IF(D25="marché libre",(C25/(A25*24))/G25,"spécifier histo"))</f>
        <v>0.885585585585586</v>
      </c>
      <c r="F25" s="59" t="n">
        <v>740</v>
      </c>
      <c r="G25" s="59" t="n">
        <f aca="false">F25-H25</f>
        <v>740</v>
      </c>
      <c r="H25" s="9" t="n">
        <f aca="false">0</f>
        <v>0</v>
      </c>
      <c r="I25" s="9"/>
      <c r="J25" s="30"/>
      <c r="K25" s="30"/>
    </row>
    <row r="26" customFormat="false" ht="18.5" hidden="false" customHeight="true" outlineLevel="0" collapsed="false">
      <c r="A26" s="1" t="n">
        <v>31</v>
      </c>
      <c r="B26" s="31" t="n">
        <v>39934</v>
      </c>
      <c r="C26" s="9" t="n">
        <v>393600</v>
      </c>
      <c r="D26" s="29" t="s">
        <v>42</v>
      </c>
      <c r="E26" s="33" t="n">
        <f aca="false">IF(D26="totale",(C26/(A26*24))/F26,IF(D26="marché libre",(C26/(A26*24))/G26,"spécifier histo"))</f>
        <v>0.714908456843941</v>
      </c>
      <c r="F26" s="59" t="n">
        <v>740</v>
      </c>
      <c r="G26" s="59" t="n">
        <f aca="false">F26-H26</f>
        <v>740</v>
      </c>
      <c r="H26" s="9" t="n">
        <f aca="false">0</f>
        <v>0</v>
      </c>
      <c r="I26" s="9"/>
      <c r="J26" s="30"/>
      <c r="K26" s="30"/>
    </row>
    <row r="27" customFormat="false" ht="18.5" hidden="false" customHeight="true" outlineLevel="0" collapsed="false">
      <c r="A27" s="1" t="n">
        <v>30</v>
      </c>
      <c r="B27" s="34" t="n">
        <v>39965</v>
      </c>
      <c r="C27" s="9" t="n">
        <v>130560</v>
      </c>
      <c r="D27" s="29" t="s">
        <v>42</v>
      </c>
      <c r="E27" s="33" t="n">
        <f aca="false">IF(D27="totale",(C27/(A27*24))/F27,IF(D27="marché libre",(C27/(A27*24))/G27,"spécifier histo"))</f>
        <v>0.245045045045045</v>
      </c>
      <c r="F27" s="59" t="n">
        <v>740</v>
      </c>
      <c r="G27" s="59" t="n">
        <f aca="false">F27-H27</f>
        <v>740</v>
      </c>
      <c r="H27" s="9" t="n">
        <f aca="false">0</f>
        <v>0</v>
      </c>
      <c r="I27" s="9"/>
      <c r="J27" s="30"/>
      <c r="K27" s="30"/>
    </row>
    <row r="28" customFormat="false" ht="18.5" hidden="false" customHeight="true" outlineLevel="0" collapsed="false">
      <c r="A28" s="1" t="n">
        <v>31</v>
      </c>
      <c r="B28" s="31" t="n">
        <v>39995</v>
      </c>
      <c r="C28" s="9" t="n">
        <v>25600</v>
      </c>
      <c r="D28" s="29" t="s">
        <v>42</v>
      </c>
      <c r="E28" s="33" t="n">
        <f aca="false">IF(D28="totale",(C28/(A28*24))/F28,IF(D28="marché libre",(C28/(A28*24))/G28,"spécifier histo"))</f>
        <v>0.04649811101424</v>
      </c>
      <c r="F28" s="59" t="n">
        <v>740</v>
      </c>
      <c r="G28" s="59" t="n">
        <f aca="false">F28-H28</f>
        <v>740</v>
      </c>
      <c r="H28" s="9" t="n">
        <f aca="false">0</f>
        <v>0</v>
      </c>
      <c r="I28" s="9"/>
      <c r="J28" s="30"/>
      <c r="K28" s="30"/>
    </row>
    <row r="29" customFormat="false" ht="18.5" hidden="false" customHeight="true" outlineLevel="0" collapsed="false">
      <c r="A29" s="1" t="n">
        <v>31</v>
      </c>
      <c r="B29" s="34" t="n">
        <v>40026</v>
      </c>
      <c r="C29" s="9" t="n">
        <v>0</v>
      </c>
      <c r="D29" s="29" t="s">
        <v>42</v>
      </c>
      <c r="E29" s="33" t="n">
        <f aca="false">IF(D29="totale",(C29/(A29*24))/F29,IF(D29="marché libre",(C29/(A29*24))/G29,"spécifier histo"))</f>
        <v>0</v>
      </c>
      <c r="F29" s="59" t="n">
        <v>740</v>
      </c>
      <c r="G29" s="59" t="n">
        <f aca="false">F29-H29</f>
        <v>740</v>
      </c>
      <c r="H29" s="9" t="n">
        <f aca="false">0</f>
        <v>0</v>
      </c>
      <c r="I29" s="9" t="s">
        <v>873</v>
      </c>
      <c r="J29" s="30"/>
      <c r="K29" s="30"/>
    </row>
    <row r="30" customFormat="false" ht="18.5" hidden="false" customHeight="true" outlineLevel="0" collapsed="false">
      <c r="A30" s="1" t="n">
        <v>30</v>
      </c>
      <c r="B30" s="31" t="n">
        <v>40057</v>
      </c>
      <c r="C30" s="9" t="n">
        <v>0</v>
      </c>
      <c r="D30" s="29" t="s">
        <v>42</v>
      </c>
      <c r="E30" s="33" t="n">
        <f aca="false">IF(D30="totale",(C30/(A30*24))/F30,IF(D30="marché libre",(C30/(A30*24))/G30,"spécifier histo"))</f>
        <v>0</v>
      </c>
      <c r="F30" s="59" t="n">
        <v>740</v>
      </c>
      <c r="G30" s="59" t="n">
        <f aca="false">F30-H30</f>
        <v>740</v>
      </c>
      <c r="H30" s="9" t="n">
        <f aca="false">0</f>
        <v>0</v>
      </c>
      <c r="I30" s="9" t="s">
        <v>873</v>
      </c>
      <c r="J30" s="30"/>
      <c r="K30" s="30"/>
    </row>
    <row r="31" customFormat="false" ht="18.5" hidden="false" customHeight="true" outlineLevel="0" collapsed="false">
      <c r="A31" s="1" t="n">
        <v>31</v>
      </c>
      <c r="B31" s="34" t="n">
        <v>40087</v>
      </c>
      <c r="C31" s="9" t="n">
        <v>3040</v>
      </c>
      <c r="D31" s="29" t="s">
        <v>42</v>
      </c>
      <c r="E31" s="33" t="n">
        <f aca="false">IF(D31="totale",(C31/(A31*24))/F31,IF(D31="marché libre",(C31/(A31*24))/G31,"spécifier histo"))</f>
        <v>0.00552165068294101</v>
      </c>
      <c r="F31" s="59" t="n">
        <v>740</v>
      </c>
      <c r="G31" s="59" t="n">
        <f aca="false">F31-H31</f>
        <v>740</v>
      </c>
      <c r="H31" s="9" t="n">
        <f aca="false">0</f>
        <v>0</v>
      </c>
      <c r="I31" s="9"/>
      <c r="J31" s="30"/>
      <c r="K31" s="30"/>
    </row>
    <row r="32" customFormat="false" ht="18.5" hidden="false" customHeight="true" outlineLevel="0" collapsed="false">
      <c r="A32" s="1" t="n">
        <v>30</v>
      </c>
      <c r="B32" s="31" t="n">
        <v>40118</v>
      </c>
      <c r="C32" s="9" t="n">
        <v>48800</v>
      </c>
      <c r="D32" s="29" t="s">
        <v>42</v>
      </c>
      <c r="E32" s="33" t="n">
        <f aca="false">IF(D32="totale",(C32/(A32*24))/F32,IF(D32="marché libre",(C32/(A32*24))/G32,"spécifier histo"))</f>
        <v>0.0915915915915916</v>
      </c>
      <c r="F32" s="59" t="n">
        <v>740</v>
      </c>
      <c r="G32" s="59" t="n">
        <f aca="false">F32-H32</f>
        <v>740</v>
      </c>
      <c r="H32" s="9" t="n">
        <f aca="false">0</f>
        <v>0</v>
      </c>
      <c r="I32" s="9"/>
      <c r="J32" s="30"/>
      <c r="K32" s="30"/>
    </row>
    <row r="33" customFormat="false" ht="18.5" hidden="false" customHeight="true" outlineLevel="0" collapsed="false">
      <c r="A33" s="1" t="n">
        <v>31</v>
      </c>
      <c r="B33" s="34" t="n">
        <v>40148</v>
      </c>
      <c r="C33" s="9" t="n">
        <v>71040</v>
      </c>
      <c r="D33" s="29" t="s">
        <v>42</v>
      </c>
      <c r="E33" s="33" t="n">
        <f aca="false">IF(D33="totale",(C33/(A33*24))/F33,IF(D33="marché libre",(C33/(A33*24))/G33,"spécifier histo"))</f>
        <v>0.129032258064516</v>
      </c>
      <c r="F33" s="59" t="n">
        <v>740</v>
      </c>
      <c r="G33" s="59" t="n">
        <f aca="false">F33-H33</f>
        <v>740</v>
      </c>
      <c r="H33" s="9" t="n">
        <f aca="false">0</f>
        <v>0</v>
      </c>
      <c r="I33" s="9"/>
      <c r="J33" s="30"/>
      <c r="K33" s="30"/>
    </row>
    <row r="34" customFormat="false" ht="18.5" hidden="false" customHeight="true" outlineLevel="0" collapsed="false">
      <c r="A34" s="1" t="n">
        <v>31</v>
      </c>
      <c r="B34" s="31" t="n">
        <v>40179</v>
      </c>
      <c r="C34" s="9" t="n">
        <v>117120</v>
      </c>
      <c r="D34" s="29" t="s">
        <v>42</v>
      </c>
      <c r="E34" s="33" t="n">
        <f aca="false">IF(D34="totale",(C34/(A34*24))/F34,IF(D34="marché libre",(C34/(A34*24))/G34,"spécifier histo"))</f>
        <v>0.212728857890148</v>
      </c>
      <c r="F34" s="59" t="n">
        <v>740</v>
      </c>
      <c r="G34" s="59" t="n">
        <f aca="false">F34-H34</f>
        <v>740</v>
      </c>
      <c r="H34" s="9" t="n">
        <f aca="false">0</f>
        <v>0</v>
      </c>
      <c r="I34" s="9"/>
      <c r="J34" s="30"/>
      <c r="K34" s="30"/>
    </row>
    <row r="35" customFormat="false" ht="18.5" hidden="false" customHeight="true" outlineLevel="0" collapsed="false">
      <c r="A35" s="1" t="n">
        <v>28</v>
      </c>
      <c r="B35" s="34" t="n">
        <v>40210</v>
      </c>
      <c r="C35" s="9" t="n">
        <v>128640</v>
      </c>
      <c r="D35" s="29" t="s">
        <v>42</v>
      </c>
      <c r="E35" s="33" t="n">
        <f aca="false">IF(D35="totale",(C35/(A35*24))/F35,IF(D35="marché libre",(C35/(A35*24))/G35,"spécifier histo"))</f>
        <v>0.258687258687259</v>
      </c>
      <c r="F35" s="59" t="n">
        <v>740</v>
      </c>
      <c r="G35" s="59" t="n">
        <f aca="false">F35-H35</f>
        <v>740</v>
      </c>
      <c r="H35" s="9" t="n">
        <f aca="false">0</f>
        <v>0</v>
      </c>
      <c r="I35" s="9"/>
      <c r="J35" s="30"/>
      <c r="K35" s="30"/>
    </row>
    <row r="36" customFormat="false" ht="18.5" hidden="false" customHeight="true" outlineLevel="0" collapsed="false">
      <c r="A36" s="1" t="n">
        <v>31</v>
      </c>
      <c r="B36" s="31" t="n">
        <v>40238</v>
      </c>
      <c r="C36" s="9" t="n">
        <v>357120</v>
      </c>
      <c r="D36" s="29" t="s">
        <v>42</v>
      </c>
      <c r="E36" s="33" t="n">
        <f aca="false">IF(D36="totale",(C36/(A36*24))/F36,IF(D36="marché libre",(C36/(A36*24))/G36,"spécifier histo"))</f>
        <v>0.648648648648649</v>
      </c>
      <c r="F36" s="59" t="n">
        <v>740</v>
      </c>
      <c r="G36" s="59" t="n">
        <f aca="false">F36-H36</f>
        <v>740</v>
      </c>
      <c r="H36" s="9" t="n">
        <f aca="false">0</f>
        <v>0</v>
      </c>
      <c r="I36" s="9"/>
      <c r="J36" s="30"/>
      <c r="K36" s="30"/>
    </row>
    <row r="37" customFormat="false" ht="18.5" hidden="false" customHeight="true" outlineLevel="0" collapsed="false">
      <c r="A37" s="1" t="n">
        <v>30</v>
      </c>
      <c r="B37" s="34" t="n">
        <v>40269</v>
      </c>
      <c r="C37" s="9" t="n">
        <v>413440</v>
      </c>
      <c r="D37" s="29" t="s">
        <v>42</v>
      </c>
      <c r="E37" s="33" t="n">
        <f aca="false">IF(D37="totale",(C37/(A37*24))/F37,IF(D37="marché libre",(C37/(A37*24))/G37,"spécifier histo"))</f>
        <v>0.775975975975976</v>
      </c>
      <c r="F37" s="59" t="n">
        <v>740</v>
      </c>
      <c r="G37" s="59" t="n">
        <f aca="false">F37-H37</f>
        <v>740</v>
      </c>
      <c r="H37" s="9" t="n">
        <f aca="false">0</f>
        <v>0</v>
      </c>
      <c r="I37" s="9"/>
      <c r="J37" s="30"/>
      <c r="K37" s="30"/>
    </row>
    <row r="38" customFormat="false" ht="18.5" hidden="false" customHeight="true" outlineLevel="0" collapsed="false">
      <c r="A38" s="1" t="n">
        <v>31</v>
      </c>
      <c r="B38" s="31" t="n">
        <v>40299</v>
      </c>
      <c r="C38" s="9" t="n">
        <v>382400</v>
      </c>
      <c r="D38" s="29" t="s">
        <v>42</v>
      </c>
      <c r="E38" s="33" t="n">
        <f aca="false">IF(D38="totale",(C38/(A38*24))/F38,IF(D38="marché libre",(C38/(A38*24))/G38,"spécifier histo"))</f>
        <v>0.694565533275211</v>
      </c>
      <c r="F38" s="59" t="n">
        <v>740</v>
      </c>
      <c r="G38" s="59" t="n">
        <f aca="false">F38-H38</f>
        <v>740</v>
      </c>
      <c r="H38" s="9" t="n">
        <f aca="false">0</f>
        <v>0</v>
      </c>
      <c r="I38" s="9"/>
      <c r="J38" s="30"/>
      <c r="K38" s="30"/>
    </row>
    <row r="39" customFormat="false" ht="18.5" hidden="false" customHeight="true" outlineLevel="0" collapsed="false">
      <c r="A39" s="1" t="n">
        <v>30</v>
      </c>
      <c r="B39" s="34" t="n">
        <v>40330</v>
      </c>
      <c r="C39" s="9" t="n">
        <v>266720</v>
      </c>
      <c r="D39" s="29" t="s">
        <v>42</v>
      </c>
      <c r="E39" s="33" t="n">
        <f aca="false">IF(D39="totale",(C39/(A39*24))/F39,IF(D39="marché libre",(C39/(A39*24))/G39,"spécifier histo"))</f>
        <v>0.500600600600601</v>
      </c>
      <c r="F39" s="59" t="n">
        <v>740</v>
      </c>
      <c r="G39" s="59" t="n">
        <f aca="false">F39-H39</f>
        <v>740</v>
      </c>
      <c r="H39" s="9" t="n">
        <f aca="false">0</f>
        <v>0</v>
      </c>
      <c r="I39" s="9"/>
      <c r="J39" s="30"/>
      <c r="K39" s="30"/>
    </row>
    <row r="40" customFormat="false" ht="18.5" hidden="false" customHeight="true" outlineLevel="0" collapsed="false">
      <c r="A40" s="1" t="n">
        <v>31</v>
      </c>
      <c r="B40" s="31" t="n">
        <v>40360</v>
      </c>
      <c r="C40" s="9" t="n">
        <v>103200</v>
      </c>
      <c r="D40" s="29" t="s">
        <v>42</v>
      </c>
      <c r="E40" s="33" t="n">
        <f aca="false">IF(D40="totale",(C40/(A40*24))/F40,IF(D40="marché libre",(C40/(A40*24))/G40,"spécifier histo"))</f>
        <v>0.187445510026155</v>
      </c>
      <c r="F40" s="59" t="n">
        <v>740</v>
      </c>
      <c r="G40" s="59" t="n">
        <f aca="false">F40-H40</f>
        <v>740</v>
      </c>
      <c r="H40" s="9" t="n">
        <f aca="false">0</f>
        <v>0</v>
      </c>
      <c r="I40" s="9"/>
      <c r="J40" s="30"/>
      <c r="K40" s="30"/>
    </row>
    <row r="41" customFormat="false" ht="18.5" hidden="false" customHeight="true" outlineLevel="0" collapsed="false">
      <c r="A41" s="1" t="n">
        <v>31</v>
      </c>
      <c r="B41" s="34" t="n">
        <v>40391</v>
      </c>
      <c r="C41" s="9" t="n">
        <v>0</v>
      </c>
      <c r="D41" s="29" t="s">
        <v>42</v>
      </c>
      <c r="E41" s="33" t="n">
        <f aca="false">IF(D41="totale",(C41/(A41*24))/F41,IF(D41="marché libre",(C41/(A41*24))/G41,"spécifier histo"))</f>
        <v>0</v>
      </c>
      <c r="F41" s="59" t="n">
        <v>740</v>
      </c>
      <c r="G41" s="59" t="n">
        <f aca="false">F41-H41</f>
        <v>740</v>
      </c>
      <c r="H41" s="9" t="n">
        <f aca="false">0</f>
        <v>0</v>
      </c>
      <c r="I41" s="9" t="s">
        <v>873</v>
      </c>
      <c r="J41" s="30"/>
      <c r="K41" s="30"/>
    </row>
    <row r="42" customFormat="false" ht="18.5" hidden="false" customHeight="true" outlineLevel="0" collapsed="false">
      <c r="A42" s="1" t="n">
        <v>30</v>
      </c>
      <c r="B42" s="31" t="n">
        <v>40422</v>
      </c>
      <c r="C42" s="9" t="n">
        <v>0</v>
      </c>
      <c r="D42" s="29" t="s">
        <v>42</v>
      </c>
      <c r="E42" s="33" t="n">
        <f aca="false">IF(D42="totale",(C42/(A42*24))/F42,IF(D42="marché libre",(C42/(A42*24))/G42,"spécifier histo"))</f>
        <v>0</v>
      </c>
      <c r="F42" s="59" t="n">
        <v>740</v>
      </c>
      <c r="G42" s="59" t="n">
        <f aca="false">F42-H42</f>
        <v>740</v>
      </c>
      <c r="H42" s="9" t="n">
        <f aca="false">0</f>
        <v>0</v>
      </c>
      <c r="I42" s="9" t="s">
        <v>873</v>
      </c>
      <c r="J42" s="30"/>
      <c r="K42" s="30"/>
    </row>
    <row r="43" customFormat="false" ht="18.5" hidden="false" customHeight="true" outlineLevel="0" collapsed="false">
      <c r="A43" s="1" t="n">
        <v>31</v>
      </c>
      <c r="B43" s="34" t="n">
        <v>40452</v>
      </c>
      <c r="C43" s="9" t="n">
        <v>77760</v>
      </c>
      <c r="D43" s="29" t="s">
        <v>42</v>
      </c>
      <c r="E43" s="33" t="n">
        <f aca="false">IF(D43="totale",(C43/(A43*24))/F43,IF(D43="marché libre",(C43/(A43*24))/G43,"spécifier histo"))</f>
        <v>0.141238012205754</v>
      </c>
      <c r="F43" s="59" t="n">
        <v>740</v>
      </c>
      <c r="G43" s="59" t="n">
        <f aca="false">F43-H43</f>
        <v>740</v>
      </c>
      <c r="H43" s="9" t="n">
        <f aca="false">0</f>
        <v>0</v>
      </c>
      <c r="I43" s="9"/>
      <c r="J43" s="30"/>
      <c r="K43" s="30"/>
    </row>
    <row r="44" customFormat="false" ht="18.5" hidden="false" customHeight="true" outlineLevel="0" collapsed="false">
      <c r="A44" s="1" t="n">
        <v>30</v>
      </c>
      <c r="B44" s="31" t="n">
        <v>40483</v>
      </c>
      <c r="C44" s="9" t="n">
        <v>412800</v>
      </c>
      <c r="D44" s="29" t="s">
        <v>42</v>
      </c>
      <c r="E44" s="33" t="n">
        <f aca="false">IF(D44="totale",(C44/(A44*24))/F44,IF(D44="marché libre",(C44/(A44*24))/G44,"spécifier histo"))</f>
        <v>0.774774774774775</v>
      </c>
      <c r="F44" s="59" t="n">
        <v>740</v>
      </c>
      <c r="G44" s="59" t="n">
        <f aca="false">F44-H44</f>
        <v>740</v>
      </c>
      <c r="H44" s="9" t="n">
        <f aca="false">0</f>
        <v>0</v>
      </c>
      <c r="I44" s="9"/>
      <c r="J44" s="30"/>
      <c r="K44" s="30"/>
    </row>
    <row r="45" customFormat="false" ht="18.5" hidden="false" customHeight="true" outlineLevel="0" collapsed="false">
      <c r="A45" s="1" t="n">
        <v>31</v>
      </c>
      <c r="B45" s="34" t="n">
        <v>40513</v>
      </c>
      <c r="C45" s="9" t="n">
        <v>420640</v>
      </c>
      <c r="D45" s="29" t="s">
        <v>42</v>
      </c>
      <c r="E45" s="33" t="n">
        <f aca="false">IF(D45="totale",(C45/(A45*24))/F45,IF(D45="marché libre",(C45/(A45*24))/G45,"spécifier histo"))</f>
        <v>0.764022086602732</v>
      </c>
      <c r="F45" s="59" t="n">
        <v>740</v>
      </c>
      <c r="G45" s="59" t="n">
        <f aca="false">F45-H45</f>
        <v>740</v>
      </c>
      <c r="H45" s="9" t="n">
        <f aca="false">0</f>
        <v>0</v>
      </c>
      <c r="I45" s="9"/>
      <c r="J45" s="30"/>
      <c r="K45" s="30"/>
    </row>
    <row r="46" customFormat="false" ht="18.5" hidden="false" customHeight="true" outlineLevel="0" collapsed="false">
      <c r="A46" s="1" t="n">
        <v>31</v>
      </c>
      <c r="B46" s="31" t="n">
        <v>40544</v>
      </c>
      <c r="C46" s="9" t="n">
        <v>316480</v>
      </c>
      <c r="D46" s="29" t="s">
        <v>42</v>
      </c>
      <c r="E46" s="33" t="n">
        <f aca="false">IF(D46="totale",(C46/(A46*24))/F46,IF(D46="marché libre",(C46/(A46*24))/G46,"spécifier histo"))</f>
        <v>0.574832897413543</v>
      </c>
      <c r="F46" s="59" t="n">
        <v>740</v>
      </c>
      <c r="G46" s="59" t="n">
        <f aca="false">F46-H46</f>
        <v>740</v>
      </c>
      <c r="H46" s="9" t="n">
        <f aca="false">0</f>
        <v>0</v>
      </c>
      <c r="I46" s="9"/>
      <c r="J46" s="30"/>
      <c r="K46" s="30"/>
    </row>
    <row r="47" customFormat="false" ht="18.5" hidden="false" customHeight="true" outlineLevel="0" collapsed="false">
      <c r="A47" s="1" t="n">
        <v>28</v>
      </c>
      <c r="B47" s="34" t="n">
        <v>40575</v>
      </c>
      <c r="C47" s="9" t="n">
        <v>155040</v>
      </c>
      <c r="D47" s="29" t="s">
        <v>42</v>
      </c>
      <c r="E47" s="33" t="n">
        <f aca="false">IF(D47="totale",(C47/(A47*24))/F47,IF(D47="marché libre",(C47/(A47*24))/G47,"spécifier histo"))</f>
        <v>0.311776061776062</v>
      </c>
      <c r="F47" s="59" t="n">
        <v>740</v>
      </c>
      <c r="G47" s="59" t="n">
        <f aca="false">F47-H47</f>
        <v>740</v>
      </c>
      <c r="H47" s="9" t="n">
        <f aca="false">0</f>
        <v>0</v>
      </c>
      <c r="I47" s="9"/>
      <c r="J47" s="30"/>
      <c r="K47" s="30"/>
    </row>
    <row r="48" customFormat="false" ht="18.5" hidden="false" customHeight="true" outlineLevel="0" collapsed="false">
      <c r="A48" s="1" t="n">
        <v>31</v>
      </c>
      <c r="B48" s="31" t="n">
        <v>40603</v>
      </c>
      <c r="C48" s="9" t="n">
        <v>154880</v>
      </c>
      <c r="D48" s="29" t="s">
        <v>42</v>
      </c>
      <c r="E48" s="33" t="n">
        <f aca="false">IF(D48="totale",(C48/(A48*24))/F48,IF(D48="marché libre",(C48/(A48*24))/G48,"spécifier histo"))</f>
        <v>0.281313571636152</v>
      </c>
      <c r="F48" s="59" t="n">
        <v>740</v>
      </c>
      <c r="G48" s="59" t="n">
        <f aca="false">F48-H48</f>
        <v>740</v>
      </c>
      <c r="H48" s="9" t="n">
        <f aca="false">0</f>
        <v>0</v>
      </c>
      <c r="I48" s="9"/>
      <c r="J48" s="30"/>
      <c r="K48" s="30"/>
    </row>
    <row r="49" customFormat="false" ht="18.5" hidden="false" customHeight="true" outlineLevel="0" collapsed="false">
      <c r="A49" s="1" t="n">
        <v>30</v>
      </c>
      <c r="B49" s="34" t="n">
        <v>40634</v>
      </c>
      <c r="C49" s="9" t="n">
        <v>108320</v>
      </c>
      <c r="D49" s="29" t="s">
        <v>42</v>
      </c>
      <c r="E49" s="33" t="n">
        <f aca="false">IF(D49="totale",(C49/(A49*24))/F49,IF(D49="marché libre",(C49/(A49*24))/G49,"spécifier histo"))</f>
        <v>0.203303303303303</v>
      </c>
      <c r="F49" s="59" t="n">
        <v>740</v>
      </c>
      <c r="G49" s="59" t="n">
        <f aca="false">F49-H49</f>
        <v>740</v>
      </c>
      <c r="H49" s="9" t="n">
        <f aca="false">0</f>
        <v>0</v>
      </c>
      <c r="I49" s="9"/>
      <c r="J49" s="30"/>
      <c r="K49" s="30"/>
    </row>
    <row r="50" customFormat="false" ht="18.5" hidden="false" customHeight="true" outlineLevel="0" collapsed="false">
      <c r="A50" s="1" t="n">
        <v>31</v>
      </c>
      <c r="B50" s="31" t="n">
        <v>40664</v>
      </c>
      <c r="C50" s="9" t="n">
        <v>48640</v>
      </c>
      <c r="D50" s="29" t="s">
        <v>42</v>
      </c>
      <c r="E50" s="33" t="n">
        <f aca="false">IF(D50="totale",(C50/(A50*24))/F50,IF(D50="marché libre",(C50/(A50*24))/G50,"spécifier histo"))</f>
        <v>0.0883464109270561</v>
      </c>
      <c r="F50" s="59" t="n">
        <v>740</v>
      </c>
      <c r="G50" s="59" t="n">
        <f aca="false">F50-H50</f>
        <v>740</v>
      </c>
      <c r="H50" s="9" t="n">
        <f aca="false">0</f>
        <v>0</v>
      </c>
      <c r="I50" s="9"/>
      <c r="J50" s="30"/>
      <c r="K50" s="30"/>
    </row>
    <row r="51" customFormat="false" ht="18.5" hidden="false" customHeight="true" outlineLevel="0" collapsed="false">
      <c r="A51" s="1" t="n">
        <v>30</v>
      </c>
      <c r="B51" s="34" t="n">
        <v>40695</v>
      </c>
      <c r="C51" s="9" t="n">
        <v>7200</v>
      </c>
      <c r="D51" s="29" t="s">
        <v>42</v>
      </c>
      <c r="E51" s="33" t="n">
        <f aca="false">IF(D51="totale",(C51/(A51*24))/F51,IF(D51="marché libre",(C51/(A51*24))/G51,"spécifier histo"))</f>
        <v>0.0135135135135135</v>
      </c>
      <c r="F51" s="59" t="n">
        <v>740</v>
      </c>
      <c r="G51" s="59" t="n">
        <f aca="false">F51-H51</f>
        <v>740</v>
      </c>
      <c r="H51" s="9" t="n">
        <f aca="false">0</f>
        <v>0</v>
      </c>
      <c r="I51" s="9"/>
      <c r="J51" s="30"/>
      <c r="K51" s="30"/>
    </row>
    <row r="52" customFormat="false" ht="18.5" hidden="false" customHeight="true" outlineLevel="0" collapsed="false">
      <c r="A52" s="1" t="n">
        <v>31</v>
      </c>
      <c r="B52" s="31" t="n">
        <v>40725</v>
      </c>
      <c r="C52" s="9" t="n">
        <v>5760</v>
      </c>
      <c r="D52" s="29" t="s">
        <v>42</v>
      </c>
      <c r="E52" s="33" t="n">
        <f aca="false">IF(D52="totale",(C52/(A52*24))/F52,IF(D52="marché libre",(C52/(A52*24))/G52,"spécifier histo"))</f>
        <v>0.010462074978204</v>
      </c>
      <c r="F52" s="59" t="n">
        <v>740</v>
      </c>
      <c r="G52" s="59" t="n">
        <f aca="false">F52-H52</f>
        <v>740</v>
      </c>
      <c r="H52" s="9" t="n">
        <f aca="false">0</f>
        <v>0</v>
      </c>
      <c r="I52" s="9"/>
      <c r="J52" s="30"/>
      <c r="K52" s="30"/>
    </row>
    <row r="53" customFormat="false" ht="18.5" hidden="false" customHeight="true" outlineLevel="0" collapsed="false">
      <c r="A53" s="1" t="n">
        <v>31</v>
      </c>
      <c r="B53" s="34" t="n">
        <v>40756</v>
      </c>
      <c r="C53" s="9" t="n">
        <v>0</v>
      </c>
      <c r="D53" s="29" t="s">
        <v>42</v>
      </c>
      <c r="E53" s="33" t="n">
        <f aca="false">IF(D53="totale",(C53/(A53*24))/F53,IF(D53="marché libre",(C53/(A53*24))/G53,"spécifier histo"))</f>
        <v>0</v>
      </c>
      <c r="F53" s="59" t="n">
        <v>740</v>
      </c>
      <c r="G53" s="59" t="n">
        <f aca="false">F53-H53</f>
        <v>740</v>
      </c>
      <c r="H53" s="9" t="n">
        <f aca="false">0</f>
        <v>0</v>
      </c>
      <c r="I53" s="9" t="s">
        <v>873</v>
      </c>
      <c r="J53" s="30"/>
      <c r="K53" s="30"/>
    </row>
    <row r="54" customFormat="false" ht="18.5" hidden="false" customHeight="true" outlineLevel="0" collapsed="false">
      <c r="A54" s="1" t="n">
        <v>30</v>
      </c>
      <c r="B54" s="31" t="n">
        <v>40787</v>
      </c>
      <c r="C54" s="9" t="n">
        <v>0</v>
      </c>
      <c r="D54" s="29" t="s">
        <v>42</v>
      </c>
      <c r="E54" s="33" t="n">
        <f aca="false">IF(D54="totale",(C54/(A54*24))/F54,IF(D54="marché libre",(C54/(A54*24))/G54,"spécifier histo"))</f>
        <v>0</v>
      </c>
      <c r="F54" s="59" t="n">
        <v>740</v>
      </c>
      <c r="G54" s="59" t="n">
        <f aca="false">F54-H54</f>
        <v>740</v>
      </c>
      <c r="H54" s="9" t="n">
        <f aca="false">0</f>
        <v>0</v>
      </c>
      <c r="I54" s="9" t="s">
        <v>873</v>
      </c>
      <c r="J54" s="30"/>
      <c r="K54" s="30"/>
    </row>
    <row r="55" customFormat="false" ht="18.5" hidden="false" customHeight="true" outlineLevel="0" collapsed="false">
      <c r="A55" s="1" t="n">
        <v>31</v>
      </c>
      <c r="B55" s="34" t="n">
        <v>40817</v>
      </c>
      <c r="C55" s="9" t="n">
        <v>0</v>
      </c>
      <c r="D55" s="29" t="s">
        <v>42</v>
      </c>
      <c r="E55" s="33" t="n">
        <f aca="false">IF(D55="totale",(C55/(A55*24))/F55,IF(D55="marché libre",(C55/(A55*24))/G55,"spécifier histo"))</f>
        <v>0</v>
      </c>
      <c r="F55" s="59" t="n">
        <v>740</v>
      </c>
      <c r="G55" s="59" t="n">
        <f aca="false">F55-H55</f>
        <v>740</v>
      </c>
      <c r="H55" s="9" t="n">
        <f aca="false">0</f>
        <v>0</v>
      </c>
      <c r="I55" s="9" t="s">
        <v>873</v>
      </c>
      <c r="J55" s="30"/>
      <c r="K55" s="30"/>
    </row>
    <row r="56" customFormat="false" ht="18.5" hidden="false" customHeight="true" outlineLevel="0" collapsed="false">
      <c r="A56" s="1" t="n">
        <v>30</v>
      </c>
      <c r="B56" s="31" t="n">
        <v>40848</v>
      </c>
      <c r="C56" s="9" t="n">
        <v>122720</v>
      </c>
      <c r="D56" s="29" t="s">
        <v>42</v>
      </c>
      <c r="E56" s="33" t="n">
        <f aca="false">IF(D56="totale",(C56/(A56*24))/F56,IF(D56="marché libre",(C56/(A56*24))/G56,"spécifier histo"))</f>
        <v>0.23033033033033</v>
      </c>
      <c r="F56" s="59" t="n">
        <v>740</v>
      </c>
      <c r="G56" s="59" t="n">
        <f aca="false">F56-H56</f>
        <v>740</v>
      </c>
      <c r="H56" s="9" t="n">
        <f aca="false">0</f>
        <v>0</v>
      </c>
      <c r="I56" s="9"/>
      <c r="J56" s="30"/>
      <c r="K56" s="30"/>
    </row>
    <row r="57" customFormat="false" ht="18.5" hidden="false" customHeight="true" outlineLevel="0" collapsed="false">
      <c r="A57" s="1" t="n">
        <v>31</v>
      </c>
      <c r="B57" s="34" t="n">
        <v>40878</v>
      </c>
      <c r="C57" s="9" t="n">
        <v>217120</v>
      </c>
      <c r="D57" s="29" t="s">
        <v>42</v>
      </c>
      <c r="E57" s="33" t="n">
        <f aca="false">IF(D57="totale",(C57/(A57*24))/F57,IF(D57="marché libre",(C57/(A57*24))/G57,"spécifier histo"))</f>
        <v>0.394362104039523</v>
      </c>
      <c r="F57" s="59" t="n">
        <v>740</v>
      </c>
      <c r="G57" s="59" t="n">
        <f aca="false">F57-H57</f>
        <v>740</v>
      </c>
      <c r="H57" s="9" t="n">
        <f aca="false">0</f>
        <v>0</v>
      </c>
      <c r="I57" s="9"/>
      <c r="J57" s="30"/>
      <c r="K57" s="30"/>
    </row>
    <row r="58" customFormat="false" ht="18.5" hidden="false" customHeight="true" outlineLevel="0" collapsed="false">
      <c r="A58" s="1" t="n">
        <v>31</v>
      </c>
      <c r="B58" s="31" t="n">
        <v>40909</v>
      </c>
      <c r="C58" s="9" t="n">
        <v>352640</v>
      </c>
      <c r="D58" s="29" t="s">
        <v>42</v>
      </c>
      <c r="E58" s="33" t="n">
        <f aca="false">IF(D58="totale",(C58/(A58*24))/F58,IF(D58="marché libre",(C58/(A58*24))/G58,"spécifier histo"))</f>
        <v>0.640511479221157</v>
      </c>
      <c r="F58" s="59" t="n">
        <v>740</v>
      </c>
      <c r="G58" s="59" t="n">
        <f aca="false">F58-H58</f>
        <v>740</v>
      </c>
      <c r="H58" s="9" t="n">
        <f aca="false">0</f>
        <v>0</v>
      </c>
      <c r="I58" s="9"/>
      <c r="J58" s="30"/>
      <c r="K58" s="30"/>
    </row>
    <row r="59" customFormat="false" ht="18.5" hidden="false" customHeight="true" outlineLevel="0" collapsed="false">
      <c r="A59" s="1" t="n">
        <v>28</v>
      </c>
      <c r="B59" s="34" t="n">
        <v>40940</v>
      </c>
      <c r="C59" s="9" t="n">
        <v>135360</v>
      </c>
      <c r="D59" s="29" t="s">
        <v>42</v>
      </c>
      <c r="E59" s="33" t="n">
        <f aca="false">IF(D59="totale",(C59/(A59*24))/F59,IF(D59="marché libre",(C59/(A59*24))/G59,"spécifier histo"))</f>
        <v>0.272200772200772</v>
      </c>
      <c r="F59" s="59" t="n">
        <v>740</v>
      </c>
      <c r="G59" s="59" t="n">
        <f aca="false">F59-H59</f>
        <v>740</v>
      </c>
      <c r="H59" s="9" t="n">
        <f aca="false">0</f>
        <v>0</v>
      </c>
      <c r="I59" s="9"/>
      <c r="J59" s="30"/>
      <c r="K59" s="30"/>
    </row>
    <row r="60" customFormat="false" ht="18.5" hidden="false" customHeight="true" outlineLevel="0" collapsed="false">
      <c r="A60" s="1" t="n">
        <v>31</v>
      </c>
      <c r="B60" s="31" t="n">
        <v>40969</v>
      </c>
      <c r="C60" s="9" t="n">
        <v>120160</v>
      </c>
      <c r="D60" s="29" t="s">
        <v>42</v>
      </c>
      <c r="E60" s="33" t="n">
        <f aca="false">IF(D60="totale",(C60/(A60*24))/F60,IF(D60="marché libre",(C60/(A60*24))/G60,"spécifier histo"))</f>
        <v>0.218250508573089</v>
      </c>
      <c r="F60" s="59" t="n">
        <v>740</v>
      </c>
      <c r="G60" s="59" t="n">
        <f aca="false">F60-H60</f>
        <v>740</v>
      </c>
      <c r="H60" s="9" t="n">
        <f aca="false">0</f>
        <v>0</v>
      </c>
      <c r="I60" s="9"/>
      <c r="J60" s="30"/>
      <c r="K60" s="30"/>
    </row>
    <row r="61" customFormat="false" ht="18.5" hidden="false" customHeight="true" outlineLevel="0" collapsed="false">
      <c r="A61" s="1" t="n">
        <v>30</v>
      </c>
      <c r="B61" s="34" t="n">
        <v>41000</v>
      </c>
      <c r="C61" s="9" t="n">
        <v>249760</v>
      </c>
      <c r="D61" s="29" t="s">
        <v>42</v>
      </c>
      <c r="E61" s="33" t="n">
        <f aca="false">IF(D61="totale",(C61/(A61*24))/F61,IF(D61="marché libre",(C61/(A61*24))/G61,"spécifier histo"))</f>
        <v>0.468768768768769</v>
      </c>
      <c r="F61" s="59" t="n">
        <v>740</v>
      </c>
      <c r="G61" s="59" t="n">
        <f aca="false">F61-H61</f>
        <v>740</v>
      </c>
      <c r="H61" s="9" t="n">
        <f aca="false">0</f>
        <v>0</v>
      </c>
      <c r="I61" s="9"/>
      <c r="J61" s="30"/>
      <c r="K61" s="30"/>
    </row>
    <row r="62" customFormat="false" ht="18.5" hidden="false" customHeight="true" outlineLevel="0" collapsed="false">
      <c r="A62" s="1" t="n">
        <v>31</v>
      </c>
      <c r="B62" s="31" t="n">
        <v>41030</v>
      </c>
      <c r="C62" s="9" t="n">
        <v>398240</v>
      </c>
      <c r="D62" s="29" t="s">
        <v>42</v>
      </c>
      <c r="E62" s="33" t="n">
        <f aca="false">IF(D62="totale",(C62/(A62*24))/F62,IF(D62="marché libre",(C62/(A62*24))/G62,"spécifier histo"))</f>
        <v>0.723336239465272</v>
      </c>
      <c r="F62" s="59" t="n">
        <v>740</v>
      </c>
      <c r="G62" s="59" t="n">
        <f aca="false">F62-H62</f>
        <v>740</v>
      </c>
      <c r="H62" s="9" t="n">
        <f aca="false">0</f>
        <v>0</v>
      </c>
      <c r="I62" s="9"/>
      <c r="J62" s="30"/>
      <c r="K62" s="30"/>
    </row>
    <row r="63" customFormat="false" ht="18.5" hidden="false" customHeight="true" outlineLevel="0" collapsed="false">
      <c r="A63" s="1" t="n">
        <v>30</v>
      </c>
      <c r="B63" s="34" t="n">
        <v>41061</v>
      </c>
      <c r="C63" s="9" t="n">
        <v>313920</v>
      </c>
      <c r="D63" s="29" t="s">
        <v>42</v>
      </c>
      <c r="E63" s="33" t="n">
        <f aca="false">IF(D63="totale",(C63/(A63*24))/F63,IF(D63="marché libre",(C63/(A63*24))/G63,"spécifier histo"))</f>
        <v>0.589189189189189</v>
      </c>
      <c r="F63" s="59" t="n">
        <v>740</v>
      </c>
      <c r="G63" s="59" t="n">
        <f aca="false">F63-H63</f>
        <v>740</v>
      </c>
      <c r="H63" s="9" t="n">
        <f aca="false">0</f>
        <v>0</v>
      </c>
      <c r="I63" s="9"/>
      <c r="J63" s="30"/>
      <c r="K63" s="30"/>
    </row>
    <row r="64" customFormat="false" ht="18.5" hidden="false" customHeight="true" outlineLevel="0" collapsed="false">
      <c r="A64" s="1" t="n">
        <v>31</v>
      </c>
      <c r="B64" s="31" t="n">
        <v>41091</v>
      </c>
      <c r="C64" s="9" t="n">
        <v>137120</v>
      </c>
      <c r="D64" s="29" t="s">
        <v>42</v>
      </c>
      <c r="E64" s="33" t="n">
        <f aca="false">IF(D64="totale",(C64/(A64*24))/F64,IF(D64="marché libre",(C64/(A64*24))/G64,"spécifier histo"))</f>
        <v>0.249055507120023</v>
      </c>
      <c r="F64" s="59" t="n">
        <v>740</v>
      </c>
      <c r="G64" s="59" t="n">
        <f aca="false">F64-H64</f>
        <v>740</v>
      </c>
      <c r="H64" s="9" t="n">
        <f aca="false">0</f>
        <v>0</v>
      </c>
      <c r="I64" s="9"/>
      <c r="J64" s="30"/>
      <c r="K64" s="30"/>
    </row>
    <row r="65" customFormat="false" ht="18.5" hidden="false" customHeight="true" outlineLevel="0" collapsed="false">
      <c r="A65" s="1" t="n">
        <v>31</v>
      </c>
      <c r="B65" s="34" t="n">
        <v>41122</v>
      </c>
      <c r="C65" s="9" t="n">
        <v>29920</v>
      </c>
      <c r="D65" s="29" t="s">
        <v>42</v>
      </c>
      <c r="E65" s="33" t="n">
        <f aca="false">IF(D65="totale",(C65/(A65*24))/F65,IF(D65="marché libre",(C65/(A65*24))/G65,"spécifier histo"))</f>
        <v>0.0543446672478931</v>
      </c>
      <c r="F65" s="59" t="n">
        <v>740</v>
      </c>
      <c r="G65" s="59" t="n">
        <f aca="false">F65-H65</f>
        <v>740</v>
      </c>
      <c r="H65" s="9" t="n">
        <f aca="false">0</f>
        <v>0</v>
      </c>
      <c r="I65" s="9"/>
      <c r="J65" s="30"/>
      <c r="K65" s="30"/>
    </row>
    <row r="66" customFormat="false" ht="18.5" hidden="false" customHeight="true" outlineLevel="0" collapsed="false">
      <c r="A66" s="1" t="n">
        <v>30</v>
      </c>
      <c r="B66" s="31" t="n">
        <v>41153</v>
      </c>
      <c r="C66" s="9" t="n">
        <v>8960</v>
      </c>
      <c r="D66" s="29" t="s">
        <v>42</v>
      </c>
      <c r="E66" s="33" t="n">
        <f aca="false">IF(D66="totale",(C66/(A66*24))/F66,IF(D66="marché libre",(C66/(A66*24))/G66,"spécifier histo"))</f>
        <v>0.0168168168168168</v>
      </c>
      <c r="F66" s="59" t="n">
        <v>740</v>
      </c>
      <c r="G66" s="59" t="n">
        <f aca="false">F66-H66</f>
        <v>740</v>
      </c>
      <c r="H66" s="9" t="n">
        <f aca="false">0</f>
        <v>0</v>
      </c>
      <c r="I66" s="9"/>
      <c r="J66" s="30"/>
      <c r="K66" s="30"/>
    </row>
    <row r="67" customFormat="false" ht="19.85" hidden="false" customHeight="true" outlineLevel="0" collapsed="false">
      <c r="A67" s="1" t="n">
        <v>31</v>
      </c>
      <c r="B67" s="267" t="n">
        <v>41183</v>
      </c>
      <c r="C67" s="64" t="n">
        <v>10880</v>
      </c>
      <c r="D67" s="65" t="s">
        <v>42</v>
      </c>
      <c r="E67" s="66" t="n">
        <f aca="false">IF(D67="totale",(C67/(A67*24))/F67,IF(D67="marché libre",(C67/(A67*24))/G67,"spécifier histo"))</f>
        <v>0.019761697181052</v>
      </c>
      <c r="F67" s="67" t="n">
        <v>740</v>
      </c>
      <c r="G67" s="67" t="n">
        <f aca="false">F67-H67</f>
        <v>740</v>
      </c>
      <c r="H67" s="67" t="n">
        <v>0</v>
      </c>
      <c r="J67" s="73"/>
    </row>
    <row r="68" customFormat="false" ht="19.85" hidden="false" customHeight="true" outlineLevel="0" collapsed="false">
      <c r="A68" s="1" t="n">
        <v>30</v>
      </c>
      <c r="B68" s="31" t="n">
        <v>41214</v>
      </c>
      <c r="C68" s="56" t="n">
        <v>94880</v>
      </c>
      <c r="D68" s="29" t="s">
        <v>42</v>
      </c>
      <c r="E68" s="33" t="n">
        <f aca="false">IF(D68="totale",(C68/(A68*24))/F68,IF(D68="marché libre",(C68/(A68*24))/G68,"spécifier histo"))</f>
        <v>0.178078078078078</v>
      </c>
      <c r="F68" s="59" t="n">
        <v>740</v>
      </c>
      <c r="G68" s="59" t="n">
        <f aca="false">F68-H68</f>
        <v>740</v>
      </c>
      <c r="H68" s="59" t="n">
        <v>0</v>
      </c>
      <c r="J68" s="55"/>
    </row>
    <row r="69" customFormat="false" ht="19.85" hidden="false" customHeight="true" outlineLevel="0" collapsed="false">
      <c r="A69" s="1" t="n">
        <v>31</v>
      </c>
      <c r="B69" s="34" t="n">
        <v>41244</v>
      </c>
      <c r="C69" s="56" t="n">
        <v>286720</v>
      </c>
      <c r="D69" s="29" t="s">
        <v>42</v>
      </c>
      <c r="E69" s="33" t="n">
        <f aca="false">IF(D69="totale",(C69/(A69*24))/F69,IF(D69="marché libre",(C69/(A69*24))/G69,"spécifier histo"))</f>
        <v>0.520778843359489</v>
      </c>
      <c r="F69" s="59" t="n">
        <v>740</v>
      </c>
      <c r="G69" s="59" t="n">
        <f aca="false">F69-H69</f>
        <v>740</v>
      </c>
      <c r="H69" s="59" t="n">
        <v>0</v>
      </c>
      <c r="J69" s="55"/>
    </row>
    <row r="70" customFormat="false" ht="19.85" hidden="false" customHeight="true" outlineLevel="0" collapsed="false">
      <c r="A70" s="1" t="n">
        <v>31</v>
      </c>
      <c r="B70" s="31" t="n">
        <v>41275</v>
      </c>
      <c r="C70" s="56" t="n">
        <v>300960</v>
      </c>
      <c r="D70" s="29" t="s">
        <v>42</v>
      </c>
      <c r="E70" s="33" t="n">
        <f aca="false">IF(D70="totale",(C70/(A70*24))/F70,IF(D70="marché libre",(C70/(A70*24))/G70,"spécifier histo"))</f>
        <v>0.54664341761116</v>
      </c>
      <c r="F70" s="59" t="n">
        <v>740</v>
      </c>
      <c r="G70" s="59" t="n">
        <f aca="false">F70-H70</f>
        <v>740</v>
      </c>
      <c r="H70" s="59" t="n">
        <v>0</v>
      </c>
      <c r="J70" s="55"/>
      <c r="K70" s="55"/>
    </row>
    <row r="71" customFormat="false" ht="19.85" hidden="false" customHeight="true" outlineLevel="0" collapsed="false">
      <c r="A71" s="1" t="n">
        <v>28</v>
      </c>
      <c r="B71" s="34" t="n">
        <v>41306</v>
      </c>
      <c r="C71" s="56" t="n">
        <v>283040</v>
      </c>
      <c r="D71" s="29" t="s">
        <v>42</v>
      </c>
      <c r="E71" s="33" t="n">
        <f aca="false">IF(D71="totale",(C71/(A71*24))/F71,IF(D71="marché libre",(C71/(A71*24))/G71,"spécifier histo"))</f>
        <v>0.569176319176319</v>
      </c>
      <c r="F71" s="59" t="n">
        <v>740</v>
      </c>
      <c r="G71" s="59" t="n">
        <f aca="false">F71-H71</f>
        <v>740</v>
      </c>
      <c r="H71" s="59" t="n">
        <v>0</v>
      </c>
      <c r="J71" s="55"/>
      <c r="K71" s="55"/>
    </row>
    <row r="72" customFormat="false" ht="19.85" hidden="false" customHeight="true" outlineLevel="0" collapsed="false">
      <c r="A72" s="1" t="n">
        <v>31</v>
      </c>
      <c r="B72" s="31" t="n">
        <v>41334</v>
      </c>
      <c r="C72" s="56" t="n">
        <v>387040</v>
      </c>
      <c r="D72" s="29" t="s">
        <v>42</v>
      </c>
      <c r="E72" s="33" t="n">
        <f aca="false">IF(D72="totale",(C72/(A72*24))/F72,IF(D72="marché libre",(C72/(A72*24))/G72,"spécifier histo"))</f>
        <v>0.702993315896542</v>
      </c>
      <c r="F72" s="59" t="n">
        <v>740</v>
      </c>
      <c r="G72" s="59" t="n">
        <f aca="false">F72-H72</f>
        <v>740</v>
      </c>
      <c r="H72" s="59" t="n">
        <v>0</v>
      </c>
      <c r="J72" s="55"/>
      <c r="K72" s="55"/>
    </row>
    <row r="73" customFormat="false" ht="19.85" hidden="false" customHeight="true" outlineLevel="0" collapsed="false">
      <c r="A73" s="1" t="n">
        <v>30</v>
      </c>
      <c r="B73" s="34" t="n">
        <v>41365</v>
      </c>
      <c r="C73" s="56" t="n">
        <v>475200</v>
      </c>
      <c r="D73" s="29" t="s">
        <v>42</v>
      </c>
      <c r="E73" s="33" t="n">
        <f aca="false">IF(D73="totale",(C73/(A73*24))/F73,IF(D73="marché libre",(C73/(A73*24))/G73,"spécifier histo"))</f>
        <v>0.891891891891892</v>
      </c>
      <c r="F73" s="59" t="n">
        <v>740</v>
      </c>
      <c r="G73" s="59" t="n">
        <f aca="false">F73-H73</f>
        <v>740</v>
      </c>
      <c r="H73" s="59" t="n">
        <v>0</v>
      </c>
      <c r="J73" s="55"/>
      <c r="K73" s="55"/>
    </row>
    <row r="74" customFormat="false" ht="19.85" hidden="false" customHeight="true" outlineLevel="0" collapsed="false">
      <c r="A74" s="1" t="n">
        <v>31</v>
      </c>
      <c r="B74" s="31" t="n">
        <v>41395</v>
      </c>
      <c r="C74" s="56" t="n">
        <v>456000</v>
      </c>
      <c r="D74" s="29" t="s">
        <v>42</v>
      </c>
      <c r="E74" s="33" t="n">
        <f aca="false">IF(D74="totale",(C74/(A74*24))/F74,IF(D74="marché libre",(C74/(A74*24))/G74,"spécifier histo"))</f>
        <v>0.828247602441151</v>
      </c>
      <c r="F74" s="59" t="n">
        <v>740</v>
      </c>
      <c r="G74" s="59" t="n">
        <f aca="false">F74-H74</f>
        <v>740</v>
      </c>
      <c r="H74" s="59" t="n">
        <v>0</v>
      </c>
      <c r="J74" s="55"/>
      <c r="K74" s="55"/>
    </row>
    <row r="75" customFormat="false" ht="19.85" hidden="false" customHeight="true" outlineLevel="0" collapsed="false">
      <c r="A75" s="1" t="n">
        <v>30</v>
      </c>
      <c r="B75" s="34" t="n">
        <v>41426</v>
      </c>
      <c r="C75" s="56" t="n">
        <v>363840</v>
      </c>
      <c r="D75" s="29" t="s">
        <v>42</v>
      </c>
      <c r="E75" s="33" t="n">
        <f aca="false">IF(D75="totale",(C75/(A75*24))/F75,IF(D75="marché libre",(C75/(A75*24))/G75,"spécifier histo"))</f>
        <v>0.682882882882883</v>
      </c>
      <c r="F75" s="59" t="n">
        <v>740</v>
      </c>
      <c r="G75" s="59" t="n">
        <f aca="false">F75-H75</f>
        <v>740</v>
      </c>
      <c r="H75" s="59" t="n">
        <v>0</v>
      </c>
      <c r="J75" s="55"/>
      <c r="K75" s="55"/>
    </row>
    <row r="76" customFormat="false" ht="19.85" hidden="false" customHeight="true" outlineLevel="0" collapsed="false">
      <c r="A76" s="1" t="n">
        <v>31</v>
      </c>
      <c r="B76" s="31" t="n">
        <v>41456</v>
      </c>
      <c r="C76" s="56" t="n">
        <v>101120</v>
      </c>
      <c r="D76" s="29" t="s">
        <v>42</v>
      </c>
      <c r="E76" s="33" t="n">
        <f aca="false">IF(D76="totale",(C76/(A76*24))/F76,IF(D76="marché libre",(C76/(A76*24))/G76,"spécifier histo"))</f>
        <v>0.183667538506248</v>
      </c>
      <c r="F76" s="59" t="n">
        <v>740</v>
      </c>
      <c r="G76" s="59" t="n">
        <f aca="false">F76-H76</f>
        <v>740</v>
      </c>
      <c r="H76" s="59" t="n">
        <v>0</v>
      </c>
      <c r="J76" s="55"/>
      <c r="K76" s="55"/>
    </row>
    <row r="77" customFormat="false" ht="19.85" hidden="false" customHeight="true" outlineLevel="0" collapsed="false">
      <c r="A77" s="1" t="n">
        <v>31</v>
      </c>
      <c r="B77" s="34" t="n">
        <v>41487</v>
      </c>
      <c r="C77" s="56" t="n">
        <v>24640</v>
      </c>
      <c r="D77" s="29" t="s">
        <v>42</v>
      </c>
      <c r="E77" s="33" t="n">
        <f aca="false">IF(D77="totale",(C77/(A77*24))/F77,IF(D77="marché libre",(C77/(A77*24))/G77,"spécifier histo"))</f>
        <v>0.044754431851206</v>
      </c>
      <c r="F77" s="59" t="n">
        <v>740</v>
      </c>
      <c r="G77" s="59" t="n">
        <f aca="false">F77-H77</f>
        <v>740</v>
      </c>
      <c r="H77" s="59" t="n">
        <v>0</v>
      </c>
      <c r="J77" s="55"/>
      <c r="K77" s="55"/>
    </row>
    <row r="78" customFormat="false" ht="19.85" hidden="false" customHeight="true" outlineLevel="0" collapsed="false">
      <c r="A78" s="1" t="n">
        <v>30</v>
      </c>
      <c r="B78" s="31" t="n">
        <v>41518</v>
      </c>
      <c r="C78" s="56" t="n">
        <v>439600</v>
      </c>
      <c r="D78" s="29" t="s">
        <v>42</v>
      </c>
      <c r="E78" s="33" t="n">
        <f aca="false">IF(D78="totale",(C78/(A78*24))/F78,IF(D78="marché libre",(C78/(A78*24))/G78,"spécifier histo"))</f>
        <v>0.825075075075075</v>
      </c>
      <c r="F78" s="59" t="n">
        <v>740</v>
      </c>
      <c r="G78" s="59" t="n">
        <f aca="false">F78-H78</f>
        <v>740</v>
      </c>
      <c r="H78" s="59" t="n">
        <v>0</v>
      </c>
      <c r="J78" s="55"/>
      <c r="K78" s="55"/>
    </row>
    <row r="79" customFormat="false" ht="19.85" hidden="false" customHeight="true" outlineLevel="0" collapsed="false">
      <c r="A79" s="1" t="n">
        <v>31</v>
      </c>
      <c r="B79" s="34" t="n">
        <v>41548</v>
      </c>
      <c r="C79" s="56" t="n">
        <v>0</v>
      </c>
      <c r="D79" s="29" t="s">
        <v>42</v>
      </c>
      <c r="E79" s="33" t="n">
        <f aca="false">IF(D79="totale",(C79/(A79*24))/F79,IF(D79="marché libre",(C79/(A79*24))/G79,"spécifier histo"))</f>
        <v>0</v>
      </c>
      <c r="F79" s="59" t="n">
        <v>740</v>
      </c>
      <c r="G79" s="59" t="n">
        <f aca="false">F79-H79</f>
        <v>740</v>
      </c>
      <c r="H79" s="59" t="n">
        <v>0</v>
      </c>
      <c r="J79" s="55"/>
      <c r="K79" s="55"/>
    </row>
    <row r="80" customFormat="false" ht="19.85" hidden="false" customHeight="true" outlineLevel="0" collapsed="false">
      <c r="A80" s="1" t="n">
        <v>30</v>
      </c>
      <c r="B80" s="31" t="n">
        <v>41579</v>
      </c>
      <c r="C80" s="56" t="n">
        <v>0</v>
      </c>
      <c r="D80" s="29" t="s">
        <v>42</v>
      </c>
      <c r="E80" s="33" t="n">
        <f aca="false">IF(D80="totale",(C80/(A80*24))/F80,IF(D80="marché libre",(C80/(A80*24))/G80,"spécifier histo"))</f>
        <v>0</v>
      </c>
      <c r="F80" s="59" t="n">
        <v>740</v>
      </c>
      <c r="G80" s="59" t="n">
        <f aca="false">F80-H80</f>
        <v>740</v>
      </c>
      <c r="H80" s="59" t="n">
        <v>0</v>
      </c>
      <c r="J80" s="55"/>
      <c r="K80" s="55"/>
    </row>
    <row r="81" customFormat="false" ht="19.85" hidden="false" customHeight="true" outlineLevel="0" collapsed="false">
      <c r="A81" s="1" t="n">
        <v>31</v>
      </c>
      <c r="B81" s="34" t="n">
        <v>41609</v>
      </c>
      <c r="C81" s="56" t="n">
        <v>0</v>
      </c>
      <c r="D81" s="29" t="s">
        <v>42</v>
      </c>
      <c r="E81" s="33" t="n">
        <f aca="false">IF(D81="totale",(C81/(A81*24))/F81,IF(D81="marché libre",(C81/(A81*24))/G81,"spécifier histo"))</f>
        <v>0</v>
      </c>
      <c r="F81" s="59" t="n">
        <v>740</v>
      </c>
      <c r="G81" s="59" t="n">
        <f aca="false">F81-H81</f>
        <v>740</v>
      </c>
      <c r="H81" s="59" t="n">
        <v>0</v>
      </c>
      <c r="J81" s="55"/>
      <c r="K81" s="55"/>
    </row>
    <row r="82" customFormat="false" ht="19.85" hidden="false" customHeight="true" outlineLevel="0" collapsed="false">
      <c r="A82" s="1" t="n">
        <v>31</v>
      </c>
      <c r="B82" s="31" t="n">
        <v>41640</v>
      </c>
      <c r="C82" s="56" t="n">
        <v>380960</v>
      </c>
      <c r="D82" s="29" t="s">
        <v>42</v>
      </c>
      <c r="E82" s="33" t="n">
        <f aca="false">IF(D82="totale",(C82/(A82*24))/F82,IF(D82="marché libre",(C82/(A82*24))/G82,"spécifier histo"))</f>
        <v>0.69195001453066</v>
      </c>
      <c r="F82" s="59" t="n">
        <v>740</v>
      </c>
      <c r="G82" s="59" t="n">
        <f aca="false">F82-H82</f>
        <v>740</v>
      </c>
      <c r="H82" s="59" t="n">
        <v>0</v>
      </c>
      <c r="J82" s="55"/>
      <c r="K82" s="55"/>
    </row>
    <row r="83" customFormat="false" ht="19.85" hidden="false" customHeight="true" outlineLevel="0" collapsed="false">
      <c r="A83" s="1" t="n">
        <v>28</v>
      </c>
      <c r="B83" s="34" t="n">
        <v>41671</v>
      </c>
      <c r="C83" s="56" t="n">
        <v>405760</v>
      </c>
      <c r="D83" s="29" t="s">
        <v>42</v>
      </c>
      <c r="E83" s="33" t="n">
        <f aca="false">IF(D83="totale",(C83/(A83*24))/F83,IF(D83="marché libre",(C83/(A83*24))/G83,"spécifier histo"))</f>
        <v>0.815958815958816</v>
      </c>
      <c r="F83" s="59" t="n">
        <v>740</v>
      </c>
      <c r="G83" s="59" t="n">
        <f aca="false">F83-H83</f>
        <v>740</v>
      </c>
      <c r="H83" s="59" t="n">
        <v>0</v>
      </c>
      <c r="J83" s="55"/>
      <c r="K83" s="55"/>
    </row>
    <row r="84" customFormat="false" ht="19.85" hidden="false" customHeight="true" outlineLevel="0" collapsed="false">
      <c r="A84" s="1" t="n">
        <v>31</v>
      </c>
      <c r="B84" s="31" t="n">
        <v>41699</v>
      </c>
      <c r="C84" s="56" t="n">
        <v>488960</v>
      </c>
      <c r="D84" s="29" t="s">
        <v>42</v>
      </c>
      <c r="E84" s="33" t="n">
        <f aca="false">IF(D84="totale",(C84/(A84*24))/F84,IF(D84="marché libre",(C84/(A84*24))/G84,"spécifier histo"))</f>
        <v>0.888113920371985</v>
      </c>
      <c r="F84" s="59" t="n">
        <v>740</v>
      </c>
      <c r="G84" s="59" t="n">
        <f aca="false">F84-H84</f>
        <v>740</v>
      </c>
      <c r="H84" s="59" t="n">
        <v>0</v>
      </c>
      <c r="J84" s="55"/>
      <c r="K84" s="55"/>
    </row>
    <row r="85" customFormat="false" ht="19.85" hidden="false" customHeight="true" outlineLevel="0" collapsed="false">
      <c r="A85" s="1" t="n">
        <v>30</v>
      </c>
      <c r="B85" s="34" t="n">
        <v>41730</v>
      </c>
      <c r="C85" s="56" t="n">
        <v>355680</v>
      </c>
      <c r="D85" s="29" t="s">
        <v>42</v>
      </c>
      <c r="E85" s="33" t="n">
        <f aca="false">IF(D85="totale",(C85/(A85*24))/F85,IF(D85="marché libre",(C85/(A85*24))/G85,"spécifier histo"))</f>
        <v>0.667567567567567</v>
      </c>
      <c r="F85" s="59" t="n">
        <v>740</v>
      </c>
      <c r="G85" s="59" t="n">
        <f aca="false">F85-H85</f>
        <v>740</v>
      </c>
      <c r="H85" s="59" t="n">
        <v>0</v>
      </c>
      <c r="J85" s="55"/>
      <c r="K85" s="55"/>
    </row>
    <row r="86" customFormat="false" ht="19.85" hidden="false" customHeight="true" outlineLevel="0" collapsed="false">
      <c r="A86" s="1" t="n">
        <v>31</v>
      </c>
      <c r="B86" s="31" t="n">
        <v>41760</v>
      </c>
      <c r="C86" s="56" t="n">
        <v>199840</v>
      </c>
      <c r="D86" s="29" t="s">
        <v>42</v>
      </c>
      <c r="E86" s="33" t="n">
        <f aca="false">IF(D86="totale",(C86/(A86*24))/F86,IF(D86="marché libre",(C86/(A86*24))/G86,"spécifier histo"))</f>
        <v>0.362975879104911</v>
      </c>
      <c r="F86" s="59" t="n">
        <v>740</v>
      </c>
      <c r="G86" s="59" t="n">
        <f aca="false">F86-H86</f>
        <v>740</v>
      </c>
      <c r="H86" s="59" t="n">
        <v>0</v>
      </c>
      <c r="J86" s="55"/>
      <c r="K86" s="55"/>
    </row>
    <row r="87" customFormat="false" ht="19.85" hidden="false" customHeight="true" outlineLevel="0" collapsed="false">
      <c r="A87" s="1" t="n">
        <v>30</v>
      </c>
      <c r="B87" s="34" t="n">
        <v>41791</v>
      </c>
      <c r="C87" s="56" t="n">
        <v>58868</v>
      </c>
      <c r="D87" s="29" t="s">
        <v>42</v>
      </c>
      <c r="E87" s="33" t="n">
        <f aca="false">IF(D87="totale",(C87/(A87*24))/F87,IF(D87="marché libre",(C87/(A87*24))/G87,"spécifier histo"))</f>
        <v>0.110487987987988</v>
      </c>
      <c r="F87" s="59" t="n">
        <v>740</v>
      </c>
      <c r="G87" s="59" t="n">
        <f aca="false">F87-H87</f>
        <v>740</v>
      </c>
      <c r="H87" s="59" t="n">
        <v>0</v>
      </c>
      <c r="J87" s="55"/>
      <c r="K87" s="55"/>
    </row>
    <row r="88" customFormat="false" ht="19.85" hidden="false" customHeight="true" outlineLevel="0" collapsed="false">
      <c r="A88" s="1" t="n">
        <v>31</v>
      </c>
      <c r="B88" s="31" t="n">
        <v>41821</v>
      </c>
      <c r="C88" s="56" t="n">
        <v>156320</v>
      </c>
      <c r="D88" s="29" t="s">
        <v>42</v>
      </c>
      <c r="E88" s="33" t="n">
        <f aca="false">IF(D88="totale",(C88/(A88*24))/F88,IF(D88="marché libre",(C88/(A88*24))/G88,"spécifier histo"))</f>
        <v>0.283929090380703</v>
      </c>
      <c r="F88" s="59" t="n">
        <v>740</v>
      </c>
      <c r="G88" s="59" t="n">
        <f aca="false">F88-H88</f>
        <v>740</v>
      </c>
      <c r="H88" s="59" t="n">
        <v>0</v>
      </c>
      <c r="J88" s="55"/>
      <c r="K88" s="55"/>
    </row>
    <row r="89" customFormat="false" ht="19.85" hidden="false" customHeight="true" outlineLevel="0" collapsed="false">
      <c r="A89" s="1" t="n">
        <v>31</v>
      </c>
      <c r="B89" s="34" t="n">
        <v>41852</v>
      </c>
      <c r="C89" s="56" t="n">
        <v>90880</v>
      </c>
      <c r="D89" s="29" t="s">
        <v>42</v>
      </c>
      <c r="E89" s="33" t="n">
        <f aca="false">IF(D89="totale",(C89/(A89*24))/F89,IF(D89="marché libre",(C89/(A89*24))/G89,"spécifier histo"))</f>
        <v>0.165068294100552</v>
      </c>
      <c r="F89" s="59" t="n">
        <v>740</v>
      </c>
      <c r="G89" s="59" t="n">
        <f aca="false">F89-H89</f>
        <v>740</v>
      </c>
      <c r="H89" s="59" t="n">
        <v>0</v>
      </c>
      <c r="J89" s="55"/>
      <c r="K89" s="55"/>
    </row>
    <row r="90" customFormat="false" ht="19.85" hidden="false" customHeight="true" outlineLevel="0" collapsed="false">
      <c r="A90" s="1" t="n">
        <v>30</v>
      </c>
      <c r="B90" s="31" t="n">
        <v>41883</v>
      </c>
      <c r="C90" s="56" t="n">
        <v>25280</v>
      </c>
      <c r="D90" s="29" t="s">
        <v>42</v>
      </c>
      <c r="E90" s="33" t="n">
        <f aca="false">IF(D90="totale",(C90/(A90*24))/F90,IF(D90="marché libre",(C90/(A90*24))/G90,"spécifier histo"))</f>
        <v>0.0474474474474475</v>
      </c>
      <c r="F90" s="59" t="n">
        <v>740</v>
      </c>
      <c r="G90" s="59" t="n">
        <f aca="false">F90-H90</f>
        <v>740</v>
      </c>
      <c r="H90" s="59" t="n">
        <v>0</v>
      </c>
      <c r="J90" s="55"/>
      <c r="K90" s="55"/>
    </row>
    <row r="91" customFormat="false" ht="19.85" hidden="false" customHeight="true" outlineLevel="0" collapsed="false">
      <c r="A91" s="1" t="n">
        <v>31</v>
      </c>
      <c r="B91" s="34" t="n">
        <v>41913</v>
      </c>
      <c r="C91" s="56" t="n">
        <v>114880</v>
      </c>
      <c r="D91" s="29" t="s">
        <v>42</v>
      </c>
      <c r="E91" s="33" t="n">
        <f aca="false">IF(D91="totale",(C91/(A91*24))/F91,IF(D91="marché libre",(C91/(A91*24))/G91,"spécifier histo"))</f>
        <v>0.208660273176402</v>
      </c>
      <c r="F91" s="59" t="n">
        <v>740</v>
      </c>
      <c r="G91" s="59" t="n">
        <f aca="false">F91-H91</f>
        <v>740</v>
      </c>
      <c r="H91" s="59" t="n">
        <v>0</v>
      </c>
      <c r="J91" s="55"/>
      <c r="K91" s="55"/>
    </row>
    <row r="92" customFormat="false" ht="19.85" hidden="false" customHeight="true" outlineLevel="0" collapsed="false">
      <c r="A92" s="1" t="n">
        <v>30</v>
      </c>
      <c r="B92" s="31" t="n">
        <v>41944</v>
      </c>
      <c r="C92" s="56" t="n">
        <v>203040</v>
      </c>
      <c r="D92" s="29" t="s">
        <v>42</v>
      </c>
      <c r="E92" s="33" t="n">
        <f aca="false">IF(D92="totale",(C92/(A92*24))/F92,IF(D92="marché libre",(C92/(A92*24))/G92,"spécifier histo"))</f>
        <v>0.381081081081081</v>
      </c>
      <c r="F92" s="59" t="n">
        <v>740</v>
      </c>
      <c r="G92" s="59" t="n">
        <f aca="false">F92-H92</f>
        <v>740</v>
      </c>
      <c r="H92" s="59" t="n">
        <v>0</v>
      </c>
      <c r="J92" s="55"/>
    </row>
    <row r="93" customFormat="false" ht="19.85" hidden="false" customHeight="true" outlineLevel="0" collapsed="false">
      <c r="A93" s="1" t="n">
        <v>31</v>
      </c>
      <c r="B93" s="34" t="n">
        <v>41974</v>
      </c>
      <c r="C93" s="56" t="n">
        <v>357440</v>
      </c>
      <c r="D93" s="29" t="s">
        <v>42</v>
      </c>
      <c r="E93" s="33" t="n">
        <f aca="false">IF(D93="totale",(C93/(A93*24))/F93,IF(D93="marché libre",(C93/(A93*24))/G93,"spécifier histo"))</f>
        <v>0.649229875036327</v>
      </c>
      <c r="F93" s="59" t="n">
        <v>740</v>
      </c>
      <c r="G93" s="59" t="n">
        <f aca="false">F93-H93</f>
        <v>740</v>
      </c>
      <c r="H93" s="59" t="n">
        <v>0</v>
      </c>
      <c r="J93" s="55"/>
      <c r="W93" s="227"/>
    </row>
    <row r="94" customFormat="false" ht="19.85" hidden="false" customHeight="true" outlineLevel="0" collapsed="false">
      <c r="A94" s="1" t="n">
        <v>31</v>
      </c>
      <c r="B94" s="31" t="n">
        <v>42005</v>
      </c>
      <c r="C94" s="56" t="n">
        <v>275680</v>
      </c>
      <c r="D94" s="29" t="s">
        <v>42</v>
      </c>
      <c r="E94" s="33" t="n">
        <f aca="false">IF(D94="totale",(C94/(A94*24))/F94,IF(D94="marché libre",(C94/(A94*24))/G94,"spécifier histo"))</f>
        <v>0.500726532984598</v>
      </c>
      <c r="F94" s="59" t="n">
        <v>740</v>
      </c>
      <c r="G94" s="59" t="n">
        <f aca="false">F94-H94</f>
        <v>740</v>
      </c>
      <c r="H94" s="59" t="n">
        <v>0</v>
      </c>
      <c r="J94" s="55"/>
      <c r="W94" s="227"/>
    </row>
    <row r="95" customFormat="false" ht="19.85" hidden="false" customHeight="true" outlineLevel="0" collapsed="false">
      <c r="A95" s="1" t="n">
        <v>28</v>
      </c>
      <c r="B95" s="34" t="n">
        <v>42036</v>
      </c>
      <c r="C95" s="56" t="n">
        <v>129280</v>
      </c>
      <c r="D95" s="29" t="s">
        <v>42</v>
      </c>
      <c r="E95" s="33" t="n">
        <f aca="false">IF(D95="totale",(C95/(A95*24))/F95,IF(D95="marché libre",(C95/(A95*24))/G95,"spécifier histo"))</f>
        <v>0.25997425997426</v>
      </c>
      <c r="F95" s="59" t="n">
        <v>740</v>
      </c>
      <c r="G95" s="59" t="n">
        <f aca="false">F95-H95</f>
        <v>740</v>
      </c>
      <c r="H95" s="59" t="n">
        <v>0</v>
      </c>
      <c r="J95" s="55"/>
      <c r="W95" s="227"/>
    </row>
    <row r="96" customFormat="false" ht="19.85" hidden="false" customHeight="true" outlineLevel="0" collapsed="false">
      <c r="A96" s="1" t="n">
        <v>31</v>
      </c>
      <c r="B96" s="31" t="n">
        <v>42064</v>
      </c>
      <c r="C96" s="56" t="n">
        <v>425760</v>
      </c>
      <c r="D96" s="29" t="s">
        <v>42</v>
      </c>
      <c r="E96" s="33" t="n">
        <f aca="false">IF(D96="totale",(C96/(A96*24))/F96,IF(D96="marché libre",(C96/(A96*24))/G96,"spécifier histo"))</f>
        <v>0.77332170880558</v>
      </c>
      <c r="F96" s="59" t="n">
        <v>740</v>
      </c>
      <c r="G96" s="59" t="n">
        <f aca="false">F96-H96</f>
        <v>740</v>
      </c>
      <c r="H96" s="59" t="n">
        <v>0</v>
      </c>
      <c r="J96" s="55"/>
    </row>
    <row r="97" customFormat="false" ht="19.85" hidden="false" customHeight="true" outlineLevel="0" collapsed="false">
      <c r="A97" s="1" t="n">
        <v>30</v>
      </c>
      <c r="B97" s="34" t="n">
        <v>42095</v>
      </c>
      <c r="C97" s="56" t="n">
        <v>270560</v>
      </c>
      <c r="D97" s="29" t="s">
        <v>42</v>
      </c>
      <c r="E97" s="33" t="n">
        <f aca="false">IF(D97="totale",(C97/(A97*24))/F97,IF(D97="marché libre",(C97/(A97*24))/G97,"spécifier histo"))</f>
        <v>0.507807807807808</v>
      </c>
      <c r="F97" s="59" t="n">
        <v>740</v>
      </c>
      <c r="G97" s="59" t="n">
        <f aca="false">F97-H97</f>
        <v>740</v>
      </c>
      <c r="H97" s="59" t="n">
        <v>0</v>
      </c>
      <c r="J97" s="55"/>
    </row>
    <row r="98" customFormat="false" ht="19.85" hidden="false" customHeight="true" outlineLevel="0" collapsed="false">
      <c r="A98" s="1" t="n">
        <v>31</v>
      </c>
      <c r="B98" s="31" t="n">
        <v>42125</v>
      </c>
      <c r="C98" s="56" t="n">
        <v>199360</v>
      </c>
      <c r="D98" s="29" t="s">
        <v>42</v>
      </c>
      <c r="E98" s="33" t="n">
        <f aca="false">IF(D98="totale",(C98/(A98*24))/F98,IF(D98="marché libre",(C98/(A98*24))/G98,"spécifier histo"))</f>
        <v>0.362104039523394</v>
      </c>
      <c r="F98" s="59" t="n">
        <v>740</v>
      </c>
      <c r="G98" s="59" t="n">
        <f aca="false">F98-H98</f>
        <v>740</v>
      </c>
      <c r="H98" s="59" t="n">
        <v>0</v>
      </c>
      <c r="J98" s="55"/>
    </row>
    <row r="99" customFormat="false" ht="19.85" hidden="false" customHeight="true" outlineLevel="0" collapsed="false">
      <c r="A99" s="1" t="n">
        <v>30</v>
      </c>
      <c r="B99" s="34" t="n">
        <v>42156</v>
      </c>
      <c r="C99" s="56" t="n">
        <v>64800</v>
      </c>
      <c r="D99" s="29" t="s">
        <v>42</v>
      </c>
      <c r="E99" s="33" t="n">
        <f aca="false">IF(D99="totale",(C99/(A99*24))/F99,IF(D99="marché libre",(C99/(A99*24))/G99,"spécifier histo"))</f>
        <v>0.121621621621622</v>
      </c>
      <c r="F99" s="59" t="n">
        <v>740</v>
      </c>
      <c r="G99" s="59" t="n">
        <f aca="false">F99-H99</f>
        <v>740</v>
      </c>
      <c r="H99" s="59" t="n">
        <v>0</v>
      </c>
      <c r="J99" s="55"/>
    </row>
    <row r="100" customFormat="false" ht="19.85" hidden="false" customHeight="true" outlineLevel="0" collapsed="false">
      <c r="A100" s="1" t="n">
        <v>31</v>
      </c>
      <c r="B100" s="31" t="n">
        <v>42186</v>
      </c>
      <c r="C100" s="56" t="n">
        <v>6400</v>
      </c>
      <c r="D100" s="29" t="s">
        <v>42</v>
      </c>
      <c r="E100" s="33" t="n">
        <f aca="false">IF(D100="totale",(C100/(A100*24))/F100,IF(D100="marché libre",(C100/(A100*24))/G100,"spécifier histo"))</f>
        <v>0.01162452775356</v>
      </c>
      <c r="F100" s="59" t="n">
        <v>740</v>
      </c>
      <c r="G100" s="59" t="n">
        <f aca="false">F100-H100</f>
        <v>740</v>
      </c>
      <c r="H100" s="59" t="n">
        <v>0</v>
      </c>
      <c r="J100" s="55"/>
    </row>
    <row r="101" customFormat="false" ht="19.85" hidden="false" customHeight="true" outlineLevel="0" collapsed="false">
      <c r="A101" s="1" t="n">
        <v>31</v>
      </c>
      <c r="B101" s="34" t="n">
        <v>42217</v>
      </c>
      <c r="C101" s="56" t="n">
        <v>3040</v>
      </c>
      <c r="D101" s="29" t="s">
        <v>42</v>
      </c>
      <c r="E101" s="33" t="n">
        <f aca="false">IF(D101="totale",(C101/(A101*24))/F101,IF(D101="marché libre",(C101/(A101*24))/G101,"spécifier histo"))</f>
        <v>0.00552165068294101</v>
      </c>
      <c r="F101" s="59" t="n">
        <v>740</v>
      </c>
      <c r="G101" s="59" t="n">
        <f aca="false">F101-H101</f>
        <v>740</v>
      </c>
      <c r="H101" s="59" t="n">
        <v>0</v>
      </c>
      <c r="J101" s="55"/>
    </row>
    <row r="102" customFormat="false" ht="19.85" hidden="false" customHeight="true" outlineLevel="0" collapsed="false">
      <c r="A102" s="1" t="n">
        <v>30</v>
      </c>
      <c r="B102" s="31" t="n">
        <v>42248</v>
      </c>
      <c r="C102" s="56" t="n">
        <v>22849</v>
      </c>
      <c r="D102" s="29" t="s">
        <v>42</v>
      </c>
      <c r="E102" s="33" t="n">
        <f aca="false">IF(D102="totale",(C102/(A102*24))/F102,IF(D102="marché libre",(C102/(A102*24))/G102,"spécifier histo"))</f>
        <v>0.0428847597597598</v>
      </c>
      <c r="F102" s="59" t="n">
        <v>740</v>
      </c>
      <c r="G102" s="59" t="n">
        <f aca="false">F102-H102</f>
        <v>740</v>
      </c>
      <c r="H102" s="59" t="n">
        <v>0</v>
      </c>
      <c r="J102" s="55"/>
    </row>
    <row r="103" customFormat="false" ht="19.85" hidden="false" customHeight="true" outlineLevel="0" collapsed="false">
      <c r="A103" s="1" t="n">
        <v>31</v>
      </c>
      <c r="B103" s="34" t="n">
        <v>42278</v>
      </c>
      <c r="C103" s="56" t="n">
        <v>42274</v>
      </c>
      <c r="D103" s="29" t="s">
        <v>42</v>
      </c>
      <c r="E103" s="33" t="n">
        <f aca="false">IF(D103="totale",(C103/(A103*24))/F103,IF(D103="marché libre",(C103/(A103*24))/G103,"spécifier histo"))</f>
        <v>0.0767836384771869</v>
      </c>
      <c r="F103" s="59" t="n">
        <v>740</v>
      </c>
      <c r="G103" s="59" t="n">
        <f aca="false">F103-H103</f>
        <v>740</v>
      </c>
      <c r="H103" s="59" t="n">
        <v>0</v>
      </c>
      <c r="J103" s="55"/>
    </row>
    <row r="104" customFormat="false" ht="19.85" hidden="false" customHeight="true" outlineLevel="0" collapsed="false">
      <c r="A104" s="1" t="n">
        <v>30</v>
      </c>
      <c r="B104" s="31" t="n">
        <v>42309</v>
      </c>
      <c r="C104" s="56" t="n">
        <v>30293</v>
      </c>
      <c r="D104" s="29" t="s">
        <v>42</v>
      </c>
      <c r="E104" s="33" t="n">
        <f aca="false">IF(D104="totale",(C104/(A104*24))/F104,IF(D104="marché libre",(C104/(A104*24))/G104,"spécifier histo"))</f>
        <v>0.0568562312312312</v>
      </c>
      <c r="F104" s="59" t="n">
        <v>740</v>
      </c>
      <c r="G104" s="59" t="n">
        <f aca="false">F104-H104</f>
        <v>740</v>
      </c>
      <c r="H104" s="59" t="n">
        <v>0</v>
      </c>
      <c r="J104" s="55"/>
    </row>
    <row r="105" customFormat="false" ht="19.85" hidden="false" customHeight="true" outlineLevel="0" collapsed="false">
      <c r="A105" s="1" t="n">
        <v>31</v>
      </c>
      <c r="B105" s="34" t="n">
        <v>42339</v>
      </c>
      <c r="C105" s="56" t="n">
        <v>75716</v>
      </c>
      <c r="D105" s="29" t="s">
        <v>42</v>
      </c>
      <c r="E105" s="33" t="n">
        <f aca="false">IF(D105="totale",(C105/(A105*24))/F105,IF(D105="marché libre",(C105/(A105*24))/G105,"spécifier histo"))</f>
        <v>0.137525428654461</v>
      </c>
      <c r="F105" s="59" t="n">
        <v>740</v>
      </c>
      <c r="G105" s="59" t="n">
        <f aca="false">F105-H105</f>
        <v>740</v>
      </c>
      <c r="H105" s="59" t="n">
        <v>0</v>
      </c>
      <c r="J105" s="55"/>
    </row>
    <row r="106" customFormat="false" ht="19.85" hidden="false" customHeight="true" outlineLevel="0" collapsed="false">
      <c r="A106" s="1" t="n">
        <v>31</v>
      </c>
      <c r="B106" s="31" t="n">
        <v>42370</v>
      </c>
      <c r="C106" s="56" t="n">
        <v>223729</v>
      </c>
      <c r="D106" s="29" t="s">
        <v>42</v>
      </c>
      <c r="E106" s="33" t="n">
        <f aca="false">IF(D106="totale",(C106/(A106*24))/F106,IF(D106="marché libre",(C106/(A106*24))/G106,"spécifier histo"))</f>
        <v>0.406366245277536</v>
      </c>
      <c r="F106" s="59" t="n">
        <v>740</v>
      </c>
      <c r="G106" s="59" t="n">
        <f aca="false">F106-H106</f>
        <v>740</v>
      </c>
      <c r="H106" s="59" t="n">
        <v>0</v>
      </c>
      <c r="J106" s="55"/>
      <c r="K106" s="55"/>
    </row>
    <row r="107" customFormat="false" ht="19.85" hidden="false" customHeight="true" outlineLevel="0" collapsed="false">
      <c r="A107" s="0" t="n">
        <v>28</v>
      </c>
      <c r="B107" s="34" t="n">
        <v>42401</v>
      </c>
      <c r="C107" s="56" t="n">
        <v>366437</v>
      </c>
      <c r="D107" s="29" t="s">
        <v>42</v>
      </c>
      <c r="E107" s="33" t="n">
        <f aca="false">IF(D107="totale",(C107/(A107*24))/F107,IF(D107="marché libre",(C107/(A107*24))/G107,"spécifier histo"))</f>
        <v>0.736882641570142</v>
      </c>
      <c r="F107" s="59" t="n">
        <v>740</v>
      </c>
      <c r="G107" s="59" t="n">
        <f aca="false">F107-H107</f>
        <v>740</v>
      </c>
      <c r="H107" s="59" t="n">
        <v>0</v>
      </c>
      <c r="J107" s="55"/>
      <c r="K107" s="55"/>
    </row>
    <row r="108" customFormat="false" ht="19.85" hidden="false" customHeight="true" outlineLevel="0" collapsed="false">
      <c r="A108" s="0" t="n">
        <v>31</v>
      </c>
      <c r="B108" s="31" t="n">
        <v>42430</v>
      </c>
      <c r="C108" s="56" t="n">
        <v>403421</v>
      </c>
      <c r="D108" s="29" t="s">
        <v>42</v>
      </c>
      <c r="E108" s="33" t="n">
        <f aca="false">IF(D108="totale",(C108/(A108*24))/F108,IF(D108="marché libre",(C108/(A108*24))/G108,"spécifier histo"))</f>
        <v>0.732746657948271</v>
      </c>
      <c r="F108" s="59" t="n">
        <v>740</v>
      </c>
      <c r="G108" s="59" t="n">
        <f aca="false">F108-H108</f>
        <v>740</v>
      </c>
      <c r="H108" s="59" t="n">
        <v>0</v>
      </c>
      <c r="J108" s="55"/>
      <c r="K108" s="55"/>
    </row>
    <row r="109" customFormat="false" ht="19.85" hidden="false" customHeight="true" outlineLevel="0" collapsed="false">
      <c r="A109" s="0" t="n">
        <v>30</v>
      </c>
      <c r="B109" s="34" t="n">
        <v>42461</v>
      </c>
      <c r="C109" s="56" t="n">
        <v>392499</v>
      </c>
      <c r="D109" s="29" t="s">
        <v>42</v>
      </c>
      <c r="E109" s="33" t="n">
        <f aca="false">IF(D109="totale",(C109/(A109*24))/F109,IF(D109="marché libre",(C109/(A109*24))/G109,"spécifier histo"))</f>
        <v>0.736672297297297</v>
      </c>
      <c r="F109" s="59" t="n">
        <v>740</v>
      </c>
      <c r="G109" s="59" t="n">
        <f aca="false">F109-H109</f>
        <v>740</v>
      </c>
      <c r="H109" s="59" t="n">
        <v>0</v>
      </c>
      <c r="J109" s="55"/>
      <c r="K109" s="55"/>
    </row>
    <row r="110" customFormat="false" ht="19.85" hidden="false" customHeight="true" outlineLevel="0" collapsed="false">
      <c r="A110" s="0" t="n">
        <v>31</v>
      </c>
      <c r="B110" s="31" t="n">
        <v>42491</v>
      </c>
      <c r="C110" s="56" t="n">
        <v>344505</v>
      </c>
      <c r="D110" s="29" t="s">
        <v>42</v>
      </c>
      <c r="E110" s="33" t="n">
        <f aca="false">IF(D110="totale",(C110/(A110*24))/F110,IF(D110="marché libre",(C110/(A110*24))/G110,"spécifier histo"))</f>
        <v>0.625735614646905</v>
      </c>
      <c r="F110" s="59" t="n">
        <v>740</v>
      </c>
      <c r="G110" s="59" t="n">
        <f aca="false">F110-H110</f>
        <v>740</v>
      </c>
      <c r="H110" s="59" t="n">
        <v>0</v>
      </c>
      <c r="J110" s="55"/>
      <c r="K110" s="55"/>
    </row>
    <row r="111" customFormat="false" ht="19.85" hidden="false" customHeight="true" outlineLevel="0" collapsed="false">
      <c r="A111" s="0" t="n">
        <v>30</v>
      </c>
      <c r="B111" s="34" t="n">
        <v>42522</v>
      </c>
      <c r="C111" s="56" t="n">
        <v>353126</v>
      </c>
      <c r="D111" s="29" t="s">
        <v>42</v>
      </c>
      <c r="E111" s="33" t="n">
        <f aca="false">IF(D111="totale",(C111/(A111*24))/F111,IF(D111="marché libre",(C111/(A111*24))/G111,"spécifier histo"))</f>
        <v>0.662774024024024</v>
      </c>
      <c r="F111" s="59" t="n">
        <v>740</v>
      </c>
      <c r="G111" s="59" t="n">
        <f aca="false">F111-H111</f>
        <v>740</v>
      </c>
      <c r="H111" s="59" t="n">
        <v>0</v>
      </c>
      <c r="J111" s="55"/>
      <c r="K111" s="55"/>
    </row>
    <row r="112" customFormat="false" ht="19.85" hidden="false" customHeight="true" outlineLevel="0" collapsed="false">
      <c r="A112" s="0" t="n">
        <v>31</v>
      </c>
      <c r="B112" s="31" t="n">
        <v>42552</v>
      </c>
      <c r="C112" s="56" t="n">
        <v>112160</v>
      </c>
      <c r="D112" s="29" t="s">
        <v>42</v>
      </c>
      <c r="E112" s="33" t="n">
        <f aca="false">IF(D112="totale",(C112/(A112*24))/F112,IF(D112="marché libre",(C112/(A112*24))/G112,"spécifier histo"))</f>
        <v>0.203719848881139</v>
      </c>
      <c r="F112" s="59" t="n">
        <v>740</v>
      </c>
      <c r="G112" s="59" t="n">
        <f aca="false">F112-H112</f>
        <v>740</v>
      </c>
      <c r="H112" s="59" t="n">
        <v>0</v>
      </c>
      <c r="J112" s="55"/>
      <c r="K112" s="55"/>
    </row>
    <row r="113" customFormat="false" ht="19.85" hidden="false" customHeight="true" outlineLevel="0" collapsed="false">
      <c r="A113" s="0" t="n">
        <v>31</v>
      </c>
      <c r="B113" s="34" t="n">
        <v>42583</v>
      </c>
      <c r="C113" s="56" t="n">
        <v>26033</v>
      </c>
      <c r="D113" s="29" t="s">
        <v>42</v>
      </c>
      <c r="E113" s="33" t="n">
        <f aca="false">IF(D113="totale",(C113/(A113*24))/F113,IF(D113="marché libre",(C113/(A113*24))/G113,"spécifier histo"))</f>
        <v>0.0472845829700668</v>
      </c>
      <c r="F113" s="59" t="n">
        <v>740</v>
      </c>
      <c r="G113" s="59" t="n">
        <f aca="false">F113-H113</f>
        <v>740</v>
      </c>
      <c r="H113" s="59" t="n">
        <v>0</v>
      </c>
      <c r="J113" s="55"/>
      <c r="K113" s="55"/>
    </row>
    <row r="114" customFormat="false" ht="19.85" hidden="false" customHeight="true" outlineLevel="0" collapsed="false">
      <c r="A114" s="0" t="n">
        <v>30</v>
      </c>
      <c r="B114" s="31" t="n">
        <v>42614</v>
      </c>
      <c r="C114" s="56" t="n">
        <v>10916</v>
      </c>
      <c r="D114" s="29" t="s">
        <v>42</v>
      </c>
      <c r="E114" s="33" t="n">
        <f aca="false">IF(D114="totale",(C114/(A114*24))/F114,IF(D114="marché libre",(C114/(A114*24))/G114,"spécifier histo"))</f>
        <v>0.020487987987988</v>
      </c>
      <c r="F114" s="59" t="n">
        <v>740</v>
      </c>
      <c r="G114" s="59" t="n">
        <f aca="false">F114-H114</f>
        <v>740</v>
      </c>
      <c r="H114" s="59" t="n">
        <v>0</v>
      </c>
      <c r="J114" s="55"/>
      <c r="K114" s="55"/>
    </row>
    <row r="115" customFormat="false" ht="19.85" hidden="false" customHeight="true" outlineLevel="0" collapsed="false">
      <c r="A115" s="0" t="n">
        <v>31</v>
      </c>
      <c r="B115" s="34" t="n">
        <v>42644</v>
      </c>
      <c r="C115" s="56" t="n">
        <v>58643</v>
      </c>
      <c r="D115" s="29" t="s">
        <v>42</v>
      </c>
      <c r="E115" s="33" t="n">
        <f aca="false">IF(D115="totale",(C115/(A115*24))/F115,IF(D115="marché libre",(C115/(A115*24))/G115,"spécifier histo"))</f>
        <v>0.106515184539378</v>
      </c>
      <c r="F115" s="59" t="n">
        <v>740</v>
      </c>
      <c r="G115" s="59" t="n">
        <f aca="false">F115-H115</f>
        <v>740</v>
      </c>
      <c r="H115" s="59" t="n">
        <v>0</v>
      </c>
      <c r="J115" s="55"/>
      <c r="K115" s="55"/>
    </row>
    <row r="116" customFormat="false" ht="19.85" hidden="false" customHeight="true" outlineLevel="0" collapsed="false">
      <c r="A116" s="0" t="n">
        <v>30</v>
      </c>
      <c r="B116" s="31" t="n">
        <v>42675</v>
      </c>
      <c r="C116" s="56" t="n">
        <v>161075</v>
      </c>
      <c r="D116" s="29" t="s">
        <v>42</v>
      </c>
      <c r="E116" s="33" t="n">
        <f aca="false">IF(D116="totale",(C116/(A116*24))/F116,IF(D116="marché libre",(C116/(A116*24))/G116,"spécifier histo"))</f>
        <v>0.302317942942943</v>
      </c>
      <c r="F116" s="59" t="n">
        <v>740</v>
      </c>
      <c r="G116" s="59" t="n">
        <f aca="false">F116-H116</f>
        <v>740</v>
      </c>
      <c r="H116" s="59" t="n">
        <v>0</v>
      </c>
      <c r="J116" s="55"/>
      <c r="K116" s="55"/>
    </row>
    <row r="117" customFormat="false" ht="19.85" hidden="false" customHeight="true" outlineLevel="0" collapsed="false">
      <c r="A117" s="0" t="n">
        <v>31</v>
      </c>
      <c r="B117" s="34" t="n">
        <v>42705</v>
      </c>
      <c r="C117" s="56" t="n">
        <v>260631</v>
      </c>
      <c r="D117" s="29" t="s">
        <v>42</v>
      </c>
      <c r="E117" s="33" t="n">
        <f aca="false">IF(D117="totale",(C117/(A117*24))/F117,IF(D117="marché libre",(C117/(A117*24))/G117,"spécifier histo"))</f>
        <v>0.473392545771578</v>
      </c>
      <c r="F117" s="59" t="n">
        <v>740</v>
      </c>
      <c r="G117" s="59" t="n">
        <f aca="false">F117-H117</f>
        <v>740</v>
      </c>
      <c r="H117" s="59" t="n">
        <v>0</v>
      </c>
      <c r="J117" s="55"/>
      <c r="K117" s="55"/>
    </row>
    <row r="118" customFormat="false" ht="19.85" hidden="false" customHeight="true" outlineLevel="0" collapsed="false">
      <c r="A118" s="0" t="n">
        <v>31</v>
      </c>
      <c r="B118" s="31" t="n">
        <v>42736</v>
      </c>
      <c r="C118" s="56" t="n">
        <v>103811</v>
      </c>
      <c r="D118" s="29" t="s">
        <v>42</v>
      </c>
      <c r="E118" s="33" t="n">
        <f aca="false">IF(D118="totale",(C118/(A118*24))/F118,IF(D118="marché libre",(C118/(A118*24))/G118,"spécifier histo"))</f>
        <v>0.188555289160128</v>
      </c>
      <c r="F118" s="59" t="n">
        <v>740</v>
      </c>
      <c r="G118" s="59" t="n">
        <f aca="false">F118-H118</f>
        <v>740</v>
      </c>
      <c r="H118" s="59" t="n">
        <v>0</v>
      </c>
      <c r="J118" s="73"/>
      <c r="K118" s="55"/>
    </row>
    <row r="119" customFormat="false" ht="19.85" hidden="false" customHeight="true" outlineLevel="0" collapsed="false">
      <c r="A119" s="0" t="n">
        <v>28</v>
      </c>
      <c r="B119" s="34" t="n">
        <v>42767</v>
      </c>
      <c r="C119" s="56" t="n">
        <v>339692</v>
      </c>
      <c r="D119" s="29" t="s">
        <v>42</v>
      </c>
      <c r="E119" s="33" t="n">
        <f aca="false">IF(D119="totale",(C119/(A119*24))/F119,IF(D119="marché libre",(C119/(A119*24))/G119,"spécifier histo"))</f>
        <v>0.683100064350064</v>
      </c>
      <c r="F119" s="59" t="n">
        <v>740</v>
      </c>
      <c r="G119" s="59" t="n">
        <f aca="false">F119-H119</f>
        <v>740</v>
      </c>
      <c r="H119" s="59" t="n">
        <v>0</v>
      </c>
      <c r="J119" s="55"/>
      <c r="K119" s="55"/>
    </row>
    <row r="120" customFormat="false" ht="19.85" hidden="false" customHeight="true" outlineLevel="0" collapsed="false">
      <c r="A120" s="0" t="n">
        <v>31</v>
      </c>
      <c r="B120" s="31" t="n">
        <v>42795</v>
      </c>
      <c r="C120" s="56" t="n">
        <v>446108</v>
      </c>
      <c r="D120" s="29" t="s">
        <v>42</v>
      </c>
      <c r="E120" s="33" t="n">
        <f aca="false">IF(D120="totale",(C120/(A120*24))/F120,IF(D120="marché libre",(C120/(A120*24))/G120,"spécifier histo"))</f>
        <v>0.810280441732055</v>
      </c>
      <c r="F120" s="59" t="n">
        <v>740</v>
      </c>
      <c r="G120" s="59" t="n">
        <f aca="false">F120-H120</f>
        <v>740</v>
      </c>
      <c r="H120" s="59" t="n">
        <v>0</v>
      </c>
      <c r="J120" s="55"/>
      <c r="K120" s="55"/>
    </row>
    <row r="121" customFormat="false" ht="19.85" hidden="false" customHeight="true" outlineLevel="0" collapsed="false">
      <c r="A121" s="0" t="n">
        <v>30</v>
      </c>
      <c r="B121" s="34" t="n">
        <v>42826</v>
      </c>
      <c r="C121" s="56" t="n">
        <v>288036</v>
      </c>
      <c r="D121" s="29" t="s">
        <v>42</v>
      </c>
      <c r="E121" s="33" t="n">
        <f aca="false">IF(D121="totale",(C121/(A121*24))/F121,IF(D121="marché libre",(C121/(A121*24))/G121,"spécifier histo"))</f>
        <v>0.540608108108108</v>
      </c>
      <c r="F121" s="59" t="n">
        <v>740</v>
      </c>
      <c r="G121" s="59" t="n">
        <f aca="false">F121-H121</f>
        <v>740</v>
      </c>
      <c r="H121" s="59" t="n">
        <v>0</v>
      </c>
      <c r="J121" s="55"/>
      <c r="K121" s="55"/>
    </row>
    <row r="122" customFormat="false" ht="19.85" hidden="false" customHeight="true" outlineLevel="0" collapsed="false">
      <c r="A122" s="0" t="n">
        <v>31</v>
      </c>
      <c r="B122" s="31" t="n">
        <v>42856</v>
      </c>
      <c r="C122" s="56" t="n">
        <v>227614</v>
      </c>
      <c r="D122" s="29" t="s">
        <v>42</v>
      </c>
      <c r="E122" s="33" t="n">
        <f aca="false">IF(D122="totale",(C122/(A122*24))/F122,IF(D122="marché libre",(C122/(A122*24))/G122,"spécifier histo"))</f>
        <v>0.413422696890439</v>
      </c>
      <c r="F122" s="59" t="n">
        <v>740</v>
      </c>
      <c r="G122" s="59" t="n">
        <f aca="false">F122-H122</f>
        <v>740</v>
      </c>
      <c r="H122" s="59" t="n">
        <v>0</v>
      </c>
      <c r="J122" s="55"/>
      <c r="K122" s="55"/>
    </row>
    <row r="123" customFormat="false" ht="19.85" hidden="false" customHeight="true" outlineLevel="0" collapsed="false">
      <c r="A123" s="0" t="n">
        <v>30</v>
      </c>
      <c r="B123" s="34" t="n">
        <v>42887</v>
      </c>
      <c r="C123" s="56" t="n">
        <v>118724</v>
      </c>
      <c r="D123" s="29" t="s">
        <v>42</v>
      </c>
      <c r="E123" s="33" t="n">
        <f aca="false">IF(D123="totale",(C123/(A123*24))/F123,IF(D123="marché libre",(C123/(A123*24))/G123,"spécifier histo"))</f>
        <v>0.22283033033033</v>
      </c>
      <c r="F123" s="59" t="n">
        <v>740</v>
      </c>
      <c r="G123" s="59" t="n">
        <f aca="false">F123-H123</f>
        <v>740</v>
      </c>
      <c r="H123" s="59" t="n">
        <v>0</v>
      </c>
      <c r="J123" s="55"/>
      <c r="K123" s="55"/>
    </row>
    <row r="124" customFormat="false" ht="19.85" hidden="false" customHeight="true" outlineLevel="0" collapsed="false">
      <c r="A124" s="0" t="n">
        <v>31</v>
      </c>
      <c r="B124" s="31" t="n">
        <v>42917</v>
      </c>
      <c r="C124" s="56" t="n">
        <v>35827</v>
      </c>
      <c r="D124" s="29" t="s">
        <v>42</v>
      </c>
      <c r="E124" s="33" t="n">
        <f aca="false">IF(D124="totale",(C124/(A124*24))/F124,IF(D124="marché libre",(C124/(A124*24))/G124,"spécifier histo"))</f>
        <v>0.0650737430979367</v>
      </c>
      <c r="F124" s="59" t="n">
        <v>740</v>
      </c>
      <c r="G124" s="59" t="n">
        <f aca="false">F124-H124</f>
        <v>740</v>
      </c>
      <c r="H124" s="59" t="n">
        <v>0</v>
      </c>
      <c r="J124" s="55"/>
      <c r="K124" s="55"/>
    </row>
    <row r="125" customFormat="false" ht="19.85" hidden="false" customHeight="true" outlineLevel="0" collapsed="false">
      <c r="A125" s="0" t="n">
        <v>31</v>
      </c>
      <c r="B125" s="34" t="n">
        <v>42948</v>
      </c>
      <c r="C125" s="56" t="n">
        <v>1025</v>
      </c>
      <c r="D125" s="29" t="s">
        <v>42</v>
      </c>
      <c r="E125" s="33" t="n">
        <f aca="false">IF(D125="totale",(C125/(A125*24))/F125,IF(D125="marché libre",(C125/(A125*24))/G125,"spécifier histo"))</f>
        <v>0.0018617407730311</v>
      </c>
      <c r="F125" s="59" t="n">
        <v>740</v>
      </c>
      <c r="G125" s="59" t="n">
        <f aca="false">F125-H125</f>
        <v>740</v>
      </c>
      <c r="H125" s="59" t="n">
        <v>0</v>
      </c>
      <c r="J125" s="55"/>
      <c r="K125" s="55"/>
    </row>
    <row r="126" customFormat="false" ht="19.85" hidden="false" customHeight="true" outlineLevel="0" collapsed="false">
      <c r="A126" s="0" t="n">
        <v>30</v>
      </c>
      <c r="B126" s="31" t="n">
        <v>42979</v>
      </c>
      <c r="C126" s="56" t="n">
        <v>0</v>
      </c>
      <c r="D126" s="29" t="s">
        <v>42</v>
      </c>
      <c r="E126" s="33" t="n">
        <f aca="false">IF(D126="totale",(C126/(A126*24))/F126,IF(D126="marché libre",(C126/(A126*24))/G126,"spécifier histo"))</f>
        <v>0</v>
      </c>
      <c r="F126" s="59" t="n">
        <v>740</v>
      </c>
      <c r="G126" s="59" t="n">
        <f aca="false">F126-H126</f>
        <v>740</v>
      </c>
      <c r="H126" s="59" t="n">
        <v>0</v>
      </c>
      <c r="J126" s="55"/>
      <c r="K126" s="55"/>
    </row>
    <row r="127" customFormat="false" ht="19.85" hidden="false" customHeight="true" outlineLevel="0" collapsed="false">
      <c r="A127" s="0" t="n">
        <v>31</v>
      </c>
      <c r="B127" s="34" t="n">
        <v>43009</v>
      </c>
      <c r="C127" s="56" t="n">
        <v>0</v>
      </c>
      <c r="D127" s="29" t="s">
        <v>42</v>
      </c>
      <c r="E127" s="33" t="n">
        <f aca="false">IF(D127="totale",(C127/(A127*24))/F127,IF(D127="marché libre",(C127/(A127*24))/G127,"spécifier histo"))</f>
        <v>0</v>
      </c>
      <c r="F127" s="59" t="n">
        <v>740</v>
      </c>
      <c r="G127" s="59" t="n">
        <f aca="false">F127-H127</f>
        <v>740</v>
      </c>
      <c r="H127" s="59" t="n">
        <v>0</v>
      </c>
      <c r="J127" s="55"/>
      <c r="K127" s="55"/>
    </row>
    <row r="128" customFormat="false" ht="19.85" hidden="false" customHeight="true" outlineLevel="0" collapsed="false">
      <c r="A128" s="0" t="n">
        <v>30</v>
      </c>
      <c r="B128" s="31" t="n">
        <v>43040</v>
      </c>
      <c r="C128" s="56" t="n">
        <v>14528</v>
      </c>
      <c r="D128" s="29" t="s">
        <v>42</v>
      </c>
      <c r="E128" s="33" t="n">
        <f aca="false">IF(D128="totale",(C128/(A128*24))/F128,IF(D128="marché libre",(C128/(A128*24))/G128,"spécifier histo"))</f>
        <v>0.0272672672672673</v>
      </c>
      <c r="F128" s="59" t="n">
        <v>740</v>
      </c>
      <c r="G128" s="59" t="n">
        <f aca="false">F128-H128</f>
        <v>740</v>
      </c>
      <c r="H128" s="59" t="n">
        <v>0</v>
      </c>
      <c r="J128" s="55"/>
      <c r="K128" s="55"/>
    </row>
    <row r="129" customFormat="false" ht="19.85" hidden="false" customHeight="true" outlineLevel="0" collapsed="false">
      <c r="A129" s="0" t="n">
        <v>31</v>
      </c>
      <c r="B129" s="34" t="n">
        <v>43070</v>
      </c>
      <c r="C129" s="56" t="n">
        <v>71037</v>
      </c>
      <c r="D129" s="29" t="s">
        <v>42</v>
      </c>
      <c r="E129" s="33" t="n">
        <f aca="false">IF(D129="totale",(C129/(A129*24))/F129,IF(D129="marché libre",(C129/(A129*24))/G129,"spécifier histo"))</f>
        <v>0.129026809067132</v>
      </c>
      <c r="F129" s="59" t="n">
        <v>740</v>
      </c>
      <c r="G129" s="59" t="n">
        <f aca="false">F129-H129</f>
        <v>740</v>
      </c>
      <c r="H129" s="59" t="n">
        <v>0</v>
      </c>
      <c r="J129" s="55"/>
      <c r="K129" s="55"/>
    </row>
    <row r="130" customFormat="false" ht="19.85" hidden="false" customHeight="true" outlineLevel="0" collapsed="false">
      <c r="A130" s="0" t="n">
        <v>31</v>
      </c>
      <c r="B130" s="31" t="n">
        <v>43101</v>
      </c>
      <c r="C130" s="56" t="n">
        <v>461952</v>
      </c>
      <c r="D130" s="29" t="s">
        <v>42</v>
      </c>
      <c r="E130" s="33" t="n">
        <f aca="false">IF(D130="totale",(C130/(A130*24))/F130,IF(D130="marché libre",(C130/(A130*24))/G130,"spécifier histo"))</f>
        <v>0.839058413251962</v>
      </c>
      <c r="F130" s="59" t="n">
        <v>740</v>
      </c>
      <c r="G130" s="59" t="n">
        <f aca="false">F130-H130</f>
        <v>740</v>
      </c>
      <c r="H130" s="59" t="n">
        <v>0</v>
      </c>
      <c r="J130" s="30"/>
      <c r="K130" s="55"/>
    </row>
    <row r="131" customFormat="false" ht="19.85" hidden="false" customHeight="true" outlineLevel="0" collapsed="false">
      <c r="A131" s="0" t="n">
        <v>28</v>
      </c>
      <c r="B131" s="34" t="n">
        <v>43132</v>
      </c>
      <c r="C131" s="56" t="n">
        <v>416457</v>
      </c>
      <c r="D131" s="29" t="s">
        <v>42</v>
      </c>
      <c r="E131" s="33" t="n">
        <f aca="false">IF(D131="totale",(C131/(A131*24))/F131,IF(D131="marché libre",(C131/(A131*24))/G131,"spécifier histo"))</f>
        <v>0.837469835907336</v>
      </c>
      <c r="F131" s="59" t="n">
        <v>740</v>
      </c>
      <c r="G131" s="59" t="n">
        <f aca="false">F131-H131</f>
        <v>740</v>
      </c>
      <c r="H131" s="59" t="n">
        <v>0</v>
      </c>
      <c r="K131" s="55"/>
    </row>
    <row r="132" customFormat="false" ht="19.85" hidden="false" customHeight="true" outlineLevel="0" collapsed="false">
      <c r="A132" s="0" t="n">
        <v>31</v>
      </c>
      <c r="B132" s="31" t="n">
        <v>43160</v>
      </c>
      <c r="C132" s="56" t="n">
        <v>480011</v>
      </c>
      <c r="D132" s="29" t="s">
        <v>42</v>
      </c>
      <c r="E132" s="33" t="n">
        <f aca="false">IF(D132="totale",(C132/(A132*24))/F132,IF(D132="marché libre",(C132/(A132*24))/G132,"spécifier histo"))</f>
        <v>0.871859561174077</v>
      </c>
      <c r="F132" s="59" t="n">
        <v>740</v>
      </c>
      <c r="G132" s="59" t="n">
        <f aca="false">F132-H132</f>
        <v>740</v>
      </c>
      <c r="H132" s="59" t="n">
        <v>0</v>
      </c>
      <c r="K132" s="55"/>
    </row>
    <row r="133" customFormat="false" ht="19.85" hidden="false" customHeight="true" outlineLevel="0" collapsed="false">
      <c r="A133" s="0" t="n">
        <v>28</v>
      </c>
      <c r="B133" s="34" t="n">
        <v>43191</v>
      </c>
      <c r="C133" s="56" t="n">
        <v>417210</v>
      </c>
      <c r="D133" s="29" t="s">
        <v>42</v>
      </c>
      <c r="E133" s="33" t="n">
        <f aca="false">IF(D133="totale",(C133/(A133*24))/F133,IF(D133="marché libre",(C133/(A133*24))/G133,"spécifier histo"))</f>
        <v>0.838984073359073</v>
      </c>
      <c r="F133" s="59" t="n">
        <v>740</v>
      </c>
      <c r="G133" s="59" t="n">
        <f aca="false">F133-H133</f>
        <v>740</v>
      </c>
      <c r="H133" s="59" t="n">
        <v>0</v>
      </c>
      <c r="K133" s="55"/>
    </row>
    <row r="134" customFormat="false" ht="19.85" hidden="false" customHeight="true" outlineLevel="0" collapsed="false">
      <c r="A134" s="0" t="n">
        <v>31</v>
      </c>
      <c r="B134" s="31" t="n">
        <v>43221</v>
      </c>
      <c r="C134" s="56" t="n">
        <v>415044</v>
      </c>
      <c r="D134" s="29" t="s">
        <v>42</v>
      </c>
      <c r="E134" s="33" t="n">
        <f aca="false">IF(D134="totale",(C134/(A134*24))/F134,IF(D134="marché libre",(C134/(A134*24))/G134,"spécifier histo"))</f>
        <v>0.753857890148213</v>
      </c>
      <c r="F134" s="59" t="n">
        <v>740</v>
      </c>
      <c r="G134" s="59" t="n">
        <f aca="false">F134-H134</f>
        <v>740</v>
      </c>
      <c r="H134" s="59" t="n">
        <v>0</v>
      </c>
      <c r="K134" s="55"/>
    </row>
    <row r="135" customFormat="false" ht="19.85" hidden="false" customHeight="true" outlineLevel="0" collapsed="false">
      <c r="A135" s="0" t="n">
        <v>30</v>
      </c>
      <c r="B135" s="34" t="n">
        <v>43252</v>
      </c>
      <c r="C135" s="56" t="n">
        <v>384034</v>
      </c>
      <c r="D135" s="29" t="s">
        <v>42</v>
      </c>
      <c r="E135" s="33" t="n">
        <f aca="false">IF(D135="totale",(C135/(A135*24))/F135,IF(D135="marché libre",(C135/(A135*24))/G135,"spécifier histo"))</f>
        <v>0.720784534534535</v>
      </c>
      <c r="F135" s="59" t="n">
        <v>740</v>
      </c>
      <c r="G135" s="59" t="n">
        <f aca="false">F135-H135</f>
        <v>740</v>
      </c>
      <c r="H135" s="59" t="n">
        <v>0</v>
      </c>
      <c r="K135" s="55"/>
    </row>
    <row r="136" customFormat="false" ht="19.85" hidden="false" customHeight="true" outlineLevel="0" collapsed="false">
      <c r="A136" s="0" t="n">
        <v>31</v>
      </c>
      <c r="B136" s="31" t="n">
        <v>43282</v>
      </c>
      <c r="C136" s="56" t="n">
        <v>121990</v>
      </c>
      <c r="D136" s="29" t="s">
        <v>42</v>
      </c>
      <c r="E136" s="33" t="n">
        <f aca="false">IF(D136="totale",(C136/(A136*24))/F136,IF(D136="marché libre",(C136/(A136*24))/G136,"spécifier histo"))</f>
        <v>0.221574396977623</v>
      </c>
      <c r="F136" s="59" t="n">
        <v>740</v>
      </c>
      <c r="G136" s="59" t="n">
        <f aca="false">F136-H136</f>
        <v>740</v>
      </c>
      <c r="H136" s="59" t="n">
        <v>0</v>
      </c>
      <c r="K136" s="55"/>
    </row>
    <row r="137" customFormat="false" ht="19.85" hidden="false" customHeight="true" outlineLevel="0" collapsed="false">
      <c r="A137" s="0" t="n">
        <v>30</v>
      </c>
      <c r="B137" s="34" t="n">
        <v>43313</v>
      </c>
      <c r="C137" s="56" t="n">
        <v>49828</v>
      </c>
      <c r="D137" s="29" t="s">
        <v>42</v>
      </c>
      <c r="E137" s="33" t="n">
        <f aca="false">IF(D137="totale",(C137/(A137*24))/F137,IF(D137="marché libre",(C137/(A137*24))/G137,"spécifier histo"))</f>
        <v>0.093521021021021</v>
      </c>
      <c r="F137" s="59" t="n">
        <v>740</v>
      </c>
      <c r="G137" s="59" t="n">
        <f aca="false">F137-H137</f>
        <v>740</v>
      </c>
      <c r="H137" s="59" t="n">
        <v>0</v>
      </c>
      <c r="K137" s="55"/>
    </row>
    <row r="138" customFormat="false" ht="19.85" hidden="false" customHeight="true" outlineLevel="0" collapsed="false">
      <c r="C138" s="56"/>
      <c r="K138" s="55"/>
    </row>
    <row r="139" customFormat="false" ht="19.85" hidden="false" customHeight="true" outlineLevel="0" collapsed="false">
      <c r="C139" s="56"/>
      <c r="K139" s="55"/>
    </row>
    <row r="140" customFormat="false" ht="19.85" hidden="false" customHeight="true" outlineLevel="0" collapsed="false">
      <c r="C140" s="56"/>
      <c r="K140" s="55"/>
    </row>
    <row r="141" customFormat="false" ht="19.85" hidden="false" customHeight="true" outlineLevel="0" collapsed="false">
      <c r="C141" s="56"/>
      <c r="K141" s="55"/>
    </row>
    <row r="142" customFormat="false" ht="19.85" hidden="false" customHeight="true" outlineLevel="0" collapsed="false">
      <c r="C142" s="56"/>
      <c r="K142" s="55"/>
    </row>
    <row r="143" customFormat="false" ht="19.85" hidden="false" customHeight="true" outlineLevel="0" collapsed="false">
      <c r="C143" s="56"/>
      <c r="K143" s="55"/>
    </row>
    <row r="144" customFormat="false" ht="19.85" hidden="false" customHeight="true" outlineLevel="0" collapsed="false">
      <c r="C144" s="56"/>
      <c r="K144" s="55"/>
    </row>
    <row r="145" customFormat="false" ht="19.85" hidden="false" customHeight="true" outlineLevel="0" collapsed="false">
      <c r="C145" s="56"/>
      <c r="K145" s="55"/>
    </row>
    <row r="146" customFormat="false" ht="19.85" hidden="false" customHeight="true" outlineLevel="0" collapsed="false">
      <c r="K146" s="55"/>
    </row>
    <row r="147" customFormat="false" ht="19.85" hidden="false" customHeight="true" outlineLevel="0" collapsed="false">
      <c r="K147" s="55"/>
    </row>
    <row r="148" customFormat="false" ht="19.85" hidden="false" customHeight="true" outlineLevel="0" collapsed="false">
      <c r="K148" s="55"/>
    </row>
    <row r="149" customFormat="false" ht="19.85" hidden="false" customHeight="true" outlineLevel="0" collapsed="false">
      <c r="K149" s="55"/>
    </row>
    <row r="150" customFormat="false" ht="19.85" hidden="false" customHeight="true" outlineLevel="0" collapsed="false">
      <c r="K150" s="55"/>
    </row>
    <row r="151" customFormat="false" ht="19.85" hidden="false" customHeight="true" outlineLevel="0" collapsed="false">
      <c r="K151" s="55"/>
    </row>
    <row r="152" customFormat="false" ht="19.85" hidden="false" customHeight="true" outlineLevel="0" collapsed="false">
      <c r="K152" s="55"/>
    </row>
    <row r="153" customFormat="false" ht="19.85" hidden="false" customHeight="true" outlineLevel="0" collapsed="false">
      <c r="K153" s="55"/>
    </row>
    <row r="154" customFormat="false" ht="19.85" hidden="false" customHeight="true" outlineLevel="0" collapsed="false">
      <c r="K154" s="55"/>
    </row>
    <row r="155" customFormat="false" ht="19.85" hidden="false" customHeight="true" outlineLevel="0" collapsed="false">
      <c r="K155" s="55"/>
    </row>
    <row r="156" customFormat="false" ht="19.85" hidden="false" customHeight="true" outlineLevel="0" collapsed="false">
      <c r="K156" s="55"/>
    </row>
    <row r="157" customFormat="false" ht="19.85" hidden="false" customHeight="true" outlineLevel="0" collapsed="false">
      <c r="K157" s="55"/>
    </row>
    <row r="158" customFormat="false" ht="19.85" hidden="false" customHeight="true" outlineLevel="0" collapsed="false">
      <c r="K158" s="55"/>
    </row>
    <row r="159" customFormat="false" ht="19.85" hidden="false" customHeight="true" outlineLevel="0" collapsed="false">
      <c r="K159" s="55"/>
    </row>
    <row r="160" customFormat="false" ht="19.85" hidden="false" customHeight="true" outlineLevel="0" collapsed="false">
      <c r="K160" s="55"/>
    </row>
    <row r="161" customFormat="false" ht="19.85" hidden="false" customHeight="true" outlineLevel="0" collapsed="false">
      <c r="K161" s="55"/>
    </row>
    <row r="162" customFormat="false" ht="19.85" hidden="false" customHeight="true" outlineLevel="0" collapsed="false">
      <c r="K162" s="55"/>
    </row>
    <row r="163" customFormat="false" ht="19.85" hidden="false" customHeight="true" outlineLevel="0" collapsed="false">
      <c r="K163" s="55"/>
    </row>
    <row r="164" customFormat="false" ht="19.85" hidden="false" customHeight="true" outlineLevel="0" collapsed="false">
      <c r="K164" s="55"/>
    </row>
    <row r="165" customFormat="false" ht="19.85" hidden="false" customHeight="true" outlineLevel="0" collapsed="false">
      <c r="K165" s="55"/>
    </row>
    <row r="166" customFormat="false" ht="19.85" hidden="false" customHeight="true" outlineLevel="0" collapsed="false">
      <c r="K166" s="55"/>
    </row>
    <row r="167" customFormat="false" ht="19.85" hidden="false" customHeight="true" outlineLevel="0" collapsed="false">
      <c r="K167" s="55"/>
    </row>
    <row r="168" customFormat="false" ht="19.85" hidden="false" customHeight="true" outlineLevel="0" collapsed="false">
      <c r="K168" s="55"/>
    </row>
    <row r="169" customFormat="false" ht="19.85" hidden="false" customHeight="true" outlineLevel="0" collapsed="false">
      <c r="K169" s="55"/>
    </row>
    <row r="170" customFormat="false" ht="19.85" hidden="false" customHeight="true" outlineLevel="0" collapsed="false">
      <c r="K170" s="55"/>
    </row>
    <row r="171" customFormat="false" ht="19.85" hidden="false" customHeight="true" outlineLevel="0" collapsed="false">
      <c r="K171" s="55"/>
    </row>
    <row r="172" customFormat="false" ht="19.85" hidden="false" customHeight="true" outlineLevel="0" collapsed="false">
      <c r="K172" s="55"/>
    </row>
    <row r="173" customFormat="false" ht="19.85" hidden="false" customHeight="true" outlineLevel="0" collapsed="false">
      <c r="K173" s="55"/>
    </row>
    <row r="174" customFormat="false" ht="19.85" hidden="false" customHeight="true" outlineLevel="0" collapsed="false">
      <c r="K174" s="55"/>
    </row>
    <row r="175" customFormat="false" ht="19.85" hidden="false" customHeight="true" outlineLevel="0" collapsed="false">
      <c r="K175" s="55"/>
    </row>
    <row r="176" customFormat="false" ht="19.85" hidden="false" customHeight="true" outlineLevel="0" collapsed="false">
      <c r="K176" s="55"/>
    </row>
    <row r="177" customFormat="false" ht="19.85" hidden="false" customHeight="true" outlineLevel="0" collapsed="false">
      <c r="K177" s="55"/>
    </row>
    <row r="178" customFormat="false" ht="19.85" hidden="false" customHeight="true" outlineLevel="0" collapsed="false">
      <c r="K178" s="55"/>
    </row>
    <row r="179" customFormat="false" ht="19.85" hidden="false" customHeight="true" outlineLevel="0" collapsed="false">
      <c r="K179" s="55"/>
    </row>
    <row r="180" customFormat="false" ht="19.85" hidden="false" customHeight="true" outlineLevel="0" collapsed="false">
      <c r="K180" s="55"/>
    </row>
    <row r="181" customFormat="false" ht="19.85" hidden="false" customHeight="true" outlineLevel="0" collapsed="false">
      <c r="K181" s="55"/>
    </row>
    <row r="182" customFormat="false" ht="19.85" hidden="false" customHeight="true" outlineLevel="0" collapsed="false">
      <c r="K182" s="55"/>
    </row>
    <row r="183" customFormat="false" ht="19.85" hidden="false" customHeight="true" outlineLevel="0" collapsed="false">
      <c r="K183" s="55"/>
    </row>
    <row r="184" customFormat="false" ht="19.85" hidden="false" customHeight="true" outlineLevel="0" collapsed="false">
      <c r="K184" s="55"/>
    </row>
    <row r="185" customFormat="false" ht="19.85" hidden="false" customHeight="true" outlineLevel="0" collapsed="false">
      <c r="K185" s="55"/>
    </row>
    <row r="186" customFormat="false" ht="19.85" hidden="false" customHeight="true" outlineLevel="0" collapsed="false">
      <c r="K186" s="55"/>
    </row>
    <row r="187" customFormat="false" ht="19.85" hidden="false" customHeight="true" outlineLevel="0" collapsed="false">
      <c r="K187" s="55"/>
    </row>
    <row r="188" customFormat="false" ht="19.85" hidden="false" customHeight="true" outlineLevel="0" collapsed="false">
      <c r="K188" s="55"/>
    </row>
    <row r="189" customFormat="false" ht="19.85" hidden="false" customHeight="true" outlineLevel="0" collapsed="false">
      <c r="K189" s="55"/>
    </row>
    <row r="190" customFormat="false" ht="19.85" hidden="false" customHeight="true" outlineLevel="0" collapsed="false">
      <c r="K190" s="55"/>
      <c r="L190" s="63"/>
    </row>
    <row r="191" customFormat="false" ht="19.85" hidden="false" customHeight="true" outlineLevel="0" collapsed="false">
      <c r="K191" s="55"/>
      <c r="L191" s="63"/>
    </row>
    <row r="192" customFormat="false" ht="19.85" hidden="false" customHeight="true" outlineLevel="0" collapsed="false">
      <c r="K192" s="55"/>
      <c r="L192" s="63"/>
    </row>
    <row r="193" customFormat="false" ht="19.85" hidden="false" customHeight="true" outlineLevel="0" collapsed="false">
      <c r="K193" s="55"/>
    </row>
    <row r="194" customFormat="false" ht="19.85" hidden="false" customHeight="true" outlineLevel="0" collapsed="false">
      <c r="K194" s="55"/>
    </row>
    <row r="195" customFormat="false" ht="19.85" hidden="false" customHeight="true" outlineLevel="0" collapsed="false">
      <c r="K195" s="55"/>
    </row>
    <row r="196" customFormat="false" ht="19.85" hidden="false" customHeight="true" outlineLevel="0" collapsed="false">
      <c r="K196" s="55"/>
    </row>
    <row r="197" customFormat="false" ht="19.85" hidden="false" customHeight="true" outlineLevel="0" collapsed="false">
      <c r="K197" s="55"/>
    </row>
    <row r="198" customFormat="false" ht="19.85" hidden="false" customHeight="true" outlineLevel="0" collapsed="false">
      <c r="K198" s="55"/>
    </row>
    <row r="199" customFormat="false" ht="19.85" hidden="false" customHeight="true" outlineLevel="0" collapsed="false">
      <c r="K199" s="55"/>
    </row>
    <row r="200" customFormat="false" ht="19.85" hidden="false" customHeight="true" outlineLevel="0" collapsed="false">
      <c r="K200" s="55"/>
    </row>
    <row r="201" customFormat="false" ht="19.85" hidden="false" customHeight="true" outlineLevel="0" collapsed="false">
      <c r="K201" s="55"/>
    </row>
    <row r="202" customFormat="false" ht="19.85" hidden="false" customHeight="true" outlineLevel="0" collapsed="false">
      <c r="K202" s="55"/>
    </row>
    <row r="203" customFormat="false" ht="22.45" hidden="false" customHeight="true" outlineLevel="0" collapsed="false">
      <c r="K203" s="55"/>
    </row>
    <row r="204" customFormat="false" ht="21.65" hidden="false" customHeight="true" outlineLevel="0" collapsed="false">
      <c r="K204" s="55"/>
    </row>
    <row r="205" customFormat="false" ht="21.65" hidden="false" customHeight="true" outlineLevel="0" collapsed="false">
      <c r="K205" s="55"/>
    </row>
    <row r="206" customFormat="false" ht="21.65" hidden="false" customHeight="true" outlineLevel="0" collapsed="false">
      <c r="K206" s="55"/>
    </row>
    <row r="207" customFormat="false" ht="21.65" hidden="false" customHeight="true" outlineLevel="0" collapsed="false">
      <c r="K207" s="55"/>
    </row>
    <row r="208" customFormat="false" ht="21.65" hidden="false" customHeight="true" outlineLevel="0" collapsed="false">
      <c r="K208" s="55"/>
    </row>
    <row r="209" customFormat="false" ht="21.65" hidden="false" customHeight="true" outlineLevel="0" collapsed="false">
      <c r="K209" s="55"/>
    </row>
    <row r="210" customFormat="false" ht="28.35" hidden="false" customHeight="true" outlineLevel="0" collapsed="false">
      <c r="K210" s="30"/>
    </row>
    <row r="211" customFormat="false" ht="28.35" hidden="false" customHeight="true" outlineLevel="0" collapsed="false"/>
    <row r="212" customFormat="false" ht="28.35" hidden="false" customHeight="true" outlineLevel="0" collapsed="false"/>
    <row r="213" customFormat="false" ht="28.35" hidden="false" customHeight="true" outlineLevel="0" collapsed="false"/>
    <row r="214" customFormat="false" ht="28.35" hidden="false" customHeight="true" outlineLevel="0" collapsed="false"/>
    <row r="215" customFormat="false" ht="28.35" hidden="false" customHeight="true" outlineLevel="0" collapsed="false"/>
    <row r="216" customFormat="false" ht="28.35" hidden="false" customHeight="true" outlineLevel="0" collapsed="false"/>
    <row r="217" customFormat="false" ht="28.35" hidden="false" customHeight="true" outlineLevel="0" collapsed="false"/>
    <row r="218" customFormat="false" ht="28.35" hidden="false" customHeight="true" outlineLevel="0" collapsed="false"/>
    <row r="219" customFormat="false" ht="28.35" hidden="false" customHeight="true" outlineLevel="0" collapsed="false"/>
    <row r="220" customFormat="false" ht="28.35" hidden="false" customHeight="true" outlineLevel="0" collapsed="false"/>
    <row r="221" customFormat="false" ht="28.35" hidden="false" customHeight="true" outlineLevel="0" collapsed="false"/>
    <row r="222" customFormat="false" ht="28.35" hidden="false" customHeight="true" outlineLevel="0" collapsed="false"/>
    <row r="223" customFormat="false" ht="28.35" hidden="false" customHeight="true" outlineLevel="0" collapsed="false"/>
    <row r="224" customFormat="false" ht="28.35" hidden="false" customHeight="true" outlineLevel="0" collapsed="false"/>
    <row r="225" customFormat="false" ht="28.35" hidden="false" customHeight="true" outlineLevel="0" collapsed="false"/>
    <row r="226" customFormat="false" ht="28.35" hidden="false" customHeight="true" outlineLevel="0" collapsed="false"/>
    <row r="227" customFormat="false" ht="28.35" hidden="false" customHeight="true" outlineLevel="0" collapsed="false"/>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137">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137">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5.xml><?xml version="1.0" encoding="utf-8"?>
<worksheet xmlns="http://schemas.openxmlformats.org/spreadsheetml/2006/main" xmlns:r="http://schemas.openxmlformats.org/officeDocument/2006/relationships">
  <sheetPr filterMode="false">
    <tabColor rgb="FF00CC33"/>
    <pageSetUpPr fitToPage="false"/>
  </sheetPr>
  <dimension ref="A1:V26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81" activePane="bottomRight" state="frozen"/>
      <selection pane="topLeft" activeCell="A1" activeCellId="0" sqref="A1"/>
      <selection pane="topRight" activeCell="B1" activeCellId="0" sqref="B1"/>
      <selection pane="bottomLeft" activeCell="A181" activeCellId="0" sqref="A181"/>
      <selection pane="bottomRight" activeCell="K187" activeCellId="0" sqref="K187"/>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219" t="s">
        <v>874</v>
      </c>
      <c r="C4" s="16" t="s">
        <v>875</v>
      </c>
      <c r="D4" s="5" t="s">
        <v>876</v>
      </c>
      <c r="E4" s="14" t="s">
        <v>63</v>
      </c>
      <c r="F4" s="15" t="n">
        <v>1350</v>
      </c>
      <c r="G4" s="15" t="n">
        <v>900</v>
      </c>
      <c r="H4" s="15" t="n">
        <v>900</v>
      </c>
      <c r="I4" s="16" t="s">
        <v>877</v>
      </c>
      <c r="J4" s="15" t="n">
        <f aca="false">900+400</f>
        <v>1300</v>
      </c>
      <c r="K4" s="16" t="s">
        <v>878</v>
      </c>
      <c r="L4" s="16" t="s">
        <v>66</v>
      </c>
      <c r="M4" s="16" t="s">
        <v>66</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470" t="s">
        <v>879</v>
      </c>
      <c r="H6" s="470"/>
      <c r="I6" s="470"/>
      <c r="J6" s="470"/>
      <c r="K6" s="470"/>
      <c r="L6" s="470"/>
      <c r="M6" s="470"/>
      <c r="N6" s="470"/>
      <c r="P6" s="21" t="n">
        <v>42005</v>
      </c>
      <c r="Q6" s="19" t="s">
        <v>27</v>
      </c>
      <c r="R6" s="9"/>
      <c r="S6" s="22"/>
      <c r="T6" s="5" t="s">
        <v>28</v>
      </c>
    </row>
    <row r="7" customFormat="false" ht="41.65" hidden="false" customHeight="true" outlineLevel="0" collapsed="false">
      <c r="A7" s="0"/>
      <c r="B7" s="0"/>
      <c r="C7" s="126" t="s">
        <v>880</v>
      </c>
      <c r="D7" s="126"/>
      <c r="F7" s="20"/>
      <c r="G7" s="20"/>
      <c r="H7" s="470"/>
      <c r="I7" s="470"/>
      <c r="J7" s="470"/>
      <c r="K7" s="470"/>
      <c r="L7" s="470"/>
      <c r="M7" s="470"/>
      <c r="N7" s="47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19.65" hidden="false" customHeight="true" outlineLevel="0" collapsed="false">
      <c r="A10" s="0" t="n">
        <v>31</v>
      </c>
      <c r="B10" s="31" t="n">
        <v>37987</v>
      </c>
      <c r="C10" s="1" t="n">
        <v>665267</v>
      </c>
      <c r="D10" s="29" t="s">
        <v>41</v>
      </c>
      <c r="E10" s="33" t="n">
        <f aca="false">IF(D10="totale",(C10/(A10*24))/F10,IF(D10="marché libre",(C10/(A10*24))/G10,"spécifier histo"))</f>
        <v>0.687827750206782</v>
      </c>
      <c r="F10" s="9" t="n">
        <v>1300</v>
      </c>
      <c r="G10" s="57" t="n">
        <f aca="false">F10-H10</f>
        <v>1300</v>
      </c>
      <c r="H10" s="9" t="n">
        <v>0</v>
      </c>
      <c r="I10" s="9"/>
      <c r="J10" s="30"/>
    </row>
    <row r="11" customFormat="false" ht="19.65" hidden="false" customHeight="true" outlineLevel="0" collapsed="false">
      <c r="A11" s="0" t="n">
        <v>28</v>
      </c>
      <c r="B11" s="34" t="n">
        <v>38018</v>
      </c>
      <c r="C11" s="1" t="n">
        <v>600977</v>
      </c>
      <c r="D11" s="29" t="s">
        <v>41</v>
      </c>
      <c r="E11" s="33" t="n">
        <f aca="false">IF(D11="totale",(C11/(A11*24))/F11,IF(D11="marché libre",(C11/(A11*24))/G11,"spécifier histo"))</f>
        <v>0.687931547619048</v>
      </c>
      <c r="F11" s="9" t="n">
        <v>1300</v>
      </c>
      <c r="G11" s="57" t="n">
        <f aca="false">F11-H11</f>
        <v>1300</v>
      </c>
      <c r="H11" s="9" t="n">
        <v>0</v>
      </c>
      <c r="I11" s="9"/>
      <c r="J11" s="30"/>
    </row>
    <row r="12" customFormat="false" ht="19.65" hidden="false" customHeight="true" outlineLevel="0" collapsed="false">
      <c r="A12" s="0" t="n">
        <v>31</v>
      </c>
      <c r="B12" s="31" t="n">
        <v>38047</v>
      </c>
      <c r="C12" s="1" t="n">
        <v>527502</v>
      </c>
      <c r="D12" s="29" t="s">
        <v>41</v>
      </c>
      <c r="E12" s="33" t="n">
        <f aca="false">IF(D12="totale",(C12/(A12*24))/F12,IF(D12="marché libre",(C12/(A12*24))/G12,"spécifier histo"))</f>
        <v>0.545390818858561</v>
      </c>
      <c r="F12" s="9" t="n">
        <v>1300</v>
      </c>
      <c r="G12" s="57" t="n">
        <f aca="false">F12-H12</f>
        <v>1300</v>
      </c>
      <c r="H12" s="9" t="n">
        <v>0</v>
      </c>
      <c r="I12" s="9"/>
      <c r="J12" s="30"/>
    </row>
    <row r="13" customFormat="false" ht="19.65" hidden="false" customHeight="true" outlineLevel="0" collapsed="false">
      <c r="A13" s="0" t="n">
        <v>30</v>
      </c>
      <c r="B13" s="34" t="n">
        <v>38078</v>
      </c>
      <c r="C13" s="1" t="n">
        <v>484375</v>
      </c>
      <c r="D13" s="29" t="s">
        <v>41</v>
      </c>
      <c r="E13" s="33" t="n">
        <f aca="false">IF(D13="totale",(C13/(A13*24))/F13,IF(D13="marché libre",(C13/(A13*24))/G13,"spécifier histo"))</f>
        <v>0.517494658119658</v>
      </c>
      <c r="F13" s="9" t="n">
        <v>1300</v>
      </c>
      <c r="G13" s="57" t="n">
        <f aca="false">F13-H13</f>
        <v>1300</v>
      </c>
      <c r="H13" s="9" t="n">
        <v>0</v>
      </c>
      <c r="I13" s="9"/>
      <c r="J13" s="30"/>
    </row>
    <row r="14" customFormat="false" ht="19.65" hidden="false" customHeight="true" outlineLevel="0" collapsed="false">
      <c r="A14" s="0" t="n">
        <v>31</v>
      </c>
      <c r="B14" s="31" t="n">
        <v>38108</v>
      </c>
      <c r="C14" s="1" t="n">
        <v>296695</v>
      </c>
      <c r="D14" s="29" t="s">
        <v>41</v>
      </c>
      <c r="E14" s="33" t="n">
        <f aca="false">IF(D14="totale",(C14/(A14*24))/F14,IF(D14="marché libre",(C14/(A14*24))/G14,"spécifier histo"))</f>
        <v>0.306756617038875</v>
      </c>
      <c r="F14" s="9" t="n">
        <v>1300</v>
      </c>
      <c r="G14" s="57" t="n">
        <f aca="false">F14-H14</f>
        <v>1300</v>
      </c>
      <c r="H14" s="9" t="n">
        <v>0</v>
      </c>
      <c r="I14" s="9"/>
      <c r="J14" s="30"/>
    </row>
    <row r="15" customFormat="false" ht="19.65" hidden="false" customHeight="true" outlineLevel="0" collapsed="false">
      <c r="A15" s="0" t="n">
        <v>30</v>
      </c>
      <c r="B15" s="34" t="n">
        <v>38139</v>
      </c>
      <c r="C15" s="1" t="n">
        <v>0</v>
      </c>
      <c r="D15" s="29" t="s">
        <v>41</v>
      </c>
      <c r="E15" s="33" t="n">
        <f aca="false">IF(D15="totale",(C15/(A15*24))/F15,IF(D15="marché libre",(C15/(A15*24))/G15,"spécifier histo"))</f>
        <v>0</v>
      </c>
      <c r="F15" s="9" t="n">
        <v>1300</v>
      </c>
      <c r="G15" s="57" t="n">
        <f aca="false">F15-H15</f>
        <v>1300</v>
      </c>
      <c r="H15" s="9" t="n">
        <v>0</v>
      </c>
      <c r="I15" s="9"/>
      <c r="J15" s="30"/>
    </row>
    <row r="16" customFormat="false" ht="19.65" hidden="false" customHeight="true" outlineLevel="0" collapsed="false">
      <c r="A16" s="0" t="n">
        <v>31</v>
      </c>
      <c r="B16" s="31" t="n">
        <v>38169</v>
      </c>
      <c r="C16" s="1" t="n">
        <v>0</v>
      </c>
      <c r="D16" s="29" t="s">
        <v>41</v>
      </c>
      <c r="E16" s="33" t="n">
        <f aca="false">IF(D16="totale",(C16/(A16*24))/F16,IF(D16="marché libre",(C16/(A16*24))/G16,"spécifier histo"))</f>
        <v>0</v>
      </c>
      <c r="F16" s="9" t="n">
        <v>1300</v>
      </c>
      <c r="G16" s="57" t="n">
        <f aca="false">F16-H16</f>
        <v>1300</v>
      </c>
      <c r="H16" s="9" t="n">
        <v>0</v>
      </c>
      <c r="I16" s="9"/>
      <c r="J16" s="30"/>
    </row>
    <row r="17" customFormat="false" ht="19.65" hidden="false" customHeight="true" outlineLevel="0" collapsed="false">
      <c r="A17" s="0" t="n">
        <v>31</v>
      </c>
      <c r="B17" s="34" t="n">
        <v>38200</v>
      </c>
      <c r="C17" s="1" t="n">
        <v>0</v>
      </c>
      <c r="D17" s="29" t="s">
        <v>41</v>
      </c>
      <c r="E17" s="33" t="n">
        <f aca="false">IF(D17="totale",(C17/(A17*24))/F17,IF(D17="marché libre",(C17/(A17*24))/G17,"spécifier histo"))</f>
        <v>0</v>
      </c>
      <c r="F17" s="9" t="n">
        <v>1300</v>
      </c>
      <c r="G17" s="57" t="n">
        <f aca="false">F17-H17</f>
        <v>1300</v>
      </c>
      <c r="H17" s="9" t="n">
        <v>0</v>
      </c>
      <c r="I17" s="9"/>
      <c r="J17" s="30"/>
    </row>
    <row r="18" customFormat="false" ht="19.65" hidden="false" customHeight="true" outlineLevel="0" collapsed="false">
      <c r="A18" s="0" t="n">
        <v>30</v>
      </c>
      <c r="B18" s="31" t="n">
        <v>38231</v>
      </c>
      <c r="C18" s="1" t="n">
        <v>0</v>
      </c>
      <c r="D18" s="29" t="s">
        <v>41</v>
      </c>
      <c r="E18" s="33" t="n">
        <f aca="false">IF(D18="totale",(C18/(A18*24))/F18,IF(D18="marché libre",(C18/(A18*24))/G18,"spécifier histo"))</f>
        <v>0</v>
      </c>
      <c r="F18" s="9" t="n">
        <v>1300</v>
      </c>
      <c r="G18" s="57" t="n">
        <f aca="false">F18-H18</f>
        <v>1300</v>
      </c>
      <c r="H18" s="9" t="n">
        <v>0</v>
      </c>
      <c r="I18" s="9"/>
      <c r="J18" s="30"/>
    </row>
    <row r="19" customFormat="false" ht="19.65" hidden="false" customHeight="true" outlineLevel="0" collapsed="false">
      <c r="A19" s="0" t="n">
        <v>31</v>
      </c>
      <c r="B19" s="34" t="n">
        <v>38261</v>
      </c>
      <c r="C19" s="1" t="n">
        <v>0</v>
      </c>
      <c r="D19" s="29" t="s">
        <v>41</v>
      </c>
      <c r="E19" s="33" t="n">
        <f aca="false">IF(D19="totale",(C19/(A19*24))/F19,IF(D19="marché libre",(C19/(A19*24))/G19,"spécifier histo"))</f>
        <v>0</v>
      </c>
      <c r="F19" s="9" t="n">
        <v>1300</v>
      </c>
      <c r="G19" s="57" t="n">
        <f aca="false">F19-H19</f>
        <v>1300</v>
      </c>
      <c r="H19" s="9" t="n">
        <v>0</v>
      </c>
      <c r="I19" s="9"/>
      <c r="J19" s="30"/>
    </row>
    <row r="20" customFormat="false" ht="19.65" hidden="false" customHeight="true" outlineLevel="0" collapsed="false">
      <c r="A20" s="0" t="n">
        <v>30</v>
      </c>
      <c r="B20" s="31" t="n">
        <v>38292</v>
      </c>
      <c r="C20" s="1" t="n">
        <v>440169</v>
      </c>
      <c r="D20" s="29" t="s">
        <v>41</v>
      </c>
      <c r="E20" s="33" t="n">
        <f aca="false">IF(D20="totale",(C20/(A20*24))/F20,IF(D20="marché libre",(C20/(A20*24))/G20,"spécifier histo"))</f>
        <v>0.470266025641026</v>
      </c>
      <c r="F20" s="9" t="n">
        <v>1300</v>
      </c>
      <c r="G20" s="57" t="n">
        <f aca="false">F20-H20</f>
        <v>1300</v>
      </c>
      <c r="H20" s="9" t="n">
        <v>0</v>
      </c>
      <c r="I20" s="9"/>
      <c r="J20" s="30"/>
    </row>
    <row r="21" customFormat="false" ht="19.65" hidden="false" customHeight="true" outlineLevel="0" collapsed="false">
      <c r="A21" s="0" t="n">
        <v>31</v>
      </c>
      <c r="B21" s="34" t="n">
        <v>38322</v>
      </c>
      <c r="C21" s="1" t="n">
        <v>126984</v>
      </c>
      <c r="D21" s="29" t="s">
        <v>41</v>
      </c>
      <c r="E21" s="33" t="n">
        <f aca="false">IF(D21="totale",(C21/(A21*24))/F21,IF(D21="marché libre",(C21/(A21*24))/G21,"spécifier histo"))</f>
        <v>0.131290322580645</v>
      </c>
      <c r="F21" s="9" t="n">
        <v>1300</v>
      </c>
      <c r="G21" s="57" t="n">
        <f aca="false">F21-H21</f>
        <v>1300</v>
      </c>
      <c r="H21" s="9" t="n">
        <v>0</v>
      </c>
      <c r="I21" s="9"/>
      <c r="J21" s="30"/>
    </row>
    <row r="22" customFormat="false" ht="19.65" hidden="false" customHeight="true" outlineLevel="0" collapsed="false">
      <c r="A22" s="0" t="n">
        <v>31</v>
      </c>
      <c r="B22" s="31" t="n">
        <v>38353</v>
      </c>
      <c r="C22" s="1" t="n">
        <v>128182</v>
      </c>
      <c r="D22" s="29" t="s">
        <v>41</v>
      </c>
      <c r="E22" s="33" t="n">
        <f aca="false">IF(D22="totale",(C22/(A22*24))/F22,IF(D22="marché libre",(C22/(A22*24))/G22,"spécifier histo"))</f>
        <v>0.132528949545079</v>
      </c>
      <c r="F22" s="9" t="n">
        <v>1300</v>
      </c>
      <c r="G22" s="57" t="n">
        <f aca="false">F22-H22</f>
        <v>1300</v>
      </c>
      <c r="H22" s="9" t="n">
        <v>0</v>
      </c>
      <c r="I22" s="9"/>
      <c r="J22" s="30"/>
    </row>
    <row r="23" customFormat="false" ht="19.65" hidden="false" customHeight="true" outlineLevel="0" collapsed="false">
      <c r="A23" s="0" t="n">
        <v>28</v>
      </c>
      <c r="B23" s="34" t="n">
        <v>38384</v>
      </c>
      <c r="C23" s="1" t="n">
        <v>122591</v>
      </c>
      <c r="D23" s="29" t="s">
        <v>41</v>
      </c>
      <c r="E23" s="33" t="n">
        <f aca="false">IF(D23="totale",(C23/(A23*24))/F23,IF(D23="marché libre",(C23/(A23*24))/G23,"spécifier histo"))</f>
        <v>0.140328525641026</v>
      </c>
      <c r="F23" s="9" t="n">
        <v>1300</v>
      </c>
      <c r="G23" s="57" t="n">
        <f aca="false">F23-H23</f>
        <v>1300</v>
      </c>
      <c r="H23" s="9" t="n">
        <v>0</v>
      </c>
      <c r="I23" s="9"/>
      <c r="J23" s="30"/>
    </row>
    <row r="24" customFormat="false" ht="19.65" hidden="false" customHeight="true" outlineLevel="0" collapsed="false">
      <c r="A24" s="0" t="n">
        <v>31</v>
      </c>
      <c r="B24" s="31" t="n">
        <v>38412</v>
      </c>
      <c r="C24" s="1" t="n">
        <v>148547</v>
      </c>
      <c r="D24" s="29" t="s">
        <v>41</v>
      </c>
      <c r="E24" s="33" t="n">
        <f aca="false">IF(D24="totale",(C24/(A24*24))/F24,IF(D24="marché libre",(C24/(A24*24))/G24,"spécifier histo"))</f>
        <v>0.153584574028122</v>
      </c>
      <c r="F24" s="9" t="n">
        <v>1300</v>
      </c>
      <c r="G24" s="57" t="n">
        <f aca="false">F24-H24</f>
        <v>1300</v>
      </c>
      <c r="H24" s="9" t="n">
        <v>0</v>
      </c>
      <c r="I24" s="9"/>
      <c r="J24" s="30"/>
    </row>
    <row r="25" customFormat="false" ht="19.65" hidden="false" customHeight="true" outlineLevel="0" collapsed="false">
      <c r="A25" s="0" t="n">
        <v>30</v>
      </c>
      <c r="B25" s="34" t="n">
        <v>38443</v>
      </c>
      <c r="C25" s="1" t="n">
        <v>293900</v>
      </c>
      <c r="D25" s="29" t="s">
        <v>41</v>
      </c>
      <c r="E25" s="33" t="n">
        <f aca="false">IF(D25="totale",(C25/(A25*24))/F25,IF(D25="marché libre",(C25/(A25*24))/G25,"spécifier histo"))</f>
        <v>0.313995726495726</v>
      </c>
      <c r="F25" s="9" t="n">
        <v>1300</v>
      </c>
      <c r="G25" s="57" t="n">
        <f aca="false">F25-H25</f>
        <v>1300</v>
      </c>
      <c r="H25" s="9" t="n">
        <v>0</v>
      </c>
      <c r="I25" s="9"/>
      <c r="J25" s="30"/>
    </row>
    <row r="26" customFormat="false" ht="19.65" hidden="false" customHeight="true" outlineLevel="0" collapsed="false">
      <c r="A26" s="0" t="n">
        <v>31</v>
      </c>
      <c r="B26" s="31" t="n">
        <v>38473</v>
      </c>
      <c r="C26" s="1" t="n">
        <v>205650</v>
      </c>
      <c r="D26" s="29" t="s">
        <v>41</v>
      </c>
      <c r="E26" s="33" t="n">
        <f aca="false">IF(D26="totale",(C26/(A26*24))/F26,IF(D26="marché libre",(C26/(A26*24))/G26,"spécifier histo"))</f>
        <v>0.212624069478908</v>
      </c>
      <c r="F26" s="9" t="n">
        <v>1300</v>
      </c>
      <c r="G26" s="57" t="n">
        <f aca="false">F26-H26</f>
        <v>1300</v>
      </c>
      <c r="H26" s="9" t="n">
        <v>0</v>
      </c>
      <c r="I26" s="9"/>
      <c r="J26" s="30"/>
    </row>
    <row r="27" customFormat="false" ht="19.65" hidden="false" customHeight="true" outlineLevel="0" collapsed="false">
      <c r="A27" s="0" t="n">
        <v>30</v>
      </c>
      <c r="B27" s="34" t="n">
        <v>38504</v>
      </c>
      <c r="C27" s="1" t="n">
        <v>0</v>
      </c>
      <c r="D27" s="29" t="s">
        <v>41</v>
      </c>
      <c r="E27" s="33" t="n">
        <f aca="false">IF(D27="totale",(C27/(A27*24))/F27,IF(D27="marché libre",(C27/(A27*24))/G27,"spécifier histo"))</f>
        <v>0</v>
      </c>
      <c r="F27" s="9" t="n">
        <v>1300</v>
      </c>
      <c r="G27" s="57" t="n">
        <f aca="false">F27-H27</f>
        <v>1300</v>
      </c>
      <c r="H27" s="9" t="n">
        <v>0</v>
      </c>
      <c r="I27" s="9"/>
      <c r="J27" s="30"/>
    </row>
    <row r="28" customFormat="false" ht="19.65" hidden="false" customHeight="true" outlineLevel="0" collapsed="false">
      <c r="A28" s="0" t="n">
        <v>31</v>
      </c>
      <c r="B28" s="31" t="n">
        <v>38534</v>
      </c>
      <c r="C28" s="1" t="n">
        <v>0</v>
      </c>
      <c r="D28" s="29" t="s">
        <v>41</v>
      </c>
      <c r="E28" s="33" t="n">
        <f aca="false">IF(D28="totale",(C28/(A28*24))/F28,IF(D28="marché libre",(C28/(A28*24))/G28,"spécifier histo"))</f>
        <v>0</v>
      </c>
      <c r="F28" s="9" t="n">
        <v>1300</v>
      </c>
      <c r="G28" s="57" t="n">
        <f aca="false">F28-H28</f>
        <v>1300</v>
      </c>
      <c r="H28" s="9" t="n">
        <v>0</v>
      </c>
      <c r="I28" s="9"/>
      <c r="J28" s="30"/>
    </row>
    <row r="29" customFormat="false" ht="19.65" hidden="false" customHeight="true" outlineLevel="0" collapsed="false">
      <c r="A29" s="0" t="n">
        <v>31</v>
      </c>
      <c r="B29" s="34" t="n">
        <v>38565</v>
      </c>
      <c r="C29" s="1" t="n">
        <v>0</v>
      </c>
      <c r="D29" s="29" t="s">
        <v>41</v>
      </c>
      <c r="E29" s="33" t="n">
        <f aca="false">IF(D29="totale",(C29/(A29*24))/F29,IF(D29="marché libre",(C29/(A29*24))/G29,"spécifier histo"))</f>
        <v>0</v>
      </c>
      <c r="F29" s="9" t="n">
        <v>1300</v>
      </c>
      <c r="G29" s="57" t="n">
        <f aca="false">F29-H29</f>
        <v>1300</v>
      </c>
      <c r="H29" s="9" t="n">
        <v>0</v>
      </c>
      <c r="I29" s="9"/>
      <c r="J29" s="30"/>
    </row>
    <row r="30" customFormat="false" ht="19.65" hidden="false" customHeight="true" outlineLevel="0" collapsed="false">
      <c r="A30" s="0" t="n">
        <v>30</v>
      </c>
      <c r="B30" s="31" t="n">
        <v>38596</v>
      </c>
      <c r="C30" s="1" t="n">
        <v>0</v>
      </c>
      <c r="D30" s="29" t="s">
        <v>41</v>
      </c>
      <c r="E30" s="33" t="n">
        <f aca="false">IF(D30="totale",(C30/(A30*24))/F30,IF(D30="marché libre",(C30/(A30*24))/G30,"spécifier histo"))</f>
        <v>0</v>
      </c>
      <c r="F30" s="9" t="n">
        <v>1300</v>
      </c>
      <c r="G30" s="57" t="n">
        <f aca="false">F30-H30</f>
        <v>1300</v>
      </c>
      <c r="H30" s="9" t="n">
        <v>0</v>
      </c>
      <c r="I30" s="9"/>
      <c r="J30" s="30"/>
    </row>
    <row r="31" customFormat="false" ht="19.65" hidden="false" customHeight="true" outlineLevel="0" collapsed="false">
      <c r="A31" s="0" t="n">
        <v>31</v>
      </c>
      <c r="B31" s="34" t="n">
        <v>38626</v>
      </c>
      <c r="C31" s="1" t="n">
        <v>0</v>
      </c>
      <c r="D31" s="29" t="s">
        <v>41</v>
      </c>
      <c r="E31" s="33" t="n">
        <f aca="false">IF(D31="totale",(C31/(A31*24))/F31,IF(D31="marché libre",(C31/(A31*24))/G31,"spécifier histo"))</f>
        <v>0</v>
      </c>
      <c r="F31" s="9" t="n">
        <v>1300</v>
      </c>
      <c r="G31" s="57" t="n">
        <f aca="false">F31-H31</f>
        <v>1300</v>
      </c>
      <c r="H31" s="9" t="n">
        <v>0</v>
      </c>
      <c r="I31" s="9"/>
      <c r="J31" s="30"/>
    </row>
    <row r="32" customFormat="false" ht="19.65" hidden="false" customHeight="true" outlineLevel="0" collapsed="false">
      <c r="A32" s="0" t="n">
        <v>30</v>
      </c>
      <c r="B32" s="31" t="n">
        <v>38657</v>
      </c>
      <c r="C32" s="1" t="n">
        <v>698016</v>
      </c>
      <c r="D32" s="29" t="s">
        <v>41</v>
      </c>
      <c r="E32" s="33" t="n">
        <f aca="false">IF(D32="totale",(C32/(A32*24))/F32,IF(D32="marché libre",(C32/(A32*24))/G32,"spécifier histo"))</f>
        <v>0.74574358974359</v>
      </c>
      <c r="F32" s="9" t="n">
        <v>1300</v>
      </c>
      <c r="G32" s="57" t="n">
        <f aca="false">F32-H32</f>
        <v>1300</v>
      </c>
      <c r="H32" s="9" t="n">
        <v>0</v>
      </c>
      <c r="I32" s="9"/>
      <c r="J32" s="30"/>
    </row>
    <row r="33" customFormat="false" ht="19.65" hidden="false" customHeight="true" outlineLevel="0" collapsed="false">
      <c r="A33" s="0" t="n">
        <v>31</v>
      </c>
      <c r="B33" s="34" t="n">
        <v>38687</v>
      </c>
      <c r="C33" s="1" t="n">
        <v>308275</v>
      </c>
      <c r="D33" s="29" t="s">
        <v>41</v>
      </c>
      <c r="E33" s="33" t="n">
        <f aca="false">IF(D33="totale",(C33/(A33*24))/F33,IF(D33="marché libre",(C33/(A33*24))/G33,"spécifier histo"))</f>
        <v>0.318729321753515</v>
      </c>
      <c r="F33" s="9" t="n">
        <v>1300</v>
      </c>
      <c r="G33" s="57" t="n">
        <f aca="false">F33-H33</f>
        <v>1300</v>
      </c>
      <c r="H33" s="9" t="n">
        <v>0</v>
      </c>
      <c r="I33" s="9"/>
      <c r="J33" s="30"/>
    </row>
    <row r="34" customFormat="false" ht="19.65" hidden="false" customHeight="true" outlineLevel="0" collapsed="false">
      <c r="A34" s="0" t="n">
        <v>31</v>
      </c>
      <c r="B34" s="31" t="n">
        <v>38718</v>
      </c>
      <c r="C34" s="1" t="n">
        <v>264749</v>
      </c>
      <c r="D34" s="29" t="s">
        <v>41</v>
      </c>
      <c r="E34" s="33" t="n">
        <f aca="false">IF(D34="totale",(C34/(A34*24))/F34,IF(D34="marché libre",(C34/(A34*24))/G34,"spécifier histo"))</f>
        <v>0.273727253928867</v>
      </c>
      <c r="F34" s="9" t="n">
        <v>1300</v>
      </c>
      <c r="G34" s="57" t="n">
        <f aca="false">F34-H34</f>
        <v>1300</v>
      </c>
      <c r="H34" s="9" t="n">
        <v>0</v>
      </c>
      <c r="I34" s="9"/>
      <c r="J34" s="30"/>
    </row>
    <row r="35" customFormat="false" ht="19.65" hidden="false" customHeight="true" outlineLevel="0" collapsed="false">
      <c r="A35" s="0" t="n">
        <v>28</v>
      </c>
      <c r="B35" s="34" t="n">
        <v>38749</v>
      </c>
      <c r="C35" s="1" t="n">
        <v>684434</v>
      </c>
      <c r="D35" s="29" t="s">
        <v>41</v>
      </c>
      <c r="E35" s="33" t="n">
        <f aca="false">IF(D35="totale",(C35/(A35*24))/F35,IF(D35="marché libre",(C35/(A35*24))/G35,"spécifier histo"))</f>
        <v>0.783463827838828</v>
      </c>
      <c r="F35" s="9" t="n">
        <v>1300</v>
      </c>
      <c r="G35" s="57" t="n">
        <f aca="false">F35-H35</f>
        <v>1300</v>
      </c>
      <c r="H35" s="9" t="n">
        <v>0</v>
      </c>
      <c r="I35" s="9"/>
      <c r="J35" s="30"/>
    </row>
    <row r="36" customFormat="false" ht="19.65" hidden="false" customHeight="true" outlineLevel="0" collapsed="false">
      <c r="A36" s="0" t="n">
        <v>31</v>
      </c>
      <c r="B36" s="31" t="n">
        <v>38777</v>
      </c>
      <c r="C36" s="1" t="n">
        <v>926822</v>
      </c>
      <c r="D36" s="29" t="s">
        <v>41</v>
      </c>
      <c r="E36" s="33" t="n">
        <f aca="false">IF(D36="totale",(C36/(A36*24))/F36,IF(D36="marché libre",(C36/(A36*24))/G36,"spécifier histo"))</f>
        <v>0.958252688172043</v>
      </c>
      <c r="F36" s="9" t="n">
        <v>1300</v>
      </c>
      <c r="G36" s="57" t="n">
        <f aca="false">F36-H36</f>
        <v>1300</v>
      </c>
      <c r="H36" s="9" t="n">
        <v>0</v>
      </c>
      <c r="I36" s="9"/>
      <c r="J36" s="30"/>
    </row>
    <row r="37" customFormat="false" ht="19.65" hidden="false" customHeight="true" outlineLevel="0" collapsed="false">
      <c r="A37" s="0" t="n">
        <v>30</v>
      </c>
      <c r="B37" s="34" t="n">
        <v>38808</v>
      </c>
      <c r="C37" s="1" t="n">
        <v>655683</v>
      </c>
      <c r="D37" s="29" t="s">
        <v>41</v>
      </c>
      <c r="E37" s="33" t="n">
        <f aca="false">IF(D37="totale",(C37/(A37*24))/F37,IF(D37="marché libre",(C37/(A37*24))/G37,"spécifier histo"))</f>
        <v>0.700516025641026</v>
      </c>
      <c r="F37" s="9" t="n">
        <v>1300</v>
      </c>
      <c r="G37" s="57" t="n">
        <f aca="false">F37-H37</f>
        <v>1300</v>
      </c>
      <c r="H37" s="9" t="n">
        <v>0</v>
      </c>
      <c r="I37" s="9"/>
      <c r="J37" s="30"/>
    </row>
    <row r="38" customFormat="false" ht="19.65" hidden="false" customHeight="true" outlineLevel="0" collapsed="false">
      <c r="A38" s="0" t="n">
        <v>31</v>
      </c>
      <c r="B38" s="31" t="n">
        <v>38838</v>
      </c>
      <c r="C38" s="1" t="n">
        <v>295097</v>
      </c>
      <c r="D38" s="29" t="s">
        <v>41</v>
      </c>
      <c r="E38" s="33" t="n">
        <f aca="false">IF(D38="totale",(C38/(A38*24))/F38,IF(D38="marché libre",(C38/(A38*24))/G38,"spécifier histo"))</f>
        <v>0.305104425144748</v>
      </c>
      <c r="F38" s="9" t="n">
        <v>1300</v>
      </c>
      <c r="G38" s="57" t="n">
        <f aca="false">F38-H38</f>
        <v>1300</v>
      </c>
      <c r="H38" s="9" t="n">
        <v>0</v>
      </c>
      <c r="I38" s="9"/>
      <c r="J38" s="30"/>
    </row>
    <row r="39" customFormat="false" ht="19.65" hidden="false" customHeight="true" outlineLevel="0" collapsed="false">
      <c r="A39" s="0" t="n">
        <v>30</v>
      </c>
      <c r="B39" s="34" t="n">
        <v>38869</v>
      </c>
      <c r="C39" s="1" t="n">
        <v>15600</v>
      </c>
      <c r="D39" s="29" t="s">
        <v>41</v>
      </c>
      <c r="E39" s="33" t="n">
        <f aca="false">IF(D39="totale",(C39/(A39*24))/F39,IF(D39="marché libre",(C39/(A39*24))/G39,"spécifier histo"))</f>
        <v>0.0166666666666667</v>
      </c>
      <c r="F39" s="9" t="n">
        <v>1300</v>
      </c>
      <c r="G39" s="57" t="n">
        <f aca="false">F39-H39</f>
        <v>1300</v>
      </c>
      <c r="H39" s="9" t="n">
        <v>0</v>
      </c>
      <c r="I39" s="9"/>
      <c r="J39" s="30"/>
    </row>
    <row r="40" customFormat="false" ht="19.65" hidden="false" customHeight="true" outlineLevel="0" collapsed="false">
      <c r="A40" s="0" t="n">
        <v>31</v>
      </c>
      <c r="B40" s="31" t="n">
        <v>38899</v>
      </c>
      <c r="C40" s="1" t="n">
        <v>0</v>
      </c>
      <c r="D40" s="29" t="s">
        <v>41</v>
      </c>
      <c r="E40" s="33" t="n">
        <f aca="false">IF(D40="totale",(C40/(A40*24))/F40,IF(D40="marché libre",(C40/(A40*24))/G40,"spécifier histo"))</f>
        <v>0</v>
      </c>
      <c r="F40" s="9" t="n">
        <v>1300</v>
      </c>
      <c r="G40" s="57" t="n">
        <f aca="false">F40-H40</f>
        <v>1300</v>
      </c>
      <c r="H40" s="9" t="n">
        <v>0</v>
      </c>
      <c r="I40" s="9"/>
      <c r="J40" s="30"/>
    </row>
    <row r="41" customFormat="false" ht="19.65" hidden="false" customHeight="true" outlineLevel="0" collapsed="false">
      <c r="A41" s="0" t="n">
        <v>31</v>
      </c>
      <c r="B41" s="34" t="n">
        <v>38930</v>
      </c>
      <c r="C41" s="1" t="n">
        <v>0</v>
      </c>
      <c r="D41" s="29" t="s">
        <v>41</v>
      </c>
      <c r="E41" s="33" t="n">
        <f aca="false">IF(D41="totale",(C41/(A41*24))/F41,IF(D41="marché libre",(C41/(A41*24))/G41,"spécifier histo"))</f>
        <v>0</v>
      </c>
      <c r="F41" s="9" t="n">
        <v>1300</v>
      </c>
      <c r="G41" s="57" t="n">
        <f aca="false">F41-H41</f>
        <v>1300</v>
      </c>
      <c r="H41" s="9" t="n">
        <v>0</v>
      </c>
      <c r="I41" s="9"/>
      <c r="J41" s="30"/>
    </row>
    <row r="42" customFormat="false" ht="19.65" hidden="false" customHeight="true" outlineLevel="0" collapsed="false">
      <c r="A42" s="0" t="n">
        <v>30</v>
      </c>
      <c r="B42" s="31" t="n">
        <v>38961</v>
      </c>
      <c r="C42" s="1" t="n">
        <v>0</v>
      </c>
      <c r="D42" s="29" t="s">
        <v>41</v>
      </c>
      <c r="E42" s="33" t="n">
        <f aca="false">IF(D42="totale",(C42/(A42*24))/F42,IF(D42="marché libre",(C42/(A42*24))/G42,"spécifier histo"))</f>
        <v>0</v>
      </c>
      <c r="F42" s="9" t="n">
        <v>1300</v>
      </c>
      <c r="G42" s="57" t="n">
        <f aca="false">F42-H42</f>
        <v>1300</v>
      </c>
      <c r="H42" s="9" t="n">
        <v>0</v>
      </c>
      <c r="I42" s="9"/>
      <c r="J42" s="30"/>
    </row>
    <row r="43" customFormat="false" ht="19.65" hidden="false" customHeight="true" outlineLevel="0" collapsed="false">
      <c r="A43" s="0" t="n">
        <v>31</v>
      </c>
      <c r="B43" s="34" t="n">
        <v>38991</v>
      </c>
      <c r="C43" s="1" t="n">
        <v>323449</v>
      </c>
      <c r="D43" s="29" t="s">
        <v>41</v>
      </c>
      <c r="E43" s="33" t="n">
        <f aca="false">IF(D43="totale",(C43/(A43*24))/F43,IF(D43="marché libre",(C43/(A43*24))/G43,"spécifier histo"))</f>
        <v>0.334417907361456</v>
      </c>
      <c r="F43" s="9" t="n">
        <v>1300</v>
      </c>
      <c r="G43" s="57" t="n">
        <f aca="false">F43-H43</f>
        <v>1300</v>
      </c>
      <c r="H43" s="9" t="n">
        <v>0</v>
      </c>
      <c r="I43" s="9"/>
      <c r="J43" s="30"/>
    </row>
    <row r="44" customFormat="false" ht="19.65" hidden="false" customHeight="true" outlineLevel="0" collapsed="false">
      <c r="A44" s="0" t="n">
        <v>30</v>
      </c>
      <c r="B44" s="31" t="n">
        <v>39022</v>
      </c>
      <c r="C44" s="1" t="n">
        <v>267941</v>
      </c>
      <c r="D44" s="29" t="s">
        <v>41</v>
      </c>
      <c r="E44" s="33" t="n">
        <f aca="false">IF(D44="totale",(C44/(A44*24))/F44,IF(D44="marché libre",(C44/(A44*24))/G44,"spécifier histo"))</f>
        <v>0.286261752136752</v>
      </c>
      <c r="F44" s="9" t="n">
        <v>1300</v>
      </c>
      <c r="G44" s="57" t="n">
        <f aca="false">F44-H44</f>
        <v>1300</v>
      </c>
      <c r="H44" s="9" t="n">
        <v>0</v>
      </c>
      <c r="I44" s="9"/>
      <c r="J44" s="30"/>
    </row>
    <row r="45" customFormat="false" ht="19.65" hidden="false" customHeight="true" outlineLevel="0" collapsed="false">
      <c r="A45" s="0" t="n">
        <v>31</v>
      </c>
      <c r="B45" s="34" t="n">
        <v>39052</v>
      </c>
      <c r="C45" s="1" t="n">
        <v>410900</v>
      </c>
      <c r="D45" s="29" t="s">
        <v>41</v>
      </c>
      <c r="E45" s="33" t="n">
        <f aca="false">IF(D45="totale",(C45/(A45*24))/F45,IF(D45="marché libre",(C45/(A45*24))/G45,"spécifier histo"))</f>
        <v>0.424834574028122</v>
      </c>
      <c r="F45" s="9" t="n">
        <v>1300</v>
      </c>
      <c r="G45" s="57" t="n">
        <f aca="false">F45-H45</f>
        <v>1300</v>
      </c>
      <c r="H45" s="9" t="n">
        <v>0</v>
      </c>
      <c r="I45" s="9"/>
      <c r="J45" s="30"/>
    </row>
    <row r="46" customFormat="false" ht="19.65" hidden="false" customHeight="true" outlineLevel="0" collapsed="false">
      <c r="A46" s="0" t="n">
        <v>31</v>
      </c>
      <c r="B46" s="31" t="n">
        <v>39083</v>
      </c>
      <c r="C46" s="1" t="n">
        <v>166117</v>
      </c>
      <c r="D46" s="29" t="s">
        <v>41</v>
      </c>
      <c r="E46" s="33" t="n">
        <f aca="false">IF(D46="totale",(C46/(A46*24))/F46,IF(D46="marché libre",(C46/(A46*24))/G46,"spécifier histo"))</f>
        <v>0.17175041356493</v>
      </c>
      <c r="F46" s="9" t="n">
        <v>1300</v>
      </c>
      <c r="G46" s="57" t="n">
        <f aca="false">F46-H46</f>
        <v>1300</v>
      </c>
      <c r="H46" s="9" t="n">
        <v>0</v>
      </c>
      <c r="I46" s="9"/>
      <c r="J46" s="30"/>
    </row>
    <row r="47" customFormat="false" ht="19.65" hidden="false" customHeight="true" outlineLevel="0" collapsed="false">
      <c r="A47" s="0" t="n">
        <v>28</v>
      </c>
      <c r="B47" s="34" t="n">
        <v>39114</v>
      </c>
      <c r="C47" s="1" t="n">
        <v>547068</v>
      </c>
      <c r="D47" s="29" t="s">
        <v>41</v>
      </c>
      <c r="E47" s="33" t="n">
        <f aca="false">IF(D47="totale",(C47/(A47*24))/F47,IF(D47="marché libre",(C47/(A47*24))/G47,"spécifier histo"))</f>
        <v>0.626222527472527</v>
      </c>
      <c r="F47" s="9" t="n">
        <v>1300</v>
      </c>
      <c r="G47" s="57" t="n">
        <f aca="false">F47-H47</f>
        <v>1300</v>
      </c>
      <c r="H47" s="9" t="n">
        <v>0</v>
      </c>
      <c r="I47" s="9"/>
      <c r="J47" s="30"/>
    </row>
    <row r="48" customFormat="false" ht="19.65" hidden="false" customHeight="true" outlineLevel="0" collapsed="false">
      <c r="A48" s="0" t="n">
        <v>31</v>
      </c>
      <c r="B48" s="31" t="n">
        <v>39142</v>
      </c>
      <c r="C48" s="1" t="n">
        <v>605369</v>
      </c>
      <c r="D48" s="29" t="s">
        <v>41</v>
      </c>
      <c r="E48" s="33" t="n">
        <f aca="false">IF(D48="totale",(C48/(A48*24))/F48,IF(D48="marché libre",(C48/(A48*24))/G48,"spécifier histo"))</f>
        <v>0.62589846980976</v>
      </c>
      <c r="F48" s="9" t="n">
        <v>1300</v>
      </c>
      <c r="G48" s="57" t="n">
        <f aca="false">F48-H48</f>
        <v>1300</v>
      </c>
      <c r="H48" s="9" t="n">
        <v>0</v>
      </c>
      <c r="I48" s="9"/>
      <c r="J48" s="30"/>
    </row>
    <row r="49" customFormat="false" ht="19.65" hidden="false" customHeight="true" outlineLevel="0" collapsed="false">
      <c r="A49" s="0" t="n">
        <v>30</v>
      </c>
      <c r="B49" s="34" t="n">
        <v>39173</v>
      </c>
      <c r="C49" s="1" t="n">
        <v>304282</v>
      </c>
      <c r="D49" s="29" t="s">
        <v>41</v>
      </c>
      <c r="E49" s="33" t="n">
        <f aca="false">IF(D49="totale",(C49/(A49*24))/F49,IF(D49="marché libre",(C49/(A49*24))/G49,"spécifier histo"))</f>
        <v>0.325087606837607</v>
      </c>
      <c r="F49" s="9" t="n">
        <v>1300</v>
      </c>
      <c r="G49" s="57" t="n">
        <f aca="false">F49-H49</f>
        <v>1300</v>
      </c>
      <c r="H49" s="9" t="n">
        <v>0</v>
      </c>
      <c r="I49" s="9"/>
      <c r="J49" s="30"/>
    </row>
    <row r="50" customFormat="false" ht="19.65" hidden="false" customHeight="true" outlineLevel="0" collapsed="false">
      <c r="A50" s="0" t="n">
        <v>31</v>
      </c>
      <c r="B50" s="31" t="n">
        <v>39203</v>
      </c>
      <c r="C50" s="1" t="n">
        <v>370569</v>
      </c>
      <c r="D50" s="29" t="s">
        <v>41</v>
      </c>
      <c r="E50" s="33" t="n">
        <f aca="false">IF(D50="totale",(C50/(A50*24))/F50,IF(D50="marché libre",(C50/(A50*24))/G50,"spécifier histo"))</f>
        <v>0.383135856079404</v>
      </c>
      <c r="F50" s="9" t="n">
        <v>1300</v>
      </c>
      <c r="G50" s="57" t="n">
        <f aca="false">F50-H50</f>
        <v>1300</v>
      </c>
      <c r="H50" s="9" t="n">
        <v>0</v>
      </c>
      <c r="I50" s="9"/>
      <c r="J50" s="30"/>
    </row>
    <row r="51" customFormat="false" ht="19.65" hidden="false" customHeight="true" outlineLevel="0" collapsed="false">
      <c r="A51" s="0" t="n">
        <v>30</v>
      </c>
      <c r="B51" s="34" t="n">
        <v>39234</v>
      </c>
      <c r="C51" s="1" t="n">
        <v>514723</v>
      </c>
      <c r="D51" s="29" t="s">
        <v>41</v>
      </c>
      <c r="E51" s="33" t="n">
        <f aca="false">IF(D51="totale",(C51/(A51*24))/F51,IF(D51="marché libre",(C51/(A51*24))/G51,"spécifier histo"))</f>
        <v>0.549917735042735</v>
      </c>
      <c r="F51" s="9" t="n">
        <v>1300</v>
      </c>
      <c r="G51" s="57" t="n">
        <f aca="false">F51-H51</f>
        <v>1300</v>
      </c>
      <c r="H51" s="9" t="n">
        <v>0</v>
      </c>
      <c r="I51" s="9"/>
      <c r="J51" s="30"/>
    </row>
    <row r="52" customFormat="false" ht="19.65" hidden="false" customHeight="true" outlineLevel="0" collapsed="false">
      <c r="A52" s="0" t="n">
        <v>31</v>
      </c>
      <c r="B52" s="31" t="n">
        <v>39264</v>
      </c>
      <c r="C52" s="1" t="n">
        <v>115012</v>
      </c>
      <c r="D52" s="29" t="s">
        <v>41</v>
      </c>
      <c r="E52" s="33" t="n">
        <f aca="false">IF(D52="totale",(C52/(A52*24))/F52,IF(D52="marché libre",(C52/(A52*24))/G52,"spécifier histo"))</f>
        <v>0.118912324234905</v>
      </c>
      <c r="F52" s="9" t="n">
        <v>1300</v>
      </c>
      <c r="G52" s="57" t="n">
        <f aca="false">F52-H52</f>
        <v>1300</v>
      </c>
      <c r="H52" s="9" t="n">
        <v>0</v>
      </c>
      <c r="I52" s="9"/>
      <c r="J52" s="30"/>
    </row>
    <row r="53" customFormat="false" ht="19.65" hidden="false" customHeight="true" outlineLevel="0" collapsed="false">
      <c r="A53" s="0" t="n">
        <v>31</v>
      </c>
      <c r="B53" s="34" t="n">
        <v>39295</v>
      </c>
      <c r="C53" s="1" t="n">
        <v>0</v>
      </c>
      <c r="D53" s="29" t="s">
        <v>41</v>
      </c>
      <c r="E53" s="33" t="n">
        <f aca="false">IF(D53="totale",(C53/(A53*24))/F53,IF(D53="marché libre",(C53/(A53*24))/G53,"spécifier histo"))</f>
        <v>0</v>
      </c>
      <c r="F53" s="9" t="n">
        <v>1300</v>
      </c>
      <c r="G53" s="57" t="n">
        <f aca="false">F53-H53</f>
        <v>1300</v>
      </c>
      <c r="H53" s="9" t="n">
        <v>0</v>
      </c>
      <c r="I53" s="9"/>
      <c r="J53" s="30"/>
    </row>
    <row r="54" customFormat="false" ht="19.65" hidden="false" customHeight="true" outlineLevel="0" collapsed="false">
      <c r="A54" s="0" t="n">
        <v>30</v>
      </c>
      <c r="B54" s="31" t="n">
        <v>39326</v>
      </c>
      <c r="C54" s="1" t="n">
        <v>0</v>
      </c>
      <c r="D54" s="29" t="s">
        <v>41</v>
      </c>
      <c r="E54" s="33" t="n">
        <f aca="false">IF(D54="totale",(C54/(A54*24))/F54,IF(D54="marché libre",(C54/(A54*24))/G54,"spécifier histo"))</f>
        <v>0</v>
      </c>
      <c r="F54" s="9" t="n">
        <v>1300</v>
      </c>
      <c r="G54" s="57" t="n">
        <f aca="false">F54-H54</f>
        <v>1300</v>
      </c>
      <c r="H54" s="9" t="n">
        <v>0</v>
      </c>
      <c r="I54" s="9"/>
      <c r="J54" s="30"/>
    </row>
    <row r="55" customFormat="false" ht="19.65" hidden="false" customHeight="true" outlineLevel="0" collapsed="false">
      <c r="A55" s="0" t="n">
        <v>31</v>
      </c>
      <c r="B55" s="34" t="n">
        <v>39356</v>
      </c>
      <c r="C55" s="1" t="n">
        <v>0</v>
      </c>
      <c r="D55" s="29" t="s">
        <v>41</v>
      </c>
      <c r="E55" s="33" t="n">
        <f aca="false">IF(D55="totale",(C55/(A55*24))/F55,IF(D55="marché libre",(C55/(A55*24))/G55,"spécifier histo"))</f>
        <v>0</v>
      </c>
      <c r="F55" s="9" t="n">
        <v>1300</v>
      </c>
      <c r="G55" s="57" t="n">
        <f aca="false">F55-H55</f>
        <v>1300</v>
      </c>
      <c r="H55" s="9" t="n">
        <v>0</v>
      </c>
      <c r="I55" s="9"/>
      <c r="J55" s="30"/>
    </row>
    <row r="56" customFormat="false" ht="19.65" hidden="false" customHeight="true" outlineLevel="0" collapsed="false">
      <c r="A56" s="0" t="n">
        <v>30</v>
      </c>
      <c r="B56" s="31" t="n">
        <v>39387</v>
      </c>
      <c r="C56" s="1" t="n">
        <v>35127</v>
      </c>
      <c r="D56" s="29" t="s">
        <v>41</v>
      </c>
      <c r="E56" s="33" t="n">
        <f aca="false">IF(D56="totale",(C56/(A56*24))/F56,IF(D56="marché libre",(C56/(A56*24))/G56,"spécifier histo"))</f>
        <v>0.0375288461538462</v>
      </c>
      <c r="F56" s="9" t="n">
        <v>1300</v>
      </c>
      <c r="G56" s="57" t="n">
        <f aca="false">F56-H56</f>
        <v>1300</v>
      </c>
      <c r="H56" s="9" t="n">
        <v>0</v>
      </c>
      <c r="I56" s="9"/>
      <c r="J56" s="30"/>
    </row>
    <row r="57" customFormat="false" ht="19.65" hidden="false" customHeight="true" outlineLevel="0" collapsed="false">
      <c r="A57" s="0" t="n">
        <v>31</v>
      </c>
      <c r="B57" s="34" t="n">
        <v>39417</v>
      </c>
      <c r="C57" s="1" t="n">
        <v>165718</v>
      </c>
      <c r="D57" s="29" t="s">
        <v>41</v>
      </c>
      <c r="E57" s="33" t="n">
        <f aca="false">IF(D57="totale",(C57/(A57*24))/F57,IF(D57="marché libre",(C57/(A57*24))/G57,"spécifier histo"))</f>
        <v>0.17133788254756</v>
      </c>
      <c r="F57" s="9" t="n">
        <v>1300</v>
      </c>
      <c r="G57" s="57" t="n">
        <f aca="false">F57-H57</f>
        <v>1300</v>
      </c>
      <c r="H57" s="9" t="n">
        <v>0</v>
      </c>
      <c r="I57" s="9"/>
      <c r="J57" s="30"/>
    </row>
    <row r="58" customFormat="false" ht="19.65" hidden="false" customHeight="true" outlineLevel="0" collapsed="false">
      <c r="A58" s="0" t="n">
        <v>31</v>
      </c>
      <c r="B58" s="31" t="n">
        <v>39448</v>
      </c>
      <c r="C58" s="1" t="n">
        <v>597782</v>
      </c>
      <c r="D58" s="29" t="s">
        <v>41</v>
      </c>
      <c r="E58" s="33" t="n">
        <f aca="false">IF(D58="totale",(C58/(A58*24))/F58,IF(D58="marché libre",(C58/(A58*24))/G58,"spécifier histo"))</f>
        <v>0.61805417700579</v>
      </c>
      <c r="F58" s="9" t="n">
        <v>1300</v>
      </c>
      <c r="G58" s="57" t="n">
        <f aca="false">F58-H58</f>
        <v>1300</v>
      </c>
      <c r="H58" s="9" t="n">
        <v>0</v>
      </c>
      <c r="I58" s="9"/>
      <c r="J58" s="30"/>
    </row>
    <row r="59" customFormat="false" ht="19.65" hidden="false" customHeight="true" outlineLevel="0" collapsed="false">
      <c r="A59" s="0" t="n">
        <v>28</v>
      </c>
      <c r="B59" s="34" t="n">
        <v>39479</v>
      </c>
      <c r="C59" s="1" t="n">
        <v>432863</v>
      </c>
      <c r="D59" s="29" t="s">
        <v>41</v>
      </c>
      <c r="E59" s="33" t="n">
        <f aca="false">IF(D59="totale",(C59/(A59*24))/F59,IF(D59="marché libre",(C59/(A59*24))/G59,"spécifier histo"))</f>
        <v>0.495493360805861</v>
      </c>
      <c r="F59" s="9" t="n">
        <v>1300</v>
      </c>
      <c r="G59" s="57" t="n">
        <f aca="false">F59-H59</f>
        <v>1300</v>
      </c>
      <c r="H59" s="9" t="n">
        <v>0</v>
      </c>
      <c r="I59" s="9"/>
      <c r="J59" s="30"/>
    </row>
    <row r="60" customFormat="false" ht="19.65" hidden="false" customHeight="true" outlineLevel="0" collapsed="false">
      <c r="A60" s="0" t="n">
        <v>31</v>
      </c>
      <c r="B60" s="31" t="n">
        <v>39508</v>
      </c>
      <c r="C60" s="1" t="n">
        <v>498351</v>
      </c>
      <c r="D60" s="29" t="s">
        <v>41</v>
      </c>
      <c r="E60" s="33" t="n">
        <f aca="false">IF(D60="totale",(C60/(A60*24))/F60,IF(D60="marché libre",(C60/(A60*24))/G60,"spécifier histo"))</f>
        <v>0.515251240694789</v>
      </c>
      <c r="F60" s="9" t="n">
        <v>1300</v>
      </c>
      <c r="G60" s="57" t="n">
        <f aca="false">F60-H60</f>
        <v>1300</v>
      </c>
      <c r="H60" s="9" t="n">
        <v>0</v>
      </c>
      <c r="I60" s="9"/>
      <c r="J60" s="30"/>
    </row>
    <row r="61" customFormat="false" ht="19.65" hidden="false" customHeight="true" outlineLevel="0" collapsed="false">
      <c r="A61" s="0" t="n">
        <v>30</v>
      </c>
      <c r="B61" s="34" t="n">
        <v>39539</v>
      </c>
      <c r="C61" s="1" t="n">
        <v>780271</v>
      </c>
      <c r="D61" s="29" t="s">
        <v>41</v>
      </c>
      <c r="E61" s="33" t="n">
        <f aca="false">IF(D61="totale",(C61/(A61*24))/F61,IF(D61="marché libre",(C61/(A61*24))/G61,"spécifier histo"))</f>
        <v>0.833622863247863</v>
      </c>
      <c r="F61" s="9" t="n">
        <v>1300</v>
      </c>
      <c r="G61" s="57" t="n">
        <f aca="false">F61-H61</f>
        <v>1300</v>
      </c>
      <c r="H61" s="9" t="n">
        <v>0</v>
      </c>
      <c r="I61" s="9"/>
      <c r="J61" s="30"/>
    </row>
    <row r="62" customFormat="false" ht="19.65" hidden="false" customHeight="true" outlineLevel="0" collapsed="false">
      <c r="A62" s="0" t="n">
        <v>31</v>
      </c>
      <c r="B62" s="31" t="n">
        <v>39569</v>
      </c>
      <c r="C62" s="1" t="n">
        <v>465607</v>
      </c>
      <c r="D62" s="29" t="s">
        <v>41</v>
      </c>
      <c r="E62" s="33" t="n">
        <f aca="false">IF(D62="totale",(C62/(A62*24))/F62,IF(D62="marché libre",(C62/(A62*24))/G62,"spécifier histo"))</f>
        <v>0.481396815550041</v>
      </c>
      <c r="F62" s="9" t="n">
        <v>1300</v>
      </c>
      <c r="G62" s="57" t="n">
        <f aca="false">F62-H62</f>
        <v>1300</v>
      </c>
      <c r="H62" s="9" t="n">
        <v>0</v>
      </c>
      <c r="I62" s="9"/>
      <c r="J62" s="30"/>
    </row>
    <row r="63" customFormat="false" ht="19.65" hidden="false" customHeight="true" outlineLevel="0" collapsed="false">
      <c r="A63" s="0" t="n">
        <v>30</v>
      </c>
      <c r="B63" s="34" t="n">
        <v>39600</v>
      </c>
      <c r="C63" s="1" t="n">
        <v>617748</v>
      </c>
      <c r="D63" s="29" t="s">
        <v>41</v>
      </c>
      <c r="E63" s="33" t="n">
        <f aca="false">IF(D63="totale",(C63/(A63*24))/F63,IF(D63="marché libre",(C63/(A63*24))/G63,"spécifier histo"))</f>
        <v>0.65998717948718</v>
      </c>
      <c r="F63" s="9" t="n">
        <v>1300</v>
      </c>
      <c r="G63" s="57" t="n">
        <f aca="false">F63-H63</f>
        <v>1300</v>
      </c>
      <c r="H63" s="9" t="n">
        <v>0</v>
      </c>
      <c r="I63" s="9"/>
      <c r="J63" s="30"/>
    </row>
    <row r="64" customFormat="false" ht="19.65" hidden="false" customHeight="true" outlineLevel="0" collapsed="false">
      <c r="A64" s="0" t="n">
        <v>31</v>
      </c>
      <c r="B64" s="31" t="n">
        <v>39630</v>
      </c>
      <c r="C64" s="1" t="n">
        <v>236797</v>
      </c>
      <c r="D64" s="29" t="s">
        <v>41</v>
      </c>
      <c r="E64" s="33" t="n">
        <f aca="false">IF(D64="totale",(C64/(A64*24))/F64,IF(D64="marché libre",(C64/(A64*24))/G64,"spécifier histo"))</f>
        <v>0.244827336641853</v>
      </c>
      <c r="F64" s="9" t="n">
        <v>1300</v>
      </c>
      <c r="G64" s="57" t="n">
        <f aca="false">F64-H64</f>
        <v>1300</v>
      </c>
      <c r="H64" s="9" t="n">
        <v>0</v>
      </c>
      <c r="I64" s="9"/>
      <c r="J64" s="30"/>
    </row>
    <row r="65" customFormat="false" ht="19.65" hidden="false" customHeight="true" outlineLevel="0" collapsed="false">
      <c r="A65" s="0" t="n">
        <v>31</v>
      </c>
      <c r="B65" s="34" t="n">
        <v>39661</v>
      </c>
      <c r="C65" s="1" t="n">
        <v>18369</v>
      </c>
      <c r="D65" s="29" t="s">
        <v>41</v>
      </c>
      <c r="E65" s="33" t="n">
        <f aca="false">IF(D65="totale",(C65/(A65*24))/F65,IF(D65="marché libre",(C65/(A65*24))/G65,"spécifier histo"))</f>
        <v>0.018991935483871</v>
      </c>
      <c r="F65" s="9" t="n">
        <v>1300</v>
      </c>
      <c r="G65" s="57" t="n">
        <f aca="false">F65-H65</f>
        <v>1300</v>
      </c>
      <c r="H65" s="9" t="n">
        <v>0</v>
      </c>
      <c r="I65" s="9"/>
      <c r="J65" s="30"/>
    </row>
    <row r="66" customFormat="false" ht="19.65" hidden="false" customHeight="true" outlineLevel="0" collapsed="false">
      <c r="A66" s="0" t="n">
        <v>30</v>
      </c>
      <c r="B66" s="31" t="n">
        <v>39692</v>
      </c>
      <c r="C66" s="1" t="n">
        <v>0</v>
      </c>
      <c r="D66" s="29" t="s">
        <v>41</v>
      </c>
      <c r="E66" s="33" t="n">
        <f aca="false">IF(D66="totale",(C66/(A66*24))/F66,IF(D66="marché libre",(C66/(A66*24))/G66,"spécifier histo"))</f>
        <v>0</v>
      </c>
      <c r="F66" s="9" t="n">
        <v>1300</v>
      </c>
      <c r="G66" s="57" t="n">
        <f aca="false">F66-H66</f>
        <v>1300</v>
      </c>
      <c r="H66" s="9" t="n">
        <v>0</v>
      </c>
      <c r="I66" s="9"/>
      <c r="J66" s="30"/>
    </row>
    <row r="67" customFormat="false" ht="19.65" hidden="false" customHeight="true" outlineLevel="0" collapsed="false">
      <c r="A67" s="0" t="n">
        <v>31</v>
      </c>
      <c r="B67" s="34" t="n">
        <v>39722</v>
      </c>
      <c r="C67" s="1" t="n">
        <v>0</v>
      </c>
      <c r="D67" s="29" t="s">
        <v>41</v>
      </c>
      <c r="E67" s="33" t="n">
        <f aca="false">IF(D67="totale",(C67/(A67*24))/F67,IF(D67="marché libre",(C67/(A67*24))/G67,"spécifier histo"))</f>
        <v>0</v>
      </c>
      <c r="F67" s="9" t="n">
        <v>1300</v>
      </c>
      <c r="G67" s="57" t="n">
        <f aca="false">F67-H67</f>
        <v>1300</v>
      </c>
      <c r="H67" s="9" t="n">
        <v>0</v>
      </c>
      <c r="I67" s="9"/>
      <c r="J67" s="30"/>
    </row>
    <row r="68" customFormat="false" ht="19.65" hidden="false" customHeight="true" outlineLevel="0" collapsed="false">
      <c r="A68" s="0" t="n">
        <v>30</v>
      </c>
      <c r="B68" s="31" t="n">
        <v>39753</v>
      </c>
      <c r="C68" s="1" t="n">
        <v>516720</v>
      </c>
      <c r="D68" s="29" t="s">
        <v>41</v>
      </c>
      <c r="E68" s="33" t="n">
        <f aca="false">IF(D68="totale",(C68/(A68*24))/F68,IF(D68="marché libre",(C68/(A68*24))/G68,"spécifier histo"))</f>
        <v>0.552051282051282</v>
      </c>
      <c r="F68" s="9" t="n">
        <v>1300</v>
      </c>
      <c r="G68" s="57" t="n">
        <f aca="false">F68-H68</f>
        <v>1300</v>
      </c>
      <c r="H68" s="9" t="n">
        <v>0</v>
      </c>
      <c r="I68" s="9"/>
      <c r="J68" s="30"/>
    </row>
    <row r="69" customFormat="false" ht="19.65" hidden="false" customHeight="true" outlineLevel="0" collapsed="false">
      <c r="A69" s="0" t="n">
        <v>31</v>
      </c>
      <c r="B69" s="34" t="n">
        <v>39783</v>
      </c>
      <c r="C69" s="1" t="n">
        <v>563041</v>
      </c>
      <c r="D69" s="29" t="s">
        <v>41</v>
      </c>
      <c r="E69" s="33" t="n">
        <f aca="false">IF(D69="totale",(C69/(A69*24))/F69,IF(D69="marché libre",(C69/(A69*24))/G69,"spécifier histo"))</f>
        <v>0.582135028949545</v>
      </c>
      <c r="F69" s="9" t="n">
        <v>1300</v>
      </c>
      <c r="G69" s="57" t="n">
        <f aca="false">F69-H69</f>
        <v>1300</v>
      </c>
      <c r="H69" s="9" t="n">
        <v>0</v>
      </c>
      <c r="I69" s="9"/>
      <c r="J69" s="30"/>
    </row>
    <row r="70" customFormat="false" ht="19.65" hidden="false" customHeight="true" outlineLevel="0" collapsed="false">
      <c r="A70" s="0" t="n">
        <v>31</v>
      </c>
      <c r="B70" s="31" t="n">
        <v>39814</v>
      </c>
      <c r="C70" s="1" t="n">
        <v>583007</v>
      </c>
      <c r="D70" s="29" t="s">
        <v>41</v>
      </c>
      <c r="E70" s="33" t="n">
        <f aca="false">IF(D70="totale",(C70/(A70*24))/F70,IF(D70="marché libre",(C70/(A70*24))/G70,"spécifier histo"))</f>
        <v>0.602778122415219</v>
      </c>
      <c r="F70" s="9" t="n">
        <v>1300</v>
      </c>
      <c r="G70" s="57" t="n">
        <f aca="false">F70-H70</f>
        <v>1300</v>
      </c>
      <c r="H70" s="9" t="n">
        <v>0</v>
      </c>
      <c r="I70" s="9"/>
      <c r="J70" s="30"/>
    </row>
    <row r="71" customFormat="false" ht="19.65" hidden="false" customHeight="true" outlineLevel="0" collapsed="false">
      <c r="A71" s="0" t="n">
        <v>28</v>
      </c>
      <c r="B71" s="34" t="n">
        <v>39845</v>
      </c>
      <c r="C71" s="1" t="n">
        <v>641707</v>
      </c>
      <c r="D71" s="29" t="s">
        <v>41</v>
      </c>
      <c r="E71" s="33" t="n">
        <f aca="false">IF(D71="totale",(C71/(A71*24))/F71,IF(D71="marché libre",(C71/(A71*24))/G71,"spécifier histo"))</f>
        <v>0.734554716117216</v>
      </c>
      <c r="F71" s="9" t="n">
        <v>1300</v>
      </c>
      <c r="G71" s="57" t="n">
        <f aca="false">F71-H71</f>
        <v>1300</v>
      </c>
      <c r="H71" s="9" t="n">
        <v>0</v>
      </c>
      <c r="I71" s="9"/>
      <c r="J71" s="30"/>
    </row>
    <row r="72" customFormat="false" ht="19.65" hidden="false" customHeight="true" outlineLevel="0" collapsed="false">
      <c r="A72" s="0" t="n">
        <v>31</v>
      </c>
      <c r="B72" s="31" t="n">
        <v>39873</v>
      </c>
      <c r="C72" s="1" t="n">
        <v>549464</v>
      </c>
      <c r="D72" s="29" t="s">
        <v>41</v>
      </c>
      <c r="E72" s="33" t="n">
        <f aca="false">IF(D72="totale",(C72/(A72*24))/F72,IF(D72="marché libre",(C72/(A72*24))/G72,"spécifier histo"))</f>
        <v>0.568097601323408</v>
      </c>
      <c r="F72" s="9" t="n">
        <v>1300</v>
      </c>
      <c r="G72" s="57" t="n">
        <f aca="false">F72-H72</f>
        <v>1300</v>
      </c>
      <c r="H72" s="9" t="n">
        <v>0</v>
      </c>
      <c r="I72" s="9"/>
      <c r="J72" s="30"/>
    </row>
    <row r="73" customFormat="false" ht="19.65" hidden="false" customHeight="true" outlineLevel="0" collapsed="false">
      <c r="A73" s="0" t="n">
        <v>30</v>
      </c>
      <c r="B73" s="34" t="n">
        <v>39904</v>
      </c>
      <c r="C73" s="1" t="n">
        <v>733950</v>
      </c>
      <c r="D73" s="29" t="s">
        <v>41</v>
      </c>
      <c r="E73" s="33" t="n">
        <f aca="false">IF(D73="totale",(C73/(A73*24))/F73,IF(D73="marché libre",(C73/(A73*24))/G73,"spécifier histo"))</f>
        <v>0.784134615384615</v>
      </c>
      <c r="F73" s="9" t="n">
        <v>1300</v>
      </c>
      <c r="G73" s="57" t="n">
        <f aca="false">F73-H73</f>
        <v>1300</v>
      </c>
      <c r="H73" s="9" t="n">
        <v>0</v>
      </c>
      <c r="I73" s="9"/>
      <c r="J73" s="30"/>
    </row>
    <row r="74" customFormat="false" ht="19.65" hidden="false" customHeight="true" outlineLevel="0" collapsed="false">
      <c r="A74" s="0" t="n">
        <v>31</v>
      </c>
      <c r="B74" s="31" t="n">
        <v>39934</v>
      </c>
      <c r="C74" s="1" t="n">
        <v>433662</v>
      </c>
      <c r="D74" s="29" t="s">
        <v>41</v>
      </c>
      <c r="E74" s="33" t="n">
        <f aca="false">IF(D74="totale",(C74/(A74*24))/F74,IF(D74="marché libre",(C74/(A74*24))/G74,"spécifier histo"))</f>
        <v>0.448368486352357</v>
      </c>
      <c r="F74" s="9" t="n">
        <v>1300</v>
      </c>
      <c r="G74" s="57" t="n">
        <f aca="false">F74-H74</f>
        <v>1300</v>
      </c>
      <c r="H74" s="9" t="n">
        <v>0</v>
      </c>
      <c r="I74" s="9"/>
      <c r="J74" s="30"/>
    </row>
    <row r="75" customFormat="false" ht="19.65" hidden="false" customHeight="true" outlineLevel="0" collapsed="false">
      <c r="A75" s="0" t="n">
        <v>30</v>
      </c>
      <c r="B75" s="34" t="n">
        <v>39965</v>
      </c>
      <c r="C75" s="1" t="n">
        <v>81062</v>
      </c>
      <c r="D75" s="29" t="s">
        <v>41</v>
      </c>
      <c r="E75" s="33" t="n">
        <f aca="false">IF(D75="totale",(C75/(A75*24))/F75,IF(D75="marché libre",(C75/(A75*24))/G75,"spécifier histo"))</f>
        <v>0.0866047008547009</v>
      </c>
      <c r="F75" s="9" t="n">
        <v>1300</v>
      </c>
      <c r="G75" s="57" t="n">
        <f aca="false">F75-H75</f>
        <v>1300</v>
      </c>
      <c r="H75" s="9" t="n">
        <v>0</v>
      </c>
      <c r="I75" s="9"/>
      <c r="J75" s="30"/>
    </row>
    <row r="76" customFormat="false" ht="19.65" hidden="false" customHeight="true" outlineLevel="0" collapsed="false">
      <c r="A76" s="0" t="n">
        <v>31</v>
      </c>
      <c r="B76" s="31" t="n">
        <v>39995</v>
      </c>
      <c r="C76" s="1" t="n">
        <v>0</v>
      </c>
      <c r="D76" s="29" t="s">
        <v>41</v>
      </c>
      <c r="E76" s="33" t="n">
        <f aca="false">IF(D76="totale",(C76/(A76*24))/F76,IF(D76="marché libre",(C76/(A76*24))/G76,"spécifier histo"))</f>
        <v>0</v>
      </c>
      <c r="F76" s="9" t="n">
        <v>1300</v>
      </c>
      <c r="G76" s="57" t="n">
        <f aca="false">F76-H76</f>
        <v>1300</v>
      </c>
      <c r="H76" s="9" t="n">
        <v>0</v>
      </c>
      <c r="I76" s="9"/>
      <c r="J76" s="30"/>
    </row>
    <row r="77" customFormat="false" ht="19.65" hidden="false" customHeight="true" outlineLevel="0" collapsed="false">
      <c r="A77" s="0" t="n">
        <v>31</v>
      </c>
      <c r="B77" s="34" t="n">
        <v>40026</v>
      </c>
      <c r="C77" s="1" t="n">
        <v>0</v>
      </c>
      <c r="D77" s="29" t="s">
        <v>41</v>
      </c>
      <c r="E77" s="33" t="n">
        <f aca="false">IF(D77="totale",(C77/(A77*24))/F77,IF(D77="marché libre",(C77/(A77*24))/G77,"spécifier histo"))</f>
        <v>0</v>
      </c>
      <c r="F77" s="9" t="n">
        <v>1300</v>
      </c>
      <c r="G77" s="57" t="n">
        <f aca="false">F77-H77</f>
        <v>1300</v>
      </c>
      <c r="H77" s="9" t="n">
        <v>0</v>
      </c>
      <c r="I77" s="9"/>
      <c r="J77" s="30"/>
    </row>
    <row r="78" customFormat="false" ht="19.65" hidden="false" customHeight="true" outlineLevel="0" collapsed="false">
      <c r="A78" s="0" t="n">
        <v>30</v>
      </c>
      <c r="B78" s="31" t="n">
        <v>40057</v>
      </c>
      <c r="C78" s="1" t="n">
        <v>0</v>
      </c>
      <c r="D78" s="29" t="s">
        <v>41</v>
      </c>
      <c r="E78" s="33" t="n">
        <f aca="false">IF(D78="totale",(C78/(A78*24))/F78,IF(D78="marché libre",(C78/(A78*24))/G78,"spécifier histo"))</f>
        <v>0</v>
      </c>
      <c r="F78" s="9" t="n">
        <v>1300</v>
      </c>
      <c r="G78" s="57" t="n">
        <f aca="false">F78-H78</f>
        <v>1300</v>
      </c>
      <c r="H78" s="9" t="n">
        <v>0</v>
      </c>
      <c r="I78" s="9"/>
      <c r="J78" s="30"/>
    </row>
    <row r="79" customFormat="false" ht="19.65" hidden="false" customHeight="true" outlineLevel="0" collapsed="false">
      <c r="A79" s="0" t="n">
        <v>31</v>
      </c>
      <c r="B79" s="34" t="n">
        <v>40087</v>
      </c>
      <c r="C79" s="1" t="n">
        <v>0</v>
      </c>
      <c r="D79" s="29" t="s">
        <v>41</v>
      </c>
      <c r="E79" s="33" t="n">
        <f aca="false">IF(D79="totale",(C79/(A79*24))/F79,IF(D79="marché libre",(C79/(A79*24))/G79,"spécifier histo"))</f>
        <v>0</v>
      </c>
      <c r="F79" s="9" t="n">
        <v>1300</v>
      </c>
      <c r="G79" s="57" t="n">
        <f aca="false">F79-H79</f>
        <v>1300</v>
      </c>
      <c r="H79" s="9" t="n">
        <v>0</v>
      </c>
      <c r="I79" s="9"/>
      <c r="J79" s="30"/>
    </row>
    <row r="80" customFormat="false" ht="19.65" hidden="false" customHeight="true" outlineLevel="0" collapsed="false">
      <c r="A80" s="0" t="n">
        <v>30</v>
      </c>
      <c r="B80" s="31" t="n">
        <v>40118</v>
      </c>
      <c r="C80" s="1" t="n">
        <v>34741</v>
      </c>
      <c r="D80" s="29" t="s">
        <v>41</v>
      </c>
      <c r="E80" s="33" t="n">
        <f aca="false">IF(D80="totale",(C80/(A80*24))/F80,IF(D80="marché libre",(C80/(A80*24))/G80,"spécifier histo"))</f>
        <v>0.037116452991453</v>
      </c>
      <c r="F80" s="9" t="n">
        <v>1300</v>
      </c>
      <c r="G80" s="57" t="n">
        <f aca="false">F80-H80</f>
        <v>1300</v>
      </c>
      <c r="H80" s="9" t="n">
        <v>0</v>
      </c>
      <c r="I80" s="9"/>
      <c r="J80" s="30"/>
    </row>
    <row r="81" customFormat="false" ht="19.65" hidden="false" customHeight="true" outlineLevel="0" collapsed="false">
      <c r="A81" s="0" t="n">
        <v>31</v>
      </c>
      <c r="B81" s="34" t="n">
        <v>40148</v>
      </c>
      <c r="C81" s="1" t="n">
        <v>118199</v>
      </c>
      <c r="D81" s="29" t="s">
        <v>41</v>
      </c>
      <c r="E81" s="33" t="n">
        <f aca="false">IF(D81="totale",(C81/(A81*24))/F81,IF(D81="marché libre",(C81/(A81*24))/G81,"spécifier histo"))</f>
        <v>0.122207402812242</v>
      </c>
      <c r="F81" s="9" t="n">
        <v>1300</v>
      </c>
      <c r="G81" s="57" t="n">
        <f aca="false">F81-H81</f>
        <v>1300</v>
      </c>
      <c r="H81" s="9" t="n">
        <v>0</v>
      </c>
      <c r="I81" s="9"/>
      <c r="J81" s="30"/>
    </row>
    <row r="82" customFormat="false" ht="19.65" hidden="false" customHeight="true" outlineLevel="0" collapsed="false">
      <c r="A82" s="0" t="n">
        <v>31</v>
      </c>
      <c r="B82" s="31" t="n">
        <v>40179</v>
      </c>
      <c r="C82" s="1" t="n">
        <v>327043</v>
      </c>
      <c r="D82" s="29" t="s">
        <v>41</v>
      </c>
      <c r="E82" s="33" t="n">
        <f aca="false">IF(D82="totale",(C82/(A82*24))/F82,IF(D82="marché libre",(C82/(A82*24))/G82,"spécifier histo"))</f>
        <v>0.338133788254756</v>
      </c>
      <c r="F82" s="9" t="n">
        <v>1300</v>
      </c>
      <c r="G82" s="57" t="n">
        <f aca="false">F82-H82</f>
        <v>1300</v>
      </c>
      <c r="H82" s="9" t="n">
        <v>0</v>
      </c>
      <c r="I82" s="9"/>
      <c r="J82" s="30"/>
    </row>
    <row r="83" customFormat="false" ht="19.65" hidden="false" customHeight="true" outlineLevel="0" collapsed="false">
      <c r="A83" s="0" t="n">
        <v>28</v>
      </c>
      <c r="B83" s="34" t="n">
        <v>40210</v>
      </c>
      <c r="C83" s="1" t="n">
        <v>348207</v>
      </c>
      <c r="D83" s="29" t="s">
        <v>41</v>
      </c>
      <c r="E83" s="33" t="n">
        <f aca="false">IF(D83="totale",(C83/(A83*24))/F83,IF(D83="marché libre",(C83/(A83*24))/G83,"spécifier histo"))</f>
        <v>0.398588598901099</v>
      </c>
      <c r="F83" s="9" t="n">
        <v>1300</v>
      </c>
      <c r="G83" s="57" t="n">
        <f aca="false">F83-H83</f>
        <v>1300</v>
      </c>
      <c r="H83" s="9" t="n">
        <v>0</v>
      </c>
      <c r="I83" s="9"/>
      <c r="J83" s="30"/>
    </row>
    <row r="84" customFormat="false" ht="19.65" hidden="false" customHeight="true" outlineLevel="0" collapsed="false">
      <c r="A84" s="0" t="n">
        <v>31</v>
      </c>
      <c r="B84" s="31" t="n">
        <v>40238</v>
      </c>
      <c r="C84" s="1" t="n">
        <v>628130</v>
      </c>
      <c r="D84" s="29" t="s">
        <v>41</v>
      </c>
      <c r="E84" s="33" t="n">
        <f aca="false">IF(D84="totale",(C84/(A84*24))/F84,IF(D84="marché libre",(C84/(A84*24))/G84,"spécifier histo"))</f>
        <v>0.649431348221671</v>
      </c>
      <c r="F84" s="9" t="n">
        <v>1300</v>
      </c>
      <c r="G84" s="57" t="n">
        <f aca="false">F84-H84</f>
        <v>1300</v>
      </c>
      <c r="H84" s="9" t="n">
        <v>0</v>
      </c>
      <c r="I84" s="9"/>
      <c r="J84" s="30"/>
    </row>
    <row r="85" customFormat="false" ht="19.65" hidden="false" customHeight="true" outlineLevel="0" collapsed="false">
      <c r="A85" s="0" t="n">
        <v>30</v>
      </c>
      <c r="B85" s="34" t="n">
        <v>40269</v>
      </c>
      <c r="C85" s="1" t="n">
        <v>628530</v>
      </c>
      <c r="D85" s="29" t="s">
        <v>41</v>
      </c>
      <c r="E85" s="33" t="n">
        <f aca="false">IF(D85="totale",(C85/(A85*24))/F85,IF(D85="marché libre",(C85/(A85*24))/G85,"spécifier histo"))</f>
        <v>0.67150641025641</v>
      </c>
      <c r="F85" s="9" t="n">
        <v>1300</v>
      </c>
      <c r="G85" s="57" t="n">
        <f aca="false">F85-H85</f>
        <v>1300</v>
      </c>
      <c r="H85" s="9" t="n">
        <v>0</v>
      </c>
      <c r="I85" s="9"/>
      <c r="J85" s="30"/>
    </row>
    <row r="86" customFormat="false" ht="19.65" hidden="false" customHeight="true" outlineLevel="0" collapsed="false">
      <c r="A86" s="0" t="n">
        <v>31</v>
      </c>
      <c r="B86" s="31" t="n">
        <v>40299</v>
      </c>
      <c r="C86" s="1" t="n">
        <v>674000</v>
      </c>
      <c r="D86" s="29" t="s">
        <v>41</v>
      </c>
      <c r="E86" s="33" t="n">
        <f aca="false">IF(D86="totale",(C86/(A86*24))/F86,IF(D86="marché libre",(C86/(A86*24))/G86,"spécifier histo"))</f>
        <v>0.696856906534326</v>
      </c>
      <c r="F86" s="9" t="n">
        <v>1300</v>
      </c>
      <c r="G86" s="57" t="n">
        <f aca="false">F86-H86</f>
        <v>1300</v>
      </c>
      <c r="H86" s="9" t="n">
        <v>0</v>
      </c>
      <c r="I86" s="9"/>
      <c r="J86" s="30"/>
    </row>
    <row r="87" customFormat="false" ht="19.65" hidden="false" customHeight="true" outlineLevel="0" collapsed="false">
      <c r="A87" s="0" t="n">
        <v>30</v>
      </c>
      <c r="B87" s="34" t="n">
        <v>40330</v>
      </c>
      <c r="C87" s="1" t="n">
        <v>370569</v>
      </c>
      <c r="D87" s="29" t="s">
        <v>41</v>
      </c>
      <c r="E87" s="33" t="n">
        <f aca="false">IF(D87="totale",(C87/(A87*24))/F87,IF(D87="marché libre",(C87/(A87*24))/G87,"spécifier histo"))</f>
        <v>0.395907051282051</v>
      </c>
      <c r="F87" s="9" t="n">
        <v>1300</v>
      </c>
      <c r="G87" s="57" t="n">
        <f aca="false">F87-H87</f>
        <v>1300</v>
      </c>
      <c r="H87" s="9" t="n">
        <v>0</v>
      </c>
      <c r="I87" s="9"/>
      <c r="J87" s="30"/>
    </row>
    <row r="88" customFormat="false" ht="19.65" hidden="false" customHeight="true" outlineLevel="0" collapsed="false">
      <c r="A88" s="0" t="n">
        <v>31</v>
      </c>
      <c r="B88" s="31" t="n">
        <v>40360</v>
      </c>
      <c r="C88" s="1" t="n">
        <v>78666</v>
      </c>
      <c r="D88" s="29" t="s">
        <v>41</v>
      </c>
      <c r="E88" s="33" t="n">
        <f aca="false">IF(D88="totale",(C88/(A88*24))/F88,IF(D88="marché libre",(C88/(A88*24))/G88,"spécifier histo"))</f>
        <v>0.081333746898263</v>
      </c>
      <c r="F88" s="9" t="n">
        <v>1300</v>
      </c>
      <c r="G88" s="57" t="n">
        <f aca="false">F88-H88</f>
        <v>1300</v>
      </c>
      <c r="H88" s="9" t="n">
        <v>0</v>
      </c>
      <c r="I88" s="9"/>
      <c r="J88" s="30"/>
    </row>
    <row r="89" customFormat="false" ht="19.65" hidden="false" customHeight="true" outlineLevel="0" collapsed="false">
      <c r="A89" s="0" t="n">
        <v>31</v>
      </c>
      <c r="B89" s="34" t="n">
        <v>40391</v>
      </c>
      <c r="C89" s="1" t="n">
        <v>0</v>
      </c>
      <c r="D89" s="29" t="s">
        <v>41</v>
      </c>
      <c r="E89" s="33" t="n">
        <f aca="false">IF(D89="totale",(C89/(A89*24))/F89,IF(D89="marché libre",(C89/(A89*24))/G89,"spécifier histo"))</f>
        <v>0</v>
      </c>
      <c r="F89" s="9" t="n">
        <v>1300</v>
      </c>
      <c r="G89" s="57" t="n">
        <f aca="false">F89-H89</f>
        <v>1300</v>
      </c>
      <c r="H89" s="9" t="n">
        <v>0</v>
      </c>
      <c r="I89" s="9"/>
      <c r="J89" s="30"/>
    </row>
    <row r="90" customFormat="false" ht="19.65" hidden="false" customHeight="true" outlineLevel="0" collapsed="false">
      <c r="A90" s="0" t="n">
        <v>30</v>
      </c>
      <c r="B90" s="31" t="n">
        <v>40422</v>
      </c>
      <c r="C90" s="1" t="n">
        <v>0</v>
      </c>
      <c r="D90" s="29" t="s">
        <v>41</v>
      </c>
      <c r="E90" s="33" t="n">
        <f aca="false">IF(D90="totale",(C90/(A90*24))/F90,IF(D90="marché libre",(C90/(A90*24))/G90,"spécifier histo"))</f>
        <v>0</v>
      </c>
      <c r="F90" s="9" t="n">
        <v>1300</v>
      </c>
      <c r="G90" s="57" t="n">
        <f aca="false">F90-H90</f>
        <v>1300</v>
      </c>
      <c r="H90" s="9" t="n">
        <v>0</v>
      </c>
      <c r="I90" s="9"/>
      <c r="J90" s="30"/>
    </row>
    <row r="91" customFormat="false" ht="19.65" hidden="false" customHeight="true" outlineLevel="0" collapsed="false">
      <c r="A91" s="0" t="n">
        <v>31</v>
      </c>
      <c r="B91" s="34" t="n">
        <v>40452</v>
      </c>
      <c r="C91" s="1" t="n">
        <v>16771</v>
      </c>
      <c r="D91" s="29" t="s">
        <v>41</v>
      </c>
      <c r="E91" s="33" t="n">
        <f aca="false">IF(D91="totale",(C91/(A91*24))/F91,IF(D91="marché libre",(C91/(A91*24))/G91,"spécifier histo"))</f>
        <v>0.0173397435897436</v>
      </c>
      <c r="F91" s="9" t="n">
        <v>1300</v>
      </c>
      <c r="G91" s="57" t="n">
        <f aca="false">F91-H91</f>
        <v>1300</v>
      </c>
      <c r="H91" s="9" t="n">
        <v>0</v>
      </c>
      <c r="I91" s="9"/>
      <c r="J91" s="30"/>
    </row>
    <row r="92" customFormat="false" ht="19.65" hidden="false" customHeight="true" outlineLevel="0" collapsed="false">
      <c r="A92" s="0" t="n">
        <v>30</v>
      </c>
      <c r="B92" s="31" t="n">
        <v>40483</v>
      </c>
      <c r="C92" s="1" t="n">
        <v>659278</v>
      </c>
      <c r="D92" s="29" t="s">
        <v>41</v>
      </c>
      <c r="E92" s="33" t="n">
        <f aca="false">IF(D92="totale",(C92/(A92*24))/F92,IF(D92="marché libre",(C92/(A92*24))/G92,"spécifier histo"))</f>
        <v>0.704356837606838</v>
      </c>
      <c r="F92" s="9" t="n">
        <v>1300</v>
      </c>
      <c r="G92" s="57" t="n">
        <f aca="false">F92-H92</f>
        <v>1300</v>
      </c>
      <c r="H92" s="9" t="n">
        <v>0</v>
      </c>
      <c r="I92" s="9"/>
      <c r="J92" s="30"/>
    </row>
    <row r="93" customFormat="false" ht="19.65" hidden="false" customHeight="true" outlineLevel="0" collapsed="false">
      <c r="A93" s="0" t="n">
        <v>31</v>
      </c>
      <c r="B93" s="34" t="n">
        <v>40513</v>
      </c>
      <c r="C93" s="1" t="n">
        <v>779073</v>
      </c>
      <c r="D93" s="29" t="s">
        <v>41</v>
      </c>
      <c r="E93" s="33" t="n">
        <f aca="false">IF(D93="totale",(C93/(A93*24))/F93,IF(D93="marché libre",(C93/(A93*24))/G93,"spécifier histo"))</f>
        <v>0.80549317617866</v>
      </c>
      <c r="F93" s="9" t="n">
        <v>1300</v>
      </c>
      <c r="G93" s="57" t="n">
        <f aca="false">F93-H93</f>
        <v>1300</v>
      </c>
      <c r="H93" s="9" t="n">
        <v>0</v>
      </c>
      <c r="I93" s="9"/>
      <c r="J93" s="30"/>
    </row>
    <row r="94" customFormat="false" ht="19.65" hidden="false" customHeight="true" outlineLevel="0" collapsed="false">
      <c r="A94" s="0" t="n">
        <v>31</v>
      </c>
      <c r="B94" s="31" t="n">
        <v>40544</v>
      </c>
      <c r="C94" s="1" t="n">
        <v>548266</v>
      </c>
      <c r="D94" s="29" t="s">
        <v>41</v>
      </c>
      <c r="E94" s="33" t="n">
        <f aca="false">IF(D94="totale",(C94/(A94*24))/F94,IF(D94="marché libre",(C94/(A94*24))/G94,"spécifier histo"))</f>
        <v>0.566858974358974</v>
      </c>
      <c r="F94" s="9" t="n">
        <v>1300</v>
      </c>
      <c r="G94" s="57" t="n">
        <f aca="false">F94-H94</f>
        <v>1300</v>
      </c>
      <c r="H94" s="9" t="n">
        <v>0</v>
      </c>
      <c r="I94" s="9"/>
      <c r="J94" s="30"/>
    </row>
    <row r="95" customFormat="false" ht="19.65" hidden="false" customHeight="true" outlineLevel="0" collapsed="false">
      <c r="A95" s="0" t="n">
        <v>28</v>
      </c>
      <c r="B95" s="34" t="n">
        <v>40575</v>
      </c>
      <c r="C95" s="1" t="n">
        <v>194868</v>
      </c>
      <c r="D95" s="29" t="s">
        <v>41</v>
      </c>
      <c r="E95" s="33" t="n">
        <f aca="false">IF(D95="totale",(C95/(A95*24))/F95,IF(D95="marché libre",(C95/(A95*24))/G95,"spécifier histo"))</f>
        <v>0.223063186813187</v>
      </c>
      <c r="F95" s="9" t="n">
        <v>1300</v>
      </c>
      <c r="G95" s="57" t="n">
        <f aca="false">F95-H95</f>
        <v>1300</v>
      </c>
      <c r="H95" s="9" t="n">
        <v>0</v>
      </c>
      <c r="I95" s="9"/>
      <c r="J95" s="30"/>
    </row>
    <row r="96" customFormat="false" ht="19.65" hidden="false" customHeight="true" outlineLevel="0" collapsed="false">
      <c r="A96" s="0" t="n">
        <v>31</v>
      </c>
      <c r="B96" s="31" t="n">
        <v>40603</v>
      </c>
      <c r="C96" s="1" t="n">
        <v>416091</v>
      </c>
      <c r="D96" s="29" t="s">
        <v>41</v>
      </c>
      <c r="E96" s="33" t="n">
        <f aca="false">IF(D96="totale",(C96/(A96*24))/F96,IF(D96="marché libre",(C96/(A96*24))/G96,"spécifier histo"))</f>
        <v>0.430201612903226</v>
      </c>
      <c r="F96" s="9" t="n">
        <v>1300</v>
      </c>
      <c r="G96" s="57" t="n">
        <f aca="false">F96-H96</f>
        <v>1300</v>
      </c>
      <c r="H96" s="9" t="n">
        <v>0</v>
      </c>
      <c r="I96" s="9"/>
      <c r="J96" s="30"/>
    </row>
    <row r="97" customFormat="false" ht="19.65" hidden="false" customHeight="true" outlineLevel="0" collapsed="false">
      <c r="A97" s="0" t="n">
        <v>30</v>
      </c>
      <c r="B97" s="34" t="n">
        <v>40634</v>
      </c>
      <c r="C97" s="1" t="n">
        <v>199799</v>
      </c>
      <c r="D97" s="29" t="s">
        <v>41</v>
      </c>
      <c r="E97" s="33" t="n">
        <f aca="false">IF(D97="totale",(C97/(A97*24))/F97,IF(D97="marché libre",(C97/(A97*24))/G97,"spécifier histo"))</f>
        <v>0.21346047008547</v>
      </c>
      <c r="F97" s="9" t="n">
        <v>1300</v>
      </c>
      <c r="G97" s="57" t="n">
        <f aca="false">F97-H97</f>
        <v>1300</v>
      </c>
      <c r="H97" s="9" t="n">
        <v>0</v>
      </c>
      <c r="I97" s="9"/>
      <c r="J97" s="30"/>
    </row>
    <row r="98" customFormat="false" ht="19.65" hidden="false" customHeight="true" outlineLevel="0" collapsed="false">
      <c r="A98" s="0" t="n">
        <v>31</v>
      </c>
      <c r="B98" s="31" t="n">
        <v>40664</v>
      </c>
      <c r="C98" s="1" t="n">
        <v>27596</v>
      </c>
      <c r="D98" s="29" t="s">
        <v>41</v>
      </c>
      <c r="E98" s="33" t="n">
        <f aca="false">IF(D98="totale",(C98/(A98*24))/F98,IF(D98="marché libre",(C98/(A98*24))/G98,"spécifier histo"))</f>
        <v>0.0285318444995864</v>
      </c>
      <c r="F98" s="9" t="n">
        <v>1300</v>
      </c>
      <c r="G98" s="57" t="n">
        <f aca="false">F98-H98</f>
        <v>1300</v>
      </c>
      <c r="H98" s="9" t="n">
        <v>0</v>
      </c>
      <c r="I98" s="9"/>
      <c r="J98" s="30"/>
    </row>
    <row r="99" customFormat="false" ht="19.65" hidden="false" customHeight="true" outlineLevel="0" collapsed="false">
      <c r="A99" s="0" t="n">
        <v>30</v>
      </c>
      <c r="B99" s="34" t="n">
        <v>40695</v>
      </c>
      <c r="C99" s="1" t="n">
        <v>0</v>
      </c>
      <c r="D99" s="29" t="s">
        <v>41</v>
      </c>
      <c r="E99" s="33" t="n">
        <f aca="false">IF(D99="totale",(C99/(A99*24))/F99,IF(D99="marché libre",(C99/(A99*24))/G99,"spécifier histo"))</f>
        <v>0</v>
      </c>
      <c r="F99" s="9" t="n">
        <v>1300</v>
      </c>
      <c r="G99" s="57" t="n">
        <f aca="false">F99-H99</f>
        <v>1300</v>
      </c>
      <c r="H99" s="9" t="n">
        <v>0</v>
      </c>
      <c r="I99" s="9"/>
      <c r="J99" s="30"/>
    </row>
    <row r="100" customFormat="false" ht="19.65" hidden="false" customHeight="true" outlineLevel="0" collapsed="false">
      <c r="A100" s="0" t="n">
        <v>31</v>
      </c>
      <c r="B100" s="31" t="n">
        <v>40725</v>
      </c>
      <c r="C100" s="1" t="n">
        <v>0</v>
      </c>
      <c r="D100" s="29" t="s">
        <v>41</v>
      </c>
      <c r="E100" s="33" t="n">
        <f aca="false">IF(D100="totale",(C100/(A100*24))/F100,IF(D100="marché libre",(C100/(A100*24))/G100,"spécifier histo"))</f>
        <v>0</v>
      </c>
      <c r="F100" s="9" t="n">
        <v>1300</v>
      </c>
      <c r="G100" s="57" t="n">
        <f aca="false">F100-H100</f>
        <v>1300</v>
      </c>
      <c r="H100" s="9" t="n">
        <v>0</v>
      </c>
      <c r="I100" s="9"/>
      <c r="J100" s="30"/>
    </row>
    <row r="101" customFormat="false" ht="19.65" hidden="false" customHeight="true" outlineLevel="0" collapsed="false">
      <c r="A101" s="0" t="n">
        <v>31</v>
      </c>
      <c r="B101" s="34" t="n">
        <v>40756</v>
      </c>
      <c r="C101" s="1" t="n">
        <v>0</v>
      </c>
      <c r="D101" s="29" t="s">
        <v>41</v>
      </c>
      <c r="E101" s="33" t="n">
        <f aca="false">IF(D101="totale",(C101/(A101*24))/F101,IF(D101="marché libre",(C101/(A101*24))/G101,"spécifier histo"))</f>
        <v>0</v>
      </c>
      <c r="F101" s="9" t="n">
        <v>1300</v>
      </c>
      <c r="G101" s="57" t="n">
        <f aca="false">F101-H101</f>
        <v>1300</v>
      </c>
      <c r="H101" s="9" t="n">
        <v>0</v>
      </c>
      <c r="I101" s="9"/>
      <c r="J101" s="30"/>
    </row>
    <row r="102" customFormat="false" ht="19.65" hidden="false" customHeight="true" outlineLevel="0" collapsed="false">
      <c r="A102" s="0" t="n">
        <v>30</v>
      </c>
      <c r="B102" s="31" t="n">
        <v>40787</v>
      </c>
      <c r="C102" s="1" t="n">
        <v>0</v>
      </c>
      <c r="D102" s="29" t="s">
        <v>41</v>
      </c>
      <c r="E102" s="33" t="n">
        <f aca="false">IF(D102="totale",(C102/(A102*24))/F102,IF(D102="marché libre",(C102/(A102*24))/G102,"spécifier histo"))</f>
        <v>0</v>
      </c>
      <c r="F102" s="9" t="n">
        <v>1300</v>
      </c>
      <c r="G102" s="57" t="n">
        <f aca="false">F102-H102</f>
        <v>1300</v>
      </c>
      <c r="H102" s="9" t="n">
        <v>0</v>
      </c>
      <c r="I102" s="9"/>
      <c r="J102" s="30"/>
    </row>
    <row r="103" customFormat="false" ht="19.65" hidden="false" customHeight="true" outlineLevel="0" collapsed="false">
      <c r="A103" s="0" t="n">
        <v>31</v>
      </c>
      <c r="B103" s="34" t="n">
        <v>40817</v>
      </c>
      <c r="C103" s="1" t="n">
        <v>0</v>
      </c>
      <c r="D103" s="29" t="s">
        <v>41</v>
      </c>
      <c r="E103" s="33" t="n">
        <f aca="false">IF(D103="totale",(C103/(A103*24))/F103,IF(D103="marché libre",(C103/(A103*24))/G103,"spécifier histo"))</f>
        <v>0</v>
      </c>
      <c r="F103" s="9" t="n">
        <v>1300</v>
      </c>
      <c r="G103" s="57" t="n">
        <f aca="false">F103-H103</f>
        <v>1300</v>
      </c>
      <c r="H103" s="9" t="n">
        <v>0</v>
      </c>
      <c r="I103" s="9"/>
      <c r="J103" s="30"/>
    </row>
    <row r="104" customFormat="false" ht="19.65" hidden="false" customHeight="true" outlineLevel="0" collapsed="false">
      <c r="A104" s="0" t="n">
        <v>30</v>
      </c>
      <c r="B104" s="31" t="n">
        <v>40848</v>
      </c>
      <c r="C104" s="1" t="n">
        <v>0</v>
      </c>
      <c r="D104" s="29" t="s">
        <v>41</v>
      </c>
      <c r="E104" s="33" t="n">
        <f aca="false">IF(D104="totale",(C104/(A104*24))/F104,IF(D104="marché libre",(C104/(A104*24))/G104,"spécifier histo"))</f>
        <v>0</v>
      </c>
      <c r="F104" s="9" t="n">
        <v>1300</v>
      </c>
      <c r="G104" s="57" t="n">
        <f aca="false">F104-H104</f>
        <v>1300</v>
      </c>
      <c r="H104" s="9" t="n">
        <v>0</v>
      </c>
      <c r="I104" s="9"/>
      <c r="J104" s="30"/>
    </row>
    <row r="105" customFormat="false" ht="19.65" hidden="false" customHeight="true" outlineLevel="0" collapsed="false">
      <c r="A105" s="0" t="n">
        <v>31</v>
      </c>
      <c r="B105" s="34" t="n">
        <v>40878</v>
      </c>
      <c r="C105" s="1" t="n">
        <v>218821</v>
      </c>
      <c r="D105" s="29" t="s">
        <v>41</v>
      </c>
      <c r="E105" s="33" t="n">
        <f aca="false">IF(D105="totale",(C105/(A105*24))/F105,IF(D105="marché libre",(C105/(A105*24))/G105,"spécifier histo"))</f>
        <v>0.226241728701406</v>
      </c>
      <c r="F105" s="9" t="n">
        <v>1300</v>
      </c>
      <c r="G105" s="57" t="n">
        <f aca="false">F105-H105</f>
        <v>1300</v>
      </c>
      <c r="H105" s="9" t="n">
        <v>0</v>
      </c>
      <c r="I105" s="9"/>
      <c r="J105" s="30"/>
    </row>
    <row r="106" customFormat="false" ht="19.65" hidden="false" customHeight="true" outlineLevel="0" collapsed="false">
      <c r="A106" s="0" t="n">
        <v>31</v>
      </c>
      <c r="B106" s="31" t="n">
        <v>40909</v>
      </c>
      <c r="C106" s="1" t="n">
        <v>225216</v>
      </c>
      <c r="D106" s="29" t="s">
        <v>41</v>
      </c>
      <c r="E106" s="33" t="n">
        <f aca="false">IF(D106="totale",(C106/(A106*24))/F106,IF(D106="marché libre",(C106/(A106*24))/G106,"spécifier histo"))</f>
        <v>0.232853598014888</v>
      </c>
      <c r="F106" s="9" t="n">
        <v>1300</v>
      </c>
      <c r="G106" s="57" t="n">
        <f aca="false">F106-H106</f>
        <v>1300</v>
      </c>
      <c r="H106" s="9" t="n">
        <v>0</v>
      </c>
      <c r="I106" s="9"/>
      <c r="J106" s="30"/>
    </row>
    <row r="107" customFormat="false" ht="19.65" hidden="false" customHeight="true" outlineLevel="0" collapsed="false">
      <c r="A107" s="0" t="n">
        <v>28</v>
      </c>
      <c r="B107" s="34" t="n">
        <v>40940</v>
      </c>
      <c r="C107" s="1" t="n">
        <v>8386</v>
      </c>
      <c r="D107" s="29" t="s">
        <v>41</v>
      </c>
      <c r="E107" s="33" t="n">
        <f aca="false">IF(D107="totale",(C107/(A107*24))/F107,IF(D107="marché libre",(C107/(A107*24))/G107,"spécifier histo"))</f>
        <v>0.00959935897435897</v>
      </c>
      <c r="F107" s="9" t="n">
        <v>1300</v>
      </c>
      <c r="G107" s="57" t="n">
        <f aca="false">F107-H107</f>
        <v>1300</v>
      </c>
      <c r="H107" s="9" t="n">
        <v>0</v>
      </c>
      <c r="I107" s="9"/>
      <c r="J107" s="30"/>
    </row>
    <row r="108" customFormat="false" ht="19.65" hidden="false" customHeight="true" outlineLevel="0" collapsed="false">
      <c r="A108" s="0" t="n">
        <v>31</v>
      </c>
      <c r="B108" s="31" t="n">
        <v>40969</v>
      </c>
      <c r="C108" s="1" t="n">
        <v>0</v>
      </c>
      <c r="D108" s="29" t="s">
        <v>41</v>
      </c>
      <c r="E108" s="33" t="n">
        <f aca="false">IF(D108="totale",(C108/(A108*24))/F108,IF(D108="marché libre",(C108/(A108*24))/G108,"spécifier histo"))</f>
        <v>0</v>
      </c>
      <c r="F108" s="9" t="n">
        <v>1300</v>
      </c>
      <c r="G108" s="57" t="n">
        <f aca="false">F108-H108</f>
        <v>1300</v>
      </c>
      <c r="H108" s="9" t="n">
        <v>0</v>
      </c>
      <c r="I108" s="9"/>
      <c r="J108" s="30"/>
    </row>
    <row r="109" customFormat="false" ht="19.65" hidden="false" customHeight="true" outlineLevel="0" collapsed="false">
      <c r="A109" s="0" t="n">
        <v>30</v>
      </c>
      <c r="B109" s="34" t="n">
        <v>41000</v>
      </c>
      <c r="C109" s="1" t="n">
        <v>0</v>
      </c>
      <c r="D109" s="29" t="s">
        <v>41</v>
      </c>
      <c r="E109" s="33" t="n">
        <f aca="false">IF(D109="totale",(C109/(A109*24))/F109,IF(D109="marché libre",(C109/(A109*24))/G109,"spécifier histo"))</f>
        <v>0</v>
      </c>
      <c r="F109" s="9" t="n">
        <v>1300</v>
      </c>
      <c r="G109" s="57" t="n">
        <f aca="false">F109-H109</f>
        <v>1300</v>
      </c>
      <c r="H109" s="9" t="n">
        <v>0</v>
      </c>
      <c r="I109" s="9"/>
      <c r="J109" s="30"/>
    </row>
    <row r="110" customFormat="false" ht="19.65" hidden="false" customHeight="true" outlineLevel="0" collapsed="false">
      <c r="A110" s="0" t="n">
        <v>31</v>
      </c>
      <c r="B110" s="31" t="n">
        <v>41030</v>
      </c>
      <c r="C110" s="1" t="n">
        <v>100191</v>
      </c>
      <c r="D110" s="29" t="s">
        <v>41</v>
      </c>
      <c r="E110" s="33" t="n">
        <f aca="false">IF(D110="totale",(C110/(A110*24))/F110,IF(D110="marché libre",(C110/(A110*24))/G110,"spécifier histo"))</f>
        <v>0.103588709677419</v>
      </c>
      <c r="F110" s="9" t="n">
        <v>1300</v>
      </c>
      <c r="G110" s="57" t="n">
        <f aca="false">F110-H110</f>
        <v>1300</v>
      </c>
      <c r="H110" s="9" t="n">
        <v>0</v>
      </c>
      <c r="I110" s="9"/>
      <c r="J110" s="30"/>
    </row>
    <row r="111" customFormat="false" ht="19.65" hidden="false" customHeight="true" outlineLevel="0" collapsed="false">
      <c r="A111" s="0" t="n">
        <v>30</v>
      </c>
      <c r="B111" s="34" t="n">
        <v>41061</v>
      </c>
      <c r="C111" s="1" t="n">
        <v>267943</v>
      </c>
      <c r="D111" s="29" t="s">
        <v>41</v>
      </c>
      <c r="E111" s="33" t="n">
        <f aca="false">IF(D111="totale",(C111/(A111*24))/F111,IF(D111="marché libre",(C111/(A111*24))/G111,"spécifier histo"))</f>
        <v>0.286263888888889</v>
      </c>
      <c r="F111" s="9" t="n">
        <v>1300</v>
      </c>
      <c r="G111" s="57" t="n">
        <f aca="false">F111-H111</f>
        <v>1300</v>
      </c>
      <c r="H111" s="9" t="n">
        <v>0</v>
      </c>
      <c r="I111" s="9"/>
      <c r="J111" s="30"/>
    </row>
    <row r="112" customFormat="false" ht="19.65" hidden="false" customHeight="true" outlineLevel="0" collapsed="false">
      <c r="A112" s="0" t="n">
        <v>31</v>
      </c>
      <c r="B112" s="31" t="n">
        <v>41091</v>
      </c>
      <c r="C112" s="1" t="n">
        <v>40727</v>
      </c>
      <c r="D112" s="29" t="s">
        <v>41</v>
      </c>
      <c r="E112" s="33" t="n">
        <f aca="false">IF(D112="totale",(C112/(A112*24))/F112,IF(D112="marché libre",(C112/(A112*24))/G112,"spécifier histo"))</f>
        <v>0.042108147229115</v>
      </c>
      <c r="F112" s="9" t="n">
        <v>1300</v>
      </c>
      <c r="G112" s="57" t="n">
        <f aca="false">F112-H112</f>
        <v>1300</v>
      </c>
      <c r="H112" s="9" t="n">
        <v>0</v>
      </c>
      <c r="I112" s="9"/>
      <c r="J112" s="30"/>
    </row>
    <row r="113" customFormat="false" ht="19.65" hidden="false" customHeight="true" outlineLevel="0" collapsed="false">
      <c r="A113" s="0" t="n">
        <v>31</v>
      </c>
      <c r="B113" s="34" t="n">
        <v>41122</v>
      </c>
      <c r="C113" s="1" t="n">
        <v>0</v>
      </c>
      <c r="D113" s="29" t="s">
        <v>41</v>
      </c>
      <c r="E113" s="33" t="n">
        <f aca="false">IF(D113="totale",(C113/(A113*24))/F113,IF(D113="marché libre",(C113/(A113*24))/G113,"spécifier histo"))</f>
        <v>0</v>
      </c>
      <c r="F113" s="9" t="n">
        <v>1300</v>
      </c>
      <c r="G113" s="57" t="n">
        <f aca="false">F113-H113</f>
        <v>1300</v>
      </c>
      <c r="H113" s="9" t="n">
        <v>0</v>
      </c>
      <c r="I113" s="9"/>
      <c r="J113" s="30"/>
    </row>
    <row r="114" customFormat="false" ht="19.65" hidden="false" customHeight="true" outlineLevel="0" collapsed="false">
      <c r="A114" s="0" t="n">
        <v>30</v>
      </c>
      <c r="B114" s="31" t="n">
        <v>41153</v>
      </c>
      <c r="C114" s="1" t="n">
        <v>0</v>
      </c>
      <c r="D114" s="29" t="s">
        <v>41</v>
      </c>
      <c r="E114" s="33" t="n">
        <f aca="false">IF(D114="totale",(C114/(A114*24))/F114,IF(D114="marché libre",(C114/(A114*24))/G114,"spécifier histo"))</f>
        <v>0</v>
      </c>
      <c r="F114" s="9" t="n">
        <v>1300</v>
      </c>
      <c r="G114" s="57" t="n">
        <f aca="false">F114-H114</f>
        <v>1300</v>
      </c>
      <c r="H114" s="9" t="n">
        <v>0</v>
      </c>
      <c r="I114" s="9"/>
      <c r="J114" s="30"/>
    </row>
    <row r="115" customFormat="false" ht="19.65" hidden="false" customHeight="true" outlineLevel="0" collapsed="false">
      <c r="A115" s="0" t="n">
        <v>31</v>
      </c>
      <c r="B115" s="34" t="n">
        <v>41183</v>
      </c>
      <c r="C115" s="1" t="n">
        <v>0</v>
      </c>
      <c r="D115" s="29" t="s">
        <v>41</v>
      </c>
      <c r="E115" s="33" t="n">
        <f aca="false">IF(D115="totale",(C115/(A115*24))/F115,IF(D115="marché libre",(C115/(A115*24))/G115,"spécifier histo"))</f>
        <v>0</v>
      </c>
      <c r="F115" s="9" t="n">
        <v>1300</v>
      </c>
      <c r="G115" s="57" t="n">
        <f aca="false">F115-H115</f>
        <v>1300</v>
      </c>
      <c r="H115" s="9" t="n">
        <v>0</v>
      </c>
      <c r="I115" s="9"/>
      <c r="J115" s="30"/>
    </row>
    <row r="116" customFormat="false" ht="19.65" hidden="false" customHeight="true" outlineLevel="0" collapsed="false">
      <c r="A116" s="0" t="n">
        <v>30</v>
      </c>
      <c r="B116" s="31" t="n">
        <v>41214</v>
      </c>
      <c r="C116" s="1" t="n">
        <v>13054</v>
      </c>
      <c r="D116" s="29" t="s">
        <v>41</v>
      </c>
      <c r="E116" s="33" t="n">
        <f aca="false">IF(D116="totale",(C116/(A116*24))/F116,IF(D116="marché libre",(C116/(A116*24))/G116,"spécifier histo"))</f>
        <v>0.0139465811965812</v>
      </c>
      <c r="F116" s="9" t="n">
        <v>1300</v>
      </c>
      <c r="G116" s="57" t="n">
        <f aca="false">F116-H116</f>
        <v>1300</v>
      </c>
      <c r="H116" s="9" t="n">
        <v>0</v>
      </c>
      <c r="I116" s="9"/>
      <c r="J116" s="30"/>
    </row>
    <row r="117" customFormat="false" ht="19.65" hidden="false" customHeight="true" outlineLevel="0" collapsed="false">
      <c r="A117" s="0" t="n">
        <v>31</v>
      </c>
      <c r="B117" s="34" t="n">
        <v>41244</v>
      </c>
      <c r="C117" s="1" t="n">
        <v>512975</v>
      </c>
      <c r="D117" s="29" t="s">
        <v>41</v>
      </c>
      <c r="E117" s="33" t="n">
        <f aca="false">IF(D117="totale",(C117/(A117*24))/F117,IF(D117="marché libre",(C117/(A117*24))/G117,"spécifier histo"))</f>
        <v>0.5303711745244</v>
      </c>
      <c r="F117" s="9" t="n">
        <v>1300</v>
      </c>
      <c r="G117" s="57" t="n">
        <f aca="false">F117-H117</f>
        <v>1300</v>
      </c>
      <c r="H117" s="9" t="n">
        <v>0</v>
      </c>
      <c r="I117" s="9"/>
      <c r="J117" s="30"/>
    </row>
    <row r="118" customFormat="false" ht="19.65" hidden="false" customHeight="true" outlineLevel="0" collapsed="false">
      <c r="A118" s="0" t="n">
        <v>31</v>
      </c>
      <c r="B118" s="31" t="n">
        <v>41275</v>
      </c>
      <c r="C118" s="1" t="n">
        <v>0</v>
      </c>
      <c r="D118" s="29" t="s">
        <v>41</v>
      </c>
      <c r="E118" s="33" t="n">
        <f aca="false">IF(D118="totale",(C118/(A118*24))/F118,IF(D118="marché libre",(C118/(A118*24))/G118,"spécifier histo"))</f>
        <v>0</v>
      </c>
      <c r="F118" s="9" t="n">
        <v>1300</v>
      </c>
      <c r="G118" s="57" t="n">
        <f aca="false">F118-H118</f>
        <v>1300</v>
      </c>
      <c r="H118" s="9" t="n">
        <v>0</v>
      </c>
      <c r="I118" s="9"/>
      <c r="J118" s="30"/>
    </row>
    <row r="119" customFormat="false" ht="19.65" hidden="false" customHeight="true" outlineLevel="0" collapsed="false">
      <c r="A119" s="0" t="n">
        <v>28</v>
      </c>
      <c r="B119" s="34" t="n">
        <v>41306</v>
      </c>
      <c r="C119" s="1" t="n">
        <v>91770</v>
      </c>
      <c r="D119" s="29" t="s">
        <v>41</v>
      </c>
      <c r="E119" s="33" t="n">
        <f aca="false">IF(D119="totale",(C119/(A119*24))/F119,IF(D119="marché libre",(C119/(A119*24))/G119,"spécifier histo"))</f>
        <v>0.105048076923077</v>
      </c>
      <c r="F119" s="9" t="n">
        <v>1300</v>
      </c>
      <c r="G119" s="57" t="n">
        <f aca="false">F119-H119</f>
        <v>1300</v>
      </c>
      <c r="H119" s="9" t="n">
        <v>0</v>
      </c>
      <c r="I119" s="9"/>
      <c r="J119" s="30"/>
    </row>
    <row r="120" customFormat="false" ht="19.65" hidden="false" customHeight="true" outlineLevel="0" collapsed="false">
      <c r="A120" s="0" t="n">
        <v>31</v>
      </c>
      <c r="B120" s="31" t="n">
        <v>41334</v>
      </c>
      <c r="C120" s="1" t="n">
        <v>689486</v>
      </c>
      <c r="D120" s="29" t="s">
        <v>41</v>
      </c>
      <c r="E120" s="33" t="n">
        <f aca="false">IF(D120="totale",(C120/(A120*24))/F120,IF(D120="marché libre",(C120/(A120*24))/G120,"spécifier histo"))</f>
        <v>0.712868072787428</v>
      </c>
      <c r="F120" s="9" t="n">
        <v>1300</v>
      </c>
      <c r="G120" s="57" t="n">
        <f aca="false">F120-H120</f>
        <v>1300</v>
      </c>
      <c r="H120" s="9" t="n">
        <v>0</v>
      </c>
      <c r="I120" s="9"/>
      <c r="J120" s="30"/>
    </row>
    <row r="121" customFormat="false" ht="19.65" hidden="false" customHeight="true" outlineLevel="0" collapsed="false">
      <c r="A121" s="0" t="n">
        <v>30</v>
      </c>
      <c r="B121" s="34" t="n">
        <v>41365</v>
      </c>
      <c r="C121" s="1" t="n">
        <v>814165</v>
      </c>
      <c r="D121" s="29" t="s">
        <v>41</v>
      </c>
      <c r="E121" s="33" t="n">
        <f aca="false">IF(D121="totale",(C121/(A121*24))/F121,IF(D121="marché libre",(C121/(A121*24))/G121,"spécifier histo"))</f>
        <v>0.869834401709402</v>
      </c>
      <c r="F121" s="9" t="n">
        <v>1300</v>
      </c>
      <c r="G121" s="57" t="n">
        <f aca="false">F121-H121</f>
        <v>1300</v>
      </c>
      <c r="H121" s="9" t="n">
        <v>0</v>
      </c>
      <c r="I121" s="9"/>
      <c r="J121" s="30"/>
    </row>
    <row r="122" customFormat="false" ht="19.65" hidden="false" customHeight="true" outlineLevel="0" collapsed="false">
      <c r="A122" s="0" t="n">
        <v>31</v>
      </c>
      <c r="B122" s="31" t="n">
        <v>41395</v>
      </c>
      <c r="C122" s="1" t="n">
        <v>338258</v>
      </c>
      <c r="D122" s="29" t="s">
        <v>41</v>
      </c>
      <c r="E122" s="33" t="n">
        <f aca="false">IF(D122="totale",(C122/(A122*24))/F122,IF(D122="marché libre",(C122/(A122*24))/G122,"spécifier histo"))</f>
        <v>0.34972911497105</v>
      </c>
      <c r="F122" s="9" t="n">
        <v>1300</v>
      </c>
      <c r="G122" s="57" t="n">
        <f aca="false">F122-H122</f>
        <v>1300</v>
      </c>
      <c r="H122" s="9" t="n">
        <v>0</v>
      </c>
      <c r="I122" s="9"/>
      <c r="J122" s="30"/>
    </row>
    <row r="123" customFormat="false" ht="19.65" hidden="false" customHeight="true" outlineLevel="0" collapsed="false">
      <c r="A123" s="0" t="n">
        <v>30</v>
      </c>
      <c r="B123" s="34" t="n">
        <v>41426</v>
      </c>
      <c r="C123" s="1" t="n">
        <v>364578</v>
      </c>
      <c r="D123" s="29" t="s">
        <v>41</v>
      </c>
      <c r="E123" s="33" t="n">
        <f aca="false">IF(D123="totale",(C123/(A123*24))/F123,IF(D123="marché libre",(C123/(A123*24))/G123,"spécifier histo"))</f>
        <v>0.38950641025641</v>
      </c>
      <c r="F123" s="9" t="n">
        <v>1300</v>
      </c>
      <c r="G123" s="57" t="n">
        <f aca="false">F123-H123</f>
        <v>1300</v>
      </c>
      <c r="H123" s="9" t="n">
        <v>0</v>
      </c>
      <c r="I123" s="9"/>
      <c r="J123" s="30"/>
    </row>
    <row r="124" customFormat="false" ht="19.65" hidden="false" customHeight="true" outlineLevel="0" collapsed="false">
      <c r="A124" s="0" t="n">
        <v>31</v>
      </c>
      <c r="B124" s="31" t="n">
        <v>41456</v>
      </c>
      <c r="C124" s="1" t="n">
        <v>79734</v>
      </c>
      <c r="D124" s="29" t="s">
        <v>41</v>
      </c>
      <c r="E124" s="33" t="n">
        <f aca="false">IF(D124="totale",(C124/(A124*24))/F124,IF(D124="marché libre",(C124/(A124*24))/G124,"spécifier histo"))</f>
        <v>0.0824379652605459</v>
      </c>
      <c r="F124" s="9" t="n">
        <v>1300</v>
      </c>
      <c r="G124" s="57" t="n">
        <f aca="false">F124-H124</f>
        <v>1300</v>
      </c>
      <c r="H124" s="9" t="n">
        <v>0</v>
      </c>
      <c r="I124" s="9"/>
      <c r="J124" s="30"/>
    </row>
    <row r="125" customFormat="false" ht="19.65" hidden="false" customHeight="true" outlineLevel="0" collapsed="false">
      <c r="A125" s="0" t="n">
        <v>31</v>
      </c>
      <c r="B125" s="34" t="n">
        <v>41487</v>
      </c>
      <c r="C125" s="1" t="n">
        <v>504</v>
      </c>
      <c r="D125" s="29" t="s">
        <v>41</v>
      </c>
      <c r="E125" s="33" t="n">
        <f aca="false">IF(D125="totale",(C125/(A125*24))/F125,IF(D125="marché libre",(C125/(A125*24))/G125,"spécifier histo"))</f>
        <v>0.000521091811414392</v>
      </c>
      <c r="F125" s="9" t="n">
        <v>1300</v>
      </c>
      <c r="G125" s="57" t="n">
        <f aca="false">F125-H125</f>
        <v>1300</v>
      </c>
      <c r="H125" s="9" t="n">
        <v>0</v>
      </c>
      <c r="I125" s="9"/>
      <c r="J125" s="30"/>
    </row>
    <row r="126" customFormat="false" ht="19.65" hidden="false" customHeight="true" outlineLevel="0" collapsed="false">
      <c r="A126" s="0" t="n">
        <v>30</v>
      </c>
      <c r="B126" s="31" t="n">
        <v>41518</v>
      </c>
      <c r="C126" s="1" t="n">
        <v>475</v>
      </c>
      <c r="D126" s="29" t="s">
        <v>41</v>
      </c>
      <c r="E126" s="33" t="n">
        <f aca="false">IF(D126="totale",(C126/(A126*24))/F126,IF(D126="marché libre",(C126/(A126*24))/G126,"spécifier histo"))</f>
        <v>0.000507478632478632</v>
      </c>
      <c r="F126" s="9" t="n">
        <v>1300</v>
      </c>
      <c r="G126" s="57" t="n">
        <f aca="false">F126-H126</f>
        <v>1300</v>
      </c>
      <c r="H126" s="9" t="n">
        <v>0</v>
      </c>
      <c r="I126" s="9"/>
      <c r="J126" s="30"/>
    </row>
    <row r="127" customFormat="false" ht="19.65" hidden="false" customHeight="true" outlineLevel="0" collapsed="false">
      <c r="A127" s="0" t="n">
        <v>31</v>
      </c>
      <c r="B127" s="34" t="n">
        <v>41548</v>
      </c>
      <c r="C127" s="1" t="n">
        <v>794</v>
      </c>
      <c r="D127" s="29" t="s">
        <v>41</v>
      </c>
      <c r="E127" s="33" t="n">
        <f aca="false">IF(D127="totale",(C127/(A127*24))/F127,IF(D127="marché libre",(C127/(A127*24))/G127,"spécifier histo"))</f>
        <v>0.000820926385442514</v>
      </c>
      <c r="F127" s="9" t="n">
        <v>1300</v>
      </c>
      <c r="G127" s="57" t="n">
        <f aca="false">F127-H127</f>
        <v>1300</v>
      </c>
      <c r="H127" s="9" t="n">
        <v>0</v>
      </c>
      <c r="I127" s="9"/>
      <c r="J127" s="30"/>
    </row>
    <row r="128" customFormat="false" ht="19.65" hidden="false" customHeight="true" outlineLevel="0" collapsed="false">
      <c r="A128" s="0" t="n">
        <v>30</v>
      </c>
      <c r="B128" s="31" t="n">
        <v>41579</v>
      </c>
      <c r="C128" s="1" t="n">
        <f aca="false">M161+P161</f>
        <v>121086</v>
      </c>
      <c r="D128" s="29" t="s">
        <v>41</v>
      </c>
      <c r="E128" s="33" t="n">
        <f aca="false">IF(D128="totale",(C128/(A128*24))/F128,IF(D128="marché libre",(C128/(A128*24))/G128,"spécifier histo"))</f>
        <v>0.129365384615385</v>
      </c>
      <c r="F128" s="9" t="n">
        <v>1300</v>
      </c>
      <c r="G128" s="57" t="n">
        <f aca="false">F128-H128</f>
        <v>900</v>
      </c>
      <c r="H128" s="41" t="n">
        <v>400</v>
      </c>
      <c r="I128" s="471" t="n">
        <v>41579</v>
      </c>
      <c r="J128" s="307" t="s">
        <v>425</v>
      </c>
    </row>
    <row r="129" customFormat="false" ht="19.65" hidden="false" customHeight="true" outlineLevel="0" collapsed="false">
      <c r="A129" s="0" t="n">
        <v>31</v>
      </c>
      <c r="B129" s="34" t="n">
        <v>41609</v>
      </c>
      <c r="C129" s="1" t="n">
        <f aca="false">M162+P162</f>
        <v>142504</v>
      </c>
      <c r="D129" s="29" t="s">
        <v>41</v>
      </c>
      <c r="E129" s="33" t="n">
        <f aca="false">IF(D129="totale",(C129/(A129*24))/F129,IF(D129="marché libre",(C129/(A129*24))/G129,"spécifier histo"))</f>
        <v>0.147336641852771</v>
      </c>
      <c r="F129" s="9" t="n">
        <v>1300</v>
      </c>
      <c r="G129" s="57" t="n">
        <f aca="false">F129-H129</f>
        <v>900</v>
      </c>
      <c r="H129" s="9" t="n">
        <v>400</v>
      </c>
      <c r="I129" s="9"/>
      <c r="J129" s="30"/>
    </row>
    <row r="130" customFormat="false" ht="18.95" hidden="false" customHeight="true" outlineLevel="0" collapsed="false">
      <c r="A130" s="0" t="n">
        <v>31</v>
      </c>
      <c r="B130" s="31" t="n">
        <v>41640</v>
      </c>
      <c r="C130" s="1" t="n">
        <f aca="false">M171+P171</f>
        <v>631576</v>
      </c>
      <c r="D130" s="29" t="s">
        <v>41</v>
      </c>
      <c r="E130" s="33" t="n">
        <f aca="false">IF(D130="totale",(C130/(A130*24))/F130,IF(D130="marché libre",(C130/(A130*24))/G130,"spécifier histo"))</f>
        <v>0.652994210090984</v>
      </c>
      <c r="F130" s="9" t="n">
        <v>1300</v>
      </c>
      <c r="G130" s="57" t="n">
        <f aca="false">F130-H130</f>
        <v>900</v>
      </c>
      <c r="H130" s="9" t="n">
        <v>400</v>
      </c>
      <c r="I130" s="9"/>
      <c r="J130" s="30"/>
    </row>
    <row r="131" customFormat="false" ht="18.95" hidden="false" customHeight="true" outlineLevel="0" collapsed="false">
      <c r="A131" s="0" t="n">
        <v>28</v>
      </c>
      <c r="B131" s="34" t="n">
        <v>41671</v>
      </c>
      <c r="C131" s="1" t="n">
        <f aca="false">M172+P172</f>
        <v>808916</v>
      </c>
      <c r="D131" s="29" t="s">
        <v>41</v>
      </c>
      <c r="E131" s="33" t="n">
        <f aca="false">IF(D131="totale",(C131/(A131*24))/F131,IF(D131="marché libre",(C131/(A131*24))/G131,"spécifier histo"))</f>
        <v>0.92595695970696</v>
      </c>
      <c r="F131" s="9" t="n">
        <v>1300</v>
      </c>
      <c r="G131" s="57" t="n">
        <f aca="false">F131-H131</f>
        <v>900</v>
      </c>
      <c r="H131" s="9" t="n">
        <v>400</v>
      </c>
      <c r="I131" s="9"/>
      <c r="J131" s="30"/>
    </row>
    <row r="132" customFormat="false" ht="18.95" hidden="false" customHeight="true" outlineLevel="0" collapsed="false">
      <c r="A132" s="0" t="n">
        <v>31</v>
      </c>
      <c r="B132" s="31" t="n">
        <v>41699</v>
      </c>
      <c r="C132" s="1" t="n">
        <f aca="false">M173+P173</f>
        <v>536314</v>
      </c>
      <c r="D132" s="29" t="s">
        <v>41</v>
      </c>
      <c r="E132" s="33" t="n">
        <f aca="false">IF(D132="totale",(C132/(A132*24))/F132,IF(D132="marché libre",(C132/(A132*24))/G132,"spécifier histo"))</f>
        <v>0.554501654259719</v>
      </c>
      <c r="F132" s="9" t="n">
        <v>1300</v>
      </c>
      <c r="G132" s="57" t="n">
        <f aca="false">F132-H132</f>
        <v>900</v>
      </c>
      <c r="H132" s="9" t="n">
        <v>400</v>
      </c>
      <c r="I132" s="9"/>
      <c r="J132" s="30"/>
    </row>
    <row r="133" customFormat="false" ht="18.95" hidden="false" customHeight="true" outlineLevel="0" collapsed="false">
      <c r="A133" s="0" t="n">
        <v>30</v>
      </c>
      <c r="B133" s="34" t="n">
        <v>41730</v>
      </c>
      <c r="C133" s="1" t="n">
        <f aca="false">M174+P174</f>
        <v>252079</v>
      </c>
      <c r="D133" s="29" t="s">
        <v>41</v>
      </c>
      <c r="E133" s="33" t="n">
        <f aca="false">IF(D133="totale",(C133/(A133*24))/F133,IF(D133="marché libre",(C133/(A133*24))/G133,"spécifier histo"))</f>
        <v>0.269315170940171</v>
      </c>
      <c r="F133" s="9" t="n">
        <v>1300</v>
      </c>
      <c r="G133" s="57" t="n">
        <f aca="false">F133-H133</f>
        <v>900</v>
      </c>
      <c r="H133" s="9" t="n">
        <v>400</v>
      </c>
      <c r="I133" s="9"/>
      <c r="J133" s="30"/>
    </row>
    <row r="134" customFormat="false" ht="18.95" hidden="false" customHeight="true" outlineLevel="0" collapsed="false">
      <c r="A134" s="0" t="n">
        <v>31</v>
      </c>
      <c r="B134" s="31" t="n">
        <v>41760</v>
      </c>
      <c r="C134" s="1" t="n">
        <f aca="false">M175+P175</f>
        <v>137346</v>
      </c>
      <c r="D134" s="29" t="s">
        <v>41</v>
      </c>
      <c r="E134" s="33" t="n">
        <f aca="false">IF(D134="totale",(C134/(A134*24))/F134,IF(D134="marché libre",(C134/(A134*24))/G134,"spécifier histo"))</f>
        <v>0.142003722084367</v>
      </c>
      <c r="F134" s="9" t="n">
        <v>1300</v>
      </c>
      <c r="G134" s="57" t="n">
        <f aca="false">F134-H134</f>
        <v>900</v>
      </c>
      <c r="H134" s="9" t="n">
        <v>400</v>
      </c>
      <c r="I134" s="9"/>
      <c r="J134" s="30"/>
    </row>
    <row r="135" customFormat="false" ht="18.95" hidden="false" customHeight="true" outlineLevel="0" collapsed="false">
      <c r="A135" s="0" t="n">
        <v>30</v>
      </c>
      <c r="B135" s="34" t="n">
        <v>41791</v>
      </c>
      <c r="C135" s="1" t="n">
        <f aca="false">M176+P176</f>
        <v>5201</v>
      </c>
      <c r="D135" s="29" t="s">
        <v>41</v>
      </c>
      <c r="E135" s="33" t="n">
        <f aca="false">IF(D135="totale",(C135/(A135*24))/F135,IF(D135="marché libre",(C135/(A135*24))/G135,"spécifier histo"))</f>
        <v>0.00555662393162393</v>
      </c>
      <c r="F135" s="9" t="n">
        <v>1300</v>
      </c>
      <c r="G135" s="57" t="n">
        <f aca="false">F135-H135</f>
        <v>900</v>
      </c>
      <c r="H135" s="9" t="n">
        <v>400</v>
      </c>
      <c r="I135" s="9"/>
      <c r="J135" s="30"/>
    </row>
    <row r="136" customFormat="false" ht="18.95" hidden="false" customHeight="true" outlineLevel="0" collapsed="false">
      <c r="A136" s="0" t="n">
        <v>31</v>
      </c>
      <c r="B136" s="31" t="n">
        <v>41821</v>
      </c>
      <c r="C136" s="1" t="n">
        <f aca="false">M177+P177</f>
        <v>416</v>
      </c>
      <c r="D136" s="29" t="s">
        <v>41</v>
      </c>
      <c r="E136" s="33" t="n">
        <f aca="false">IF(D136="totale",(C136/(A136*24))/F136,IF(D136="marché libre",(C136/(A136*24))/G136,"spécifier histo"))</f>
        <v>0.00043010752688172</v>
      </c>
      <c r="F136" s="9" t="n">
        <v>1300</v>
      </c>
      <c r="G136" s="57" t="n">
        <f aca="false">F136-H136</f>
        <v>900</v>
      </c>
      <c r="H136" s="9" t="n">
        <v>400</v>
      </c>
      <c r="I136" s="9"/>
      <c r="J136" s="30"/>
    </row>
    <row r="137" customFormat="false" ht="18.95" hidden="false" customHeight="true" outlineLevel="0" collapsed="false">
      <c r="A137" s="0" t="n">
        <v>31</v>
      </c>
      <c r="B137" s="34" t="n">
        <v>41852</v>
      </c>
      <c r="C137" s="1" t="n">
        <f aca="false">M178+P178</f>
        <v>440</v>
      </c>
      <c r="D137" s="29" t="s">
        <v>41</v>
      </c>
      <c r="E137" s="33" t="n">
        <f aca="false">IF(D137="totale",(C137/(A137*24))/F137,IF(D137="marché libre",(C137/(A137*24))/G137,"spécifier histo"))</f>
        <v>0.000454921422663358</v>
      </c>
      <c r="F137" s="9" t="n">
        <v>1300</v>
      </c>
      <c r="G137" s="57" t="n">
        <f aca="false">F137-H137</f>
        <v>900</v>
      </c>
      <c r="H137" s="9" t="n">
        <v>400</v>
      </c>
      <c r="I137" s="9"/>
      <c r="J137" s="30"/>
    </row>
    <row r="138" customFormat="false" ht="18.95" hidden="false" customHeight="true" outlineLevel="0" collapsed="false">
      <c r="A138" s="0" t="n">
        <v>30</v>
      </c>
      <c r="B138" s="31" t="n">
        <v>41883</v>
      </c>
      <c r="C138" s="1" t="n">
        <f aca="false">M179+P179</f>
        <v>427</v>
      </c>
      <c r="D138" s="29" t="s">
        <v>41</v>
      </c>
      <c r="E138" s="33" t="n">
        <f aca="false">IF(D138="totale",(C138/(A138*24))/F138,IF(D138="marché libre",(C138/(A138*24))/G138,"spécifier histo"))</f>
        <v>0.000456196581196581</v>
      </c>
      <c r="F138" s="9" t="n">
        <v>1300</v>
      </c>
      <c r="G138" s="57" t="n">
        <f aca="false">F138-H138</f>
        <v>900</v>
      </c>
      <c r="H138" s="9" t="n">
        <v>400</v>
      </c>
      <c r="I138" s="9"/>
      <c r="J138" s="30"/>
    </row>
    <row r="139" customFormat="false" ht="18.95" hidden="false" customHeight="true" outlineLevel="0" collapsed="false">
      <c r="A139" s="0" t="n">
        <v>31</v>
      </c>
      <c r="B139" s="34" t="n">
        <v>41913</v>
      </c>
      <c r="C139" s="1" t="n">
        <f aca="false">M180+P180</f>
        <v>10044</v>
      </c>
      <c r="D139" s="29" t="s">
        <v>41</v>
      </c>
      <c r="E139" s="33" t="n">
        <f aca="false">IF(D139="totale",(C139/(A139*24))/F139,IF(D139="marché libre",(C139/(A139*24))/G139,"spécifier histo"))</f>
        <v>0.0103846153846154</v>
      </c>
      <c r="F139" s="9" t="n">
        <v>1300</v>
      </c>
      <c r="G139" s="57" t="n">
        <f aca="false">F139-H139</f>
        <v>900</v>
      </c>
      <c r="H139" s="9" t="n">
        <v>400</v>
      </c>
      <c r="I139" s="9"/>
      <c r="J139" s="30"/>
    </row>
    <row r="140" customFormat="false" ht="18.95" hidden="false" customHeight="true" outlineLevel="0" collapsed="false">
      <c r="A140" s="0" t="n">
        <v>30</v>
      </c>
      <c r="B140" s="31" t="n">
        <v>41944</v>
      </c>
      <c r="C140" s="1" t="n">
        <f aca="false">M181+P181</f>
        <v>0</v>
      </c>
      <c r="D140" s="29" t="s">
        <v>41</v>
      </c>
      <c r="E140" s="33" t="n">
        <f aca="false">IF(D140="totale",(C140/(A140*24))/F140,IF(D140="marché libre",(C140/(A140*24))/G140,"spécifier histo"))</f>
        <v>0</v>
      </c>
      <c r="F140" s="9" t="n">
        <v>1300</v>
      </c>
      <c r="G140" s="57" t="n">
        <f aca="false">F140-H140</f>
        <v>900</v>
      </c>
      <c r="H140" s="9" t="n">
        <v>400</v>
      </c>
      <c r="I140" s="9"/>
      <c r="J140" s="30"/>
    </row>
    <row r="141" customFormat="false" ht="18.95" hidden="false" customHeight="true" outlineLevel="0" collapsed="false">
      <c r="A141" s="0" t="n">
        <v>31</v>
      </c>
      <c r="B141" s="34" t="n">
        <v>41974</v>
      </c>
      <c r="C141" s="1" t="n">
        <f aca="false">M182+P182</f>
        <v>0</v>
      </c>
      <c r="D141" s="29" t="s">
        <v>41</v>
      </c>
      <c r="E141" s="33" t="n">
        <f aca="false">IF(D141="totale",(C141/(A141*24))/F141,IF(D141="marché libre",(C141/(A141*24))/G141,"spécifier histo"))</f>
        <v>0</v>
      </c>
      <c r="F141" s="9" t="n">
        <v>1300</v>
      </c>
      <c r="G141" s="57" t="n">
        <f aca="false">F141-H141</f>
        <v>900</v>
      </c>
      <c r="H141" s="9" t="n">
        <v>400</v>
      </c>
      <c r="I141" s="9"/>
      <c r="J141" s="30"/>
    </row>
    <row r="142" customFormat="false" ht="19.85" hidden="false" customHeight="true" outlineLevel="0" collapsed="false">
      <c r="A142" s="0" t="n">
        <v>31</v>
      </c>
      <c r="B142" s="31" t="n">
        <v>42005</v>
      </c>
      <c r="C142" s="309" t="n">
        <v>18260</v>
      </c>
      <c r="D142" s="232" t="s">
        <v>42</v>
      </c>
      <c r="E142" s="118" t="n">
        <f aca="false">IF(D142="totale",(C142/(A142*24))/F142,IF(D142="marché libre",(C142/(A142*24))/G142,"spécifier histo"))</f>
        <v>0.0272700119474313</v>
      </c>
      <c r="F142" s="339" t="n">
        <v>1300</v>
      </c>
      <c r="G142" s="232" t="n">
        <f aca="false">F142-H142</f>
        <v>900</v>
      </c>
      <c r="H142" s="339" t="n">
        <v>400</v>
      </c>
      <c r="J142" s="55"/>
      <c r="L142" s="0"/>
    </row>
    <row r="143" customFormat="false" ht="19.85" hidden="false" customHeight="true" outlineLevel="0" collapsed="false">
      <c r="A143" s="0" t="n">
        <v>28</v>
      </c>
      <c r="B143" s="34" t="n">
        <v>42036</v>
      </c>
      <c r="C143" s="56" t="n">
        <v>48745</v>
      </c>
      <c r="D143" s="57" t="s">
        <v>42</v>
      </c>
      <c r="E143" s="33" t="n">
        <f aca="false">IF(D143="totale",(C143/(A143*24))/F143,IF(D143="marché libre",(C143/(A143*24))/G143,"spécifier histo"))</f>
        <v>0.0805968915343915</v>
      </c>
      <c r="F143" s="9" t="n">
        <v>1300</v>
      </c>
      <c r="G143" s="59" t="n">
        <f aca="false">F143-H143</f>
        <v>900</v>
      </c>
      <c r="H143" s="9" t="n">
        <v>400</v>
      </c>
      <c r="J143" s="55"/>
      <c r="L143" s="0"/>
    </row>
    <row r="144" customFormat="false" ht="19.85" hidden="false" customHeight="true" outlineLevel="0" collapsed="false">
      <c r="A144" s="0" t="n">
        <v>31</v>
      </c>
      <c r="B144" s="31" t="n">
        <v>42064</v>
      </c>
      <c r="C144" s="56" t="n">
        <v>204257</v>
      </c>
      <c r="D144" s="57" t="s">
        <v>42</v>
      </c>
      <c r="E144" s="33" t="n">
        <f aca="false">IF(D144="totale",(C144/(A144*24))/F144,IF(D144="marché libre",(C144/(A144*24))/G144,"spécifier histo"))</f>
        <v>0.305043309438471</v>
      </c>
      <c r="F144" s="9" t="n">
        <v>1300</v>
      </c>
      <c r="G144" s="59" t="n">
        <f aca="false">F144-H144</f>
        <v>900</v>
      </c>
      <c r="H144" s="9" t="n">
        <v>400</v>
      </c>
      <c r="J144" s="55"/>
      <c r="L144" s="0"/>
    </row>
    <row r="145" customFormat="false" ht="19.85" hidden="false" customHeight="true" outlineLevel="0" collapsed="false">
      <c r="A145" s="0" t="n">
        <v>30</v>
      </c>
      <c r="B145" s="34" t="n">
        <v>42095</v>
      </c>
      <c r="C145" s="56" t="n">
        <v>24900</v>
      </c>
      <c r="D145" s="57" t="s">
        <v>42</v>
      </c>
      <c r="E145" s="33" t="n">
        <f aca="false">IF(D145="totale",(C145/(A145*24))/F145,IF(D145="marché libre",(C145/(A145*24))/G145,"spécifier histo"))</f>
        <v>0.0384259259259259</v>
      </c>
      <c r="F145" s="9" t="n">
        <v>1300</v>
      </c>
      <c r="G145" s="59" t="n">
        <f aca="false">F145-H145</f>
        <v>900</v>
      </c>
      <c r="H145" s="9" t="n">
        <v>400</v>
      </c>
      <c r="J145" s="55"/>
      <c r="L145" s="0"/>
    </row>
    <row r="146" customFormat="false" ht="19.85" hidden="false" customHeight="true" outlineLevel="0" collapsed="false">
      <c r="A146" s="0" t="n">
        <v>31</v>
      </c>
      <c r="B146" s="31" t="n">
        <v>42125</v>
      </c>
      <c r="C146" s="56" t="n">
        <v>251</v>
      </c>
      <c r="D146" s="57" t="s">
        <v>42</v>
      </c>
      <c r="E146" s="33" t="n">
        <f aca="false">IF(D146="totale",(C146/(A146*24))/F146,IF(D146="marché libre",(C146/(A146*24))/G146,"spécifier histo"))</f>
        <v>0.000374850657108722</v>
      </c>
      <c r="F146" s="9" t="n">
        <v>1300</v>
      </c>
      <c r="G146" s="59" t="n">
        <f aca="false">F146-H146</f>
        <v>900</v>
      </c>
      <c r="H146" s="9" t="n">
        <v>400</v>
      </c>
      <c r="J146" s="55"/>
      <c r="K146" s="346"/>
      <c r="L146" s="0"/>
    </row>
    <row r="147" customFormat="false" ht="19.85" hidden="false" customHeight="true" outlineLevel="0" collapsed="false">
      <c r="A147" s="0" t="n">
        <v>30</v>
      </c>
      <c r="B147" s="34" t="n">
        <v>42156</v>
      </c>
      <c r="C147" s="56" t="n">
        <v>337</v>
      </c>
      <c r="D147" s="57" t="s">
        <v>42</v>
      </c>
      <c r="E147" s="33" t="n">
        <f aca="false">IF(D147="totale",(C147/(A147*24))/F147,IF(D147="marché libre",(C147/(A147*24))/G147,"spécifier histo"))</f>
        <v>0.000520061728395062</v>
      </c>
      <c r="F147" s="9" t="n">
        <v>1300</v>
      </c>
      <c r="G147" s="59" t="n">
        <f aca="false">F147-H147</f>
        <v>900</v>
      </c>
      <c r="H147" s="9" t="n">
        <v>400</v>
      </c>
      <c r="J147" s="55"/>
      <c r="L147" s="43"/>
      <c r="M147" s="43"/>
      <c r="N147" s="43"/>
      <c r="O147" s="36"/>
      <c r="P147" s="36"/>
      <c r="Q147" s="36"/>
      <c r="R147" s="36"/>
    </row>
    <row r="148" customFormat="false" ht="19.85" hidden="false" customHeight="true" outlineLevel="0" collapsed="false">
      <c r="A148" s="0" t="n">
        <v>31</v>
      </c>
      <c r="B148" s="31" t="n">
        <v>42186</v>
      </c>
      <c r="C148" s="56" t="n">
        <v>405</v>
      </c>
      <c r="D148" s="57" t="s">
        <v>42</v>
      </c>
      <c r="E148" s="33" t="n">
        <f aca="false">IF(D148="totale",(C148/(A148*24))/F148,IF(D148="marché libre",(C148/(A148*24))/G148,"spécifier histo"))</f>
        <v>0.000604838709677419</v>
      </c>
      <c r="F148" s="9" t="n">
        <v>1300</v>
      </c>
      <c r="G148" s="59" t="n">
        <f aca="false">F148-H148</f>
        <v>900</v>
      </c>
      <c r="H148" s="9" t="n">
        <v>400</v>
      </c>
      <c r="J148" s="55"/>
      <c r="L148" s="472"/>
      <c r="M148" s="77" t="s">
        <v>72</v>
      </c>
      <c r="N148" s="77"/>
      <c r="O148" s="45"/>
      <c r="P148" s="78" t="s">
        <v>73</v>
      </c>
      <c r="Q148" s="78"/>
      <c r="R148" s="36"/>
    </row>
    <row r="149" customFormat="false" ht="19.85" hidden="false" customHeight="true" outlineLevel="0" collapsed="false">
      <c r="A149" s="0" t="n">
        <v>31</v>
      </c>
      <c r="B149" s="34" t="n">
        <v>42217</v>
      </c>
      <c r="C149" s="56" t="n">
        <v>404</v>
      </c>
      <c r="D149" s="57" t="s">
        <v>42</v>
      </c>
      <c r="E149" s="33" t="n">
        <f aca="false">IF(D149="totale",(C149/(A149*24))/F149,IF(D149="marché libre",(C149/(A149*24))/G149,"spécifier histo"))</f>
        <v>0.000603345280764636</v>
      </c>
      <c r="F149" s="9" t="n">
        <v>1300</v>
      </c>
      <c r="G149" s="59" t="n">
        <f aca="false">F149-H149</f>
        <v>900</v>
      </c>
      <c r="H149" s="9" t="n">
        <v>400</v>
      </c>
      <c r="J149" s="55"/>
      <c r="L149" s="79" t="s">
        <v>74</v>
      </c>
      <c r="M149" s="80" t="s">
        <v>75</v>
      </c>
      <c r="N149" s="81" t="s">
        <v>76</v>
      </c>
      <c r="O149" s="36"/>
      <c r="P149" s="80" t="s">
        <v>75</v>
      </c>
      <c r="Q149" s="81" t="s">
        <v>76</v>
      </c>
      <c r="R149" s="36"/>
    </row>
    <row r="150" customFormat="false" ht="19.85" hidden="false" customHeight="true" outlineLevel="0" collapsed="false">
      <c r="A150" s="0" t="n">
        <v>30</v>
      </c>
      <c r="B150" s="31" t="n">
        <v>42248</v>
      </c>
      <c r="C150" s="56" t="n">
        <v>600</v>
      </c>
      <c r="D150" s="57" t="s">
        <v>42</v>
      </c>
      <c r="E150" s="33" t="n">
        <f aca="false">IF(D150="totale",(C150/(A150*24))/F150,IF(D150="marché libre",(C150/(A150*24))/G150,"spécifier histo"))</f>
        <v>0.000925925925925926</v>
      </c>
      <c r="F150" s="9" t="n">
        <v>1300</v>
      </c>
      <c r="G150" s="59" t="n">
        <f aca="false">F150-H150</f>
        <v>900</v>
      </c>
      <c r="H150" s="9" t="n">
        <v>400</v>
      </c>
      <c r="J150" s="55"/>
      <c r="L150" s="82"/>
      <c r="M150" s="83"/>
      <c r="N150" s="84"/>
      <c r="O150" s="36"/>
      <c r="P150" s="83"/>
      <c r="Q150" s="84"/>
      <c r="R150" s="36"/>
    </row>
    <row r="151" customFormat="false" ht="19.85" hidden="false" customHeight="true" outlineLevel="0" collapsed="false">
      <c r="A151" s="0" t="n">
        <v>31</v>
      </c>
      <c r="B151" s="34" t="n">
        <v>42278</v>
      </c>
      <c r="C151" s="56" t="n">
        <v>0</v>
      </c>
      <c r="D151" s="57" t="s">
        <v>42</v>
      </c>
      <c r="E151" s="33" t="n">
        <f aca="false">IF(D151="totale",(C151/(A151*24))/F151,IF(D151="marché libre",(C151/(A151*24))/G151,"spécifier histo"))</f>
        <v>0</v>
      </c>
      <c r="F151" s="9" t="n">
        <v>1300</v>
      </c>
      <c r="G151" s="59" t="n">
        <f aca="false">F151-H151</f>
        <v>900</v>
      </c>
      <c r="H151" s="9" t="n">
        <v>400</v>
      </c>
      <c r="J151" s="55"/>
      <c r="L151" s="473" t="s">
        <v>881</v>
      </c>
      <c r="M151" s="86" t="n">
        <v>0</v>
      </c>
      <c r="N151" s="86" t="n">
        <v>0</v>
      </c>
      <c r="O151" s="36"/>
      <c r="P151" s="86"/>
      <c r="Q151" s="86"/>
      <c r="R151" s="36"/>
      <c r="S151" s="0"/>
    </row>
    <row r="152" customFormat="false" ht="19.85" hidden="false" customHeight="true" outlineLevel="0" collapsed="false">
      <c r="A152" s="0" t="n">
        <v>30</v>
      </c>
      <c r="B152" s="31" t="n">
        <v>42309</v>
      </c>
      <c r="C152" s="56" t="n">
        <v>85</v>
      </c>
      <c r="D152" s="57" t="s">
        <v>42</v>
      </c>
      <c r="E152" s="33" t="n">
        <f aca="false">IF(D152="totale",(C152/(A152*24))/F152,IF(D152="marché libre",(C152/(A152*24))/G152,"spécifier histo"))</f>
        <v>0.000131172839506173</v>
      </c>
      <c r="F152" s="9" t="n">
        <v>1300</v>
      </c>
      <c r="G152" s="59" t="n">
        <f aca="false">F152-H152</f>
        <v>900</v>
      </c>
      <c r="H152" s="9" t="n">
        <v>400</v>
      </c>
      <c r="J152" s="55"/>
      <c r="L152" s="85" t="s">
        <v>78</v>
      </c>
      <c r="M152" s="86" t="n">
        <v>91770</v>
      </c>
      <c r="N152" s="86" t="n">
        <v>4432</v>
      </c>
      <c r="O152" s="36"/>
      <c r="P152" s="86"/>
      <c r="Q152" s="86"/>
      <c r="R152" s="36"/>
      <c r="S152" s="0"/>
    </row>
    <row r="153" customFormat="false" ht="19.85" hidden="false" customHeight="true" outlineLevel="0" collapsed="false">
      <c r="A153" s="0" t="n">
        <v>31</v>
      </c>
      <c r="B153" s="34" t="n">
        <v>42339</v>
      </c>
      <c r="C153" s="56" t="n">
        <v>167</v>
      </c>
      <c r="D153" s="57" t="s">
        <v>42</v>
      </c>
      <c r="E153" s="33" t="n">
        <f aca="false">IF(D153="totale",(C153/(A153*24))/F153,IF(D153="marché libre",(C153/(A153*24))/G153,"spécifier histo"))</f>
        <v>0.000249402628434886</v>
      </c>
      <c r="F153" s="9" t="n">
        <v>1300</v>
      </c>
      <c r="G153" s="59" t="n">
        <f aca="false">F153-H153</f>
        <v>900</v>
      </c>
      <c r="H153" s="9" t="n">
        <v>400</v>
      </c>
      <c r="J153" s="55"/>
      <c r="L153" s="474" t="s">
        <v>882</v>
      </c>
      <c r="M153" s="86" t="n">
        <v>689486</v>
      </c>
      <c r="N153" s="86" t="n">
        <v>27304</v>
      </c>
      <c r="O153" s="36"/>
      <c r="P153" s="86"/>
      <c r="Q153" s="86"/>
      <c r="R153" s="36"/>
      <c r="S153" s="0"/>
    </row>
    <row r="154" customFormat="false" ht="19.85" hidden="false" customHeight="true" outlineLevel="0" collapsed="false">
      <c r="A154" s="0" t="n">
        <v>31</v>
      </c>
      <c r="B154" s="31" t="n">
        <v>42370</v>
      </c>
      <c r="C154" s="56" t="n">
        <v>63397</v>
      </c>
      <c r="D154" s="57" t="s">
        <v>42</v>
      </c>
      <c r="E154" s="33" t="n">
        <f aca="false">IF(D154="totale",(C154/(A154*24))/F154,IF(D154="marché libre",(C154/(A154*24))/G154,"spécifier histo"))</f>
        <v>0.0946789127837515</v>
      </c>
      <c r="F154" s="9" t="n">
        <v>1300</v>
      </c>
      <c r="G154" s="59" t="n">
        <f aca="false">F154-H154</f>
        <v>900</v>
      </c>
      <c r="H154" s="9" t="n">
        <v>400</v>
      </c>
      <c r="J154" s="55"/>
      <c r="L154" s="474" t="s">
        <v>883</v>
      </c>
      <c r="M154" s="86" t="n">
        <v>814165</v>
      </c>
      <c r="N154" s="86" t="n">
        <v>31671</v>
      </c>
      <c r="O154" s="36"/>
      <c r="P154" s="86"/>
      <c r="Q154" s="86"/>
      <c r="R154" s="36"/>
      <c r="S154" s="0"/>
    </row>
    <row r="155" customFormat="false" ht="19.85" hidden="false" customHeight="true" outlineLevel="0" collapsed="false">
      <c r="A155" s="0" t="n">
        <v>28</v>
      </c>
      <c r="B155" s="34" t="n">
        <v>42401</v>
      </c>
      <c r="C155" s="56" t="n">
        <v>293793</v>
      </c>
      <c r="D155" s="57" t="s">
        <v>42</v>
      </c>
      <c r="E155" s="33" t="n">
        <f aca="false">IF(D155="totale",(C155/(A155*24))/F155,IF(D155="marché libre",(C155/(A155*24))/G155,"spécifier histo"))</f>
        <v>0.485768849206349</v>
      </c>
      <c r="F155" s="9" t="n">
        <v>1300</v>
      </c>
      <c r="G155" s="59" t="n">
        <f aca="false">F155-H155</f>
        <v>900</v>
      </c>
      <c r="H155" s="9" t="n">
        <v>400</v>
      </c>
      <c r="J155" s="55"/>
      <c r="L155" s="473" t="s">
        <v>884</v>
      </c>
      <c r="M155" s="86" t="n">
        <v>338258</v>
      </c>
      <c r="N155" s="86" t="n">
        <v>10993</v>
      </c>
      <c r="O155" s="36"/>
      <c r="P155" s="86"/>
      <c r="Q155" s="86"/>
      <c r="R155" s="36"/>
      <c r="S155" s="0"/>
    </row>
    <row r="156" customFormat="false" ht="19.85" hidden="false" customHeight="true" outlineLevel="0" collapsed="false">
      <c r="A156" s="0" t="n">
        <v>31</v>
      </c>
      <c r="B156" s="31" t="n">
        <v>42430</v>
      </c>
      <c r="C156" s="56" t="n">
        <v>348693</v>
      </c>
      <c r="D156" s="57" t="s">
        <v>42</v>
      </c>
      <c r="E156" s="33" t="n">
        <f aca="false">IF(D156="totale",(C156/(A156*24))/F156,IF(D156="marché libre",(C156/(A156*24))/G156,"spécifier histo"))</f>
        <v>0.520748207885305</v>
      </c>
      <c r="F156" s="9" t="n">
        <v>1300</v>
      </c>
      <c r="G156" s="59" t="n">
        <f aca="false">F156-H156</f>
        <v>900</v>
      </c>
      <c r="H156" s="9" t="n">
        <v>400</v>
      </c>
      <c r="J156" s="55"/>
      <c r="L156" s="473" t="s">
        <v>885</v>
      </c>
      <c r="M156" s="86" t="n">
        <v>364578</v>
      </c>
      <c r="N156" s="86" t="n">
        <v>9515</v>
      </c>
      <c r="O156" s="36"/>
      <c r="P156" s="86"/>
      <c r="Q156" s="86"/>
      <c r="R156" s="36"/>
      <c r="S156" s="0"/>
    </row>
    <row r="157" customFormat="false" ht="19.85" hidden="false" customHeight="true" outlineLevel="0" collapsed="false">
      <c r="A157" s="0" t="n">
        <v>30</v>
      </c>
      <c r="B157" s="34" t="n">
        <v>42461</v>
      </c>
      <c r="C157" s="56" t="n">
        <v>297488</v>
      </c>
      <c r="D157" s="57" t="s">
        <v>42</v>
      </c>
      <c r="E157" s="33" t="n">
        <f aca="false">IF(D157="totale",(C157/(A157*24))/F157,IF(D157="marché libre",(C157/(A157*24))/G157,"spécifier histo"))</f>
        <v>0.459086419753086</v>
      </c>
      <c r="F157" s="9" t="n">
        <v>1300</v>
      </c>
      <c r="G157" s="59" t="n">
        <f aca="false">F157-H157</f>
        <v>900</v>
      </c>
      <c r="H157" s="9" t="n">
        <v>400</v>
      </c>
      <c r="J157" s="55"/>
      <c r="L157" s="473" t="s">
        <v>886</v>
      </c>
      <c r="M157" s="86" t="n">
        <v>79734</v>
      </c>
      <c r="N157" s="86" t="n">
        <v>1882</v>
      </c>
      <c r="O157" s="36"/>
      <c r="P157" s="86"/>
      <c r="Q157" s="86"/>
      <c r="R157" s="36"/>
      <c r="S157" s="0"/>
    </row>
    <row r="158" customFormat="false" ht="19.85" hidden="false" customHeight="true" outlineLevel="0" collapsed="false">
      <c r="A158" s="0" t="n">
        <v>31</v>
      </c>
      <c r="B158" s="31" t="n">
        <v>42491</v>
      </c>
      <c r="C158" s="56" t="n">
        <v>108678</v>
      </c>
      <c r="D158" s="57" t="s">
        <v>42</v>
      </c>
      <c r="E158" s="33" t="n">
        <f aca="false">IF(D158="totale",(C158/(A158*24))/F158,IF(D158="marché libre",(C158/(A158*24))/G158,"spécifier histo"))</f>
        <v>0.162302867383513</v>
      </c>
      <c r="F158" s="9" t="n">
        <v>1300</v>
      </c>
      <c r="G158" s="59" t="n">
        <f aca="false">F158-H158</f>
        <v>900</v>
      </c>
      <c r="H158" s="9" t="n">
        <v>400</v>
      </c>
      <c r="J158" s="55"/>
      <c r="K158" s="63"/>
      <c r="L158" s="473" t="s">
        <v>887</v>
      </c>
      <c r="M158" s="86" t="n">
        <v>504</v>
      </c>
      <c r="N158" s="86" t="n">
        <v>12</v>
      </c>
      <c r="O158" s="36"/>
      <c r="P158" s="86"/>
      <c r="Q158" s="86"/>
      <c r="R158" s="36"/>
      <c r="S158" s="0"/>
    </row>
    <row r="159" customFormat="false" ht="19.85" hidden="false" customHeight="true" outlineLevel="0" collapsed="false">
      <c r="A159" s="0" t="n">
        <v>30</v>
      </c>
      <c r="B159" s="34" t="n">
        <v>42522</v>
      </c>
      <c r="C159" s="56" t="n">
        <v>62664</v>
      </c>
      <c r="D159" s="57" t="s">
        <v>42</v>
      </c>
      <c r="E159" s="33" t="n">
        <f aca="false">IF(D159="totale",(C159/(A159*24))/F159,IF(D159="marché libre",(C159/(A159*24))/G159,"spécifier histo"))</f>
        <v>0.0967037037037037</v>
      </c>
      <c r="F159" s="9" t="n">
        <v>1300</v>
      </c>
      <c r="G159" s="58" t="n">
        <f aca="false">F159-H159</f>
        <v>900</v>
      </c>
      <c r="H159" s="9" t="n">
        <v>400</v>
      </c>
      <c r="I159" s="58"/>
      <c r="J159" s="55"/>
      <c r="K159" s="63"/>
      <c r="L159" s="474" t="s">
        <v>888</v>
      </c>
      <c r="M159" s="86" t="n">
        <v>475</v>
      </c>
      <c r="N159" s="86" t="n">
        <v>16</v>
      </c>
      <c r="O159" s="36"/>
      <c r="P159" s="86"/>
      <c r="Q159" s="86"/>
      <c r="R159" s="36"/>
      <c r="S159" s="0"/>
    </row>
    <row r="160" customFormat="false" ht="19.85" hidden="false" customHeight="true" outlineLevel="0" collapsed="false">
      <c r="A160" s="0" t="n">
        <v>31</v>
      </c>
      <c r="B160" s="31" t="n">
        <v>42552</v>
      </c>
      <c r="C160" s="56" t="n">
        <v>675</v>
      </c>
      <c r="D160" s="57" t="s">
        <v>42</v>
      </c>
      <c r="E160" s="33" t="n">
        <f aca="false">IF(D160="totale",(C160/(A160*24))/F160,IF(D160="marché libre",(C160/(A160*24))/G160,"spécifier histo"))</f>
        <v>0.00100806451612903</v>
      </c>
      <c r="F160" s="9" t="n">
        <v>1300</v>
      </c>
      <c r="G160" s="58" t="n">
        <f aca="false">F160-H160</f>
        <v>900</v>
      </c>
      <c r="H160" s="9" t="n">
        <v>400</v>
      </c>
      <c r="I160" s="58"/>
      <c r="J160" s="55"/>
      <c r="K160" s="63"/>
      <c r="L160" s="473" t="s">
        <v>889</v>
      </c>
      <c r="M160" s="86" t="n">
        <v>794</v>
      </c>
      <c r="N160" s="86" t="n">
        <v>35</v>
      </c>
      <c r="O160" s="36"/>
      <c r="P160" s="86"/>
      <c r="Q160" s="86"/>
      <c r="R160" s="36"/>
      <c r="S160" s="0"/>
    </row>
    <row r="161" customFormat="false" ht="19.85" hidden="false" customHeight="true" outlineLevel="0" collapsed="false">
      <c r="A161" s="0" t="n">
        <v>31</v>
      </c>
      <c r="B161" s="34" t="n">
        <v>42583</v>
      </c>
      <c r="C161" s="56" t="n">
        <v>513</v>
      </c>
      <c r="D161" s="57" t="s">
        <v>42</v>
      </c>
      <c r="E161" s="33" t="n">
        <f aca="false">IF(D161="totale",(C161/(A161*24))/F161,IF(D161="marché libre",(C161/(A161*24))/G161,"spécifier histo"))</f>
        <v>0.000766129032258065</v>
      </c>
      <c r="F161" s="9" t="n">
        <v>1300</v>
      </c>
      <c r="G161" s="58" t="n">
        <f aca="false">F161-H161</f>
        <v>900</v>
      </c>
      <c r="H161" s="9" t="n">
        <v>400</v>
      </c>
      <c r="I161" s="58"/>
      <c r="J161" s="55"/>
      <c r="L161" s="473" t="s">
        <v>890</v>
      </c>
      <c r="M161" s="86" t="n">
        <v>1146</v>
      </c>
      <c r="N161" s="86" t="n">
        <v>50</v>
      </c>
      <c r="O161" s="36"/>
      <c r="P161" s="86" t="n">
        <v>119940</v>
      </c>
      <c r="Q161" s="86" t="n">
        <v>17090</v>
      </c>
      <c r="R161" s="36"/>
      <c r="S161" s="0"/>
    </row>
    <row r="162" customFormat="false" ht="19.85" hidden="false" customHeight="true" outlineLevel="0" collapsed="false">
      <c r="A162" s="0" t="n">
        <v>30</v>
      </c>
      <c r="B162" s="31" t="n">
        <v>42614</v>
      </c>
      <c r="C162" s="56" t="n">
        <v>495</v>
      </c>
      <c r="D162" s="57" t="s">
        <v>42</v>
      </c>
      <c r="E162" s="33" t="n">
        <f aca="false">IF(D162="totale",(C162/(A162*24))/F162,IF(D162="marché libre",(C162/(A162*24))/G162,"spécifier histo"))</f>
        <v>0.000763888888888889</v>
      </c>
      <c r="F162" s="9" t="n">
        <v>1300</v>
      </c>
      <c r="G162" s="58" t="n">
        <f aca="false">F162-H162</f>
        <v>900</v>
      </c>
      <c r="H162" s="9" t="n">
        <v>400</v>
      </c>
      <c r="I162" s="58"/>
      <c r="J162" s="55"/>
      <c r="L162" s="473" t="s">
        <v>891</v>
      </c>
      <c r="M162" s="86" t="n">
        <v>977</v>
      </c>
      <c r="N162" s="86" t="n">
        <v>48</v>
      </c>
      <c r="O162" s="36"/>
      <c r="P162" s="86" t="n">
        <v>141527</v>
      </c>
      <c r="Q162" s="86" t="n">
        <v>20166</v>
      </c>
      <c r="R162" s="36"/>
      <c r="S162" s="0"/>
    </row>
    <row r="163" customFormat="false" ht="19.85" hidden="false" customHeight="true" outlineLevel="0" collapsed="false">
      <c r="A163" s="0" t="n">
        <v>31</v>
      </c>
      <c r="B163" s="34" t="n">
        <v>42644</v>
      </c>
      <c r="C163" s="56" t="n">
        <v>480</v>
      </c>
      <c r="D163" s="57" t="s">
        <v>42</v>
      </c>
      <c r="E163" s="33" t="n">
        <f aca="false">IF(D163="totale",(C163/(A163*24))/F163,IF(D163="marché libre",(C163/(A163*24))/G163,"spécifier histo"))</f>
        <v>0.000716845878136201</v>
      </c>
      <c r="F163" s="9" t="n">
        <v>1300</v>
      </c>
      <c r="G163" s="58" t="n">
        <f aca="false">F163-H163</f>
        <v>900</v>
      </c>
      <c r="H163" s="9" t="n">
        <v>400</v>
      </c>
      <c r="I163" s="58"/>
      <c r="J163" s="55"/>
      <c r="L163" s="85"/>
      <c r="M163" s="86"/>
      <c r="N163" s="86"/>
      <c r="O163" s="36"/>
      <c r="P163" s="86"/>
      <c r="Q163" s="86"/>
      <c r="R163" s="36"/>
    </row>
    <row r="164" customFormat="false" ht="19.85" hidden="false" customHeight="true" outlineLevel="0" collapsed="false">
      <c r="A164" s="0" t="n">
        <v>30</v>
      </c>
      <c r="B164" s="31" t="n">
        <v>42675</v>
      </c>
      <c r="C164" s="59" t="n">
        <v>102040</v>
      </c>
      <c r="D164" s="57" t="s">
        <v>42</v>
      </c>
      <c r="E164" s="33" t="n">
        <f aca="false">IF(D164="totale",(C164/(A164*24))/F164,IF(D164="marché libre",(C164/(A164*24))/G164,"spécifier histo"))</f>
        <v>0.157469135802469</v>
      </c>
      <c r="F164" s="9" t="n">
        <v>1300</v>
      </c>
      <c r="G164" s="58" t="n">
        <f aca="false">F164-H164</f>
        <v>900</v>
      </c>
      <c r="H164" s="9" t="n">
        <v>400</v>
      </c>
      <c r="I164" s="58"/>
      <c r="J164" s="55"/>
      <c r="L164" s="89" t="s">
        <v>89</v>
      </c>
      <c r="M164" s="90" t="n">
        <f aca="false">SUM(M151:M162)</f>
        <v>2381887</v>
      </c>
      <c r="N164" s="90" t="n">
        <f aca="false">SUM(N151:N162)</f>
        <v>85958</v>
      </c>
      <c r="O164" s="36"/>
      <c r="P164" s="90" t="n">
        <f aca="false">SUM(P151:P162)</f>
        <v>261467</v>
      </c>
      <c r="Q164" s="90" t="n">
        <f aca="false">SUM(Q151:Q162)</f>
        <v>37256</v>
      </c>
      <c r="R164" s="36"/>
    </row>
    <row r="165" customFormat="false" ht="19.85" hidden="false" customHeight="true" outlineLevel="0" collapsed="false">
      <c r="A165" s="0" t="n">
        <v>31</v>
      </c>
      <c r="B165" s="34" t="n">
        <v>42705</v>
      </c>
      <c r="C165" s="60" t="n">
        <v>89847</v>
      </c>
      <c r="D165" s="57" t="s">
        <v>42</v>
      </c>
      <c r="E165" s="33" t="n">
        <f aca="false">IF(D165="totale",(C165/(A165*24))/F165,IF(D165="marché libre",(C165/(A165*24))/G165,"spécifier histo"))</f>
        <v>0.134180107526882</v>
      </c>
      <c r="F165" s="9" t="n">
        <v>1300</v>
      </c>
      <c r="G165" s="58" t="n">
        <f aca="false">F165-H165</f>
        <v>900</v>
      </c>
      <c r="H165" s="9" t="n">
        <v>400</v>
      </c>
      <c r="I165" s="58"/>
      <c r="J165" s="55"/>
      <c r="L165" s="36"/>
      <c r="M165" s="36"/>
      <c r="N165" s="36"/>
      <c r="O165" s="36"/>
      <c r="P165" s="36"/>
      <c r="Q165" s="36"/>
      <c r="R165" s="36"/>
    </row>
    <row r="166" customFormat="false" ht="19.85" hidden="false" customHeight="true" outlineLevel="0" collapsed="false">
      <c r="A166" s="0" t="n">
        <v>31</v>
      </c>
      <c r="B166" s="31" t="n">
        <v>42736</v>
      </c>
      <c r="C166" s="60" t="n">
        <v>67641</v>
      </c>
      <c r="D166" s="57" t="s">
        <v>42</v>
      </c>
      <c r="E166" s="33" t="n">
        <f aca="false">IF(D166="totale",(C166/(A166*24))/F166,IF(D166="marché libre",(C166/(A166*24))/G166,"spécifier histo"))</f>
        <v>0.101017025089606</v>
      </c>
      <c r="F166" s="9" t="n">
        <v>1300</v>
      </c>
      <c r="G166" s="58" t="n">
        <f aca="false">F166-H166</f>
        <v>900</v>
      </c>
      <c r="H166" s="9" t="n">
        <v>400</v>
      </c>
      <c r="I166" s="58"/>
      <c r="J166" s="30"/>
      <c r="L166" s="36"/>
      <c r="M166" s="54" t="s">
        <v>90</v>
      </c>
      <c r="N166" s="36"/>
      <c r="O166" s="36"/>
      <c r="P166" s="36"/>
      <c r="Q166" s="36"/>
      <c r="R166" s="36"/>
    </row>
    <row r="167" customFormat="false" ht="19.85" hidden="false" customHeight="true" outlineLevel="0" collapsed="false">
      <c r="A167" s="0" t="n">
        <v>28</v>
      </c>
      <c r="B167" s="34" t="n">
        <v>42767</v>
      </c>
      <c r="C167" s="60" t="n">
        <v>466861</v>
      </c>
      <c r="D167" s="57" t="s">
        <v>42</v>
      </c>
      <c r="E167" s="33" t="n">
        <f aca="false">IF(D167="totale",(C167/(A167*24))/F167,IF(D167="marché libre",(C167/(A167*24))/G167,"spécifier histo"))</f>
        <v>0.771926256613757</v>
      </c>
      <c r="F167" s="9" t="n">
        <v>1300</v>
      </c>
      <c r="G167" s="58" t="n">
        <f aca="false">F167-H167</f>
        <v>900</v>
      </c>
      <c r="H167" s="9" t="n">
        <v>400</v>
      </c>
      <c r="I167" s="58"/>
      <c r="J167" s="55"/>
      <c r="L167" s="36"/>
      <c r="M167" s="36"/>
      <c r="N167" s="36"/>
      <c r="O167" s="36"/>
      <c r="P167" s="36"/>
      <c r="Q167" s="36"/>
      <c r="R167" s="36"/>
    </row>
    <row r="168" customFormat="false" ht="19.85" hidden="false" customHeight="true" outlineLevel="0" collapsed="false">
      <c r="A168" s="0" t="n">
        <v>31</v>
      </c>
      <c r="B168" s="31" t="n">
        <v>42795</v>
      </c>
      <c r="C168" s="59" t="n">
        <v>442088</v>
      </c>
      <c r="D168" s="57" t="s">
        <v>42</v>
      </c>
      <c r="E168" s="33" t="n">
        <f aca="false">IF(D168="totale",(C168/(A168*24))/F168,IF(D168="marché libre",(C168/(A168*24))/G168,"spécifier histo"))</f>
        <v>0.660227001194743</v>
      </c>
      <c r="F168" s="9" t="n">
        <v>1300</v>
      </c>
      <c r="G168" s="58" t="n">
        <f aca="false">F168-H168</f>
        <v>900</v>
      </c>
      <c r="H168" s="9" t="n">
        <v>400</v>
      </c>
      <c r="I168" s="58"/>
      <c r="J168" s="55"/>
      <c r="L168" s="472"/>
      <c r="M168" s="77" t="s">
        <v>72</v>
      </c>
      <c r="N168" s="77"/>
      <c r="O168" s="45"/>
      <c r="P168" s="78" t="s">
        <v>73</v>
      </c>
      <c r="Q168" s="78"/>
      <c r="R168" s="36"/>
    </row>
    <row r="169" customFormat="false" ht="19.85" hidden="false" customHeight="true" outlineLevel="0" collapsed="false">
      <c r="A169" s="0" t="n">
        <v>30</v>
      </c>
      <c r="B169" s="34" t="n">
        <v>42826</v>
      </c>
      <c r="C169" s="59" t="n">
        <v>80413</v>
      </c>
      <c r="D169" s="57" t="s">
        <v>42</v>
      </c>
      <c r="E169" s="33" t="n">
        <f aca="false">IF(D169="totale",(C169/(A169*24))/F169,IF(D169="marché libre",(C169/(A169*24))/G169,"spécifier histo"))</f>
        <v>0.124094135802469</v>
      </c>
      <c r="F169" s="9" t="n">
        <v>1300</v>
      </c>
      <c r="G169" s="58" t="n">
        <f aca="false">F169-H169</f>
        <v>900</v>
      </c>
      <c r="H169" s="9" t="n">
        <v>400</v>
      </c>
      <c r="I169" s="58"/>
      <c r="J169" s="55"/>
      <c r="L169" s="79" t="s">
        <v>74</v>
      </c>
      <c r="M169" s="80" t="s">
        <v>75</v>
      </c>
      <c r="N169" s="81" t="s">
        <v>76</v>
      </c>
      <c r="O169" s="36"/>
      <c r="P169" s="80" t="s">
        <v>75</v>
      </c>
      <c r="Q169" s="81" t="s">
        <v>76</v>
      </c>
      <c r="R169" s="36"/>
    </row>
    <row r="170" customFormat="false" ht="19.85" hidden="false" customHeight="true" outlineLevel="0" collapsed="false">
      <c r="A170" s="0" t="n">
        <v>31</v>
      </c>
      <c r="B170" s="31" t="n">
        <v>42856</v>
      </c>
      <c r="C170" s="9" t="n">
        <v>696</v>
      </c>
      <c r="D170" s="57" t="s">
        <v>42</v>
      </c>
      <c r="E170" s="33" t="n">
        <f aca="false">IF(D170="totale",(C170/(A170*24))/F170,IF(D170="marché libre",(C170/(A170*24))/G170,"spécifier histo"))</f>
        <v>0.00103942652329749</v>
      </c>
      <c r="F170" s="9" t="n">
        <v>1300</v>
      </c>
      <c r="G170" s="58" t="n">
        <f aca="false">F170-H170</f>
        <v>900</v>
      </c>
      <c r="H170" s="9" t="n">
        <v>400</v>
      </c>
      <c r="I170" s="58"/>
      <c r="J170" s="55"/>
      <c r="L170" s="82"/>
      <c r="M170" s="83"/>
      <c r="N170" s="84"/>
      <c r="O170" s="36"/>
      <c r="P170" s="83"/>
      <c r="Q170" s="84"/>
      <c r="R170" s="36"/>
    </row>
    <row r="171" customFormat="false" ht="22.45" hidden="false" customHeight="true" outlineLevel="0" collapsed="false">
      <c r="A171" s="0" t="n">
        <v>30</v>
      </c>
      <c r="B171" s="34" t="n">
        <v>42887</v>
      </c>
      <c r="C171" s="9" t="n">
        <v>450</v>
      </c>
      <c r="D171" s="57" t="s">
        <v>42</v>
      </c>
      <c r="E171" s="33" t="n">
        <f aca="false">IF(D171="totale",(C171/(A171*24))/F171,IF(D171="marché libre",(C171/(A171*24))/G171,"spécifier histo"))</f>
        <v>0.000694444444444444</v>
      </c>
      <c r="F171" s="9" t="n">
        <v>1300</v>
      </c>
      <c r="G171" s="58" t="n">
        <f aca="false">F171-H171</f>
        <v>900</v>
      </c>
      <c r="H171" s="9" t="n">
        <v>400</v>
      </c>
      <c r="I171" s="58"/>
      <c r="J171" s="55"/>
      <c r="L171" s="473" t="s">
        <v>881</v>
      </c>
      <c r="M171" s="86" t="n">
        <v>394528</v>
      </c>
      <c r="N171" s="86" t="n">
        <v>20831</v>
      </c>
      <c r="O171" s="36"/>
      <c r="P171" s="86" t="n">
        <v>237048</v>
      </c>
      <c r="Q171" s="86" t="n">
        <v>33777</v>
      </c>
      <c r="R171" s="36"/>
      <c r="S171" s="0"/>
    </row>
    <row r="172" customFormat="false" ht="21.65" hidden="false" customHeight="true" outlineLevel="0" collapsed="false">
      <c r="A172" s="0" t="n">
        <v>31</v>
      </c>
      <c r="B172" s="31" t="n">
        <v>42917</v>
      </c>
      <c r="C172" s="9" t="n">
        <v>370</v>
      </c>
      <c r="D172" s="57" t="s">
        <v>42</v>
      </c>
      <c r="E172" s="33" t="n">
        <f aca="false">IF(D172="totale",(C172/(A172*24))/F172,IF(D172="marché libre",(C172/(A172*24))/G172,"spécifier histo"))</f>
        <v>0.000552568697729988</v>
      </c>
      <c r="F172" s="9" t="n">
        <v>1300</v>
      </c>
      <c r="G172" s="58" t="n">
        <f aca="false">F172-H172</f>
        <v>900</v>
      </c>
      <c r="H172" s="9" t="n">
        <v>400</v>
      </c>
      <c r="I172" s="58"/>
      <c r="J172" s="55"/>
      <c r="L172" s="85" t="s">
        <v>78</v>
      </c>
      <c r="M172" s="86" t="n">
        <v>556252</v>
      </c>
      <c r="N172" s="86" t="n">
        <v>30093</v>
      </c>
      <c r="O172" s="36"/>
      <c r="P172" s="86" t="n">
        <v>252664</v>
      </c>
      <c r="Q172" s="86" t="n">
        <v>36002</v>
      </c>
      <c r="R172" s="36"/>
      <c r="S172" s="0"/>
    </row>
    <row r="173" customFormat="false" ht="21.65" hidden="false" customHeight="true" outlineLevel="0" collapsed="false">
      <c r="A173" s="0" t="n">
        <v>31</v>
      </c>
      <c r="B173" s="34" t="n">
        <v>42948</v>
      </c>
      <c r="C173" s="9" t="n">
        <v>523</v>
      </c>
      <c r="D173" s="57" t="s">
        <v>42</v>
      </c>
      <c r="E173" s="33" t="n">
        <f aca="false">IF(D173="totale",(C173/(A173*24))/F173,IF(D173="marché libre",(C173/(A173*24))/G173,"spécifier histo"))</f>
        <v>0.000781063321385902</v>
      </c>
      <c r="F173" s="9" t="n">
        <v>1300</v>
      </c>
      <c r="G173" s="58" t="n">
        <f aca="false">F173-H173</f>
        <v>900</v>
      </c>
      <c r="H173" s="9" t="n">
        <v>400</v>
      </c>
      <c r="I173" s="58"/>
      <c r="J173" s="55"/>
      <c r="L173" s="474" t="s">
        <v>882</v>
      </c>
      <c r="M173" s="86" t="n">
        <v>282513</v>
      </c>
      <c r="N173" s="86" t="n">
        <v>13504</v>
      </c>
      <c r="O173" s="36"/>
      <c r="P173" s="86" t="n">
        <v>253801</v>
      </c>
      <c r="Q173" s="86" t="n">
        <v>36164</v>
      </c>
      <c r="R173" s="36"/>
      <c r="S173" s="0"/>
    </row>
    <row r="174" customFormat="false" ht="21.65" hidden="false" customHeight="true" outlineLevel="0" collapsed="false">
      <c r="A174" s="0" t="n">
        <v>30</v>
      </c>
      <c r="B174" s="31" t="n">
        <v>42979</v>
      </c>
      <c r="C174" s="9" t="n">
        <v>491</v>
      </c>
      <c r="D174" s="57" t="s">
        <v>42</v>
      </c>
      <c r="E174" s="33" t="n">
        <f aca="false">IF(D174="totale",(C174/(A174*24))/F174,IF(D174="marché libre",(C174/(A174*24))/G174,"spécifier histo"))</f>
        <v>0.000757716049382716</v>
      </c>
      <c r="F174" s="9" t="n">
        <v>1300</v>
      </c>
      <c r="G174" s="59" t="n">
        <f aca="false">F174-H174</f>
        <v>900</v>
      </c>
      <c r="H174" s="9" t="n">
        <v>400</v>
      </c>
      <c r="J174" s="55"/>
      <c r="L174" s="474" t="s">
        <v>883</v>
      </c>
      <c r="M174" s="86" t="n">
        <v>826</v>
      </c>
      <c r="N174" s="86" t="n">
        <v>27</v>
      </c>
      <c r="O174" s="36"/>
      <c r="P174" s="86" t="n">
        <v>251253</v>
      </c>
      <c r="Q174" s="86" t="n">
        <v>17661</v>
      </c>
      <c r="R174" s="36"/>
      <c r="S174" s="0"/>
    </row>
    <row r="175" customFormat="false" ht="21.65" hidden="false" customHeight="true" outlineLevel="0" collapsed="false">
      <c r="A175" s="0" t="n">
        <v>31</v>
      </c>
      <c r="B175" s="34" t="n">
        <v>43009</v>
      </c>
      <c r="C175" s="9" t="n">
        <v>520</v>
      </c>
      <c r="D175" s="57" t="s">
        <v>42</v>
      </c>
      <c r="E175" s="33" t="n">
        <f aca="false">IF(D175="totale",(C175/(A175*24))/F175,IF(D175="marché libre",(C175/(A175*24))/G175,"spécifier histo"))</f>
        <v>0.000776583034647551</v>
      </c>
      <c r="F175" s="9" t="n">
        <v>1300</v>
      </c>
      <c r="G175" s="59" t="n">
        <f aca="false">F175-H175</f>
        <v>900</v>
      </c>
      <c r="H175" s="9" t="n">
        <v>400</v>
      </c>
      <c r="J175" s="55"/>
      <c r="L175" s="473" t="s">
        <v>884</v>
      </c>
      <c r="M175" s="86" t="n">
        <v>1329</v>
      </c>
      <c r="N175" s="86" t="n">
        <v>39</v>
      </c>
      <c r="O175" s="36"/>
      <c r="P175" s="86" t="n">
        <v>136017</v>
      </c>
      <c r="Q175" s="86" t="n">
        <v>9561</v>
      </c>
      <c r="R175" s="36"/>
      <c r="S175" s="0"/>
    </row>
    <row r="176" customFormat="false" ht="21.65" hidden="false" customHeight="true" outlineLevel="0" collapsed="false">
      <c r="A176" s="0" t="n">
        <v>30</v>
      </c>
      <c r="B176" s="31" t="n">
        <v>43040</v>
      </c>
      <c r="C176" s="9" t="n">
        <v>490</v>
      </c>
      <c r="D176" s="57" t="s">
        <v>42</v>
      </c>
      <c r="E176" s="33" t="n">
        <f aca="false">IF(D176="totale",(C176/(A176*24))/F176,IF(D176="marché libre",(C176/(A176*24))/G176,"spécifier histo"))</f>
        <v>0.000756172839506173</v>
      </c>
      <c r="F176" s="9" t="n">
        <v>1300</v>
      </c>
      <c r="G176" s="59" t="n">
        <f aca="false">F176-H176</f>
        <v>900</v>
      </c>
      <c r="H176" s="9" t="n">
        <v>400</v>
      </c>
      <c r="J176" s="55"/>
      <c r="L176" s="473" t="s">
        <v>885</v>
      </c>
      <c r="M176" s="86" t="n">
        <v>413</v>
      </c>
      <c r="N176" s="86" t="n">
        <v>13</v>
      </c>
      <c r="O176" s="36"/>
      <c r="P176" s="86" t="n">
        <v>4788</v>
      </c>
      <c r="Q176" s="86" t="n">
        <v>337</v>
      </c>
      <c r="R176" s="36"/>
      <c r="S176" s="0"/>
    </row>
    <row r="177" customFormat="false" ht="21.65" hidden="false" customHeight="true" outlineLevel="0" collapsed="false">
      <c r="A177" s="0" t="n">
        <v>31</v>
      </c>
      <c r="B177" s="34" t="n">
        <v>43070</v>
      </c>
      <c r="C177" s="9" t="n">
        <v>548</v>
      </c>
      <c r="D177" s="57" t="s">
        <v>42</v>
      </c>
      <c r="E177" s="33" t="n">
        <f aca="false">IF(D177="totale",(C177/(A177*24))/F177,IF(D177="marché libre",(C177/(A177*24))/G177,"spécifier histo"))</f>
        <v>0.000818399044205496</v>
      </c>
      <c r="F177" s="9" t="n">
        <v>1300</v>
      </c>
      <c r="G177" s="59" t="n">
        <f aca="false">F177-H177</f>
        <v>900</v>
      </c>
      <c r="H177" s="9" t="n">
        <v>400</v>
      </c>
      <c r="J177" s="55"/>
      <c r="L177" s="473" t="s">
        <v>886</v>
      </c>
      <c r="M177" s="86" t="n">
        <v>416</v>
      </c>
      <c r="N177" s="86" t="n">
        <v>14</v>
      </c>
      <c r="O177" s="36"/>
      <c r="P177" s="86" t="n">
        <v>0</v>
      </c>
      <c r="Q177" s="86" t="n">
        <v>0</v>
      </c>
      <c r="R177" s="36"/>
      <c r="S177" s="0"/>
    </row>
    <row r="178" customFormat="false" ht="28.35" hidden="false" customHeight="true" outlineLevel="0" collapsed="false">
      <c r="A178" s="0" t="n">
        <v>31</v>
      </c>
      <c r="B178" s="31" t="n">
        <v>43101</v>
      </c>
      <c r="C178" s="9" t="n">
        <v>400300</v>
      </c>
      <c r="D178" s="57" t="s">
        <v>42</v>
      </c>
      <c r="E178" s="33" t="n">
        <f aca="false">IF(D178="totale",(C178/(A178*24))/F178,IF(D178="marché libre",(C178/(A178*24))/G178,"spécifier histo"))</f>
        <v>0.597819593787336</v>
      </c>
      <c r="F178" s="9" t="n">
        <v>1300</v>
      </c>
      <c r="G178" s="59" t="n">
        <f aca="false">F178-H178</f>
        <v>900</v>
      </c>
      <c r="H178" s="9" t="n">
        <v>400</v>
      </c>
      <c r="J178" s="30"/>
      <c r="L178" s="473" t="s">
        <v>887</v>
      </c>
      <c r="M178" s="86" t="n">
        <v>440</v>
      </c>
      <c r="N178" s="86" t="n">
        <v>12</v>
      </c>
      <c r="O178" s="36"/>
      <c r="P178" s="86" t="n">
        <v>0</v>
      </c>
      <c r="Q178" s="86" t="n">
        <v>0</v>
      </c>
      <c r="R178" s="36"/>
      <c r="S178" s="0"/>
    </row>
    <row r="179" customFormat="false" ht="28.35" hidden="false" customHeight="true" outlineLevel="0" collapsed="false">
      <c r="A179" s="0" t="n">
        <v>28</v>
      </c>
      <c r="B179" s="34" t="n">
        <v>43132</v>
      </c>
      <c r="C179" s="1" t="n">
        <v>400300</v>
      </c>
      <c r="D179" s="57" t="s">
        <v>42</v>
      </c>
      <c r="E179" s="33" t="n">
        <f aca="false">IF(D179="totale",(C179/(A179*24))/F179,IF(D179="marché libre",(C179/(A179*24))/G179,"spécifier histo"))</f>
        <v>0.661871693121693</v>
      </c>
      <c r="F179" s="9" t="n">
        <v>1300</v>
      </c>
      <c r="G179" s="59" t="n">
        <f aca="false">F179-H179</f>
        <v>900</v>
      </c>
      <c r="H179" s="9" t="n">
        <v>400</v>
      </c>
      <c r="L179" s="474" t="s">
        <v>888</v>
      </c>
      <c r="M179" s="86" t="n">
        <v>427</v>
      </c>
      <c r="N179" s="86" t="n">
        <v>15</v>
      </c>
      <c r="O179" s="36"/>
      <c r="P179" s="86" t="n">
        <v>0</v>
      </c>
      <c r="Q179" s="86" t="n">
        <v>0</v>
      </c>
      <c r="R179" s="36"/>
      <c r="S179" s="0"/>
    </row>
    <row r="180" customFormat="false" ht="28.35" hidden="false" customHeight="true" outlineLevel="0" collapsed="false">
      <c r="A180" s="0" t="n">
        <v>31</v>
      </c>
      <c r="B180" s="31" t="n">
        <v>43160</v>
      </c>
      <c r="C180" s="1" t="n">
        <v>229223</v>
      </c>
      <c r="D180" s="57" t="s">
        <v>42</v>
      </c>
      <c r="E180" s="33" t="n">
        <f aca="false">IF(D180="totale",(C180/(A180*24))/F180,IF(D180="marché libre",(C180/(A180*24))/G180,"spécifier histo"))</f>
        <v>0.34232825567503</v>
      </c>
      <c r="F180" s="9" t="n">
        <v>1300</v>
      </c>
      <c r="G180" s="59" t="n">
        <f aca="false">F180-H180</f>
        <v>900</v>
      </c>
      <c r="H180" s="9" t="n">
        <v>400</v>
      </c>
      <c r="L180" s="473" t="s">
        <v>889</v>
      </c>
      <c r="M180" s="86" t="n">
        <v>428</v>
      </c>
      <c r="N180" s="86" t="n">
        <v>20</v>
      </c>
      <c r="O180" s="36"/>
      <c r="P180" s="86" t="n">
        <v>9616</v>
      </c>
      <c r="Q180" s="86" t="n">
        <v>676</v>
      </c>
      <c r="R180" s="36"/>
      <c r="S180" s="0"/>
    </row>
    <row r="181" customFormat="false" ht="28.35" hidden="false" customHeight="true" outlineLevel="0" collapsed="false">
      <c r="A181" s="0" t="n">
        <v>30</v>
      </c>
      <c r="B181" s="34" t="n">
        <v>43191</v>
      </c>
      <c r="C181" s="1" t="n">
        <v>403729</v>
      </c>
      <c r="D181" s="57" t="s">
        <v>42</v>
      </c>
      <c r="E181" s="33" t="n">
        <f aca="false">IF(D181="totale",(C181/(A181*24))/F181,IF(D181="marché libre",(C181/(A181*24))/G181,"spécifier histo"))</f>
        <v>0.623038580246914</v>
      </c>
      <c r="F181" s="9" t="n">
        <v>1300</v>
      </c>
      <c r="G181" s="59" t="n">
        <f aca="false">F181-H181</f>
        <v>900</v>
      </c>
      <c r="H181" s="9" t="n">
        <v>400</v>
      </c>
      <c r="L181" s="473" t="s">
        <v>890</v>
      </c>
      <c r="M181" s="86"/>
      <c r="N181" s="86"/>
      <c r="O181" s="36"/>
      <c r="P181" s="86"/>
      <c r="Q181" s="86"/>
      <c r="R181" s="36"/>
      <c r="S181" s="0"/>
    </row>
    <row r="182" customFormat="false" ht="28.35" hidden="false" customHeight="true" outlineLevel="0" collapsed="false">
      <c r="A182" s="0" t="n">
        <v>31</v>
      </c>
      <c r="B182" s="31" t="n">
        <v>43221</v>
      </c>
      <c r="C182" s="1" t="n">
        <v>240199</v>
      </c>
      <c r="D182" s="57" t="s">
        <v>42</v>
      </c>
      <c r="E182" s="33" t="n">
        <f aca="false">IF(D182="totale",(C182/(A182*24))/F182,IF(D182="marché libre",(C182/(A182*24))/G182,"spécifier histo"))</f>
        <v>0.358720131421744</v>
      </c>
      <c r="F182" s="9" t="n">
        <v>1300</v>
      </c>
      <c r="G182" s="59" t="n">
        <f aca="false">F182-H182</f>
        <v>900</v>
      </c>
      <c r="H182" s="9" t="n">
        <v>400</v>
      </c>
      <c r="L182" s="473" t="s">
        <v>891</v>
      </c>
      <c r="M182" s="86"/>
      <c r="N182" s="86"/>
      <c r="O182" s="36"/>
      <c r="P182" s="86"/>
      <c r="Q182" s="86"/>
      <c r="R182" s="36"/>
      <c r="S182" s="0"/>
    </row>
    <row r="183" customFormat="false" ht="28.35" hidden="false" customHeight="true" outlineLevel="0" collapsed="false">
      <c r="A183" s="0" t="n">
        <v>30</v>
      </c>
      <c r="B183" s="34" t="n">
        <v>43252</v>
      </c>
      <c r="C183" s="1" t="n">
        <v>433449</v>
      </c>
      <c r="D183" s="57" t="s">
        <v>42</v>
      </c>
      <c r="E183" s="33" t="n">
        <f aca="false">IF(D183="totale",(C183/(A183*24))/F183,IF(D183="marché libre",(C183/(A183*24))/G183,"spécifier histo"))</f>
        <v>0.668902777777778</v>
      </c>
      <c r="F183" s="9" t="n">
        <v>1300</v>
      </c>
      <c r="G183" s="59" t="n">
        <f aca="false">F183-H183</f>
        <v>900</v>
      </c>
      <c r="H183" s="9" t="n">
        <v>400</v>
      </c>
      <c r="L183" s="85"/>
      <c r="M183" s="86"/>
      <c r="N183" s="86"/>
      <c r="O183" s="36"/>
      <c r="P183" s="86"/>
      <c r="Q183" s="86"/>
      <c r="R183" s="36"/>
    </row>
    <row r="184" customFormat="false" ht="28.35" hidden="false" customHeight="true" outlineLevel="0" collapsed="false">
      <c r="A184" s="0" t="n">
        <v>31</v>
      </c>
      <c r="B184" s="31" t="n">
        <v>43282</v>
      </c>
      <c r="C184" s="1" t="n">
        <v>314699</v>
      </c>
      <c r="D184" s="57" t="s">
        <v>42</v>
      </c>
      <c r="E184" s="33" t="n">
        <f aca="false">IF(D184="totale",(C184/(A184*24))/F184,IF(D184="marché libre",(C184/(A184*24))/G184,"spécifier histo"))</f>
        <v>0.469980585424134</v>
      </c>
      <c r="F184" s="9" t="n">
        <v>1300</v>
      </c>
      <c r="G184" s="59" t="n">
        <f aca="false">F184-H184</f>
        <v>900</v>
      </c>
      <c r="H184" s="9" t="n">
        <v>400</v>
      </c>
      <c r="L184" s="89" t="s">
        <v>89</v>
      </c>
      <c r="M184" s="90" t="n">
        <f aca="false">SUM(M171:M182)</f>
        <v>1237572</v>
      </c>
      <c r="N184" s="90" t="n">
        <f aca="false">SUM(N171:N182)</f>
        <v>64568</v>
      </c>
      <c r="O184" s="36"/>
      <c r="P184" s="90" t="n">
        <f aca="false">SUM(P171:P182)</f>
        <v>1145187</v>
      </c>
      <c r="Q184" s="90" t="n">
        <f aca="false">SUM(Q171:Q182)</f>
        <v>134178</v>
      </c>
      <c r="R184" s="36"/>
    </row>
    <row r="185" customFormat="false" ht="28.35" hidden="false" customHeight="true" outlineLevel="0" collapsed="false">
      <c r="A185" s="0" t="n">
        <v>31</v>
      </c>
      <c r="B185" s="34" t="n">
        <v>43313</v>
      </c>
      <c r="C185" s="1" t="n">
        <v>409</v>
      </c>
      <c r="D185" s="57" t="s">
        <v>42</v>
      </c>
      <c r="E185" s="33" t="n">
        <f aca="false">IF(D185="totale",(C185/(A185*24))/F185,IF(D185="marché libre",(C185/(A185*24))/G185,"spécifier histo"))</f>
        <v>0.000610812425328554</v>
      </c>
      <c r="F185" s="9" t="n">
        <v>1300</v>
      </c>
      <c r="G185" s="59" t="n">
        <f aca="false">F185-H185</f>
        <v>900</v>
      </c>
      <c r="H185" s="9" t="n">
        <v>400</v>
      </c>
      <c r="L185" s="36"/>
      <c r="M185" s="36"/>
      <c r="N185" s="36"/>
      <c r="O185" s="36"/>
      <c r="P185" s="36"/>
      <c r="Q185" s="36"/>
      <c r="R185" s="36"/>
    </row>
    <row r="186" customFormat="false" ht="28.35" hidden="false" customHeight="true" outlineLevel="0" collapsed="false">
      <c r="A186" s="0" t="n">
        <v>30</v>
      </c>
      <c r="B186" s="31" t="n">
        <v>43344</v>
      </c>
      <c r="C186" s="1" t="n">
        <v>492</v>
      </c>
      <c r="D186" s="57" t="s">
        <v>42</v>
      </c>
      <c r="E186" s="33" t="n">
        <f aca="false">IF(D186="totale",(C186/(A186*24))/F186,IF(D186="marché libre",(C186/(A186*24))/G186,"spécifier histo"))</f>
        <v>0.000759259259259259</v>
      </c>
      <c r="F186" s="9" t="n">
        <v>1300</v>
      </c>
      <c r="G186" s="59" t="n">
        <f aca="false">F186-H186</f>
        <v>900</v>
      </c>
      <c r="H186" s="9" t="n">
        <v>400</v>
      </c>
      <c r="J186" s="475"/>
      <c r="K186" s="476"/>
      <c r="L186" s="476" t="s">
        <v>78</v>
      </c>
      <c r="M186" s="476" t="s">
        <v>79</v>
      </c>
      <c r="N186" s="476" t="s">
        <v>80</v>
      </c>
      <c r="O186" s="476" t="s">
        <v>81</v>
      </c>
      <c r="P186" s="476" t="s">
        <v>82</v>
      </c>
      <c r="Q186" s="476" t="s">
        <v>83</v>
      </c>
      <c r="R186" s="476" t="s">
        <v>84</v>
      </c>
      <c r="S186" s="476" t="s">
        <v>85</v>
      </c>
      <c r="T186" s="476" t="s">
        <v>86</v>
      </c>
      <c r="U186" s="475" t="s">
        <v>87</v>
      </c>
      <c r="V186" s="476" t="s">
        <v>88</v>
      </c>
    </row>
    <row r="187" customFormat="false" ht="28.35" hidden="false" customHeight="true" outlineLevel="0" collapsed="false">
      <c r="A187" s="0"/>
      <c r="E187" s="30"/>
      <c r="J187" s="477"/>
      <c r="K187" s="32"/>
      <c r="L187" s="32" t="n">
        <v>432863</v>
      </c>
      <c r="M187" s="32" t="n">
        <v>498351</v>
      </c>
      <c r="N187" s="32" t="n">
        <v>780271</v>
      </c>
      <c r="O187" s="32" t="n">
        <v>465607</v>
      </c>
      <c r="P187" s="32" t="n">
        <v>617748</v>
      </c>
      <c r="Q187" s="32" t="n">
        <v>236797</v>
      </c>
      <c r="R187" s="32" t="n">
        <v>18369</v>
      </c>
      <c r="S187" s="32" t="n">
        <v>0</v>
      </c>
      <c r="T187" s="478" t="n">
        <v>0</v>
      </c>
      <c r="U187" s="32" t="n">
        <v>516720</v>
      </c>
      <c r="V187" s="32" t="n">
        <v>563041</v>
      </c>
    </row>
    <row r="188" customFormat="false" ht="28.35" hidden="false" customHeight="true" outlineLevel="0" collapsed="false">
      <c r="A188" s="0"/>
      <c r="E188" s="30"/>
      <c r="J188" s="477" t="n">
        <v>2009</v>
      </c>
      <c r="K188" s="32" t="n">
        <v>583007</v>
      </c>
      <c r="L188" s="32" t="n">
        <v>641707</v>
      </c>
      <c r="M188" s="32" t="n">
        <v>549464</v>
      </c>
      <c r="N188" s="32" t="n">
        <v>733950</v>
      </c>
      <c r="O188" s="32" t="n">
        <v>433662</v>
      </c>
      <c r="P188" s="32" t="n">
        <v>81062</v>
      </c>
      <c r="Q188" s="32" t="n">
        <v>0</v>
      </c>
      <c r="R188" s="32" t="n">
        <v>0</v>
      </c>
      <c r="S188" s="32" t="n">
        <v>0</v>
      </c>
      <c r="T188" s="478" t="n">
        <v>0</v>
      </c>
      <c r="U188" s="32" t="n">
        <v>34741</v>
      </c>
      <c r="V188" s="32" t="n">
        <v>118199</v>
      </c>
    </row>
    <row r="189" customFormat="false" ht="28.35" hidden="false" customHeight="true" outlineLevel="0" collapsed="false">
      <c r="A189" s="0"/>
      <c r="E189" s="30"/>
      <c r="J189" s="477" t="n">
        <v>2010</v>
      </c>
      <c r="K189" s="32" t="n">
        <v>327043</v>
      </c>
      <c r="L189" s="32" t="n">
        <v>348207</v>
      </c>
      <c r="M189" s="32" t="n">
        <v>628130</v>
      </c>
      <c r="N189" s="32" t="n">
        <v>628530</v>
      </c>
      <c r="O189" s="32" t="n">
        <v>674000</v>
      </c>
      <c r="P189" s="32" t="n">
        <v>370569</v>
      </c>
      <c r="Q189" s="32" t="n">
        <v>78666</v>
      </c>
      <c r="R189" s="32" t="n">
        <v>0</v>
      </c>
      <c r="S189" s="32" t="n">
        <v>0</v>
      </c>
      <c r="T189" s="478" t="n">
        <v>16771</v>
      </c>
      <c r="U189" s="32" t="n">
        <v>659278</v>
      </c>
      <c r="V189" s="32" t="n">
        <v>779073</v>
      </c>
    </row>
    <row r="190" customFormat="false" ht="28.35" hidden="false" customHeight="true" outlineLevel="0" collapsed="false">
      <c r="A190" s="0"/>
      <c r="E190" s="30"/>
      <c r="J190" s="477" t="n">
        <v>2011</v>
      </c>
      <c r="K190" s="32" t="n">
        <v>548266</v>
      </c>
      <c r="L190" s="32" t="n">
        <v>194868</v>
      </c>
      <c r="M190" s="32" t="n">
        <v>416091</v>
      </c>
      <c r="N190" s="32" t="n">
        <v>199799</v>
      </c>
      <c r="O190" s="32" t="n">
        <v>27596</v>
      </c>
      <c r="P190" s="32" t="n">
        <v>0</v>
      </c>
      <c r="Q190" s="32" t="n">
        <v>0</v>
      </c>
      <c r="R190" s="32" t="n">
        <v>0</v>
      </c>
      <c r="S190" s="32" t="n">
        <v>0</v>
      </c>
      <c r="T190" s="478" t="n">
        <v>0</v>
      </c>
      <c r="U190" s="32" t="n">
        <v>0</v>
      </c>
      <c r="V190" s="32" t="n">
        <v>218821</v>
      </c>
    </row>
    <row r="191" customFormat="false" ht="28.35" hidden="false" customHeight="true" outlineLevel="0" collapsed="false">
      <c r="A191" s="0"/>
      <c r="E191" s="30"/>
      <c r="J191" s="479" t="n">
        <v>2012</v>
      </c>
      <c r="K191" s="32" t="n">
        <v>225216</v>
      </c>
      <c r="L191" s="32" t="n">
        <v>8386</v>
      </c>
      <c r="M191" s="32" t="n">
        <v>0</v>
      </c>
      <c r="N191" s="32" t="n">
        <v>0</v>
      </c>
      <c r="O191" s="32" t="n">
        <v>100191</v>
      </c>
      <c r="P191" s="32" t="n">
        <v>267943</v>
      </c>
      <c r="Q191" s="32" t="n">
        <v>40727</v>
      </c>
      <c r="R191" s="32" t="n">
        <v>0</v>
      </c>
      <c r="S191" s="32" t="n">
        <v>0</v>
      </c>
      <c r="T191" s="478" t="n">
        <v>0</v>
      </c>
      <c r="U191" s="32" t="n">
        <v>13054</v>
      </c>
      <c r="V191" s="32" t="n">
        <v>512975</v>
      </c>
    </row>
    <row r="192" customFormat="false" ht="12.8" hidden="false" customHeight="false" outlineLevel="0" collapsed="false">
      <c r="A192" s="0"/>
      <c r="E192" s="30"/>
      <c r="J192" s="477" t="n">
        <v>2013</v>
      </c>
      <c r="K192" s="32" t="n">
        <v>0</v>
      </c>
      <c r="L192" s="32" t="n">
        <v>91770</v>
      </c>
      <c r="M192" s="32" t="n">
        <v>689486</v>
      </c>
      <c r="N192" s="32" t="n">
        <v>814165</v>
      </c>
      <c r="O192" s="32" t="n">
        <v>338258</v>
      </c>
      <c r="P192" s="32" t="n">
        <v>364578</v>
      </c>
      <c r="Q192" s="32" t="n">
        <v>79734</v>
      </c>
      <c r="R192" s="32" t="n">
        <v>504</v>
      </c>
      <c r="S192" s="32" t="n">
        <v>475</v>
      </c>
      <c r="T192" s="478" t="n">
        <v>794</v>
      </c>
      <c r="U192" s="477"/>
      <c r="V192" s="32"/>
    </row>
    <row r="193" customFormat="false" ht="12.8" hidden="false" customHeight="false" outlineLevel="0" collapsed="false">
      <c r="A193" s="0"/>
      <c r="E193" s="30"/>
      <c r="J193" s="477" t="s">
        <v>87</v>
      </c>
      <c r="K193" s="32" t="n">
        <f aca="false">F193</f>
        <v>0</v>
      </c>
      <c r="L193" s="32" t="n">
        <f aca="false">F212</f>
        <v>0</v>
      </c>
      <c r="M193" s="32" t="n">
        <f aca="false">F231</f>
        <v>0</v>
      </c>
      <c r="N193" s="32" t="n">
        <f aca="false">F249</f>
        <v>0</v>
      </c>
      <c r="O193" s="32" t="n">
        <f aca="false">F268</f>
        <v>0</v>
      </c>
      <c r="P193" s="32" t="n">
        <f aca="false">F287</f>
        <v>0</v>
      </c>
      <c r="Q193" s="32" t="n">
        <f aca="false">F306</f>
        <v>0</v>
      </c>
      <c r="R193" s="32" t="n">
        <f aca="false">F325</f>
        <v>0</v>
      </c>
      <c r="S193" s="32" t="n">
        <f aca="false">F344</f>
        <v>0</v>
      </c>
      <c r="T193" s="480"/>
      <c r="U193" s="477"/>
      <c r="V193" s="32"/>
    </row>
    <row r="194" customFormat="false" ht="12.8" hidden="false" customHeight="false" outlineLevel="0" collapsed="false">
      <c r="A194" s="0"/>
      <c r="E194" s="30"/>
      <c r="J194" s="477" t="s">
        <v>88</v>
      </c>
      <c r="K194" s="32" t="n">
        <f aca="false">F194</f>
        <v>0</v>
      </c>
      <c r="L194" s="32" t="n">
        <f aca="false">F213</f>
        <v>0</v>
      </c>
      <c r="M194" s="32" t="n">
        <f aca="false">F232</f>
        <v>0</v>
      </c>
      <c r="N194" s="32" t="n">
        <f aca="false">F250</f>
        <v>0</v>
      </c>
      <c r="O194" s="32" t="n">
        <f aca="false">F269</f>
        <v>0</v>
      </c>
      <c r="P194" s="32" t="n">
        <f aca="false">F288</f>
        <v>0</v>
      </c>
      <c r="Q194" s="32" t="n">
        <f aca="false">F307</f>
        <v>0</v>
      </c>
      <c r="R194" s="32" t="n">
        <f aca="false">F326</f>
        <v>0</v>
      </c>
      <c r="S194" s="32" t="n">
        <f aca="false">F345</f>
        <v>0</v>
      </c>
      <c r="T194" s="480"/>
      <c r="U194" s="477"/>
      <c r="V194" s="32"/>
    </row>
    <row r="195" customFormat="false" ht="12.8" hidden="false" customHeight="false" outlineLevel="0" collapsed="false">
      <c r="A195" s="0"/>
      <c r="E195" s="30"/>
    </row>
    <row r="196" customFormat="false" ht="23.85" hidden="false" customHeight="false" outlineLevel="0" collapsed="false">
      <c r="A196" s="0"/>
      <c r="K196" s="1" t="n">
        <v>2004</v>
      </c>
      <c r="L196" s="1" t="n">
        <v>2005</v>
      </c>
      <c r="M196" s="1" t="n">
        <v>2006</v>
      </c>
      <c r="N196" s="1" t="n">
        <v>2007</v>
      </c>
      <c r="O196" s="1" t="n">
        <v>2008</v>
      </c>
      <c r="P196" s="1" t="n">
        <v>2009</v>
      </c>
      <c r="Q196" s="1" t="n">
        <v>2010</v>
      </c>
      <c r="R196" s="1" t="n">
        <v>2011</v>
      </c>
      <c r="S196" s="1" t="n">
        <v>2012</v>
      </c>
      <c r="T196" s="1" t="n">
        <v>2013</v>
      </c>
      <c r="U196" s="1" t="s">
        <v>87</v>
      </c>
      <c r="V196" s="1" t="s">
        <v>88</v>
      </c>
    </row>
    <row r="197" customFormat="false" ht="12.8" hidden="false" customHeight="false" outlineLevel="0" collapsed="false">
      <c r="A197" s="0"/>
      <c r="K197" s="0"/>
      <c r="L197" s="0"/>
      <c r="M197" s="0"/>
      <c r="N197" s="0"/>
      <c r="O197" s="0"/>
      <c r="P197" s="0"/>
      <c r="Q197" s="0"/>
      <c r="R197" s="0"/>
      <c r="S197" s="0"/>
      <c r="T197" s="0"/>
      <c r="U197" s="1" t="n">
        <v>0</v>
      </c>
      <c r="V197" s="1" t="n">
        <v>0</v>
      </c>
    </row>
    <row r="198" customFormat="false" ht="12.8" hidden="false" customHeight="false" outlineLevel="0" collapsed="false">
      <c r="A198" s="0"/>
      <c r="K198" s="0"/>
      <c r="L198" s="0"/>
      <c r="M198" s="0"/>
      <c r="N198" s="0"/>
      <c r="O198" s="0"/>
      <c r="P198" s="0"/>
      <c r="Q198" s="0"/>
      <c r="R198" s="0"/>
      <c r="S198" s="0"/>
      <c r="T198" s="0"/>
      <c r="U198" s="1" t="n">
        <v>0</v>
      </c>
      <c r="V198" s="1" t="n">
        <v>0</v>
      </c>
    </row>
    <row r="199" customFormat="false" ht="12.8" hidden="false" customHeight="false" outlineLevel="0" collapsed="false">
      <c r="A199" s="0"/>
      <c r="K199" s="0"/>
      <c r="L199" s="0"/>
      <c r="M199" s="0"/>
      <c r="N199" s="0"/>
      <c r="O199" s="0"/>
      <c r="P199" s="0"/>
      <c r="Q199" s="0"/>
      <c r="R199" s="0"/>
      <c r="S199" s="0"/>
      <c r="T199" s="0"/>
      <c r="U199" s="1" t="n">
        <v>0</v>
      </c>
      <c r="V199" s="1" t="n">
        <v>0</v>
      </c>
    </row>
    <row r="200" customFormat="false" ht="12.8" hidden="false" customHeight="false" outlineLevel="0" collapsed="false">
      <c r="A200" s="0"/>
      <c r="K200" s="0"/>
      <c r="L200" s="0"/>
      <c r="M200" s="0"/>
      <c r="N200" s="0"/>
      <c r="O200" s="0"/>
      <c r="P200" s="0"/>
      <c r="Q200" s="0"/>
      <c r="R200" s="0"/>
      <c r="S200" s="0"/>
      <c r="T200" s="0"/>
      <c r="U200" s="1" t="n">
        <v>0</v>
      </c>
      <c r="V200" s="1" t="n">
        <v>0</v>
      </c>
    </row>
    <row r="201" customFormat="false" ht="12.8" hidden="false" customHeight="false" outlineLevel="0" collapsed="false">
      <c r="A201" s="0"/>
      <c r="K201" s="0"/>
      <c r="L201" s="0"/>
      <c r="M201" s="0"/>
      <c r="N201" s="0"/>
      <c r="O201" s="0"/>
      <c r="P201" s="0"/>
      <c r="Q201" s="0"/>
      <c r="R201" s="0"/>
      <c r="S201" s="0"/>
      <c r="T201" s="0"/>
      <c r="U201" s="1" t="n">
        <v>0</v>
      </c>
      <c r="V201" s="1" t="n">
        <v>0</v>
      </c>
    </row>
    <row r="202" customFormat="false" ht="12.8" hidden="false" customHeight="false" outlineLevel="0" collapsed="false">
      <c r="A202" s="0"/>
      <c r="K202" s="0"/>
      <c r="L202" s="0"/>
      <c r="M202" s="0"/>
      <c r="N202" s="0"/>
      <c r="O202" s="0"/>
      <c r="P202" s="0"/>
      <c r="Q202" s="0"/>
      <c r="R202" s="0"/>
      <c r="S202" s="0"/>
      <c r="T202" s="0"/>
      <c r="U202" s="1" t="n">
        <v>0</v>
      </c>
      <c r="V202" s="1" t="n">
        <v>0</v>
      </c>
    </row>
    <row r="203" customFormat="false" ht="12.8" hidden="false" customHeight="false" outlineLevel="0" collapsed="false">
      <c r="A203" s="0"/>
      <c r="K203" s="0"/>
      <c r="L203" s="0"/>
      <c r="M203" s="0"/>
      <c r="N203" s="0"/>
      <c r="O203" s="0"/>
      <c r="P203" s="0"/>
      <c r="Q203" s="0"/>
      <c r="R203" s="0"/>
      <c r="S203" s="0"/>
      <c r="T203" s="0"/>
      <c r="U203" s="1" t="n">
        <v>0</v>
      </c>
      <c r="V203" s="1" t="n">
        <v>0</v>
      </c>
    </row>
    <row r="204" customFormat="false" ht="12.8" hidden="false" customHeight="false" outlineLevel="0" collapsed="false">
      <c r="A204" s="0"/>
      <c r="K204" s="0"/>
      <c r="L204" s="0"/>
      <c r="M204" s="0"/>
      <c r="N204" s="0"/>
      <c r="O204" s="0"/>
      <c r="P204" s="0"/>
      <c r="Q204" s="0"/>
      <c r="R204" s="0"/>
      <c r="S204" s="0"/>
      <c r="T204" s="0"/>
      <c r="U204" s="1" t="n">
        <v>0</v>
      </c>
      <c r="V204" s="1" t="n">
        <v>0</v>
      </c>
    </row>
    <row r="205" customFormat="false" ht="12.8" hidden="false" customHeight="false" outlineLevel="0" collapsed="false">
      <c r="A205" s="0"/>
      <c r="K205" s="0"/>
      <c r="L205" s="0"/>
      <c r="M205" s="0"/>
      <c r="N205" s="0"/>
      <c r="O205" s="0"/>
      <c r="P205" s="0"/>
      <c r="Q205" s="0"/>
      <c r="R205" s="0"/>
      <c r="S205" s="0"/>
      <c r="T205" s="0"/>
      <c r="U205" s="1" t="n">
        <v>0</v>
      </c>
      <c r="V205" s="1" t="n">
        <v>0</v>
      </c>
    </row>
    <row r="206" customFormat="false" ht="12.8" hidden="false" customHeight="false" outlineLevel="0" collapsed="false">
      <c r="A206" s="0"/>
      <c r="K206" s="0"/>
      <c r="L206" s="0"/>
      <c r="M206" s="0"/>
      <c r="N206" s="0"/>
      <c r="O206" s="0"/>
      <c r="P206" s="0"/>
      <c r="Q206" s="0"/>
      <c r="R206" s="0"/>
      <c r="S206" s="0"/>
      <c r="T206" s="0"/>
    </row>
    <row r="207" customFormat="false" ht="12.8" hidden="false" customHeight="false" outlineLevel="0" collapsed="false">
      <c r="A207" s="0"/>
      <c r="K207" s="0"/>
      <c r="L207" s="0"/>
      <c r="M207" s="0"/>
      <c r="N207" s="0"/>
      <c r="O207" s="0"/>
      <c r="P207" s="0"/>
      <c r="Q207" s="0"/>
      <c r="R207" s="0"/>
      <c r="S207" s="0"/>
    </row>
    <row r="208" customFormat="false" ht="12.8" hidden="false" customHeight="false" outlineLevel="0" collapsed="false">
      <c r="A208" s="0"/>
      <c r="K208" s="0"/>
      <c r="L208" s="0"/>
      <c r="M208" s="0"/>
      <c r="N208" s="0"/>
      <c r="O208" s="0"/>
      <c r="P208" s="0"/>
      <c r="Q208" s="0"/>
      <c r="R208" s="0"/>
      <c r="S208" s="0"/>
    </row>
    <row r="209" customFormat="false" ht="12.8" hidden="false" customHeight="false" outlineLevel="0" collapsed="false">
      <c r="A209" s="0"/>
      <c r="K209" s="0"/>
      <c r="O209" s="0"/>
      <c r="Q209" s="0"/>
    </row>
    <row r="210" customFormat="false" ht="12.8" hidden="false" customHeight="false" outlineLevel="0" collapsed="false">
      <c r="A210" s="0"/>
      <c r="K210" s="0"/>
      <c r="O210" s="0"/>
      <c r="Q210" s="0"/>
    </row>
    <row r="211" customFormat="false" ht="12.8" hidden="false" customHeight="false" outlineLevel="0" collapsed="false">
      <c r="A211" s="0"/>
      <c r="K211" s="0"/>
      <c r="O211" s="0"/>
      <c r="Q211" s="0"/>
    </row>
    <row r="212" customFormat="false" ht="12.8" hidden="false" customHeight="false" outlineLevel="0" collapsed="false">
      <c r="A212" s="0"/>
      <c r="K212" s="0"/>
      <c r="O212" s="0"/>
      <c r="Q212" s="0"/>
    </row>
    <row r="213" customFormat="false" ht="12.8" hidden="false" customHeight="false" outlineLevel="0" collapsed="false">
      <c r="A213" s="0"/>
      <c r="K213" s="0"/>
      <c r="O213" s="0"/>
      <c r="Q213" s="0"/>
    </row>
    <row r="214" customFormat="false" ht="12.8" hidden="false" customHeight="false" outlineLevel="0" collapsed="false">
      <c r="A214" s="0"/>
      <c r="K214" s="0"/>
      <c r="O214" s="0"/>
      <c r="Q214" s="0"/>
    </row>
    <row r="215" customFormat="false" ht="12.8" hidden="false" customHeight="false" outlineLevel="0" collapsed="false">
      <c r="A215" s="0"/>
      <c r="K215" s="0"/>
      <c r="O215" s="0"/>
      <c r="Q215" s="0"/>
    </row>
    <row r="216" customFormat="false" ht="12.8" hidden="false" customHeight="false" outlineLevel="0" collapsed="false">
      <c r="A216" s="0"/>
      <c r="K216" s="0"/>
      <c r="O216" s="0"/>
      <c r="Q216" s="0"/>
    </row>
    <row r="217" customFormat="false" ht="12.8" hidden="false" customHeight="false" outlineLevel="0" collapsed="false">
      <c r="A217" s="0"/>
      <c r="K217" s="0"/>
      <c r="O217" s="0"/>
      <c r="Q217" s="0"/>
    </row>
    <row r="218" customFormat="false" ht="12.8" hidden="false" customHeight="false" outlineLevel="0" collapsed="false">
      <c r="A218" s="0"/>
      <c r="K218" s="0"/>
      <c r="O218" s="0"/>
      <c r="Q218" s="0"/>
    </row>
    <row r="219" customFormat="false" ht="12.8" hidden="false" customHeight="false" outlineLevel="0" collapsed="false">
      <c r="A219" s="0"/>
      <c r="K219" s="0"/>
      <c r="O219" s="0"/>
      <c r="Q219" s="0"/>
    </row>
    <row r="220" customFormat="false" ht="12.8" hidden="false" customHeight="false" outlineLevel="0" collapsed="false">
      <c r="K220" s="0"/>
      <c r="O220" s="0"/>
      <c r="Q220" s="0"/>
    </row>
    <row r="221" customFormat="false" ht="12.8" hidden="false" customHeight="false" outlineLevel="0" collapsed="false">
      <c r="K221" s="0"/>
      <c r="Q221" s="0"/>
    </row>
    <row r="222" customFormat="false" ht="12.8" hidden="false" customHeight="false" outlineLevel="0" collapsed="false">
      <c r="K222" s="0"/>
      <c r="Q222" s="0"/>
    </row>
    <row r="223" customFormat="false" ht="12.8" hidden="false" customHeight="false" outlineLevel="0" collapsed="false">
      <c r="K223" s="0"/>
      <c r="Q223" s="0"/>
    </row>
    <row r="224" customFormat="false" ht="12.8" hidden="false" customHeight="false" outlineLevel="0" collapsed="false">
      <c r="K224" s="0"/>
      <c r="Q224" s="0"/>
    </row>
    <row r="225" customFormat="false" ht="12.8" hidden="false" customHeight="false" outlineLevel="0" collapsed="false">
      <c r="K225" s="0"/>
      <c r="Q225" s="0"/>
    </row>
    <row r="226" customFormat="false" ht="12.8" hidden="false" customHeight="false" outlineLevel="0" collapsed="false">
      <c r="K226" s="0"/>
      <c r="Q226" s="0"/>
    </row>
    <row r="227" customFormat="false" ht="12.8" hidden="false" customHeight="false" outlineLevel="0" collapsed="false">
      <c r="K227" s="0"/>
      <c r="Q227" s="0"/>
    </row>
    <row r="228" customFormat="false" ht="12.8" hidden="false" customHeight="false" outlineLevel="0" collapsed="false">
      <c r="K228" s="0"/>
      <c r="Q228" s="0"/>
    </row>
    <row r="229" customFormat="false" ht="12.8" hidden="false" customHeight="false" outlineLevel="0" collapsed="false">
      <c r="K229" s="0"/>
      <c r="Q229" s="0"/>
    </row>
    <row r="230" customFormat="false" ht="12.8" hidden="false" customHeight="false" outlineLevel="0" collapsed="false">
      <c r="K230" s="0"/>
      <c r="Q230" s="0"/>
    </row>
    <row r="231" customFormat="false" ht="12.8" hidden="false" customHeight="false" outlineLevel="0" collapsed="false">
      <c r="K231" s="0"/>
      <c r="Q231" s="0"/>
    </row>
    <row r="232" customFormat="false" ht="12.8" hidden="false" customHeight="false" outlineLevel="0" collapsed="false">
      <c r="K232" s="0"/>
      <c r="Q232" s="0"/>
    </row>
    <row r="233" customFormat="false" ht="12.8" hidden="false" customHeight="false" outlineLevel="0" collapsed="false">
      <c r="K233" s="0"/>
      <c r="Q233" s="0"/>
    </row>
    <row r="234" customFormat="false" ht="12.8" hidden="false" customHeight="false" outlineLevel="0" collapsed="false">
      <c r="K234" s="0"/>
      <c r="Q234" s="0"/>
    </row>
    <row r="235" customFormat="false" ht="12.8" hidden="false" customHeight="false" outlineLevel="0" collapsed="false">
      <c r="K235" s="0"/>
      <c r="Q235" s="0"/>
    </row>
    <row r="236" customFormat="false" ht="12.8" hidden="false" customHeight="false" outlineLevel="0" collapsed="false">
      <c r="K236" s="0"/>
      <c r="Q236" s="0"/>
    </row>
    <row r="237" customFormat="false" ht="12.8" hidden="false" customHeight="false" outlineLevel="0" collapsed="false">
      <c r="K237" s="0"/>
      <c r="Q237" s="0"/>
    </row>
    <row r="238" customFormat="false" ht="12.8" hidden="false" customHeight="false" outlineLevel="0" collapsed="false">
      <c r="K238" s="0"/>
      <c r="Q238" s="0"/>
    </row>
    <row r="239" customFormat="false" ht="12.8" hidden="false" customHeight="false" outlineLevel="0" collapsed="false">
      <c r="K239" s="0"/>
      <c r="Q239" s="0"/>
    </row>
    <row r="240" customFormat="false" ht="12.8" hidden="false" customHeight="false" outlineLevel="0" collapsed="false">
      <c r="K240" s="0"/>
      <c r="Q240" s="0"/>
    </row>
    <row r="241" customFormat="false" ht="12.8" hidden="false" customHeight="false" outlineLevel="0" collapsed="false">
      <c r="K241" s="0"/>
      <c r="Q241" s="0"/>
    </row>
    <row r="242" customFormat="false" ht="12.8" hidden="false" customHeight="false" outlineLevel="0" collapsed="false">
      <c r="K242" s="0"/>
      <c r="Q242" s="0"/>
    </row>
    <row r="243" customFormat="false" ht="12.8" hidden="false" customHeight="false" outlineLevel="0" collapsed="false">
      <c r="K243" s="0"/>
    </row>
    <row r="244" customFormat="false" ht="12.8" hidden="false" customHeight="false" outlineLevel="0" collapsed="false">
      <c r="K244" s="0"/>
    </row>
    <row r="245" customFormat="false" ht="12.8" hidden="false" customHeight="false" outlineLevel="0" collapsed="false">
      <c r="K245" s="0"/>
    </row>
    <row r="246" customFormat="false" ht="12.8" hidden="false" customHeight="false" outlineLevel="0" collapsed="false">
      <c r="K246" s="0"/>
    </row>
    <row r="247" customFormat="false" ht="12.8" hidden="false" customHeight="false" outlineLevel="0" collapsed="false">
      <c r="K247" s="0"/>
    </row>
    <row r="248" customFormat="false" ht="12.8" hidden="false" customHeight="false" outlineLevel="0" collapsed="false">
      <c r="K248" s="0"/>
    </row>
    <row r="249" customFormat="false" ht="12.8" hidden="false" customHeight="false" outlineLevel="0" collapsed="false">
      <c r="K249" s="0"/>
    </row>
    <row r="250" customFormat="false" ht="12.8" hidden="false" customHeight="false" outlineLevel="0" collapsed="false">
      <c r="K250" s="0"/>
    </row>
    <row r="251" customFormat="false" ht="12.8" hidden="false" customHeight="false" outlineLevel="0" collapsed="false">
      <c r="K251" s="0"/>
    </row>
    <row r="252" customFormat="false" ht="12.8" hidden="false" customHeight="false" outlineLevel="0" collapsed="false">
      <c r="K252" s="0"/>
    </row>
    <row r="253" customFormat="false" ht="12.8" hidden="false" customHeight="false" outlineLevel="0" collapsed="false">
      <c r="K253" s="0"/>
    </row>
    <row r="254" customFormat="false" ht="12.8" hidden="false" customHeight="false" outlineLevel="0" collapsed="false">
      <c r="K254" s="0"/>
    </row>
    <row r="255" customFormat="false" ht="12.8" hidden="false" customHeight="false" outlineLevel="0" collapsed="false">
      <c r="K255" s="0"/>
    </row>
    <row r="256" customFormat="false" ht="12.8" hidden="false" customHeight="false" outlineLevel="0" collapsed="false">
      <c r="K256" s="0"/>
    </row>
    <row r="257" customFormat="false" ht="12.8" hidden="false" customHeight="false" outlineLevel="0" collapsed="false">
      <c r="K257" s="0"/>
    </row>
    <row r="258" customFormat="false" ht="12.8" hidden="false" customHeight="false" outlineLevel="0" collapsed="false">
      <c r="K258" s="0"/>
    </row>
    <row r="259" customFormat="false" ht="12.8" hidden="false" customHeight="false" outlineLevel="0" collapsed="false">
      <c r="K259" s="0"/>
    </row>
    <row r="260" customFormat="false" ht="12.8" hidden="false" customHeight="false" outlineLevel="0" collapsed="false">
      <c r="K260" s="0"/>
    </row>
    <row r="261" customFormat="false" ht="12.8" hidden="false" customHeight="false" outlineLevel="0" collapsed="false">
      <c r="K261" s="0"/>
    </row>
    <row r="262" customFormat="false" ht="12.8" hidden="false" customHeight="false" outlineLevel="0" collapsed="false">
      <c r="K262" s="0"/>
    </row>
    <row r="263" customFormat="false" ht="12.8" hidden="false" customHeight="false" outlineLevel="0" collapsed="false">
      <c r="K263" s="0"/>
    </row>
    <row r="264" customFormat="false" ht="12.8" hidden="false" customHeight="false" outlineLevel="0" collapsed="false">
      <c r="K264" s="0"/>
    </row>
    <row r="265" customFormat="false" ht="12.8" hidden="false" customHeight="false" outlineLevel="0" collapsed="false">
      <c r="K265" s="0"/>
    </row>
    <row r="266" customFormat="false" ht="12.8" hidden="false" customHeight="false" outlineLevel="0" collapsed="false">
      <c r="K266" s="0"/>
    </row>
    <row r="267" customFormat="false" ht="12.8" hidden="false" customHeight="false" outlineLevel="0" collapsed="false">
      <c r="K267" s="0"/>
    </row>
    <row r="268" customFormat="false" ht="12.8" hidden="false" customHeight="false" outlineLevel="0" collapsed="false">
      <c r="K268" s="0"/>
    </row>
  </sheetData>
  <mergeCells count="16">
    <mergeCell ref="B1:E2"/>
    <mergeCell ref="F1:N1"/>
    <mergeCell ref="F2:I2"/>
    <mergeCell ref="J2:K2"/>
    <mergeCell ref="L2:M2"/>
    <mergeCell ref="N2:N3"/>
    <mergeCell ref="U2:U3"/>
    <mergeCell ref="T4:V4"/>
    <mergeCell ref="C6:D6"/>
    <mergeCell ref="F6:F7"/>
    <mergeCell ref="G6:N7"/>
    <mergeCell ref="C7:D7"/>
    <mergeCell ref="M148:N148"/>
    <mergeCell ref="P148:Q148"/>
    <mergeCell ref="M168:N168"/>
    <mergeCell ref="P168:Q168"/>
  </mergeCells>
  <conditionalFormatting sqref="E10:E11 E13:E14 E16:E17 E19:E20 E22:E23 E25:E26 E28:E29 E31:E32 E34:E35 E37:E38 E40:E41 E43:E44 E46:E47 E49:E50 E52:E53 E55:E56 E58:E59 E61:E62 E64:E65 E67:E68 E70:E71 E73:E74 E76:E77 E79:E80 E82:E83 E85:E86 E88:E89 E91:E92 E94:E95 E97:E98 E100:E101 E103:E104 E106:E107 E109:E110 E112:E113 E115:E116 E118:E119 E121:E122 E124:E125 E127:E128 E130:E131 E133:E134 E136:E137 E139:E140 E142:E143 E145:E146 E148:E149 E151:E152 E154:E155 E157:E158 E160:E161 E163:E164 E166:E167 E169:E170 E172:E173 E175:E176 E178:E186">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2 E15 E18 E21 E24 E27 E30 E33 E36 E39 E42 E45 E48 E51 E54 E57 E60 E63 E66 E69 E72 E75 E78 E81 E84 E87 E90 E93 E96 E99 E102 E105 E108 E111 E114 E117 E120 E123 E126 E129 E132 E135 E138 E141 E144 E147 E150 E153 E156 E159 E162 E165 E168 E171 E174 E177">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6.xml><?xml version="1.0" encoding="utf-8"?>
<worksheet xmlns="http://schemas.openxmlformats.org/spreadsheetml/2006/main" xmlns:r="http://schemas.openxmlformats.org/officeDocument/2006/relationships">
  <sheetPr filterMode="false">
    <tabColor rgb="FF3FAF46"/>
    <pageSetUpPr fitToPage="false"/>
  </sheetPr>
  <dimension ref="A1:V19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51" activePane="bottomRight" state="frozen"/>
      <selection pane="topLeft" activeCell="A1" activeCellId="0" sqref="A1"/>
      <selection pane="topRight" activeCell="B1" activeCellId="0" sqref="B1"/>
      <selection pane="bottomLeft" activeCell="A151" activeCellId="0" sqref="A151"/>
      <selection pane="bottomRight" activeCell="O95" activeCellId="0" sqref="O95"/>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892</v>
      </c>
      <c r="C4" s="16" t="n">
        <v>62299</v>
      </c>
      <c r="D4" s="5" t="s">
        <v>893</v>
      </c>
      <c r="E4" s="14" t="s">
        <v>894</v>
      </c>
      <c r="F4" s="15" t="n">
        <v>275</v>
      </c>
      <c r="G4" s="15" t="n">
        <v>275</v>
      </c>
      <c r="H4" s="15" t="n">
        <v>275</v>
      </c>
      <c r="I4" s="16"/>
      <c r="J4" s="15" t="n">
        <v>275</v>
      </c>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291" t="s">
        <v>118</v>
      </c>
      <c r="H6" s="291"/>
      <c r="I6" s="291"/>
      <c r="J6" s="291"/>
      <c r="K6" s="291"/>
      <c r="L6" s="291"/>
      <c r="M6" s="291"/>
      <c r="N6" s="291"/>
      <c r="P6" s="21" t="n">
        <v>42370</v>
      </c>
      <c r="Q6" s="19" t="s">
        <v>27</v>
      </c>
      <c r="R6" s="9"/>
      <c r="S6" s="22"/>
      <c r="T6" s="5" t="s">
        <v>28</v>
      </c>
    </row>
    <row r="7" customFormat="false" ht="41.65" hidden="false" customHeight="true" outlineLevel="0" collapsed="false">
      <c r="A7" s="0"/>
      <c r="B7" s="0"/>
      <c r="C7" s="126" t="s">
        <v>895</v>
      </c>
      <c r="D7" s="126"/>
      <c r="F7" s="20"/>
      <c r="G7" s="20"/>
      <c r="H7" s="291"/>
      <c r="I7" s="291"/>
      <c r="J7" s="291"/>
      <c r="K7" s="291"/>
      <c r="L7" s="291"/>
      <c r="M7" s="291"/>
      <c r="N7" s="291"/>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205" t="s">
        <v>40</v>
      </c>
      <c r="K9" s="206"/>
    </row>
    <row r="10" customFormat="false" ht="25" hidden="false" customHeight="true" outlineLevel="0" collapsed="false">
      <c r="A10" s="0" t="n">
        <v>31</v>
      </c>
      <c r="B10" s="31" t="n">
        <v>39083</v>
      </c>
      <c r="C10" s="26" t="n">
        <v>91945</v>
      </c>
      <c r="D10" s="1" t="s">
        <v>42</v>
      </c>
      <c r="E10" s="33" t="n">
        <f aca="false">IF(D10="totale",(C10/(A10*24))/F10,IF(D10="marché libre",(C10/(A10*24))/G10,"spécifier histo"))</f>
        <v>0.449389051808407</v>
      </c>
      <c r="F10" s="59" t="n">
        <v>275</v>
      </c>
      <c r="G10" s="59" t="n">
        <f aca="false">F10-H10</f>
        <v>275</v>
      </c>
      <c r="H10" s="59" t="n">
        <v>0</v>
      </c>
      <c r="I10" s="9"/>
      <c r="J10" s="205"/>
      <c r="K10" s="206"/>
    </row>
    <row r="11" customFormat="false" ht="25" hidden="false" customHeight="true" outlineLevel="0" collapsed="false">
      <c r="A11" s="0" t="n">
        <v>28</v>
      </c>
      <c r="B11" s="34" t="n">
        <v>39114</v>
      </c>
      <c r="C11" s="26" t="n">
        <v>112476</v>
      </c>
      <c r="D11" s="1" t="s">
        <v>42</v>
      </c>
      <c r="E11" s="33" t="n">
        <f aca="false">IF(D11="totale",(C11/(A11*24))/F11,IF(D11="marché libre",(C11/(A11*24))/G11,"spécifier histo"))</f>
        <v>0.608636363636364</v>
      </c>
      <c r="F11" s="59" t="n">
        <v>275</v>
      </c>
      <c r="G11" s="59" t="n">
        <f aca="false">F11-H11</f>
        <v>275</v>
      </c>
      <c r="H11" s="59" t="n">
        <v>0</v>
      </c>
      <c r="I11" s="9"/>
      <c r="J11" s="205"/>
      <c r="K11" s="206"/>
    </row>
    <row r="12" customFormat="false" ht="25" hidden="false" customHeight="true" outlineLevel="0" collapsed="false">
      <c r="A12" s="0" t="n">
        <v>31</v>
      </c>
      <c r="B12" s="31" t="n">
        <v>39142</v>
      </c>
      <c r="C12" s="26" t="n">
        <v>131293</v>
      </c>
      <c r="D12" s="1" t="s">
        <v>42</v>
      </c>
      <c r="E12" s="33" t="n">
        <f aca="false">IF(D12="totale",(C12/(A12*24))/F12,IF(D12="marché libre",(C12/(A12*24))/G12,"spécifier histo"))</f>
        <v>0.641705767350929</v>
      </c>
      <c r="F12" s="59" t="n">
        <v>275</v>
      </c>
      <c r="G12" s="59" t="n">
        <f aca="false">F12-H12</f>
        <v>275</v>
      </c>
      <c r="H12" s="59" t="n">
        <v>0</v>
      </c>
      <c r="I12" s="9"/>
      <c r="J12" s="205"/>
      <c r="K12" s="206"/>
      <c r="L12" s="206"/>
      <c r="M12" s="206"/>
      <c r="N12" s="206"/>
      <c r="O12" s="206"/>
      <c r="P12" s="206"/>
      <c r="Q12" s="206"/>
      <c r="R12" s="206"/>
      <c r="S12" s="206"/>
    </row>
    <row r="13" customFormat="false" ht="25" hidden="false" customHeight="true" outlineLevel="0" collapsed="false">
      <c r="A13" s="0" t="n">
        <v>30</v>
      </c>
      <c r="B13" s="34" t="n">
        <v>39173</v>
      </c>
      <c r="C13" s="26" t="n">
        <v>72709</v>
      </c>
      <c r="D13" s="1" t="s">
        <v>42</v>
      </c>
      <c r="E13" s="33" t="n">
        <f aca="false">IF(D13="totale",(C13/(A13*24))/F13,IF(D13="marché libre",(C13/(A13*24))/G13,"spécifier histo"))</f>
        <v>0.367217171717172</v>
      </c>
      <c r="F13" s="59" t="n">
        <v>275</v>
      </c>
      <c r="G13" s="59" t="n">
        <f aca="false">F13-H13</f>
        <v>275</v>
      </c>
      <c r="H13" s="59" t="n">
        <v>0</v>
      </c>
      <c r="I13" s="9"/>
      <c r="J13" s="205"/>
      <c r="K13" s="206"/>
      <c r="L13" s="206"/>
      <c r="M13" s="206"/>
      <c r="N13" s="206"/>
      <c r="O13" s="206"/>
      <c r="P13" s="206"/>
      <c r="Q13" s="206"/>
      <c r="R13" s="206"/>
      <c r="S13" s="206"/>
    </row>
    <row r="14" customFormat="false" ht="25" hidden="false" customHeight="true" outlineLevel="0" collapsed="false">
      <c r="A14" s="0" t="n">
        <v>31</v>
      </c>
      <c r="B14" s="31" t="n">
        <v>39203</v>
      </c>
      <c r="C14" s="26" t="n">
        <v>78545</v>
      </c>
      <c r="D14" s="1" t="s">
        <v>42</v>
      </c>
      <c r="E14" s="33" t="n">
        <f aca="false">IF(D14="totale",(C14/(A14*24))/F14,IF(D14="marché libre",(C14/(A14*24))/G14,"spécifier histo"))</f>
        <v>0.383895405669599</v>
      </c>
      <c r="F14" s="59" t="n">
        <v>275</v>
      </c>
      <c r="G14" s="59" t="n">
        <f aca="false">F14-H14</f>
        <v>275</v>
      </c>
      <c r="H14" s="59" t="n">
        <v>0</v>
      </c>
      <c r="I14" s="9"/>
      <c r="J14" s="205"/>
      <c r="K14" s="206"/>
      <c r="L14" s="206"/>
      <c r="M14" s="206"/>
      <c r="N14" s="206"/>
      <c r="O14" s="206"/>
      <c r="P14" s="206"/>
      <c r="Q14" s="206"/>
      <c r="R14" s="206"/>
      <c r="S14" s="206"/>
    </row>
    <row r="15" customFormat="false" ht="25" hidden="false" customHeight="true" outlineLevel="0" collapsed="false">
      <c r="A15" s="0" t="n">
        <v>30</v>
      </c>
      <c r="B15" s="34" t="n">
        <v>39234</v>
      </c>
      <c r="C15" s="26" t="n">
        <v>114488</v>
      </c>
      <c r="D15" s="1" t="s">
        <v>42</v>
      </c>
      <c r="E15" s="33" t="n">
        <f aca="false">IF(D15="totale",(C15/(A15*24))/F15,IF(D15="marché libre",(C15/(A15*24))/G15,"spécifier histo"))</f>
        <v>0.578222222222222</v>
      </c>
      <c r="F15" s="59" t="n">
        <v>275</v>
      </c>
      <c r="G15" s="59" t="n">
        <f aca="false">F15-H15</f>
        <v>275</v>
      </c>
      <c r="H15" s="59" t="n">
        <v>0</v>
      </c>
      <c r="I15" s="9"/>
      <c r="J15" s="205"/>
      <c r="K15" s="206"/>
      <c r="L15" s="206"/>
      <c r="M15" s="206"/>
      <c r="N15" s="206"/>
      <c r="O15" s="206"/>
      <c r="P15" s="206"/>
      <c r="Q15" s="206"/>
      <c r="R15" s="206"/>
      <c r="S15" s="206"/>
    </row>
    <row r="16" customFormat="false" ht="25" hidden="false" customHeight="true" outlineLevel="0" collapsed="false">
      <c r="A16" s="0" t="n">
        <v>31</v>
      </c>
      <c r="B16" s="31" t="n">
        <v>39264</v>
      </c>
      <c r="C16" s="26" t="n">
        <v>46497</v>
      </c>
      <c r="D16" s="1" t="s">
        <v>42</v>
      </c>
      <c r="E16" s="33" t="n">
        <f aca="false">IF(D16="totale",(C16/(A16*24))/F16,IF(D16="marché libre",(C16/(A16*24))/G16,"spécifier histo"))</f>
        <v>0.227258064516129</v>
      </c>
      <c r="F16" s="59" t="n">
        <v>275</v>
      </c>
      <c r="G16" s="59" t="n">
        <f aca="false">F16-H16</f>
        <v>275</v>
      </c>
      <c r="H16" s="59" t="n">
        <v>0</v>
      </c>
      <c r="I16" s="9"/>
      <c r="J16" s="205"/>
      <c r="K16" s="206"/>
      <c r="L16" s="206"/>
      <c r="M16" s="206"/>
      <c r="N16" s="206"/>
      <c r="O16" s="206"/>
      <c r="P16" s="206"/>
      <c r="Q16" s="206"/>
      <c r="R16" s="206"/>
      <c r="S16" s="206"/>
    </row>
    <row r="17" customFormat="false" ht="25" hidden="false" customHeight="true" outlineLevel="0" collapsed="false">
      <c r="A17" s="0" t="n">
        <v>31</v>
      </c>
      <c r="B17" s="34" t="n">
        <v>39295</v>
      </c>
      <c r="C17" s="26" t="n">
        <v>32223</v>
      </c>
      <c r="D17" s="1" t="s">
        <v>42</v>
      </c>
      <c r="E17" s="33" t="n">
        <f aca="false">IF(D17="totale",(C17/(A17*24))/F17,IF(D17="marché libre",(C17/(A17*24))/G17,"spécifier histo"))</f>
        <v>0.157492668621701</v>
      </c>
      <c r="F17" s="59" t="n">
        <v>275</v>
      </c>
      <c r="G17" s="59" t="n">
        <f aca="false">F17-H17</f>
        <v>275</v>
      </c>
      <c r="H17" s="59" t="n">
        <v>0</v>
      </c>
      <c r="I17" s="9"/>
      <c r="J17" s="205"/>
      <c r="K17" s="206"/>
      <c r="L17" s="206"/>
      <c r="M17" s="206"/>
      <c r="N17" s="206"/>
      <c r="O17" s="206"/>
      <c r="P17" s="206"/>
      <c r="Q17" s="206"/>
      <c r="R17" s="206"/>
      <c r="S17" s="206"/>
    </row>
    <row r="18" customFormat="false" ht="25" hidden="false" customHeight="true" outlineLevel="0" collapsed="false">
      <c r="A18" s="0" t="n">
        <v>30</v>
      </c>
      <c r="B18" s="31" t="n">
        <v>39326</v>
      </c>
      <c r="C18" s="26" t="n">
        <v>55946</v>
      </c>
      <c r="D18" s="1" t="s">
        <v>42</v>
      </c>
      <c r="E18" s="33" t="n">
        <f aca="false">IF(D18="totale",(C18/(A18*24))/F18,IF(D18="marché libre",(C18/(A18*24))/G18,"spécifier histo"))</f>
        <v>0.282555555555556</v>
      </c>
      <c r="F18" s="59" t="n">
        <v>275</v>
      </c>
      <c r="G18" s="59" t="n">
        <f aca="false">F18-H18</f>
        <v>275</v>
      </c>
      <c r="H18" s="59" t="n">
        <v>0</v>
      </c>
      <c r="I18" s="9"/>
      <c r="J18" s="205"/>
      <c r="K18" s="206"/>
      <c r="L18" s="206"/>
      <c r="M18" s="206"/>
      <c r="N18" s="206"/>
      <c r="O18" s="206"/>
      <c r="P18" s="206"/>
      <c r="Q18" s="206"/>
      <c r="R18" s="206"/>
      <c r="S18" s="206"/>
    </row>
    <row r="19" customFormat="false" ht="25" hidden="false" customHeight="true" outlineLevel="0" collapsed="false">
      <c r="A19" s="0" t="n">
        <v>31</v>
      </c>
      <c r="B19" s="34" t="n">
        <v>39356</v>
      </c>
      <c r="C19" s="26" t="n">
        <v>21697</v>
      </c>
      <c r="D19" s="1" t="s">
        <v>42</v>
      </c>
      <c r="E19" s="33" t="n">
        <f aca="false">IF(D19="totale",(C19/(A19*24))/F19,IF(D19="marché libre",(C19/(A19*24))/G19,"spécifier histo"))</f>
        <v>0.106045943304008</v>
      </c>
      <c r="F19" s="59" t="n">
        <v>275</v>
      </c>
      <c r="G19" s="59" t="n">
        <f aca="false">F19-H19</f>
        <v>275</v>
      </c>
      <c r="H19" s="59" t="n">
        <v>0</v>
      </c>
      <c r="I19" s="9"/>
      <c r="J19" s="205"/>
      <c r="K19" s="206"/>
      <c r="L19" s="206"/>
      <c r="M19" s="206"/>
      <c r="N19" s="206"/>
      <c r="O19" s="206"/>
      <c r="P19" s="206"/>
      <c r="Q19" s="206"/>
      <c r="R19" s="206"/>
      <c r="S19" s="206"/>
    </row>
    <row r="20" customFormat="false" ht="25" hidden="false" customHeight="true" outlineLevel="0" collapsed="false">
      <c r="A20" s="0" t="n">
        <v>30</v>
      </c>
      <c r="B20" s="31" t="n">
        <v>39387</v>
      </c>
      <c r="C20" s="26" t="n">
        <v>26712</v>
      </c>
      <c r="D20" s="1" t="s">
        <v>42</v>
      </c>
      <c r="E20" s="33" t="n">
        <f aca="false">IF(D20="totale",(C20/(A20*24))/F20,IF(D20="marché libre",(C20/(A20*24))/G20,"spécifier histo"))</f>
        <v>0.134909090909091</v>
      </c>
      <c r="F20" s="59" t="n">
        <v>275</v>
      </c>
      <c r="G20" s="59" t="n">
        <f aca="false">F20-H20</f>
        <v>275</v>
      </c>
      <c r="H20" s="59" t="n">
        <v>0</v>
      </c>
      <c r="I20" s="9"/>
      <c r="J20" s="205"/>
      <c r="K20" s="206"/>
    </row>
    <row r="21" customFormat="false" ht="25" hidden="false" customHeight="true" outlineLevel="0" collapsed="false">
      <c r="A21" s="0" t="n">
        <v>31</v>
      </c>
      <c r="B21" s="34" t="n">
        <v>39417</v>
      </c>
      <c r="C21" s="26" t="n">
        <v>63314</v>
      </c>
      <c r="D21" s="1" t="s">
        <v>42</v>
      </c>
      <c r="E21" s="33" t="n">
        <f aca="false">IF(D21="totale",(C21/(A21*24))/F21,IF(D21="marché libre",(C21/(A21*24))/G21,"spécifier histo"))</f>
        <v>0.309452590420332</v>
      </c>
      <c r="F21" s="59" t="n">
        <v>275</v>
      </c>
      <c r="G21" s="59" t="n">
        <f aca="false">F21-H21</f>
        <v>275</v>
      </c>
      <c r="H21" s="59" t="n">
        <v>0</v>
      </c>
      <c r="I21" s="9"/>
      <c r="J21" s="205"/>
      <c r="K21" s="206"/>
    </row>
    <row r="22" customFormat="false" ht="25" hidden="false" customHeight="true" outlineLevel="0" collapsed="false">
      <c r="A22" s="0" t="n">
        <v>31</v>
      </c>
      <c r="B22" s="31" t="n">
        <v>39448</v>
      </c>
      <c r="C22" s="26" t="n">
        <v>121841</v>
      </c>
      <c r="D22" s="1" t="s">
        <v>42</v>
      </c>
      <c r="E22" s="33" t="n">
        <f aca="false">IF(D22="totale",(C22/(A22*24))/F22,IF(D22="marché libre",(C22/(A22*24))/G22,"spécifier histo"))</f>
        <v>0.595508308895406</v>
      </c>
      <c r="F22" s="59" t="n">
        <v>275</v>
      </c>
      <c r="G22" s="59" t="n">
        <f aca="false">F22-H22</f>
        <v>275</v>
      </c>
      <c r="H22" s="59" t="n">
        <v>0</v>
      </c>
      <c r="I22" s="9"/>
      <c r="J22" s="205"/>
      <c r="K22" s="206"/>
    </row>
    <row r="23" customFormat="false" ht="25" hidden="false" customHeight="true" outlineLevel="0" collapsed="false">
      <c r="A23" s="0" t="n">
        <v>28</v>
      </c>
      <c r="B23" s="34" t="n">
        <v>39479</v>
      </c>
      <c r="C23" s="26" t="n">
        <v>78384</v>
      </c>
      <c r="D23" s="1" t="s">
        <v>42</v>
      </c>
      <c r="E23" s="33" t="n">
        <f aca="false">IF(D23="totale",(C23/(A23*24))/F23,IF(D23="marché libre",(C23/(A23*24))/G23,"spécifier histo"))</f>
        <v>0.424155844155844</v>
      </c>
      <c r="F23" s="59" t="n">
        <v>275</v>
      </c>
      <c r="G23" s="59" t="n">
        <f aca="false">F23-H23</f>
        <v>275</v>
      </c>
      <c r="H23" s="59" t="n">
        <v>0</v>
      </c>
      <c r="I23" s="9"/>
      <c r="J23" s="205"/>
      <c r="K23" s="206"/>
    </row>
    <row r="24" customFormat="false" ht="25" hidden="false" customHeight="true" outlineLevel="0" collapsed="false">
      <c r="A24" s="0" t="n">
        <v>31</v>
      </c>
      <c r="B24" s="31" t="n">
        <v>39508</v>
      </c>
      <c r="C24" s="26" t="n">
        <v>120816</v>
      </c>
      <c r="D24" s="1" t="s">
        <v>42</v>
      </c>
      <c r="E24" s="33" t="n">
        <f aca="false">IF(D24="totale",(C24/(A24*24))/F24,IF(D24="marché libre",(C24/(A24*24))/G24,"spécifier histo"))</f>
        <v>0.59049853372434</v>
      </c>
      <c r="F24" s="59" t="n">
        <v>275</v>
      </c>
      <c r="G24" s="59" t="n">
        <f aca="false">F24-H24</f>
        <v>275</v>
      </c>
      <c r="H24" s="59" t="n">
        <v>0</v>
      </c>
      <c r="I24" s="9"/>
      <c r="J24" s="205"/>
      <c r="K24" s="206"/>
    </row>
    <row r="25" customFormat="false" ht="25" hidden="false" customHeight="true" outlineLevel="0" collapsed="false">
      <c r="A25" s="0" t="n">
        <v>30</v>
      </c>
      <c r="B25" s="34" t="n">
        <v>39539</v>
      </c>
      <c r="C25" s="26" t="n">
        <v>145027</v>
      </c>
      <c r="D25" s="1" t="s">
        <v>42</v>
      </c>
      <c r="E25" s="33" t="n">
        <f aca="false">IF(D25="totale",(C25/(A25*24))/F25,IF(D25="marché libre",(C25/(A25*24))/G25,"spécifier histo"))</f>
        <v>0.732459595959596</v>
      </c>
      <c r="F25" s="59" t="n">
        <v>275</v>
      </c>
      <c r="G25" s="59" t="n">
        <f aca="false">F25-H25</f>
        <v>275</v>
      </c>
      <c r="H25" s="59" t="n">
        <v>0</v>
      </c>
      <c r="I25" s="9"/>
      <c r="J25" s="205"/>
      <c r="K25" s="206"/>
    </row>
    <row r="26" customFormat="false" ht="25" hidden="false" customHeight="true" outlineLevel="0" collapsed="false">
      <c r="A26" s="0" t="n">
        <v>31</v>
      </c>
      <c r="B26" s="31" t="n">
        <v>39569</v>
      </c>
      <c r="C26" s="26" t="n">
        <v>156498</v>
      </c>
      <c r="D26" s="1" t="s">
        <v>42</v>
      </c>
      <c r="E26" s="33" t="n">
        <f aca="false">IF(D26="totale",(C26/(A26*24))/F26,IF(D26="marché libre",(C26/(A26*24))/G26,"spécifier histo"))</f>
        <v>0.764897360703812</v>
      </c>
      <c r="F26" s="59" t="n">
        <v>275</v>
      </c>
      <c r="G26" s="59" t="n">
        <f aca="false">F26-H26</f>
        <v>275</v>
      </c>
      <c r="H26" s="59" t="n">
        <v>0</v>
      </c>
      <c r="I26" s="9"/>
      <c r="J26" s="205"/>
      <c r="K26" s="206"/>
    </row>
    <row r="27" customFormat="false" ht="25" hidden="false" customHeight="true" outlineLevel="0" collapsed="false">
      <c r="A27" s="0" t="n">
        <v>30</v>
      </c>
      <c r="B27" s="34" t="n">
        <v>39600</v>
      </c>
      <c r="C27" s="26" t="n">
        <v>126394</v>
      </c>
      <c r="D27" s="1" t="s">
        <v>42</v>
      </c>
      <c r="E27" s="33" t="n">
        <f aca="false">IF(D27="totale",(C27/(A27*24))/F27,IF(D27="marché libre",(C27/(A27*24))/G27,"spécifier histo"))</f>
        <v>0.638353535353535</v>
      </c>
      <c r="F27" s="59" t="n">
        <v>275</v>
      </c>
      <c r="G27" s="59" t="n">
        <f aca="false">F27-H27</f>
        <v>275</v>
      </c>
      <c r="H27" s="59" t="n">
        <v>0</v>
      </c>
      <c r="I27" s="9"/>
      <c r="J27" s="205"/>
      <c r="K27" s="206"/>
    </row>
    <row r="28" customFormat="false" ht="25" hidden="false" customHeight="true" outlineLevel="0" collapsed="false">
      <c r="A28" s="0" t="n">
        <v>31</v>
      </c>
      <c r="B28" s="31" t="n">
        <v>39630</v>
      </c>
      <c r="C28" s="26" t="n">
        <v>77044</v>
      </c>
      <c r="D28" s="1" t="s">
        <v>42</v>
      </c>
      <c r="E28" s="33" t="n">
        <f aca="false">IF(D28="totale",(C28/(A28*24))/F28,IF(D28="marché libre",(C28/(A28*24))/G28,"spécifier histo"))</f>
        <v>0.376559139784946</v>
      </c>
      <c r="F28" s="59" t="n">
        <v>275</v>
      </c>
      <c r="G28" s="59" t="n">
        <f aca="false">F28-H28</f>
        <v>275</v>
      </c>
      <c r="H28" s="59" t="n">
        <v>0</v>
      </c>
      <c r="I28" s="9"/>
      <c r="J28" s="205"/>
      <c r="K28" s="206"/>
    </row>
    <row r="29" customFormat="false" ht="25" hidden="false" customHeight="true" outlineLevel="0" collapsed="false">
      <c r="A29" s="0" t="n">
        <v>31</v>
      </c>
      <c r="B29" s="34" t="n">
        <v>39661</v>
      </c>
      <c r="C29" s="26" t="n">
        <v>39752</v>
      </c>
      <c r="D29" s="1" t="s">
        <v>42</v>
      </c>
      <c r="E29" s="33" t="n">
        <f aca="false">IF(D29="totale",(C29/(A29*24))/F29,IF(D29="marché libre",(C29/(A29*24))/G29,"spécifier histo"))</f>
        <v>0.194291300097752</v>
      </c>
      <c r="F29" s="59" t="n">
        <v>275</v>
      </c>
      <c r="G29" s="59" t="n">
        <f aca="false">F29-H29</f>
        <v>275</v>
      </c>
      <c r="H29" s="59" t="n">
        <v>0</v>
      </c>
      <c r="I29" s="9"/>
      <c r="J29" s="205"/>
      <c r="K29" s="206"/>
    </row>
    <row r="30" customFormat="false" ht="25" hidden="false" customHeight="true" outlineLevel="0" collapsed="false">
      <c r="A30" s="0" t="n">
        <v>30</v>
      </c>
      <c r="B30" s="31" t="n">
        <v>39692</v>
      </c>
      <c r="C30" s="26" t="n">
        <v>15415</v>
      </c>
      <c r="D30" s="1" t="s">
        <v>42</v>
      </c>
      <c r="E30" s="33" t="n">
        <f aca="false">IF(D30="totale",(C30/(A30*24))/F30,IF(D30="marché libre",(C30/(A30*24))/G30,"spécifier histo"))</f>
        <v>0.0778535353535354</v>
      </c>
      <c r="F30" s="59" t="n">
        <v>275</v>
      </c>
      <c r="G30" s="59" t="n">
        <f aca="false">F30-H30</f>
        <v>275</v>
      </c>
      <c r="H30" s="59" t="n">
        <v>0</v>
      </c>
      <c r="I30" s="9"/>
      <c r="J30" s="205"/>
      <c r="K30" s="206"/>
    </row>
    <row r="31" customFormat="false" ht="25" hidden="false" customHeight="true" outlineLevel="0" collapsed="false">
      <c r="A31" s="0" t="n">
        <v>31</v>
      </c>
      <c r="B31" s="34" t="n">
        <v>39722</v>
      </c>
      <c r="C31" s="26" t="n">
        <v>10720</v>
      </c>
      <c r="D31" s="1" t="s">
        <v>42</v>
      </c>
      <c r="E31" s="33" t="n">
        <f aca="false">IF(D31="totale",(C31/(A31*24))/F31,IF(D31="marché libre",(C31/(A31*24))/G31,"spécifier histo"))</f>
        <v>0.0523949169110459</v>
      </c>
      <c r="F31" s="59" t="n">
        <v>275</v>
      </c>
      <c r="G31" s="59" t="n">
        <f aca="false">F31-H31</f>
        <v>275</v>
      </c>
      <c r="H31" s="59" t="n">
        <v>0</v>
      </c>
      <c r="I31" s="9"/>
      <c r="J31" s="205"/>
      <c r="K31" s="206"/>
    </row>
    <row r="32" customFormat="false" ht="25" hidden="false" customHeight="true" outlineLevel="0" collapsed="false">
      <c r="A32" s="0" t="n">
        <v>30</v>
      </c>
      <c r="B32" s="31" t="n">
        <v>39753</v>
      </c>
      <c r="C32" s="26" t="n">
        <v>85772</v>
      </c>
      <c r="D32" s="1" t="s">
        <v>42</v>
      </c>
      <c r="E32" s="33" t="n">
        <f aca="false">IF(D32="totale",(C32/(A32*24))/F32,IF(D32="marché libre",(C32/(A32*24))/G32,"spécifier histo"))</f>
        <v>0.433191919191919</v>
      </c>
      <c r="F32" s="59" t="n">
        <v>275</v>
      </c>
      <c r="G32" s="59" t="n">
        <f aca="false">F32-H32</f>
        <v>275</v>
      </c>
      <c r="H32" s="59" t="n">
        <v>0</v>
      </c>
      <c r="I32" s="9"/>
      <c r="J32" s="205"/>
      <c r="K32" s="206"/>
    </row>
    <row r="33" customFormat="false" ht="25" hidden="false" customHeight="true" outlineLevel="0" collapsed="false">
      <c r="A33" s="0" t="n">
        <v>31</v>
      </c>
      <c r="B33" s="34" t="n">
        <v>39783</v>
      </c>
      <c r="C33" s="26" t="n">
        <v>121427</v>
      </c>
      <c r="D33" s="1" t="s">
        <v>42</v>
      </c>
      <c r="E33" s="33" t="n">
        <f aca="false">IF(D33="totale",(C33/(A33*24))/F33,IF(D33="marché libre",(C33/(A33*24))/G33,"spécifier histo"))</f>
        <v>0.593484848484848</v>
      </c>
      <c r="F33" s="59" t="n">
        <v>275</v>
      </c>
      <c r="G33" s="59" t="n">
        <f aca="false">F33-H33</f>
        <v>275</v>
      </c>
      <c r="H33" s="59" t="n">
        <v>0</v>
      </c>
      <c r="I33" s="9"/>
      <c r="J33" s="205"/>
      <c r="K33" s="206"/>
    </row>
    <row r="34" customFormat="false" ht="25" hidden="false" customHeight="true" outlineLevel="0" collapsed="false">
      <c r="A34" s="0" t="n">
        <v>31</v>
      </c>
      <c r="B34" s="31" t="n">
        <v>39814</v>
      </c>
      <c r="C34" s="26" t="n">
        <v>115394</v>
      </c>
      <c r="D34" s="1" t="s">
        <v>42</v>
      </c>
      <c r="E34" s="33" t="n">
        <f aca="false">IF(D34="totale",(C34/(A34*24))/F34,IF(D34="marché libre",(C34/(A34*24))/G34,"spécifier histo"))</f>
        <v>0.563998044965787</v>
      </c>
      <c r="F34" s="59" t="n">
        <v>275</v>
      </c>
      <c r="G34" s="59" t="n">
        <f aca="false">F34-H34</f>
        <v>275</v>
      </c>
      <c r="H34" s="59" t="n">
        <v>0</v>
      </c>
      <c r="I34" s="9"/>
      <c r="J34" s="205"/>
      <c r="K34" s="206"/>
    </row>
    <row r="35" customFormat="false" ht="25" hidden="false" customHeight="true" outlineLevel="0" collapsed="false">
      <c r="A35" s="0" t="n">
        <v>28</v>
      </c>
      <c r="B35" s="34" t="n">
        <v>39845</v>
      </c>
      <c r="C35" s="26" t="n">
        <v>125801</v>
      </c>
      <c r="D35" s="1" t="s">
        <v>42</v>
      </c>
      <c r="E35" s="33" t="n">
        <f aca="false">IF(D35="totale",(C35/(A35*24))/F35,IF(D35="marché libre",(C35/(A35*24))/G35,"spécifier histo"))</f>
        <v>0.680741341991342</v>
      </c>
      <c r="F35" s="59" t="n">
        <v>275</v>
      </c>
      <c r="G35" s="59" t="n">
        <f aca="false">F35-H35</f>
        <v>275</v>
      </c>
      <c r="H35" s="59" t="n">
        <v>0</v>
      </c>
      <c r="I35" s="9"/>
      <c r="J35" s="205"/>
      <c r="K35" s="206"/>
    </row>
    <row r="36" customFormat="false" ht="25" hidden="false" customHeight="true" outlineLevel="0" collapsed="false">
      <c r="A36" s="0" t="n">
        <v>31</v>
      </c>
      <c r="B36" s="31" t="n">
        <v>39873</v>
      </c>
      <c r="C36" s="26" t="n">
        <v>119488</v>
      </c>
      <c r="D36" s="1" t="s">
        <v>42</v>
      </c>
      <c r="E36" s="33" t="n">
        <f aca="false">IF(D36="totale",(C36/(A36*24))/F36,IF(D36="marché libre",(C36/(A36*24))/G36,"spécifier histo"))</f>
        <v>0.584007820136852</v>
      </c>
      <c r="F36" s="59" t="n">
        <v>275</v>
      </c>
      <c r="G36" s="59" t="n">
        <f aca="false">F36-H36</f>
        <v>275</v>
      </c>
      <c r="H36" s="59" t="n">
        <v>0</v>
      </c>
      <c r="I36" s="9"/>
      <c r="J36" s="205"/>
      <c r="K36" s="206"/>
    </row>
    <row r="37" customFormat="false" ht="25" hidden="false" customHeight="true" outlineLevel="0" collapsed="false">
      <c r="A37" s="0" t="n">
        <v>30</v>
      </c>
      <c r="B37" s="34" t="n">
        <v>39904</v>
      </c>
      <c r="C37" s="26" t="n">
        <v>132910</v>
      </c>
      <c r="D37" s="1" t="s">
        <v>42</v>
      </c>
      <c r="E37" s="33" t="n">
        <f aca="false">IF(D37="totale",(C37/(A37*24))/F37,IF(D37="marché libre",(C37/(A37*24))/G37,"spécifier histo"))</f>
        <v>0.671262626262626</v>
      </c>
      <c r="F37" s="59" t="n">
        <v>275</v>
      </c>
      <c r="G37" s="59" t="n">
        <f aca="false">F37-H37</f>
        <v>275</v>
      </c>
      <c r="H37" s="59" t="n">
        <v>0</v>
      </c>
      <c r="I37" s="9"/>
      <c r="J37" s="205"/>
      <c r="K37" s="206"/>
    </row>
    <row r="38" customFormat="false" ht="25" hidden="false" customHeight="true" outlineLevel="0" collapsed="false">
      <c r="A38" s="0" t="n">
        <v>31</v>
      </c>
      <c r="B38" s="31" t="n">
        <v>39934</v>
      </c>
      <c r="C38" s="26" t="n">
        <v>109263</v>
      </c>
      <c r="D38" s="1" t="s">
        <v>42</v>
      </c>
      <c r="E38" s="33" t="n">
        <f aca="false">IF(D38="totale",(C38/(A38*24))/F38,IF(D38="marché libre",(C38/(A38*24))/G38,"spécifier histo"))</f>
        <v>0.534032258064516</v>
      </c>
      <c r="F38" s="59" t="n">
        <v>275</v>
      </c>
      <c r="G38" s="59" t="n">
        <f aca="false">F38-H38</f>
        <v>275</v>
      </c>
      <c r="H38" s="59" t="n">
        <v>0</v>
      </c>
      <c r="I38" s="9"/>
      <c r="J38" s="205"/>
      <c r="K38" s="206"/>
    </row>
    <row r="39" customFormat="false" ht="25" hidden="false" customHeight="true" outlineLevel="0" collapsed="false">
      <c r="A39" s="0" t="n">
        <v>30</v>
      </c>
      <c r="B39" s="34" t="n">
        <v>39965</v>
      </c>
      <c r="C39" s="26" t="n">
        <v>48005</v>
      </c>
      <c r="D39" s="1" t="s">
        <v>42</v>
      </c>
      <c r="E39" s="33" t="n">
        <f aca="false">IF(D39="totale",(C39/(A39*24))/F39,IF(D39="marché libre",(C39/(A39*24))/G39,"spécifier histo"))</f>
        <v>0.242449494949495</v>
      </c>
      <c r="F39" s="59" t="n">
        <v>275</v>
      </c>
      <c r="G39" s="59" t="n">
        <f aca="false">F39-H39</f>
        <v>275</v>
      </c>
      <c r="H39" s="59" t="n">
        <v>0</v>
      </c>
      <c r="I39" s="9"/>
      <c r="J39" s="205"/>
      <c r="K39" s="206"/>
    </row>
    <row r="40" customFormat="false" ht="25" hidden="false" customHeight="true" outlineLevel="0" collapsed="false">
      <c r="A40" s="0" t="n">
        <v>31</v>
      </c>
      <c r="B40" s="31" t="n">
        <v>39995</v>
      </c>
      <c r="C40" s="26" t="n">
        <v>29745</v>
      </c>
      <c r="D40" s="1" t="s">
        <v>42</v>
      </c>
      <c r="E40" s="33" t="n">
        <f aca="false">IF(D40="totale",(C40/(A40*24))/F40,IF(D40="marché libre",(C40/(A40*24))/G40,"spécifier histo"))</f>
        <v>0.145381231671554</v>
      </c>
      <c r="F40" s="59" t="n">
        <v>275</v>
      </c>
      <c r="G40" s="59" t="n">
        <f aca="false">F40-H40</f>
        <v>275</v>
      </c>
      <c r="H40" s="59" t="n">
        <v>0</v>
      </c>
      <c r="I40" s="9"/>
      <c r="J40" s="205"/>
      <c r="K40" s="206"/>
    </row>
    <row r="41" customFormat="false" ht="25" hidden="false" customHeight="true" outlineLevel="0" collapsed="false">
      <c r="A41" s="0" t="n">
        <v>31</v>
      </c>
      <c r="B41" s="34" t="n">
        <v>40026</v>
      </c>
      <c r="C41" s="26" t="n">
        <v>6297</v>
      </c>
      <c r="D41" s="1" t="s">
        <v>42</v>
      </c>
      <c r="E41" s="33" t="n">
        <f aca="false">IF(D41="totale",(C41/(A41*24))/F41,IF(D41="marché libre",(C41/(A41*24))/G41,"spécifier histo"))</f>
        <v>0.0307771260997067</v>
      </c>
      <c r="F41" s="59" t="n">
        <v>275</v>
      </c>
      <c r="G41" s="59" t="n">
        <f aca="false">F41-H41</f>
        <v>275</v>
      </c>
      <c r="H41" s="59" t="n">
        <v>0</v>
      </c>
      <c r="I41" s="9"/>
      <c r="J41" s="205"/>
      <c r="K41" s="206"/>
    </row>
    <row r="42" customFormat="false" ht="25" hidden="false" customHeight="true" outlineLevel="0" collapsed="false">
      <c r="A42" s="0" t="n">
        <v>30</v>
      </c>
      <c r="B42" s="31" t="n">
        <v>40057</v>
      </c>
      <c r="C42" s="26" t="n">
        <v>8369</v>
      </c>
      <c r="D42" s="1" t="s">
        <v>42</v>
      </c>
      <c r="E42" s="33" t="n">
        <f aca="false">IF(D42="totale",(C42/(A42*24))/F42,IF(D42="marché libre",(C42/(A42*24))/G42,"spécifier histo"))</f>
        <v>0.0422676767676768</v>
      </c>
      <c r="F42" s="59" t="n">
        <v>275</v>
      </c>
      <c r="G42" s="59" t="n">
        <f aca="false">F42-H42</f>
        <v>275</v>
      </c>
      <c r="H42" s="59" t="n">
        <v>0</v>
      </c>
      <c r="I42" s="9"/>
      <c r="J42" s="205"/>
      <c r="K42" s="206"/>
    </row>
    <row r="43" customFormat="false" ht="25" hidden="false" customHeight="true" outlineLevel="0" collapsed="false">
      <c r="A43" s="0" t="n">
        <v>31</v>
      </c>
      <c r="B43" s="34" t="n">
        <v>40087</v>
      </c>
      <c r="C43" s="26" t="n">
        <v>16971</v>
      </c>
      <c r="D43" s="1" t="s">
        <v>42</v>
      </c>
      <c r="E43" s="33" t="n">
        <f aca="false">IF(D43="totale",(C43/(A43*24))/F43,IF(D43="marché libre",(C43/(A43*24))/G43,"spécifier histo"))</f>
        <v>0.0829472140762463</v>
      </c>
      <c r="F43" s="59" t="n">
        <v>275</v>
      </c>
      <c r="G43" s="59" t="n">
        <f aca="false">F43-H43</f>
        <v>275</v>
      </c>
      <c r="H43" s="59" t="n">
        <v>0</v>
      </c>
      <c r="I43" s="9"/>
      <c r="J43" s="205"/>
      <c r="K43" s="206"/>
    </row>
    <row r="44" customFormat="false" ht="25" hidden="false" customHeight="true" outlineLevel="0" collapsed="false">
      <c r="A44" s="0" t="n">
        <v>30</v>
      </c>
      <c r="B44" s="31" t="n">
        <v>40118</v>
      </c>
      <c r="C44" s="26" t="n">
        <v>61178</v>
      </c>
      <c r="D44" s="1" t="s">
        <v>42</v>
      </c>
      <c r="E44" s="33" t="n">
        <f aca="false">IF(D44="totale",(C44/(A44*24))/F44,IF(D44="marché libre",(C44/(A44*24))/G44,"spécifier histo"))</f>
        <v>0.308979797979798</v>
      </c>
      <c r="F44" s="59" t="n">
        <v>275</v>
      </c>
      <c r="G44" s="59" t="n">
        <f aca="false">F44-H44</f>
        <v>275</v>
      </c>
      <c r="H44" s="59" t="n">
        <v>0</v>
      </c>
      <c r="I44" s="9"/>
      <c r="J44" s="205"/>
      <c r="K44" s="206"/>
    </row>
    <row r="45" customFormat="false" ht="25" hidden="false" customHeight="true" outlineLevel="0" collapsed="false">
      <c r="A45" s="0" t="n">
        <v>31</v>
      </c>
      <c r="B45" s="34" t="n">
        <v>40148</v>
      </c>
      <c r="C45" s="26" t="n">
        <v>64838</v>
      </c>
      <c r="D45" s="1" t="s">
        <v>42</v>
      </c>
      <c r="E45" s="33" t="n">
        <f aca="false">IF(D45="totale",(C45/(A45*24))/F45,IF(D45="marché libre",(C45/(A45*24))/G45,"spécifier histo"))</f>
        <v>0.316901270772238</v>
      </c>
      <c r="F45" s="59" t="n">
        <v>275</v>
      </c>
      <c r="G45" s="59" t="n">
        <f aca="false">F45-H45</f>
        <v>275</v>
      </c>
      <c r="H45" s="59" t="n">
        <v>0</v>
      </c>
      <c r="I45" s="9"/>
      <c r="J45" s="205"/>
      <c r="K45" s="206"/>
    </row>
    <row r="46" customFormat="false" ht="25" hidden="false" customHeight="true" outlineLevel="0" collapsed="false">
      <c r="A46" s="0" t="n">
        <v>31</v>
      </c>
      <c r="B46" s="31" t="n">
        <v>40179</v>
      </c>
      <c r="C46" s="26" t="n">
        <v>99232</v>
      </c>
      <c r="D46" s="1" t="s">
        <v>42</v>
      </c>
      <c r="E46" s="33" t="n">
        <f aca="false">IF(D46="totale",(C46/(A46*24))/F46,IF(D46="marché libre",(C46/(A46*24))/G46,"spécifier histo"))</f>
        <v>0.485004887585533</v>
      </c>
      <c r="F46" s="59" t="n">
        <v>275</v>
      </c>
      <c r="G46" s="59" t="n">
        <f aca="false">F46-H46</f>
        <v>275</v>
      </c>
      <c r="H46" s="59" t="n">
        <v>0</v>
      </c>
      <c r="I46" s="9"/>
      <c r="J46" s="205"/>
      <c r="K46" s="206"/>
    </row>
    <row r="47" customFormat="false" ht="25" hidden="false" customHeight="true" outlineLevel="0" collapsed="false">
      <c r="A47" s="0" t="n">
        <v>28</v>
      </c>
      <c r="B47" s="34" t="n">
        <v>40210</v>
      </c>
      <c r="C47" s="26" t="n">
        <v>104177</v>
      </c>
      <c r="D47" s="1" t="s">
        <v>42</v>
      </c>
      <c r="E47" s="33" t="n">
        <f aca="false">IF(D47="totale",(C47/(A47*24))/F47,IF(D47="marché libre",(C47/(A47*24))/G47,"spécifier histo"))</f>
        <v>0.563728354978355</v>
      </c>
      <c r="F47" s="59" t="n">
        <v>275</v>
      </c>
      <c r="G47" s="59" t="n">
        <f aca="false">F47-H47</f>
        <v>275</v>
      </c>
      <c r="H47" s="59" t="n">
        <v>0</v>
      </c>
      <c r="I47" s="9"/>
      <c r="J47" s="205"/>
      <c r="K47" s="206"/>
    </row>
    <row r="48" customFormat="false" ht="25" hidden="false" customHeight="true" outlineLevel="0" collapsed="false">
      <c r="A48" s="0" t="n">
        <v>31</v>
      </c>
      <c r="B48" s="31" t="n">
        <v>40238</v>
      </c>
      <c r="C48" s="26" t="n">
        <v>123219</v>
      </c>
      <c r="D48" s="1" t="s">
        <v>42</v>
      </c>
      <c r="E48" s="33" t="n">
        <f aca="false">IF(D48="totale",(C48/(A48*24))/F48,IF(D48="marché libre",(C48/(A48*24))/G48,"spécifier histo"))</f>
        <v>0.602243401759531</v>
      </c>
      <c r="F48" s="59" t="n">
        <v>275</v>
      </c>
      <c r="G48" s="59" t="n">
        <f aca="false">F48-H48</f>
        <v>275</v>
      </c>
      <c r="H48" s="59" t="n">
        <v>0</v>
      </c>
      <c r="I48" s="9"/>
      <c r="J48" s="205"/>
      <c r="K48" s="206"/>
    </row>
    <row r="49" customFormat="false" ht="25" hidden="false" customHeight="true" outlineLevel="0" collapsed="false">
      <c r="A49" s="0" t="n">
        <v>30</v>
      </c>
      <c r="B49" s="34" t="n">
        <v>40269</v>
      </c>
      <c r="C49" s="26" t="n">
        <v>126414</v>
      </c>
      <c r="D49" s="1" t="s">
        <v>42</v>
      </c>
      <c r="E49" s="33" t="n">
        <f aca="false">IF(D49="totale",(C49/(A49*24))/F49,IF(D49="marché libre",(C49/(A49*24))/G49,"spécifier histo"))</f>
        <v>0.638454545454545</v>
      </c>
      <c r="F49" s="59" t="n">
        <v>275</v>
      </c>
      <c r="G49" s="59" t="n">
        <f aca="false">F49-H49</f>
        <v>275</v>
      </c>
      <c r="H49" s="59" t="n">
        <v>0</v>
      </c>
      <c r="I49" s="9"/>
      <c r="J49" s="205"/>
      <c r="K49" s="206"/>
    </row>
    <row r="50" customFormat="false" ht="25" hidden="false" customHeight="true" outlineLevel="0" collapsed="false">
      <c r="A50" s="0" t="n">
        <v>31</v>
      </c>
      <c r="B50" s="31" t="n">
        <v>40299</v>
      </c>
      <c r="C50" s="26" t="n">
        <v>125034</v>
      </c>
      <c r="D50" s="1" t="s">
        <v>42</v>
      </c>
      <c r="E50" s="33" t="n">
        <f aca="false">IF(D50="totale",(C50/(A50*24))/F50,IF(D50="marché libre",(C50/(A50*24))/G50,"spécifier histo"))</f>
        <v>0.611114369501466</v>
      </c>
      <c r="F50" s="59" t="n">
        <v>275</v>
      </c>
      <c r="G50" s="59" t="n">
        <f aca="false">F50-H50</f>
        <v>275</v>
      </c>
      <c r="H50" s="59" t="n">
        <v>0</v>
      </c>
      <c r="I50" s="9"/>
      <c r="J50" s="205"/>
      <c r="K50" s="206"/>
    </row>
    <row r="51" customFormat="false" ht="25" hidden="false" customHeight="true" outlineLevel="0" collapsed="false">
      <c r="A51" s="0" t="n">
        <v>30</v>
      </c>
      <c r="B51" s="34" t="n">
        <v>40330</v>
      </c>
      <c r="C51" s="26" t="n">
        <v>55274</v>
      </c>
      <c r="D51" s="1" t="s">
        <v>42</v>
      </c>
      <c r="E51" s="33" t="n">
        <f aca="false">IF(D51="totale",(C51/(A51*24))/F51,IF(D51="marché libre",(C51/(A51*24))/G51,"spécifier histo"))</f>
        <v>0.279161616161616</v>
      </c>
      <c r="F51" s="59" t="n">
        <v>275</v>
      </c>
      <c r="G51" s="59" t="n">
        <f aca="false">F51-H51</f>
        <v>275</v>
      </c>
      <c r="H51" s="59" t="n">
        <v>0</v>
      </c>
      <c r="I51" s="9"/>
      <c r="J51" s="205"/>
      <c r="K51" s="206"/>
    </row>
    <row r="52" customFormat="false" ht="25" hidden="false" customHeight="true" outlineLevel="0" collapsed="false">
      <c r="A52" s="0" t="n">
        <v>31</v>
      </c>
      <c r="B52" s="31" t="n">
        <v>40360</v>
      </c>
      <c r="C52" s="26" t="n">
        <v>45651</v>
      </c>
      <c r="D52" s="1" t="s">
        <v>42</v>
      </c>
      <c r="E52" s="33" t="n">
        <f aca="false">IF(D52="totale",(C52/(A52*24))/F52,IF(D52="marché libre",(C52/(A52*24))/G52,"spécifier histo"))</f>
        <v>0.223123167155425</v>
      </c>
      <c r="F52" s="59" t="n">
        <v>275</v>
      </c>
      <c r="G52" s="59" t="n">
        <f aca="false">F52-H52</f>
        <v>275</v>
      </c>
      <c r="H52" s="59" t="n">
        <v>0</v>
      </c>
      <c r="I52" s="9"/>
      <c r="J52" s="205"/>
      <c r="K52" s="206"/>
    </row>
    <row r="53" customFormat="false" ht="25" hidden="false" customHeight="true" outlineLevel="0" collapsed="false">
      <c r="A53" s="0" t="n">
        <v>31</v>
      </c>
      <c r="B53" s="34" t="n">
        <v>40391</v>
      </c>
      <c r="C53" s="26" t="n">
        <v>12469</v>
      </c>
      <c r="D53" s="1" t="s">
        <v>42</v>
      </c>
      <c r="E53" s="33" t="n">
        <f aca="false">IF(D53="totale",(C53/(A53*24))/F53,IF(D53="marché libre",(C53/(A53*24))/G53,"spécifier histo"))</f>
        <v>0.0609433040078201</v>
      </c>
      <c r="F53" s="59" t="n">
        <v>275</v>
      </c>
      <c r="G53" s="59" t="n">
        <f aca="false">F53-H53</f>
        <v>275</v>
      </c>
      <c r="H53" s="59" t="n">
        <v>0</v>
      </c>
      <c r="I53" s="9"/>
      <c r="J53" s="205"/>
      <c r="K53" s="206"/>
    </row>
    <row r="54" customFormat="false" ht="25" hidden="false" customHeight="true" outlineLevel="0" collapsed="false">
      <c r="A54" s="0" t="n">
        <v>30</v>
      </c>
      <c r="B54" s="31" t="n">
        <v>40422</v>
      </c>
      <c r="C54" s="26" t="n">
        <v>186</v>
      </c>
      <c r="D54" s="1" t="s">
        <v>42</v>
      </c>
      <c r="E54" s="33" t="n">
        <f aca="false">IF(D54="totale",(C54/(A54*24))/F54,IF(D54="marché libre",(C54/(A54*24))/G54,"spécifier histo"))</f>
        <v>0.000939393939393939</v>
      </c>
      <c r="F54" s="59" t="n">
        <v>275</v>
      </c>
      <c r="G54" s="59" t="n">
        <f aca="false">F54-H54</f>
        <v>275</v>
      </c>
      <c r="H54" s="59" t="n">
        <v>0</v>
      </c>
      <c r="I54" s="9"/>
      <c r="J54" s="205"/>
      <c r="K54" s="206"/>
    </row>
    <row r="55" customFormat="false" ht="25" hidden="false" customHeight="true" outlineLevel="0" collapsed="false">
      <c r="A55" s="0" t="n">
        <v>31</v>
      </c>
      <c r="B55" s="34" t="n">
        <v>40452</v>
      </c>
      <c r="C55" s="26" t="n">
        <v>37913</v>
      </c>
      <c r="D55" s="1" t="s">
        <v>42</v>
      </c>
      <c r="E55" s="33" t="n">
        <f aca="false">IF(D55="totale",(C55/(A55*24))/F55,IF(D55="marché libre",(C55/(A55*24))/G55,"spécifier histo"))</f>
        <v>0.18530303030303</v>
      </c>
      <c r="F55" s="59" t="n">
        <v>275</v>
      </c>
      <c r="G55" s="59" t="n">
        <f aca="false">F55-H55</f>
        <v>275</v>
      </c>
      <c r="H55" s="59" t="n">
        <v>0</v>
      </c>
      <c r="I55" s="9"/>
      <c r="J55" s="205"/>
      <c r="K55" s="206"/>
    </row>
    <row r="56" customFormat="false" ht="25" hidden="false" customHeight="true" outlineLevel="0" collapsed="false">
      <c r="A56" s="0" t="n">
        <v>30</v>
      </c>
      <c r="B56" s="31" t="n">
        <v>40483</v>
      </c>
      <c r="C56" s="26" t="n">
        <v>86354</v>
      </c>
      <c r="D56" s="1" t="s">
        <v>42</v>
      </c>
      <c r="E56" s="33" t="n">
        <f aca="false">IF(D56="totale",(C56/(A56*24))/F56,IF(D56="marché libre",(C56/(A56*24))/G56,"spécifier histo"))</f>
        <v>0.436131313131313</v>
      </c>
      <c r="F56" s="59" t="n">
        <v>275</v>
      </c>
      <c r="G56" s="59" t="n">
        <f aca="false">F56-H56</f>
        <v>275</v>
      </c>
      <c r="H56" s="59" t="n">
        <v>0</v>
      </c>
      <c r="I56" s="9"/>
      <c r="J56" s="205"/>
      <c r="K56" s="206"/>
    </row>
    <row r="57" customFormat="false" ht="25" hidden="false" customHeight="true" outlineLevel="0" collapsed="false">
      <c r="A57" s="0" t="n">
        <v>31</v>
      </c>
      <c r="B57" s="34" t="n">
        <v>40513</v>
      </c>
      <c r="C57" s="26" t="n">
        <v>119678</v>
      </c>
      <c r="D57" s="1" t="s">
        <v>42</v>
      </c>
      <c r="E57" s="33" t="n">
        <f aca="false">IF(D57="totale",(C57/(A57*24))/F57,IF(D57="marché libre",(C57/(A57*24))/G57,"spécifier histo"))</f>
        <v>0.584936461388074</v>
      </c>
      <c r="F57" s="59" t="n">
        <v>275</v>
      </c>
      <c r="G57" s="59" t="n">
        <f aca="false">F57-H57</f>
        <v>275</v>
      </c>
      <c r="H57" s="59" t="n">
        <v>0</v>
      </c>
      <c r="I57" s="9"/>
      <c r="J57" s="205"/>
      <c r="K57" s="206"/>
    </row>
    <row r="58" customFormat="false" ht="25" hidden="false" customHeight="true" outlineLevel="0" collapsed="false">
      <c r="A58" s="481" t="n">
        <v>31</v>
      </c>
      <c r="B58" s="31" t="n">
        <v>40544</v>
      </c>
      <c r="C58" s="26" t="n">
        <v>99784</v>
      </c>
      <c r="D58" s="1" t="s">
        <v>42</v>
      </c>
      <c r="E58" s="33" t="n">
        <f aca="false">IF(D58="totale",(C58/(A58*24))/F58,IF(D58="marché libre",(C58/(A58*24))/G58,"spécifier histo"))</f>
        <v>0.487702834799609</v>
      </c>
      <c r="F58" s="59" t="n">
        <v>275</v>
      </c>
      <c r="G58" s="59" t="n">
        <f aca="false">F58-H58</f>
        <v>275</v>
      </c>
      <c r="H58" s="59" t="n">
        <v>0</v>
      </c>
      <c r="I58" s="9"/>
      <c r="J58" s="205"/>
      <c r="K58" s="206"/>
    </row>
    <row r="59" customFormat="false" ht="25" hidden="false" customHeight="true" outlineLevel="0" collapsed="false">
      <c r="A59" s="0" t="n">
        <v>28</v>
      </c>
      <c r="B59" s="34" t="n">
        <v>40575</v>
      </c>
      <c r="C59" s="26" t="n">
        <v>40095</v>
      </c>
      <c r="D59" s="1" t="s">
        <v>42</v>
      </c>
      <c r="E59" s="33" t="n">
        <f aca="false">IF(D59="totale",(C59/(A59*24))/F59,IF(D59="marché libre",(C59/(A59*24))/G59,"spécifier histo"))</f>
        <v>0.216964285714286</v>
      </c>
      <c r="F59" s="59" t="n">
        <v>275</v>
      </c>
      <c r="G59" s="59" t="n">
        <f aca="false">F59-H59</f>
        <v>275</v>
      </c>
      <c r="H59" s="59" t="n">
        <v>0</v>
      </c>
      <c r="I59" s="9"/>
      <c r="J59" s="205"/>
      <c r="K59" s="206"/>
    </row>
    <row r="60" customFormat="false" ht="25" hidden="false" customHeight="true" outlineLevel="0" collapsed="false">
      <c r="A60" s="0" t="n">
        <v>31</v>
      </c>
      <c r="B60" s="31" t="n">
        <v>40603</v>
      </c>
      <c r="C60" s="26" t="n">
        <v>7098</v>
      </c>
      <c r="D60" s="1" t="s">
        <v>42</v>
      </c>
      <c r="E60" s="33" t="n">
        <f aca="false">IF(D60="totale",(C60/(A60*24))/F60,IF(D60="marché libre",(C60/(A60*24))/G60,"spécifier histo"))</f>
        <v>0.0346920821114369</v>
      </c>
      <c r="F60" s="59" t="n">
        <v>275</v>
      </c>
      <c r="G60" s="59" t="n">
        <f aca="false">F60-H60</f>
        <v>275</v>
      </c>
      <c r="H60" s="59" t="n">
        <v>0</v>
      </c>
      <c r="I60" s="9"/>
      <c r="J60" s="205"/>
      <c r="K60" s="206"/>
    </row>
    <row r="61" customFormat="false" ht="25" hidden="false" customHeight="true" outlineLevel="0" collapsed="false">
      <c r="A61" s="0" t="n">
        <v>30</v>
      </c>
      <c r="B61" s="34" t="n">
        <v>40634</v>
      </c>
      <c r="C61" s="26" t="n">
        <v>1837</v>
      </c>
      <c r="D61" s="1" t="s">
        <v>42</v>
      </c>
      <c r="E61" s="33" t="n">
        <f aca="false">IF(D61="totale",(C61/(A61*24))/F61,IF(D61="marché libre",(C61/(A61*24))/G61,"spécifier histo"))</f>
        <v>0.00927777777777778</v>
      </c>
      <c r="F61" s="59" t="n">
        <v>275</v>
      </c>
      <c r="G61" s="59" t="n">
        <f aca="false">F61-H61</f>
        <v>275</v>
      </c>
      <c r="H61" s="59" t="n">
        <v>0</v>
      </c>
      <c r="I61" s="9"/>
      <c r="J61" s="205"/>
      <c r="K61" s="206"/>
    </row>
    <row r="62" customFormat="false" ht="25" hidden="false" customHeight="true" outlineLevel="0" collapsed="false">
      <c r="A62" s="0" t="n">
        <v>31</v>
      </c>
      <c r="B62" s="31" t="n">
        <v>40664</v>
      </c>
      <c r="C62" s="26" t="n">
        <v>23727</v>
      </c>
      <c r="D62" s="1" t="s">
        <v>42</v>
      </c>
      <c r="E62" s="33" t="n">
        <f aca="false">IF(D62="totale",(C62/(A62*24))/F62,IF(D62="marché libre",(C62/(A62*24))/G62,"spécifier histo"))</f>
        <v>0.115967741935484</v>
      </c>
      <c r="F62" s="59" t="n">
        <v>275</v>
      </c>
      <c r="G62" s="59" t="n">
        <f aca="false">F62-H62</f>
        <v>275</v>
      </c>
      <c r="H62" s="59" t="n">
        <v>0</v>
      </c>
      <c r="I62" s="9"/>
      <c r="J62" s="205"/>
      <c r="K62" s="206"/>
    </row>
    <row r="63" customFormat="false" ht="25" hidden="false" customHeight="true" outlineLevel="0" collapsed="false">
      <c r="A63" s="0" t="n">
        <v>30</v>
      </c>
      <c r="B63" s="34" t="n">
        <v>40695</v>
      </c>
      <c r="C63" s="26" t="n">
        <v>28251</v>
      </c>
      <c r="D63" s="1" t="s">
        <v>42</v>
      </c>
      <c r="E63" s="33" t="n">
        <f aca="false">IF(D63="totale",(C63/(A63*24))/F63,IF(D63="marché libre",(C63/(A63*24))/G63,"spécifier histo"))</f>
        <v>0.142681818181818</v>
      </c>
      <c r="F63" s="59" t="n">
        <v>275</v>
      </c>
      <c r="G63" s="59" t="n">
        <f aca="false">F63-H63</f>
        <v>275</v>
      </c>
      <c r="H63" s="59" t="n">
        <v>0</v>
      </c>
      <c r="I63" s="9"/>
      <c r="J63" s="205"/>
      <c r="K63" s="206"/>
    </row>
    <row r="64" customFormat="false" ht="25" hidden="false" customHeight="true" outlineLevel="0" collapsed="false">
      <c r="A64" s="0" t="n">
        <v>31</v>
      </c>
      <c r="B64" s="31" t="n">
        <v>40725</v>
      </c>
      <c r="C64" s="26" t="n">
        <v>6987</v>
      </c>
      <c r="D64" s="1" t="s">
        <v>42</v>
      </c>
      <c r="E64" s="33" t="n">
        <f aca="false">IF(D64="totale",(C64/(A64*24))/F64,IF(D64="marché libre",(C64/(A64*24))/G64,"spécifier histo"))</f>
        <v>0.0341495601173021</v>
      </c>
      <c r="F64" s="59" t="n">
        <v>275</v>
      </c>
      <c r="G64" s="59" t="n">
        <f aca="false">F64-H64</f>
        <v>275</v>
      </c>
      <c r="H64" s="59" t="n">
        <v>0</v>
      </c>
      <c r="I64" s="9"/>
      <c r="J64" s="205"/>
      <c r="K64" s="206"/>
    </row>
    <row r="65" customFormat="false" ht="25" hidden="false" customHeight="true" outlineLevel="0" collapsed="false">
      <c r="A65" s="0" t="n">
        <v>31</v>
      </c>
      <c r="B65" s="34" t="n">
        <v>40756</v>
      </c>
      <c r="C65" s="26" t="n">
        <v>4672</v>
      </c>
      <c r="D65" s="1" t="s">
        <v>42</v>
      </c>
      <c r="E65" s="33" t="n">
        <f aca="false">IF(D65="totale",(C65/(A65*24))/F65,IF(D65="marché libre",(C65/(A65*24))/G65,"spécifier histo"))</f>
        <v>0.0228347996089932</v>
      </c>
      <c r="F65" s="59" t="n">
        <v>275</v>
      </c>
      <c r="G65" s="59" t="n">
        <f aca="false">F65-H65</f>
        <v>275</v>
      </c>
      <c r="H65" s="59" t="n">
        <v>0</v>
      </c>
      <c r="I65" s="9"/>
      <c r="J65" s="205"/>
      <c r="K65" s="206"/>
    </row>
    <row r="66" customFormat="false" ht="25" hidden="false" customHeight="true" outlineLevel="0" collapsed="false">
      <c r="A66" s="0" t="n">
        <v>30</v>
      </c>
      <c r="B66" s="31" t="n">
        <v>40787</v>
      </c>
      <c r="C66" s="26" t="n">
        <v>41552</v>
      </c>
      <c r="D66" s="1" t="s">
        <v>42</v>
      </c>
      <c r="E66" s="33" t="n">
        <f aca="false">IF(D66="totale",(C66/(A66*24))/F66,IF(D66="marché libre",(C66/(A66*24))/G66,"spécifier histo"))</f>
        <v>0.209858585858586</v>
      </c>
      <c r="F66" s="59" t="n">
        <v>275</v>
      </c>
      <c r="G66" s="59" t="n">
        <f aca="false">F66-H66</f>
        <v>275</v>
      </c>
      <c r="H66" s="59" t="n">
        <v>0</v>
      </c>
      <c r="I66" s="9"/>
      <c r="J66" s="205"/>
      <c r="K66" s="206"/>
    </row>
    <row r="67" customFormat="false" ht="25" hidden="false" customHeight="true" outlineLevel="0" collapsed="false">
      <c r="A67" s="0" t="n">
        <v>31</v>
      </c>
      <c r="B67" s="34" t="n">
        <v>40817</v>
      </c>
      <c r="C67" s="26" t="n">
        <v>118890</v>
      </c>
      <c r="D67" s="1" t="s">
        <v>42</v>
      </c>
      <c r="E67" s="33" t="n">
        <f aca="false">IF(D67="totale",(C67/(A67*24))/F67,IF(D67="marché libre",(C67/(A67*24))/G67,"spécifier histo"))</f>
        <v>0.58108504398827</v>
      </c>
      <c r="F67" s="59" t="n">
        <v>275</v>
      </c>
      <c r="G67" s="59" t="n">
        <f aca="false">F67-H67</f>
        <v>275</v>
      </c>
      <c r="H67" s="59" t="n">
        <v>0</v>
      </c>
      <c r="I67" s="9"/>
      <c r="J67" s="205"/>
      <c r="K67" s="206"/>
    </row>
    <row r="68" customFormat="false" ht="25" hidden="false" customHeight="true" outlineLevel="0" collapsed="false">
      <c r="A68" s="0" t="n">
        <v>30</v>
      </c>
      <c r="B68" s="31" t="n">
        <v>40848</v>
      </c>
      <c r="C68" s="26" t="n">
        <v>47424</v>
      </c>
      <c r="D68" s="1" t="s">
        <v>42</v>
      </c>
      <c r="E68" s="33" t="n">
        <f aca="false">IF(D68="totale",(C68/(A68*24))/F68,IF(D68="marché libre",(C68/(A68*24))/G68,"spécifier histo"))</f>
        <v>0.239515151515151</v>
      </c>
      <c r="F68" s="59" t="n">
        <v>275</v>
      </c>
      <c r="G68" s="59" t="n">
        <f aca="false">F68-H68</f>
        <v>275</v>
      </c>
      <c r="H68" s="59" t="n">
        <v>0</v>
      </c>
      <c r="I68" s="9"/>
      <c r="J68" s="205"/>
      <c r="K68" s="206"/>
    </row>
    <row r="69" customFormat="false" ht="25" hidden="false" customHeight="true" outlineLevel="0" collapsed="false">
      <c r="A69" s="0" t="n">
        <v>31</v>
      </c>
      <c r="B69" s="34" t="n">
        <v>40878</v>
      </c>
      <c r="C69" s="26" t="n">
        <v>97508</v>
      </c>
      <c r="D69" s="1" t="s">
        <v>42</v>
      </c>
      <c r="E69" s="33" t="n">
        <f aca="false">IF(D69="totale",(C69/(A69*24))/F69,IF(D69="marché libre",(C69/(A69*24))/G69,"spécifier histo"))</f>
        <v>0.476578690127077</v>
      </c>
      <c r="F69" s="59" t="n">
        <v>275</v>
      </c>
      <c r="G69" s="59" t="n">
        <f aca="false">F69-H69</f>
        <v>275</v>
      </c>
      <c r="H69" s="59" t="n">
        <v>0</v>
      </c>
      <c r="I69" s="9"/>
      <c r="J69" s="205"/>
      <c r="K69" s="206"/>
    </row>
    <row r="70" customFormat="false" ht="19.85" hidden="false" customHeight="true" outlineLevel="0" collapsed="false">
      <c r="A70" s="0" t="n">
        <v>31</v>
      </c>
      <c r="B70" s="31" t="n">
        <v>40909</v>
      </c>
      <c r="C70" s="26" t="n">
        <v>102607</v>
      </c>
      <c r="D70" s="1" t="s">
        <v>42</v>
      </c>
      <c r="E70" s="33" t="n">
        <f aca="false">IF(D70="totale",(C70/(A70*24))/F70,IF(D70="marché libre",(C70/(A70*24))/G70,"spécifier histo"))</f>
        <v>0.501500488758553</v>
      </c>
      <c r="F70" s="59" t="n">
        <v>275</v>
      </c>
      <c r="G70" s="59" t="n">
        <f aca="false">F70-H70</f>
        <v>275</v>
      </c>
      <c r="H70" s="59" t="n">
        <v>0</v>
      </c>
      <c r="I70" s="0"/>
      <c r="J70" s="208"/>
      <c r="K70" s="0"/>
      <c r="L70" s="0"/>
      <c r="M70" s="0"/>
      <c r="N70" s="0"/>
      <c r="O70" s="0"/>
    </row>
    <row r="71" customFormat="false" ht="19.85" hidden="false" customHeight="true" outlineLevel="0" collapsed="false">
      <c r="A71" s="0" t="n">
        <v>28</v>
      </c>
      <c r="B71" s="34" t="n">
        <v>40940</v>
      </c>
      <c r="C71" s="26" t="n">
        <v>37739</v>
      </c>
      <c r="D71" s="1" t="s">
        <v>42</v>
      </c>
      <c r="E71" s="33" t="n">
        <f aca="false">IF(D71="totale",(C71/(A71*24))/F71,IF(D71="marché libre",(C71/(A71*24))/G71,"spécifier histo"))</f>
        <v>0.204215367965368</v>
      </c>
      <c r="F71" s="59" t="n">
        <v>275</v>
      </c>
      <c r="G71" s="59" t="n">
        <f aca="false">F71-H71</f>
        <v>275</v>
      </c>
      <c r="H71" s="59" t="n">
        <v>0</v>
      </c>
      <c r="I71" s="0"/>
      <c r="J71" s="208"/>
      <c r="K71" s="0"/>
      <c r="L71" s="0"/>
      <c r="M71" s="0"/>
      <c r="N71" s="0"/>
      <c r="O71" s="0"/>
    </row>
    <row r="72" customFormat="false" ht="19.85" hidden="false" customHeight="true" outlineLevel="0" collapsed="false">
      <c r="A72" s="0" t="n">
        <v>31</v>
      </c>
      <c r="B72" s="31" t="n">
        <v>40969</v>
      </c>
      <c r="C72" s="26" t="n">
        <v>33178</v>
      </c>
      <c r="D72" s="1" t="s">
        <v>42</v>
      </c>
      <c r="E72" s="33" t="n">
        <f aca="false">IF(D72="totale",(C72/(A72*24))/F72,IF(D72="marché libre",(C72/(A72*24))/G72,"spécifier histo"))</f>
        <v>0.162160312805474</v>
      </c>
      <c r="F72" s="59" t="n">
        <v>275</v>
      </c>
      <c r="G72" s="59" t="n">
        <f aca="false">F72-H72</f>
        <v>275</v>
      </c>
      <c r="H72" s="59" t="n">
        <v>0</v>
      </c>
      <c r="I72" s="0"/>
      <c r="J72" s="208"/>
      <c r="K72" s="0"/>
      <c r="L72" s="0"/>
      <c r="M72" s="0"/>
      <c r="N72" s="0"/>
      <c r="O72" s="0"/>
    </row>
    <row r="73" customFormat="false" ht="19.85" hidden="false" customHeight="true" outlineLevel="0" collapsed="false">
      <c r="A73" s="0" t="n">
        <v>30</v>
      </c>
      <c r="B73" s="34" t="n">
        <v>41000</v>
      </c>
      <c r="C73" s="26" t="n">
        <v>75816</v>
      </c>
      <c r="D73" s="1" t="s">
        <v>42</v>
      </c>
      <c r="E73" s="33" t="n">
        <f aca="false">IF(D73="totale",(C73/(A73*24))/F73,IF(D73="marché libre",(C73/(A73*24))/G73,"spécifier histo"))</f>
        <v>0.382909090909091</v>
      </c>
      <c r="F73" s="59" t="n">
        <v>275</v>
      </c>
      <c r="G73" s="59" t="n">
        <f aca="false">F73-H73</f>
        <v>275</v>
      </c>
      <c r="H73" s="59" t="n">
        <v>0</v>
      </c>
      <c r="I73" s="0"/>
      <c r="J73" s="208"/>
      <c r="K73" s="0"/>
      <c r="L73" s="0"/>
      <c r="M73" s="0"/>
      <c r="N73" s="0"/>
      <c r="O73" s="0"/>
    </row>
    <row r="74" customFormat="false" ht="19.85" hidden="false" customHeight="true" outlineLevel="0" collapsed="false">
      <c r="A74" s="0" t="n">
        <v>31</v>
      </c>
      <c r="B74" s="31" t="n">
        <v>41030</v>
      </c>
      <c r="C74" s="26" t="n">
        <v>132806</v>
      </c>
      <c r="D74" s="1" t="s">
        <v>42</v>
      </c>
      <c r="E74" s="33" t="n">
        <f aca="false">IF(D74="totale",(C74/(A74*24))/F74,IF(D74="marché libre",(C74/(A74*24))/G74,"spécifier histo"))</f>
        <v>0.649100684261975</v>
      </c>
      <c r="F74" s="59" t="n">
        <v>275</v>
      </c>
      <c r="G74" s="59" t="n">
        <f aca="false">F74-H74</f>
        <v>275</v>
      </c>
      <c r="H74" s="59" t="n">
        <v>0</v>
      </c>
      <c r="I74" s="0"/>
      <c r="J74" s="208"/>
      <c r="K74" s="0"/>
      <c r="L74" s="0"/>
      <c r="M74" s="0"/>
      <c r="N74" s="0"/>
      <c r="O74" s="0"/>
      <c r="P74" s="0"/>
      <c r="Q74" s="0"/>
      <c r="R74" s="0"/>
      <c r="S74" s="0"/>
      <c r="T74" s="0"/>
      <c r="U74" s="0"/>
      <c r="V74" s="0"/>
    </row>
    <row r="75" customFormat="false" ht="19.85" hidden="false" customHeight="true" outlineLevel="0" collapsed="false">
      <c r="A75" s="0" t="n">
        <v>30</v>
      </c>
      <c r="B75" s="34" t="n">
        <v>41061</v>
      </c>
      <c r="C75" s="26" t="n">
        <v>90470</v>
      </c>
      <c r="D75" s="1" t="s">
        <v>42</v>
      </c>
      <c r="E75" s="33" t="n">
        <f aca="false">IF(D75="totale",(C75/(A75*24))/F75,IF(D75="marché libre",(C75/(A75*24))/G75,"spécifier histo"))</f>
        <v>0.456919191919192</v>
      </c>
      <c r="F75" s="59" t="n">
        <v>275</v>
      </c>
      <c r="G75" s="59" t="n">
        <f aca="false">F75-H75</f>
        <v>275</v>
      </c>
      <c r="H75" s="59" t="n">
        <v>0</v>
      </c>
      <c r="I75" s="0"/>
      <c r="J75" s="208"/>
      <c r="K75" s="0"/>
      <c r="L75" s="0"/>
      <c r="M75" s="0"/>
      <c r="N75" s="0"/>
      <c r="O75" s="0"/>
      <c r="P75" s="0"/>
      <c r="Q75" s="0"/>
      <c r="R75" s="0"/>
      <c r="S75" s="0"/>
      <c r="T75" s="0"/>
      <c r="U75" s="0"/>
      <c r="V75" s="0"/>
    </row>
    <row r="76" customFormat="false" ht="19.85" hidden="false" customHeight="true" outlineLevel="0" collapsed="false">
      <c r="A76" s="0" t="n">
        <v>31</v>
      </c>
      <c r="B76" s="31" t="n">
        <v>41091</v>
      </c>
      <c r="C76" s="26" t="n">
        <v>58143</v>
      </c>
      <c r="D76" s="1" t="s">
        <v>42</v>
      </c>
      <c r="E76" s="33" t="n">
        <f aca="false">IF(D76="totale",(C76/(A76*24))/F76,IF(D76="marché libre",(C76/(A76*24))/G76,"spécifier histo"))</f>
        <v>0.284178885630499</v>
      </c>
      <c r="F76" s="59" t="n">
        <v>275</v>
      </c>
      <c r="G76" s="59" t="n">
        <f aca="false">F76-H76</f>
        <v>275</v>
      </c>
      <c r="H76" s="59" t="n">
        <v>0</v>
      </c>
      <c r="I76" s="0"/>
      <c r="J76" s="208"/>
      <c r="K76" s="0"/>
      <c r="L76" s="0"/>
      <c r="M76" s="0"/>
      <c r="N76" s="0"/>
      <c r="O76" s="0"/>
      <c r="P76" s="0"/>
      <c r="Q76" s="0"/>
      <c r="R76" s="0"/>
      <c r="S76" s="0"/>
      <c r="T76" s="0"/>
      <c r="U76" s="0"/>
      <c r="V76" s="0"/>
    </row>
    <row r="77" customFormat="false" ht="19.85" hidden="false" customHeight="true" outlineLevel="0" collapsed="false">
      <c r="A77" s="0" t="n">
        <v>31</v>
      </c>
      <c r="B77" s="34" t="n">
        <v>41122</v>
      </c>
      <c r="C77" s="26" t="n">
        <v>18668</v>
      </c>
      <c r="D77" s="1" t="s">
        <v>42</v>
      </c>
      <c r="E77" s="33" t="n">
        <f aca="false">IF(D77="totale",(C77/(A77*24))/F77,IF(D77="marché libre",(C77/(A77*24))/G77,"spécifier histo"))</f>
        <v>0.0912414467253177</v>
      </c>
      <c r="F77" s="59" t="n">
        <v>275</v>
      </c>
      <c r="G77" s="59" t="n">
        <f aca="false">F77-H77</f>
        <v>275</v>
      </c>
      <c r="H77" s="59" t="n">
        <v>0</v>
      </c>
      <c r="I77" s="0"/>
      <c r="J77" s="208"/>
      <c r="K77" s="0"/>
      <c r="L77" s="0"/>
      <c r="M77" s="0"/>
      <c r="N77" s="0"/>
      <c r="O77" s="0"/>
      <c r="P77" s="0"/>
      <c r="Q77" s="0"/>
      <c r="R77" s="0"/>
      <c r="S77" s="0"/>
      <c r="T77" s="0"/>
      <c r="U77" s="0"/>
      <c r="V77" s="0"/>
    </row>
    <row r="78" customFormat="false" ht="19.85" hidden="false" customHeight="true" outlineLevel="0" collapsed="false">
      <c r="A78" s="0" t="n">
        <v>30</v>
      </c>
      <c r="B78" s="31" t="n">
        <v>41153</v>
      </c>
      <c r="C78" s="26" t="n">
        <v>16183</v>
      </c>
      <c r="D78" s="1" t="s">
        <v>42</v>
      </c>
      <c r="E78" s="33" t="n">
        <f aca="false">IF(D78="totale",(C78/(A78*24))/F78,IF(D78="marché libre",(C78/(A78*24))/G78,"spécifier histo"))</f>
        <v>0.0817323232323232</v>
      </c>
      <c r="F78" s="59" t="n">
        <v>275</v>
      </c>
      <c r="G78" s="59" t="n">
        <f aca="false">F78-H78</f>
        <v>275</v>
      </c>
      <c r="H78" s="59" t="n">
        <v>0</v>
      </c>
      <c r="I78" s="0"/>
      <c r="J78" s="208"/>
      <c r="K78" s="0"/>
      <c r="L78" s="0"/>
      <c r="M78" s="0"/>
      <c r="N78" s="0"/>
      <c r="O78" s="0"/>
      <c r="P78" s="0"/>
      <c r="Q78" s="0"/>
      <c r="R78" s="0"/>
      <c r="S78" s="0"/>
      <c r="T78" s="0"/>
      <c r="U78" s="0"/>
      <c r="V78" s="0"/>
    </row>
    <row r="79" customFormat="false" ht="19.85" hidden="false" customHeight="true" outlineLevel="0" collapsed="false">
      <c r="A79" s="0" t="n">
        <v>31</v>
      </c>
      <c r="B79" s="34" t="n">
        <v>41183</v>
      </c>
      <c r="C79" s="26" t="n">
        <v>20252</v>
      </c>
      <c r="D79" s="1" t="s">
        <v>42</v>
      </c>
      <c r="E79" s="33" t="n">
        <f aca="false">IF(D79="totale",(C79/(A79*24))/F79,IF(D79="marché libre",(C79/(A79*24))/G79,"spécifier histo"))</f>
        <v>0.0989833822091887</v>
      </c>
      <c r="F79" s="59" t="n">
        <v>275</v>
      </c>
      <c r="G79" s="59" t="n">
        <f aca="false">F79-H79</f>
        <v>275</v>
      </c>
      <c r="H79" s="59" t="n">
        <v>0</v>
      </c>
      <c r="I79" s="0"/>
      <c r="J79" s="208"/>
      <c r="K79" s="0"/>
      <c r="L79" s="0"/>
      <c r="M79" s="0"/>
      <c r="N79" s="0"/>
      <c r="O79" s="0"/>
      <c r="P79" s="0"/>
      <c r="Q79" s="0"/>
      <c r="R79" s="0"/>
      <c r="S79" s="0"/>
      <c r="T79" s="0"/>
      <c r="U79" s="0"/>
      <c r="V79" s="0"/>
    </row>
    <row r="80" customFormat="false" ht="19.85" hidden="false" customHeight="true" outlineLevel="0" collapsed="false">
      <c r="A80" s="0" t="n">
        <v>30</v>
      </c>
      <c r="B80" s="31" t="n">
        <v>41214</v>
      </c>
      <c r="C80" s="26" t="n">
        <v>37560</v>
      </c>
      <c r="D80" s="1" t="s">
        <v>42</v>
      </c>
      <c r="E80" s="33" t="n">
        <f aca="false">IF(D80="totale",(C80/(A80*24))/F80,IF(D80="marché libre",(C80/(A80*24))/G80,"spécifier histo"))</f>
        <v>0.18969696969697</v>
      </c>
      <c r="F80" s="59" t="n">
        <v>275</v>
      </c>
      <c r="G80" s="59" t="n">
        <f aca="false">F80-H80</f>
        <v>275</v>
      </c>
      <c r="H80" s="59" t="n">
        <v>0</v>
      </c>
      <c r="I80" s="0"/>
      <c r="J80" s="208"/>
      <c r="K80" s="0"/>
      <c r="L80" s="0"/>
      <c r="M80" s="0"/>
      <c r="N80" s="0"/>
      <c r="O80" s="0"/>
      <c r="P80" s="0"/>
      <c r="Q80" s="0"/>
      <c r="R80" s="0"/>
      <c r="S80" s="0"/>
      <c r="T80" s="0"/>
      <c r="U80" s="0"/>
      <c r="V80" s="0"/>
    </row>
    <row r="81" customFormat="false" ht="19.85" hidden="false" customHeight="true" outlineLevel="0" collapsed="false">
      <c r="A81" s="0" t="n">
        <v>31</v>
      </c>
      <c r="B81" s="34" t="n">
        <v>41244</v>
      </c>
      <c r="C81" s="26" t="n">
        <v>88118</v>
      </c>
      <c r="D81" s="1" t="s">
        <v>42</v>
      </c>
      <c r="E81" s="33" t="n">
        <f aca="false">IF(D81="totale",(C81/(A81*24))/F81,IF(D81="marché libre",(C81/(A81*24))/G81,"spécifier histo"))</f>
        <v>0.430684261974585</v>
      </c>
      <c r="F81" s="59" t="n">
        <v>275</v>
      </c>
      <c r="G81" s="59" t="n">
        <f aca="false">F81-H81</f>
        <v>275</v>
      </c>
      <c r="H81" s="59" t="n">
        <v>0</v>
      </c>
      <c r="I81" s="0"/>
      <c r="J81" s="208"/>
      <c r="K81" s="0"/>
      <c r="L81" s="0"/>
      <c r="M81" s="0"/>
      <c r="N81" s="0"/>
      <c r="O81" s="0"/>
      <c r="P81" s="0"/>
      <c r="Q81" s="0"/>
      <c r="R81" s="0"/>
      <c r="S81" s="0"/>
      <c r="T81" s="0"/>
      <c r="U81" s="0"/>
      <c r="V81" s="0"/>
    </row>
    <row r="82" customFormat="false" ht="19.85" hidden="false" customHeight="true" outlineLevel="0" collapsed="false">
      <c r="A82" s="0" t="n">
        <v>31</v>
      </c>
      <c r="B82" s="31" t="n">
        <v>41275</v>
      </c>
      <c r="C82" s="1" t="n">
        <v>110671</v>
      </c>
      <c r="D82" s="1" t="s">
        <v>42</v>
      </c>
      <c r="E82" s="33" t="n">
        <f aca="false">IF(D82="totale",(C82/(A82*24))/F82,IF(D82="marché libre",(C82/(A82*24))/G82,"spécifier histo"))</f>
        <v>0.540913978494624</v>
      </c>
      <c r="F82" s="59" t="n">
        <v>275</v>
      </c>
      <c r="G82" s="59" t="n">
        <f aca="false">F82-H82</f>
        <v>275</v>
      </c>
      <c r="H82" s="59" t="n">
        <v>0</v>
      </c>
      <c r="I82" s="0"/>
      <c r="J82" s="208"/>
      <c r="K82" s="0"/>
      <c r="L82" s="0"/>
      <c r="M82" s="0"/>
      <c r="N82" s="0"/>
      <c r="O82" s="0"/>
      <c r="P82" s="0"/>
      <c r="Q82" s="0"/>
      <c r="R82" s="0"/>
      <c r="S82" s="0"/>
      <c r="T82" s="0"/>
      <c r="U82" s="0"/>
      <c r="V82" s="0"/>
    </row>
    <row r="83" customFormat="false" ht="19.85" hidden="false" customHeight="true" outlineLevel="0" collapsed="false">
      <c r="A83" s="0" t="n">
        <v>28</v>
      </c>
      <c r="B83" s="34" t="n">
        <v>41306</v>
      </c>
      <c r="C83" s="1" t="n">
        <v>122399</v>
      </c>
      <c r="D83" s="1" t="s">
        <v>42</v>
      </c>
      <c r="E83" s="33" t="n">
        <f aca="false">IF(D83="totale",(C83/(A83*24))/F83,IF(D83="marché libre",(C83/(A83*24))/G83,"spécifier histo"))</f>
        <v>0.662332251082251</v>
      </c>
      <c r="F83" s="59" t="n">
        <v>275</v>
      </c>
      <c r="G83" s="59" t="n">
        <f aca="false">F83-H83</f>
        <v>275</v>
      </c>
      <c r="H83" s="59" t="n">
        <v>0</v>
      </c>
      <c r="I83" s="0"/>
      <c r="J83" s="208"/>
      <c r="K83" s="0"/>
      <c r="L83" s="0"/>
      <c r="M83" s="0"/>
      <c r="N83" s="0"/>
      <c r="O83" s="0"/>
      <c r="P83" s="0"/>
      <c r="Q83" s="0"/>
      <c r="R83" s="0"/>
      <c r="S83" s="0"/>
      <c r="T83" s="0"/>
      <c r="U83" s="0"/>
      <c r="V83" s="0"/>
    </row>
    <row r="84" customFormat="false" ht="19.85" hidden="false" customHeight="true" outlineLevel="0" collapsed="false">
      <c r="A84" s="0" t="n">
        <v>31</v>
      </c>
      <c r="B84" s="31" t="n">
        <v>41334</v>
      </c>
      <c r="C84" s="1" t="n">
        <v>148307</v>
      </c>
      <c r="D84" s="1" t="s">
        <v>42</v>
      </c>
      <c r="E84" s="33" t="n">
        <f aca="false">IF(D84="totale",(C84/(A84*24))/F84,IF(D84="marché libre",(C84/(A84*24))/G84,"spécifier histo"))</f>
        <v>0.724863147605083</v>
      </c>
      <c r="F84" s="59" t="n">
        <v>275</v>
      </c>
      <c r="G84" s="59" t="n">
        <f aca="false">F84-H84</f>
        <v>275</v>
      </c>
      <c r="H84" s="59" t="n">
        <v>0</v>
      </c>
      <c r="I84" s="0"/>
      <c r="J84" s="208"/>
      <c r="K84" s="0"/>
      <c r="L84" s="0"/>
      <c r="M84" s="0"/>
      <c r="N84" s="0"/>
      <c r="O84" s="0"/>
      <c r="P84" s="0"/>
      <c r="Q84" s="0"/>
      <c r="R84" s="0"/>
      <c r="S84" s="0"/>
      <c r="T84" s="0"/>
      <c r="U84" s="0"/>
      <c r="V84" s="0"/>
    </row>
    <row r="85" customFormat="false" ht="19.85" hidden="false" customHeight="true" outlineLevel="0" collapsed="false">
      <c r="A85" s="0" t="n">
        <v>30</v>
      </c>
      <c r="B85" s="34" t="n">
        <v>41365</v>
      </c>
      <c r="C85" s="1" t="n">
        <v>162265</v>
      </c>
      <c r="D85" s="1" t="s">
        <v>42</v>
      </c>
      <c r="E85" s="33" t="n">
        <f aca="false">IF(D85="totale",(C85/(A85*24))/F85,IF(D85="marché libre",(C85/(A85*24))/G85,"spécifier histo"))</f>
        <v>0.819520202020202</v>
      </c>
      <c r="F85" s="59" t="n">
        <v>275</v>
      </c>
      <c r="G85" s="59" t="n">
        <f aca="false">F85-H85</f>
        <v>275</v>
      </c>
      <c r="H85" s="59" t="n">
        <v>0</v>
      </c>
      <c r="I85" s="0"/>
      <c r="J85" s="208"/>
      <c r="K85" s="0"/>
      <c r="L85" s="0"/>
      <c r="M85" s="0"/>
      <c r="N85" s="0"/>
      <c r="O85" s="0"/>
      <c r="P85" s="0"/>
      <c r="Q85" s="0"/>
      <c r="R85" s="0"/>
      <c r="S85" s="0"/>
      <c r="T85" s="0"/>
      <c r="U85" s="0"/>
      <c r="V85" s="0"/>
    </row>
    <row r="86" customFormat="false" ht="19.85" hidden="false" customHeight="true" outlineLevel="0" collapsed="false">
      <c r="A86" s="0" t="n">
        <v>31</v>
      </c>
      <c r="B86" s="31" t="n">
        <v>41395</v>
      </c>
      <c r="C86" s="1" t="n">
        <v>157952</v>
      </c>
      <c r="D86" s="1" t="s">
        <v>42</v>
      </c>
      <c r="E86" s="33" t="n">
        <f aca="false">IF(D86="totale",(C86/(A86*24))/F86,IF(D86="marché libre",(C86/(A86*24))/G86,"spécifier histo"))</f>
        <v>0.772003910068426</v>
      </c>
      <c r="F86" s="59" t="n">
        <v>275</v>
      </c>
      <c r="G86" s="59" t="n">
        <f aca="false">F86-H86</f>
        <v>275</v>
      </c>
      <c r="H86" s="59" t="n">
        <v>0</v>
      </c>
      <c r="I86" s="0"/>
      <c r="J86" s="208"/>
      <c r="K86" s="0"/>
      <c r="L86" s="0"/>
      <c r="M86" s="0"/>
      <c r="N86" s="0"/>
      <c r="O86" s="0"/>
      <c r="P86" s="0"/>
      <c r="Q86" s="0"/>
      <c r="R86" s="0"/>
      <c r="S86" s="0"/>
      <c r="T86" s="0"/>
      <c r="U86" s="0"/>
      <c r="V86" s="0"/>
    </row>
    <row r="87" customFormat="false" ht="19.85" hidden="false" customHeight="true" outlineLevel="0" collapsed="false">
      <c r="A87" s="0" t="n">
        <v>30</v>
      </c>
      <c r="B87" s="34" t="n">
        <v>41426</v>
      </c>
      <c r="C87" s="1" t="n">
        <v>109590</v>
      </c>
      <c r="D87" s="1" t="s">
        <v>42</v>
      </c>
      <c r="E87" s="33" t="n">
        <f aca="false">IF(D87="totale",(C87/(A87*24))/F87,IF(D87="marché libre",(C87/(A87*24))/G87,"spécifier histo"))</f>
        <v>0.553484848484848</v>
      </c>
      <c r="F87" s="59" t="n">
        <v>275</v>
      </c>
      <c r="G87" s="59" t="n">
        <f aca="false">F87-H87</f>
        <v>275</v>
      </c>
      <c r="H87" s="59" t="n">
        <v>0</v>
      </c>
      <c r="I87" s="0"/>
      <c r="J87" s="208"/>
      <c r="K87" s="0"/>
      <c r="L87" s="0"/>
      <c r="O87" s="0"/>
    </row>
    <row r="88" customFormat="false" ht="19.85" hidden="false" customHeight="true" outlineLevel="0" collapsed="false">
      <c r="A88" s="0" t="n">
        <v>31</v>
      </c>
      <c r="B88" s="31" t="n">
        <v>41456</v>
      </c>
      <c r="C88" s="1" t="n">
        <v>76755</v>
      </c>
      <c r="D88" s="1" t="s">
        <v>42</v>
      </c>
      <c r="E88" s="33" t="n">
        <f aca="false">IF(D88="totale",(C88/(A88*24))/F88,IF(D88="marché libre",(C88/(A88*24))/G88,"spécifier histo"))</f>
        <v>0.375146627565982</v>
      </c>
      <c r="F88" s="59" t="n">
        <v>275</v>
      </c>
      <c r="G88" s="59" t="n">
        <f aca="false">F88-H88</f>
        <v>275</v>
      </c>
      <c r="H88" s="59" t="n">
        <v>0</v>
      </c>
      <c r="I88" s="0"/>
      <c r="J88" s="208"/>
      <c r="K88" s="0"/>
      <c r="L88" s="0"/>
      <c r="O88" s="0"/>
    </row>
    <row r="89" customFormat="false" ht="19.85" hidden="false" customHeight="true" outlineLevel="0" collapsed="false">
      <c r="A89" s="0" t="n">
        <v>31</v>
      </c>
      <c r="B89" s="34" t="n">
        <v>41487</v>
      </c>
      <c r="C89" s="1" t="n">
        <v>27694</v>
      </c>
      <c r="D89" s="1" t="s">
        <v>42</v>
      </c>
      <c r="E89" s="33" t="n">
        <f aca="false">IF(D89="totale",(C89/(A89*24))/F89,IF(D89="marché libre",(C89/(A89*24))/G89,"spécifier histo"))</f>
        <v>0.135356793743891</v>
      </c>
      <c r="F89" s="59" t="n">
        <v>275</v>
      </c>
      <c r="G89" s="59" t="n">
        <f aca="false">F89-H89</f>
        <v>275</v>
      </c>
      <c r="H89" s="59" t="n">
        <v>0</v>
      </c>
      <c r="I89" s="0"/>
      <c r="J89" s="208"/>
      <c r="K89" s="0"/>
      <c r="L89" s="0"/>
      <c r="O89" s="0"/>
    </row>
    <row r="90" customFormat="false" ht="19.85" hidden="false" customHeight="true" outlineLevel="0" collapsed="false">
      <c r="A90" s="0" t="n">
        <v>30</v>
      </c>
      <c r="B90" s="31" t="n">
        <v>41518</v>
      </c>
      <c r="C90" s="1" t="n">
        <v>30487</v>
      </c>
      <c r="D90" s="1" t="s">
        <v>42</v>
      </c>
      <c r="E90" s="33" t="n">
        <f aca="false">IF(D90="totale",(C90/(A90*24))/F90,IF(D90="marché libre",(C90/(A90*24))/G90,"spécifier histo"))</f>
        <v>0.153974747474747</v>
      </c>
      <c r="F90" s="59" t="n">
        <v>275</v>
      </c>
      <c r="G90" s="59" t="n">
        <f aca="false">F90-H90</f>
        <v>275</v>
      </c>
      <c r="H90" s="59" t="n">
        <v>0</v>
      </c>
      <c r="I90" s="0"/>
      <c r="J90" s="208"/>
      <c r="K90" s="0"/>
      <c r="L90" s="0"/>
      <c r="O90" s="0"/>
    </row>
    <row r="91" customFormat="false" ht="19.85" hidden="false" customHeight="true" outlineLevel="0" collapsed="false">
      <c r="A91" s="0" t="n">
        <v>31</v>
      </c>
      <c r="B91" s="34" t="n">
        <v>41548</v>
      </c>
      <c r="C91" s="1" t="n">
        <v>47953</v>
      </c>
      <c r="D91" s="1" t="s">
        <v>42</v>
      </c>
      <c r="E91" s="33" t="n">
        <f aca="false">IF(D91="totale",(C91/(A91*24))/F91,IF(D91="marché libre",(C91/(A91*24))/G91,"spécifier histo"))</f>
        <v>0.234374389051808</v>
      </c>
      <c r="F91" s="59" t="n">
        <v>275</v>
      </c>
      <c r="G91" s="59" t="n">
        <f aca="false">F91-H91</f>
        <v>275</v>
      </c>
      <c r="H91" s="59" t="n">
        <v>0</v>
      </c>
      <c r="I91" s="0"/>
      <c r="J91" s="208"/>
      <c r="K91" s="0"/>
      <c r="L91" s="0"/>
      <c r="O91" s="0"/>
    </row>
    <row r="92" customFormat="false" ht="19.85" hidden="false" customHeight="true" outlineLevel="0" collapsed="false">
      <c r="A92" s="0" t="n">
        <v>30</v>
      </c>
      <c r="B92" s="31" t="n">
        <v>41579</v>
      </c>
      <c r="C92" s="1" t="n">
        <v>63295</v>
      </c>
      <c r="D92" s="1" t="s">
        <v>42</v>
      </c>
      <c r="E92" s="33" t="n">
        <f aca="false">IF(D92="totale",(C92/(A92*24))/F92,IF(D92="marché libre",(C92/(A92*24))/G92,"spécifier histo"))</f>
        <v>0.319671717171717</v>
      </c>
      <c r="F92" s="59" t="n">
        <v>275</v>
      </c>
      <c r="G92" s="59" t="n">
        <f aca="false">F92-H92</f>
        <v>275</v>
      </c>
      <c r="H92" s="59" t="n">
        <v>0</v>
      </c>
      <c r="I92" s="0"/>
      <c r="J92" s="208"/>
      <c r="K92" s="0"/>
      <c r="L92" s="0"/>
      <c r="O92" s="0"/>
    </row>
    <row r="93" customFormat="false" ht="19.85" hidden="false" customHeight="true" outlineLevel="0" collapsed="false">
      <c r="A93" s="0" t="n">
        <v>31</v>
      </c>
      <c r="B93" s="34" t="n">
        <v>41609</v>
      </c>
      <c r="C93" s="1" t="n">
        <v>66928</v>
      </c>
      <c r="D93" s="1" t="s">
        <v>42</v>
      </c>
      <c r="E93" s="33" t="n">
        <f aca="false">IF(D93="totale",(C93/(A93*24))/F93,IF(D93="marché libre",(C93/(A93*24))/G93,"spécifier histo"))</f>
        <v>0.327116324535679</v>
      </c>
      <c r="F93" s="59" t="n">
        <v>275</v>
      </c>
      <c r="G93" s="59" t="n">
        <f aca="false">F93-H93</f>
        <v>275</v>
      </c>
      <c r="H93" s="59" t="n">
        <v>0</v>
      </c>
      <c r="I93" s="0"/>
      <c r="J93" s="209"/>
      <c r="K93" s="0"/>
      <c r="L93" s="0"/>
      <c r="O93" s="0"/>
    </row>
    <row r="94" customFormat="false" ht="19.85" hidden="false" customHeight="true" outlineLevel="0" collapsed="false">
      <c r="A94" s="0" t="n">
        <v>31</v>
      </c>
      <c r="B94" s="31" t="n">
        <v>41640</v>
      </c>
      <c r="C94" s="1" t="n">
        <v>133801</v>
      </c>
      <c r="D94" s="1" t="s">
        <v>42</v>
      </c>
      <c r="E94" s="33" t="n">
        <f aca="false">IF(D94="totale",(C94/(A94*24))/F94,IF(D94="marché libre",(C94/(A94*24))/G94,"spécifier histo"))</f>
        <v>0.653963831867058</v>
      </c>
      <c r="F94" s="59" t="n">
        <v>275</v>
      </c>
      <c r="G94" s="59" t="n">
        <f aca="false">F94-H94</f>
        <v>275</v>
      </c>
      <c r="H94" s="59" t="n">
        <v>0</v>
      </c>
      <c r="I94" s="0"/>
      <c r="J94" s="208"/>
      <c r="K94" s="0"/>
      <c r="L94" s="0"/>
      <c r="O94" s="0"/>
    </row>
    <row r="95" customFormat="false" ht="19.85" hidden="false" customHeight="true" outlineLevel="0" collapsed="false">
      <c r="A95" s="0" t="n">
        <v>28</v>
      </c>
      <c r="B95" s="34" t="n">
        <v>41671</v>
      </c>
      <c r="C95" s="1" t="n">
        <v>138875</v>
      </c>
      <c r="D95" s="1" t="s">
        <v>42</v>
      </c>
      <c r="E95" s="33" t="n">
        <f aca="false">IF(D95="totale",(C95/(A95*24))/F95,IF(D95="marché libre",(C95/(A95*24))/G95,"spécifier histo"))</f>
        <v>0.751488095238095</v>
      </c>
      <c r="F95" s="59" t="n">
        <v>275</v>
      </c>
      <c r="G95" s="59" t="n">
        <f aca="false">F95-H95</f>
        <v>275</v>
      </c>
      <c r="H95" s="59" t="n">
        <v>0</v>
      </c>
      <c r="I95" s="0"/>
      <c r="J95" s="208"/>
      <c r="K95" s="0"/>
      <c r="L95" s="0"/>
      <c r="O95" s="0"/>
    </row>
    <row r="96" customFormat="false" ht="19.85" hidden="false" customHeight="true" outlineLevel="0" collapsed="false">
      <c r="A96" s="0" t="n">
        <v>31</v>
      </c>
      <c r="B96" s="31" t="n">
        <v>41699</v>
      </c>
      <c r="C96" s="1" t="n">
        <v>152408</v>
      </c>
      <c r="D96" s="1" t="s">
        <v>42</v>
      </c>
      <c r="E96" s="33" t="n">
        <f aca="false">IF(D96="totale",(C96/(A96*24))/F96,IF(D96="marché libre",(C96/(A96*24))/G96,"spécifier histo"))</f>
        <v>0.744907135874878</v>
      </c>
      <c r="F96" s="59" t="n">
        <v>275</v>
      </c>
      <c r="G96" s="59" t="n">
        <f aca="false">F96-H96</f>
        <v>275</v>
      </c>
      <c r="H96" s="59" t="n">
        <v>0</v>
      </c>
      <c r="I96" s="0"/>
      <c r="J96" s="208"/>
      <c r="K96" s="0"/>
      <c r="L96" s="0"/>
      <c r="O96" s="0"/>
    </row>
    <row r="97" customFormat="false" ht="19.85" hidden="false" customHeight="true" outlineLevel="0" collapsed="false">
      <c r="A97" s="0" t="n">
        <v>30</v>
      </c>
      <c r="B97" s="34" t="n">
        <v>41730</v>
      </c>
      <c r="C97" s="1" t="n">
        <v>102462</v>
      </c>
      <c r="D97" s="1" t="s">
        <v>42</v>
      </c>
      <c r="E97" s="33" t="n">
        <f aca="false">IF(D97="totale",(C97/(A97*24))/F97,IF(D97="marché libre",(C97/(A97*24))/G97,"spécifier histo"))</f>
        <v>0.517484848484849</v>
      </c>
      <c r="F97" s="59" t="n">
        <v>275</v>
      </c>
      <c r="G97" s="59" t="n">
        <f aca="false">F97-H97</f>
        <v>275</v>
      </c>
      <c r="H97" s="59" t="n">
        <v>0</v>
      </c>
      <c r="I97" s="0"/>
      <c r="J97" s="208"/>
      <c r="K97" s="0"/>
      <c r="L97" s="0"/>
      <c r="O97" s="0"/>
    </row>
    <row r="98" customFormat="false" ht="19.85" hidden="false" customHeight="true" outlineLevel="0" collapsed="false">
      <c r="A98" s="0" t="n">
        <v>31</v>
      </c>
      <c r="B98" s="31" t="n">
        <v>41760</v>
      </c>
      <c r="C98" s="1" t="n">
        <v>72712</v>
      </c>
      <c r="D98" s="1" t="s">
        <v>42</v>
      </c>
      <c r="E98" s="33" t="n">
        <f aca="false">IF(D98="totale",(C98/(A98*24))/F98,IF(D98="marché libre",(C98/(A98*24))/G98,"spécifier histo"))</f>
        <v>0.355386119257087</v>
      </c>
      <c r="F98" s="59" t="n">
        <v>275</v>
      </c>
      <c r="G98" s="59" t="n">
        <f aca="false">F98-H98</f>
        <v>275</v>
      </c>
      <c r="H98" s="59" t="n">
        <v>0</v>
      </c>
      <c r="I98" s="0"/>
      <c r="J98" s="208"/>
      <c r="K98" s="0"/>
      <c r="L98" s="0"/>
      <c r="O98" s="0"/>
    </row>
    <row r="99" customFormat="false" ht="19.85" hidden="false" customHeight="true" outlineLevel="0" collapsed="false">
      <c r="A99" s="0" t="n">
        <v>30</v>
      </c>
      <c r="B99" s="34" t="n">
        <v>41791</v>
      </c>
      <c r="C99" s="1" t="n">
        <v>16879</v>
      </c>
      <c r="D99" s="1" t="s">
        <v>42</v>
      </c>
      <c r="E99" s="33" t="n">
        <f aca="false">IF(D99="totale",(C99/(A99*24))/F99,IF(D99="marché libre",(C99/(A99*24))/G99,"spécifier histo"))</f>
        <v>0.0852474747474748</v>
      </c>
      <c r="F99" s="59" t="n">
        <v>275</v>
      </c>
      <c r="G99" s="59" t="n">
        <f aca="false">F99-H99</f>
        <v>275</v>
      </c>
      <c r="H99" s="59" t="n">
        <v>0</v>
      </c>
      <c r="I99" s="0"/>
      <c r="J99" s="208"/>
      <c r="K99" s="0"/>
      <c r="L99" s="0"/>
    </row>
    <row r="100" customFormat="false" ht="19.85" hidden="false" customHeight="true" outlineLevel="0" collapsed="false">
      <c r="A100" s="0" t="n">
        <v>31</v>
      </c>
      <c r="B100" s="31" t="n">
        <v>41821</v>
      </c>
      <c r="C100" s="1" t="n">
        <v>95197</v>
      </c>
      <c r="D100" s="1" t="s">
        <v>42</v>
      </c>
      <c r="E100" s="33" t="n">
        <f aca="false">IF(D100="totale",(C100/(A100*24))/F100,IF(D100="marché libre",(C100/(A100*24))/G100,"spécifier histo"))</f>
        <v>0.465283479960899</v>
      </c>
      <c r="F100" s="59" t="n">
        <v>275</v>
      </c>
      <c r="G100" s="59" t="n">
        <f aca="false">F100-H100</f>
        <v>275</v>
      </c>
      <c r="H100" s="59" t="n">
        <v>0</v>
      </c>
      <c r="I100" s="0"/>
      <c r="J100" s="208"/>
      <c r="K100" s="0"/>
      <c r="L100" s="0"/>
    </row>
    <row r="101" customFormat="false" ht="19.85" hidden="false" customHeight="true" outlineLevel="0" collapsed="false">
      <c r="A101" s="0" t="n">
        <v>31</v>
      </c>
      <c r="B101" s="34" t="n">
        <v>41852</v>
      </c>
      <c r="C101" s="1" t="n">
        <v>88233</v>
      </c>
      <c r="D101" s="1" t="s">
        <v>42</v>
      </c>
      <c r="E101" s="33" t="n">
        <f aca="false">IF(D101="totale",(C101/(A101*24))/F101,IF(D101="marché libre",(C101/(A101*24))/G101,"spécifier histo"))</f>
        <v>0.43124633431085</v>
      </c>
      <c r="F101" s="59" t="n">
        <v>275</v>
      </c>
      <c r="G101" s="59" t="n">
        <f aca="false">F101-H101</f>
        <v>275</v>
      </c>
      <c r="H101" s="59" t="n">
        <v>0</v>
      </c>
      <c r="I101" s="0"/>
      <c r="J101" s="208"/>
      <c r="K101" s="0"/>
      <c r="L101" s="0"/>
    </row>
    <row r="102" customFormat="false" ht="19.85" hidden="false" customHeight="true" outlineLevel="0" collapsed="false">
      <c r="A102" s="0" t="n">
        <v>30</v>
      </c>
      <c r="B102" s="31" t="n">
        <v>41883</v>
      </c>
      <c r="C102" s="1" t="n">
        <v>43319</v>
      </c>
      <c r="D102" s="1" t="s">
        <v>42</v>
      </c>
      <c r="E102" s="33" t="n">
        <f aca="false">IF(D102="totale",(C102/(A102*24))/F102,IF(D102="marché libre",(C102/(A102*24))/G102,"spécifier histo"))</f>
        <v>0.218782828282828</v>
      </c>
      <c r="F102" s="59" t="n">
        <v>275</v>
      </c>
      <c r="G102" s="59" t="n">
        <f aca="false">F102-H102</f>
        <v>275</v>
      </c>
      <c r="H102" s="59" t="n">
        <v>0</v>
      </c>
      <c r="I102" s="0"/>
      <c r="J102" s="208"/>
      <c r="K102" s="0"/>
      <c r="L102" s="0"/>
    </row>
    <row r="103" customFormat="false" ht="19.85" hidden="false" customHeight="true" outlineLevel="0" collapsed="false">
      <c r="A103" s="0" t="n">
        <v>31</v>
      </c>
      <c r="B103" s="34" t="n">
        <v>41913</v>
      </c>
      <c r="C103" s="1" t="n">
        <v>39679</v>
      </c>
      <c r="D103" s="1" t="s">
        <v>42</v>
      </c>
      <c r="E103" s="33" t="n">
        <f aca="false">IF(D103="totale",(C103/(A103*24))/F103,IF(D103="marché libre",(C103/(A103*24))/G103,"spécifier histo"))</f>
        <v>0.193934506353861</v>
      </c>
      <c r="F103" s="59" t="n">
        <v>275</v>
      </c>
      <c r="G103" s="59" t="n">
        <f aca="false">F103-H103</f>
        <v>275</v>
      </c>
      <c r="H103" s="59" t="n">
        <v>0</v>
      </c>
      <c r="I103" s="0"/>
      <c r="J103" s="208"/>
      <c r="K103" s="0"/>
      <c r="L103" s="0"/>
    </row>
    <row r="104" customFormat="false" ht="19.85" hidden="false" customHeight="true" outlineLevel="0" collapsed="false">
      <c r="A104" s="0" t="n">
        <v>30</v>
      </c>
      <c r="B104" s="31" t="n">
        <v>41944</v>
      </c>
      <c r="C104" s="1" t="n">
        <v>54768</v>
      </c>
      <c r="D104" s="1" t="s">
        <v>42</v>
      </c>
      <c r="E104" s="33" t="n">
        <f aca="false">IF(D104="totale",(C104/(A104*24))/F104,IF(D104="marché libre",(C104/(A104*24))/G104,"spécifier histo"))</f>
        <v>0.276606060606061</v>
      </c>
      <c r="F104" s="59" t="n">
        <v>275</v>
      </c>
      <c r="G104" s="59" t="n">
        <f aca="false">F104-H104</f>
        <v>275</v>
      </c>
      <c r="H104" s="59" t="n">
        <v>0</v>
      </c>
      <c r="I104" s="0"/>
      <c r="J104" s="208"/>
      <c r="K104" s="0"/>
      <c r="L104" s="0"/>
    </row>
    <row r="105" customFormat="false" ht="19.95" hidden="false" customHeight="true" outlineLevel="0" collapsed="false">
      <c r="A105" s="0" t="n">
        <v>31</v>
      </c>
      <c r="B105" s="34" t="n">
        <v>41974</v>
      </c>
      <c r="C105" s="1" t="n">
        <v>136771</v>
      </c>
      <c r="D105" s="1" t="s">
        <v>42</v>
      </c>
      <c r="E105" s="33" t="n">
        <f aca="false">IF(D105="totale",(C105/(A105*24))/F105,IF(D105="marché libre",(C105/(A105*24))/G105,"spécifier histo"))</f>
        <v>0.668479960899316</v>
      </c>
      <c r="F105" s="59" t="n">
        <v>275</v>
      </c>
      <c r="G105" s="59" t="n">
        <f aca="false">F105-H105</f>
        <v>275</v>
      </c>
      <c r="H105" s="59" t="n">
        <v>0</v>
      </c>
      <c r="I105" s="0"/>
      <c r="J105" s="208"/>
      <c r="K105" s="0"/>
      <c r="L105" s="0"/>
    </row>
    <row r="106" customFormat="false" ht="19.85" hidden="false" customHeight="true" outlineLevel="0" collapsed="false">
      <c r="A106" s="0" t="n">
        <v>31</v>
      </c>
      <c r="B106" s="31" t="n">
        <v>42005</v>
      </c>
      <c r="C106" s="1" t="n">
        <v>104615</v>
      </c>
      <c r="D106" s="1" t="s">
        <v>42</v>
      </c>
      <c r="E106" s="33" t="n">
        <f aca="false">IF(D106="totale",(C106/(A106*24))/F106,IF(D106="marché libre",(C106/(A106*24))/G106,"spécifier histo"))</f>
        <v>0.511314760508309</v>
      </c>
      <c r="F106" s="59" t="n">
        <v>275</v>
      </c>
      <c r="G106" s="59" t="n">
        <f aca="false">F106-H106</f>
        <v>275</v>
      </c>
      <c r="H106" s="59" t="n">
        <v>0</v>
      </c>
      <c r="I106" s="0"/>
      <c r="J106" s="208"/>
      <c r="K106" s="0"/>
      <c r="L106" s="0"/>
    </row>
    <row r="107" customFormat="false" ht="19.85" hidden="false" customHeight="true" outlineLevel="0" collapsed="false">
      <c r="A107" s="0" t="n">
        <v>28</v>
      </c>
      <c r="B107" s="34" t="n">
        <v>42036</v>
      </c>
      <c r="C107" s="1" t="n">
        <v>107058</v>
      </c>
      <c r="D107" s="1" t="s">
        <v>42</v>
      </c>
      <c r="E107" s="33" t="n">
        <f aca="false">IF(D107="totale",(C107/(A107*24))/F107,IF(D107="marché libre",(C107/(A107*24))/G107,"spécifier histo"))</f>
        <v>0.579318181818182</v>
      </c>
      <c r="F107" s="59" t="n">
        <v>275</v>
      </c>
      <c r="G107" s="59" t="n">
        <f aca="false">F107-H107</f>
        <v>275</v>
      </c>
      <c r="H107" s="59" t="n">
        <v>0</v>
      </c>
      <c r="I107" s="0"/>
      <c r="J107" s="208"/>
      <c r="K107" s="0"/>
      <c r="L107" s="0"/>
    </row>
    <row r="108" customFormat="false" ht="19.85" hidden="false" customHeight="true" outlineLevel="0" collapsed="false">
      <c r="A108" s="0" t="n">
        <v>31</v>
      </c>
      <c r="B108" s="31" t="n">
        <v>42064</v>
      </c>
      <c r="C108" s="1" t="n">
        <v>139633</v>
      </c>
      <c r="D108" s="1" t="s">
        <v>42</v>
      </c>
      <c r="E108" s="33" t="n">
        <f aca="false">IF(D108="totale",(C108/(A108*24))/F108,IF(D108="marché libre",(C108/(A108*24))/G108,"spécifier histo"))</f>
        <v>0.682468230694037</v>
      </c>
      <c r="F108" s="59" t="n">
        <v>275</v>
      </c>
      <c r="G108" s="59" t="n">
        <f aca="false">F108-H108</f>
        <v>275</v>
      </c>
      <c r="H108" s="59" t="n">
        <v>0</v>
      </c>
      <c r="I108" s="0"/>
      <c r="J108" s="208"/>
      <c r="K108" s="0"/>
      <c r="L108" s="0"/>
    </row>
    <row r="109" customFormat="false" ht="19.85" hidden="false" customHeight="true" outlineLevel="0" collapsed="false">
      <c r="A109" s="0" t="n">
        <v>30</v>
      </c>
      <c r="B109" s="34" t="n">
        <v>42095</v>
      </c>
      <c r="C109" s="1" t="n">
        <v>105003</v>
      </c>
      <c r="D109" s="1" t="s">
        <v>42</v>
      </c>
      <c r="E109" s="33" t="n">
        <f aca="false">IF(D109="totale",(C109/(A109*24))/F109,IF(D109="marché libre",(C109/(A109*24))/G109,"spécifier histo"))</f>
        <v>0.530318181818182</v>
      </c>
      <c r="F109" s="59" t="n">
        <v>275</v>
      </c>
      <c r="G109" s="59" t="n">
        <f aca="false">F109-H109</f>
        <v>275</v>
      </c>
      <c r="H109" s="59" t="n">
        <v>0</v>
      </c>
      <c r="I109" s="0"/>
      <c r="J109" s="208"/>
      <c r="K109" s="0"/>
      <c r="L109" s="0"/>
    </row>
    <row r="110" customFormat="false" ht="19.85" hidden="false" customHeight="true" outlineLevel="0" collapsed="false">
      <c r="A110" s="0" t="n">
        <v>31</v>
      </c>
      <c r="B110" s="31" t="n">
        <v>42125</v>
      </c>
      <c r="C110" s="1" t="n">
        <v>90109</v>
      </c>
      <c r="D110" s="1" t="s">
        <v>42</v>
      </c>
      <c r="E110" s="33" t="n">
        <f aca="false">IF(D110="totale",(C110/(A110*24))/F110,IF(D110="marché libre",(C110/(A110*24))/G110,"spécifier histo"))</f>
        <v>0.440415444770283</v>
      </c>
      <c r="F110" s="59" t="n">
        <v>275</v>
      </c>
      <c r="G110" s="59" t="n">
        <f aca="false">F110-H110</f>
        <v>275</v>
      </c>
      <c r="H110" s="59" t="n">
        <v>0</v>
      </c>
      <c r="I110" s="0"/>
      <c r="J110" s="208"/>
      <c r="K110" s="0"/>
      <c r="L110" s="0"/>
    </row>
    <row r="111" customFormat="false" ht="19.85" hidden="false" customHeight="true" outlineLevel="0" collapsed="false">
      <c r="A111" s="0" t="n">
        <v>30</v>
      </c>
      <c r="B111" s="34" t="n">
        <v>42156</v>
      </c>
      <c r="C111" s="1" t="n">
        <v>31856</v>
      </c>
      <c r="D111" s="1" t="s">
        <v>42</v>
      </c>
      <c r="E111" s="33" t="n">
        <f aca="false">IF(D111="totale",(C111/(A111*24))/F111,IF(D111="marché libre",(C111/(A111*24))/G111,"spécifier histo"))</f>
        <v>0.160888888888889</v>
      </c>
      <c r="F111" s="59" t="n">
        <v>275</v>
      </c>
      <c r="G111" s="59" t="n">
        <f aca="false">F111-H111</f>
        <v>275</v>
      </c>
      <c r="H111" s="59" t="n">
        <v>0</v>
      </c>
      <c r="I111" s="0"/>
      <c r="J111" s="208"/>
      <c r="K111" s="0"/>
      <c r="L111" s="0"/>
    </row>
    <row r="112" customFormat="false" ht="19.85" hidden="false" customHeight="true" outlineLevel="0" collapsed="false">
      <c r="A112" s="0" t="n">
        <v>31</v>
      </c>
      <c r="B112" s="31" t="n">
        <v>42186</v>
      </c>
      <c r="C112" s="1" t="n">
        <v>11918</v>
      </c>
      <c r="D112" s="1" t="s">
        <v>42</v>
      </c>
      <c r="E112" s="33" t="n">
        <f aca="false">IF(D112="totale",(C112/(A112*24))/F112,IF(D112="marché libre",(C112/(A112*24))/G112,"spécifier histo"))</f>
        <v>0.0582502443792766</v>
      </c>
      <c r="F112" s="59" t="n">
        <v>275</v>
      </c>
      <c r="G112" s="59" t="n">
        <f aca="false">F112-H112</f>
        <v>275</v>
      </c>
      <c r="H112" s="59" t="n">
        <v>0</v>
      </c>
      <c r="I112" s="0"/>
      <c r="J112" s="208"/>
      <c r="K112" s="0"/>
      <c r="L112" s="0"/>
    </row>
    <row r="113" customFormat="false" ht="19.85" hidden="false" customHeight="true" outlineLevel="0" collapsed="false">
      <c r="A113" s="0" t="n">
        <v>31</v>
      </c>
      <c r="B113" s="34" t="n">
        <v>42217</v>
      </c>
      <c r="C113" s="1" t="n">
        <v>13126</v>
      </c>
      <c r="D113" s="1" t="s">
        <v>42</v>
      </c>
      <c r="E113" s="33" t="n">
        <f aca="false">IF(D113="totale",(C113/(A113*24))/F113,IF(D113="marché libre",(C113/(A113*24))/G113,"spécifier histo"))</f>
        <v>0.0641544477028348</v>
      </c>
      <c r="F113" s="59" t="n">
        <v>275</v>
      </c>
      <c r="G113" s="59" t="n">
        <f aca="false">F113-H113</f>
        <v>275</v>
      </c>
      <c r="H113" s="59" t="n">
        <v>0</v>
      </c>
      <c r="I113" s="0"/>
      <c r="J113" s="208"/>
      <c r="K113" s="0"/>
      <c r="L113" s="0"/>
    </row>
    <row r="114" customFormat="false" ht="19.85" hidden="false" customHeight="true" outlineLevel="0" collapsed="false">
      <c r="A114" s="0" t="n">
        <v>30</v>
      </c>
      <c r="B114" s="31" t="n">
        <v>42248</v>
      </c>
      <c r="C114" s="1" t="n">
        <v>26266</v>
      </c>
      <c r="D114" s="1" t="s">
        <v>42</v>
      </c>
      <c r="E114" s="33" t="n">
        <f aca="false">IF(D114="totale",(C114/(A114*24))/F114,IF(D114="marché libre",(C114/(A114*24))/G114,"spécifier histo"))</f>
        <v>0.132656565656566</v>
      </c>
      <c r="F114" s="59" t="n">
        <v>275</v>
      </c>
      <c r="G114" s="59" t="n">
        <f aca="false">F114-H114</f>
        <v>275</v>
      </c>
      <c r="H114" s="59" t="n">
        <v>0</v>
      </c>
      <c r="I114" s="0"/>
      <c r="J114" s="208"/>
      <c r="K114" s="0"/>
      <c r="L114" s="0"/>
    </row>
    <row r="115" customFormat="false" ht="19.85" hidden="false" customHeight="true" outlineLevel="0" collapsed="false">
      <c r="A115" s="0" t="n">
        <v>31</v>
      </c>
      <c r="B115" s="34" t="n">
        <v>42278</v>
      </c>
      <c r="C115" s="1" t="n">
        <v>1567</v>
      </c>
      <c r="D115" s="1" t="s">
        <v>42</v>
      </c>
      <c r="E115" s="33" t="n">
        <f aca="false">IF(D115="totale",(C115/(A115*24))/F115,IF(D115="marché libre",(C115/(A115*24))/G115,"spécifier histo"))</f>
        <v>0.00765884652981427</v>
      </c>
      <c r="F115" s="59" t="n">
        <v>275</v>
      </c>
      <c r="G115" s="59" t="n">
        <f aca="false">F115-H115</f>
        <v>275</v>
      </c>
      <c r="H115" s="59" t="n">
        <v>0</v>
      </c>
      <c r="I115" s="0"/>
      <c r="J115" s="208"/>
      <c r="K115" s="0"/>
      <c r="L115" s="0"/>
    </row>
    <row r="116" customFormat="false" ht="19.85" hidden="false" customHeight="true" outlineLevel="0" collapsed="false">
      <c r="A116" s="0" t="n">
        <v>30</v>
      </c>
      <c r="B116" s="31" t="n">
        <v>42309</v>
      </c>
      <c r="C116" s="1" t="n">
        <v>10816</v>
      </c>
      <c r="D116" s="1" t="s">
        <v>42</v>
      </c>
      <c r="E116" s="33" t="n">
        <f aca="false">IF(D116="totale",(C116/(A116*24))/F116,IF(D116="marché libre",(C116/(A116*24))/G116,"spécifier histo"))</f>
        <v>0.0546262626262626</v>
      </c>
      <c r="F116" s="59" t="n">
        <v>275</v>
      </c>
      <c r="G116" s="59" t="n">
        <f aca="false">F116-H116</f>
        <v>275</v>
      </c>
      <c r="H116" s="59" t="n">
        <v>0</v>
      </c>
      <c r="I116" s="0"/>
      <c r="J116" s="208"/>
      <c r="K116" s="0"/>
      <c r="L116" s="0"/>
    </row>
    <row r="117" customFormat="false" ht="19.85" hidden="false" customHeight="true" outlineLevel="0" collapsed="false">
      <c r="A117" s="0" t="n">
        <v>31</v>
      </c>
      <c r="B117" s="34" t="n">
        <v>42339</v>
      </c>
      <c r="C117" s="1" t="n">
        <v>27174</v>
      </c>
      <c r="D117" s="1" t="s">
        <v>42</v>
      </c>
      <c r="E117" s="33" t="n">
        <f aca="false">IF(D117="totale",(C117/(A117*24))/F117,IF(D117="marché libre",(C117/(A117*24))/G117,"spécifier histo"))</f>
        <v>0.132815249266862</v>
      </c>
      <c r="F117" s="59" t="n">
        <v>275</v>
      </c>
      <c r="G117" s="59" t="n">
        <f aca="false">F117-H117</f>
        <v>275</v>
      </c>
      <c r="H117" s="59" t="n">
        <v>0</v>
      </c>
      <c r="I117" s="0"/>
      <c r="J117" s="208"/>
      <c r="K117" s="0"/>
      <c r="L117" s="0"/>
    </row>
    <row r="118" customFormat="false" ht="19.85" hidden="false" customHeight="true" outlineLevel="0" collapsed="false">
      <c r="A118" s="481" t="n">
        <v>31</v>
      </c>
      <c r="B118" s="482" t="n">
        <v>42370</v>
      </c>
      <c r="C118" s="483" t="n">
        <v>114148</v>
      </c>
      <c r="D118" s="484" t="s">
        <v>42</v>
      </c>
      <c r="E118" s="485" t="n">
        <f aca="false">IF(D118="totale",(C118/(A118*24))/F118,IF(D118="marché libre",(C118/(A118*24))/G118,"spécifier histo"))</f>
        <v>0.557908113391984</v>
      </c>
      <c r="F118" s="486" t="n">
        <v>275</v>
      </c>
      <c r="G118" s="486" t="n">
        <f aca="false">F118-H118</f>
        <v>275</v>
      </c>
      <c r="H118" s="486" t="n">
        <v>0</v>
      </c>
      <c r="I118" s="0"/>
      <c r="J118" s="208"/>
      <c r="K118" s="0"/>
      <c r="L118" s="0"/>
    </row>
    <row r="119" customFormat="false" ht="19.85" hidden="false" customHeight="true" outlineLevel="0" collapsed="false">
      <c r="A119" s="0" t="n">
        <v>28</v>
      </c>
      <c r="B119" s="34" t="n">
        <v>42401</v>
      </c>
      <c r="C119" s="1" t="n">
        <v>143149</v>
      </c>
      <c r="D119" s="1" t="s">
        <v>42</v>
      </c>
      <c r="E119" s="33" t="n">
        <f aca="false">IF(D119="totale",(C119/(A119*24))/F119,IF(D119="marché libre",(C119/(A119*24))/G119,"spécifier histo"))</f>
        <v>0.774615800865801</v>
      </c>
      <c r="F119" s="59" t="n">
        <v>275</v>
      </c>
      <c r="G119" s="59" t="n">
        <f aca="false">F119-H119</f>
        <v>275</v>
      </c>
      <c r="H119" s="59" t="n">
        <v>0</v>
      </c>
      <c r="I119" s="0"/>
      <c r="J119" s="208"/>
      <c r="K119" s="0"/>
      <c r="L119" s="0"/>
    </row>
    <row r="120" customFormat="false" ht="19.85" hidden="false" customHeight="true" outlineLevel="0" collapsed="false">
      <c r="A120" s="0" t="n">
        <v>31</v>
      </c>
      <c r="B120" s="31" t="n">
        <v>42430</v>
      </c>
      <c r="C120" s="1" t="n">
        <v>142789</v>
      </c>
      <c r="D120" s="1" t="s">
        <v>42</v>
      </c>
      <c r="E120" s="33" t="n">
        <f aca="false">IF(D120="totale",(C120/(A120*24))/F120,IF(D120="marché libre",(C120/(A120*24))/G120,"spécifier histo"))</f>
        <v>0.697893450635386</v>
      </c>
      <c r="F120" s="59" t="n">
        <v>275</v>
      </c>
      <c r="G120" s="59" t="n">
        <f aca="false">F120-H120</f>
        <v>275</v>
      </c>
      <c r="H120" s="59" t="n">
        <v>0</v>
      </c>
      <c r="I120" s="0"/>
      <c r="J120" s="60"/>
      <c r="K120" s="26"/>
      <c r="L120" s="0"/>
    </row>
    <row r="121" customFormat="false" ht="19.85" hidden="false" customHeight="true" outlineLevel="0" collapsed="false">
      <c r="A121" s="0" t="n">
        <v>30</v>
      </c>
      <c r="B121" s="34" t="n">
        <v>42461</v>
      </c>
      <c r="C121" s="1" t="n">
        <v>140590</v>
      </c>
      <c r="D121" s="1" t="s">
        <v>42</v>
      </c>
      <c r="E121" s="33" t="n">
        <f aca="false">IF(D121="totale",(C121/(A121*24))/F121,IF(D121="marché libre",(C121/(A121*24))/G121,"spécifier histo"))</f>
        <v>0.710050505050505</v>
      </c>
      <c r="F121" s="59" t="n">
        <v>275</v>
      </c>
      <c r="G121" s="59" t="n">
        <f aca="false">F121-H121</f>
        <v>275</v>
      </c>
      <c r="H121" s="59" t="n">
        <v>0</v>
      </c>
      <c r="I121" s="0"/>
      <c r="J121" s="60"/>
      <c r="K121" s="26"/>
      <c r="L121" s="0"/>
    </row>
    <row r="122" customFormat="false" ht="19.85" hidden="false" customHeight="true" outlineLevel="0" collapsed="false">
      <c r="A122" s="0" t="n">
        <v>31</v>
      </c>
      <c r="B122" s="31" t="n">
        <v>42491</v>
      </c>
      <c r="C122" s="1" t="n">
        <v>131006</v>
      </c>
      <c r="D122" s="1" t="s">
        <v>42</v>
      </c>
      <c r="E122" s="33" t="n">
        <f aca="false">IF(D122="totale",(C122/(A122*24))/F122,IF(D122="marché libre",(C122/(A122*24))/G122,"spécifier histo"))</f>
        <v>0.64030303030303</v>
      </c>
      <c r="F122" s="59" t="n">
        <v>275</v>
      </c>
      <c r="G122" s="59" t="n">
        <f aca="false">F122-H122</f>
        <v>275</v>
      </c>
      <c r="H122" s="59" t="n">
        <v>0</v>
      </c>
      <c r="I122" s="0"/>
      <c r="J122" s="60"/>
      <c r="K122" s="0"/>
      <c r="L122" s="0"/>
      <c r="M122" s="0"/>
      <c r="N122" s="0"/>
      <c r="O122" s="0"/>
      <c r="P122" s="0"/>
    </row>
    <row r="123" customFormat="false" ht="19.85" hidden="false" customHeight="true" outlineLevel="0" collapsed="false">
      <c r="A123" s="0" t="n">
        <v>30</v>
      </c>
      <c r="B123" s="34" t="n">
        <v>42522</v>
      </c>
      <c r="C123" s="1" t="n">
        <v>117726</v>
      </c>
      <c r="D123" s="1" t="s">
        <v>42</v>
      </c>
      <c r="E123" s="33" t="n">
        <f aca="false">IF(D123="totale",(C123/(A123*24))/F123,IF(D123="marché libre",(C123/(A123*24))/G123,"spécifier histo"))</f>
        <v>0.594575757575758</v>
      </c>
      <c r="F123" s="59" t="n">
        <v>275</v>
      </c>
      <c r="G123" s="59" t="n">
        <f aca="false">F123-H123</f>
        <v>275</v>
      </c>
      <c r="H123" s="59" t="n">
        <v>0</v>
      </c>
      <c r="I123" s="0"/>
      <c r="J123" s="60"/>
      <c r="K123" s="0"/>
      <c r="L123" s="0"/>
      <c r="M123" s="0"/>
      <c r="N123" s="0"/>
      <c r="O123" s="0"/>
      <c r="P123" s="0"/>
    </row>
    <row r="124" customFormat="false" ht="19.85" hidden="false" customHeight="true" outlineLevel="0" collapsed="false">
      <c r="A124" s="0" t="n">
        <v>31</v>
      </c>
      <c r="B124" s="31" t="n">
        <v>42552</v>
      </c>
      <c r="C124" s="1" t="n">
        <v>37669</v>
      </c>
      <c r="D124" s="1" t="s">
        <v>42</v>
      </c>
      <c r="E124" s="33" t="n">
        <f aca="false">IF(D124="totale",(C124/(A124*24))/F124,IF(D124="marché libre",(C124/(A124*24))/G124,"spécifier histo"))</f>
        <v>0.18411045943304</v>
      </c>
      <c r="F124" s="59" t="n">
        <v>275</v>
      </c>
      <c r="G124" s="59" t="n">
        <f aca="false">F124-H124</f>
        <v>275</v>
      </c>
      <c r="H124" s="59" t="n">
        <v>0</v>
      </c>
      <c r="I124" s="0"/>
      <c r="J124" s="60"/>
      <c r="K124" s="0"/>
      <c r="L124" s="0"/>
      <c r="M124" s="0"/>
      <c r="N124" s="0"/>
      <c r="O124" s="0"/>
      <c r="P124" s="0"/>
    </row>
    <row r="125" customFormat="false" ht="19.85" hidden="false" customHeight="true" outlineLevel="0" collapsed="false">
      <c r="A125" s="0" t="n">
        <v>31</v>
      </c>
      <c r="B125" s="34" t="n">
        <v>42583</v>
      </c>
      <c r="C125" s="1" t="n">
        <v>13972</v>
      </c>
      <c r="D125" s="1" t="s">
        <v>42</v>
      </c>
      <c r="E125" s="33" t="n">
        <f aca="false">IF(D125="totale",(C125/(A125*24))/F125,IF(D125="marché libre",(C125/(A125*24))/G125,"spécifier histo"))</f>
        <v>0.0682893450635386</v>
      </c>
      <c r="F125" s="59" t="n">
        <v>275</v>
      </c>
      <c r="G125" s="59" t="n">
        <f aca="false">F125-H125</f>
        <v>275</v>
      </c>
      <c r="H125" s="59" t="n">
        <v>0</v>
      </c>
      <c r="I125" s="0"/>
      <c r="J125" s="60"/>
      <c r="K125" s="0"/>
      <c r="L125" s="0"/>
      <c r="M125" s="0"/>
      <c r="N125" s="0"/>
      <c r="O125" s="0"/>
      <c r="P125" s="0"/>
    </row>
    <row r="126" customFormat="false" ht="19.85" hidden="false" customHeight="true" outlineLevel="0" collapsed="false">
      <c r="A126" s="0" t="n">
        <v>30</v>
      </c>
      <c r="B126" s="31" t="n">
        <v>42614</v>
      </c>
      <c r="C126" s="1" t="n">
        <v>20924</v>
      </c>
      <c r="D126" s="1" t="s">
        <v>42</v>
      </c>
      <c r="E126" s="33" t="n">
        <f aca="false">IF(D126="totale",(C126/(A126*24))/F126,IF(D126="marché libre",(C126/(A126*24))/G126,"spécifier histo"))</f>
        <v>0.105676767676768</v>
      </c>
      <c r="F126" s="59" t="n">
        <v>275</v>
      </c>
      <c r="G126" s="59" t="n">
        <f aca="false">F126-H126</f>
        <v>275</v>
      </c>
      <c r="H126" s="59" t="n">
        <v>0</v>
      </c>
      <c r="I126" s="0"/>
      <c r="J126" s="60"/>
      <c r="K126" s="0"/>
      <c r="L126" s="0"/>
      <c r="M126" s="0"/>
      <c r="N126" s="0"/>
      <c r="O126" s="0"/>
      <c r="P126" s="0"/>
    </row>
    <row r="127" customFormat="false" ht="19.85" hidden="false" customHeight="true" outlineLevel="0" collapsed="false">
      <c r="A127" s="0" t="n">
        <v>31</v>
      </c>
      <c r="B127" s="34" t="n">
        <v>42644</v>
      </c>
      <c r="C127" s="1" t="n">
        <v>17647</v>
      </c>
      <c r="D127" s="1" t="s">
        <v>42</v>
      </c>
      <c r="E127" s="33" t="n">
        <f aca="false">IF(D127="totale",(C127/(A127*24))/F127,IF(D127="marché libre",(C127/(A127*24))/G127,"spécifier histo"))</f>
        <v>0.0862512218963832</v>
      </c>
      <c r="F127" s="59" t="n">
        <v>275</v>
      </c>
      <c r="G127" s="59" t="n">
        <f aca="false">F127-H127</f>
        <v>275</v>
      </c>
      <c r="H127" s="59" t="n">
        <v>0</v>
      </c>
      <c r="I127" s="0"/>
      <c r="J127" s="60"/>
      <c r="K127" s="0"/>
      <c r="L127" s="0"/>
      <c r="M127" s="0"/>
      <c r="N127" s="0"/>
      <c r="O127" s="0"/>
      <c r="P127" s="0"/>
    </row>
    <row r="128" customFormat="false" ht="19.85" hidden="false" customHeight="true" outlineLevel="0" collapsed="false">
      <c r="A128" s="0" t="n">
        <v>30</v>
      </c>
      <c r="B128" s="31" t="n">
        <v>42675</v>
      </c>
      <c r="C128" s="1" t="n">
        <v>51115</v>
      </c>
      <c r="D128" s="1" t="s">
        <v>42</v>
      </c>
      <c r="E128" s="33" t="n">
        <f aca="false">IF(D128="totale",(C128/(A128*24))/F128,IF(D128="marché libre",(C128/(A128*24))/G128,"spécifier histo"))</f>
        <v>0.258156565656566</v>
      </c>
      <c r="F128" s="59" t="n">
        <v>275</v>
      </c>
      <c r="G128" s="59" t="n">
        <f aca="false">F128-H128</f>
        <v>275</v>
      </c>
      <c r="H128" s="59" t="n">
        <v>0</v>
      </c>
      <c r="I128" s="0"/>
      <c r="J128" s="60"/>
      <c r="K128" s="0"/>
      <c r="L128" s="0"/>
      <c r="M128" s="0"/>
      <c r="N128" s="0"/>
      <c r="O128" s="0"/>
      <c r="P128" s="0"/>
    </row>
    <row r="129" customFormat="false" ht="19.85" hidden="false" customHeight="true" outlineLevel="0" collapsed="false">
      <c r="A129" s="0" t="n">
        <v>31</v>
      </c>
      <c r="B129" s="34" t="n">
        <v>42705</v>
      </c>
      <c r="C129" s="135" t="n">
        <v>81268</v>
      </c>
      <c r="D129" s="1" t="s">
        <v>42</v>
      </c>
      <c r="E129" s="33" t="n">
        <f aca="false">IF(D129="totale",(C129/(A129*24))/F129,IF(D129="marché libre",(C129/(A129*24))/G129,"spécifier histo"))</f>
        <v>0.397204301075269</v>
      </c>
      <c r="F129" s="59" t="n">
        <v>275</v>
      </c>
      <c r="G129" s="57" t="n">
        <f aca="false">F129-H129</f>
        <v>275</v>
      </c>
      <c r="H129" s="57" t="n">
        <v>0</v>
      </c>
      <c r="I129" s="0"/>
      <c r="J129" s="60"/>
      <c r="K129" s="0"/>
      <c r="L129" s="0"/>
      <c r="M129" s="0"/>
      <c r="N129" s="0"/>
      <c r="O129" s="0"/>
      <c r="P129" s="0"/>
    </row>
    <row r="130" customFormat="false" ht="19.85" hidden="false" customHeight="true" outlineLevel="0" collapsed="false">
      <c r="A130" s="0" t="n">
        <v>31</v>
      </c>
      <c r="B130" s="31" t="n">
        <v>42736</v>
      </c>
      <c r="C130" s="1" t="n">
        <v>66592</v>
      </c>
      <c r="D130" s="1" t="s">
        <v>42</v>
      </c>
      <c r="E130" s="33" t="n">
        <f aca="false">IF(D130="totale",(C130/(A130*24))/F130,IF(D130="marché libre",(C130/(A130*24))/G130,"spécifier histo"))</f>
        <v>0.325474095796676</v>
      </c>
      <c r="F130" s="59" t="n">
        <v>275</v>
      </c>
      <c r="G130" s="59" t="n">
        <f aca="false">F130-H130</f>
        <v>275</v>
      </c>
      <c r="H130" s="59" t="n">
        <v>0</v>
      </c>
      <c r="I130" s="0"/>
      <c r="J130" s="205"/>
      <c r="K130" s="0"/>
      <c r="L130" s="0"/>
      <c r="M130" s="0"/>
      <c r="N130" s="0"/>
      <c r="O130" s="0"/>
      <c r="P130" s="0"/>
    </row>
    <row r="131" customFormat="false" ht="19.85" hidden="false" customHeight="true" outlineLevel="0" collapsed="false">
      <c r="A131" s="0" t="n">
        <v>28</v>
      </c>
      <c r="B131" s="34" t="n">
        <v>42767</v>
      </c>
      <c r="C131" s="1" t="n">
        <v>120720</v>
      </c>
      <c r="D131" s="1" t="s">
        <v>42</v>
      </c>
      <c r="E131" s="33" t="n">
        <f aca="false">IF(D131="totale",(C131/(A131*24))/F131,IF(D131="marché libre",(C131/(A131*24))/G131,"spécifier histo"))</f>
        <v>0.653246753246753</v>
      </c>
      <c r="F131" s="59" t="n">
        <v>275</v>
      </c>
      <c r="G131" s="59" t="n">
        <f aca="false">F131-H131</f>
        <v>275</v>
      </c>
      <c r="H131" s="59" t="n">
        <v>0</v>
      </c>
      <c r="I131" s="0"/>
      <c r="J131" s="60"/>
      <c r="K131" s="0"/>
      <c r="L131" s="0"/>
      <c r="M131" s="0"/>
      <c r="N131" s="0"/>
      <c r="O131" s="0"/>
      <c r="P131" s="0"/>
    </row>
    <row r="132" customFormat="false" ht="19.85" hidden="false" customHeight="true" outlineLevel="0" collapsed="false">
      <c r="A132" s="0" t="n">
        <v>31</v>
      </c>
      <c r="B132" s="31" t="n">
        <v>42795</v>
      </c>
      <c r="C132" s="1" t="n">
        <v>144197</v>
      </c>
      <c r="D132" s="1" t="s">
        <v>42</v>
      </c>
      <c r="E132" s="33" t="n">
        <f aca="false">IF(D132="totale",(C132/(A132*24))/F132,IF(D132="marché libre",(C132/(A132*24))/G132,"spécifier histo"))</f>
        <v>0.704775171065494</v>
      </c>
      <c r="F132" s="59" t="n">
        <v>275</v>
      </c>
      <c r="G132" s="59" t="n">
        <f aca="false">F132-H132</f>
        <v>275</v>
      </c>
      <c r="H132" s="59" t="n">
        <v>0</v>
      </c>
      <c r="I132" s="0"/>
      <c r="J132" s="60"/>
      <c r="K132" s="0"/>
      <c r="L132" s="0"/>
      <c r="M132" s="0"/>
      <c r="N132" s="0"/>
      <c r="O132" s="0"/>
      <c r="P132" s="0"/>
    </row>
    <row r="133" customFormat="false" ht="19.85" hidden="false" customHeight="true" outlineLevel="0" collapsed="false">
      <c r="A133" s="0" t="n">
        <v>30</v>
      </c>
      <c r="B133" s="34" t="n">
        <v>42826</v>
      </c>
      <c r="C133" s="1" t="n">
        <v>98938</v>
      </c>
      <c r="D133" s="1" t="s">
        <v>42</v>
      </c>
      <c r="E133" s="33" t="n">
        <f aca="false">IF(D133="totale",(C133/(A133*24))/F133,IF(D133="marché libre",(C133/(A133*24))/G133,"spécifier histo"))</f>
        <v>0.499686868686869</v>
      </c>
      <c r="F133" s="59" t="n">
        <v>275</v>
      </c>
      <c r="G133" s="59" t="n">
        <f aca="false">F133-H133</f>
        <v>275</v>
      </c>
      <c r="H133" s="59" t="n">
        <v>0</v>
      </c>
      <c r="I133" s="0"/>
      <c r="J133" s="60"/>
      <c r="K133" s="0"/>
      <c r="L133" s="0"/>
      <c r="M133" s="0"/>
      <c r="N133" s="0"/>
      <c r="O133" s="0"/>
      <c r="P133" s="0"/>
    </row>
    <row r="134" customFormat="false" ht="19.85" hidden="false" customHeight="true" outlineLevel="0" collapsed="false">
      <c r="A134" s="0" t="n">
        <v>31</v>
      </c>
      <c r="B134" s="31" t="n">
        <v>42856</v>
      </c>
      <c r="C134" s="1" t="n">
        <v>89086</v>
      </c>
      <c r="D134" s="1" t="s">
        <v>42</v>
      </c>
      <c r="E134" s="33" t="n">
        <f aca="false">IF(D134="totale",(C134/(A134*24))/F134,IF(D134="marché libre",(C134/(A134*24))/G134,"spécifier histo"))</f>
        <v>0.435415444770283</v>
      </c>
      <c r="F134" s="59" t="n">
        <v>275</v>
      </c>
      <c r="G134" s="59" t="n">
        <f aca="false">F134-H134</f>
        <v>275</v>
      </c>
      <c r="H134" s="59" t="n">
        <v>0</v>
      </c>
      <c r="I134" s="0"/>
      <c r="J134" s="208"/>
      <c r="K134" s="0"/>
      <c r="L134" s="0"/>
      <c r="M134" s="0"/>
      <c r="N134" s="0"/>
    </row>
    <row r="135" customFormat="false" ht="22.45" hidden="false" customHeight="true" outlineLevel="0" collapsed="false">
      <c r="A135" s="0" t="n">
        <v>30</v>
      </c>
      <c r="B135" s="34" t="n">
        <v>42887</v>
      </c>
      <c r="C135" s="1" t="n">
        <v>34387</v>
      </c>
      <c r="D135" s="1" t="s">
        <v>42</v>
      </c>
      <c r="E135" s="33" t="n">
        <f aca="false">IF(D135="totale",(C135/(A135*24))/F135,IF(D135="marché libre",(C135/(A135*24))/G135,"spécifier histo"))</f>
        <v>0.173671717171717</v>
      </c>
      <c r="F135" s="59" t="n">
        <v>275</v>
      </c>
      <c r="G135" s="59" t="n">
        <f aca="false">F135-H135</f>
        <v>275</v>
      </c>
      <c r="H135" s="59" t="n">
        <v>0</v>
      </c>
      <c r="I135" s="0"/>
      <c r="J135" s="208"/>
      <c r="K135" s="0"/>
      <c r="N135" s="0"/>
    </row>
    <row r="136" customFormat="false" ht="21.65" hidden="false" customHeight="true" outlineLevel="0" collapsed="false">
      <c r="A136" s="0" t="n">
        <v>31</v>
      </c>
      <c r="B136" s="31" t="n">
        <v>42917</v>
      </c>
      <c r="C136" s="1" t="n">
        <v>29479</v>
      </c>
      <c r="D136" s="1" t="s">
        <v>42</v>
      </c>
      <c r="E136" s="33" t="n">
        <f aca="false">IF(D136="totale",(C136/(A136*24))/F136,IF(D136="marché libre",(C136/(A136*24))/G136,"spécifier histo"))</f>
        <v>0.144081133919844</v>
      </c>
      <c r="F136" s="59" t="n">
        <v>275</v>
      </c>
      <c r="G136" s="59" t="n">
        <f aca="false">F136-H136</f>
        <v>275</v>
      </c>
      <c r="H136" s="59" t="n">
        <v>0</v>
      </c>
      <c r="I136" s="0"/>
      <c r="J136" s="208"/>
      <c r="K136" s="0"/>
      <c r="N136" s="0"/>
    </row>
    <row r="137" customFormat="false" ht="21.65" hidden="false" customHeight="true" outlineLevel="0" collapsed="false">
      <c r="A137" s="0" t="n">
        <v>31</v>
      </c>
      <c r="B137" s="34" t="n">
        <v>42948</v>
      </c>
      <c r="C137" s="1" t="n">
        <v>13541</v>
      </c>
      <c r="D137" s="1" t="s">
        <v>42</v>
      </c>
      <c r="E137" s="33" t="n">
        <f aca="false">IF(D137="totale",(C137/(A137*24))/F137,IF(D137="marché libre",(C137/(A137*24))/G137,"spécifier histo"))</f>
        <v>0.0661827956989247</v>
      </c>
      <c r="F137" s="59" t="n">
        <v>275</v>
      </c>
      <c r="G137" s="59" t="n">
        <f aca="false">F137-H137</f>
        <v>275</v>
      </c>
      <c r="H137" s="59" t="n">
        <v>0</v>
      </c>
      <c r="I137" s="0"/>
      <c r="J137" s="208"/>
      <c r="K137" s="0"/>
      <c r="N137" s="0"/>
    </row>
    <row r="138" customFormat="false" ht="21.65" hidden="false" customHeight="true" outlineLevel="0" collapsed="false">
      <c r="A138" s="0" t="n">
        <v>30</v>
      </c>
      <c r="B138" s="31" t="n">
        <v>42979</v>
      </c>
      <c r="C138" s="1" t="n">
        <v>6370</v>
      </c>
      <c r="D138" s="1" t="s">
        <v>42</v>
      </c>
      <c r="E138" s="33" t="n">
        <f aca="false">IF(D138="totale",(C138/(A138*24))/F138,IF(D138="marché libre",(C138/(A138*24))/G138,"spécifier histo"))</f>
        <v>0.0321717171717172</v>
      </c>
      <c r="F138" s="59" t="n">
        <v>275</v>
      </c>
      <c r="G138" s="59" t="n">
        <f aca="false">F138-H138</f>
        <v>275</v>
      </c>
      <c r="H138" s="59" t="n">
        <v>0</v>
      </c>
      <c r="I138" s="0"/>
      <c r="J138" s="208"/>
      <c r="K138" s="0"/>
      <c r="N138" s="0"/>
    </row>
    <row r="139" customFormat="false" ht="21.65" hidden="false" customHeight="true" outlineLevel="0" collapsed="false">
      <c r="A139" s="0" t="n">
        <v>31</v>
      </c>
      <c r="B139" s="34" t="n">
        <v>43009</v>
      </c>
      <c r="C139" s="1" t="n">
        <v>10944</v>
      </c>
      <c r="D139" s="1" t="s">
        <v>42</v>
      </c>
      <c r="E139" s="33" t="n">
        <f aca="false">IF(D139="totale",(C139/(A139*24))/F139,IF(D139="marché libre",(C139/(A139*24))/G139,"spécifier histo"))</f>
        <v>0.0534897360703812</v>
      </c>
      <c r="F139" s="59" t="n">
        <v>275</v>
      </c>
      <c r="G139" s="59" t="n">
        <f aca="false">F139-H139</f>
        <v>275</v>
      </c>
      <c r="H139" s="59" t="n">
        <v>0</v>
      </c>
      <c r="I139" s="0"/>
      <c r="J139" s="208"/>
      <c r="K139" s="0"/>
      <c r="N139" s="0"/>
    </row>
    <row r="140" customFormat="false" ht="21.65" hidden="false" customHeight="true" outlineLevel="0" collapsed="false">
      <c r="A140" s="0" t="n">
        <v>30</v>
      </c>
      <c r="B140" s="31" t="n">
        <v>43040</v>
      </c>
      <c r="C140" s="1" t="n">
        <v>17780</v>
      </c>
      <c r="D140" s="1" t="s">
        <v>42</v>
      </c>
      <c r="E140" s="33" t="n">
        <f aca="false">IF(D140="totale",(C140/(A140*24))/F140,IF(D140="marché libre",(C140/(A140*24))/G140,"spécifier histo"))</f>
        <v>0.0897979797979798</v>
      </c>
      <c r="F140" s="59" t="n">
        <v>275</v>
      </c>
      <c r="G140" s="59" t="n">
        <f aca="false">F140-H140</f>
        <v>275</v>
      </c>
      <c r="H140" s="59" t="n">
        <v>0</v>
      </c>
      <c r="I140" s="0"/>
      <c r="J140" s="208"/>
      <c r="K140" s="0"/>
      <c r="N140" s="0"/>
    </row>
    <row r="141" customFormat="false" ht="21.65" hidden="false" customHeight="true" outlineLevel="0" collapsed="false">
      <c r="A141" s="0" t="n">
        <v>31</v>
      </c>
      <c r="B141" s="34" t="n">
        <v>43070</v>
      </c>
      <c r="C141" s="217" t="n">
        <v>63914</v>
      </c>
      <c r="D141" s="1" t="s">
        <v>42</v>
      </c>
      <c r="E141" s="33" t="n">
        <f aca="false">IF(D141="totale",(C141/(A141*24))/F141,IF(D141="marché libre",(C141/(A141*24))/G141,"spécifier histo"))</f>
        <v>0.31238514173998</v>
      </c>
      <c r="F141" s="59" t="n">
        <v>275</v>
      </c>
      <c r="G141" s="59" t="n">
        <f aca="false">F141-H141</f>
        <v>275</v>
      </c>
      <c r="H141" s="59" t="n">
        <v>0</v>
      </c>
      <c r="J141" s="208"/>
      <c r="K141" s="0"/>
      <c r="N141" s="0"/>
    </row>
    <row r="142" customFormat="false" ht="28.35" hidden="false" customHeight="true" outlineLevel="0" collapsed="false">
      <c r="A142" s="0" t="n">
        <v>31</v>
      </c>
      <c r="B142" s="31" t="n">
        <v>43101</v>
      </c>
      <c r="C142" s="1" t="n">
        <v>95399</v>
      </c>
      <c r="D142" s="1" t="s">
        <v>42</v>
      </c>
      <c r="E142" s="33" t="n">
        <f aca="false">IF(D142="totale",(C142/(A142*24))/F142,IF(D142="marché libre",(C142/(A142*24))/G142,"spécifier histo"))</f>
        <v>0.466270772238514</v>
      </c>
      <c r="F142" s="59" t="n">
        <v>275</v>
      </c>
      <c r="G142" s="59" t="n">
        <f aca="false">F142-H142</f>
        <v>275</v>
      </c>
      <c r="H142" s="59" t="n">
        <v>0</v>
      </c>
      <c r="J142" s="216"/>
      <c r="K142" s="0"/>
      <c r="N142" s="0"/>
    </row>
    <row r="143" customFormat="false" ht="28.35" hidden="false" customHeight="true" outlineLevel="0" collapsed="false">
      <c r="A143" s="0" t="n">
        <v>28</v>
      </c>
      <c r="B143" s="34" t="n">
        <v>43132</v>
      </c>
      <c r="C143" s="1" t="n">
        <v>124231</v>
      </c>
      <c r="D143" s="1" t="s">
        <v>42</v>
      </c>
      <c r="E143" s="33" t="n">
        <f aca="false">IF(D143="totale",(C143/(A143*24))/F143,IF(D143="marché libre",(C143/(A143*24))/G143,"spécifier histo"))</f>
        <v>0.672245670995671</v>
      </c>
      <c r="F143" s="59" t="n">
        <v>275</v>
      </c>
      <c r="G143" s="59" t="n">
        <f aca="false">F143-H143</f>
        <v>275</v>
      </c>
      <c r="H143" s="59" t="n">
        <v>0</v>
      </c>
      <c r="J143" s="180"/>
      <c r="K143" s="0"/>
      <c r="N143" s="0"/>
    </row>
    <row r="144" customFormat="false" ht="28.35" hidden="false" customHeight="true" outlineLevel="0" collapsed="false">
      <c r="A144" s="0" t="n">
        <v>31</v>
      </c>
      <c r="B144" s="31" t="n">
        <v>43160</v>
      </c>
      <c r="C144" s="1" t="n">
        <v>152621</v>
      </c>
      <c r="D144" s="1" t="s">
        <v>42</v>
      </c>
      <c r="E144" s="33" t="n">
        <f aca="false">IF(D144="totale",(C144/(A144*24))/F144,IF(D144="marché libre",(C144/(A144*24))/G144,"spécifier histo"))</f>
        <v>0.745948191593353</v>
      </c>
      <c r="F144" s="59" t="n">
        <v>275</v>
      </c>
      <c r="G144" s="59" t="n">
        <f aca="false">F144-H144</f>
        <v>275</v>
      </c>
      <c r="H144" s="59" t="n">
        <v>0</v>
      </c>
      <c r="J144" s="180"/>
      <c r="K144" s="0"/>
      <c r="N144" s="0"/>
    </row>
    <row r="145" customFormat="false" ht="28.35" hidden="false" customHeight="true" outlineLevel="0" collapsed="false">
      <c r="A145" s="0" t="n">
        <v>30</v>
      </c>
      <c r="B145" s="34" t="n">
        <v>43191</v>
      </c>
      <c r="C145" s="1" t="n">
        <v>135077</v>
      </c>
      <c r="D145" s="1" t="s">
        <v>42</v>
      </c>
      <c r="E145" s="33" t="n">
        <f aca="false">IF(D145="totale",(C145/(A145*24))/F145,IF(D145="marché libre",(C145/(A145*24))/G145,"spécifier histo"))</f>
        <v>0.682207070707071</v>
      </c>
      <c r="F145" s="59" t="n">
        <v>275</v>
      </c>
      <c r="G145" s="59" t="n">
        <f aca="false">F145-H145</f>
        <v>275</v>
      </c>
      <c r="H145" s="59" t="n">
        <v>0</v>
      </c>
      <c r="J145" s="180"/>
      <c r="K145" s="0"/>
      <c r="N145" s="0"/>
    </row>
    <row r="146" customFormat="false" ht="28.35" hidden="false" customHeight="true" outlineLevel="0" collapsed="false">
      <c r="A146" s="0" t="n">
        <v>31</v>
      </c>
      <c r="B146" s="31" t="n">
        <v>43221</v>
      </c>
      <c r="C146" s="1" t="n">
        <v>142355</v>
      </c>
      <c r="D146" s="1" t="s">
        <v>42</v>
      </c>
      <c r="E146" s="33" t="n">
        <f aca="false">IF(D146="totale",(C146/(A146*24))/F146,IF(D146="marché libre",(C146/(A146*24))/G146,"spécifier histo"))</f>
        <v>0.695772238514174</v>
      </c>
      <c r="F146" s="59" t="n">
        <v>275</v>
      </c>
      <c r="G146" s="59" t="n">
        <f aca="false">F146-H146</f>
        <v>275</v>
      </c>
      <c r="H146" s="59" t="n">
        <v>0</v>
      </c>
      <c r="J146" s="180"/>
      <c r="K146" s="0"/>
      <c r="N146" s="0"/>
    </row>
    <row r="147" customFormat="false" ht="28.35" hidden="false" customHeight="true" outlineLevel="0" collapsed="false">
      <c r="A147" s="0" t="n">
        <v>30</v>
      </c>
      <c r="B147" s="34" t="n">
        <v>43252</v>
      </c>
      <c r="C147" s="1" t="n">
        <v>129074</v>
      </c>
      <c r="D147" s="1" t="s">
        <v>42</v>
      </c>
      <c r="E147" s="33" t="n">
        <f aca="false">IF(D147="totale",(C147/(A147*24))/F147,IF(D147="marché libre",(C147/(A147*24))/G147,"spécifier histo"))</f>
        <v>0.651888888888889</v>
      </c>
      <c r="F147" s="59" t="n">
        <v>275</v>
      </c>
      <c r="G147" s="59" t="n">
        <f aca="false">F147-H147</f>
        <v>275</v>
      </c>
      <c r="H147" s="59" t="n">
        <v>0</v>
      </c>
      <c r="J147" s="180"/>
      <c r="K147" s="0"/>
      <c r="N147" s="0"/>
    </row>
    <row r="148" customFormat="false" ht="28.35" hidden="false" customHeight="true" outlineLevel="0" collapsed="false">
      <c r="A148" s="0" t="n">
        <v>31</v>
      </c>
      <c r="B148" s="31" t="n">
        <v>43282</v>
      </c>
      <c r="C148" s="1" t="n">
        <v>56298</v>
      </c>
      <c r="D148" s="1" t="s">
        <v>42</v>
      </c>
      <c r="E148" s="33" t="n">
        <f aca="false">IF(D148="totale",(C148/(A148*24))/F148,IF(D148="marché libre",(C148/(A148*24))/G148,"spécifier histo"))</f>
        <v>0.275161290322581</v>
      </c>
      <c r="F148" s="59" t="n">
        <v>275</v>
      </c>
      <c r="G148" s="59" t="n">
        <f aca="false">F148-H148</f>
        <v>275</v>
      </c>
      <c r="H148" s="59" t="n">
        <v>0</v>
      </c>
      <c r="J148" s="180"/>
      <c r="K148" s="0"/>
      <c r="N148" s="0"/>
    </row>
    <row r="149" customFormat="false" ht="28.35" hidden="false" customHeight="true" outlineLevel="0" collapsed="false">
      <c r="A149" s="0" t="n">
        <v>31</v>
      </c>
      <c r="B149" s="34" t="n">
        <v>43313</v>
      </c>
      <c r="C149" s="1" t="n">
        <v>30286</v>
      </c>
      <c r="D149" s="1" t="s">
        <v>42</v>
      </c>
      <c r="E149" s="33" t="n">
        <f aca="false">IF(D149="totale",(C149/(A149*24))/F149,IF(D149="marché libre",(C149/(A149*24))/G149,"spécifier histo"))</f>
        <v>0.14802541544477</v>
      </c>
      <c r="F149" s="59" t="n">
        <v>275</v>
      </c>
      <c r="G149" s="59" t="n">
        <f aca="false">F149-H149</f>
        <v>275</v>
      </c>
      <c r="H149" s="59" t="n">
        <v>0</v>
      </c>
      <c r="J149" s="180"/>
      <c r="K149" s="0"/>
      <c r="N149" s="0"/>
    </row>
    <row r="150" customFormat="false" ht="28.35" hidden="false" customHeight="true" outlineLevel="0" collapsed="false">
      <c r="A150" s="0" t="n">
        <v>30</v>
      </c>
      <c r="B150" s="31" t="n">
        <v>43344</v>
      </c>
      <c r="C150" s="1" t="n">
        <v>8069</v>
      </c>
      <c r="D150" s="1" t="s">
        <v>42</v>
      </c>
      <c r="E150" s="33" t="n">
        <f aca="false">IF(D150="totale",(C150/(A150*24))/F150,IF(D150="marché libre",(C150/(A150*24))/G150,"spécifier histo"))</f>
        <v>0.0407525252525253</v>
      </c>
      <c r="F150" s="59" t="n">
        <v>275</v>
      </c>
      <c r="G150" s="59" t="n">
        <f aca="false">F150-H150</f>
        <v>275</v>
      </c>
      <c r="H150" s="59" t="n">
        <v>0</v>
      </c>
      <c r="J150" s="180"/>
      <c r="K150" s="0"/>
      <c r="N150" s="0"/>
    </row>
    <row r="151" customFormat="false" ht="28.35" hidden="false" customHeight="true" outlineLevel="0" collapsed="false">
      <c r="A151" s="0" t="n">
        <v>31</v>
      </c>
      <c r="B151" s="34" t="n">
        <v>43374</v>
      </c>
      <c r="D151" s="1" t="s">
        <v>42</v>
      </c>
      <c r="E151" s="33" t="n">
        <f aca="false">IF(D151="totale",(C151/(A151*24))/F151,IF(D151="marché libre",(C151/(A151*24))/G151,"spécifier histo"))</f>
        <v>0</v>
      </c>
      <c r="F151" s="59" t="n">
        <v>275</v>
      </c>
      <c r="G151" s="59" t="n">
        <f aca="false">F151-H151</f>
        <v>275</v>
      </c>
      <c r="H151" s="59" t="n">
        <v>0</v>
      </c>
      <c r="J151" s="180"/>
      <c r="K151" s="0"/>
      <c r="N151" s="0"/>
    </row>
    <row r="152" customFormat="false" ht="28.35" hidden="false" customHeight="true" outlineLevel="0" collapsed="false">
      <c r="A152" s="0" t="n">
        <v>30</v>
      </c>
      <c r="B152" s="31" t="n">
        <v>43405</v>
      </c>
      <c r="D152" s="1" t="s">
        <v>42</v>
      </c>
      <c r="E152" s="33" t="n">
        <f aca="false">IF(D152="totale",(C152/(A152*24))/F152,IF(D152="marché libre",(C152/(A152*24))/G152,"spécifier histo"))</f>
        <v>0</v>
      </c>
      <c r="F152" s="59" t="n">
        <v>275</v>
      </c>
      <c r="G152" s="59" t="n">
        <f aca="false">F152-H152</f>
        <v>275</v>
      </c>
      <c r="H152" s="59" t="n">
        <v>0</v>
      </c>
      <c r="J152" s="180"/>
      <c r="K152" s="0"/>
      <c r="N152" s="0"/>
    </row>
    <row r="153" customFormat="false" ht="28.35" hidden="false" customHeight="true" outlineLevel="0" collapsed="false">
      <c r="A153" s="0" t="n">
        <v>31</v>
      </c>
      <c r="B153" s="34" t="n">
        <v>43435</v>
      </c>
      <c r="D153" s="1" t="s">
        <v>42</v>
      </c>
      <c r="E153" s="33" t="n">
        <f aca="false">IF(D153="totale",(C153/(A153*24))/F153,IF(D153="marché libre",(C153/(A153*24))/G153,"spécifier histo"))</f>
        <v>0</v>
      </c>
      <c r="F153" s="59" t="n">
        <v>275</v>
      </c>
      <c r="G153" s="59" t="n">
        <f aca="false">F153-H153</f>
        <v>275</v>
      </c>
      <c r="H153" s="59" t="n">
        <v>0</v>
      </c>
      <c r="J153" s="180"/>
      <c r="K153" s="0"/>
      <c r="N153" s="0"/>
    </row>
    <row r="154" customFormat="false" ht="28.35" hidden="false" customHeight="true" outlineLevel="0" collapsed="false">
      <c r="A154" s="0"/>
      <c r="J154" s="180"/>
      <c r="K154" s="0"/>
      <c r="N154" s="0"/>
    </row>
    <row r="155" customFormat="false" ht="28.35" hidden="false" customHeight="true" outlineLevel="0" collapsed="false">
      <c r="A155" s="0"/>
      <c r="J155" s="180"/>
      <c r="K155" s="0"/>
      <c r="N155" s="0"/>
    </row>
    <row r="156" customFormat="false" ht="28.35" hidden="false" customHeight="true" outlineLevel="0" collapsed="false">
      <c r="A156" s="0"/>
      <c r="J156" s="180"/>
      <c r="K156" s="0"/>
      <c r="N156" s="0"/>
    </row>
    <row r="157" customFormat="false" ht="28.35" hidden="false" customHeight="true" outlineLevel="0" collapsed="false">
      <c r="A157" s="0"/>
      <c r="J157" s="180"/>
      <c r="K157" s="0"/>
      <c r="N157" s="0"/>
    </row>
    <row r="158" customFormat="false" ht="28.35" hidden="false" customHeight="true" outlineLevel="0" collapsed="false">
      <c r="A158" s="0"/>
      <c r="J158" s="180"/>
      <c r="K158" s="0"/>
      <c r="N158" s="0"/>
    </row>
    <row r="159" customFormat="false" ht="28.35" hidden="false" customHeight="true" outlineLevel="0" collapsed="false">
      <c r="A159" s="0"/>
      <c r="J159" s="180"/>
      <c r="K159" s="0"/>
    </row>
    <row r="160" customFormat="false" ht="12.8" hidden="false" customHeight="false" outlineLevel="0" collapsed="false">
      <c r="A160" s="0"/>
      <c r="J160" s="180"/>
      <c r="K160" s="0"/>
    </row>
    <row r="161" customFormat="false" ht="12.8" hidden="false" customHeight="false" outlineLevel="0" collapsed="false">
      <c r="A161" s="0"/>
      <c r="J161" s="180"/>
      <c r="K161" s="0"/>
    </row>
    <row r="162" customFormat="false" ht="12.8" hidden="false" customHeight="false" outlineLevel="0" collapsed="false">
      <c r="A162" s="0"/>
      <c r="J162" s="180"/>
      <c r="K162" s="0"/>
    </row>
    <row r="163" customFormat="false" ht="12.8" hidden="false" customHeight="false" outlineLevel="0" collapsed="false">
      <c r="A163" s="0"/>
      <c r="J163" s="180"/>
      <c r="K163" s="0"/>
    </row>
    <row r="164" customFormat="false" ht="12.8" hidden="false" customHeight="false" outlineLevel="0" collapsed="false">
      <c r="A164" s="0"/>
      <c r="J164" s="180"/>
      <c r="K164" s="0"/>
    </row>
    <row r="165" customFormat="false" ht="12.8" hidden="false" customHeight="false" outlineLevel="0" collapsed="false">
      <c r="A165" s="0"/>
      <c r="J165" s="180"/>
      <c r="K165" s="0"/>
    </row>
    <row r="166" customFormat="false" ht="12.8" hidden="false" customHeight="false" outlineLevel="0" collapsed="false">
      <c r="A166" s="0"/>
      <c r="J166" s="180"/>
      <c r="K166" s="0"/>
    </row>
    <row r="167" customFormat="false" ht="12.8" hidden="false" customHeight="false" outlineLevel="0" collapsed="false">
      <c r="A167" s="0"/>
      <c r="J167" s="180"/>
      <c r="K167" s="0"/>
    </row>
    <row r="168" customFormat="false" ht="12.8" hidden="false" customHeight="false" outlineLevel="0" collapsed="false">
      <c r="A168" s="0"/>
      <c r="J168" s="180"/>
      <c r="K168" s="0"/>
    </row>
    <row r="169" customFormat="false" ht="12.8" hidden="false" customHeight="false" outlineLevel="0" collapsed="false">
      <c r="A169" s="0"/>
      <c r="J169" s="180"/>
      <c r="K169" s="0"/>
    </row>
    <row r="170" customFormat="false" ht="12.8" hidden="false" customHeight="false" outlineLevel="0" collapsed="false">
      <c r="A170" s="0"/>
      <c r="J170" s="180"/>
      <c r="K170" s="0"/>
    </row>
    <row r="171" customFormat="false" ht="12.8" hidden="false" customHeight="false" outlineLevel="0" collapsed="false">
      <c r="A171" s="0"/>
      <c r="J171" s="180"/>
      <c r="K171" s="0"/>
    </row>
    <row r="172" customFormat="false" ht="12.8" hidden="false" customHeight="false" outlineLevel="0" collapsed="false">
      <c r="A172" s="0"/>
      <c r="K172" s="0"/>
    </row>
    <row r="173" customFormat="false" ht="12.8" hidden="false" customHeight="false" outlineLevel="0" collapsed="false">
      <c r="A173" s="0"/>
      <c r="K173" s="0"/>
    </row>
    <row r="174" customFormat="false" ht="12.8" hidden="false" customHeight="false" outlineLevel="0" collapsed="false">
      <c r="A174" s="0"/>
      <c r="K174" s="0"/>
    </row>
    <row r="175" customFormat="false" ht="12.8" hidden="false" customHeight="false" outlineLevel="0" collapsed="false">
      <c r="A175" s="0"/>
      <c r="K175" s="0"/>
    </row>
    <row r="176" customFormat="false" ht="12.8" hidden="false" customHeight="false" outlineLevel="0" collapsed="false">
      <c r="A176" s="0"/>
      <c r="K176" s="0"/>
    </row>
    <row r="177" customFormat="false" ht="12.8" hidden="false" customHeight="false" outlineLevel="0" collapsed="false">
      <c r="A177" s="0"/>
      <c r="K177" s="0"/>
    </row>
    <row r="178" customFormat="false" ht="12.8" hidden="false" customHeight="false" outlineLevel="0" collapsed="false">
      <c r="A178" s="0"/>
      <c r="K178" s="0"/>
    </row>
    <row r="179" customFormat="false" ht="12.8" hidden="false" customHeight="false" outlineLevel="0" collapsed="false">
      <c r="A179" s="0"/>
      <c r="K179" s="0"/>
    </row>
    <row r="180" customFormat="false" ht="12.8" hidden="false" customHeight="false" outlineLevel="0" collapsed="false">
      <c r="A180" s="0"/>
      <c r="K180" s="0"/>
    </row>
    <row r="181" customFormat="false" ht="12.8" hidden="false" customHeight="false" outlineLevel="0" collapsed="false">
      <c r="A181" s="0"/>
      <c r="K181" s="0"/>
    </row>
    <row r="182" customFormat="false" ht="12.8" hidden="false" customHeight="false" outlineLevel="0" collapsed="false">
      <c r="A182" s="0"/>
      <c r="K182" s="0"/>
    </row>
    <row r="183" customFormat="false" ht="12.8" hidden="false" customHeight="false" outlineLevel="0" collapsed="false">
      <c r="A183" s="0"/>
      <c r="K183" s="0"/>
    </row>
    <row r="184" customFormat="false" ht="12.8" hidden="false" customHeight="false" outlineLevel="0" collapsed="false">
      <c r="A184" s="0"/>
      <c r="K184" s="0"/>
    </row>
    <row r="185" customFormat="false" ht="12.8" hidden="false" customHeight="false" outlineLevel="0" collapsed="false">
      <c r="A185" s="0"/>
      <c r="K185" s="0"/>
    </row>
    <row r="186" customFormat="false" ht="12.8" hidden="false" customHeight="false" outlineLevel="0" collapsed="false">
      <c r="A186" s="0"/>
      <c r="K186" s="0"/>
    </row>
    <row r="187" customFormat="false" ht="12.8" hidden="false" customHeight="false" outlineLevel="0" collapsed="false">
      <c r="A187" s="0"/>
      <c r="K187" s="0"/>
    </row>
    <row r="188" customFormat="false" ht="12.8" hidden="false" customHeight="false" outlineLevel="0" collapsed="false">
      <c r="K188" s="0"/>
    </row>
    <row r="189" customFormat="false" ht="12.8" hidden="false" customHeight="false" outlineLevel="0" collapsed="false">
      <c r="K189" s="0"/>
    </row>
    <row r="190" customFormat="false" ht="12.8" hidden="false" customHeight="false" outlineLevel="0" collapsed="false">
      <c r="K190" s="0"/>
    </row>
    <row r="191" customFormat="false" ht="12.8" hidden="false" customHeight="false" outlineLevel="0" collapsed="false">
      <c r="K191" s="0"/>
    </row>
    <row r="192" customFormat="false" ht="12.8" hidden="false" customHeight="false" outlineLevel="0" collapsed="false">
      <c r="K192" s="0"/>
    </row>
    <row r="193" customFormat="false" ht="12.8" hidden="false" customHeight="false" outlineLevel="0" collapsed="false">
      <c r="K193"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5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7.xml><?xml version="1.0" encoding="utf-8"?>
<worksheet xmlns="http://schemas.openxmlformats.org/spreadsheetml/2006/main" xmlns:r="http://schemas.openxmlformats.org/officeDocument/2006/relationships">
  <sheetPr filterMode="false">
    <tabColor rgb="FF00CC33"/>
    <pageSetUpPr fitToPage="false"/>
  </sheetPr>
  <dimension ref="A1:AD24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02" activePane="bottomRight" state="frozen"/>
      <selection pane="topLeft" activeCell="A1" activeCellId="0" sqref="A1"/>
      <selection pane="topRight" activeCell="B1" activeCellId="0" sqref="B1"/>
      <selection pane="bottomLeft" activeCell="A202" activeCellId="0" sqref="A202"/>
      <selection pane="bottomRight" activeCell="B208" activeCellId="0" sqref="B208"/>
    </sheetView>
  </sheetViews>
  <sheetFormatPr defaultRowHeight="12.8" zeroHeight="false" outlineLevelRow="0" outlineLevelCol="0"/>
  <cols>
    <col collapsed="false" customWidth="true" hidden="false" outlineLevel="0" max="1" min="1" style="1" width="4.93"/>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18.2"/>
    <col collapsed="false" customWidth="true" hidden="false" outlineLevel="0" max="10" min="10" style="1" width="24.68"/>
    <col collapsed="false" customWidth="true" hidden="false" outlineLevel="0" max="11" min="11" style="1" width="16.98"/>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93"/>
    <col collapsed="false" customWidth="false" hidden="false" outlineLevel="0" max="16" min="16" style="1" width="11.52"/>
    <col collapsed="false" customWidth="true" hidden="false" outlineLevel="0" max="17" min="17" style="1" width="15.28"/>
    <col collapsed="false" customWidth="true" hidden="false" outlineLevel="0" max="18" min="18" style="1" width="4.17"/>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51.95" hidden="false" customHeight="true" outlineLevel="0" collapsed="false">
      <c r="A4" s="0"/>
      <c r="B4" s="16" t="s">
        <v>896</v>
      </c>
      <c r="C4" s="16" t="n">
        <v>62302</v>
      </c>
      <c r="D4" s="5" t="s">
        <v>897</v>
      </c>
      <c r="E4" s="14" t="s">
        <v>898</v>
      </c>
      <c r="F4" s="15" t="n">
        <v>1700</v>
      </c>
      <c r="G4" s="15" t="n">
        <v>1400</v>
      </c>
      <c r="H4" s="15" t="n">
        <v>1400</v>
      </c>
      <c r="I4" s="16" t="s">
        <v>899</v>
      </c>
      <c r="J4" s="19" t="s">
        <v>900</v>
      </c>
      <c r="K4" s="16"/>
      <c r="L4" s="16" t="s">
        <v>113</v>
      </c>
      <c r="M4" s="16" t="n">
        <v>1400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901</v>
      </c>
      <c r="H6" s="19"/>
      <c r="I6" s="19"/>
      <c r="J6" s="19"/>
      <c r="K6" s="19"/>
      <c r="L6" s="19"/>
      <c r="M6" s="19"/>
      <c r="N6" s="19"/>
      <c r="P6" s="21" t="n">
        <v>42370</v>
      </c>
      <c r="Q6" s="19" t="s">
        <v>27</v>
      </c>
      <c r="R6" s="9"/>
      <c r="S6" s="22"/>
      <c r="T6" s="5" t="s">
        <v>28</v>
      </c>
    </row>
    <row r="7" customFormat="false" ht="37.45" hidden="false" customHeight="true" outlineLevel="0" collapsed="false">
      <c r="A7" s="0"/>
      <c r="B7" s="0"/>
      <c r="C7" s="126" t="s">
        <v>902</v>
      </c>
      <c r="D7" s="126"/>
      <c r="F7" s="20"/>
      <c r="G7" s="20"/>
      <c r="H7" s="19"/>
      <c r="I7" s="19"/>
      <c r="J7" s="19"/>
      <c r="K7" s="19"/>
      <c r="L7" s="19"/>
      <c r="M7" s="19"/>
      <c r="N7" s="19"/>
      <c r="P7" s="24"/>
      <c r="Q7" s="5" t="s">
        <v>29</v>
      </c>
      <c r="R7" s="9"/>
      <c r="S7" s="25"/>
      <c r="T7" s="5" t="s">
        <v>30</v>
      </c>
    </row>
    <row r="8" customFormat="false" ht="44.95" hidden="false" customHeight="true" outlineLevel="0" collapsed="false">
      <c r="A8" s="26"/>
      <c r="F8" s="9"/>
      <c r="G8" s="9"/>
      <c r="H8" s="9"/>
      <c r="J8" s="9"/>
      <c r="R8" s="9"/>
      <c r="S8" s="27"/>
      <c r="T8" s="16" t="s">
        <v>31</v>
      </c>
    </row>
    <row r="9" customFormat="false" ht="38.3" hidden="false" customHeight="true" outlineLevel="0" collapsed="false">
      <c r="B9" s="9" t="s">
        <v>32</v>
      </c>
      <c r="C9" s="9" t="s">
        <v>51</v>
      </c>
      <c r="D9" s="29" t="s">
        <v>52</v>
      </c>
      <c r="E9" s="1" t="s">
        <v>35</v>
      </c>
      <c r="F9" s="9" t="s">
        <v>36</v>
      </c>
      <c r="G9" s="9" t="s">
        <v>37</v>
      </c>
      <c r="H9" s="9" t="s">
        <v>38</v>
      </c>
      <c r="I9" s="9" t="s">
        <v>39</v>
      </c>
      <c r="J9" s="30" t="s">
        <v>40</v>
      </c>
    </row>
    <row r="10" customFormat="false" ht="21.55" hidden="false" customHeight="true" outlineLevel="0" collapsed="false">
      <c r="A10" s="1" t="n">
        <v>31</v>
      </c>
      <c r="B10" s="31" t="n">
        <v>37257</v>
      </c>
      <c r="C10" s="487" t="n">
        <v>157210</v>
      </c>
      <c r="D10" s="29" t="s">
        <v>41</v>
      </c>
      <c r="E10" s="33" t="n">
        <f aca="false">IF(D10="totale",(C10/(A10*24))/F10,IF(D10="marché libre",(C10/(A10*24))/G10,"spécifier histo"))</f>
        <v>0.150931259600614</v>
      </c>
      <c r="F10" s="9" t="n">
        <v>1400</v>
      </c>
      <c r="G10" s="28" t="n">
        <f aca="false">F10-H10</f>
        <v>1400</v>
      </c>
      <c r="H10" s="9" t="n">
        <v>0</v>
      </c>
      <c r="I10" s="9"/>
      <c r="J10" s="30"/>
    </row>
    <row r="11" customFormat="false" ht="21.55" hidden="false" customHeight="true" outlineLevel="0" collapsed="false">
      <c r="A11" s="1" t="n">
        <v>28</v>
      </c>
      <c r="B11" s="34" t="n">
        <v>37288</v>
      </c>
      <c r="C11" s="487" t="n">
        <v>325602</v>
      </c>
      <c r="D11" s="29" t="s">
        <v>41</v>
      </c>
      <c r="E11" s="33" t="n">
        <f aca="false">IF(D11="totale",(C11/(A11*24))/F11,IF(D11="marché libre",(C11/(A11*24))/G11,"spécifier histo"))</f>
        <v>0.34609056122449</v>
      </c>
      <c r="F11" s="9" t="n">
        <v>1400</v>
      </c>
      <c r="G11" s="28" t="n">
        <f aca="false">F11-H11</f>
        <v>1400</v>
      </c>
      <c r="H11" s="9" t="n">
        <v>0</v>
      </c>
      <c r="I11" s="9"/>
      <c r="J11" s="30"/>
    </row>
    <row r="12" customFormat="false" ht="21.55" hidden="false" customHeight="true" outlineLevel="0" collapsed="false">
      <c r="A12" s="1" t="n">
        <v>31</v>
      </c>
      <c r="B12" s="31" t="n">
        <v>37316</v>
      </c>
      <c r="C12" s="487" t="n">
        <v>347205</v>
      </c>
      <c r="D12" s="29" t="s">
        <v>41</v>
      </c>
      <c r="E12" s="33" t="n">
        <f aca="false">IF(D12="totale",(C12/(A12*24))/F12,IF(D12="marché libre",(C12/(A12*24))/G12,"spécifier histo"))</f>
        <v>0.333338133640553</v>
      </c>
      <c r="F12" s="9" t="n">
        <v>1400</v>
      </c>
      <c r="G12" s="28" t="n">
        <f aca="false">F12-H12</f>
        <v>1400</v>
      </c>
      <c r="H12" s="9" t="n">
        <v>0</v>
      </c>
      <c r="I12" s="9"/>
      <c r="J12" s="30"/>
    </row>
    <row r="13" customFormat="false" ht="21.55" hidden="false" customHeight="true" outlineLevel="0" collapsed="false">
      <c r="A13" s="1" t="n">
        <v>30</v>
      </c>
      <c r="B13" s="34" t="n">
        <v>37347</v>
      </c>
      <c r="C13" s="487" t="n">
        <v>99986</v>
      </c>
      <c r="D13" s="29" t="s">
        <v>41</v>
      </c>
      <c r="E13" s="33" t="n">
        <f aca="false">IF(D13="totale",(C13/(A13*24))/F13,IF(D13="marché libre",(C13/(A13*24))/G13,"spécifier histo"))</f>
        <v>0.0991924603174603</v>
      </c>
      <c r="F13" s="9" t="n">
        <v>1400</v>
      </c>
      <c r="G13" s="28" t="n">
        <f aca="false">F13-H13</f>
        <v>1400</v>
      </c>
      <c r="H13" s="9" t="n">
        <v>0</v>
      </c>
      <c r="I13" s="9"/>
      <c r="J13" s="30"/>
    </row>
    <row r="14" customFormat="false" ht="21.55" hidden="false" customHeight="true" outlineLevel="0" collapsed="false">
      <c r="A14" s="1" t="n">
        <v>31</v>
      </c>
      <c r="B14" s="31" t="n">
        <v>37377</v>
      </c>
      <c r="C14" s="487" t="n">
        <v>76191</v>
      </c>
      <c r="D14" s="29" t="s">
        <v>41</v>
      </c>
      <c r="E14" s="33" t="n">
        <f aca="false">IF(D14="totale",(C14/(A14*24))/F14,IF(D14="marché libre",(C14/(A14*24))/G14,"spécifier histo"))</f>
        <v>0.0731480414746544</v>
      </c>
      <c r="F14" s="9" t="n">
        <v>1400</v>
      </c>
      <c r="G14" s="28" t="n">
        <f aca="false">F14-H14</f>
        <v>1400</v>
      </c>
      <c r="H14" s="9" t="n">
        <v>0</v>
      </c>
      <c r="I14" s="9"/>
      <c r="J14" s="30"/>
    </row>
    <row r="15" customFormat="false" ht="21.55" hidden="false" customHeight="true" outlineLevel="0" collapsed="false">
      <c r="A15" s="1" t="n">
        <v>30</v>
      </c>
      <c r="B15" s="34" t="n">
        <v>37408</v>
      </c>
      <c r="C15" s="487" t="n">
        <v>115714</v>
      </c>
      <c r="D15" s="29" t="s">
        <v>41</v>
      </c>
      <c r="E15" s="33" t="n">
        <f aca="false">IF(D15="totale",(C15/(A15*24))/F15,IF(D15="marché libre",(C15/(A15*24))/G15,"spécifier histo"))</f>
        <v>0.114795634920635</v>
      </c>
      <c r="F15" s="9" t="n">
        <v>1400</v>
      </c>
      <c r="G15" s="28" t="n">
        <f aca="false">F15-H15</f>
        <v>1400</v>
      </c>
      <c r="H15" s="9" t="n">
        <v>0</v>
      </c>
      <c r="I15" s="9"/>
      <c r="J15" s="30"/>
    </row>
    <row r="16" customFormat="false" ht="21.55" hidden="false" customHeight="true" outlineLevel="0" collapsed="false">
      <c r="A16" s="1" t="n">
        <v>31</v>
      </c>
      <c r="B16" s="31" t="n">
        <v>37438</v>
      </c>
      <c r="C16" s="487" t="n">
        <v>0</v>
      </c>
      <c r="D16" s="29" t="s">
        <v>41</v>
      </c>
      <c r="E16" s="33" t="n">
        <f aca="false">IF(D16="totale",(C16/(A16*24))/F16,IF(D16="marché libre",(C16/(A16*24))/G16,"spécifier histo"))</f>
        <v>0</v>
      </c>
      <c r="F16" s="9" t="n">
        <v>1400</v>
      </c>
      <c r="G16" s="28" t="n">
        <f aca="false">F16-H16</f>
        <v>1400</v>
      </c>
      <c r="H16" s="9" t="n">
        <v>0</v>
      </c>
      <c r="I16" s="9"/>
      <c r="J16" s="30"/>
    </row>
    <row r="17" customFormat="false" ht="21.55" hidden="false" customHeight="true" outlineLevel="0" collapsed="false">
      <c r="A17" s="1" t="n">
        <v>31</v>
      </c>
      <c r="B17" s="34" t="n">
        <v>37469</v>
      </c>
      <c r="C17" s="487" t="n">
        <v>0</v>
      </c>
      <c r="D17" s="29" t="s">
        <v>41</v>
      </c>
      <c r="E17" s="33" t="n">
        <f aca="false">IF(D17="totale",(C17/(A17*24))/F17,IF(D17="marché libre",(C17/(A17*24))/G17,"spécifier histo"))</f>
        <v>0</v>
      </c>
      <c r="F17" s="9" t="n">
        <v>1400</v>
      </c>
      <c r="G17" s="28" t="n">
        <f aca="false">F17-H17</f>
        <v>1400</v>
      </c>
      <c r="H17" s="9" t="n">
        <v>0</v>
      </c>
      <c r="I17" s="9"/>
      <c r="J17" s="30"/>
    </row>
    <row r="18" customFormat="false" ht="21.55" hidden="false" customHeight="true" outlineLevel="0" collapsed="false">
      <c r="A18" s="1" t="n">
        <v>30</v>
      </c>
      <c r="B18" s="31" t="n">
        <v>37500</v>
      </c>
      <c r="C18" s="487" t="n">
        <v>2400</v>
      </c>
      <c r="D18" s="29" t="s">
        <v>41</v>
      </c>
      <c r="E18" s="33" t="n">
        <f aca="false">IF(D18="totale",(C18/(A18*24))/F18,IF(D18="marché libre",(C18/(A18*24))/G18,"spécifier histo"))</f>
        <v>0.00238095238095238</v>
      </c>
      <c r="F18" s="9" t="n">
        <v>1400</v>
      </c>
      <c r="G18" s="28" t="n">
        <f aca="false">F18-H18</f>
        <v>1400</v>
      </c>
      <c r="H18" s="9" t="n">
        <v>0</v>
      </c>
      <c r="I18" s="9"/>
      <c r="J18" s="30"/>
    </row>
    <row r="19" customFormat="false" ht="21.55" hidden="false" customHeight="true" outlineLevel="0" collapsed="false">
      <c r="A19" s="1" t="n">
        <v>31</v>
      </c>
      <c r="B19" s="34" t="n">
        <v>37530</v>
      </c>
      <c r="C19" s="487" t="n">
        <v>127188</v>
      </c>
      <c r="D19" s="29" t="s">
        <v>41</v>
      </c>
      <c r="E19" s="33" t="n">
        <f aca="false">IF(D19="totale",(C19/(A19*24))/F19,IF(D19="marché libre",(C19/(A19*24))/G19,"spécifier histo"))</f>
        <v>0.122108294930876</v>
      </c>
      <c r="F19" s="9" t="n">
        <v>1400</v>
      </c>
      <c r="G19" s="28" t="n">
        <f aca="false">F19-H19</f>
        <v>1400</v>
      </c>
      <c r="H19" s="9" t="n">
        <v>0</v>
      </c>
      <c r="I19" s="9"/>
      <c r="J19" s="30"/>
    </row>
    <row r="20" customFormat="false" ht="21.55" hidden="false" customHeight="true" outlineLevel="0" collapsed="false">
      <c r="A20" s="1" t="n">
        <v>30</v>
      </c>
      <c r="B20" s="31" t="n">
        <v>37561</v>
      </c>
      <c r="C20" s="487" t="n">
        <v>364233</v>
      </c>
      <c r="D20" s="29" t="s">
        <v>41</v>
      </c>
      <c r="E20" s="33" t="n">
        <f aca="false">IF(D20="totale",(C20/(A20*24))/F20,IF(D20="marché libre",(C20/(A20*24))/G20,"spécifier histo"))</f>
        <v>0.361342261904762</v>
      </c>
      <c r="F20" s="9" t="n">
        <v>1400</v>
      </c>
      <c r="G20" s="28" t="n">
        <f aca="false">F20-H20</f>
        <v>1400</v>
      </c>
      <c r="H20" s="9" t="n">
        <v>0</v>
      </c>
      <c r="I20" s="9"/>
      <c r="J20" s="30"/>
    </row>
    <row r="21" customFormat="false" ht="21.55" hidden="false" customHeight="true" outlineLevel="0" collapsed="false">
      <c r="A21" s="1" t="n">
        <v>31</v>
      </c>
      <c r="B21" s="34" t="n">
        <v>37591</v>
      </c>
      <c r="C21" s="487" t="n">
        <v>695601</v>
      </c>
      <c r="D21" s="29" t="s">
        <v>41</v>
      </c>
      <c r="E21" s="33" t="n">
        <f aca="false">IF(D21="totale",(C21/(A21*24))/F21,IF(D21="marché libre",(C21/(A21*24))/G21,"spécifier histo"))</f>
        <v>0.66781970046083</v>
      </c>
      <c r="F21" s="9" t="n">
        <v>1400</v>
      </c>
      <c r="G21" s="28" t="n">
        <f aca="false">F21-H21</f>
        <v>1400</v>
      </c>
      <c r="H21" s="9" t="n">
        <v>0</v>
      </c>
      <c r="I21" s="9"/>
      <c r="J21" s="30"/>
    </row>
    <row r="22" customFormat="false" ht="21.55" hidden="false" customHeight="true" outlineLevel="0" collapsed="false">
      <c r="A22" s="1" t="n">
        <v>31</v>
      </c>
      <c r="B22" s="31" t="n">
        <v>37622</v>
      </c>
      <c r="C22" s="487" t="n">
        <v>660801</v>
      </c>
      <c r="D22" s="29" t="s">
        <v>41</v>
      </c>
      <c r="E22" s="33" t="n">
        <f aca="false">IF(D22="totale",(C22/(A22*24))/F22,IF(D22="marché libre",(C22/(A22*24))/G22,"spécifier histo"))</f>
        <v>0.634409562211981</v>
      </c>
      <c r="F22" s="9" t="n">
        <v>1400</v>
      </c>
      <c r="G22" s="28" t="n">
        <f aca="false">F22-H22</f>
        <v>1400</v>
      </c>
      <c r="H22" s="9" t="n">
        <v>0</v>
      </c>
      <c r="I22" s="9"/>
      <c r="J22" s="30"/>
    </row>
    <row r="23" customFormat="false" ht="21.55" hidden="false" customHeight="true" outlineLevel="0" collapsed="false">
      <c r="A23" s="1" t="n">
        <v>28</v>
      </c>
      <c r="B23" s="34" t="n">
        <v>37653</v>
      </c>
      <c r="C23" s="487" t="n">
        <v>482004</v>
      </c>
      <c r="D23" s="29" t="s">
        <v>41</v>
      </c>
      <c r="E23" s="33" t="n">
        <f aca="false">IF(D23="totale",(C23/(A23*24))/F23,IF(D23="marché libre",(C23/(A23*24))/G23,"spécifier histo"))</f>
        <v>0.512334183673469</v>
      </c>
      <c r="F23" s="9" t="n">
        <v>1400</v>
      </c>
      <c r="G23" s="28" t="n">
        <f aca="false">F23-H23</f>
        <v>1400</v>
      </c>
      <c r="H23" s="9" t="n">
        <v>0</v>
      </c>
      <c r="I23" s="9"/>
      <c r="J23" s="30"/>
    </row>
    <row r="24" customFormat="false" ht="21.55" hidden="false" customHeight="true" outlineLevel="0" collapsed="false">
      <c r="A24" s="1" t="n">
        <v>31</v>
      </c>
      <c r="B24" s="31" t="n">
        <v>37681</v>
      </c>
      <c r="C24" s="487" t="n">
        <v>446003</v>
      </c>
      <c r="D24" s="29" t="s">
        <v>41</v>
      </c>
      <c r="E24" s="33" t="n">
        <f aca="false">IF(D24="totale",(C24/(A24*24))/F24,IF(D24="marché libre",(C24/(A24*24))/G24,"spécifier histo"))</f>
        <v>0.428190284178187</v>
      </c>
      <c r="F24" s="9" t="n">
        <v>1400</v>
      </c>
      <c r="G24" s="28" t="n">
        <f aca="false">F24-H24</f>
        <v>1400</v>
      </c>
      <c r="H24" s="9" t="n">
        <v>0</v>
      </c>
      <c r="I24" s="9"/>
      <c r="J24" s="30"/>
    </row>
    <row r="25" customFormat="false" ht="21.55" hidden="false" customHeight="true" outlineLevel="0" collapsed="false">
      <c r="A25" s="1" t="n">
        <v>30</v>
      </c>
      <c r="B25" s="34" t="n">
        <v>37712</v>
      </c>
      <c r="C25" s="487" t="n">
        <v>140410</v>
      </c>
      <c r="D25" s="29" t="s">
        <v>41</v>
      </c>
      <c r="E25" s="33" t="n">
        <f aca="false">IF(D25="totale",(C25/(A25*24))/F25,IF(D25="marché libre",(C25/(A25*24))/G25,"spécifier histo"))</f>
        <v>0.139295634920635</v>
      </c>
      <c r="F25" s="9" t="n">
        <v>1400</v>
      </c>
      <c r="G25" s="28" t="n">
        <f aca="false">F25-H25</f>
        <v>1400</v>
      </c>
      <c r="H25" s="9" t="n">
        <v>0</v>
      </c>
      <c r="I25" s="9"/>
      <c r="J25" s="30"/>
    </row>
    <row r="26" customFormat="false" ht="21.55" hidden="false" customHeight="true" outlineLevel="0" collapsed="false">
      <c r="A26" s="1" t="n">
        <v>31</v>
      </c>
      <c r="B26" s="31" t="n">
        <v>37742</v>
      </c>
      <c r="C26" s="487" t="n">
        <v>53569</v>
      </c>
      <c r="D26" s="29" t="s">
        <v>41</v>
      </c>
      <c r="E26" s="33" t="n">
        <f aca="false">IF(D26="totale",(C26/(A26*24))/F26,IF(D26="marché libre",(C26/(A26*24))/G26,"spécifier histo"))</f>
        <v>0.0514295314900154</v>
      </c>
      <c r="F26" s="9" t="n">
        <v>1400</v>
      </c>
      <c r="G26" s="28" t="n">
        <f aca="false">F26-H26</f>
        <v>1400</v>
      </c>
      <c r="H26" s="9" t="n">
        <v>0</v>
      </c>
      <c r="I26" s="9"/>
      <c r="J26" s="30"/>
    </row>
    <row r="27" customFormat="false" ht="21.55" hidden="false" customHeight="true" outlineLevel="0" collapsed="false">
      <c r="A27" s="1" t="n">
        <v>30</v>
      </c>
      <c r="B27" s="34" t="n">
        <v>37773</v>
      </c>
      <c r="C27" s="487" t="n">
        <v>0</v>
      </c>
      <c r="D27" s="29" t="s">
        <v>41</v>
      </c>
      <c r="E27" s="33" t="n">
        <f aca="false">IF(D27="totale",(C27/(A27*24))/F27,IF(D27="marché libre",(C27/(A27*24))/G27,"spécifier histo"))</f>
        <v>0</v>
      </c>
      <c r="F27" s="9" t="n">
        <v>1400</v>
      </c>
      <c r="G27" s="28" t="n">
        <f aca="false">F27-H27</f>
        <v>1400</v>
      </c>
      <c r="H27" s="9" t="n">
        <v>0</v>
      </c>
      <c r="I27" s="9"/>
      <c r="J27" s="30"/>
    </row>
    <row r="28" customFormat="false" ht="21.55" hidden="false" customHeight="true" outlineLevel="0" collapsed="false">
      <c r="A28" s="1" t="n">
        <v>31</v>
      </c>
      <c r="B28" s="31" t="n">
        <v>37803</v>
      </c>
      <c r="C28" s="487" t="n">
        <v>0</v>
      </c>
      <c r="D28" s="29" t="s">
        <v>41</v>
      </c>
      <c r="E28" s="33" t="n">
        <f aca="false">IF(D28="totale",(C28/(A28*24))/F28,IF(D28="marché libre",(C28/(A28*24))/G28,"spécifier histo"))</f>
        <v>0</v>
      </c>
      <c r="F28" s="9" t="n">
        <v>1400</v>
      </c>
      <c r="G28" s="28" t="n">
        <f aca="false">F28-H28</f>
        <v>1400</v>
      </c>
      <c r="H28" s="9" t="n">
        <v>0</v>
      </c>
      <c r="I28" s="9"/>
      <c r="J28" s="30"/>
    </row>
    <row r="29" customFormat="false" ht="21.55" hidden="false" customHeight="true" outlineLevel="0" collapsed="false">
      <c r="A29" s="1" t="n">
        <v>31</v>
      </c>
      <c r="B29" s="34" t="n">
        <v>37834</v>
      </c>
      <c r="C29" s="487" t="n">
        <v>0</v>
      </c>
      <c r="D29" s="29" t="s">
        <v>41</v>
      </c>
      <c r="E29" s="33" t="n">
        <f aca="false">IF(D29="totale",(C29/(A29*24))/F29,IF(D29="marché libre",(C29/(A29*24))/G29,"spécifier histo"))</f>
        <v>0</v>
      </c>
      <c r="F29" s="9" t="n">
        <v>1400</v>
      </c>
      <c r="G29" s="28" t="n">
        <f aca="false">F29-H29</f>
        <v>1400</v>
      </c>
      <c r="H29" s="9" t="n">
        <v>0</v>
      </c>
      <c r="I29" s="9"/>
      <c r="J29" s="30"/>
    </row>
    <row r="30" customFormat="false" ht="21.55" hidden="false" customHeight="true" outlineLevel="0" collapsed="false">
      <c r="A30" s="1" t="n">
        <v>30</v>
      </c>
      <c r="B30" s="31" t="n">
        <v>37865</v>
      </c>
      <c r="C30" s="487" t="n">
        <v>0</v>
      </c>
      <c r="D30" s="29" t="s">
        <v>41</v>
      </c>
      <c r="E30" s="33" t="n">
        <f aca="false">IF(D30="totale",(C30/(A30*24))/F30,IF(D30="marché libre",(C30/(A30*24))/G30,"spécifier histo"))</f>
        <v>0</v>
      </c>
      <c r="F30" s="9" t="n">
        <v>1400</v>
      </c>
      <c r="G30" s="28" t="n">
        <f aca="false">F30-H30</f>
        <v>1400</v>
      </c>
      <c r="H30" s="9" t="n">
        <v>0</v>
      </c>
      <c r="I30" s="9"/>
      <c r="J30" s="30"/>
    </row>
    <row r="31" customFormat="false" ht="21.55" hidden="false" customHeight="true" outlineLevel="0" collapsed="false">
      <c r="A31" s="1" t="n">
        <v>31</v>
      </c>
      <c r="B31" s="34" t="n">
        <v>37895</v>
      </c>
      <c r="C31" s="487" t="n">
        <v>13481</v>
      </c>
      <c r="D31" s="29" t="s">
        <v>41</v>
      </c>
      <c r="E31" s="33" t="n">
        <f aca="false">IF(D31="totale",(C31/(A31*24))/F31,IF(D31="marché libre",(C31/(A31*24))/G31,"spécifier histo"))</f>
        <v>0.0129425883256528</v>
      </c>
      <c r="F31" s="9" t="n">
        <v>1400</v>
      </c>
      <c r="G31" s="28" t="n">
        <f aca="false">F31-H31</f>
        <v>1400</v>
      </c>
      <c r="H31" s="9" t="n">
        <v>0</v>
      </c>
      <c r="I31" s="9"/>
      <c r="J31" s="30"/>
    </row>
    <row r="32" customFormat="false" ht="21.55" hidden="false" customHeight="true" outlineLevel="0" collapsed="false">
      <c r="A32" s="1" t="n">
        <v>30</v>
      </c>
      <c r="B32" s="31" t="n">
        <v>37926</v>
      </c>
      <c r="C32" s="487" t="n">
        <v>396006</v>
      </c>
      <c r="D32" s="29" t="s">
        <v>41</v>
      </c>
      <c r="E32" s="33" t="n">
        <f aca="false">IF(D32="totale",(C32/(A32*24))/F32,IF(D32="marché libre",(C32/(A32*24))/G32,"spécifier histo"))</f>
        <v>0.392863095238095</v>
      </c>
      <c r="F32" s="9" t="n">
        <v>1400</v>
      </c>
      <c r="G32" s="28" t="n">
        <f aca="false">F32-H32</f>
        <v>1400</v>
      </c>
      <c r="H32" s="9" t="n">
        <v>0</v>
      </c>
      <c r="I32" s="9"/>
      <c r="J32" s="30"/>
    </row>
    <row r="33" customFormat="false" ht="21.55" hidden="false" customHeight="true" outlineLevel="0" collapsed="false">
      <c r="A33" s="1" t="n">
        <v>31</v>
      </c>
      <c r="B33" s="34" t="n">
        <v>37956</v>
      </c>
      <c r="C33" s="487" t="n">
        <v>15990</v>
      </c>
      <c r="D33" s="29" t="s">
        <v>41</v>
      </c>
      <c r="E33" s="33" t="n">
        <f aca="false">IF(D33="totale",(C33/(A33*24))/F33,IF(D33="marché libre",(C33/(A33*24))/G33,"spécifier histo"))</f>
        <v>0.0153513824884793</v>
      </c>
      <c r="F33" s="9" t="n">
        <v>1400</v>
      </c>
      <c r="G33" s="28" t="n">
        <f aca="false">F33-H33</f>
        <v>1400</v>
      </c>
      <c r="H33" s="9" t="n">
        <v>0</v>
      </c>
      <c r="I33" s="9"/>
      <c r="J33" s="30"/>
    </row>
    <row r="34" customFormat="false" ht="21.55" hidden="false" customHeight="true" outlineLevel="0" collapsed="false">
      <c r="A34" s="1" t="n">
        <v>31</v>
      </c>
      <c r="B34" s="31" t="n">
        <v>37987</v>
      </c>
      <c r="C34" s="487" t="n">
        <v>406000</v>
      </c>
      <c r="D34" s="29" t="s">
        <v>41</v>
      </c>
      <c r="E34" s="33" t="n">
        <f aca="false">IF(D34="totale",(C34/(A34*24))/F34,IF(D34="marché libre",(C34/(A34*24))/G34,"spécifier histo"))</f>
        <v>0.389784946236559</v>
      </c>
      <c r="F34" s="9" t="n">
        <v>1400</v>
      </c>
      <c r="G34" s="28" t="n">
        <f aca="false">F34-H34</f>
        <v>1400</v>
      </c>
      <c r="H34" s="9" t="n">
        <v>0</v>
      </c>
      <c r="I34" s="9"/>
      <c r="J34" s="30"/>
    </row>
    <row r="35" customFormat="false" ht="21.55" hidden="false" customHeight="true" outlineLevel="0" collapsed="false">
      <c r="A35" s="1" t="n">
        <v>28</v>
      </c>
      <c r="B35" s="34" t="n">
        <v>38018</v>
      </c>
      <c r="C35" s="487" t="n">
        <v>367555</v>
      </c>
      <c r="D35" s="29" t="s">
        <v>41</v>
      </c>
      <c r="E35" s="33" t="n">
        <f aca="false">IF(D35="totale",(C35/(A35*24))/F35,IF(D35="marché libre",(C35/(A35*24))/G35,"spécifier histo"))</f>
        <v>0.390683460884354</v>
      </c>
      <c r="F35" s="9" t="n">
        <v>1400</v>
      </c>
      <c r="G35" s="28" t="n">
        <f aca="false">F35-H35</f>
        <v>1400</v>
      </c>
      <c r="H35" s="9" t="n">
        <v>0</v>
      </c>
      <c r="I35" s="9"/>
      <c r="J35" s="30"/>
    </row>
    <row r="36" customFormat="false" ht="21.55" hidden="false" customHeight="true" outlineLevel="0" collapsed="false">
      <c r="A36" s="1" t="n">
        <v>31</v>
      </c>
      <c r="B36" s="31" t="n">
        <v>38047</v>
      </c>
      <c r="C36" s="487" t="n">
        <v>522405</v>
      </c>
      <c r="D36" s="29" t="s">
        <v>41</v>
      </c>
      <c r="E36" s="33" t="n">
        <f aca="false">IF(D36="totale",(C36/(A36*24))/F36,IF(D36="marché libre",(C36/(A36*24))/G36,"spécifier histo"))</f>
        <v>0.501540898617512</v>
      </c>
      <c r="F36" s="9" t="n">
        <v>1400</v>
      </c>
      <c r="G36" s="28" t="n">
        <f aca="false">F36-H36</f>
        <v>1400</v>
      </c>
      <c r="H36" s="9" t="n">
        <v>0</v>
      </c>
      <c r="I36" s="9"/>
      <c r="J36" s="30"/>
    </row>
    <row r="37" customFormat="false" ht="21.55" hidden="false" customHeight="true" outlineLevel="0" collapsed="false">
      <c r="A37" s="1" t="n">
        <v>30</v>
      </c>
      <c r="B37" s="34" t="n">
        <v>38078</v>
      </c>
      <c r="C37" s="487" t="n">
        <v>523203</v>
      </c>
      <c r="D37" s="29" t="s">
        <v>41</v>
      </c>
      <c r="E37" s="33" t="n">
        <f aca="false">IF(D37="totale",(C37/(A37*24))/F37,IF(D37="marché libre",(C37/(A37*24))/G37,"spécifier histo"))</f>
        <v>0.519050595238095</v>
      </c>
      <c r="F37" s="9" t="n">
        <v>1400</v>
      </c>
      <c r="G37" s="28" t="n">
        <f aca="false">F37-H37</f>
        <v>1400</v>
      </c>
      <c r="H37" s="9" t="n">
        <v>0</v>
      </c>
      <c r="I37" s="9"/>
      <c r="J37" s="30"/>
    </row>
    <row r="38" customFormat="false" ht="21.55" hidden="false" customHeight="true" outlineLevel="0" collapsed="false">
      <c r="A38" s="1" t="n">
        <v>31</v>
      </c>
      <c r="B38" s="31" t="n">
        <v>38108</v>
      </c>
      <c r="C38" s="487" t="n">
        <v>457597</v>
      </c>
      <c r="D38" s="29" t="s">
        <v>41</v>
      </c>
      <c r="E38" s="33" t="n">
        <f aca="false">IF(D38="totale",(C38/(A38*24))/F38,IF(D38="marché libre",(C38/(A38*24))/G38,"spécifier histo"))</f>
        <v>0.43932123655914</v>
      </c>
      <c r="F38" s="9" t="n">
        <v>1400</v>
      </c>
      <c r="G38" s="28" t="n">
        <f aca="false">F38-H38</f>
        <v>1400</v>
      </c>
      <c r="H38" s="9" t="n">
        <v>0</v>
      </c>
      <c r="I38" s="9"/>
      <c r="J38" s="30"/>
    </row>
    <row r="39" customFormat="false" ht="21.55" hidden="false" customHeight="true" outlineLevel="0" collapsed="false">
      <c r="A39" s="1" t="n">
        <v>30</v>
      </c>
      <c r="B39" s="34" t="n">
        <v>38139</v>
      </c>
      <c r="C39" s="487" t="n">
        <v>60029</v>
      </c>
      <c r="D39" s="29" t="s">
        <v>41</v>
      </c>
      <c r="E39" s="33" t="n">
        <f aca="false">IF(D39="totale",(C39/(A39*24))/F39,IF(D39="marché libre",(C39/(A39*24))/G39,"spécifier histo"))</f>
        <v>0.0595525793650794</v>
      </c>
      <c r="F39" s="9" t="n">
        <v>1400</v>
      </c>
      <c r="G39" s="28" t="n">
        <f aca="false">F39-H39</f>
        <v>1400</v>
      </c>
      <c r="H39" s="9" t="n">
        <v>0</v>
      </c>
      <c r="I39" s="9"/>
      <c r="J39" s="30"/>
    </row>
    <row r="40" customFormat="false" ht="21.55" hidden="false" customHeight="true" outlineLevel="0" collapsed="false">
      <c r="A40" s="1" t="n">
        <v>31</v>
      </c>
      <c r="B40" s="31" t="n">
        <v>38169</v>
      </c>
      <c r="C40" s="487" t="n">
        <v>11200</v>
      </c>
      <c r="D40" s="29" t="s">
        <v>41</v>
      </c>
      <c r="E40" s="33" t="n">
        <f aca="false">IF(D40="totale",(C40/(A40*24))/F40,IF(D40="marché libre",(C40/(A40*24))/G40,"spécifier histo"))</f>
        <v>0.010752688172043</v>
      </c>
      <c r="F40" s="9" t="n">
        <v>1400</v>
      </c>
      <c r="G40" s="28" t="n">
        <f aca="false">F40-H40</f>
        <v>1400</v>
      </c>
      <c r="H40" s="9" t="n">
        <v>0</v>
      </c>
      <c r="I40" s="9"/>
      <c r="J40" s="30"/>
    </row>
    <row r="41" customFormat="false" ht="21.55" hidden="false" customHeight="true" outlineLevel="0" collapsed="false">
      <c r="A41" s="1" t="n">
        <v>31</v>
      </c>
      <c r="B41" s="34" t="n">
        <v>38200</v>
      </c>
      <c r="C41" s="487" t="n">
        <v>112000</v>
      </c>
      <c r="D41" s="29" t="s">
        <v>41</v>
      </c>
      <c r="E41" s="33" t="n">
        <f aca="false">IF(D41="totale",(C41/(A41*24))/F41,IF(D41="marché libre",(C41/(A41*24))/G41,"spécifier histo"))</f>
        <v>0.10752688172043</v>
      </c>
      <c r="F41" s="9" t="n">
        <v>1400</v>
      </c>
      <c r="G41" s="28" t="n">
        <f aca="false">F41-H41</f>
        <v>1400</v>
      </c>
      <c r="H41" s="9" t="n">
        <v>0</v>
      </c>
      <c r="I41" s="9"/>
      <c r="J41" s="30"/>
    </row>
    <row r="42" customFormat="false" ht="21.55" hidden="false" customHeight="true" outlineLevel="0" collapsed="false">
      <c r="A42" s="1" t="n">
        <v>30</v>
      </c>
      <c r="B42" s="31" t="n">
        <v>38231</v>
      </c>
      <c r="C42" s="487" t="n">
        <v>1200</v>
      </c>
      <c r="D42" s="29" t="s">
        <v>41</v>
      </c>
      <c r="E42" s="33" t="n">
        <f aca="false">IF(D42="totale",(C42/(A42*24))/F42,IF(D42="marché libre",(C42/(A42*24))/G42,"spécifier histo"))</f>
        <v>0.00119047619047619</v>
      </c>
      <c r="F42" s="9" t="n">
        <v>1400</v>
      </c>
      <c r="G42" s="28" t="n">
        <f aca="false">F42-H42</f>
        <v>1400</v>
      </c>
      <c r="H42" s="9" t="n">
        <v>0</v>
      </c>
      <c r="I42" s="9"/>
      <c r="J42" s="30"/>
    </row>
    <row r="43" customFormat="false" ht="21.55" hidden="false" customHeight="true" outlineLevel="0" collapsed="false">
      <c r="A43" s="1" t="n">
        <v>31</v>
      </c>
      <c r="B43" s="34" t="n">
        <v>38261</v>
      </c>
      <c r="C43" s="487" t="n">
        <v>140000</v>
      </c>
      <c r="D43" s="29" t="s">
        <v>41</v>
      </c>
      <c r="E43" s="33" t="n">
        <f aca="false">IF(D43="totale",(C43/(A43*24))/F43,IF(D43="marché libre",(C43/(A43*24))/G43,"spécifier histo"))</f>
        <v>0.134408602150538</v>
      </c>
      <c r="F43" s="9" t="n">
        <v>1400</v>
      </c>
      <c r="G43" s="28" t="n">
        <f aca="false">F43-H43</f>
        <v>1400</v>
      </c>
      <c r="H43" s="9" t="n">
        <v>0</v>
      </c>
      <c r="I43" s="9"/>
      <c r="J43" s="30"/>
    </row>
    <row r="44" customFormat="false" ht="21.55" hidden="false" customHeight="true" outlineLevel="0" collapsed="false">
      <c r="A44" s="1" t="n">
        <v>30</v>
      </c>
      <c r="B44" s="31" t="n">
        <v>38292</v>
      </c>
      <c r="C44" s="487" t="n">
        <v>345241</v>
      </c>
      <c r="D44" s="29" t="s">
        <v>41</v>
      </c>
      <c r="E44" s="33" t="n">
        <f aca="false">IF(D44="totale",(C44/(A44*24))/F44,IF(D44="marché libre",(C44/(A44*24))/G44,"spécifier histo"))</f>
        <v>0.342500992063492</v>
      </c>
      <c r="F44" s="9" t="n">
        <v>1400</v>
      </c>
      <c r="G44" s="28" t="n">
        <f aca="false">F44-H44</f>
        <v>1400</v>
      </c>
      <c r="H44" s="9" t="n">
        <v>0</v>
      </c>
      <c r="I44" s="9"/>
      <c r="J44" s="30"/>
    </row>
    <row r="45" customFormat="false" ht="21.55" hidden="false" customHeight="true" outlineLevel="0" collapsed="false">
      <c r="A45" s="1" t="n">
        <v>31</v>
      </c>
      <c r="B45" s="34" t="n">
        <v>38322</v>
      </c>
      <c r="C45" s="487" t="n">
        <v>242800</v>
      </c>
      <c r="D45" s="29" t="s">
        <v>41</v>
      </c>
      <c r="E45" s="33" t="n">
        <f aca="false">IF(D45="totale",(C45/(A45*24))/F45,IF(D45="marché libre",(C45/(A45*24))/G45,"spécifier histo"))</f>
        <v>0.23310291858679</v>
      </c>
      <c r="F45" s="9" t="n">
        <v>1400</v>
      </c>
      <c r="G45" s="28" t="n">
        <f aca="false">F45-H45</f>
        <v>1400</v>
      </c>
      <c r="H45" s="9" t="n">
        <v>0</v>
      </c>
      <c r="I45" s="9"/>
      <c r="J45" s="30"/>
    </row>
    <row r="46" customFormat="false" ht="19.85" hidden="false" customHeight="true" outlineLevel="0" collapsed="false">
      <c r="A46" s="1" t="n">
        <v>31</v>
      </c>
      <c r="B46" s="31" t="n">
        <v>38353</v>
      </c>
      <c r="C46" s="56" t="n">
        <v>242800</v>
      </c>
      <c r="D46" s="29" t="s">
        <v>41</v>
      </c>
      <c r="E46" s="33" t="n">
        <f aca="false">IF(D46="totale",(C46/(A46*24))/F46,IF(D46="marché libre",(C46/(A46*24))/G46,"spécifier histo"))</f>
        <v>0.23310291858679</v>
      </c>
      <c r="F46" s="9" t="n">
        <v>1400</v>
      </c>
      <c r="G46" s="28" t="n">
        <f aca="false">F46-H46</f>
        <v>1400</v>
      </c>
      <c r="H46" s="9" t="n">
        <v>0</v>
      </c>
      <c r="J46" s="70" t="s">
        <v>903</v>
      </c>
    </row>
    <row r="47" customFormat="false" ht="19.85" hidden="false" customHeight="true" outlineLevel="0" collapsed="false">
      <c r="A47" s="1" t="n">
        <v>28</v>
      </c>
      <c r="B47" s="34" t="n">
        <v>38384</v>
      </c>
      <c r="C47" s="56" t="n">
        <v>214400</v>
      </c>
      <c r="D47" s="29" t="s">
        <v>41</v>
      </c>
      <c r="E47" s="33" t="n">
        <f aca="false">IF(D47="totale",(C47/(A47*24))/F47,IF(D47="marché libre",(C47/(A47*24))/G47,"spécifier histo"))</f>
        <v>0.227891156462585</v>
      </c>
      <c r="F47" s="9" t="n">
        <v>1400</v>
      </c>
      <c r="G47" s="28" t="n">
        <f aca="false">F47-H47</f>
        <v>1400</v>
      </c>
      <c r="H47" s="9" t="n">
        <v>0</v>
      </c>
      <c r="J47" s="70" t="s">
        <v>904</v>
      </c>
    </row>
    <row r="48" customFormat="false" ht="19.85" hidden="false" customHeight="true" outlineLevel="0" collapsed="false">
      <c r="A48" s="1" t="n">
        <v>31</v>
      </c>
      <c r="B48" s="31" t="n">
        <v>38412</v>
      </c>
      <c r="C48" s="56" t="n">
        <v>164400</v>
      </c>
      <c r="D48" s="29" t="s">
        <v>41</v>
      </c>
      <c r="E48" s="33" t="n">
        <f aca="false">IF(D48="totale",(C48/(A48*24))/F48,IF(D48="marché libre",(C48/(A48*24))/G48,"spécifier histo"))</f>
        <v>0.157834101382488</v>
      </c>
      <c r="F48" s="9" t="n">
        <v>1400</v>
      </c>
      <c r="G48" s="28" t="n">
        <f aca="false">F48-H48</f>
        <v>1400</v>
      </c>
      <c r="H48" s="9" t="n">
        <v>0</v>
      </c>
      <c r="J48" s="70" t="s">
        <v>905</v>
      </c>
    </row>
    <row r="49" customFormat="false" ht="19.85" hidden="false" customHeight="true" outlineLevel="0" collapsed="false">
      <c r="A49" s="1" t="n">
        <v>30</v>
      </c>
      <c r="B49" s="34" t="n">
        <v>38443</v>
      </c>
      <c r="C49" s="56" t="n">
        <v>311200</v>
      </c>
      <c r="D49" s="29" t="s">
        <v>41</v>
      </c>
      <c r="E49" s="33" t="n">
        <f aca="false">IF(D49="totale",(C49/(A49*24))/F49,IF(D49="marché libre",(C49/(A49*24))/G49,"spécifier histo"))</f>
        <v>0.308730158730159</v>
      </c>
      <c r="F49" s="9" t="n">
        <v>1400</v>
      </c>
      <c r="G49" s="28" t="n">
        <f aca="false">F49-H49</f>
        <v>1400</v>
      </c>
      <c r="H49" s="9" t="n">
        <v>0</v>
      </c>
      <c r="J49" s="70"/>
    </row>
    <row r="50" customFormat="false" ht="19.85" hidden="false" customHeight="true" outlineLevel="0" collapsed="false">
      <c r="A50" s="1" t="n">
        <v>31</v>
      </c>
      <c r="B50" s="31" t="n">
        <v>38473</v>
      </c>
      <c r="C50" s="56" t="n">
        <v>174400</v>
      </c>
      <c r="D50" s="29" t="s">
        <v>41</v>
      </c>
      <c r="E50" s="33" t="n">
        <f aca="false">IF(D50="totale",(C50/(A50*24))/F50,IF(D50="marché libre",(C50/(A50*24))/G50,"spécifier histo"))</f>
        <v>0.167434715821813</v>
      </c>
      <c r="F50" s="9" t="n">
        <v>1400</v>
      </c>
      <c r="G50" s="28" t="n">
        <f aca="false">F50-H50</f>
        <v>1400</v>
      </c>
      <c r="H50" s="9" t="n">
        <v>0</v>
      </c>
      <c r="J50" s="70"/>
    </row>
    <row r="51" customFormat="false" ht="19.85" hidden="false" customHeight="true" outlineLevel="0" collapsed="false">
      <c r="A51" s="1" t="n">
        <v>30</v>
      </c>
      <c r="B51" s="34" t="n">
        <v>38504</v>
      </c>
      <c r="C51" s="56" t="n">
        <v>30400</v>
      </c>
      <c r="D51" s="29" t="s">
        <v>41</v>
      </c>
      <c r="E51" s="33" t="n">
        <f aca="false">IF(D51="totale",(C51/(A51*24))/F51,IF(D51="marché libre",(C51/(A51*24))/G51,"spécifier histo"))</f>
        <v>0.0301587301587302</v>
      </c>
      <c r="F51" s="9" t="n">
        <v>1400</v>
      </c>
      <c r="G51" s="28" t="n">
        <f aca="false">F51-H51</f>
        <v>1400</v>
      </c>
      <c r="H51" s="9" t="n">
        <v>0</v>
      </c>
      <c r="J51" s="488" t="n">
        <v>2002</v>
      </c>
      <c r="K51" s="488" t="n">
        <v>2003</v>
      </c>
      <c r="L51" s="488" t="n">
        <v>2004</v>
      </c>
      <c r="M51" s="488" t="n">
        <v>2005</v>
      </c>
      <c r="N51" s="488" t="n">
        <v>2006</v>
      </c>
      <c r="O51" s="488" t="n">
        <v>2007</v>
      </c>
      <c r="P51" s="488" t="n">
        <v>2008</v>
      </c>
      <c r="Q51" s="488" t="n">
        <v>2009</v>
      </c>
      <c r="R51" s="0"/>
      <c r="S51" s="488" t="n">
        <v>2010</v>
      </c>
      <c r="T51" s="0"/>
      <c r="U51" s="0"/>
      <c r="V51" s="0"/>
    </row>
    <row r="52" customFormat="false" ht="19.85" hidden="false" customHeight="true" outlineLevel="0" collapsed="false">
      <c r="A52" s="1" t="n">
        <v>31</v>
      </c>
      <c r="B52" s="31" t="n">
        <v>38534</v>
      </c>
      <c r="C52" s="56" t="n">
        <v>0</v>
      </c>
      <c r="D52" s="29" t="s">
        <v>41</v>
      </c>
      <c r="E52" s="33" t="n">
        <f aca="false">IF(D52="totale",(C52/(A52*24))/F52,IF(D52="marché libre",(C52/(A52*24))/G52,"spécifier histo"))</f>
        <v>0</v>
      </c>
      <c r="F52" s="9" t="n">
        <v>1400</v>
      </c>
      <c r="G52" s="28" t="n">
        <f aca="false">F52-H52</f>
        <v>1400</v>
      </c>
      <c r="H52" s="9" t="n">
        <v>0</v>
      </c>
      <c r="J52" s="0"/>
      <c r="K52" s="0"/>
      <c r="L52" s="0"/>
      <c r="M52" s="489" t="n">
        <v>242800</v>
      </c>
      <c r="N52" s="489" t="n">
        <v>271200</v>
      </c>
      <c r="O52" s="489" t="n">
        <v>272000</v>
      </c>
      <c r="P52" s="489" t="n">
        <v>532800</v>
      </c>
      <c r="Q52" s="489" t="n">
        <v>504800</v>
      </c>
      <c r="R52" s="0"/>
      <c r="S52" s="489" t="n">
        <v>427200</v>
      </c>
      <c r="T52" s="0"/>
      <c r="U52" s="0"/>
      <c r="V52" s="0"/>
    </row>
    <row r="53" customFormat="false" ht="19.85" hidden="false" customHeight="true" outlineLevel="0" collapsed="false">
      <c r="A53" s="1" t="n">
        <v>31</v>
      </c>
      <c r="B53" s="34" t="n">
        <v>38565</v>
      </c>
      <c r="C53" s="56" t="n">
        <v>0</v>
      </c>
      <c r="D53" s="29" t="s">
        <v>41</v>
      </c>
      <c r="E53" s="33" t="n">
        <f aca="false">IF(D53="totale",(C53/(A53*24))/F53,IF(D53="marché libre",(C53/(A53*24))/G53,"spécifier histo"))</f>
        <v>0</v>
      </c>
      <c r="F53" s="9" t="n">
        <v>1400</v>
      </c>
      <c r="G53" s="28" t="n">
        <f aca="false">F53-H53</f>
        <v>1400</v>
      </c>
      <c r="H53" s="9" t="n">
        <v>0</v>
      </c>
      <c r="J53" s="0"/>
      <c r="K53" s="0"/>
      <c r="L53" s="0"/>
      <c r="M53" s="489" t="n">
        <v>214400</v>
      </c>
      <c r="N53" s="489" t="n">
        <v>482400</v>
      </c>
      <c r="O53" s="489" t="n">
        <v>489200</v>
      </c>
      <c r="P53" s="489" t="n">
        <v>259600</v>
      </c>
      <c r="Q53" s="489" t="n">
        <v>584400</v>
      </c>
      <c r="R53" s="0"/>
      <c r="S53" s="489" t="n">
        <v>493600</v>
      </c>
      <c r="T53" s="0"/>
      <c r="U53" s="0"/>
      <c r="V53" s="0"/>
    </row>
    <row r="54" customFormat="false" ht="19.85" hidden="false" customHeight="true" outlineLevel="0" collapsed="false">
      <c r="A54" s="1" t="n">
        <v>30</v>
      </c>
      <c r="B54" s="31" t="n">
        <v>38596</v>
      </c>
      <c r="C54" s="56" t="n">
        <v>7200</v>
      </c>
      <c r="D54" s="29" t="s">
        <v>41</v>
      </c>
      <c r="E54" s="33" t="n">
        <f aca="false">IF(D54="totale",(C54/(A54*24))/F54,IF(D54="marché libre",(C54/(A54*24))/G54,"spécifier histo"))</f>
        <v>0.00714285714285714</v>
      </c>
      <c r="F54" s="9" t="n">
        <v>1400</v>
      </c>
      <c r="G54" s="28" t="n">
        <f aca="false">F54-H54</f>
        <v>1400</v>
      </c>
      <c r="H54" s="9" t="n">
        <v>0</v>
      </c>
      <c r="J54" s="0"/>
      <c r="K54" s="0"/>
      <c r="L54" s="0"/>
      <c r="M54" s="489" t="n">
        <v>164400</v>
      </c>
      <c r="N54" s="489" t="n">
        <v>708400</v>
      </c>
      <c r="O54" s="489" t="n">
        <v>540400</v>
      </c>
      <c r="P54" s="489" t="n">
        <v>540400</v>
      </c>
      <c r="Q54" s="489" t="n">
        <v>445600</v>
      </c>
      <c r="R54" s="0"/>
      <c r="S54" s="489" t="n">
        <v>542000</v>
      </c>
      <c r="T54" s="0"/>
      <c r="U54" s="0"/>
      <c r="V54" s="0"/>
    </row>
    <row r="55" customFormat="false" ht="19.85" hidden="false" customHeight="true" outlineLevel="0" collapsed="false">
      <c r="A55" s="1" t="n">
        <v>31</v>
      </c>
      <c r="B55" s="34" t="n">
        <v>38626</v>
      </c>
      <c r="C55" s="56" t="n">
        <v>22800</v>
      </c>
      <c r="D55" s="29" t="s">
        <v>41</v>
      </c>
      <c r="E55" s="33" t="n">
        <f aca="false">IF(D55="totale",(C55/(A55*24))/F55,IF(D55="marché libre",(C55/(A55*24))/G55,"spécifier histo"))</f>
        <v>0.021889400921659</v>
      </c>
      <c r="F55" s="9" t="n">
        <v>1400</v>
      </c>
      <c r="G55" s="28" t="n">
        <f aca="false">F55-H55</f>
        <v>1400</v>
      </c>
      <c r="H55" s="9" t="n">
        <v>0</v>
      </c>
      <c r="J55" s="0"/>
      <c r="K55" s="0"/>
      <c r="L55" s="0"/>
      <c r="M55" s="489" t="n">
        <v>311200</v>
      </c>
      <c r="N55" s="489" t="n">
        <v>708400</v>
      </c>
      <c r="O55" s="489" t="n">
        <v>164400</v>
      </c>
      <c r="P55" s="489" t="n">
        <v>634000</v>
      </c>
      <c r="Q55" s="489" t="n">
        <v>601200</v>
      </c>
      <c r="R55" s="0"/>
      <c r="S55" s="489" t="n">
        <v>400400</v>
      </c>
      <c r="T55" s="0"/>
      <c r="U55" s="0"/>
      <c r="V55" s="0"/>
    </row>
    <row r="56" customFormat="false" ht="19.85" hidden="false" customHeight="true" outlineLevel="0" collapsed="false">
      <c r="A56" s="1" t="n">
        <v>30</v>
      </c>
      <c r="B56" s="31" t="n">
        <v>38657</v>
      </c>
      <c r="C56" s="56" t="n">
        <v>220400</v>
      </c>
      <c r="D56" s="29" t="s">
        <v>41</v>
      </c>
      <c r="E56" s="33" t="n">
        <f aca="false">IF(D56="totale",(C56/(A56*24))/F56,IF(D56="marché libre",(C56/(A56*24))/G56,"spécifier histo"))</f>
        <v>0.218650793650794</v>
      </c>
      <c r="F56" s="9" t="n">
        <v>1400</v>
      </c>
      <c r="G56" s="28" t="n">
        <f aca="false">F56-H56</f>
        <v>1400</v>
      </c>
      <c r="H56" s="9" t="n">
        <v>0</v>
      </c>
      <c r="J56" s="0"/>
      <c r="K56" s="0"/>
      <c r="L56" s="0"/>
      <c r="M56" s="489" t="n">
        <v>174400</v>
      </c>
      <c r="N56" s="489" t="n">
        <v>528800</v>
      </c>
      <c r="O56" s="489" t="n">
        <v>144000</v>
      </c>
      <c r="P56" s="489" t="n">
        <v>728000</v>
      </c>
      <c r="Q56" s="489" t="n">
        <v>392400</v>
      </c>
      <c r="R56" s="0"/>
      <c r="S56" s="489" t="n">
        <v>418000</v>
      </c>
      <c r="T56" s="0"/>
      <c r="U56" s="0"/>
      <c r="V56" s="0"/>
    </row>
    <row r="57" customFormat="false" ht="19.85" hidden="false" customHeight="true" outlineLevel="0" collapsed="false">
      <c r="A57" s="1" t="n">
        <v>31</v>
      </c>
      <c r="B57" s="34" t="n">
        <v>38687</v>
      </c>
      <c r="C57" s="56" t="n">
        <v>283600</v>
      </c>
      <c r="D57" s="29" t="s">
        <v>41</v>
      </c>
      <c r="E57" s="33" t="n">
        <f aca="false">IF(D57="totale",(C57/(A57*24))/F57,IF(D57="marché libre",(C57/(A57*24))/G57,"spécifier histo"))</f>
        <v>0.272273425499232</v>
      </c>
      <c r="F57" s="9" t="n">
        <v>1400</v>
      </c>
      <c r="G57" s="28" t="n">
        <f aca="false">F57-H57</f>
        <v>1400</v>
      </c>
      <c r="H57" s="9" t="n">
        <v>0</v>
      </c>
      <c r="J57" s="0"/>
      <c r="K57" s="0"/>
      <c r="L57" s="0"/>
      <c r="M57" s="489" t="n">
        <v>30400</v>
      </c>
      <c r="N57" s="489" t="n">
        <v>18400</v>
      </c>
      <c r="O57" s="489" t="n">
        <v>419600</v>
      </c>
      <c r="P57" s="489" t="n">
        <v>532000</v>
      </c>
      <c r="Q57" s="489" t="n">
        <v>95600</v>
      </c>
      <c r="R57" s="0"/>
      <c r="S57" s="489" t="n">
        <v>143600</v>
      </c>
      <c r="T57" s="0"/>
      <c r="U57" s="0"/>
      <c r="V57" s="0"/>
    </row>
    <row r="58" customFormat="false" ht="19.85" hidden="false" customHeight="true" outlineLevel="0" collapsed="false">
      <c r="A58" s="1" t="n">
        <v>31</v>
      </c>
      <c r="B58" s="31" t="n">
        <v>38718</v>
      </c>
      <c r="C58" s="56" t="n">
        <v>271200</v>
      </c>
      <c r="D58" s="29" t="s">
        <v>41</v>
      </c>
      <c r="E58" s="33" t="n">
        <f aca="false">IF(D58="totale",(C58/(A58*24))/F58,IF(D58="marché libre",(C58/(A58*24))/G58,"spécifier histo"))</f>
        <v>0.26036866359447</v>
      </c>
      <c r="F58" s="9" t="n">
        <v>1400</v>
      </c>
      <c r="G58" s="28" t="n">
        <f aca="false">F58-H58</f>
        <v>1400</v>
      </c>
      <c r="H58" s="9" t="n">
        <v>0</v>
      </c>
      <c r="J58" s="0"/>
      <c r="K58" s="0"/>
      <c r="L58" s="0"/>
      <c r="M58" s="489" t="n">
        <v>0</v>
      </c>
      <c r="N58" s="489" t="n">
        <v>0</v>
      </c>
      <c r="O58" s="489" t="n">
        <v>165600</v>
      </c>
      <c r="P58" s="489" t="n">
        <v>93200</v>
      </c>
      <c r="Q58" s="489" t="n">
        <v>0</v>
      </c>
      <c r="R58" s="0"/>
      <c r="S58" s="489" t="n">
        <v>0</v>
      </c>
      <c r="T58" s="0"/>
      <c r="U58" s="0"/>
      <c r="V58" s="0"/>
    </row>
    <row r="59" customFormat="false" ht="19.85" hidden="false" customHeight="true" outlineLevel="0" collapsed="false">
      <c r="A59" s="1" t="n">
        <v>28</v>
      </c>
      <c r="B59" s="34" t="n">
        <v>38749</v>
      </c>
      <c r="C59" s="56" t="n">
        <v>482400</v>
      </c>
      <c r="D59" s="29" t="s">
        <v>41</v>
      </c>
      <c r="E59" s="33" t="n">
        <f aca="false">IF(D59="totale",(C59/(A59*24))/F59,IF(D59="marché libre",(C59/(A59*24))/G59,"spécifier histo"))</f>
        <v>0.512755102040816</v>
      </c>
      <c r="F59" s="9" t="n">
        <v>1400</v>
      </c>
      <c r="G59" s="28" t="n">
        <f aca="false">F59-H59</f>
        <v>1400</v>
      </c>
      <c r="H59" s="9" t="n">
        <v>0</v>
      </c>
      <c r="J59" s="0"/>
      <c r="K59" s="0"/>
      <c r="L59" s="0"/>
      <c r="M59" s="489" t="n">
        <v>0</v>
      </c>
      <c r="N59" s="489" t="n">
        <v>0</v>
      </c>
      <c r="O59" s="489" t="n">
        <v>78000</v>
      </c>
      <c r="P59" s="489" t="n">
        <v>0</v>
      </c>
      <c r="Q59" s="489" t="n">
        <v>0</v>
      </c>
      <c r="R59" s="0"/>
      <c r="S59" s="489" t="n">
        <v>80</v>
      </c>
      <c r="T59" s="0"/>
      <c r="U59" s="0"/>
      <c r="V59" s="0"/>
    </row>
    <row r="60" customFormat="false" ht="19.85" hidden="false" customHeight="true" outlineLevel="0" collapsed="false">
      <c r="A60" s="1" t="n">
        <v>31</v>
      </c>
      <c r="B60" s="31" t="n">
        <v>38777</v>
      </c>
      <c r="C60" s="56" t="n">
        <v>708400</v>
      </c>
      <c r="D60" s="29" t="s">
        <v>41</v>
      </c>
      <c r="E60" s="33" t="n">
        <f aca="false">IF(D60="totale",(C60/(A60*24))/F60,IF(D60="marché libre",(C60/(A60*24))/G60,"spécifier histo"))</f>
        <v>0.68010752688172</v>
      </c>
      <c r="F60" s="9" t="n">
        <v>1400</v>
      </c>
      <c r="G60" s="28" t="n">
        <f aca="false">F60-H60</f>
        <v>1400</v>
      </c>
      <c r="H60" s="9" t="n">
        <v>0</v>
      </c>
      <c r="J60" s="0"/>
      <c r="K60" s="0"/>
      <c r="L60" s="0"/>
      <c r="M60" s="489" t="n">
        <v>7200</v>
      </c>
      <c r="N60" s="489" t="n">
        <v>50000</v>
      </c>
      <c r="O60" s="489" t="n">
        <v>4000</v>
      </c>
      <c r="P60" s="489" t="n">
        <v>0</v>
      </c>
      <c r="Q60" s="489" t="n">
        <v>0</v>
      </c>
      <c r="R60" s="0"/>
      <c r="S60" s="489" t="n">
        <v>0</v>
      </c>
      <c r="T60" s="0"/>
      <c r="U60" s="0"/>
      <c r="V60" s="0"/>
    </row>
    <row r="61" customFormat="false" ht="19.85" hidden="false" customHeight="true" outlineLevel="0" collapsed="false">
      <c r="A61" s="1" t="n">
        <v>30</v>
      </c>
      <c r="B61" s="34" t="n">
        <v>38808</v>
      </c>
      <c r="C61" s="56" t="n">
        <v>708400</v>
      </c>
      <c r="D61" s="29" t="s">
        <v>41</v>
      </c>
      <c r="E61" s="33" t="n">
        <f aca="false">IF(D61="totale",(C61/(A61*24))/F61,IF(D61="marché libre",(C61/(A61*24))/G61,"spécifier histo"))</f>
        <v>0.702777777777778</v>
      </c>
      <c r="F61" s="9" t="n">
        <v>1400</v>
      </c>
      <c r="G61" s="28" t="n">
        <f aca="false">F61-H61</f>
        <v>1400</v>
      </c>
      <c r="H61" s="9" t="n">
        <v>0</v>
      </c>
      <c r="J61" s="0"/>
      <c r="K61" s="0"/>
      <c r="L61" s="0"/>
      <c r="M61" s="489" t="n">
        <v>22800</v>
      </c>
      <c r="N61" s="489" t="n">
        <v>140000</v>
      </c>
      <c r="O61" s="489" t="n">
        <v>9600</v>
      </c>
      <c r="P61" s="489" t="n">
        <v>9600</v>
      </c>
      <c r="Q61" s="489" t="n">
        <v>8400</v>
      </c>
      <c r="R61" s="0"/>
      <c r="S61" s="489" t="n">
        <v>84400</v>
      </c>
      <c r="T61" s="0"/>
      <c r="U61" s="0"/>
      <c r="V61" s="0"/>
    </row>
    <row r="62" customFormat="false" ht="19.85" hidden="false" customHeight="true" outlineLevel="0" collapsed="false">
      <c r="A62" s="1" t="n">
        <v>31</v>
      </c>
      <c r="B62" s="31" t="n">
        <v>38838</v>
      </c>
      <c r="C62" s="56" t="n">
        <v>528800</v>
      </c>
      <c r="D62" s="29" t="s">
        <v>41</v>
      </c>
      <c r="E62" s="33" t="n">
        <f aca="false">IF(D62="totale",(C62/(A62*24))/F62,IF(D62="marché libre",(C62/(A62*24))/G62,"spécifier histo"))</f>
        <v>0.507680491551459</v>
      </c>
      <c r="F62" s="9" t="n">
        <v>1400</v>
      </c>
      <c r="G62" s="28" t="n">
        <f aca="false">F62-H62</f>
        <v>1400</v>
      </c>
      <c r="H62" s="9" t="n">
        <v>0</v>
      </c>
      <c r="J62" s="0"/>
      <c r="K62" s="0"/>
      <c r="L62" s="0"/>
      <c r="M62" s="489" t="n">
        <v>220400</v>
      </c>
      <c r="N62" s="489" t="n">
        <v>116400</v>
      </c>
      <c r="O62" s="489" t="n">
        <v>38000</v>
      </c>
      <c r="P62" s="489" t="n">
        <v>403600</v>
      </c>
      <c r="Q62" s="489" t="n">
        <v>138800</v>
      </c>
      <c r="R62" s="0"/>
      <c r="S62" s="489" t="n">
        <v>598800</v>
      </c>
      <c r="T62" s="0"/>
      <c r="U62" s="0"/>
      <c r="V62" s="0"/>
    </row>
    <row r="63" customFormat="false" ht="19.85" hidden="false" customHeight="true" outlineLevel="0" collapsed="false">
      <c r="A63" s="1" t="n">
        <v>30</v>
      </c>
      <c r="B63" s="34" t="n">
        <v>38869</v>
      </c>
      <c r="C63" s="56" t="n">
        <v>18400</v>
      </c>
      <c r="D63" s="29" t="s">
        <v>41</v>
      </c>
      <c r="E63" s="33" t="n">
        <f aca="false">IF(D63="totale",(C63/(A63*24))/F63,IF(D63="marché libre",(C63/(A63*24))/G63,"spécifier histo"))</f>
        <v>0.0182539682539683</v>
      </c>
      <c r="F63" s="9" t="n">
        <v>1400</v>
      </c>
      <c r="G63" s="28" t="n">
        <f aca="false">F63-H63</f>
        <v>1400</v>
      </c>
      <c r="H63" s="9" t="n">
        <v>0</v>
      </c>
      <c r="J63" s="0"/>
      <c r="K63" s="0"/>
      <c r="L63" s="0"/>
      <c r="M63" s="489" t="n">
        <v>283600</v>
      </c>
      <c r="N63" s="489" t="n">
        <v>249200</v>
      </c>
      <c r="O63" s="489" t="n">
        <v>285600</v>
      </c>
      <c r="P63" s="489" t="n">
        <v>556800</v>
      </c>
      <c r="Q63" s="489" t="n">
        <v>178000</v>
      </c>
      <c r="R63" s="0"/>
      <c r="S63" s="489" t="n">
        <v>671200</v>
      </c>
      <c r="T63" s="0"/>
      <c r="U63" s="0"/>
      <c r="V63" s="0"/>
    </row>
    <row r="64" customFormat="false" ht="19.85" hidden="false" customHeight="true" outlineLevel="0" collapsed="false">
      <c r="A64" s="1" t="n">
        <v>31</v>
      </c>
      <c r="B64" s="31" t="n">
        <v>38899</v>
      </c>
      <c r="C64" s="56" t="n">
        <v>0</v>
      </c>
      <c r="D64" s="29" t="s">
        <v>41</v>
      </c>
      <c r="E64" s="33" t="n">
        <f aca="false">IF(D64="totale",(C64/(A64*24))/F64,IF(D64="marché libre",(C64/(A64*24))/G64,"spécifier histo"))</f>
        <v>0</v>
      </c>
      <c r="F64" s="9" t="n">
        <v>1400</v>
      </c>
      <c r="G64" s="28" t="n">
        <f aca="false">F64-H64</f>
        <v>1400</v>
      </c>
      <c r="H64" s="9" t="n">
        <v>0</v>
      </c>
      <c r="J64" s="0"/>
    </row>
    <row r="65" customFormat="false" ht="19.85" hidden="false" customHeight="true" outlineLevel="0" collapsed="false">
      <c r="A65" s="1" t="n">
        <v>31</v>
      </c>
      <c r="B65" s="34" t="n">
        <v>38930</v>
      </c>
      <c r="C65" s="56" t="n">
        <v>0</v>
      </c>
      <c r="D65" s="29" t="s">
        <v>41</v>
      </c>
      <c r="E65" s="33" t="n">
        <f aca="false">IF(D65="totale",(C65/(A65*24))/F65,IF(D65="marché libre",(C65/(A65*24))/G65,"spécifier histo"))</f>
        <v>0</v>
      </c>
      <c r="F65" s="9" t="n">
        <v>1400</v>
      </c>
      <c r="G65" s="28" t="n">
        <f aca="false">F65-H65</f>
        <v>1400</v>
      </c>
      <c r="H65" s="9" t="n">
        <v>0</v>
      </c>
      <c r="J65" s="0"/>
    </row>
    <row r="66" customFormat="false" ht="19.85" hidden="false" customHeight="true" outlineLevel="0" collapsed="false">
      <c r="A66" s="1" t="n">
        <v>30</v>
      </c>
      <c r="B66" s="31" t="n">
        <v>38961</v>
      </c>
      <c r="C66" s="56" t="n">
        <v>50000</v>
      </c>
      <c r="D66" s="29" t="s">
        <v>41</v>
      </c>
      <c r="E66" s="33" t="n">
        <f aca="false">IF(D66="totale",(C66/(A66*24))/F66,IF(D66="marché libre",(C66/(A66*24))/G66,"spécifier histo"))</f>
        <v>0.0496031746031746</v>
      </c>
      <c r="F66" s="9" t="n">
        <v>1400</v>
      </c>
      <c r="G66" s="28" t="n">
        <f aca="false">F66-H66</f>
        <v>1400</v>
      </c>
      <c r="H66" s="9" t="n">
        <v>0</v>
      </c>
      <c r="J66" s="0"/>
    </row>
    <row r="67" customFormat="false" ht="19.85" hidden="false" customHeight="true" outlineLevel="0" collapsed="false">
      <c r="A67" s="1" t="n">
        <v>31</v>
      </c>
      <c r="B67" s="34" t="n">
        <v>38991</v>
      </c>
      <c r="C67" s="56" t="n">
        <v>140000</v>
      </c>
      <c r="D67" s="29" t="s">
        <v>41</v>
      </c>
      <c r="E67" s="33" t="n">
        <f aca="false">IF(D67="totale",(C67/(A67*24))/F67,IF(D67="marché libre",(C67/(A67*24))/G67,"spécifier histo"))</f>
        <v>0.134408602150538</v>
      </c>
      <c r="F67" s="9" t="n">
        <v>1400</v>
      </c>
      <c r="G67" s="28" t="n">
        <f aca="false">F67-H67</f>
        <v>1400</v>
      </c>
      <c r="H67" s="9" t="n">
        <v>0</v>
      </c>
      <c r="J67" s="0"/>
    </row>
    <row r="68" customFormat="false" ht="19.85" hidden="false" customHeight="true" outlineLevel="0" collapsed="false">
      <c r="A68" s="1" t="n">
        <v>30</v>
      </c>
      <c r="B68" s="31" t="n">
        <v>39022</v>
      </c>
      <c r="C68" s="56" t="n">
        <v>116400</v>
      </c>
      <c r="D68" s="29" t="s">
        <v>41</v>
      </c>
      <c r="E68" s="33" t="n">
        <f aca="false">IF(D68="totale",(C68/(A68*24))/F68,IF(D68="marché libre",(C68/(A68*24))/G68,"spécifier histo"))</f>
        <v>0.11547619047619</v>
      </c>
      <c r="F68" s="9" t="n">
        <v>1400</v>
      </c>
      <c r="G68" s="28" t="n">
        <f aca="false">F68-H68</f>
        <v>1400</v>
      </c>
      <c r="H68" s="9" t="n">
        <v>0</v>
      </c>
      <c r="J68" s="0"/>
    </row>
    <row r="69" customFormat="false" ht="19.85" hidden="false" customHeight="true" outlineLevel="0" collapsed="false">
      <c r="A69" s="1" t="n">
        <v>31</v>
      </c>
      <c r="B69" s="34" t="n">
        <v>39052</v>
      </c>
      <c r="C69" s="56" t="n">
        <v>249200</v>
      </c>
      <c r="D69" s="29" t="s">
        <v>41</v>
      </c>
      <c r="E69" s="33" t="n">
        <f aca="false">IF(D69="totale",(C69/(A69*24))/F69,IF(D69="marché libre",(C69/(A69*24))/G69,"spécifier histo"))</f>
        <v>0.239247311827957</v>
      </c>
      <c r="F69" s="9" t="n">
        <v>1400</v>
      </c>
      <c r="G69" s="28" t="n">
        <f aca="false">F69-H69</f>
        <v>1400</v>
      </c>
      <c r="H69" s="9" t="n">
        <v>0</v>
      </c>
      <c r="J69" s="0"/>
    </row>
    <row r="70" customFormat="false" ht="19.85" hidden="false" customHeight="true" outlineLevel="0" collapsed="false">
      <c r="A70" s="1" t="n">
        <v>31</v>
      </c>
      <c r="B70" s="31" t="n">
        <v>39083</v>
      </c>
      <c r="C70" s="56" t="n">
        <v>272000</v>
      </c>
      <c r="D70" s="29" t="s">
        <v>41</v>
      </c>
      <c r="E70" s="33" t="n">
        <f aca="false">IF(D70="totale",(C70/(A70*24))/F70,IF(D70="marché libre",(C70/(A70*24))/G70,"spécifier histo"))</f>
        <v>0.261136712749616</v>
      </c>
      <c r="F70" s="9" t="n">
        <v>1400</v>
      </c>
      <c r="G70" s="28" t="n">
        <f aca="false">F70-H70</f>
        <v>1400</v>
      </c>
      <c r="H70" s="9" t="n">
        <v>0</v>
      </c>
      <c r="J70" s="0"/>
    </row>
    <row r="71" customFormat="false" ht="19.85" hidden="false" customHeight="true" outlineLevel="0" collapsed="false">
      <c r="A71" s="1" t="n">
        <v>28</v>
      </c>
      <c r="B71" s="34" t="n">
        <v>39114</v>
      </c>
      <c r="C71" s="56" t="n">
        <v>489200</v>
      </c>
      <c r="D71" s="29" t="s">
        <v>41</v>
      </c>
      <c r="E71" s="33" t="n">
        <f aca="false">IF(D71="totale",(C71/(A71*24))/F71,IF(D71="marché libre",(C71/(A71*24))/G71,"spécifier histo"))</f>
        <v>0.519982993197279</v>
      </c>
      <c r="F71" s="9" t="n">
        <v>1400</v>
      </c>
      <c r="G71" s="28" t="n">
        <f aca="false">F71-H71</f>
        <v>1400</v>
      </c>
      <c r="H71" s="9" t="n">
        <v>0</v>
      </c>
      <c r="J71" s="0"/>
    </row>
    <row r="72" customFormat="false" ht="19.85" hidden="false" customHeight="true" outlineLevel="0" collapsed="false">
      <c r="A72" s="1" t="n">
        <v>31</v>
      </c>
      <c r="B72" s="31" t="n">
        <v>39142</v>
      </c>
      <c r="C72" s="56" t="n">
        <v>540400</v>
      </c>
      <c r="D72" s="29" t="s">
        <v>41</v>
      </c>
      <c r="E72" s="33" t="n">
        <f aca="false">IF(D72="totale",(C72/(A72*24))/F72,IF(D72="marché libre",(C72/(A72*24))/G72,"spécifier histo"))</f>
        <v>0.518817204301075</v>
      </c>
      <c r="F72" s="9" t="n">
        <v>1400</v>
      </c>
      <c r="G72" s="28" t="n">
        <f aca="false">F72-H72</f>
        <v>1400</v>
      </c>
      <c r="H72" s="9" t="n">
        <v>0</v>
      </c>
      <c r="J72" s="0"/>
    </row>
    <row r="73" customFormat="false" ht="19.85" hidden="false" customHeight="true" outlineLevel="0" collapsed="false">
      <c r="A73" s="1" t="n">
        <v>30</v>
      </c>
      <c r="B73" s="34" t="n">
        <v>39173</v>
      </c>
      <c r="C73" s="56" t="n">
        <v>164400</v>
      </c>
      <c r="D73" s="29" t="s">
        <v>41</v>
      </c>
      <c r="E73" s="33" t="n">
        <f aca="false">IF(D73="totale",(C73/(A73*24))/F73,IF(D73="marché libre",(C73/(A73*24))/G73,"spécifier histo"))</f>
        <v>0.163095238095238</v>
      </c>
      <c r="F73" s="9" t="n">
        <v>1400</v>
      </c>
      <c r="G73" s="28" t="n">
        <f aca="false">F73-H73</f>
        <v>1400</v>
      </c>
      <c r="H73" s="9" t="n">
        <v>0</v>
      </c>
      <c r="J73" s="0"/>
    </row>
    <row r="74" customFormat="false" ht="19.85" hidden="false" customHeight="true" outlineLevel="0" collapsed="false">
      <c r="A74" s="1" t="n">
        <v>31</v>
      </c>
      <c r="B74" s="31" t="n">
        <v>39203</v>
      </c>
      <c r="C74" s="56" t="n">
        <v>144000</v>
      </c>
      <c r="D74" s="29" t="s">
        <v>41</v>
      </c>
      <c r="E74" s="33" t="n">
        <f aca="false">IF(D74="totale",(C74/(A74*24))/F74,IF(D74="marché libre",(C74/(A74*24))/G74,"spécifier histo"))</f>
        <v>0.138248847926267</v>
      </c>
      <c r="F74" s="9" t="n">
        <v>1400</v>
      </c>
      <c r="G74" s="28" t="n">
        <f aca="false">F74-H74</f>
        <v>1400</v>
      </c>
      <c r="H74" s="9" t="n">
        <v>0</v>
      </c>
      <c r="J74" s="0"/>
    </row>
    <row r="75" customFormat="false" ht="19.85" hidden="false" customHeight="true" outlineLevel="0" collapsed="false">
      <c r="A75" s="1" t="n">
        <v>30</v>
      </c>
      <c r="B75" s="34" t="n">
        <v>39234</v>
      </c>
      <c r="C75" s="56" t="n">
        <v>419600</v>
      </c>
      <c r="D75" s="29" t="s">
        <v>41</v>
      </c>
      <c r="E75" s="33" t="n">
        <f aca="false">IF(D75="totale",(C75/(A75*24))/F75,IF(D75="marché libre",(C75/(A75*24))/G75,"spécifier histo"))</f>
        <v>0.416269841269841</v>
      </c>
      <c r="F75" s="9" t="n">
        <v>1400</v>
      </c>
      <c r="G75" s="28" t="n">
        <f aca="false">F75-H75</f>
        <v>1400</v>
      </c>
      <c r="H75" s="9" t="n">
        <v>0</v>
      </c>
      <c r="J75" s="0"/>
    </row>
    <row r="76" customFormat="false" ht="19.85" hidden="false" customHeight="true" outlineLevel="0" collapsed="false">
      <c r="A76" s="1" t="n">
        <v>31</v>
      </c>
      <c r="B76" s="31" t="n">
        <v>39264</v>
      </c>
      <c r="C76" s="56" t="n">
        <v>165600</v>
      </c>
      <c r="D76" s="29" t="s">
        <v>41</v>
      </c>
      <c r="E76" s="33" t="n">
        <f aca="false">IF(D76="totale",(C76/(A76*24))/F76,IF(D76="marché libre",(C76/(A76*24))/G76,"spécifier histo"))</f>
        <v>0.158986175115207</v>
      </c>
      <c r="F76" s="9" t="n">
        <v>1400</v>
      </c>
      <c r="G76" s="28" t="n">
        <f aca="false">F76-H76</f>
        <v>1400</v>
      </c>
      <c r="H76" s="9" t="n">
        <v>0</v>
      </c>
      <c r="J76" s="0"/>
    </row>
    <row r="77" customFormat="false" ht="19.85" hidden="false" customHeight="true" outlineLevel="0" collapsed="false">
      <c r="A77" s="1" t="n">
        <v>31</v>
      </c>
      <c r="B77" s="34" t="n">
        <v>39295</v>
      </c>
      <c r="C77" s="56" t="n">
        <v>78000</v>
      </c>
      <c r="D77" s="29" t="s">
        <v>41</v>
      </c>
      <c r="E77" s="33" t="n">
        <f aca="false">IF(D77="totale",(C77/(A77*24))/F77,IF(D77="marché libre",(C77/(A77*24))/G77,"spécifier histo"))</f>
        <v>0.0748847926267281</v>
      </c>
      <c r="F77" s="9" t="n">
        <v>1400</v>
      </c>
      <c r="G77" s="28" t="n">
        <f aca="false">F77-H77</f>
        <v>1400</v>
      </c>
      <c r="H77" s="9" t="n">
        <v>0</v>
      </c>
      <c r="J77" s="0"/>
    </row>
    <row r="78" customFormat="false" ht="19.85" hidden="false" customHeight="true" outlineLevel="0" collapsed="false">
      <c r="A78" s="1" t="n">
        <v>30</v>
      </c>
      <c r="B78" s="31" t="n">
        <v>39326</v>
      </c>
      <c r="C78" s="56" t="n">
        <v>4000</v>
      </c>
      <c r="D78" s="29" t="s">
        <v>41</v>
      </c>
      <c r="E78" s="33" t="n">
        <f aca="false">IF(D78="totale",(C78/(A78*24))/F78,IF(D78="marché libre",(C78/(A78*24))/G78,"spécifier histo"))</f>
        <v>0.00396825396825397</v>
      </c>
      <c r="F78" s="9" t="n">
        <v>1400</v>
      </c>
      <c r="G78" s="28" t="n">
        <f aca="false">F78-H78</f>
        <v>1400</v>
      </c>
      <c r="H78" s="9" t="n">
        <v>0</v>
      </c>
      <c r="J78" s="0"/>
    </row>
    <row r="79" customFormat="false" ht="19.85" hidden="false" customHeight="true" outlineLevel="0" collapsed="false">
      <c r="A79" s="1" t="n">
        <v>31</v>
      </c>
      <c r="B79" s="34" t="n">
        <v>39356</v>
      </c>
      <c r="C79" s="56" t="n">
        <v>9600</v>
      </c>
      <c r="D79" s="29" t="s">
        <v>41</v>
      </c>
      <c r="E79" s="33" t="n">
        <f aca="false">IF(D79="totale",(C79/(A79*24))/F79,IF(D79="marché libre",(C79/(A79*24))/G79,"spécifier histo"))</f>
        <v>0.00921658986175115</v>
      </c>
      <c r="F79" s="9" t="n">
        <v>1400</v>
      </c>
      <c r="G79" s="28" t="n">
        <f aca="false">F79-H79</f>
        <v>1400</v>
      </c>
      <c r="H79" s="9" t="n">
        <v>0</v>
      </c>
      <c r="J79" s="0"/>
    </row>
    <row r="80" customFormat="false" ht="19.85" hidden="false" customHeight="true" outlineLevel="0" collapsed="false">
      <c r="A80" s="1" t="n">
        <v>30</v>
      </c>
      <c r="B80" s="31" t="n">
        <v>39387</v>
      </c>
      <c r="C80" s="56" t="n">
        <v>38000</v>
      </c>
      <c r="D80" s="29" t="s">
        <v>41</v>
      </c>
      <c r="E80" s="33" t="n">
        <f aca="false">IF(D80="totale",(C80/(A80*24))/F80,IF(D80="marché libre",(C80/(A80*24))/G80,"spécifier histo"))</f>
        <v>0.0376984126984127</v>
      </c>
      <c r="F80" s="9" t="n">
        <v>1400</v>
      </c>
      <c r="G80" s="28" t="n">
        <f aca="false">F80-H80</f>
        <v>1400</v>
      </c>
      <c r="H80" s="9" t="n">
        <v>0</v>
      </c>
      <c r="J80" s="0"/>
    </row>
    <row r="81" customFormat="false" ht="19.85" hidden="false" customHeight="true" outlineLevel="0" collapsed="false">
      <c r="A81" s="1" t="n">
        <v>31</v>
      </c>
      <c r="B81" s="34" t="n">
        <v>39417</v>
      </c>
      <c r="C81" s="56" t="n">
        <v>285600</v>
      </c>
      <c r="D81" s="29" t="s">
        <v>41</v>
      </c>
      <c r="E81" s="33" t="n">
        <f aca="false">IF(D81="totale",(C81/(A81*24))/F81,IF(D81="marché libre",(C81/(A81*24))/G81,"spécifier histo"))</f>
        <v>0.274193548387097</v>
      </c>
      <c r="F81" s="9" t="n">
        <v>1400</v>
      </c>
      <c r="G81" s="28" t="n">
        <f aca="false">F81-H81</f>
        <v>1400</v>
      </c>
      <c r="H81" s="9" t="n">
        <v>0</v>
      </c>
      <c r="J81" s="0"/>
    </row>
    <row r="82" customFormat="false" ht="19.85" hidden="false" customHeight="true" outlineLevel="0" collapsed="false">
      <c r="A82" s="1" t="n">
        <v>31</v>
      </c>
      <c r="B82" s="31" t="n">
        <v>39448</v>
      </c>
      <c r="C82" s="56" t="n">
        <v>532800</v>
      </c>
      <c r="D82" s="29" t="s">
        <v>41</v>
      </c>
      <c r="E82" s="33" t="n">
        <f aca="false">IF(D82="totale",(C82/(A82*24))/F82,IF(D82="marché libre",(C82/(A82*24))/G82,"spécifier histo"))</f>
        <v>0.511520737327189</v>
      </c>
      <c r="F82" s="9" t="n">
        <v>1400</v>
      </c>
      <c r="G82" s="28" t="n">
        <f aca="false">F82-H82</f>
        <v>1400</v>
      </c>
      <c r="H82" s="9" t="n">
        <v>0</v>
      </c>
      <c r="J82" s="0"/>
    </row>
    <row r="83" customFormat="false" ht="19.85" hidden="false" customHeight="true" outlineLevel="0" collapsed="false">
      <c r="A83" s="1" t="n">
        <v>28</v>
      </c>
      <c r="B83" s="34" t="n">
        <v>39479</v>
      </c>
      <c r="C83" s="56" t="n">
        <v>259600</v>
      </c>
      <c r="D83" s="29" t="s">
        <v>41</v>
      </c>
      <c r="E83" s="33" t="n">
        <f aca="false">IF(D83="totale",(C83/(A83*24))/F83,IF(D83="marché libre",(C83/(A83*24))/G83,"spécifier histo"))</f>
        <v>0.27593537414966</v>
      </c>
      <c r="F83" s="9" t="n">
        <v>1400</v>
      </c>
      <c r="G83" s="28" t="n">
        <f aca="false">F83-H83</f>
        <v>1400</v>
      </c>
      <c r="H83" s="9" t="n">
        <v>0</v>
      </c>
      <c r="J83" s="0"/>
    </row>
    <row r="84" customFormat="false" ht="19.85" hidden="false" customHeight="true" outlineLevel="0" collapsed="false">
      <c r="A84" s="1" t="n">
        <v>31</v>
      </c>
      <c r="B84" s="31" t="n">
        <v>39508</v>
      </c>
      <c r="C84" s="56" t="n">
        <v>540400</v>
      </c>
      <c r="D84" s="29" t="s">
        <v>41</v>
      </c>
      <c r="E84" s="33" t="n">
        <f aca="false">IF(D84="totale",(C84/(A84*24))/F84,IF(D84="marché libre",(C84/(A84*24))/G84,"spécifier histo"))</f>
        <v>0.518817204301075</v>
      </c>
      <c r="F84" s="9" t="n">
        <v>1400</v>
      </c>
      <c r="G84" s="28" t="n">
        <f aca="false">F84-H84</f>
        <v>1400</v>
      </c>
      <c r="H84" s="9" t="n">
        <v>0</v>
      </c>
      <c r="J84" s="0"/>
    </row>
    <row r="85" customFormat="false" ht="19.85" hidden="false" customHeight="true" outlineLevel="0" collapsed="false">
      <c r="A85" s="1" t="n">
        <v>30</v>
      </c>
      <c r="B85" s="34" t="n">
        <v>39539</v>
      </c>
      <c r="C85" s="56" t="n">
        <v>634000</v>
      </c>
      <c r="D85" s="29" t="s">
        <v>41</v>
      </c>
      <c r="E85" s="33" t="n">
        <f aca="false">IF(D85="totale",(C85/(A85*24))/F85,IF(D85="marché libre",(C85/(A85*24))/G85,"spécifier histo"))</f>
        <v>0.628968253968254</v>
      </c>
      <c r="F85" s="9" t="n">
        <v>1400</v>
      </c>
      <c r="G85" s="28" t="n">
        <f aca="false">F85-H85</f>
        <v>1400</v>
      </c>
      <c r="H85" s="9" t="n">
        <v>0</v>
      </c>
      <c r="J85" s="0"/>
    </row>
    <row r="86" customFormat="false" ht="19.85" hidden="false" customHeight="true" outlineLevel="0" collapsed="false">
      <c r="A86" s="1" t="n">
        <v>31</v>
      </c>
      <c r="B86" s="31" t="n">
        <v>39569</v>
      </c>
      <c r="C86" s="56" t="n">
        <v>728000</v>
      </c>
      <c r="D86" s="29" t="s">
        <v>41</v>
      </c>
      <c r="E86" s="33" t="n">
        <f aca="false">IF(D86="totale",(C86/(A86*24))/F86,IF(D86="marché libre",(C86/(A86*24))/G86,"spécifier histo"))</f>
        <v>0.698924731182796</v>
      </c>
      <c r="F86" s="9" t="n">
        <v>1400</v>
      </c>
      <c r="G86" s="28" t="n">
        <f aca="false">F86-H86</f>
        <v>1400</v>
      </c>
      <c r="H86" s="9" t="n">
        <v>0</v>
      </c>
      <c r="J86" s="0"/>
    </row>
    <row r="87" customFormat="false" ht="19.85" hidden="false" customHeight="true" outlineLevel="0" collapsed="false">
      <c r="A87" s="1" t="n">
        <v>30</v>
      </c>
      <c r="B87" s="34" t="n">
        <v>39600</v>
      </c>
      <c r="C87" s="56" t="n">
        <v>532000</v>
      </c>
      <c r="D87" s="29" t="s">
        <v>41</v>
      </c>
      <c r="E87" s="33" t="n">
        <f aca="false">IF(D87="totale",(C87/(A87*24))/F87,IF(D87="marché libre",(C87/(A87*24))/G87,"spécifier histo"))</f>
        <v>0.527777777777778</v>
      </c>
      <c r="F87" s="9" t="n">
        <v>1400</v>
      </c>
      <c r="G87" s="28" t="n">
        <f aca="false">F87-H87</f>
        <v>1400</v>
      </c>
      <c r="H87" s="9" t="n">
        <v>0</v>
      </c>
      <c r="J87" s="0"/>
    </row>
    <row r="88" customFormat="false" ht="19.85" hidden="false" customHeight="true" outlineLevel="0" collapsed="false">
      <c r="A88" s="1" t="n">
        <v>31</v>
      </c>
      <c r="B88" s="31" t="n">
        <v>39630</v>
      </c>
      <c r="C88" s="56" t="n">
        <v>93200</v>
      </c>
      <c r="D88" s="29" t="s">
        <v>41</v>
      </c>
      <c r="E88" s="33" t="n">
        <f aca="false">IF(D88="totale",(C88/(A88*24))/F88,IF(D88="marché libre",(C88/(A88*24))/G88,"spécifier histo"))</f>
        <v>0.0894777265745008</v>
      </c>
      <c r="F88" s="9" t="n">
        <v>1400</v>
      </c>
      <c r="G88" s="28" t="n">
        <f aca="false">F88-H88</f>
        <v>1400</v>
      </c>
      <c r="H88" s="9" t="n">
        <v>0</v>
      </c>
      <c r="J88" s="55"/>
    </row>
    <row r="89" customFormat="false" ht="19.85" hidden="false" customHeight="true" outlineLevel="0" collapsed="false">
      <c r="A89" s="1" t="n">
        <v>31</v>
      </c>
      <c r="B89" s="34" t="n">
        <v>39661</v>
      </c>
      <c r="C89" s="56" t="n">
        <v>0</v>
      </c>
      <c r="D89" s="29" t="s">
        <v>41</v>
      </c>
      <c r="E89" s="33" t="n">
        <f aca="false">IF(D89="totale",(C89/(A89*24))/F89,IF(D89="marché libre",(C89/(A89*24))/G89,"spécifier histo"))</f>
        <v>0</v>
      </c>
      <c r="F89" s="9" t="n">
        <v>1400</v>
      </c>
      <c r="G89" s="28" t="n">
        <f aca="false">F89-H89</f>
        <v>1400</v>
      </c>
      <c r="H89" s="9" t="n">
        <v>0</v>
      </c>
      <c r="J89" s="55"/>
    </row>
    <row r="90" customFormat="false" ht="19.85" hidden="false" customHeight="true" outlineLevel="0" collapsed="false">
      <c r="A90" s="1" t="n">
        <v>30</v>
      </c>
      <c r="B90" s="31" t="n">
        <v>39692</v>
      </c>
      <c r="C90" s="56" t="n">
        <v>0</v>
      </c>
      <c r="D90" s="29" t="s">
        <v>41</v>
      </c>
      <c r="E90" s="33" t="n">
        <f aca="false">IF(D90="totale",(C90/(A90*24))/F90,IF(D90="marché libre",(C90/(A90*24))/G90,"spécifier histo"))</f>
        <v>0</v>
      </c>
      <c r="F90" s="9" t="n">
        <v>1400</v>
      </c>
      <c r="G90" s="28" t="n">
        <f aca="false">F90-H90</f>
        <v>1400</v>
      </c>
      <c r="H90" s="9" t="n">
        <v>0</v>
      </c>
      <c r="J90" s="55"/>
    </row>
    <row r="91" customFormat="false" ht="19.85" hidden="false" customHeight="true" outlineLevel="0" collapsed="false">
      <c r="A91" s="1" t="n">
        <v>31</v>
      </c>
      <c r="B91" s="34" t="n">
        <v>39722</v>
      </c>
      <c r="C91" s="56" t="n">
        <v>9600</v>
      </c>
      <c r="D91" s="29" t="s">
        <v>41</v>
      </c>
      <c r="E91" s="33" t="n">
        <f aca="false">IF(D91="totale",(C91/(A91*24))/F91,IF(D91="marché libre",(C91/(A91*24))/G91,"spécifier histo"))</f>
        <v>0.00921658986175115</v>
      </c>
      <c r="F91" s="9" t="n">
        <v>1400</v>
      </c>
      <c r="G91" s="28" t="n">
        <f aca="false">F91-H91</f>
        <v>1400</v>
      </c>
      <c r="H91" s="9" t="n">
        <v>0</v>
      </c>
      <c r="J91" s="55"/>
    </row>
    <row r="92" customFormat="false" ht="19.85" hidden="false" customHeight="true" outlineLevel="0" collapsed="false">
      <c r="A92" s="1" t="n">
        <v>30</v>
      </c>
      <c r="B92" s="31" t="n">
        <v>39753</v>
      </c>
      <c r="C92" s="56" t="n">
        <v>403600</v>
      </c>
      <c r="D92" s="29" t="s">
        <v>41</v>
      </c>
      <c r="E92" s="33" t="n">
        <f aca="false">IF(D92="totale",(C92/(A92*24))/F92,IF(D92="marché libre",(C92/(A92*24))/G92,"spécifier histo"))</f>
        <v>0.400396825396825</v>
      </c>
      <c r="F92" s="9" t="n">
        <v>1400</v>
      </c>
      <c r="G92" s="28" t="n">
        <f aca="false">F92-H92</f>
        <v>1400</v>
      </c>
      <c r="H92" s="9" t="n">
        <v>0</v>
      </c>
      <c r="J92" s="55"/>
    </row>
    <row r="93" customFormat="false" ht="19.85" hidden="false" customHeight="true" outlineLevel="0" collapsed="false">
      <c r="A93" s="1" t="n">
        <v>31</v>
      </c>
      <c r="B93" s="34" t="n">
        <v>39783</v>
      </c>
      <c r="C93" s="56" t="n">
        <v>556800</v>
      </c>
      <c r="D93" s="29" t="s">
        <v>41</v>
      </c>
      <c r="E93" s="33" t="n">
        <f aca="false">IF(D93="totale",(C93/(A93*24))/F93,IF(D93="marché libre",(C93/(A93*24))/G93,"spécifier histo"))</f>
        <v>0.534562211981567</v>
      </c>
      <c r="F93" s="9" t="n">
        <v>1400</v>
      </c>
      <c r="G93" s="28" t="n">
        <f aca="false">F93-H93</f>
        <v>1400</v>
      </c>
      <c r="H93" s="9" t="n">
        <v>0</v>
      </c>
      <c r="J93" s="55"/>
    </row>
    <row r="94" customFormat="false" ht="19.85" hidden="false" customHeight="true" outlineLevel="0" collapsed="false">
      <c r="A94" s="1" t="n">
        <v>31</v>
      </c>
      <c r="B94" s="31" t="n">
        <v>39814</v>
      </c>
      <c r="C94" s="56" t="n">
        <v>504800</v>
      </c>
      <c r="D94" s="29" t="s">
        <v>41</v>
      </c>
      <c r="E94" s="33" t="n">
        <f aca="false">IF(D94="totale",(C94/(A94*24))/F94,IF(D94="marché libre",(C94/(A94*24))/G94,"spécifier histo"))</f>
        <v>0.484639016897081</v>
      </c>
      <c r="F94" s="9" t="n">
        <v>1400</v>
      </c>
      <c r="G94" s="28" t="n">
        <f aca="false">F94-H94</f>
        <v>1400</v>
      </c>
      <c r="H94" s="9" t="n">
        <v>0</v>
      </c>
      <c r="J94" s="55"/>
    </row>
    <row r="95" customFormat="false" ht="19.85" hidden="false" customHeight="true" outlineLevel="0" collapsed="false">
      <c r="A95" s="1" t="n">
        <v>28</v>
      </c>
      <c r="B95" s="34" t="n">
        <v>39845</v>
      </c>
      <c r="C95" s="56" t="n">
        <v>584400</v>
      </c>
      <c r="D95" s="29" t="s">
        <v>41</v>
      </c>
      <c r="E95" s="33" t="n">
        <f aca="false">IF(D95="totale",(C95/(A95*24))/F95,IF(D95="marché libre",(C95/(A95*24))/G95,"spécifier histo"))</f>
        <v>0.621173469387755</v>
      </c>
      <c r="F95" s="9" t="n">
        <v>1400</v>
      </c>
      <c r="G95" s="28" t="n">
        <f aca="false">F95-H95</f>
        <v>1400</v>
      </c>
      <c r="H95" s="9" t="n">
        <v>0</v>
      </c>
      <c r="J95" s="55"/>
    </row>
    <row r="96" customFormat="false" ht="19.85" hidden="false" customHeight="true" outlineLevel="0" collapsed="false">
      <c r="A96" s="1" t="n">
        <v>31</v>
      </c>
      <c r="B96" s="31" t="n">
        <v>39873</v>
      </c>
      <c r="C96" s="56" t="n">
        <v>445600</v>
      </c>
      <c r="D96" s="29" t="s">
        <v>41</v>
      </c>
      <c r="E96" s="33" t="n">
        <f aca="false">IF(D96="totale",(C96/(A96*24))/F96,IF(D96="marché libre",(C96/(A96*24))/G96,"spécifier histo"))</f>
        <v>0.427803379416283</v>
      </c>
      <c r="F96" s="9" t="n">
        <v>1400</v>
      </c>
      <c r="G96" s="28" t="n">
        <f aca="false">F96-H96</f>
        <v>1400</v>
      </c>
      <c r="H96" s="9" t="n">
        <v>0</v>
      </c>
      <c r="J96" s="55"/>
    </row>
    <row r="97" customFormat="false" ht="19.85" hidden="false" customHeight="true" outlineLevel="0" collapsed="false">
      <c r="A97" s="1" t="n">
        <v>30</v>
      </c>
      <c r="B97" s="34" t="n">
        <v>39904</v>
      </c>
      <c r="C97" s="56" t="n">
        <v>601200</v>
      </c>
      <c r="D97" s="29" t="s">
        <v>41</v>
      </c>
      <c r="E97" s="33" t="n">
        <f aca="false">IF(D97="totale",(C97/(A97*24))/F97,IF(D97="marché libre",(C97/(A97*24))/G97,"spécifier histo"))</f>
        <v>0.596428571428571</v>
      </c>
      <c r="F97" s="9" t="n">
        <v>1400</v>
      </c>
      <c r="G97" s="28" t="n">
        <f aca="false">F97-H97</f>
        <v>1400</v>
      </c>
      <c r="H97" s="9" t="n">
        <v>0</v>
      </c>
      <c r="J97" s="55"/>
    </row>
    <row r="98" customFormat="false" ht="19.85" hidden="false" customHeight="true" outlineLevel="0" collapsed="false">
      <c r="A98" s="1" t="n">
        <v>31</v>
      </c>
      <c r="B98" s="31" t="n">
        <v>39934</v>
      </c>
      <c r="C98" s="56" t="n">
        <v>392400</v>
      </c>
      <c r="D98" s="29" t="s">
        <v>41</v>
      </c>
      <c r="E98" s="33" t="n">
        <f aca="false">IF(D98="totale",(C98/(A98*24))/F98,IF(D98="marché libre",(C98/(A98*24))/G98,"spécifier histo"))</f>
        <v>0.376728110599078</v>
      </c>
      <c r="F98" s="9" t="n">
        <v>1400</v>
      </c>
      <c r="G98" s="28" t="n">
        <f aca="false">F98-H98</f>
        <v>1400</v>
      </c>
      <c r="H98" s="9" t="n">
        <v>0</v>
      </c>
      <c r="J98" s="55"/>
    </row>
    <row r="99" customFormat="false" ht="19.85" hidden="false" customHeight="true" outlineLevel="0" collapsed="false">
      <c r="A99" s="1" t="n">
        <v>30</v>
      </c>
      <c r="B99" s="34" t="n">
        <v>39965</v>
      </c>
      <c r="C99" s="56" t="n">
        <v>95600</v>
      </c>
      <c r="D99" s="29" t="s">
        <v>41</v>
      </c>
      <c r="E99" s="33" t="n">
        <f aca="false">IF(D99="totale",(C99/(A99*24))/F99,IF(D99="marché libre",(C99/(A99*24))/G99,"spécifier histo"))</f>
        <v>0.0948412698412698</v>
      </c>
      <c r="F99" s="9" t="n">
        <v>1400</v>
      </c>
      <c r="G99" s="28" t="n">
        <f aca="false">F99-H99</f>
        <v>1400</v>
      </c>
      <c r="H99" s="9" t="n">
        <v>0</v>
      </c>
      <c r="J99" s="55"/>
    </row>
    <row r="100" customFormat="false" ht="19.85" hidden="false" customHeight="true" outlineLevel="0" collapsed="false">
      <c r="A100" s="1" t="n">
        <v>31</v>
      </c>
      <c r="B100" s="31" t="n">
        <v>39995</v>
      </c>
      <c r="C100" s="56" t="n">
        <v>0</v>
      </c>
      <c r="D100" s="29" t="s">
        <v>41</v>
      </c>
      <c r="E100" s="33" t="n">
        <f aca="false">IF(D100="totale",(C100/(A100*24))/F100,IF(D100="marché libre",(C100/(A100*24))/G100,"spécifier histo"))</f>
        <v>0</v>
      </c>
      <c r="F100" s="9" t="n">
        <v>1400</v>
      </c>
      <c r="G100" s="28" t="n">
        <f aca="false">F100-H100</f>
        <v>1400</v>
      </c>
      <c r="H100" s="9" t="n">
        <v>0</v>
      </c>
      <c r="J100" s="55"/>
    </row>
    <row r="101" customFormat="false" ht="19.85" hidden="false" customHeight="true" outlineLevel="0" collapsed="false">
      <c r="A101" s="1" t="n">
        <v>31</v>
      </c>
      <c r="B101" s="34" t="n">
        <v>40026</v>
      </c>
      <c r="C101" s="56" t="n">
        <v>0</v>
      </c>
      <c r="D101" s="29" t="s">
        <v>41</v>
      </c>
      <c r="E101" s="33" t="n">
        <f aca="false">IF(D101="totale",(C101/(A101*24))/F101,IF(D101="marché libre",(C101/(A101*24))/G101,"spécifier histo"))</f>
        <v>0</v>
      </c>
      <c r="F101" s="9" t="n">
        <v>1400</v>
      </c>
      <c r="G101" s="28" t="n">
        <f aca="false">F101-H101</f>
        <v>1400</v>
      </c>
      <c r="H101" s="9" t="n">
        <v>0</v>
      </c>
      <c r="J101" s="55"/>
    </row>
    <row r="102" customFormat="false" ht="19.85" hidden="false" customHeight="true" outlineLevel="0" collapsed="false">
      <c r="A102" s="1" t="n">
        <v>30</v>
      </c>
      <c r="B102" s="31" t="n">
        <v>40057</v>
      </c>
      <c r="C102" s="56" t="n">
        <v>0</v>
      </c>
      <c r="D102" s="29" t="s">
        <v>41</v>
      </c>
      <c r="E102" s="33" t="n">
        <f aca="false">IF(D102="totale",(C102/(A102*24))/F102,IF(D102="marché libre",(C102/(A102*24))/G102,"spécifier histo"))</f>
        <v>0</v>
      </c>
      <c r="F102" s="9" t="n">
        <v>1400</v>
      </c>
      <c r="G102" s="28" t="n">
        <f aca="false">F102-H102</f>
        <v>1400</v>
      </c>
      <c r="H102" s="9" t="n">
        <v>0</v>
      </c>
      <c r="J102" s="55"/>
    </row>
    <row r="103" customFormat="false" ht="19.85" hidden="false" customHeight="true" outlineLevel="0" collapsed="false">
      <c r="A103" s="1" t="n">
        <v>31</v>
      </c>
      <c r="B103" s="34" t="n">
        <v>40087</v>
      </c>
      <c r="C103" s="56" t="n">
        <v>8400</v>
      </c>
      <c r="D103" s="29" t="s">
        <v>41</v>
      </c>
      <c r="E103" s="33" t="n">
        <f aca="false">IF(D103="totale",(C103/(A103*24))/F103,IF(D103="marché libre",(C103/(A103*24))/G103,"spécifier histo"))</f>
        <v>0.00806451612903226</v>
      </c>
      <c r="F103" s="9" t="n">
        <v>1400</v>
      </c>
      <c r="G103" s="28" t="n">
        <f aca="false">F103-H103</f>
        <v>1400</v>
      </c>
      <c r="H103" s="9" t="n">
        <v>0</v>
      </c>
      <c r="J103" s="55"/>
    </row>
    <row r="104" customFormat="false" ht="19.85" hidden="false" customHeight="true" outlineLevel="0" collapsed="false">
      <c r="A104" s="1" t="n">
        <v>30</v>
      </c>
      <c r="B104" s="31" t="n">
        <v>40118</v>
      </c>
      <c r="C104" s="56" t="n">
        <v>138800</v>
      </c>
      <c r="D104" s="29" t="s">
        <v>41</v>
      </c>
      <c r="E104" s="33" t="n">
        <f aca="false">IF(D104="totale",(C104/(A104*24))/F104,IF(D104="marché libre",(C104/(A104*24))/G104,"spécifier histo"))</f>
        <v>0.137698412698413</v>
      </c>
      <c r="F104" s="9" t="n">
        <v>1400</v>
      </c>
      <c r="G104" s="28" t="n">
        <f aca="false">F104-H104</f>
        <v>1400</v>
      </c>
      <c r="H104" s="9" t="n">
        <v>0</v>
      </c>
      <c r="J104" s="55"/>
    </row>
    <row r="105" customFormat="false" ht="19.85" hidden="false" customHeight="true" outlineLevel="0" collapsed="false">
      <c r="A105" s="1" t="n">
        <v>31</v>
      </c>
      <c r="B105" s="34" t="n">
        <v>40148</v>
      </c>
      <c r="C105" s="56" t="n">
        <v>178000</v>
      </c>
      <c r="D105" s="29" t="s">
        <v>41</v>
      </c>
      <c r="E105" s="33" t="n">
        <f aca="false">IF(D105="totale",(C105/(A105*24))/F105,IF(D105="marché libre",(C105/(A105*24))/G105,"spécifier histo"))</f>
        <v>0.170890937019969</v>
      </c>
      <c r="F105" s="9" t="n">
        <v>1400</v>
      </c>
      <c r="G105" s="28" t="n">
        <f aca="false">F105-H105</f>
        <v>1400</v>
      </c>
      <c r="H105" s="9" t="n">
        <v>0</v>
      </c>
      <c r="J105" s="55"/>
    </row>
    <row r="106" customFormat="false" ht="19.85" hidden="false" customHeight="true" outlineLevel="0" collapsed="false">
      <c r="A106" s="1" t="n">
        <v>31</v>
      </c>
      <c r="B106" s="31" t="n">
        <v>40179</v>
      </c>
      <c r="C106" s="56" t="n">
        <v>427200</v>
      </c>
      <c r="D106" s="29" t="s">
        <v>41</v>
      </c>
      <c r="E106" s="33" t="n">
        <f aca="false">IF(D106="totale",(C106/(A106*24))/F106,IF(D106="marché libre",(C106/(A106*24))/G106,"spécifier histo"))</f>
        <v>0.410138248847926</v>
      </c>
      <c r="F106" s="9" t="n">
        <v>1400</v>
      </c>
      <c r="G106" s="28" t="n">
        <f aca="false">F106-H106</f>
        <v>1400</v>
      </c>
      <c r="H106" s="9" t="n">
        <v>0</v>
      </c>
      <c r="J106" s="55"/>
    </row>
    <row r="107" customFormat="false" ht="19.85" hidden="false" customHeight="true" outlineLevel="0" collapsed="false">
      <c r="A107" s="1" t="n">
        <v>28</v>
      </c>
      <c r="B107" s="34" t="n">
        <v>40210</v>
      </c>
      <c r="C107" s="56" t="n">
        <v>493600</v>
      </c>
      <c r="D107" s="29" t="s">
        <v>41</v>
      </c>
      <c r="E107" s="33" t="n">
        <f aca="false">IF(D107="totale",(C107/(A107*24))/F107,IF(D107="marché libre",(C107/(A107*24))/G107,"spécifier histo"))</f>
        <v>0.524659863945578</v>
      </c>
      <c r="F107" s="9" t="n">
        <v>1400</v>
      </c>
      <c r="G107" s="28" t="n">
        <f aca="false">F107-H107</f>
        <v>1400</v>
      </c>
      <c r="H107" s="9" t="n">
        <v>0</v>
      </c>
      <c r="J107" s="55"/>
    </row>
    <row r="108" customFormat="false" ht="19.85" hidden="false" customHeight="true" outlineLevel="0" collapsed="false">
      <c r="A108" s="1" t="n">
        <v>31</v>
      </c>
      <c r="B108" s="31" t="n">
        <v>40238</v>
      </c>
      <c r="C108" s="56" t="n">
        <v>542000</v>
      </c>
      <c r="D108" s="29" t="s">
        <v>41</v>
      </c>
      <c r="E108" s="33" t="n">
        <f aca="false">IF(D108="totale",(C108/(A108*24))/F108,IF(D108="marché libre",(C108/(A108*24))/G108,"spécifier histo"))</f>
        <v>0.520353302611367</v>
      </c>
      <c r="F108" s="9" t="n">
        <v>1400</v>
      </c>
      <c r="G108" s="28" t="n">
        <f aca="false">F108-H108</f>
        <v>1400</v>
      </c>
      <c r="H108" s="9" t="n">
        <v>0</v>
      </c>
      <c r="J108" s="55"/>
    </row>
    <row r="109" customFormat="false" ht="19.85" hidden="false" customHeight="true" outlineLevel="0" collapsed="false">
      <c r="A109" s="1" t="n">
        <v>30</v>
      </c>
      <c r="B109" s="34" t="n">
        <v>40269</v>
      </c>
      <c r="C109" s="56" t="n">
        <v>400400</v>
      </c>
      <c r="D109" s="29" t="s">
        <v>41</v>
      </c>
      <c r="E109" s="33" t="n">
        <f aca="false">IF(D109="totale",(C109/(A109*24))/F109,IF(D109="marché libre",(C109/(A109*24))/G109,"spécifier histo"))</f>
        <v>0.397222222222222</v>
      </c>
      <c r="F109" s="9" t="n">
        <v>1400</v>
      </c>
      <c r="G109" s="28" t="n">
        <f aca="false">F109-H109</f>
        <v>1400</v>
      </c>
      <c r="H109" s="9" t="n">
        <v>0</v>
      </c>
      <c r="J109" s="55"/>
    </row>
    <row r="110" customFormat="false" ht="19.85" hidden="false" customHeight="true" outlineLevel="0" collapsed="false">
      <c r="A110" s="1" t="n">
        <v>31</v>
      </c>
      <c r="B110" s="31" t="n">
        <v>40299</v>
      </c>
      <c r="C110" s="56" t="n">
        <v>418000</v>
      </c>
      <c r="D110" s="29" t="s">
        <v>41</v>
      </c>
      <c r="E110" s="33" t="n">
        <f aca="false">IF(D110="totale",(C110/(A110*24))/F110,IF(D110="marché libre",(C110/(A110*24))/G110,"spécifier histo"))</f>
        <v>0.401305683563748</v>
      </c>
      <c r="F110" s="9" t="n">
        <v>1400</v>
      </c>
      <c r="G110" s="28" t="n">
        <f aca="false">F110-H110</f>
        <v>1400</v>
      </c>
      <c r="H110" s="9" t="n">
        <v>0</v>
      </c>
      <c r="J110" s="55"/>
    </row>
    <row r="111" customFormat="false" ht="19.85" hidden="false" customHeight="true" outlineLevel="0" collapsed="false">
      <c r="A111" s="1" t="n">
        <v>30</v>
      </c>
      <c r="B111" s="34" t="n">
        <v>40330</v>
      </c>
      <c r="C111" s="56" t="n">
        <v>143600</v>
      </c>
      <c r="D111" s="29" t="s">
        <v>41</v>
      </c>
      <c r="E111" s="33" t="n">
        <f aca="false">IF(D111="totale",(C111/(A111*24))/F111,IF(D111="marché libre",(C111/(A111*24))/G111,"spécifier histo"))</f>
        <v>0.142460317460317</v>
      </c>
      <c r="F111" s="9" t="n">
        <v>1400</v>
      </c>
      <c r="G111" s="28" t="n">
        <f aca="false">F111-H111</f>
        <v>1400</v>
      </c>
      <c r="H111" s="9" t="n">
        <v>0</v>
      </c>
      <c r="J111" s="55"/>
    </row>
    <row r="112" customFormat="false" ht="19.85" hidden="false" customHeight="true" outlineLevel="0" collapsed="false">
      <c r="A112" s="1" t="n">
        <v>31</v>
      </c>
      <c r="B112" s="31" t="n">
        <v>40360</v>
      </c>
      <c r="C112" s="56" t="n">
        <v>0</v>
      </c>
      <c r="D112" s="29" t="s">
        <v>41</v>
      </c>
      <c r="E112" s="33" t="n">
        <f aca="false">IF(D112="totale",(C112/(A112*24))/F112,IF(D112="marché libre",(C112/(A112*24))/G112,"spécifier histo"))</f>
        <v>0</v>
      </c>
      <c r="F112" s="9" t="n">
        <v>1400</v>
      </c>
      <c r="G112" s="28" t="n">
        <f aca="false">F112-H112</f>
        <v>1400</v>
      </c>
      <c r="H112" s="9" t="n">
        <v>0</v>
      </c>
      <c r="J112" s="55"/>
    </row>
    <row r="113" customFormat="false" ht="19.85" hidden="false" customHeight="true" outlineLevel="0" collapsed="false">
      <c r="A113" s="1" t="n">
        <v>31</v>
      </c>
      <c r="B113" s="34" t="n">
        <v>40391</v>
      </c>
      <c r="C113" s="56" t="n">
        <v>80</v>
      </c>
      <c r="D113" s="29" t="s">
        <v>41</v>
      </c>
      <c r="E113" s="33" t="n">
        <f aca="false">IF(D113="totale",(C113/(A113*24))/F113,IF(D113="marché libre",(C113/(A113*24))/G113,"spécifier histo"))</f>
        <v>7.68049155145929E-005</v>
      </c>
      <c r="F113" s="9" t="n">
        <v>1400</v>
      </c>
      <c r="G113" s="28" t="n">
        <f aca="false">F113-H113</f>
        <v>1400</v>
      </c>
      <c r="H113" s="9" t="n">
        <v>0</v>
      </c>
      <c r="J113" s="55"/>
    </row>
    <row r="114" customFormat="false" ht="19.85" hidden="false" customHeight="true" outlineLevel="0" collapsed="false">
      <c r="A114" s="1" t="n">
        <v>30</v>
      </c>
      <c r="B114" s="31" t="n">
        <v>40422</v>
      </c>
      <c r="C114" s="56" t="n">
        <v>0</v>
      </c>
      <c r="D114" s="29" t="s">
        <v>41</v>
      </c>
      <c r="E114" s="33" t="n">
        <f aca="false">IF(D114="totale",(C114/(A114*24))/F114,IF(D114="marché libre",(C114/(A114*24))/G114,"spécifier histo"))</f>
        <v>0</v>
      </c>
      <c r="F114" s="9" t="n">
        <v>1400</v>
      </c>
      <c r="G114" s="28" t="n">
        <f aca="false">F114-H114</f>
        <v>1400</v>
      </c>
      <c r="H114" s="9" t="n">
        <v>0</v>
      </c>
      <c r="J114" s="55"/>
    </row>
    <row r="115" customFormat="false" ht="19.85" hidden="false" customHeight="true" outlineLevel="0" collapsed="false">
      <c r="A115" s="1" t="n">
        <v>31</v>
      </c>
      <c r="B115" s="34" t="n">
        <v>40452</v>
      </c>
      <c r="C115" s="56" t="n">
        <v>84400</v>
      </c>
      <c r="D115" s="29" t="s">
        <v>41</v>
      </c>
      <c r="E115" s="33" t="n">
        <f aca="false">IF(D115="totale",(C115/(A115*24))/F115,IF(D115="marché libre",(C115/(A115*24))/G115,"spécifier histo"))</f>
        <v>0.0810291858678955</v>
      </c>
      <c r="F115" s="9" t="n">
        <v>1400</v>
      </c>
      <c r="G115" s="28" t="n">
        <f aca="false">F115-H115</f>
        <v>1400</v>
      </c>
      <c r="H115" s="9" t="n">
        <v>0</v>
      </c>
      <c r="J115" s="55"/>
    </row>
    <row r="116" customFormat="false" ht="19.85" hidden="false" customHeight="true" outlineLevel="0" collapsed="false">
      <c r="A116" s="1" t="n">
        <v>30</v>
      </c>
      <c r="B116" s="31" t="n">
        <v>40483</v>
      </c>
      <c r="C116" s="56" t="n">
        <v>598800</v>
      </c>
      <c r="D116" s="29" t="s">
        <v>41</v>
      </c>
      <c r="E116" s="33" t="n">
        <f aca="false">IF(D116="totale",(C116/(A116*24))/F116,IF(D116="marché libre",(C116/(A116*24))/G116,"spécifier histo"))</f>
        <v>0.594047619047619</v>
      </c>
      <c r="F116" s="9" t="n">
        <v>1400</v>
      </c>
      <c r="G116" s="28" t="n">
        <f aca="false">F116-H116</f>
        <v>1400</v>
      </c>
      <c r="H116" s="9" t="n">
        <v>0</v>
      </c>
      <c r="J116" s="55"/>
    </row>
    <row r="117" customFormat="false" ht="19.85" hidden="false" customHeight="true" outlineLevel="0" collapsed="false">
      <c r="A117" s="1" t="n">
        <v>31</v>
      </c>
      <c r="B117" s="34" t="n">
        <v>40513</v>
      </c>
      <c r="C117" s="56" t="n">
        <v>671200</v>
      </c>
      <c r="D117" s="29" t="s">
        <v>41</v>
      </c>
      <c r="E117" s="33" t="n">
        <f aca="false">IF(D117="totale",(C117/(A117*24))/F117,IF(D117="marché libre",(C117/(A117*24))/G117,"spécifier histo"))</f>
        <v>0.644393241167435</v>
      </c>
      <c r="F117" s="9" t="n">
        <v>1400</v>
      </c>
      <c r="G117" s="28" t="n">
        <f aca="false">F117-H117</f>
        <v>1400</v>
      </c>
      <c r="H117" s="9" t="n">
        <v>0</v>
      </c>
      <c r="J117" s="55"/>
    </row>
    <row r="118" customFormat="false" ht="19.85" hidden="false" customHeight="true" outlineLevel="0" collapsed="false">
      <c r="A118" s="1" t="n">
        <v>31</v>
      </c>
      <c r="B118" s="31" t="n">
        <v>40544</v>
      </c>
      <c r="C118" s="56" t="n">
        <v>403200</v>
      </c>
      <c r="D118" s="29" t="s">
        <v>41</v>
      </c>
      <c r="E118" s="33" t="n">
        <f aca="false">IF(D118="totale",(C118/(A118*24))/F118,IF(D118="marché libre",(C118/(A118*24))/G118,"spécifier histo"))</f>
        <v>0.387096774193548</v>
      </c>
      <c r="F118" s="9" t="n">
        <v>1400</v>
      </c>
      <c r="G118" s="28" t="n">
        <f aca="false">F118-H118</f>
        <v>1400</v>
      </c>
      <c r="H118" s="9" t="n">
        <v>0</v>
      </c>
      <c r="J118" s="55"/>
    </row>
    <row r="119" customFormat="false" ht="19.85" hidden="false" customHeight="true" outlineLevel="0" collapsed="false">
      <c r="A119" s="1" t="n">
        <v>28</v>
      </c>
      <c r="B119" s="34" t="n">
        <v>40575</v>
      </c>
      <c r="C119" s="56" t="n">
        <v>130000</v>
      </c>
      <c r="D119" s="29" t="s">
        <v>41</v>
      </c>
      <c r="E119" s="33" t="n">
        <f aca="false">IF(D119="totale",(C119/(A119*24))/F119,IF(D119="marché libre",(C119/(A119*24))/G119,"spécifier histo"))</f>
        <v>0.138180272108844</v>
      </c>
      <c r="F119" s="9" t="n">
        <v>1400</v>
      </c>
      <c r="G119" s="28" t="n">
        <f aca="false">F119-H119</f>
        <v>1400</v>
      </c>
      <c r="H119" s="9" t="n">
        <v>0</v>
      </c>
      <c r="J119" s="55"/>
    </row>
    <row r="120" customFormat="false" ht="19.85" hidden="false" customHeight="true" outlineLevel="0" collapsed="false">
      <c r="A120" s="1" t="n">
        <v>31</v>
      </c>
      <c r="B120" s="31" t="n">
        <v>40603</v>
      </c>
      <c r="C120" s="56" t="n">
        <v>347600</v>
      </c>
      <c r="D120" s="29" t="s">
        <v>41</v>
      </c>
      <c r="E120" s="33" t="n">
        <f aca="false">IF(D120="totale",(C120/(A120*24))/F120,IF(D120="marché libre",(C120/(A120*24))/G120,"spécifier histo"))</f>
        <v>0.333717357910906</v>
      </c>
      <c r="F120" s="9" t="n">
        <v>1400</v>
      </c>
      <c r="G120" s="28" t="n">
        <f aca="false">F120-H120</f>
        <v>1400</v>
      </c>
      <c r="H120" s="9" t="n">
        <v>0</v>
      </c>
      <c r="J120" s="55"/>
    </row>
    <row r="121" customFormat="false" ht="19.85" hidden="false" customHeight="true" outlineLevel="0" collapsed="false">
      <c r="A121" s="1" t="n">
        <v>30</v>
      </c>
      <c r="B121" s="34" t="n">
        <v>40634</v>
      </c>
      <c r="C121" s="56" t="n">
        <v>63600</v>
      </c>
      <c r="D121" s="29" t="s">
        <v>41</v>
      </c>
      <c r="E121" s="33" t="n">
        <f aca="false">IF(D121="totale",(C121/(A121*24))/F121,IF(D121="marché libre",(C121/(A121*24))/G121,"spécifier histo"))</f>
        <v>0.0630952380952381</v>
      </c>
      <c r="F121" s="9" t="n">
        <v>1400</v>
      </c>
      <c r="G121" s="28" t="n">
        <f aca="false">F121-H121</f>
        <v>1400</v>
      </c>
      <c r="H121" s="9" t="n">
        <v>0</v>
      </c>
      <c r="J121" s="55"/>
    </row>
    <row r="122" customFormat="false" ht="19.85" hidden="false" customHeight="true" outlineLevel="0" collapsed="false">
      <c r="A122" s="1" t="n">
        <v>31</v>
      </c>
      <c r="B122" s="31" t="n">
        <v>40664</v>
      </c>
      <c r="C122" s="56" t="n">
        <v>0</v>
      </c>
      <c r="D122" s="29" t="s">
        <v>41</v>
      </c>
      <c r="E122" s="33" t="n">
        <f aca="false">IF(D122="totale",(C122/(A122*24))/F122,IF(D122="marché libre",(C122/(A122*24))/G122,"spécifier histo"))</f>
        <v>0</v>
      </c>
      <c r="F122" s="9" t="n">
        <v>1400</v>
      </c>
      <c r="G122" s="28" t="n">
        <f aca="false">F122-H122</f>
        <v>1400</v>
      </c>
      <c r="H122" s="9" t="n">
        <v>0</v>
      </c>
      <c r="J122" s="55"/>
    </row>
    <row r="123" customFormat="false" ht="19.85" hidden="false" customHeight="true" outlineLevel="0" collapsed="false">
      <c r="A123" s="1" t="n">
        <v>30</v>
      </c>
      <c r="B123" s="34" t="n">
        <v>40695</v>
      </c>
      <c r="C123" s="56" t="n">
        <v>0</v>
      </c>
      <c r="D123" s="29" t="s">
        <v>41</v>
      </c>
      <c r="E123" s="33" t="n">
        <f aca="false">IF(D123="totale",(C123/(A123*24))/F123,IF(D123="marché libre",(C123/(A123*24))/G123,"spécifier histo"))</f>
        <v>0</v>
      </c>
      <c r="F123" s="9" t="n">
        <v>1400</v>
      </c>
      <c r="G123" s="28" t="n">
        <f aca="false">F123-H123</f>
        <v>1400</v>
      </c>
      <c r="H123" s="9" t="n">
        <v>0</v>
      </c>
      <c r="J123" s="55"/>
    </row>
    <row r="124" customFormat="false" ht="19.85" hidden="false" customHeight="true" outlineLevel="0" collapsed="false">
      <c r="A124" s="1" t="n">
        <v>31</v>
      </c>
      <c r="B124" s="31" t="n">
        <v>40725</v>
      </c>
      <c r="C124" s="56" t="n">
        <v>0</v>
      </c>
      <c r="D124" s="29" t="s">
        <v>41</v>
      </c>
      <c r="E124" s="33" t="n">
        <f aca="false">IF(D124="totale",(C124/(A124*24))/F124,IF(D124="marché libre",(C124/(A124*24))/G124,"spécifier histo"))</f>
        <v>0</v>
      </c>
      <c r="F124" s="9" t="n">
        <v>1400</v>
      </c>
      <c r="G124" s="28" t="n">
        <f aca="false">F124-H124</f>
        <v>1400</v>
      </c>
      <c r="H124" s="9" t="n">
        <v>0</v>
      </c>
      <c r="J124" s="55"/>
    </row>
    <row r="125" customFormat="false" ht="19.85" hidden="false" customHeight="true" outlineLevel="0" collapsed="false">
      <c r="A125" s="1" t="n">
        <v>31</v>
      </c>
      <c r="B125" s="34" t="n">
        <v>40756</v>
      </c>
      <c r="C125" s="56" t="n">
        <v>0</v>
      </c>
      <c r="D125" s="29" t="s">
        <v>41</v>
      </c>
      <c r="E125" s="33" t="n">
        <f aca="false">IF(D125="totale",(C125/(A125*24))/F125,IF(D125="marché libre",(C125/(A125*24))/G125,"spécifier histo"))</f>
        <v>0</v>
      </c>
      <c r="F125" s="9" t="n">
        <v>1400</v>
      </c>
      <c r="G125" s="28" t="n">
        <f aca="false">F125-H125</f>
        <v>1400</v>
      </c>
      <c r="H125" s="9" t="n">
        <v>0</v>
      </c>
      <c r="J125" s="55"/>
    </row>
    <row r="126" customFormat="false" ht="19.85" hidden="false" customHeight="true" outlineLevel="0" collapsed="false">
      <c r="A126" s="1" t="n">
        <v>30</v>
      </c>
      <c r="B126" s="31" t="n">
        <v>40787</v>
      </c>
      <c r="C126" s="56" t="n">
        <v>0</v>
      </c>
      <c r="D126" s="29" t="s">
        <v>41</v>
      </c>
      <c r="E126" s="33" t="n">
        <f aca="false">IF(D126="totale",(C126/(A126*24))/F126,IF(D126="marché libre",(C126/(A126*24))/G126,"spécifier histo"))</f>
        <v>0</v>
      </c>
      <c r="F126" s="9" t="n">
        <v>1400</v>
      </c>
      <c r="G126" s="28" t="n">
        <f aca="false">F126-H126</f>
        <v>1400</v>
      </c>
      <c r="H126" s="9" t="n">
        <v>0</v>
      </c>
      <c r="J126" s="55"/>
    </row>
    <row r="127" customFormat="false" ht="19.85" hidden="false" customHeight="true" outlineLevel="0" collapsed="false">
      <c r="A127" s="1" t="n">
        <v>31</v>
      </c>
      <c r="B127" s="34" t="n">
        <v>40817</v>
      </c>
      <c r="C127" s="56" t="n">
        <v>0</v>
      </c>
      <c r="D127" s="29" t="s">
        <v>41</v>
      </c>
      <c r="E127" s="33" t="n">
        <f aca="false">IF(D127="totale",(C127/(A127*24))/F127,IF(D127="marché libre",(C127/(A127*24))/G127,"spécifier histo"))</f>
        <v>0</v>
      </c>
      <c r="F127" s="9" t="n">
        <v>1400</v>
      </c>
      <c r="G127" s="28" t="n">
        <f aca="false">F127-H127</f>
        <v>1400</v>
      </c>
      <c r="H127" s="9" t="n">
        <v>0</v>
      </c>
      <c r="J127" s="55"/>
    </row>
    <row r="128" customFormat="false" ht="19.85" hidden="false" customHeight="true" outlineLevel="0" collapsed="false">
      <c r="A128" s="1" t="n">
        <v>30</v>
      </c>
      <c r="B128" s="31" t="n">
        <v>40848</v>
      </c>
      <c r="C128" s="56" t="n">
        <v>179200</v>
      </c>
      <c r="D128" s="29" t="s">
        <v>41</v>
      </c>
      <c r="E128" s="33" t="n">
        <f aca="false">IF(D128="totale",(C128/(A128*24))/F128,IF(D128="marché libre",(C128/(A128*24))/G128,"spécifier histo"))</f>
        <v>0.177777777777778</v>
      </c>
      <c r="F128" s="9" t="n">
        <v>1400</v>
      </c>
      <c r="G128" s="28" t="n">
        <f aca="false">F128-H128</f>
        <v>1400</v>
      </c>
      <c r="H128" s="9" t="n">
        <v>0</v>
      </c>
      <c r="J128" s="55"/>
    </row>
    <row r="129" customFormat="false" ht="19.85" hidden="false" customHeight="true" outlineLevel="0" collapsed="false">
      <c r="A129" s="1" t="n">
        <v>31</v>
      </c>
      <c r="B129" s="34" t="n">
        <v>40878</v>
      </c>
      <c r="C129" s="56" t="n">
        <v>565600</v>
      </c>
      <c r="D129" s="29" t="s">
        <v>41</v>
      </c>
      <c r="E129" s="33" t="n">
        <f aca="false">IF(D129="totale",(C129/(A129*24))/F129,IF(D129="marché libre",(C129/(A129*24))/G129,"spécifier histo"))</f>
        <v>0.543010752688172</v>
      </c>
      <c r="F129" s="9" t="n">
        <v>1400</v>
      </c>
      <c r="G129" s="28" t="n">
        <f aca="false">F129-H129</f>
        <v>1400</v>
      </c>
      <c r="H129" s="9" t="n">
        <v>0</v>
      </c>
      <c r="J129" s="55"/>
    </row>
    <row r="130" customFormat="false" ht="19.85" hidden="false" customHeight="true" outlineLevel="0" collapsed="false">
      <c r="A130" s="1" t="n">
        <v>31</v>
      </c>
      <c r="B130" s="31" t="n">
        <v>40909</v>
      </c>
      <c r="C130" s="56" t="n">
        <v>510800</v>
      </c>
      <c r="D130" s="29" t="s">
        <v>41</v>
      </c>
      <c r="E130" s="33" t="n">
        <f aca="false">IF(D130="totale",(C130/(A130*24))/F130,IF(D130="marché libre",(C130/(A130*24))/G130,"spécifier histo"))</f>
        <v>0.490399385560676</v>
      </c>
      <c r="F130" s="9" t="n">
        <v>1400</v>
      </c>
      <c r="G130" s="28" t="n">
        <f aca="false">F130-H130</f>
        <v>1400</v>
      </c>
      <c r="H130" s="9" t="n">
        <v>0</v>
      </c>
      <c r="J130" s="55"/>
    </row>
    <row r="131" customFormat="false" ht="19.85" hidden="false" customHeight="true" outlineLevel="0" collapsed="false">
      <c r="A131" s="1" t="n">
        <v>28</v>
      </c>
      <c r="B131" s="34" t="n">
        <v>40940</v>
      </c>
      <c r="C131" s="56" t="n">
        <v>142800</v>
      </c>
      <c r="D131" s="29" t="s">
        <v>41</v>
      </c>
      <c r="E131" s="33" t="n">
        <f aca="false">IF(D131="totale",(C131/(A131*24))/F131,IF(D131="marché libre",(C131/(A131*24))/G131,"spécifier histo"))</f>
        <v>0.151785714285714</v>
      </c>
      <c r="F131" s="9" t="n">
        <v>1400</v>
      </c>
      <c r="G131" s="28" t="n">
        <f aca="false">F131-H131</f>
        <v>1400</v>
      </c>
      <c r="H131" s="9" t="n">
        <v>0</v>
      </c>
      <c r="J131" s="55"/>
    </row>
    <row r="132" customFormat="false" ht="19.85" hidden="false" customHeight="true" outlineLevel="0" collapsed="false">
      <c r="A132" s="1" t="n">
        <v>31</v>
      </c>
      <c r="B132" s="31" t="n">
        <v>40969</v>
      </c>
      <c r="C132" s="56" t="n">
        <v>62000</v>
      </c>
      <c r="D132" s="29" t="s">
        <v>41</v>
      </c>
      <c r="E132" s="33" t="n">
        <f aca="false">IF(D132="totale",(C132/(A132*24))/F132,IF(D132="marché libre",(C132/(A132*24))/G132,"spécifier histo"))</f>
        <v>0.0595238095238095</v>
      </c>
      <c r="F132" s="9" t="n">
        <v>1400</v>
      </c>
      <c r="G132" s="28" t="n">
        <f aca="false">F132-H132</f>
        <v>1400</v>
      </c>
      <c r="H132" s="9" t="n">
        <v>0</v>
      </c>
      <c r="J132" s="55"/>
    </row>
    <row r="133" customFormat="false" ht="19.85" hidden="false" customHeight="true" outlineLevel="0" collapsed="false">
      <c r="A133" s="1" t="n">
        <v>30</v>
      </c>
      <c r="B133" s="34" t="n">
        <v>41000</v>
      </c>
      <c r="C133" s="56" t="n">
        <v>346800</v>
      </c>
      <c r="D133" s="29" t="s">
        <v>41</v>
      </c>
      <c r="E133" s="33" t="n">
        <f aca="false">IF(D133="totale",(C133/(A133*24))/F133,IF(D133="marché libre",(C133/(A133*24))/G133,"spécifier histo"))</f>
        <v>0.344047619047619</v>
      </c>
      <c r="F133" s="9" t="n">
        <v>1400</v>
      </c>
      <c r="G133" s="28" t="n">
        <f aca="false">F133-H133</f>
        <v>1400</v>
      </c>
      <c r="H133" s="9" t="n">
        <v>0</v>
      </c>
      <c r="J133" s="55"/>
    </row>
    <row r="134" customFormat="false" ht="19.85" hidden="false" customHeight="true" outlineLevel="0" collapsed="false">
      <c r="A134" s="1" t="n">
        <v>31</v>
      </c>
      <c r="B134" s="31" t="n">
        <v>41030</v>
      </c>
      <c r="C134" s="56" t="n">
        <v>631600</v>
      </c>
      <c r="D134" s="29" t="s">
        <v>41</v>
      </c>
      <c r="E134" s="33" t="n">
        <f aca="false">IF(D134="totale",(C134/(A134*24))/F134,IF(D134="marché libre",(C134/(A134*24))/G134,"spécifier histo"))</f>
        <v>0.606374807987711</v>
      </c>
      <c r="F134" s="9" t="n">
        <v>1400</v>
      </c>
      <c r="G134" s="28" t="n">
        <f aca="false">F134-H134</f>
        <v>1400</v>
      </c>
      <c r="H134" s="9" t="n">
        <v>0</v>
      </c>
      <c r="J134" s="55"/>
    </row>
    <row r="135" customFormat="false" ht="19.85" hidden="false" customHeight="true" outlineLevel="0" collapsed="false">
      <c r="A135" s="1" t="n">
        <v>30</v>
      </c>
      <c r="B135" s="34" t="n">
        <v>41061</v>
      </c>
      <c r="C135" s="56" t="n">
        <v>288800</v>
      </c>
      <c r="D135" s="29" t="s">
        <v>41</v>
      </c>
      <c r="E135" s="33" t="n">
        <f aca="false">IF(D135="totale",(C135/(A135*24))/F135,IF(D135="marché libre",(C135/(A135*24))/G135,"spécifier histo"))</f>
        <v>0.286507936507936</v>
      </c>
      <c r="F135" s="9" t="n">
        <v>1400</v>
      </c>
      <c r="G135" s="28" t="n">
        <f aca="false">F135-H135</f>
        <v>1400</v>
      </c>
      <c r="H135" s="9" t="n">
        <v>0</v>
      </c>
      <c r="J135" s="55"/>
      <c r="K135" s="488" t="n">
        <v>2011</v>
      </c>
      <c r="L135" s="488" t="n">
        <v>2012</v>
      </c>
      <c r="M135" s="488" t="n">
        <v>2016</v>
      </c>
      <c r="N135" s="488" t="n">
        <v>2017</v>
      </c>
    </row>
    <row r="136" customFormat="false" ht="19.85" hidden="false" customHeight="true" outlineLevel="0" collapsed="false">
      <c r="A136" s="1" t="n">
        <v>31</v>
      </c>
      <c r="B136" s="31" t="n">
        <v>41091</v>
      </c>
      <c r="C136" s="56" t="n">
        <v>0</v>
      </c>
      <c r="D136" s="29" t="s">
        <v>41</v>
      </c>
      <c r="E136" s="33" t="n">
        <f aca="false">IF(D136="totale",(C136/(A136*24))/F136,IF(D136="marché libre",(C136/(A136*24))/G136,"spécifier histo"))</f>
        <v>0</v>
      </c>
      <c r="F136" s="9" t="n">
        <v>1400</v>
      </c>
      <c r="G136" s="28" t="n">
        <f aca="false">F136-H136</f>
        <v>1400</v>
      </c>
      <c r="H136" s="9" t="n">
        <v>0</v>
      </c>
      <c r="J136" s="55"/>
      <c r="K136" s="489" t="n">
        <v>403200</v>
      </c>
      <c r="L136" s="489" t="n">
        <v>510800</v>
      </c>
      <c r="M136" s="489" t="n">
        <v>579401</v>
      </c>
      <c r="N136" s="489" t="n">
        <v>170602</v>
      </c>
    </row>
    <row r="137" customFormat="false" ht="19.85" hidden="false" customHeight="true" outlineLevel="0" collapsed="false">
      <c r="A137" s="1" t="n">
        <v>31</v>
      </c>
      <c r="B137" s="34" t="n">
        <v>41122</v>
      </c>
      <c r="C137" s="56" t="n">
        <v>0</v>
      </c>
      <c r="D137" s="29" t="s">
        <v>41</v>
      </c>
      <c r="E137" s="33" t="n">
        <f aca="false">IF(D137="totale",(C137/(A137*24))/F137,IF(D137="marché libre",(C137/(A137*24))/G137,"spécifier histo"))</f>
        <v>0</v>
      </c>
      <c r="F137" s="9" t="n">
        <v>1400</v>
      </c>
      <c r="G137" s="28" t="n">
        <f aca="false">F137-H137</f>
        <v>1400</v>
      </c>
      <c r="H137" s="9" t="n">
        <v>0</v>
      </c>
      <c r="J137" s="55"/>
      <c r="K137" s="489" t="n">
        <v>130000</v>
      </c>
      <c r="L137" s="489" t="n">
        <v>142800</v>
      </c>
      <c r="M137" s="489" t="n">
        <v>616470</v>
      </c>
      <c r="N137" s="489" t="n">
        <v>504066</v>
      </c>
    </row>
    <row r="138" customFormat="false" ht="19.85" hidden="false" customHeight="true" outlineLevel="0" collapsed="false">
      <c r="A138" s="1" t="n">
        <v>30</v>
      </c>
      <c r="B138" s="31" t="n">
        <v>41153</v>
      </c>
      <c r="C138" s="56" t="n">
        <v>0</v>
      </c>
      <c r="D138" s="29" t="s">
        <v>41</v>
      </c>
      <c r="E138" s="33" t="n">
        <f aca="false">IF(D138="totale",(C138/(A138*24))/F138,IF(D138="marché libre",(C138/(A138*24))/G138,"spécifier histo"))</f>
        <v>0</v>
      </c>
      <c r="F138" s="9" t="n">
        <v>1400</v>
      </c>
      <c r="G138" s="28" t="n">
        <f aca="false">F138-H138</f>
        <v>1400</v>
      </c>
      <c r="H138" s="9" t="n">
        <v>0</v>
      </c>
      <c r="J138" s="55"/>
      <c r="K138" s="489" t="n">
        <v>347600</v>
      </c>
      <c r="L138" s="489" t="n">
        <v>62000</v>
      </c>
      <c r="M138" s="489" t="n">
        <v>598318</v>
      </c>
      <c r="N138" s="489" t="n">
        <v>575295</v>
      </c>
    </row>
    <row r="139" customFormat="false" ht="19.85" hidden="false" customHeight="true" outlineLevel="0" collapsed="false">
      <c r="A139" s="1" t="n">
        <v>31</v>
      </c>
      <c r="B139" s="34" t="n">
        <v>41183</v>
      </c>
      <c r="C139" s="56" t="n">
        <v>0</v>
      </c>
      <c r="D139" s="29" t="s">
        <v>41</v>
      </c>
      <c r="E139" s="33" t="n">
        <f aca="false">IF(D139="totale",(C139/(A139*24))/F139,IF(D139="marché libre",(C139/(A139*24))/G139,"spécifier histo"))</f>
        <v>0</v>
      </c>
      <c r="F139" s="9" t="n">
        <v>1400</v>
      </c>
      <c r="G139" s="28" t="n">
        <f aca="false">F139-H139</f>
        <v>1400</v>
      </c>
      <c r="H139" s="9" t="n">
        <v>0</v>
      </c>
      <c r="J139" s="55"/>
      <c r="K139" s="489" t="n">
        <v>63600</v>
      </c>
      <c r="L139" s="489" t="n">
        <v>346800</v>
      </c>
      <c r="M139" s="489" t="n">
        <v>463749</v>
      </c>
      <c r="N139" s="489" t="n">
        <v>212538</v>
      </c>
    </row>
    <row r="140" customFormat="false" ht="19.85" hidden="false" customHeight="true" outlineLevel="0" collapsed="false">
      <c r="A140" s="1" t="n">
        <v>30</v>
      </c>
      <c r="B140" s="31" t="n">
        <v>41214</v>
      </c>
      <c r="C140" s="56" t="n">
        <v>0</v>
      </c>
      <c r="D140" s="29" t="s">
        <v>41</v>
      </c>
      <c r="E140" s="33" t="n">
        <f aca="false">IF(D140="totale",(C140/(A140*24))/F140,IF(D140="marché libre",(C140/(A140*24))/G140,"spécifier histo"))</f>
        <v>0</v>
      </c>
      <c r="F140" s="9" t="n">
        <v>1400</v>
      </c>
      <c r="G140" s="28" t="n">
        <f aca="false">F140-H140</f>
        <v>1400</v>
      </c>
      <c r="H140" s="9" t="n">
        <v>0</v>
      </c>
      <c r="J140" s="55"/>
      <c r="K140" s="489" t="n">
        <v>0</v>
      </c>
      <c r="L140" s="489" t="n">
        <v>631600</v>
      </c>
      <c r="M140" s="489" t="n">
        <v>392625</v>
      </c>
      <c r="N140" s="490" t="s">
        <v>906</v>
      </c>
    </row>
    <row r="141" customFormat="false" ht="19.85" hidden="false" customHeight="true" outlineLevel="0" collapsed="false">
      <c r="A141" s="1" t="n">
        <v>31</v>
      </c>
      <c r="B141" s="34" t="n">
        <v>41244</v>
      </c>
      <c r="C141" s="56" t="n">
        <v>0</v>
      </c>
      <c r="D141" s="29" t="s">
        <v>41</v>
      </c>
      <c r="E141" s="33" t="n">
        <f aca="false">IF(D141="totale",(C141/(A141*24))/F141,IF(D141="marché libre",(C141/(A141*24))/G141,"spécifier histo"))</f>
        <v>0</v>
      </c>
      <c r="F141" s="9" t="n">
        <v>1400</v>
      </c>
      <c r="G141" s="28" t="n">
        <f aca="false">F141-H141</f>
        <v>1400</v>
      </c>
      <c r="H141" s="9" t="n">
        <v>0</v>
      </c>
      <c r="J141" s="55"/>
      <c r="K141" s="489" t="n">
        <v>0</v>
      </c>
      <c r="L141" s="489" t="n">
        <v>288800</v>
      </c>
      <c r="M141" s="489" t="n">
        <v>412188</v>
      </c>
      <c r="N141" s="490" t="s">
        <v>906</v>
      </c>
    </row>
    <row r="142" customFormat="false" ht="19.85" hidden="false" customHeight="true" outlineLevel="0" collapsed="false">
      <c r="A142" s="1" t="n">
        <v>31</v>
      </c>
      <c r="B142" s="31" t="n">
        <v>41275</v>
      </c>
      <c r="C142" s="56" t="n">
        <v>424541</v>
      </c>
      <c r="D142" s="29" t="s">
        <v>41</v>
      </c>
      <c r="E142" s="33" t="n">
        <f aca="false">IF(D142="totale",(C142/(A142*24))/F142,IF(D142="marché libre",(C142/(A142*24))/G142,"spécifier histo"))</f>
        <v>0.40758544546851</v>
      </c>
      <c r="F142" s="9" t="n">
        <v>1400</v>
      </c>
      <c r="G142" s="28" t="n">
        <f aca="false">F142-H142</f>
        <v>1400</v>
      </c>
      <c r="H142" s="9" t="n">
        <v>0</v>
      </c>
      <c r="J142" s="55"/>
      <c r="K142" s="489" t="n">
        <v>0</v>
      </c>
      <c r="L142" s="490" t="s">
        <v>906</v>
      </c>
      <c r="M142" s="489" t="n">
        <v>10985</v>
      </c>
      <c r="N142" s="490" t="s">
        <v>906</v>
      </c>
    </row>
    <row r="143" customFormat="false" ht="19.85" hidden="false" customHeight="true" outlineLevel="0" collapsed="false">
      <c r="A143" s="1" t="n">
        <v>28</v>
      </c>
      <c r="B143" s="34" t="n">
        <v>41306</v>
      </c>
      <c r="C143" s="56" t="n">
        <v>546152</v>
      </c>
      <c r="D143" s="29" t="s">
        <v>41</v>
      </c>
      <c r="E143" s="33" t="n">
        <f aca="false">IF(D143="totale",(C143/(A143*24))/F143,IF(D143="marché libre",(C143/(A143*24))/G143,"spécifier histo"))</f>
        <v>0.580518707482993</v>
      </c>
      <c r="F143" s="9" t="n">
        <v>1400</v>
      </c>
      <c r="G143" s="28" t="n">
        <f aca="false">F143-H143</f>
        <v>1400</v>
      </c>
      <c r="H143" s="9" t="n">
        <v>0</v>
      </c>
      <c r="J143" s="55"/>
      <c r="K143" s="489" t="n">
        <v>0</v>
      </c>
      <c r="L143" s="490" t="s">
        <v>906</v>
      </c>
      <c r="M143" s="489" t="n">
        <v>7571</v>
      </c>
      <c r="N143" s="490" t="s">
        <v>906</v>
      </c>
    </row>
    <row r="144" customFormat="false" ht="19.85" hidden="false" customHeight="true" outlineLevel="0" collapsed="false">
      <c r="A144" s="1" t="n">
        <v>31</v>
      </c>
      <c r="B144" s="31" t="n">
        <v>41334</v>
      </c>
      <c r="C144" s="56" t="n">
        <v>638734</v>
      </c>
      <c r="D144" s="29" t="s">
        <v>41</v>
      </c>
      <c r="E144" s="33" t="n">
        <f aca="false">IF(D144="totale",(C144/(A144*24))/F144,IF(D144="marché libre",(C144/(A144*24))/G144,"spécifier histo"))</f>
        <v>0.613223886328725</v>
      </c>
      <c r="F144" s="9" t="n">
        <v>1400</v>
      </c>
      <c r="G144" s="28" t="n">
        <f aca="false">F144-H144</f>
        <v>1400</v>
      </c>
      <c r="H144" s="9" t="n">
        <v>0</v>
      </c>
      <c r="J144" s="55"/>
      <c r="K144" s="489" t="n">
        <v>0</v>
      </c>
      <c r="L144" s="490" t="s">
        <v>906</v>
      </c>
      <c r="M144" s="489" t="n">
        <v>16859</v>
      </c>
      <c r="N144" s="490" t="s">
        <v>906</v>
      </c>
    </row>
    <row r="145" customFormat="false" ht="19.85" hidden="false" customHeight="true" outlineLevel="0" collapsed="false">
      <c r="A145" s="1" t="n">
        <v>30</v>
      </c>
      <c r="B145" s="34" t="n">
        <v>41365</v>
      </c>
      <c r="C145" s="56" t="n">
        <v>657106</v>
      </c>
      <c r="D145" s="29" t="s">
        <v>41</v>
      </c>
      <c r="E145" s="33" t="n">
        <f aca="false">IF(D145="totale",(C145/(A145*24))/F145,IF(D145="marché libre",(C145/(A145*24))/G145,"spécifier histo"))</f>
        <v>0.651890873015873</v>
      </c>
      <c r="F145" s="9" t="n">
        <v>1400</v>
      </c>
      <c r="G145" s="28" t="n">
        <f aca="false">F145-H145</f>
        <v>1400</v>
      </c>
      <c r="H145" s="9" t="n">
        <v>0</v>
      </c>
      <c r="J145" s="55"/>
      <c r="K145" s="489" t="n">
        <v>0</v>
      </c>
      <c r="L145" s="490" t="s">
        <v>906</v>
      </c>
      <c r="M145" s="489" t="n">
        <v>28135</v>
      </c>
      <c r="N145" s="490" t="s">
        <v>906</v>
      </c>
    </row>
    <row r="146" customFormat="false" ht="19.85" hidden="false" customHeight="true" outlineLevel="0" collapsed="false">
      <c r="A146" s="1" t="n">
        <v>31</v>
      </c>
      <c r="B146" s="31" t="n">
        <v>41395</v>
      </c>
      <c r="C146" s="56" t="n">
        <v>678625</v>
      </c>
      <c r="D146" s="29" t="s">
        <v>41</v>
      </c>
      <c r="E146" s="33" t="n">
        <f aca="false">IF(D146="totale",(C146/(A146*24))/F146,IF(D146="marché libre",(C146/(A146*24))/G146,"spécifier histo"))</f>
        <v>0.651521697388633</v>
      </c>
      <c r="F146" s="9" t="n">
        <v>1400</v>
      </c>
      <c r="G146" s="28" t="n">
        <f aca="false">F146-H146</f>
        <v>1400</v>
      </c>
      <c r="H146" s="9" t="n">
        <v>0</v>
      </c>
      <c r="J146" s="55"/>
      <c r="K146" s="489" t="n">
        <v>179200</v>
      </c>
      <c r="L146" s="490" t="s">
        <v>906</v>
      </c>
      <c r="M146" s="489" t="n">
        <v>228215</v>
      </c>
      <c r="N146" s="490" t="s">
        <v>906</v>
      </c>
    </row>
    <row r="147" customFormat="false" ht="19.85" hidden="false" customHeight="true" outlineLevel="0" collapsed="false">
      <c r="A147" s="1" t="n">
        <v>30</v>
      </c>
      <c r="B147" s="34" t="n">
        <v>41426</v>
      </c>
      <c r="C147" s="56" t="n">
        <v>263154</v>
      </c>
      <c r="D147" s="29" t="s">
        <v>41</v>
      </c>
      <c r="E147" s="33" t="n">
        <f aca="false">IF(D147="totale",(C147/(A147*24))/F147,IF(D147="marché libre",(C147/(A147*24))/G147,"spécifier histo"))</f>
        <v>0.261065476190476</v>
      </c>
      <c r="F147" s="9" t="n">
        <v>1400</v>
      </c>
      <c r="G147" s="28" t="n">
        <f aca="false">F147-H147</f>
        <v>1400</v>
      </c>
      <c r="H147" s="9" t="n">
        <v>0</v>
      </c>
      <c r="J147" s="55"/>
      <c r="K147" s="489" t="n">
        <v>565600</v>
      </c>
      <c r="L147" s="490" t="s">
        <v>906</v>
      </c>
      <c r="M147" s="489" t="n">
        <v>219486</v>
      </c>
      <c r="N147" s="490" t="s">
        <v>906</v>
      </c>
    </row>
    <row r="148" customFormat="false" ht="19.85" hidden="false" customHeight="true" outlineLevel="0" collapsed="false">
      <c r="A148" s="1" t="n">
        <v>31</v>
      </c>
      <c r="B148" s="31" t="n">
        <v>41456</v>
      </c>
      <c r="C148" s="56" t="n">
        <v>3703</v>
      </c>
      <c r="D148" s="29" t="s">
        <v>41</v>
      </c>
      <c r="E148" s="33" t="n">
        <f aca="false">IF(D148="totale",(C148/(A148*24))/F148,IF(D148="marché libre",(C148/(A148*24))/G148,"spécifier histo"))</f>
        <v>0.00355510752688172</v>
      </c>
      <c r="F148" s="9" t="n">
        <v>1400</v>
      </c>
      <c r="G148" s="28" t="n">
        <f aca="false">F148-H148</f>
        <v>1400</v>
      </c>
      <c r="H148" s="9" t="n">
        <v>0</v>
      </c>
      <c r="J148" s="55"/>
    </row>
    <row r="149" customFormat="false" ht="19.85" hidden="false" customHeight="true" outlineLevel="0" collapsed="false">
      <c r="A149" s="1" t="n">
        <v>31</v>
      </c>
      <c r="B149" s="34" t="n">
        <v>41487</v>
      </c>
      <c r="C149" s="56" t="n">
        <v>10586</v>
      </c>
      <c r="D149" s="29" t="s">
        <v>41</v>
      </c>
      <c r="E149" s="33" t="n">
        <f aca="false">IF(D149="totale",(C149/(A149*24))/F149,IF(D149="marché libre",(C149/(A149*24))/G149,"spécifier histo"))</f>
        <v>0.0101632104454685</v>
      </c>
      <c r="F149" s="9" t="n">
        <v>1400</v>
      </c>
      <c r="G149" s="28" t="n">
        <f aca="false">F149-H149</f>
        <v>1400</v>
      </c>
      <c r="H149" s="9" t="n">
        <v>0</v>
      </c>
      <c r="J149" s="55"/>
      <c r="L149" s="308" t="s">
        <v>907</v>
      </c>
      <c r="M149" s="308" t="s">
        <v>908</v>
      </c>
      <c r="N149" s="1" t="s">
        <v>634</v>
      </c>
      <c r="O149" s="1" t="s">
        <v>909</v>
      </c>
      <c r="P149" s="1" t="s">
        <v>910</v>
      </c>
      <c r="Q149" s="1" t="s">
        <v>637</v>
      </c>
      <c r="R149" s="1" t="s">
        <v>638</v>
      </c>
      <c r="S149" s="1" t="s">
        <v>911</v>
      </c>
      <c r="T149" s="1" t="s">
        <v>912</v>
      </c>
      <c r="U149" s="1" t="s">
        <v>913</v>
      </c>
      <c r="V149" s="1" t="s">
        <v>914</v>
      </c>
      <c r="W149" s="1" t="s">
        <v>915</v>
      </c>
    </row>
    <row r="150" customFormat="false" ht="19.85" hidden="false" customHeight="true" outlineLevel="0" collapsed="false">
      <c r="A150" s="1" t="n">
        <v>30</v>
      </c>
      <c r="B150" s="31" t="n">
        <v>41518</v>
      </c>
      <c r="C150" s="56" t="n">
        <v>0</v>
      </c>
      <c r="D150" s="29" t="s">
        <v>41</v>
      </c>
      <c r="E150" s="33" t="n">
        <f aca="false">IF(D150="totale",(C150/(A150*24))/F150,IF(D150="marché libre",(C150/(A150*24))/G150,"spécifier histo"))</f>
        <v>0</v>
      </c>
      <c r="F150" s="9" t="n">
        <v>1400</v>
      </c>
      <c r="G150" s="28" t="n">
        <f aca="false">F150-H150</f>
        <v>1400</v>
      </c>
      <c r="H150" s="9" t="n">
        <v>0</v>
      </c>
      <c r="J150" s="491" t="n">
        <v>2013</v>
      </c>
      <c r="K150" s="491" t="s">
        <v>916</v>
      </c>
      <c r="L150" s="491" t="n">
        <v>424541</v>
      </c>
      <c r="M150" s="491" t="n">
        <v>546152</v>
      </c>
      <c r="N150" s="491" t="n">
        <v>638734</v>
      </c>
      <c r="O150" s="491" t="n">
        <v>657106</v>
      </c>
      <c r="P150" s="491" t="n">
        <v>678625</v>
      </c>
      <c r="Q150" s="491" t="n">
        <v>263154</v>
      </c>
      <c r="R150" s="491" t="n">
        <v>3703</v>
      </c>
      <c r="S150" s="491" t="n">
        <v>10586</v>
      </c>
      <c r="T150" s="491" t="s">
        <v>189</v>
      </c>
      <c r="U150" s="491" t="n">
        <v>71632</v>
      </c>
      <c r="V150" s="491" t="n">
        <v>294531</v>
      </c>
      <c r="W150" s="491" t="n">
        <v>212921</v>
      </c>
    </row>
    <row r="151" customFormat="false" ht="19.85" hidden="false" customHeight="true" outlineLevel="0" collapsed="false">
      <c r="A151" s="1" t="n">
        <v>31</v>
      </c>
      <c r="B151" s="34" t="n">
        <v>41548</v>
      </c>
      <c r="C151" s="56" t="n">
        <v>71632</v>
      </c>
      <c r="D151" s="29" t="s">
        <v>41</v>
      </c>
      <c r="E151" s="33" t="n">
        <f aca="false">IF(D151="totale",(C151/(A151*24))/F151,IF(D151="marché libre",(C151/(A151*24))/G151,"spécifier histo"))</f>
        <v>0.0687711213517665</v>
      </c>
      <c r="F151" s="9" t="n">
        <v>1400</v>
      </c>
      <c r="G151" s="28" t="n">
        <f aca="false">F151-H151</f>
        <v>1400</v>
      </c>
      <c r="H151" s="9" t="n">
        <v>0</v>
      </c>
      <c r="J151" s="491" t="n">
        <v>2014</v>
      </c>
      <c r="K151" s="491" t="s">
        <v>916</v>
      </c>
      <c r="L151" s="491" t="n">
        <v>650075</v>
      </c>
      <c r="M151" s="491" t="n">
        <v>595951</v>
      </c>
      <c r="N151" s="491" t="n">
        <v>575989</v>
      </c>
      <c r="O151" s="491" t="n">
        <v>231947</v>
      </c>
      <c r="P151" s="491" t="n">
        <v>173468</v>
      </c>
      <c r="Q151" s="491" t="n">
        <v>7339</v>
      </c>
      <c r="R151" s="491" t="n">
        <v>123033</v>
      </c>
      <c r="S151" s="491" t="n">
        <v>56355</v>
      </c>
      <c r="T151" s="491" t="n">
        <v>35255</v>
      </c>
      <c r="U151" s="491" t="n">
        <v>54450</v>
      </c>
      <c r="V151" s="491" t="n">
        <v>247115</v>
      </c>
      <c r="W151" s="491" t="n">
        <v>452704</v>
      </c>
      <c r="AB151" s="0"/>
      <c r="AC151" s="0"/>
      <c r="AD151" s="0"/>
    </row>
    <row r="152" customFormat="false" ht="19.85" hidden="false" customHeight="true" outlineLevel="0" collapsed="false">
      <c r="A152" s="1" t="n">
        <v>30</v>
      </c>
      <c r="B152" s="31" t="n">
        <v>41579</v>
      </c>
      <c r="C152" s="56" t="n">
        <v>294531</v>
      </c>
      <c r="D152" s="29" t="s">
        <v>41</v>
      </c>
      <c r="E152" s="33" t="n">
        <f aca="false">IF(D152="totale",(C152/(A152*24))/F152,IF(D152="marché libre",(C152/(A152*24))/G152,"spécifier histo"))</f>
        <v>0.292193452380952</v>
      </c>
      <c r="F152" s="9" t="n">
        <v>1400</v>
      </c>
      <c r="G152" s="28" t="n">
        <f aca="false">F152-H152</f>
        <v>1400</v>
      </c>
      <c r="H152" s="9" t="n">
        <v>0</v>
      </c>
      <c r="J152" s="491" t="n">
        <v>2015</v>
      </c>
      <c r="K152" s="491" t="s">
        <v>916</v>
      </c>
      <c r="L152" s="491" t="n">
        <v>359486</v>
      </c>
      <c r="M152" s="491" t="n">
        <v>363137</v>
      </c>
      <c r="N152" s="491" t="n">
        <v>482043</v>
      </c>
      <c r="O152" s="491" t="n">
        <v>221957</v>
      </c>
      <c r="P152" s="491" t="n">
        <v>164566</v>
      </c>
      <c r="Q152" s="491" t="n">
        <v>11009</v>
      </c>
      <c r="R152" s="491" t="n">
        <v>3294</v>
      </c>
      <c r="S152" s="491" t="n">
        <v>3350</v>
      </c>
      <c r="T152" s="491" t="n">
        <v>46898</v>
      </c>
      <c r="U152" s="491" t="n">
        <v>38921</v>
      </c>
      <c r="V152" s="491" t="n">
        <v>25917</v>
      </c>
      <c r="W152" s="491" t="n">
        <v>43586</v>
      </c>
      <c r="AB152" s="0"/>
      <c r="AC152" s="0"/>
      <c r="AD152" s="0"/>
    </row>
    <row r="153" customFormat="false" ht="19.85" hidden="false" customHeight="true" outlineLevel="0" collapsed="false">
      <c r="A153" s="1" t="n">
        <v>31</v>
      </c>
      <c r="B153" s="34" t="n">
        <v>41609</v>
      </c>
      <c r="C153" s="56" t="n">
        <v>212921</v>
      </c>
      <c r="D153" s="29" t="s">
        <v>41</v>
      </c>
      <c r="E153" s="33" t="n">
        <f aca="false">IF(D153="totale",(C153/(A153*24))/F153,IF(D153="marché libre",(C153/(A153*24))/G153,"spécifier histo"))</f>
        <v>0.204417242703533</v>
      </c>
      <c r="F153" s="9" t="n">
        <v>1400</v>
      </c>
      <c r="G153" s="28" t="n">
        <f aca="false">F153-H153</f>
        <v>1400</v>
      </c>
      <c r="H153" s="9" t="n">
        <v>0</v>
      </c>
      <c r="J153" s="491" t="n">
        <v>2016</v>
      </c>
      <c r="K153" s="491" t="s">
        <v>916</v>
      </c>
      <c r="L153" s="491" t="n">
        <v>579401</v>
      </c>
      <c r="M153" s="491" t="n">
        <v>616470</v>
      </c>
      <c r="N153" s="491" t="n">
        <v>598318</v>
      </c>
      <c r="O153" s="491" t="n">
        <v>463749</v>
      </c>
      <c r="P153" s="491" t="n">
        <v>392625</v>
      </c>
      <c r="Q153" s="491" t="n">
        <v>412188</v>
      </c>
      <c r="R153" s="491" t="n">
        <v>10985</v>
      </c>
      <c r="S153" s="491" t="n">
        <v>7571</v>
      </c>
      <c r="T153" s="491" t="n">
        <v>16859</v>
      </c>
      <c r="U153" s="491" t="n">
        <v>28135</v>
      </c>
      <c r="V153" s="491" t="n">
        <v>228215</v>
      </c>
      <c r="W153" s="491" t="n">
        <v>219486</v>
      </c>
      <c r="AB153" s="0"/>
      <c r="AC153" s="0"/>
      <c r="AD153" s="0"/>
    </row>
    <row r="154" customFormat="false" ht="19.85" hidden="false" customHeight="true" outlineLevel="0" collapsed="false">
      <c r="A154" s="1" t="n">
        <v>31</v>
      </c>
      <c r="B154" s="31" t="n">
        <v>41640</v>
      </c>
      <c r="C154" s="56" t="n">
        <v>650075</v>
      </c>
      <c r="D154" s="29" t="s">
        <v>41</v>
      </c>
      <c r="E154" s="33" t="n">
        <f aca="false">IF(D154="totale",(C154/(A154*24))/F154,IF(D154="marché libre",(C154/(A154*24))/G154,"spécifier histo"))</f>
        <v>0.624111943164362</v>
      </c>
      <c r="F154" s="9" t="n">
        <v>1400</v>
      </c>
      <c r="G154" s="28" t="n">
        <f aca="false">F154-H154</f>
        <v>1400</v>
      </c>
      <c r="H154" s="9" t="n">
        <v>0</v>
      </c>
      <c r="J154" s="491" t="n">
        <v>2017</v>
      </c>
      <c r="K154" s="491" t="s">
        <v>916</v>
      </c>
      <c r="L154" s="491" t="n">
        <v>170602</v>
      </c>
      <c r="M154" s="491" t="n">
        <v>504066</v>
      </c>
      <c r="N154" s="491" t="n">
        <v>575295</v>
      </c>
      <c r="O154" s="491" t="n">
        <v>212538</v>
      </c>
      <c r="P154" s="491" t="n">
        <v>248667</v>
      </c>
      <c r="Q154" s="491" t="n">
        <v>23898</v>
      </c>
      <c r="R154" s="491" t="s">
        <v>189</v>
      </c>
      <c r="S154" s="491" t="s">
        <v>189</v>
      </c>
      <c r="T154" s="491" t="s">
        <v>189</v>
      </c>
      <c r="U154" s="491" t="s">
        <v>189</v>
      </c>
      <c r="V154" s="491" t="s">
        <v>189</v>
      </c>
      <c r="W154" s="491" t="n">
        <v>6251</v>
      </c>
      <c r="AB154" s="0"/>
      <c r="AC154" s="0"/>
      <c r="AD154" s="0"/>
    </row>
    <row r="155" customFormat="false" ht="19.85" hidden="false" customHeight="true" outlineLevel="0" collapsed="false">
      <c r="A155" s="1" t="n">
        <v>28</v>
      </c>
      <c r="B155" s="34" t="n">
        <v>41671</v>
      </c>
      <c r="C155" s="56" t="n">
        <v>595951</v>
      </c>
      <c r="D155" s="29" t="s">
        <v>41</v>
      </c>
      <c r="E155" s="33" t="n">
        <f aca="false">IF(D155="totale",(C155/(A155*24))/F155,IF(D155="marché libre",(C155/(A155*24))/G155,"spécifier histo"))</f>
        <v>0.633451318027211</v>
      </c>
      <c r="F155" s="9" t="n">
        <v>1400</v>
      </c>
      <c r="G155" s="28" t="n">
        <f aca="false">F155-H155</f>
        <v>1400</v>
      </c>
      <c r="H155" s="9" t="n">
        <v>0</v>
      </c>
      <c r="J155" s="492" t="n">
        <v>2018</v>
      </c>
      <c r="K155" s="491" t="s">
        <v>644</v>
      </c>
      <c r="L155" s="491" t="n">
        <v>0</v>
      </c>
      <c r="M155" s="491" t="n">
        <v>227605</v>
      </c>
      <c r="N155" s="491" t="n">
        <v>281982</v>
      </c>
      <c r="O155" s="491" t="n">
        <v>242204</v>
      </c>
      <c r="P155" s="491" t="n">
        <v>248185</v>
      </c>
      <c r="Q155" s="491" t="n">
        <v>221924</v>
      </c>
      <c r="R155" s="491" t="n">
        <v>98994</v>
      </c>
      <c r="S155" s="491" t="n">
        <v>26591</v>
      </c>
      <c r="T155" s="491" t="s">
        <v>189</v>
      </c>
      <c r="U155" s="491" t="s">
        <v>189</v>
      </c>
      <c r="V155" s="491" t="s">
        <v>189</v>
      </c>
      <c r="W155" s="491" t="s">
        <v>189</v>
      </c>
      <c r="AB155" s="0"/>
      <c r="AC155" s="0"/>
      <c r="AD155" s="0"/>
    </row>
    <row r="156" customFormat="false" ht="19.85" hidden="false" customHeight="true" outlineLevel="0" collapsed="false">
      <c r="A156" s="1" t="n">
        <v>31</v>
      </c>
      <c r="B156" s="31" t="n">
        <v>41699</v>
      </c>
      <c r="C156" s="56" t="n">
        <v>575989</v>
      </c>
      <c r="D156" s="29" t="s">
        <v>41</v>
      </c>
      <c r="E156" s="33" t="n">
        <f aca="false">IF(D156="totale",(C156/(A156*24))/F156,IF(D156="marché libre",(C156/(A156*24))/G156,"spécifier histo"))</f>
        <v>0.552984831029186</v>
      </c>
      <c r="F156" s="9" t="n">
        <v>1400</v>
      </c>
      <c r="G156" s="28" t="n">
        <f aca="false">F156-H156</f>
        <v>1400</v>
      </c>
      <c r="H156" s="9" t="n">
        <v>0</v>
      </c>
      <c r="J156" s="492"/>
      <c r="K156" s="491" t="s">
        <v>917</v>
      </c>
      <c r="L156" s="491" t="n">
        <v>348829</v>
      </c>
      <c r="M156" s="491" t="n">
        <v>327444</v>
      </c>
      <c r="N156" s="491" t="n">
        <v>465487</v>
      </c>
      <c r="O156" s="491" t="n">
        <v>275792</v>
      </c>
      <c r="P156" s="491" t="n">
        <v>321970</v>
      </c>
      <c r="Q156" s="491" t="n">
        <v>282675</v>
      </c>
      <c r="R156" s="491" t="n">
        <v>2898</v>
      </c>
      <c r="S156" s="491" t="n">
        <v>109</v>
      </c>
      <c r="T156" s="491" t="s">
        <v>189</v>
      </c>
      <c r="U156" s="491" t="s">
        <v>189</v>
      </c>
      <c r="V156" s="491" t="s">
        <v>189</v>
      </c>
      <c r="W156" s="491" t="s">
        <v>189</v>
      </c>
      <c r="AB156" s="0"/>
      <c r="AC156" s="0"/>
      <c r="AD156" s="0"/>
    </row>
    <row r="157" customFormat="false" ht="19.85" hidden="false" customHeight="true" outlineLevel="0" collapsed="false">
      <c r="A157" s="1" t="n">
        <v>30</v>
      </c>
      <c r="B157" s="34" t="n">
        <v>41730</v>
      </c>
      <c r="C157" s="56" t="n">
        <v>231947</v>
      </c>
      <c r="D157" s="29" t="s">
        <v>41</v>
      </c>
      <c r="E157" s="33" t="n">
        <f aca="false">IF(D157="totale",(C157/(A157*24))/F157,IF(D157="marché libre",(C157/(A157*24))/G157,"spécifier histo"))</f>
        <v>0.230106150793651</v>
      </c>
      <c r="F157" s="9" t="n">
        <v>1400</v>
      </c>
      <c r="G157" s="28" t="n">
        <f aca="false">F157-H157</f>
        <v>1400</v>
      </c>
      <c r="H157" s="9" t="n">
        <v>0</v>
      </c>
      <c r="J157" s="492"/>
      <c r="K157" s="491" t="s">
        <v>918</v>
      </c>
      <c r="L157" s="491" t="n">
        <v>348829</v>
      </c>
      <c r="M157" s="491" t="n">
        <v>555049</v>
      </c>
      <c r="N157" s="491" t="n">
        <v>747469</v>
      </c>
      <c r="O157" s="491" t="n">
        <v>517996</v>
      </c>
      <c r="P157" s="491" t="n">
        <v>570155</v>
      </c>
      <c r="Q157" s="491" t="n">
        <v>504599</v>
      </c>
      <c r="R157" s="491" t="n">
        <v>101892</v>
      </c>
      <c r="S157" s="491" t="n">
        <v>26700</v>
      </c>
      <c r="T157" s="491" t="s">
        <v>189</v>
      </c>
      <c r="U157" s="491" t="s">
        <v>189</v>
      </c>
      <c r="V157" s="491" t="s">
        <v>189</v>
      </c>
      <c r="W157" s="277"/>
      <c r="AB157" s="0"/>
      <c r="AC157" s="0"/>
      <c r="AD157" s="0"/>
    </row>
    <row r="158" customFormat="false" ht="19.85" hidden="false" customHeight="true" outlineLevel="0" collapsed="false">
      <c r="A158" s="1" t="n">
        <v>31</v>
      </c>
      <c r="B158" s="31" t="n">
        <v>41760</v>
      </c>
      <c r="C158" s="56" t="n">
        <v>173468</v>
      </c>
      <c r="D158" s="29" t="s">
        <v>41</v>
      </c>
      <c r="E158" s="33" t="n">
        <f aca="false">IF(D158="totale",(C158/(A158*24))/F158,IF(D158="marché libre",(C158/(A158*24))/G158,"spécifier histo"))</f>
        <v>0.166539938556068</v>
      </c>
      <c r="F158" s="9" t="n">
        <v>1400</v>
      </c>
      <c r="G158" s="28" t="n">
        <f aca="false">F158-H158</f>
        <v>1400</v>
      </c>
      <c r="H158" s="9" t="n">
        <v>0</v>
      </c>
      <c r="J158" s="55"/>
      <c r="AB158" s="0"/>
      <c r="AC158" s="0"/>
      <c r="AD158" s="0"/>
    </row>
    <row r="159" customFormat="false" ht="19.85" hidden="false" customHeight="true" outlineLevel="0" collapsed="false">
      <c r="A159" s="1" t="n">
        <v>30</v>
      </c>
      <c r="B159" s="34" t="n">
        <v>41791</v>
      </c>
      <c r="C159" s="56" t="n">
        <v>7339</v>
      </c>
      <c r="D159" s="29" t="s">
        <v>41</v>
      </c>
      <c r="E159" s="33" t="n">
        <f aca="false">IF(D159="totale",(C159/(A159*24))/F159,IF(D159="marché libre",(C159/(A159*24))/G159,"spécifier histo"))</f>
        <v>0.00728075396825397</v>
      </c>
      <c r="F159" s="9" t="n">
        <v>1400</v>
      </c>
      <c r="G159" s="28" t="n">
        <f aca="false">F159-H159</f>
        <v>1400</v>
      </c>
      <c r="H159" s="9" t="n">
        <v>0</v>
      </c>
      <c r="J159" s="55"/>
      <c r="AB159" s="0"/>
      <c r="AC159" s="0"/>
      <c r="AD159" s="0"/>
    </row>
    <row r="160" customFormat="false" ht="19.85" hidden="false" customHeight="true" outlineLevel="0" collapsed="false">
      <c r="A160" s="1" t="n">
        <v>31</v>
      </c>
      <c r="B160" s="31" t="n">
        <v>41821</v>
      </c>
      <c r="C160" s="56" t="n">
        <v>123033</v>
      </c>
      <c r="D160" s="29" t="s">
        <v>41</v>
      </c>
      <c r="E160" s="33" t="n">
        <f aca="false">IF(D160="totale",(C160/(A160*24))/F160,IF(D160="marché libre",(C160/(A160*24))/G160,"spécifier histo"))</f>
        <v>0.118119239631336</v>
      </c>
      <c r="F160" s="9" t="n">
        <v>1400</v>
      </c>
      <c r="G160" s="28" t="n">
        <f aca="false">F160-H160</f>
        <v>1400</v>
      </c>
      <c r="H160" s="9" t="n">
        <v>0</v>
      </c>
      <c r="J160" s="55"/>
      <c r="AB160" s="0"/>
      <c r="AC160" s="0"/>
      <c r="AD160" s="0"/>
    </row>
    <row r="161" customFormat="false" ht="19.85" hidden="false" customHeight="true" outlineLevel="0" collapsed="false">
      <c r="A161" s="1" t="n">
        <v>31</v>
      </c>
      <c r="B161" s="34" t="n">
        <v>41852</v>
      </c>
      <c r="C161" s="56" t="n">
        <v>56355</v>
      </c>
      <c r="D161" s="29" t="s">
        <v>41</v>
      </c>
      <c r="E161" s="33" t="n">
        <f aca="false">IF(D161="totale",(C161/(A161*24))/F161,IF(D161="marché libre",(C161/(A161*24))/G161,"spécifier histo"))</f>
        <v>0.0541042626728111</v>
      </c>
      <c r="F161" s="9" t="n">
        <v>1400</v>
      </c>
      <c r="G161" s="28" t="n">
        <f aca="false">F161-H161</f>
        <v>1400</v>
      </c>
      <c r="H161" s="9" t="n">
        <v>0</v>
      </c>
      <c r="J161" s="493" t="s">
        <v>919</v>
      </c>
      <c r="AB161" s="0"/>
      <c r="AC161" s="0"/>
      <c r="AD161" s="0"/>
    </row>
    <row r="162" customFormat="false" ht="19.85" hidden="false" customHeight="true" outlineLevel="0" collapsed="false">
      <c r="A162" s="1" t="n">
        <v>30</v>
      </c>
      <c r="B162" s="31" t="n">
        <v>41883</v>
      </c>
      <c r="C162" s="56" t="n">
        <v>35255</v>
      </c>
      <c r="D162" s="29" t="s">
        <v>41</v>
      </c>
      <c r="E162" s="33" t="n">
        <f aca="false">IF(D162="totale",(C162/(A162*24))/F162,IF(D162="marché libre",(C162/(A162*24))/G162,"spécifier histo"))</f>
        <v>0.0349751984126984</v>
      </c>
      <c r="F162" s="9" t="n">
        <v>1400</v>
      </c>
      <c r="G162" s="28" t="n">
        <f aca="false">F162-H162</f>
        <v>1400</v>
      </c>
      <c r="H162" s="9" t="n">
        <v>0</v>
      </c>
      <c r="J162" s="494" t="s">
        <v>920</v>
      </c>
      <c r="AB162" s="0"/>
      <c r="AC162" s="0"/>
      <c r="AD162" s="0"/>
    </row>
    <row r="163" customFormat="false" ht="19.85" hidden="false" customHeight="true" outlineLevel="0" collapsed="false">
      <c r="A163" s="1" t="n">
        <v>31</v>
      </c>
      <c r="B163" s="34" t="n">
        <v>41913</v>
      </c>
      <c r="C163" s="56" t="n">
        <v>54450</v>
      </c>
      <c r="D163" s="29" t="s">
        <v>41</v>
      </c>
      <c r="E163" s="33" t="n">
        <f aca="false">IF(D163="totale",(C163/(A163*24))/F163,IF(D163="marché libre",(C163/(A163*24))/G163,"spécifier histo"))</f>
        <v>0.0522753456221198</v>
      </c>
      <c r="F163" s="9" t="n">
        <v>1400</v>
      </c>
      <c r="G163" s="28" t="n">
        <f aca="false">F163-H163</f>
        <v>1400</v>
      </c>
      <c r="H163" s="9" t="n">
        <v>0</v>
      </c>
      <c r="J163" s="494" t="s">
        <v>921</v>
      </c>
    </row>
    <row r="164" customFormat="false" ht="19.85" hidden="false" customHeight="true" outlineLevel="0" collapsed="false">
      <c r="A164" s="1" t="n">
        <v>30</v>
      </c>
      <c r="B164" s="31" t="n">
        <v>41944</v>
      </c>
      <c r="C164" s="56" t="n">
        <v>247115</v>
      </c>
      <c r="D164" s="29" t="s">
        <v>41</v>
      </c>
      <c r="E164" s="33" t="n">
        <f aca="false">IF(D164="totale",(C164/(A164*24))/F164,IF(D164="marché libre",(C164/(A164*24))/G164,"spécifier histo"))</f>
        <v>0.24515376984127</v>
      </c>
      <c r="F164" s="9" t="n">
        <v>1400</v>
      </c>
      <c r="G164" s="28" t="n">
        <f aca="false">F164-H164</f>
        <v>1400</v>
      </c>
      <c r="H164" s="9" t="n">
        <v>0</v>
      </c>
      <c r="J164" s="494" t="s">
        <v>922</v>
      </c>
    </row>
    <row r="165" customFormat="false" ht="19.85" hidden="false" customHeight="true" outlineLevel="0" collapsed="false">
      <c r="A165" s="1" t="n">
        <v>31</v>
      </c>
      <c r="B165" s="34" t="n">
        <v>41974</v>
      </c>
      <c r="C165" s="56" t="n">
        <v>452704</v>
      </c>
      <c r="D165" s="29" t="s">
        <v>41</v>
      </c>
      <c r="E165" s="33" t="n">
        <f aca="false">IF(D165="totale",(C165/(A165*24))/F165,IF(D165="marché libre",(C165/(A165*24))/G165,"spécifier histo"))</f>
        <v>0.434623655913978</v>
      </c>
      <c r="F165" s="9" t="n">
        <v>1400</v>
      </c>
      <c r="G165" s="28" t="n">
        <f aca="false">F165-H165</f>
        <v>1400</v>
      </c>
      <c r="H165" s="9" t="n">
        <v>0</v>
      </c>
      <c r="J165" s="494" t="s">
        <v>923</v>
      </c>
    </row>
    <row r="166" customFormat="false" ht="19.85" hidden="false" customHeight="true" outlineLevel="0" collapsed="false">
      <c r="A166" s="1" t="n">
        <v>31</v>
      </c>
      <c r="B166" s="31" t="n">
        <v>42005</v>
      </c>
      <c r="C166" s="56" t="n">
        <v>359486</v>
      </c>
      <c r="D166" s="29" t="s">
        <v>41</v>
      </c>
      <c r="E166" s="94" t="n">
        <f aca="false">IF(D166="totale",(C166/(A166*24))/F166,IF(D166="marché libre",(C166/(A166*24))/G166,"spécifier histo"))</f>
        <v>0.345128648233487</v>
      </c>
      <c r="F166" s="9" t="n">
        <v>1400</v>
      </c>
      <c r="G166" s="28" t="n">
        <f aca="false">F166-H166</f>
        <v>1400</v>
      </c>
      <c r="H166" s="9" t="n">
        <v>0</v>
      </c>
      <c r="J166" s="55"/>
    </row>
    <row r="167" customFormat="false" ht="19.85" hidden="false" customHeight="true" outlineLevel="0" collapsed="false">
      <c r="A167" s="1" t="n">
        <v>28</v>
      </c>
      <c r="B167" s="34" t="n">
        <v>42036</v>
      </c>
      <c r="C167" s="56" t="n">
        <v>363137</v>
      </c>
      <c r="D167" s="29" t="s">
        <v>41</v>
      </c>
      <c r="E167" s="33" t="n">
        <f aca="false">IF(D167="totale",(C167/(A167*24))/F167,IF(D167="marché libre",(C167/(A167*24))/G167,"spécifier histo"))</f>
        <v>0.385987457482993</v>
      </c>
      <c r="F167" s="9" t="n">
        <v>1400</v>
      </c>
      <c r="G167" s="28" t="n">
        <f aca="false">F167-H167</f>
        <v>1400</v>
      </c>
      <c r="H167" s="9" t="n">
        <v>0</v>
      </c>
      <c r="J167" s="55"/>
    </row>
    <row r="168" customFormat="false" ht="19.85" hidden="false" customHeight="true" outlineLevel="0" collapsed="false">
      <c r="A168" s="1" t="n">
        <v>31</v>
      </c>
      <c r="B168" s="31" t="n">
        <v>42064</v>
      </c>
      <c r="C168" s="56" t="n">
        <v>482043</v>
      </c>
      <c r="D168" s="29" t="s">
        <v>41</v>
      </c>
      <c r="E168" s="33" t="n">
        <f aca="false">IF(D168="totale",(C168/(A168*24))/F168,IF(D168="marché libre",(C168/(A168*24))/G168,"spécifier histo"))</f>
        <v>0.462790898617511</v>
      </c>
      <c r="F168" s="9" t="n">
        <v>1400</v>
      </c>
      <c r="G168" s="28" t="n">
        <f aca="false">F168-H168</f>
        <v>1400</v>
      </c>
      <c r="H168" s="9" t="n">
        <v>0</v>
      </c>
      <c r="J168" s="55"/>
    </row>
    <row r="169" customFormat="false" ht="19.85" hidden="false" customHeight="true" outlineLevel="0" collapsed="false">
      <c r="A169" s="1" t="n">
        <v>30</v>
      </c>
      <c r="B169" s="34" t="n">
        <v>42095</v>
      </c>
      <c r="C169" s="56" t="n">
        <v>221957</v>
      </c>
      <c r="D169" s="29" t="s">
        <v>41</v>
      </c>
      <c r="E169" s="33" t="n">
        <f aca="false">IF(D169="totale",(C169/(A169*24))/F169,IF(D169="marché libre",(C169/(A169*24))/G169,"spécifier histo"))</f>
        <v>0.220195436507936</v>
      </c>
      <c r="F169" s="9" t="n">
        <v>1400</v>
      </c>
      <c r="G169" s="28" t="n">
        <f aca="false">F169-H169</f>
        <v>1400</v>
      </c>
      <c r="H169" s="9" t="n">
        <v>0</v>
      </c>
      <c r="J169" s="55"/>
    </row>
    <row r="170" customFormat="false" ht="19.85" hidden="false" customHeight="true" outlineLevel="0" collapsed="false">
      <c r="A170" s="1" t="n">
        <v>31</v>
      </c>
      <c r="B170" s="31" t="n">
        <v>42125</v>
      </c>
      <c r="C170" s="56" t="n">
        <v>164566</v>
      </c>
      <c r="D170" s="29" t="s">
        <v>41</v>
      </c>
      <c r="E170" s="33" t="n">
        <f aca="false">IF(D170="totale",(C170/(A170*24))/F170,IF(D170="marché libre",(C170/(A170*24))/G170,"spécifier histo"))</f>
        <v>0.157993471582181</v>
      </c>
      <c r="F170" s="9" t="n">
        <v>1400</v>
      </c>
      <c r="G170" s="28" t="n">
        <f aca="false">F170-H170</f>
        <v>1400</v>
      </c>
      <c r="H170" s="9" t="n">
        <v>0</v>
      </c>
      <c r="J170" s="55"/>
    </row>
    <row r="171" customFormat="false" ht="19.85" hidden="false" customHeight="true" outlineLevel="0" collapsed="false">
      <c r="A171" s="1" t="n">
        <v>30</v>
      </c>
      <c r="B171" s="34" t="n">
        <v>42156</v>
      </c>
      <c r="C171" s="56" t="n">
        <v>11009</v>
      </c>
      <c r="D171" s="29" t="s">
        <v>41</v>
      </c>
      <c r="E171" s="33" t="n">
        <f aca="false">IF(D171="totale",(C171/(A171*24))/F171,IF(D171="marché libre",(C171/(A171*24))/G171,"spécifier histo"))</f>
        <v>0.010921626984127</v>
      </c>
      <c r="F171" s="9" t="n">
        <v>1400</v>
      </c>
      <c r="G171" s="28" t="n">
        <f aca="false">F171-H171</f>
        <v>1400</v>
      </c>
      <c r="H171" s="9" t="n">
        <v>0</v>
      </c>
      <c r="J171" s="55"/>
    </row>
    <row r="172" customFormat="false" ht="19.85" hidden="false" customHeight="true" outlineLevel="0" collapsed="false">
      <c r="A172" s="1" t="n">
        <v>31</v>
      </c>
      <c r="B172" s="31" t="n">
        <v>42186</v>
      </c>
      <c r="C172" s="56" t="n">
        <v>3294</v>
      </c>
      <c r="D172" s="29" t="s">
        <v>41</v>
      </c>
      <c r="E172" s="33" t="n">
        <f aca="false">IF(D172="totale",(C172/(A172*24))/F172,IF(D172="marché libre",(C172/(A172*24))/G172,"spécifier histo"))</f>
        <v>0.00316244239631336</v>
      </c>
      <c r="F172" s="9" t="n">
        <v>1400</v>
      </c>
      <c r="G172" s="28" t="n">
        <f aca="false">F172-H172</f>
        <v>1400</v>
      </c>
      <c r="H172" s="9" t="n">
        <v>0</v>
      </c>
      <c r="J172" s="55"/>
    </row>
    <row r="173" customFormat="false" ht="19.85" hidden="false" customHeight="true" outlineLevel="0" collapsed="false">
      <c r="A173" s="1" t="n">
        <v>31</v>
      </c>
      <c r="B173" s="34" t="n">
        <v>42217</v>
      </c>
      <c r="C173" s="56" t="n">
        <v>3350</v>
      </c>
      <c r="D173" s="29" t="s">
        <v>41</v>
      </c>
      <c r="E173" s="33" t="n">
        <f aca="false">IF(D173="totale",(C173/(A173*24))/F173,IF(D173="marché libre",(C173/(A173*24))/G173,"spécifier histo"))</f>
        <v>0.00321620583717358</v>
      </c>
      <c r="F173" s="9" t="n">
        <v>1400</v>
      </c>
      <c r="G173" s="28" t="n">
        <f aca="false">F173-H173</f>
        <v>1400</v>
      </c>
      <c r="H173" s="9" t="n">
        <v>0</v>
      </c>
      <c r="J173" s="55"/>
    </row>
    <row r="174" customFormat="false" ht="19.85" hidden="false" customHeight="true" outlineLevel="0" collapsed="false">
      <c r="A174" s="1" t="n">
        <v>30</v>
      </c>
      <c r="B174" s="31" t="n">
        <v>42248</v>
      </c>
      <c r="C174" s="56" t="n">
        <v>46898</v>
      </c>
      <c r="D174" s="29" t="s">
        <v>41</v>
      </c>
      <c r="E174" s="33" t="n">
        <f aca="false">IF(D174="totale",(C174/(A174*24))/F174,IF(D174="marché libre",(C174/(A174*24))/G174,"spécifier histo"))</f>
        <v>0.0465257936507936</v>
      </c>
      <c r="F174" s="9" t="n">
        <v>1400</v>
      </c>
      <c r="G174" s="28" t="n">
        <f aca="false">F174-H174</f>
        <v>1400</v>
      </c>
      <c r="H174" s="9" t="n">
        <v>0</v>
      </c>
      <c r="J174" s="55"/>
    </row>
    <row r="175" customFormat="false" ht="19.85" hidden="false" customHeight="true" outlineLevel="0" collapsed="false">
      <c r="A175" s="1" t="n">
        <v>31</v>
      </c>
      <c r="B175" s="34" t="n">
        <v>42278</v>
      </c>
      <c r="C175" s="56" t="n">
        <v>38921</v>
      </c>
      <c r="D175" s="29" t="s">
        <v>41</v>
      </c>
      <c r="E175" s="33" t="n">
        <f aca="false">IF(D175="totale",(C175/(A175*24))/F175,IF(D175="marché libre",(C175/(A175*24))/G175,"spécifier histo"))</f>
        <v>0.0373665514592934</v>
      </c>
      <c r="F175" s="9" t="n">
        <v>1400</v>
      </c>
      <c r="G175" s="28" t="n">
        <f aca="false">F175-H175</f>
        <v>1400</v>
      </c>
      <c r="H175" s="9" t="n">
        <v>0</v>
      </c>
      <c r="J175" s="55"/>
    </row>
    <row r="176" customFormat="false" ht="19.85" hidden="false" customHeight="true" outlineLevel="0" collapsed="false">
      <c r="A176" s="1" t="n">
        <v>30</v>
      </c>
      <c r="B176" s="31" t="n">
        <v>42309</v>
      </c>
      <c r="C176" s="56" t="n">
        <v>25917</v>
      </c>
      <c r="D176" s="29" t="s">
        <v>41</v>
      </c>
      <c r="E176" s="33" t="n">
        <f aca="false">IF(D176="totale",(C176/(A176*24))/F176,IF(D176="marché libre",(C176/(A176*24))/G176,"spécifier histo"))</f>
        <v>0.0257113095238095</v>
      </c>
      <c r="F176" s="9" t="n">
        <v>1400</v>
      </c>
      <c r="G176" s="28" t="n">
        <f aca="false">F176-H176</f>
        <v>1400</v>
      </c>
      <c r="H176" s="9" t="n">
        <v>0</v>
      </c>
      <c r="J176" s="55"/>
    </row>
    <row r="177" customFormat="false" ht="19.85" hidden="false" customHeight="true" outlineLevel="0" collapsed="false">
      <c r="A177" s="1" t="n">
        <v>31</v>
      </c>
      <c r="B177" s="34" t="n">
        <v>42339</v>
      </c>
      <c r="C177" s="56" t="n">
        <v>43586</v>
      </c>
      <c r="D177" s="29" t="s">
        <v>41</v>
      </c>
      <c r="E177" s="33" t="n">
        <f aca="false">IF(D177="totale",(C177/(A177*24))/F177,IF(D177="marché libre",(C177/(A177*24))/G177,"spécifier histo"))</f>
        <v>0.0418452380952381</v>
      </c>
      <c r="F177" s="9" t="n">
        <v>1400</v>
      </c>
      <c r="G177" s="28" t="n">
        <f aca="false">F177-H177</f>
        <v>1400</v>
      </c>
      <c r="H177" s="9" t="n">
        <v>0</v>
      </c>
      <c r="J177" s="55"/>
    </row>
    <row r="178" customFormat="false" ht="19.85" hidden="false" customHeight="true" outlineLevel="0" collapsed="false">
      <c r="A178" s="1" t="n">
        <v>31</v>
      </c>
      <c r="B178" s="31" t="n">
        <v>42370</v>
      </c>
      <c r="C178" s="309" t="n">
        <v>577340.166666667</v>
      </c>
      <c r="D178" s="246" t="s">
        <v>42</v>
      </c>
      <c r="E178" s="118" t="n">
        <f aca="false">IF(D178="totale",(C178/(A178*24))/F178,IF(D178="marché libre",(C178/(A178*24))/G178,"spécifier histo"))</f>
        <v>0.554282034050179</v>
      </c>
      <c r="F178" s="339" t="n">
        <v>1400</v>
      </c>
      <c r="G178" s="339" t="n">
        <f aca="false">F178-H178</f>
        <v>1400</v>
      </c>
      <c r="H178" s="339" t="n">
        <v>0</v>
      </c>
      <c r="J178" s="55"/>
    </row>
    <row r="179" customFormat="false" ht="19.85" hidden="false" customHeight="true" outlineLevel="0" collapsed="false">
      <c r="A179" s="1" t="n">
        <v>28</v>
      </c>
      <c r="B179" s="34" t="n">
        <v>42401</v>
      </c>
      <c r="C179" s="56" t="n">
        <v>616097.5</v>
      </c>
      <c r="D179" s="29" t="s">
        <v>42</v>
      </c>
      <c r="E179" s="33" t="n">
        <f aca="false">IF(D179="totale",(C179/(A179*24))/F179,IF(D179="marché libre",(C179/(A179*24))/G179,"spécifier histo"))</f>
        <v>0.654865539965986</v>
      </c>
      <c r="F179" s="9" t="n">
        <v>1400</v>
      </c>
      <c r="G179" s="28" t="n">
        <f aca="false">F179-H179</f>
        <v>1400</v>
      </c>
      <c r="H179" s="9" t="n">
        <v>0</v>
      </c>
      <c r="J179" s="55"/>
    </row>
    <row r="180" customFormat="false" ht="19.85" hidden="false" customHeight="true" outlineLevel="0" collapsed="false">
      <c r="A180" s="1" t="n">
        <v>31</v>
      </c>
      <c r="B180" s="31" t="n">
        <v>42430</v>
      </c>
      <c r="C180" s="56" t="n">
        <v>598474</v>
      </c>
      <c r="D180" s="29" t="s">
        <v>42</v>
      </c>
      <c r="E180" s="33" t="n">
        <f aca="false">IF(D180="totale",(C180/(A180*24))/F180,IF(D180="marché libre",(C180/(A180*24))/G180,"spécifier histo"))</f>
        <v>0.574571812596006</v>
      </c>
      <c r="F180" s="9" t="n">
        <v>1400</v>
      </c>
      <c r="G180" s="28" t="n">
        <f aca="false">F180-H180</f>
        <v>1400</v>
      </c>
      <c r="H180" s="9" t="n">
        <v>0</v>
      </c>
      <c r="J180" s="55"/>
    </row>
    <row r="181" customFormat="false" ht="19.85" hidden="false" customHeight="true" outlineLevel="0" collapsed="false">
      <c r="A181" s="1" t="n">
        <v>30</v>
      </c>
      <c r="B181" s="34" t="n">
        <v>42461</v>
      </c>
      <c r="C181" s="56" t="n">
        <v>466025.333333333</v>
      </c>
      <c r="D181" s="29" t="s">
        <v>42</v>
      </c>
      <c r="E181" s="33" t="n">
        <f aca="false">IF(D181="totale",(C181/(A181*24))/F181,IF(D181="marché libre",(C181/(A181*24))/G181,"spécifier histo"))</f>
        <v>0.462326719576719</v>
      </c>
      <c r="F181" s="9" t="n">
        <v>1400</v>
      </c>
      <c r="G181" s="28" t="n">
        <f aca="false">F181-H181</f>
        <v>1400</v>
      </c>
      <c r="H181" s="9" t="n">
        <v>0</v>
      </c>
      <c r="J181" s="55"/>
    </row>
    <row r="182" customFormat="false" ht="19.85" hidden="false" customHeight="true" outlineLevel="0" collapsed="false">
      <c r="A182" s="1" t="n">
        <v>31</v>
      </c>
      <c r="B182" s="31" t="n">
        <v>42491</v>
      </c>
      <c r="C182" s="56" t="n">
        <v>391824.833333333</v>
      </c>
      <c r="D182" s="29" t="s">
        <v>42</v>
      </c>
      <c r="E182" s="33" t="n">
        <f aca="false">IF(D182="totale",(C182/(A182*24))/F182,IF(D182="marché libre",(C182/(A182*24))/G182,"spécifier histo"))</f>
        <v>0.376175915258576</v>
      </c>
      <c r="F182" s="9" t="n">
        <v>1400</v>
      </c>
      <c r="G182" s="28" t="n">
        <f aca="false">F182-H182</f>
        <v>1400</v>
      </c>
      <c r="H182" s="9" t="n">
        <v>0</v>
      </c>
      <c r="J182" s="55"/>
      <c r="K182" s="63"/>
    </row>
    <row r="183" customFormat="false" ht="19.85" hidden="false" customHeight="true" outlineLevel="0" collapsed="false">
      <c r="A183" s="1" t="n">
        <v>30</v>
      </c>
      <c r="B183" s="34" t="n">
        <v>42522</v>
      </c>
      <c r="C183" s="56" t="n">
        <v>412987.5</v>
      </c>
      <c r="D183" s="29" t="s">
        <v>42</v>
      </c>
      <c r="E183" s="33" t="n">
        <f aca="false">IF(D183="totale",(C183/(A183*24))/F183,IF(D183="marché libre",(C183/(A183*24))/G183,"spécifier histo"))</f>
        <v>0.409709821428571</v>
      </c>
      <c r="F183" s="9" t="n">
        <v>1400</v>
      </c>
      <c r="G183" s="28" t="n">
        <f aca="false">F183-H183</f>
        <v>1400</v>
      </c>
      <c r="H183" s="9" t="n">
        <v>0</v>
      </c>
      <c r="J183" s="55"/>
      <c r="K183" s="63"/>
    </row>
    <row r="184" customFormat="false" ht="19.85" hidden="false" customHeight="true" outlineLevel="0" collapsed="false">
      <c r="A184" s="1" t="n">
        <v>31</v>
      </c>
      <c r="B184" s="31" t="n">
        <v>42552</v>
      </c>
      <c r="C184" s="56" t="n">
        <v>10986.3333333333</v>
      </c>
      <c r="D184" s="29" t="s">
        <v>42</v>
      </c>
      <c r="E184" s="33" t="n">
        <f aca="false">IF(D184="totale",(C184/(A184*24))/F184,IF(D184="marché libre",(C184/(A184*24))/G184,"spécifier histo"))</f>
        <v>0.0105475550435228</v>
      </c>
      <c r="F184" s="9" t="n">
        <v>1400</v>
      </c>
      <c r="G184" s="28" t="n">
        <f aca="false">F184-H184</f>
        <v>1400</v>
      </c>
      <c r="H184" s="9" t="n">
        <v>0</v>
      </c>
      <c r="J184" s="55"/>
      <c r="K184" s="63"/>
    </row>
    <row r="185" customFormat="false" ht="19.85" hidden="false" customHeight="true" outlineLevel="0" collapsed="false">
      <c r="A185" s="1" t="n">
        <v>31</v>
      </c>
      <c r="B185" s="34" t="n">
        <v>42583</v>
      </c>
      <c r="C185" s="56" t="n">
        <v>7570.33333333333</v>
      </c>
      <c r="D185" s="29" t="s">
        <v>42</v>
      </c>
      <c r="E185" s="33" t="n">
        <f aca="false">IF(D185="totale",(C185/(A185*24))/F185,IF(D185="marché libre",(C185/(A185*24))/G185,"spécifier histo"))</f>
        <v>0.00726798515104966</v>
      </c>
      <c r="F185" s="9" t="n">
        <v>1400</v>
      </c>
      <c r="G185" s="28" t="n">
        <f aca="false">F185-H185</f>
        <v>1400</v>
      </c>
      <c r="H185" s="9" t="n">
        <v>0</v>
      </c>
      <c r="J185" s="55"/>
    </row>
    <row r="186" customFormat="false" ht="19.85" hidden="false" customHeight="true" outlineLevel="0" collapsed="false">
      <c r="A186" s="1" t="n">
        <v>30</v>
      </c>
      <c r="B186" s="31" t="n">
        <v>42614</v>
      </c>
      <c r="C186" s="56" t="n">
        <v>16858.8333333333</v>
      </c>
      <c r="D186" s="29" t="s">
        <v>42</v>
      </c>
      <c r="E186" s="33" t="n">
        <f aca="false">IF(D186="totale",(C186/(A186*24))/F186,IF(D186="marché libre",(C186/(A186*24))/G186,"spécifier histo"))</f>
        <v>0.016725033068783</v>
      </c>
      <c r="F186" s="9" t="n">
        <v>1400</v>
      </c>
      <c r="G186" s="28" t="n">
        <f aca="false">F186-H186</f>
        <v>1400</v>
      </c>
      <c r="H186" s="9" t="n">
        <v>0</v>
      </c>
      <c r="J186" s="55"/>
    </row>
    <row r="187" customFormat="false" ht="19.85" hidden="false" customHeight="true" outlineLevel="0" collapsed="false">
      <c r="A187" s="1" t="n">
        <v>31</v>
      </c>
      <c r="B187" s="34" t="n">
        <v>42644</v>
      </c>
      <c r="C187" s="56" t="n">
        <v>28135</v>
      </c>
      <c r="D187" s="29" t="s">
        <v>42</v>
      </c>
      <c r="E187" s="33" t="n">
        <f aca="false">IF(D187="totale",(C187/(A187*24))/F187,IF(D187="marché libre",(C187/(A187*24))/G187,"spécifier histo"))</f>
        <v>0.0270113287250384</v>
      </c>
      <c r="F187" s="9" t="n">
        <v>1400</v>
      </c>
      <c r="G187" s="28" t="n">
        <f aca="false">F187-H187</f>
        <v>1400</v>
      </c>
      <c r="H187" s="9" t="n">
        <v>0</v>
      </c>
      <c r="J187" s="55"/>
    </row>
    <row r="188" customFormat="false" ht="19.85" hidden="false" customHeight="true" outlineLevel="0" collapsed="false">
      <c r="A188" s="1" t="n">
        <v>30</v>
      </c>
      <c r="B188" s="31" t="n">
        <v>42675</v>
      </c>
      <c r="C188" s="56" t="n">
        <v>228215</v>
      </c>
      <c r="D188" s="29" t="s">
        <v>42</v>
      </c>
      <c r="E188" s="33" t="n">
        <f aca="false">IF(D188="totale",(C188/(A188*24))/F188,IF(D188="marché libre",(C188/(A188*24))/G188,"spécifier histo"))</f>
        <v>0.22640376984127</v>
      </c>
      <c r="F188" s="9" t="n">
        <v>1400</v>
      </c>
      <c r="G188" s="28" t="n">
        <f aca="false">F188-H188</f>
        <v>1400</v>
      </c>
      <c r="H188" s="9" t="n">
        <v>0</v>
      </c>
      <c r="J188" s="55"/>
    </row>
    <row r="189" customFormat="false" ht="19.85" hidden="false" customHeight="true" outlineLevel="0" collapsed="false">
      <c r="A189" s="1" t="n">
        <v>31</v>
      </c>
      <c r="B189" s="34" t="n">
        <v>42705</v>
      </c>
      <c r="C189" s="56" t="n">
        <v>219486</v>
      </c>
      <c r="D189" s="29" t="s">
        <v>42</v>
      </c>
      <c r="E189" s="33" t="n">
        <f aca="false">IF(D189="totale",(C189/(A189*24))/F189,IF(D189="marché libre",(C189/(A189*24))/G189,"spécifier histo"))</f>
        <v>0.210720046082949</v>
      </c>
      <c r="F189" s="9" t="n">
        <v>1400</v>
      </c>
      <c r="G189" s="28" t="n">
        <f aca="false">F189-H189</f>
        <v>1400</v>
      </c>
      <c r="H189" s="9" t="n">
        <v>0</v>
      </c>
      <c r="J189" s="55"/>
    </row>
    <row r="190" customFormat="false" ht="19.85" hidden="false" customHeight="true" outlineLevel="0" collapsed="false">
      <c r="A190" s="1" t="n">
        <v>31</v>
      </c>
      <c r="B190" s="31" t="n">
        <v>42736</v>
      </c>
      <c r="C190" s="56" t="n">
        <v>170602</v>
      </c>
      <c r="D190" s="29" t="s">
        <v>42</v>
      </c>
      <c r="E190" s="33" t="n">
        <f aca="false">IF(D190="totale",(C190/(A190*24))/F190,IF(D190="marché libre",(C190/(A190*24))/G190,"spécifier histo"))</f>
        <v>0.163788402457757</v>
      </c>
      <c r="F190" s="9" t="n">
        <v>1400</v>
      </c>
      <c r="G190" s="28" t="n">
        <f aca="false">F190-H190</f>
        <v>1400</v>
      </c>
      <c r="H190" s="9" t="n">
        <v>0</v>
      </c>
      <c r="J190" s="30"/>
    </row>
    <row r="191" customFormat="false" ht="19.85" hidden="false" customHeight="true" outlineLevel="0" collapsed="false">
      <c r="A191" s="1" t="n">
        <v>28</v>
      </c>
      <c r="B191" s="34" t="n">
        <v>42767</v>
      </c>
      <c r="C191" s="56" t="n">
        <v>504066</v>
      </c>
      <c r="D191" s="29" t="s">
        <v>42</v>
      </c>
      <c r="E191" s="33" t="n">
        <f aca="false">IF(D191="totale",(C191/(A191*24))/F191,IF(D191="marché libre",(C191/(A191*24))/G191,"spécifier histo"))</f>
        <v>0.53578443877551</v>
      </c>
      <c r="F191" s="9" t="n">
        <v>1400</v>
      </c>
      <c r="G191" s="28" t="n">
        <f aca="false">F191-H191</f>
        <v>1400</v>
      </c>
      <c r="H191" s="9" t="n">
        <v>0</v>
      </c>
      <c r="J191" s="55"/>
    </row>
    <row r="192" customFormat="false" ht="19.85" hidden="false" customHeight="true" outlineLevel="0" collapsed="false">
      <c r="A192" s="1" t="n">
        <v>31</v>
      </c>
      <c r="B192" s="31" t="n">
        <v>42795</v>
      </c>
      <c r="C192" s="56" t="n">
        <v>575295</v>
      </c>
      <c r="D192" s="29" t="s">
        <v>42</v>
      </c>
      <c r="E192" s="33" t="n">
        <f aca="false">IF(D192="totale",(C192/(A192*24))/F192,IF(D192="marché libre",(C192/(A192*24))/G192,"spécifier histo"))</f>
        <v>0.552318548387097</v>
      </c>
      <c r="F192" s="9" t="n">
        <v>1400</v>
      </c>
      <c r="G192" s="28" t="n">
        <f aca="false">F192-H192</f>
        <v>1400</v>
      </c>
      <c r="H192" s="9" t="n">
        <v>0</v>
      </c>
      <c r="J192" s="55"/>
    </row>
    <row r="193" customFormat="false" ht="19.85" hidden="false" customHeight="true" outlineLevel="0" collapsed="false">
      <c r="A193" s="1" t="n">
        <v>30</v>
      </c>
      <c r="B193" s="34" t="n">
        <v>42826</v>
      </c>
      <c r="C193" s="56" t="n">
        <v>212538</v>
      </c>
      <c r="D193" s="29" t="s">
        <v>42</v>
      </c>
      <c r="E193" s="33" t="n">
        <f aca="false">IF(D193="totale",(C193/(A193*24))/F193,IF(D193="marché libre",(C193/(A193*24))/G193,"spécifier histo"))</f>
        <v>0.21085119047619</v>
      </c>
      <c r="F193" s="9" t="n">
        <v>1400</v>
      </c>
      <c r="G193" s="28" t="n">
        <f aca="false">F193-H193</f>
        <v>1400</v>
      </c>
      <c r="H193" s="9" t="n">
        <v>0</v>
      </c>
      <c r="J193" s="55"/>
    </row>
    <row r="194" customFormat="false" ht="19.85" hidden="false" customHeight="true" outlineLevel="0" collapsed="false">
      <c r="A194" s="1" t="n">
        <v>31</v>
      </c>
      <c r="B194" s="31" t="n">
        <v>42856</v>
      </c>
      <c r="C194" s="9" t="n">
        <v>248667</v>
      </c>
      <c r="D194" s="29" t="s">
        <v>42</v>
      </c>
      <c r="E194" s="33" t="n">
        <f aca="false">IF(D194="totale",(C194/(A194*24))/F194,IF(D194="marché libre",(C194/(A194*24))/G194,"spécifier histo"))</f>
        <v>0.238735599078341</v>
      </c>
      <c r="F194" s="9" t="n">
        <v>1400</v>
      </c>
      <c r="G194" s="28" t="n">
        <f aca="false">F194-H194</f>
        <v>1400</v>
      </c>
      <c r="H194" s="9" t="n">
        <v>0</v>
      </c>
      <c r="J194" s="55"/>
    </row>
    <row r="195" customFormat="false" ht="22.45" hidden="false" customHeight="true" outlineLevel="0" collapsed="false">
      <c r="A195" s="1" t="n">
        <v>30</v>
      </c>
      <c r="B195" s="34" t="n">
        <v>42887</v>
      </c>
      <c r="C195" s="9" t="n">
        <v>23898</v>
      </c>
      <c r="D195" s="29" t="s">
        <v>42</v>
      </c>
      <c r="E195" s="33" t="n">
        <f aca="false">IF(D195="totale",(C195/(A195*24))/F195,IF(D195="marché libre",(C195/(A195*24))/G195,"spécifier histo"))</f>
        <v>0.0237083333333333</v>
      </c>
      <c r="F195" s="9" t="n">
        <v>1400</v>
      </c>
      <c r="G195" s="28" t="n">
        <f aca="false">F195-H195</f>
        <v>1400</v>
      </c>
      <c r="H195" s="9" t="n">
        <v>0</v>
      </c>
      <c r="J195" s="55"/>
    </row>
    <row r="196" customFormat="false" ht="21.65" hidden="false" customHeight="true" outlineLevel="0" collapsed="false">
      <c r="A196" s="1" t="n">
        <v>31</v>
      </c>
      <c r="B196" s="31" t="n">
        <v>42917</v>
      </c>
      <c r="C196" s="9" t="n">
        <v>0</v>
      </c>
      <c r="D196" s="29" t="s">
        <v>42</v>
      </c>
      <c r="E196" s="33" t="e">
        <f aca="false">IF(D196="totale",(C196/(A196*24))/F196,IF(D196="marché libre",(C196/(A196*24))/G196,"spécifier histo"))</f>
        <v>#DIV/0!</v>
      </c>
      <c r="F196" s="9" t="n">
        <v>0</v>
      </c>
      <c r="G196" s="28" t="n">
        <v>0</v>
      </c>
      <c r="H196" s="9" t="n">
        <v>0</v>
      </c>
      <c r="I196" s="181" t="s">
        <v>924</v>
      </c>
      <c r="J196" s="55" t="s">
        <v>925</v>
      </c>
    </row>
    <row r="197" customFormat="false" ht="21.65" hidden="false" customHeight="true" outlineLevel="0" collapsed="false">
      <c r="A197" s="1" t="n">
        <v>31</v>
      </c>
      <c r="B197" s="34" t="n">
        <v>42948</v>
      </c>
      <c r="C197" s="9" t="n">
        <v>0</v>
      </c>
      <c r="D197" s="29" t="s">
        <v>42</v>
      </c>
      <c r="E197" s="33" t="e">
        <f aca="false">IF(D197="totale",(C197/(A197*24))/F197,IF(D197="marché libre",(C197/(A197*24))/G197,"spécifier histo"))</f>
        <v>#DIV/0!</v>
      </c>
      <c r="F197" s="9" t="n">
        <v>0</v>
      </c>
      <c r="G197" s="28" t="n">
        <v>0</v>
      </c>
      <c r="H197" s="9" t="n">
        <v>0</v>
      </c>
      <c r="I197" s="181"/>
      <c r="J197" s="55" t="s">
        <v>925</v>
      </c>
    </row>
    <row r="198" customFormat="false" ht="21.65" hidden="false" customHeight="true" outlineLevel="0" collapsed="false">
      <c r="A198" s="1" t="n">
        <v>30</v>
      </c>
      <c r="B198" s="31" t="n">
        <v>42979</v>
      </c>
      <c r="C198" s="9" t="n">
        <v>0</v>
      </c>
      <c r="D198" s="29" t="s">
        <v>42</v>
      </c>
      <c r="E198" s="33" t="e">
        <f aca="false">IF(D198="totale",(C198/(A198*24))/F198,IF(D198="marché libre",(C198/(A198*24))/G198,"spécifier histo"))</f>
        <v>#DIV/0!</v>
      </c>
      <c r="F198" s="9" t="n">
        <v>0</v>
      </c>
      <c r="G198" s="28" t="n">
        <v>0</v>
      </c>
      <c r="H198" s="9" t="n">
        <v>0</v>
      </c>
      <c r="I198" s="181"/>
      <c r="J198" s="55" t="s">
        <v>925</v>
      </c>
    </row>
    <row r="199" customFormat="false" ht="21.65" hidden="false" customHeight="true" outlineLevel="0" collapsed="false">
      <c r="A199" s="1" t="n">
        <v>31</v>
      </c>
      <c r="B199" s="34" t="n">
        <v>43009</v>
      </c>
      <c r="C199" s="9" t="n">
        <v>0</v>
      </c>
      <c r="D199" s="29" t="s">
        <v>42</v>
      </c>
      <c r="E199" s="33" t="e">
        <f aca="false">IF(D199="totale",(C199/(A199*24))/F199,IF(D199="marché libre",(C199/(A199*24))/G199,"spécifier histo"))</f>
        <v>#DIV/0!</v>
      </c>
      <c r="F199" s="9" t="n">
        <v>0</v>
      </c>
      <c r="G199" s="28" t="n">
        <v>0</v>
      </c>
      <c r="H199" s="59" t="n">
        <v>0</v>
      </c>
      <c r="I199" s="181"/>
      <c r="J199" s="55" t="s">
        <v>925</v>
      </c>
      <c r="K199" s="0"/>
    </row>
    <row r="200" customFormat="false" ht="21.65" hidden="false" customHeight="true" outlineLevel="0" collapsed="false">
      <c r="A200" s="1" t="n">
        <v>30</v>
      </c>
      <c r="B200" s="31" t="n">
        <v>43040</v>
      </c>
      <c r="C200" s="9" t="n">
        <v>0</v>
      </c>
      <c r="D200" s="29" t="s">
        <v>42</v>
      </c>
      <c r="E200" s="33" t="e">
        <f aca="false">IF(D200="totale",(C200/(A200*24))/F200,IF(D200="marché libre",(C200/(A200*24))/G200,"spécifier histo"))</f>
        <v>#DIV/0!</v>
      </c>
      <c r="F200" s="9" t="n">
        <v>0</v>
      </c>
      <c r="G200" s="28" t="n">
        <v>0</v>
      </c>
      <c r="H200" s="59" t="n">
        <v>0</v>
      </c>
      <c r="I200" s="181"/>
      <c r="J200" s="55" t="s">
        <v>925</v>
      </c>
    </row>
    <row r="201" customFormat="false" ht="21.65" hidden="false" customHeight="true" outlineLevel="0" collapsed="false">
      <c r="A201" s="1" t="n">
        <v>31</v>
      </c>
      <c r="B201" s="34" t="n">
        <v>43070</v>
      </c>
      <c r="C201" s="9" t="n">
        <v>6251</v>
      </c>
      <c r="D201" s="29" t="s">
        <v>42</v>
      </c>
      <c r="E201" s="33" t="e">
        <f aca="false">IF(D201="totale",(C201/(A201*24))/F201,IF(D201="marché libre",(C201/(A201*24))/G201,"spécifier histo"))</f>
        <v>#DIV/0!</v>
      </c>
      <c r="F201" s="9" t="n">
        <v>0</v>
      </c>
      <c r="G201" s="28" t="n">
        <v>0</v>
      </c>
      <c r="H201" s="59" t="n">
        <v>0</v>
      </c>
      <c r="I201" s="181"/>
      <c r="J201" s="55" t="s">
        <v>925</v>
      </c>
    </row>
    <row r="202" customFormat="false" ht="28.35" hidden="false" customHeight="true" outlineLevel="0" collapsed="false">
      <c r="A202" s="1" t="n">
        <v>31</v>
      </c>
      <c r="B202" s="31" t="n">
        <v>43101</v>
      </c>
      <c r="C202" s="1" t="n">
        <v>348829</v>
      </c>
      <c r="D202" s="29" t="s">
        <v>42</v>
      </c>
      <c r="E202" s="33" t="n">
        <f aca="false">IF(D202="totale",(C202/(A202*24))/F202,IF(D202="marché libre",(C202/(A202*24))/G202,"spécifier histo"))</f>
        <v>0.468856182795699</v>
      </c>
      <c r="F202" s="59" t="n">
        <v>1400</v>
      </c>
      <c r="G202" s="59" t="n">
        <f aca="false">F202-H202</f>
        <v>1000</v>
      </c>
      <c r="H202" s="59" t="n">
        <v>400</v>
      </c>
      <c r="I202" s="181" t="s">
        <v>926</v>
      </c>
      <c r="J202" s="181"/>
    </row>
    <row r="203" customFormat="false" ht="28.35" hidden="false" customHeight="true" outlineLevel="0" collapsed="false">
      <c r="A203" s="1" t="n">
        <v>28</v>
      </c>
      <c r="B203" s="34" t="n">
        <v>43132</v>
      </c>
      <c r="C203" s="1" t="n">
        <v>327444</v>
      </c>
      <c r="D203" s="29" t="s">
        <v>42</v>
      </c>
      <c r="E203" s="33" t="n">
        <f aca="false">IF(D203="totale",(C203/(A203*24))/F203,IF(D203="marché libre",(C203/(A203*24))/G203,"spécifier histo"))</f>
        <v>0.487267857142857</v>
      </c>
      <c r="F203" s="59" t="n">
        <v>1400</v>
      </c>
      <c r="G203" s="59" t="n">
        <f aca="false">F203-H203</f>
        <v>1000</v>
      </c>
      <c r="H203" s="59" t="n">
        <v>400</v>
      </c>
    </row>
    <row r="204" customFormat="false" ht="28.35" hidden="false" customHeight="true" outlineLevel="0" collapsed="false">
      <c r="A204" s="1" t="n">
        <v>31</v>
      </c>
      <c r="B204" s="31" t="n">
        <v>43160</v>
      </c>
      <c r="C204" s="1" t="n">
        <v>465487</v>
      </c>
      <c r="D204" s="29" t="s">
        <v>42</v>
      </c>
      <c r="E204" s="33" t="n">
        <f aca="false">IF(D204="totale",(C204/(A204*24))/F204,IF(D204="marché libre",(C204/(A204*24))/G204,"spécifier histo"))</f>
        <v>0.625654569892473</v>
      </c>
      <c r="F204" s="59" t="n">
        <v>1400</v>
      </c>
      <c r="G204" s="59" t="n">
        <f aca="false">F204-H204</f>
        <v>1000</v>
      </c>
      <c r="H204" s="59" t="n">
        <v>400</v>
      </c>
    </row>
    <row r="205" customFormat="false" ht="28.35" hidden="false" customHeight="true" outlineLevel="0" collapsed="false">
      <c r="A205" s="1" t="n">
        <v>30</v>
      </c>
      <c r="B205" s="34" t="n">
        <v>43191</v>
      </c>
      <c r="C205" s="1" t="n">
        <v>275792</v>
      </c>
      <c r="D205" s="29" t="s">
        <v>42</v>
      </c>
      <c r="E205" s="33" t="n">
        <f aca="false">IF(D205="totale",(C205/(A205*24))/F205,IF(D205="marché libre",(C205/(A205*24))/G205,"spécifier histo"))</f>
        <v>0.383044444444444</v>
      </c>
      <c r="F205" s="59" t="n">
        <v>1400</v>
      </c>
      <c r="G205" s="59" t="n">
        <f aca="false">F205-H205</f>
        <v>1000</v>
      </c>
      <c r="H205" s="59" t="n">
        <v>400</v>
      </c>
    </row>
    <row r="206" customFormat="false" ht="28.35" hidden="false" customHeight="true" outlineLevel="0" collapsed="false">
      <c r="A206" s="1" t="n">
        <v>31</v>
      </c>
      <c r="B206" s="31" t="n">
        <v>43221</v>
      </c>
      <c r="C206" s="1" t="n">
        <v>321970</v>
      </c>
      <c r="D206" s="29" t="s">
        <v>42</v>
      </c>
      <c r="E206" s="33" t="n">
        <f aca="false">IF(D206="totale",(C206/(A206*24))/F206,IF(D206="marché libre",(C206/(A206*24))/G206,"spécifier histo"))</f>
        <v>0.432755376344086</v>
      </c>
      <c r="F206" s="59" t="n">
        <v>1400</v>
      </c>
      <c r="G206" s="59" t="n">
        <f aca="false">F206-H206</f>
        <v>1000</v>
      </c>
      <c r="H206" s="59" t="n">
        <v>400</v>
      </c>
    </row>
    <row r="207" customFormat="false" ht="28.35" hidden="false" customHeight="true" outlineLevel="0" collapsed="false">
      <c r="A207" s="1" t="n">
        <v>30</v>
      </c>
      <c r="B207" s="34" t="n">
        <v>43252</v>
      </c>
      <c r="C207" s="1" t="n">
        <v>282675</v>
      </c>
      <c r="D207" s="29" t="s">
        <v>42</v>
      </c>
      <c r="E207" s="33" t="n">
        <f aca="false">IF(D207="totale",(C207/(A207*24))/F207,IF(D207="marché libre",(C207/(A207*24))/G207,"spécifier histo"))</f>
        <v>0.392604166666667</v>
      </c>
      <c r="F207" s="59" t="n">
        <v>1400</v>
      </c>
      <c r="G207" s="59" t="n">
        <f aca="false">F207-H207</f>
        <v>1000</v>
      </c>
      <c r="H207" s="59" t="n">
        <v>400</v>
      </c>
    </row>
    <row r="208" customFormat="false" ht="28.35" hidden="false" customHeight="true" outlineLevel="0" collapsed="false">
      <c r="A208" s="0"/>
    </row>
    <row r="209" customFormat="false" ht="28.35" hidden="false" customHeight="true" outlineLevel="0" collapsed="false">
      <c r="A209" s="0"/>
    </row>
    <row r="210" customFormat="false" ht="28.35" hidden="false" customHeight="true" outlineLevel="0" collapsed="false">
      <c r="A210" s="0"/>
    </row>
    <row r="211" customFormat="false" ht="28.35" hidden="false" customHeight="true" outlineLevel="0" collapsed="false">
      <c r="A211" s="0"/>
    </row>
    <row r="212" customFormat="false" ht="28.35" hidden="false" customHeight="true" outlineLevel="0" collapsed="false">
      <c r="A212" s="0"/>
    </row>
    <row r="213" customFormat="false" ht="28.35" hidden="false" customHeight="tru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row r="224" customFormat="false" ht="12.8" hidden="false" customHeight="false" outlineLevel="0" collapsed="false">
      <c r="A224" s="0"/>
    </row>
    <row r="225" customFormat="false" ht="12.8" hidden="false" customHeight="false" outlineLevel="0" collapsed="false">
      <c r="A225" s="0"/>
    </row>
    <row r="226" customFormat="false" ht="12.8" hidden="false" customHeight="false" outlineLevel="0" collapsed="false">
      <c r="A226" s="0"/>
    </row>
    <row r="227" customFormat="false" ht="12.8" hidden="false" customHeight="false" outlineLevel="0" collapsed="false">
      <c r="A227" s="0"/>
    </row>
    <row r="228" customFormat="false" ht="12.8" hidden="false" customHeight="false" outlineLevel="0" collapsed="false">
      <c r="A228" s="0"/>
    </row>
    <row r="229" customFormat="false" ht="12.8" hidden="false" customHeight="false" outlineLevel="0" collapsed="false">
      <c r="A229" s="0"/>
    </row>
    <row r="230" customFormat="false" ht="12.8" hidden="false" customHeight="false" outlineLevel="0" collapsed="false">
      <c r="A230" s="0"/>
    </row>
    <row r="231" customFormat="false" ht="12.8" hidden="false" customHeight="fals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row r="239" customFormat="false" ht="12.8" hidden="false" customHeight="false" outlineLevel="0" collapsed="false">
      <c r="A239" s="0"/>
    </row>
    <row r="240" customFormat="false" ht="12.8" hidden="false" customHeight="false" outlineLevel="0" collapsed="false">
      <c r="A240" s="0"/>
    </row>
    <row r="241" customFormat="false" ht="12.8" hidden="false" customHeight="false" outlineLevel="0" collapsed="false">
      <c r="A241" s="0"/>
    </row>
  </sheetData>
  <mergeCells count="15">
    <mergeCell ref="B1:E2"/>
    <mergeCell ref="F1:N1"/>
    <mergeCell ref="F2:I2"/>
    <mergeCell ref="J2:K2"/>
    <mergeCell ref="L2:M2"/>
    <mergeCell ref="N2:N3"/>
    <mergeCell ref="U2:U3"/>
    <mergeCell ref="T4:V4"/>
    <mergeCell ref="C6:D6"/>
    <mergeCell ref="F6:F7"/>
    <mergeCell ref="G6:N7"/>
    <mergeCell ref="C7:D7"/>
    <mergeCell ref="J155:J157"/>
    <mergeCell ref="I196:I201"/>
    <mergeCell ref="I202:J202"/>
  </mergeCells>
  <conditionalFormatting sqref="E10:E207">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8.xml><?xml version="1.0" encoding="utf-8"?>
<worksheet xmlns="http://schemas.openxmlformats.org/spreadsheetml/2006/main" xmlns:r="http://schemas.openxmlformats.org/officeDocument/2006/relationships">
  <sheetPr filterMode="false">
    <tabColor rgb="FF158466"/>
    <pageSetUpPr fitToPage="false"/>
  </sheetPr>
  <dimension ref="A1:AS24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17" activePane="bottomRight" state="frozen"/>
      <selection pane="topLeft" activeCell="A1" activeCellId="0" sqref="A1"/>
      <selection pane="topRight" activeCell="B1" activeCellId="0" sqref="B1"/>
      <selection pane="bottomLeft" activeCell="A217" activeCellId="0" sqref="A217"/>
      <selection pane="bottomRight" activeCell="B236" activeCellId="0" sqref="B236"/>
    </sheetView>
  </sheetViews>
  <sheetFormatPr defaultRowHeight="12.8" zeroHeight="false" outlineLevelRow="0" outlineLevelCol="0"/>
  <cols>
    <col collapsed="false" customWidth="true" hidden="false" outlineLevel="0" max="1" min="1" style="9" width="3.37"/>
    <col collapsed="false" customWidth="true" hidden="false" outlineLevel="0" max="2" min="2" style="9" width="17.13"/>
    <col collapsed="false" customWidth="true" hidden="false" outlineLevel="0" max="3" min="3" style="9" width="14.81"/>
    <col collapsed="false" customWidth="true" hidden="false" outlineLevel="0" max="4" min="4" style="9" width="16.07"/>
    <col collapsed="false" customWidth="true" hidden="false" outlineLevel="0" max="5" min="5" style="9" width="19.14"/>
    <col collapsed="false" customWidth="true" hidden="false" outlineLevel="0" max="6" min="6" style="9" width="16.07"/>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9"/>
    <col collapsed="false" customWidth="true" hidden="false" outlineLevel="0" max="11" min="11" style="9" width="13.12"/>
    <col collapsed="false" customWidth="true" hidden="false" outlineLevel="0" max="12" min="12" style="9" width="19.91"/>
    <col collapsed="false" customWidth="true" hidden="false" outlineLevel="0" max="13" min="13" style="9" width="16.07"/>
    <col collapsed="false" customWidth="true" hidden="false" outlineLevel="0" max="14" min="14" style="9" width="15.42"/>
    <col collapsed="false" customWidth="true" hidden="false" outlineLevel="0" max="15" min="15" style="9" width="9.13"/>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96" t="s">
        <v>0</v>
      </c>
      <c r="C1" s="96"/>
      <c r="D1" s="96"/>
      <c r="E1" s="96"/>
      <c r="F1" s="97" t="s">
        <v>1</v>
      </c>
      <c r="G1" s="97"/>
      <c r="H1" s="97"/>
      <c r="I1" s="97"/>
      <c r="J1" s="97"/>
      <c r="K1" s="97"/>
      <c r="L1" s="97"/>
      <c r="M1" s="97"/>
      <c r="N1" s="97"/>
      <c r="O1" s="97"/>
    </row>
    <row r="2" customFormat="false" ht="30.8" hidden="false" customHeight="true" outlineLevel="0" collapsed="false">
      <c r="B2" s="96"/>
      <c r="C2" s="96"/>
      <c r="D2" s="96"/>
      <c r="E2" s="96"/>
      <c r="F2" s="97" t="s">
        <v>2</v>
      </c>
      <c r="G2" s="97"/>
      <c r="H2" s="97"/>
      <c r="I2" s="97"/>
      <c r="J2" s="97" t="s">
        <v>3</v>
      </c>
      <c r="K2" s="97"/>
      <c r="L2" s="97"/>
      <c r="M2" s="97" t="s">
        <v>4</v>
      </c>
      <c r="N2" s="97"/>
      <c r="O2" s="97" t="s">
        <v>5</v>
      </c>
      <c r="Q2" s="4"/>
      <c r="R2" s="5" t="s">
        <v>6</v>
      </c>
      <c r="T2" s="6"/>
      <c r="U2" s="7" t="s">
        <v>7</v>
      </c>
    </row>
    <row r="3" customFormat="false" ht="40.8" hidden="false" customHeight="true" outlineLevel="0" collapsed="false">
      <c r="B3" s="20" t="s">
        <v>9</v>
      </c>
      <c r="C3" s="20" t="s">
        <v>10</v>
      </c>
      <c r="D3" s="20" t="s">
        <v>11</v>
      </c>
      <c r="E3" s="98" t="s">
        <v>12</v>
      </c>
      <c r="F3" s="20" t="s">
        <v>13</v>
      </c>
      <c r="G3" s="20" t="s">
        <v>14</v>
      </c>
      <c r="H3" s="20" t="s">
        <v>15</v>
      </c>
      <c r="I3" s="20" t="s">
        <v>16</v>
      </c>
      <c r="J3" s="20" t="s">
        <v>17</v>
      </c>
      <c r="K3" s="20" t="s">
        <v>91</v>
      </c>
      <c r="L3" s="20" t="s">
        <v>18</v>
      </c>
      <c r="M3" s="20" t="s">
        <v>19</v>
      </c>
      <c r="N3" s="20" t="s">
        <v>17</v>
      </c>
      <c r="O3" s="97"/>
      <c r="Q3" s="12"/>
      <c r="R3" s="5" t="s">
        <v>20</v>
      </c>
      <c r="T3" s="13"/>
      <c r="U3" s="7" t="s">
        <v>21</v>
      </c>
    </row>
    <row r="4" customFormat="false" ht="44.15" hidden="false" customHeight="true" outlineLevel="0" collapsed="false">
      <c r="B4" s="19" t="s">
        <v>927</v>
      </c>
      <c r="C4" s="19" t="n">
        <v>62315</v>
      </c>
      <c r="D4" s="19" t="s">
        <v>928</v>
      </c>
      <c r="E4" s="136" t="s">
        <v>929</v>
      </c>
      <c r="F4" s="15" t="s">
        <v>930</v>
      </c>
      <c r="G4" s="15" t="n">
        <v>1825</v>
      </c>
      <c r="H4" s="15" t="n">
        <v>1825</v>
      </c>
      <c r="I4" s="15"/>
      <c r="J4" s="495" t="n">
        <v>3256</v>
      </c>
      <c r="K4" s="495"/>
      <c r="L4" s="291" t="s">
        <v>931</v>
      </c>
      <c r="M4" s="15"/>
      <c r="N4" s="15"/>
      <c r="O4" s="101"/>
      <c r="Q4" s="17"/>
      <c r="R4" s="16" t="s">
        <v>23</v>
      </c>
      <c r="T4" s="18"/>
      <c r="U4" s="19" t="s">
        <v>24</v>
      </c>
      <c r="V4" s="19"/>
      <c r="W4" s="19"/>
    </row>
    <row r="5" customFormat="false" ht="28.35" hidden="false" customHeight="true" outlineLevel="0" collapsed="false">
      <c r="T5" s="0"/>
      <c r="U5" s="0"/>
    </row>
    <row r="6" customFormat="false" ht="28.35" hidden="false" customHeight="true" outlineLevel="0" collapsed="false">
      <c r="B6" s="0"/>
      <c r="C6" s="10" t="s">
        <v>25</v>
      </c>
      <c r="D6" s="10"/>
      <c r="F6" s="20" t="s">
        <v>26</v>
      </c>
      <c r="G6" s="15" t="s">
        <v>932</v>
      </c>
      <c r="H6" s="15"/>
      <c r="I6" s="15"/>
      <c r="J6" s="15"/>
      <c r="K6" s="15"/>
      <c r="L6" s="15"/>
      <c r="M6" s="15"/>
      <c r="N6" s="15"/>
      <c r="O6" s="15"/>
      <c r="Q6" s="21" t="n">
        <v>42370</v>
      </c>
      <c r="R6" s="19" t="s">
        <v>27</v>
      </c>
      <c r="T6" s="22"/>
      <c r="U6" s="5" t="s">
        <v>28</v>
      </c>
    </row>
    <row r="7" customFormat="false" ht="28.2" hidden="false" customHeight="true" outlineLevel="0" collapsed="false">
      <c r="B7" s="0"/>
      <c r="C7" s="126" t="s">
        <v>933</v>
      </c>
      <c r="D7" s="126"/>
      <c r="F7" s="20"/>
      <c r="G7" s="20"/>
      <c r="H7" s="15"/>
      <c r="I7" s="15"/>
      <c r="J7" s="15"/>
      <c r="K7" s="15"/>
      <c r="L7" s="15"/>
      <c r="M7" s="15"/>
      <c r="N7" s="15"/>
      <c r="O7" s="15"/>
      <c r="Q7" s="24"/>
      <c r="R7" s="5" t="s">
        <v>29</v>
      </c>
      <c r="T7" s="25"/>
      <c r="U7" s="5" t="s">
        <v>30</v>
      </c>
    </row>
    <row r="8" customFormat="false" ht="28.3" hidden="false" customHeight="true" outlineLevel="0" collapsed="false">
      <c r="Q8" s="1"/>
      <c r="R8" s="1"/>
      <c r="T8" s="27"/>
      <c r="U8" s="16" t="s">
        <v>31</v>
      </c>
    </row>
    <row r="9" customFormat="false" ht="42.45" hidden="false" customHeight="true" outlineLevel="0" collapsed="false">
      <c r="A9" s="1"/>
      <c r="B9" s="9" t="s">
        <v>32</v>
      </c>
      <c r="C9" s="9" t="s">
        <v>51</v>
      </c>
      <c r="D9" s="9" t="s">
        <v>52</v>
      </c>
      <c r="E9" s="1" t="s">
        <v>35</v>
      </c>
      <c r="F9" s="9" t="s">
        <v>97</v>
      </c>
      <c r="G9" s="9" t="s">
        <v>37</v>
      </c>
      <c r="H9" s="9" t="s">
        <v>38</v>
      </c>
      <c r="I9" s="9" t="s">
        <v>39</v>
      </c>
      <c r="J9" s="103" t="s">
        <v>40</v>
      </c>
      <c r="K9" s="103"/>
    </row>
    <row r="10" customFormat="false" ht="13.5" hidden="false" customHeight="true" outlineLevel="0" collapsed="false">
      <c r="A10" s="0" t="n">
        <v>31</v>
      </c>
      <c r="B10" s="31" t="n">
        <v>36526</v>
      </c>
      <c r="C10" s="0" t="n">
        <v>864461</v>
      </c>
      <c r="D10" s="29" t="s">
        <v>42</v>
      </c>
      <c r="E10" s="33" t="n">
        <f aca="false">IF(D10="totale",(C10/(A10*24))/F10,IF(D10="marché libre",(C10/(A10*24))/G10,"spécifier histo"))</f>
        <v>0.63666298423921</v>
      </c>
      <c r="F10" s="9" t="n">
        <v>1825</v>
      </c>
      <c r="G10" s="9" t="n">
        <f aca="false">F10-H10</f>
        <v>1825</v>
      </c>
      <c r="H10" s="9" t="n">
        <v>0</v>
      </c>
      <c r="J10" s="0"/>
      <c r="K10" s="0"/>
      <c r="L10" s="0"/>
      <c r="M10" s="0"/>
      <c r="N10" s="0"/>
      <c r="O10" s="0"/>
      <c r="P10" s="141"/>
      <c r="Q10" s="142"/>
      <c r="R10" s="142"/>
      <c r="S10" s="142"/>
      <c r="T10" s="143"/>
      <c r="U10" s="142"/>
      <c r="V10" s="142"/>
      <c r="W10" s="142"/>
      <c r="X10" s="143"/>
      <c r="Y10" s="142"/>
      <c r="Z10" s="142"/>
      <c r="AA10" s="142"/>
      <c r="AB10" s="143"/>
      <c r="AC10" s="0"/>
      <c r="AE10" s="0"/>
      <c r="AF10" s="0"/>
      <c r="AG10" s="0"/>
      <c r="AH10" s="0"/>
      <c r="AI10" s="0"/>
      <c r="AJ10" s="0"/>
      <c r="AK10" s="0"/>
      <c r="AL10" s="0"/>
      <c r="AM10" s="0"/>
    </row>
    <row r="11" customFormat="false" ht="13.5" hidden="false" customHeight="true" outlineLevel="0" collapsed="false">
      <c r="A11" s="0" t="n">
        <v>28</v>
      </c>
      <c r="B11" s="34" t="n">
        <v>36557</v>
      </c>
      <c r="C11" s="0" t="n">
        <v>812266</v>
      </c>
      <c r="D11" s="29" t="s">
        <v>42</v>
      </c>
      <c r="E11" s="33" t="n">
        <f aca="false">IF(D11="totale",(C11/(A11*24))/F11,IF(D11="marché libre",(C11/(A11*24))/G11,"spécifier histo"))</f>
        <v>0.662317351598174</v>
      </c>
      <c r="F11" s="9" t="n">
        <v>1825</v>
      </c>
      <c r="G11" s="9" t="n">
        <f aca="false">F11-H11</f>
        <v>1825</v>
      </c>
      <c r="H11" s="9" t="n">
        <v>0</v>
      </c>
      <c r="J11" s="0"/>
      <c r="K11" s="0"/>
      <c r="L11" s="0"/>
      <c r="M11" s="0"/>
      <c r="N11" s="0"/>
      <c r="O11" s="0"/>
      <c r="P11" s="0"/>
      <c r="Q11" s="0"/>
      <c r="R11" s="142"/>
      <c r="S11" s="142"/>
      <c r="T11" s="143"/>
      <c r="U11" s="142"/>
      <c r="V11" s="142"/>
      <c r="W11" s="142"/>
      <c r="X11" s="143"/>
      <c r="Y11" s="142"/>
      <c r="Z11" s="142"/>
      <c r="AA11" s="142"/>
      <c r="AB11" s="143"/>
      <c r="AC11" s="0"/>
      <c r="AE11" s="0"/>
      <c r="AF11" s="0"/>
      <c r="AG11" s="0"/>
      <c r="AH11" s="0"/>
      <c r="AI11" s="0"/>
      <c r="AJ11" s="0"/>
      <c r="AK11" s="0"/>
      <c r="AL11" s="0"/>
      <c r="AM11" s="0"/>
    </row>
    <row r="12" customFormat="false" ht="13.5" hidden="false" customHeight="true" outlineLevel="0" collapsed="false">
      <c r="A12" s="0" t="n">
        <v>31</v>
      </c>
      <c r="B12" s="31" t="n">
        <v>36586</v>
      </c>
      <c r="C12" s="0" t="n">
        <v>900097</v>
      </c>
      <c r="D12" s="29" t="s">
        <v>42</v>
      </c>
      <c r="E12" s="33" t="n">
        <f aca="false">IF(D12="totale",(C12/(A12*24))/F12,IF(D12="marché libre",(C12/(A12*24))/G12,"spécifier histo"))</f>
        <v>0.66290838120489</v>
      </c>
      <c r="F12" s="9" t="n">
        <v>1825</v>
      </c>
      <c r="G12" s="9" t="n">
        <f aca="false">F12-H12</f>
        <v>1825</v>
      </c>
      <c r="H12" s="9" t="n">
        <v>0</v>
      </c>
      <c r="J12" s="0"/>
      <c r="K12" s="0"/>
      <c r="L12" s="0"/>
      <c r="M12" s="0"/>
      <c r="N12" s="0"/>
      <c r="O12" s="0"/>
      <c r="P12" s="0"/>
      <c r="Q12" s="0"/>
      <c r="R12" s="142"/>
      <c r="S12" s="142"/>
      <c r="T12" s="143"/>
      <c r="U12" s="142"/>
      <c r="V12" s="142"/>
      <c r="W12" s="142"/>
      <c r="X12" s="143"/>
      <c r="Y12" s="142"/>
      <c r="Z12" s="142"/>
      <c r="AA12" s="142"/>
      <c r="AB12" s="143"/>
      <c r="AC12" s="0"/>
      <c r="AE12" s="0"/>
      <c r="AF12" s="0"/>
      <c r="AG12" s="0"/>
      <c r="AH12" s="0"/>
      <c r="AI12" s="0"/>
      <c r="AJ12" s="0"/>
      <c r="AK12" s="0"/>
      <c r="AL12" s="0"/>
      <c r="AM12" s="0"/>
    </row>
    <row r="13" customFormat="false" ht="13.5" hidden="false" customHeight="true" outlineLevel="0" collapsed="false">
      <c r="A13" s="0" t="n">
        <v>30</v>
      </c>
      <c r="B13" s="34" t="n">
        <v>36617</v>
      </c>
      <c r="C13" s="0" t="n">
        <v>859099</v>
      </c>
      <c r="D13" s="29" t="s">
        <v>42</v>
      </c>
      <c r="E13" s="33" t="n">
        <f aca="false">IF(D13="totale",(C13/(A13*24))/F13,IF(D13="marché libre",(C13/(A13*24))/G13,"spécifier histo"))</f>
        <v>0.653804414003044</v>
      </c>
      <c r="F13" s="9" t="n">
        <v>1825</v>
      </c>
      <c r="G13" s="9" t="n">
        <f aca="false">F13-H13</f>
        <v>1825</v>
      </c>
      <c r="H13" s="9" t="n">
        <v>0</v>
      </c>
      <c r="J13" s="0"/>
      <c r="K13" s="0"/>
      <c r="L13" s="0"/>
      <c r="M13" s="0"/>
      <c r="N13" s="0"/>
      <c r="O13" s="0"/>
      <c r="P13" s="0"/>
      <c r="Q13" s="0"/>
      <c r="R13" s="143"/>
      <c r="S13" s="143"/>
      <c r="T13" s="143"/>
      <c r="U13" s="143"/>
      <c r="V13" s="143"/>
      <c r="W13" s="143"/>
      <c r="X13" s="143"/>
      <c r="Y13" s="143"/>
      <c r="Z13" s="143"/>
      <c r="AA13" s="143"/>
      <c r="AB13" s="143"/>
      <c r="AC13" s="0"/>
    </row>
    <row r="14" customFormat="false" ht="13.5" hidden="false" customHeight="true" outlineLevel="0" collapsed="false">
      <c r="A14" s="0" t="n">
        <v>31</v>
      </c>
      <c r="B14" s="31" t="n">
        <v>36647</v>
      </c>
      <c r="C14" s="0" t="n">
        <v>910871</v>
      </c>
      <c r="D14" s="29" t="s">
        <v>42</v>
      </c>
      <c r="E14" s="33" t="n">
        <f aca="false">IF(D14="totale",(C14/(A14*24))/F14,IF(D14="marché libre",(C14/(A14*24))/G14,"spécifier histo"))</f>
        <v>0.670843275887465</v>
      </c>
      <c r="F14" s="9" t="n">
        <v>1825</v>
      </c>
      <c r="G14" s="9" t="n">
        <f aca="false">F14-H14</f>
        <v>1825</v>
      </c>
      <c r="H14" s="9" t="n">
        <v>0</v>
      </c>
      <c r="J14" s="0"/>
      <c r="K14" s="0"/>
      <c r="L14" s="0"/>
      <c r="M14" s="0"/>
      <c r="N14" s="0"/>
      <c r="O14" s="0"/>
      <c r="P14" s="0"/>
      <c r="Q14" s="0"/>
      <c r="R14" s="0"/>
      <c r="S14" s="0"/>
      <c r="T14" s="0"/>
      <c r="U14" s="0"/>
      <c r="V14" s="0"/>
      <c r="W14" s="0"/>
      <c r="X14" s="0"/>
      <c r="Y14" s="0"/>
      <c r="Z14" s="0"/>
      <c r="AA14" s="0"/>
      <c r="AB14" s="0"/>
      <c r="AC14" s="0"/>
    </row>
    <row r="15" customFormat="false" ht="13.5" hidden="false" customHeight="true" outlineLevel="0" collapsed="false">
      <c r="A15" s="0" t="n">
        <v>30</v>
      </c>
      <c r="B15" s="34" t="n">
        <v>36678</v>
      </c>
      <c r="C15" s="0" t="n">
        <v>840196</v>
      </c>
      <c r="D15" s="29" t="s">
        <v>42</v>
      </c>
      <c r="E15" s="33" t="n">
        <f aca="false">IF(D15="totale",(C15/(A15*24))/F15,IF(D15="marché libre",(C15/(A15*24))/G15,"spécifier histo"))</f>
        <v>0.639418569254186</v>
      </c>
      <c r="F15" s="9" t="n">
        <v>1825</v>
      </c>
      <c r="G15" s="9" t="n">
        <f aca="false">F15-H15</f>
        <v>1825</v>
      </c>
      <c r="H15" s="9" t="n">
        <v>0</v>
      </c>
      <c r="J15" s="0"/>
      <c r="K15" s="0"/>
      <c r="L15" s="0"/>
      <c r="M15" s="0"/>
      <c r="N15" s="0"/>
      <c r="O15" s="0"/>
      <c r="P15" s="0"/>
      <c r="Q15" s="0"/>
      <c r="R15" s="277"/>
      <c r="S15" s="277"/>
      <c r="T15" s="277"/>
      <c r="U15" s="277"/>
      <c r="V15" s="277"/>
      <c r="W15" s="277"/>
      <c r="X15" s="277"/>
      <c r="Y15" s="0"/>
      <c r="Z15" s="0"/>
      <c r="AA15" s="0"/>
      <c r="AB15" s="0"/>
    </row>
    <row r="16" customFormat="false" ht="13.5" hidden="false" customHeight="true" outlineLevel="0" collapsed="false">
      <c r="A16" s="0" t="n">
        <v>31</v>
      </c>
      <c r="B16" s="31" t="n">
        <v>36708</v>
      </c>
      <c r="C16" s="0" t="n">
        <v>859579</v>
      </c>
      <c r="D16" s="29" t="s">
        <v>42</v>
      </c>
      <c r="E16" s="33" t="n">
        <f aca="false">IF(D16="totale",(C16/(A16*24))/F16,IF(D16="marché libre",(C16/(A16*24))/G16,"spécifier histo"))</f>
        <v>0.633067462070997</v>
      </c>
      <c r="F16" s="9" t="n">
        <v>1825</v>
      </c>
      <c r="G16" s="9" t="n">
        <f aca="false">F16-H16</f>
        <v>1825</v>
      </c>
      <c r="H16" s="9" t="n">
        <v>0</v>
      </c>
      <c r="J16" s="0"/>
      <c r="K16" s="0"/>
      <c r="L16" s="0"/>
      <c r="M16" s="0"/>
      <c r="N16" s="0"/>
      <c r="O16" s="0"/>
      <c r="P16" s="0"/>
      <c r="Q16" s="0"/>
      <c r="R16" s="0"/>
      <c r="S16" s="0"/>
      <c r="T16" s="0"/>
      <c r="U16" s="0"/>
      <c r="V16" s="0"/>
      <c r="W16" s="0"/>
      <c r="X16" s="0"/>
      <c r="Y16" s="0"/>
      <c r="Z16" s="0"/>
      <c r="AA16" s="0"/>
      <c r="AB16" s="0"/>
    </row>
    <row r="17" customFormat="false" ht="13.5" hidden="false" customHeight="true" outlineLevel="0" collapsed="false">
      <c r="A17" s="0" t="n">
        <v>31</v>
      </c>
      <c r="B17" s="34" t="n">
        <v>36739</v>
      </c>
      <c r="C17" s="0" t="n">
        <v>758373</v>
      </c>
      <c r="D17" s="29" t="s">
        <v>42</v>
      </c>
      <c r="E17" s="33" t="n">
        <f aca="false">IF(D17="totale",(C17/(A17*24))/F17,IF(D17="marché libre",(C17/(A17*24))/G17,"spécifier histo"))</f>
        <v>0.558530711444985</v>
      </c>
      <c r="F17" s="9" t="n">
        <v>1825</v>
      </c>
      <c r="G17" s="9" t="n">
        <f aca="false">F17-H17</f>
        <v>1825</v>
      </c>
      <c r="H17" s="9" t="n">
        <v>0</v>
      </c>
      <c r="J17" s="0"/>
      <c r="K17" s="0"/>
      <c r="L17" s="0"/>
      <c r="M17" s="0"/>
      <c r="N17" s="0"/>
      <c r="O17" s="0"/>
      <c r="P17" s="0"/>
      <c r="Q17" s="0"/>
      <c r="R17" s="144"/>
      <c r="S17" s="144"/>
      <c r="T17" s="144"/>
      <c r="U17" s="144"/>
      <c r="V17" s="144"/>
      <c r="W17" s="144"/>
      <c r="X17" s="144"/>
      <c r="Y17" s="144"/>
      <c r="Z17" s="144"/>
      <c r="AA17" s="144"/>
      <c r="AB17" s="144"/>
    </row>
    <row r="18" customFormat="false" ht="13.5" hidden="false" customHeight="true" outlineLevel="0" collapsed="false">
      <c r="A18" s="0" t="n">
        <v>30</v>
      </c>
      <c r="B18" s="31" t="n">
        <v>36770</v>
      </c>
      <c r="C18" s="0" t="n">
        <v>355386</v>
      </c>
      <c r="D18" s="29" t="s">
        <v>42</v>
      </c>
      <c r="E18" s="33" t="n">
        <f aca="false">IF(D18="totale",(C18/(A18*24))/F18,IF(D18="marché libre",(C18/(A18*24))/G18,"spécifier histo"))</f>
        <v>0.270461187214612</v>
      </c>
      <c r="F18" s="9" t="n">
        <v>1825</v>
      </c>
      <c r="G18" s="9" t="n">
        <f aca="false">F18-H18</f>
        <v>1825</v>
      </c>
      <c r="H18" s="9" t="n">
        <v>0</v>
      </c>
      <c r="J18" s="0"/>
      <c r="K18" s="0"/>
      <c r="L18" s="0"/>
      <c r="M18" s="0"/>
      <c r="N18" s="0"/>
      <c r="O18" s="0"/>
      <c r="P18" s="0"/>
      <c r="Q18" s="0"/>
      <c r="R18" s="144"/>
      <c r="S18" s="144"/>
      <c r="T18" s="144"/>
      <c r="U18" s="144"/>
      <c r="V18" s="144"/>
      <c r="W18" s="144"/>
      <c r="X18" s="144"/>
      <c r="Y18" s="144"/>
      <c r="Z18" s="144"/>
      <c r="AA18" s="144"/>
      <c r="AB18" s="144"/>
    </row>
    <row r="19" customFormat="false" ht="13.5" hidden="false" customHeight="true" outlineLevel="0" collapsed="false">
      <c r="A19" s="0" t="n">
        <v>31</v>
      </c>
      <c r="B19" s="34" t="n">
        <v>36800</v>
      </c>
      <c r="C19" s="0" t="n">
        <v>741811</v>
      </c>
      <c r="D19" s="29" t="s">
        <v>42</v>
      </c>
      <c r="E19" s="33" t="n">
        <f aca="false">IF(D19="totale",(C19/(A19*24))/F19,IF(D19="marché libre",(C19/(A19*24))/G19,"spécifier histo"))</f>
        <v>0.546333038739137</v>
      </c>
      <c r="F19" s="9" t="n">
        <v>1825</v>
      </c>
      <c r="G19" s="9" t="n">
        <f aca="false">F19-H19</f>
        <v>1825</v>
      </c>
      <c r="H19" s="9" t="n">
        <v>0</v>
      </c>
      <c r="J19" s="0"/>
      <c r="K19" s="0"/>
      <c r="L19" s="0"/>
      <c r="M19" s="0"/>
      <c r="N19" s="0"/>
      <c r="O19" s="0"/>
      <c r="P19" s="0"/>
      <c r="Q19" s="0"/>
      <c r="R19" s="142"/>
      <c r="S19" s="142"/>
      <c r="T19" s="143"/>
      <c r="U19" s="142"/>
      <c r="V19" s="142"/>
      <c r="W19" s="142"/>
      <c r="X19" s="143"/>
      <c r="Y19" s="142"/>
      <c r="Z19" s="142"/>
      <c r="AA19" s="142"/>
      <c r="AB19" s="143"/>
    </row>
    <row r="20" customFormat="false" ht="13.5" hidden="false" customHeight="true" outlineLevel="0" collapsed="false">
      <c r="A20" s="0" t="n">
        <v>30</v>
      </c>
      <c r="B20" s="31" t="n">
        <v>36831</v>
      </c>
      <c r="C20" s="0" t="n">
        <v>702251</v>
      </c>
      <c r="D20" s="29" t="s">
        <v>42</v>
      </c>
      <c r="E20" s="33" t="n">
        <f aca="false">IF(D20="totale",(C20/(A20*24))/F20,IF(D20="marché libre",(C20/(A20*24))/G20,"spécifier histo"))</f>
        <v>0.534437595129376</v>
      </c>
      <c r="F20" s="9" t="n">
        <v>1825</v>
      </c>
      <c r="G20" s="9" t="n">
        <f aca="false">F20-H20</f>
        <v>1825</v>
      </c>
      <c r="H20" s="9" t="n">
        <v>0</v>
      </c>
      <c r="J20" s="0"/>
      <c r="K20" s="0"/>
      <c r="L20" s="0"/>
      <c r="M20" s="0"/>
      <c r="N20" s="0"/>
      <c r="O20" s="0"/>
      <c r="P20" s="0"/>
      <c r="Q20" s="0"/>
      <c r="R20" s="142"/>
      <c r="S20" s="142"/>
      <c r="T20" s="143"/>
      <c r="U20" s="142"/>
      <c r="V20" s="142"/>
      <c r="W20" s="142"/>
      <c r="X20" s="143"/>
      <c r="Y20" s="142"/>
      <c r="Z20" s="142"/>
      <c r="AA20" s="142"/>
      <c r="AB20" s="143"/>
    </row>
    <row r="21" customFormat="false" ht="13.5" hidden="false" customHeight="true" outlineLevel="0" collapsed="false">
      <c r="A21" s="0" t="n">
        <v>31</v>
      </c>
      <c r="B21" s="34" t="n">
        <v>36861</v>
      </c>
      <c r="C21" s="0" t="n">
        <v>994191</v>
      </c>
      <c r="D21" s="29" t="s">
        <v>42</v>
      </c>
      <c r="E21" s="33" t="n">
        <f aca="false">IF(D21="totale",(C21/(A21*24))/F21,IF(D21="marché libre",(C21/(A21*24))/G21,"spécifier histo"))</f>
        <v>0.732207247017234</v>
      </c>
      <c r="F21" s="9" t="n">
        <v>1825</v>
      </c>
      <c r="G21" s="9" t="n">
        <f aca="false">F21-H21</f>
        <v>1825</v>
      </c>
      <c r="H21" s="9" t="n">
        <v>0</v>
      </c>
      <c r="J21" s="0"/>
      <c r="K21" s="0"/>
      <c r="L21" s="0"/>
      <c r="M21" s="0"/>
      <c r="N21" s="0"/>
      <c r="O21" s="0"/>
      <c r="P21" s="0"/>
      <c r="Q21" s="0"/>
      <c r="R21" s="142"/>
      <c r="S21" s="142"/>
      <c r="T21" s="143"/>
      <c r="U21" s="142"/>
      <c r="V21" s="142"/>
      <c r="W21" s="142"/>
      <c r="X21" s="143"/>
      <c r="Y21" s="142"/>
      <c r="Z21" s="142"/>
      <c r="AA21" s="142"/>
      <c r="AB21" s="143"/>
      <c r="AE21" s="0"/>
      <c r="AF21" s="0"/>
      <c r="AG21" s="0"/>
      <c r="AH21" s="0"/>
      <c r="AI21" s="0"/>
      <c r="AJ21" s="0"/>
      <c r="AK21" s="0"/>
      <c r="AL21" s="0"/>
      <c r="AM21" s="0"/>
    </row>
    <row r="22" customFormat="false" ht="13.5" hidden="false" customHeight="true" outlineLevel="0" collapsed="false">
      <c r="A22" s="0" t="n">
        <v>31</v>
      </c>
      <c r="B22" s="31" t="n">
        <v>36892</v>
      </c>
      <c r="C22" s="0" t="n">
        <v>929700</v>
      </c>
      <c r="D22" s="29" t="s">
        <v>42</v>
      </c>
      <c r="E22" s="33" t="n">
        <f aca="false">IF(D22="totale",(C22/(A22*24))/F22,IF(D22="marché libre",(C22/(A22*24))/G22,"spécifier histo"))</f>
        <v>0.684710561201944</v>
      </c>
      <c r="F22" s="9" t="n">
        <v>1825</v>
      </c>
      <c r="G22" s="9" t="n">
        <f aca="false">F22-H22</f>
        <v>1825</v>
      </c>
      <c r="H22" s="9" t="n">
        <v>0</v>
      </c>
      <c r="J22" s="0"/>
      <c r="K22" s="0"/>
      <c r="L22" s="0"/>
      <c r="M22" s="0"/>
      <c r="N22" s="0"/>
      <c r="O22" s="0"/>
      <c r="P22" s="0"/>
      <c r="Q22" s="0"/>
      <c r="R22" s="142"/>
      <c r="S22" s="142"/>
      <c r="T22" s="143"/>
      <c r="U22" s="142"/>
      <c r="V22" s="142"/>
      <c r="W22" s="142"/>
      <c r="X22" s="143"/>
      <c r="Y22" s="142"/>
      <c r="Z22" s="142"/>
      <c r="AA22" s="142"/>
      <c r="AB22" s="143"/>
      <c r="AE22" s="0"/>
      <c r="AF22" s="0"/>
      <c r="AG22" s="0"/>
      <c r="AH22" s="0"/>
      <c r="AI22" s="0"/>
      <c r="AJ22" s="0"/>
      <c r="AK22" s="0"/>
      <c r="AL22" s="0"/>
      <c r="AM22" s="0"/>
    </row>
    <row r="23" customFormat="false" ht="13.5" hidden="false" customHeight="true" outlineLevel="0" collapsed="false">
      <c r="A23" s="0" t="n">
        <v>28</v>
      </c>
      <c r="B23" s="34" t="n">
        <v>36923</v>
      </c>
      <c r="C23" s="0" t="n">
        <v>906287</v>
      </c>
      <c r="D23" s="29" t="s">
        <v>42</v>
      </c>
      <c r="E23" s="33" t="n">
        <f aca="false">IF(D23="totale",(C23/(A23*24))/F23,IF(D23="marché libre",(C23/(A23*24))/G23,"spécifier histo"))</f>
        <v>0.738981572080887</v>
      </c>
      <c r="F23" s="9" t="n">
        <v>1825</v>
      </c>
      <c r="G23" s="9" t="n">
        <f aca="false">F23-H23</f>
        <v>1825</v>
      </c>
      <c r="H23" s="9" t="n">
        <v>0</v>
      </c>
      <c r="J23" s="0"/>
      <c r="K23" s="0"/>
      <c r="L23" s="0"/>
      <c r="M23" s="0"/>
      <c r="N23" s="0"/>
      <c r="O23" s="0"/>
      <c r="P23" s="0"/>
      <c r="Q23" s="0"/>
      <c r="R23" s="142"/>
      <c r="S23" s="142"/>
      <c r="T23" s="143"/>
      <c r="U23" s="142"/>
      <c r="V23" s="142"/>
      <c r="W23" s="142"/>
      <c r="X23" s="143"/>
      <c r="Y23" s="142"/>
      <c r="Z23" s="142"/>
      <c r="AA23" s="142"/>
      <c r="AB23" s="143"/>
      <c r="AE23" s="0"/>
      <c r="AF23" s="0"/>
      <c r="AG23" s="0"/>
      <c r="AH23" s="0"/>
      <c r="AI23" s="0"/>
      <c r="AJ23" s="0"/>
      <c r="AK23" s="0"/>
      <c r="AL23" s="0"/>
      <c r="AM23" s="0"/>
    </row>
    <row r="24" customFormat="false" ht="13.5" hidden="false" customHeight="true" outlineLevel="0" collapsed="false">
      <c r="A24" s="0" t="n">
        <v>31</v>
      </c>
      <c r="B24" s="31" t="n">
        <v>36951</v>
      </c>
      <c r="C24" s="0" t="n">
        <v>931736</v>
      </c>
      <c r="D24" s="29" t="s">
        <v>42</v>
      </c>
      <c r="E24" s="33" t="n">
        <f aca="false">IF(D24="totale",(C24/(A24*24))/F24,IF(D24="marché libre",(C24/(A24*24))/G24,"spécifier histo"))</f>
        <v>0.6862100456621</v>
      </c>
      <c r="F24" s="9" t="n">
        <v>1825</v>
      </c>
      <c r="G24" s="9" t="n">
        <f aca="false">F24-H24</f>
        <v>1825</v>
      </c>
      <c r="H24" s="9" t="n">
        <v>0</v>
      </c>
      <c r="J24" s="0"/>
      <c r="K24" s="0"/>
      <c r="L24" s="0"/>
      <c r="M24" s="0"/>
      <c r="N24" s="0"/>
      <c r="O24" s="0"/>
      <c r="P24" s="0"/>
      <c r="Q24" s="0"/>
      <c r="R24" s="142"/>
      <c r="S24" s="142"/>
      <c r="T24" s="143"/>
      <c r="U24" s="142"/>
      <c r="V24" s="142"/>
      <c r="W24" s="142"/>
      <c r="X24" s="143"/>
      <c r="Y24" s="142"/>
      <c r="Z24" s="142"/>
      <c r="AA24" s="142"/>
      <c r="AB24" s="143"/>
      <c r="AE24" s="0"/>
      <c r="AF24" s="0"/>
      <c r="AG24" s="0"/>
      <c r="AH24" s="0"/>
      <c r="AI24" s="0"/>
      <c r="AJ24" s="0"/>
      <c r="AK24" s="0"/>
      <c r="AL24" s="0"/>
      <c r="AM24" s="0"/>
    </row>
    <row r="25" customFormat="false" ht="13.5" hidden="false" customHeight="true" outlineLevel="0" collapsed="false">
      <c r="A25" s="0" t="n">
        <v>30</v>
      </c>
      <c r="B25" s="34" t="n">
        <v>36982</v>
      </c>
      <c r="C25" s="0" t="n">
        <v>938510</v>
      </c>
      <c r="D25" s="29" t="s">
        <v>42</v>
      </c>
      <c r="E25" s="33" t="n">
        <f aca="false">IF(D25="totale",(C25/(A25*24))/F25,IF(D25="marché libre",(C25/(A25*24))/G25,"spécifier histo"))</f>
        <v>0.71423896499239</v>
      </c>
      <c r="F25" s="9" t="n">
        <v>1825</v>
      </c>
      <c r="G25" s="9" t="n">
        <f aca="false">F25-H25</f>
        <v>1825</v>
      </c>
      <c r="H25" s="9" t="n">
        <v>0</v>
      </c>
      <c r="J25" s="0"/>
      <c r="K25" s="0"/>
      <c r="L25" s="0"/>
      <c r="M25" s="0"/>
      <c r="N25" s="0"/>
      <c r="O25" s="0"/>
      <c r="P25" s="141"/>
      <c r="Q25" s="142"/>
      <c r="R25" s="142"/>
      <c r="S25" s="142"/>
      <c r="T25" s="143"/>
      <c r="U25" s="142"/>
      <c r="V25" s="142"/>
      <c r="W25" s="142"/>
      <c r="X25" s="143"/>
      <c r="Y25" s="142"/>
      <c r="Z25" s="142"/>
      <c r="AA25" s="142"/>
      <c r="AB25" s="143"/>
      <c r="AE25" s="0"/>
      <c r="AF25" s="0"/>
      <c r="AG25" s="0"/>
      <c r="AH25" s="0"/>
      <c r="AI25" s="0"/>
      <c r="AJ25" s="0"/>
      <c r="AK25" s="0"/>
      <c r="AL25" s="0"/>
      <c r="AM25" s="0"/>
    </row>
    <row r="26" customFormat="false" ht="13.5" hidden="false" customHeight="true" outlineLevel="0" collapsed="false">
      <c r="A26" s="0" t="n">
        <v>31</v>
      </c>
      <c r="B26" s="31" t="n">
        <v>37012</v>
      </c>
      <c r="C26" s="0" t="n">
        <v>960023</v>
      </c>
      <c r="D26" s="29" t="s">
        <v>42</v>
      </c>
      <c r="E26" s="33" t="n">
        <f aca="false">IF(D26="totale",(C26/(A26*24))/F26,IF(D26="marché libre",(C26/(A26*24))/G26,"spécifier histo"))</f>
        <v>0.707043010752688</v>
      </c>
      <c r="F26" s="9" t="n">
        <v>1825</v>
      </c>
      <c r="G26" s="9" t="n">
        <f aca="false">F26-H26</f>
        <v>1825</v>
      </c>
      <c r="H26" s="9" t="n">
        <v>0</v>
      </c>
      <c r="J26" s="0"/>
      <c r="K26" s="0"/>
      <c r="L26" s="0"/>
      <c r="M26" s="0"/>
      <c r="N26" s="0"/>
      <c r="O26" s="0"/>
      <c r="P26" s="141"/>
      <c r="Q26" s="142"/>
      <c r="R26" s="142"/>
      <c r="S26" s="142"/>
      <c r="T26" s="143"/>
      <c r="U26" s="142"/>
      <c r="V26" s="142"/>
      <c r="W26" s="142"/>
      <c r="X26" s="143"/>
      <c r="Y26" s="142"/>
      <c r="Z26" s="142"/>
      <c r="AA26" s="142"/>
      <c r="AB26" s="143"/>
      <c r="AE26" s="0"/>
      <c r="AF26" s="0"/>
      <c r="AG26" s="0"/>
      <c r="AH26" s="0"/>
      <c r="AI26" s="0"/>
      <c r="AJ26" s="0"/>
      <c r="AK26" s="0"/>
      <c r="AL26" s="0"/>
      <c r="AM26" s="0"/>
    </row>
    <row r="27" customFormat="false" ht="13.5" hidden="false" customHeight="true" outlineLevel="0" collapsed="false">
      <c r="A27" s="0" t="n">
        <v>30</v>
      </c>
      <c r="B27" s="34" t="n">
        <v>37043</v>
      </c>
      <c r="C27" s="0" t="n">
        <v>996743</v>
      </c>
      <c r="D27" s="29" t="s">
        <v>42</v>
      </c>
      <c r="E27" s="33" t="n">
        <f aca="false">IF(D27="totale",(C27/(A27*24))/F27,IF(D27="marché libre",(C27/(A27*24))/G27,"spécifier histo"))</f>
        <v>0.758556316590563</v>
      </c>
      <c r="F27" s="9" t="n">
        <v>1825</v>
      </c>
      <c r="G27" s="9" t="n">
        <f aca="false">F27-H27</f>
        <v>1825</v>
      </c>
      <c r="H27" s="9" t="n">
        <v>0</v>
      </c>
      <c r="J27" s="0"/>
      <c r="K27" s="0"/>
      <c r="L27" s="0"/>
      <c r="M27" s="0"/>
      <c r="N27" s="0"/>
      <c r="O27" s="0"/>
      <c r="P27" s="141"/>
      <c r="Q27" s="142"/>
      <c r="R27" s="142"/>
      <c r="S27" s="142"/>
      <c r="T27" s="143"/>
      <c r="U27" s="142"/>
      <c r="V27" s="142"/>
      <c r="W27" s="142"/>
      <c r="X27" s="143"/>
      <c r="Y27" s="142"/>
      <c r="Z27" s="142"/>
      <c r="AA27" s="142"/>
      <c r="AB27" s="143"/>
      <c r="AE27" s="0"/>
      <c r="AF27" s="0"/>
      <c r="AG27" s="0"/>
      <c r="AH27" s="0"/>
      <c r="AI27" s="0"/>
      <c r="AJ27" s="0"/>
      <c r="AK27" s="0"/>
      <c r="AL27" s="0"/>
      <c r="AM27" s="0"/>
    </row>
    <row r="28" customFormat="false" ht="13.5" hidden="false" customHeight="true" outlineLevel="0" collapsed="false">
      <c r="A28" s="0" t="n">
        <v>31</v>
      </c>
      <c r="B28" s="31" t="n">
        <v>37073</v>
      </c>
      <c r="C28" s="0" t="n">
        <v>1004494</v>
      </c>
      <c r="D28" s="29" t="s">
        <v>42</v>
      </c>
      <c r="E28" s="33" t="n">
        <f aca="false">IF(D28="totale",(C28/(A28*24))/F28,IF(D28="marché libre",(C28/(A28*24))/G28,"spécifier histo"))</f>
        <v>0.739795257033437</v>
      </c>
      <c r="F28" s="9" t="n">
        <v>1825</v>
      </c>
      <c r="G28" s="9" t="n">
        <f aca="false">F28-H28</f>
        <v>1825</v>
      </c>
      <c r="H28" s="9" t="n">
        <v>0</v>
      </c>
      <c r="J28" s="0"/>
      <c r="K28" s="0"/>
      <c r="L28" s="0"/>
      <c r="M28" s="0"/>
      <c r="N28" s="0"/>
      <c r="O28" s="0"/>
      <c r="P28" s="141"/>
      <c r="Q28" s="142"/>
      <c r="R28" s="142"/>
      <c r="S28" s="142"/>
      <c r="T28" s="143"/>
      <c r="U28" s="142"/>
      <c r="V28" s="142"/>
      <c r="W28" s="142"/>
      <c r="X28" s="143"/>
      <c r="Y28" s="142"/>
      <c r="Z28" s="142"/>
      <c r="AA28" s="142"/>
      <c r="AB28" s="143"/>
      <c r="AE28" s="0"/>
      <c r="AF28" s="0"/>
      <c r="AG28" s="0"/>
      <c r="AH28" s="0"/>
      <c r="AI28" s="0"/>
      <c r="AJ28" s="0"/>
      <c r="AK28" s="0"/>
      <c r="AL28" s="0"/>
      <c r="AM28" s="0"/>
    </row>
    <row r="29" customFormat="false" ht="13.5" hidden="false" customHeight="true" outlineLevel="0" collapsed="false">
      <c r="A29" s="0" t="n">
        <v>31</v>
      </c>
      <c r="B29" s="34" t="n">
        <v>37104</v>
      </c>
      <c r="C29" s="0" t="n">
        <v>667146</v>
      </c>
      <c r="D29" s="29" t="s">
        <v>42</v>
      </c>
      <c r="E29" s="33" t="n">
        <f aca="false">IF(D29="totale",(C29/(A29*24))/F29,IF(D29="marché libre",(C29/(A29*24))/G29,"spécifier histo"))</f>
        <v>0.491343349536014</v>
      </c>
      <c r="F29" s="9" t="n">
        <v>1825</v>
      </c>
      <c r="G29" s="9" t="n">
        <f aca="false">F29-H29</f>
        <v>1825</v>
      </c>
      <c r="H29" s="9" t="n">
        <v>0</v>
      </c>
      <c r="J29" s="0"/>
      <c r="K29" s="0"/>
      <c r="L29" s="0"/>
      <c r="M29" s="0"/>
      <c r="N29" s="0"/>
      <c r="O29" s="0"/>
      <c r="P29" s="141"/>
      <c r="Q29" s="142"/>
      <c r="R29" s="142"/>
      <c r="S29" s="142"/>
      <c r="T29" s="143"/>
      <c r="U29" s="142"/>
      <c r="V29" s="142"/>
      <c r="W29" s="142"/>
      <c r="X29" s="143"/>
      <c r="Y29" s="142"/>
      <c r="Z29" s="142"/>
      <c r="AA29" s="142"/>
      <c r="AB29" s="143"/>
      <c r="AE29" s="0"/>
      <c r="AF29" s="0"/>
      <c r="AG29" s="0"/>
      <c r="AH29" s="0"/>
      <c r="AI29" s="0"/>
      <c r="AJ29" s="0"/>
      <c r="AK29" s="0"/>
      <c r="AL29" s="0"/>
      <c r="AM29" s="0"/>
    </row>
    <row r="30" customFormat="false" ht="13.5" hidden="false" customHeight="true" outlineLevel="0" collapsed="false">
      <c r="A30" s="0" t="n">
        <v>30</v>
      </c>
      <c r="B30" s="31" t="n">
        <v>37135</v>
      </c>
      <c r="C30" s="0" t="n">
        <v>438511</v>
      </c>
      <c r="D30" s="29" t="s">
        <v>42</v>
      </c>
      <c r="E30" s="33" t="n">
        <f aca="false">IF(D30="totale",(C30/(A30*24))/F30,IF(D30="marché libre",(C30/(A30*24))/G30,"spécifier histo"))</f>
        <v>0.333722222222222</v>
      </c>
      <c r="F30" s="9" t="n">
        <v>1825</v>
      </c>
      <c r="G30" s="9" t="n">
        <f aca="false">F30-H30</f>
        <v>1825</v>
      </c>
      <c r="H30" s="9" t="n">
        <v>0</v>
      </c>
      <c r="J30" s="0"/>
      <c r="K30" s="0"/>
      <c r="L30" s="0"/>
      <c r="M30" s="0"/>
      <c r="N30" s="0"/>
      <c r="O30" s="0"/>
      <c r="P30" s="141"/>
      <c r="Q30" s="142"/>
      <c r="R30" s="142"/>
      <c r="S30" s="142"/>
      <c r="T30" s="143"/>
      <c r="U30" s="142"/>
      <c r="V30" s="142"/>
      <c r="W30" s="142"/>
      <c r="X30" s="143"/>
      <c r="Y30" s="142"/>
      <c r="Z30" s="142"/>
      <c r="AA30" s="142"/>
      <c r="AB30" s="143"/>
      <c r="AE30" s="0"/>
      <c r="AF30" s="0"/>
      <c r="AG30" s="0"/>
      <c r="AH30" s="0"/>
      <c r="AI30" s="0"/>
      <c r="AJ30" s="0"/>
      <c r="AK30" s="0"/>
      <c r="AL30" s="0"/>
      <c r="AM30" s="0"/>
    </row>
    <row r="31" customFormat="false" ht="13.5" hidden="false" customHeight="true" outlineLevel="0" collapsed="false">
      <c r="A31" s="0" t="n">
        <v>31</v>
      </c>
      <c r="B31" s="34" t="n">
        <v>37165</v>
      </c>
      <c r="C31" s="0" t="n">
        <v>565275</v>
      </c>
      <c r="D31" s="29" t="s">
        <v>42</v>
      </c>
      <c r="E31" s="33" t="n">
        <f aca="false">IF(D31="totale",(C31/(A31*24))/F31,IF(D31="marché libre",(C31/(A31*24))/G31,"spécifier histo"))</f>
        <v>0.41631683605833</v>
      </c>
      <c r="F31" s="9" t="n">
        <v>1825</v>
      </c>
      <c r="G31" s="9" t="n">
        <f aca="false">F31-H31</f>
        <v>1825</v>
      </c>
      <c r="H31" s="9" t="n">
        <v>0</v>
      </c>
      <c r="J31" s="0"/>
      <c r="K31" s="0"/>
      <c r="L31" s="0"/>
      <c r="M31" s="0"/>
      <c r="N31" s="0"/>
      <c r="O31" s="0"/>
      <c r="P31" s="144"/>
      <c r="Q31" s="143"/>
      <c r="R31" s="143"/>
      <c r="S31" s="143"/>
      <c r="T31" s="143"/>
      <c r="U31" s="143"/>
      <c r="V31" s="143"/>
      <c r="W31" s="143"/>
      <c r="X31" s="143"/>
      <c r="Y31" s="143"/>
      <c r="Z31" s="143"/>
      <c r="AA31" s="143"/>
      <c r="AB31" s="143"/>
      <c r="AC31" s="103"/>
      <c r="AD31" s="103"/>
      <c r="AE31" s="0"/>
      <c r="AF31" s="0"/>
      <c r="AG31" s="0"/>
      <c r="AH31" s="0"/>
      <c r="AI31" s="0"/>
      <c r="AJ31" s="0"/>
      <c r="AK31" s="0"/>
      <c r="AL31" s="0"/>
      <c r="AM31" s="0"/>
    </row>
    <row r="32" customFormat="false" ht="13.5" hidden="false" customHeight="true" outlineLevel="0" collapsed="false">
      <c r="A32" s="0" t="n">
        <v>30</v>
      </c>
      <c r="B32" s="31" t="n">
        <v>37196</v>
      </c>
      <c r="C32" s="0" t="n">
        <v>603098</v>
      </c>
      <c r="D32" s="29" t="s">
        <v>42</v>
      </c>
      <c r="E32" s="33" t="n">
        <f aca="false">IF(D32="totale",(C32/(A32*24))/F32,IF(D32="marché libre",(C32/(A32*24))/G32,"spécifier histo"))</f>
        <v>0.458978691019787</v>
      </c>
      <c r="F32" s="9" t="n">
        <v>1825</v>
      </c>
      <c r="G32" s="9" t="n">
        <f aca="false">F32-H32</f>
        <v>1825</v>
      </c>
      <c r="H32" s="9" t="n">
        <v>0</v>
      </c>
      <c r="J32" s="0"/>
      <c r="K32" s="0"/>
      <c r="L32" s="0"/>
      <c r="M32" s="0"/>
      <c r="N32" s="0"/>
      <c r="O32" s="0"/>
      <c r="P32" s="0"/>
      <c r="Q32" s="0"/>
      <c r="R32" s="0"/>
      <c r="S32" s="0"/>
      <c r="T32" s="0"/>
      <c r="U32" s="0"/>
      <c r="V32" s="0"/>
      <c r="W32" s="0"/>
      <c r="X32" s="0"/>
      <c r="Y32" s="0"/>
      <c r="Z32" s="0"/>
      <c r="AA32" s="0"/>
      <c r="AB32" s="0"/>
      <c r="AC32" s="103"/>
      <c r="AD32" s="103"/>
      <c r="AE32" s="0"/>
      <c r="AF32" s="0"/>
      <c r="AG32" s="0"/>
      <c r="AH32" s="0"/>
      <c r="AI32" s="0"/>
      <c r="AJ32" s="0"/>
      <c r="AK32" s="0"/>
      <c r="AL32" s="0"/>
      <c r="AM32" s="0"/>
      <c r="AN32" s="0"/>
      <c r="AO32" s="0"/>
      <c r="AP32" s="0"/>
      <c r="AQ32" s="0"/>
      <c r="AR32" s="0"/>
      <c r="AS32" s="0"/>
    </row>
    <row r="33" customFormat="false" ht="13.5" hidden="false" customHeight="true" outlineLevel="0" collapsed="false">
      <c r="A33" s="0" t="n">
        <v>31</v>
      </c>
      <c r="B33" s="34" t="n">
        <v>37226</v>
      </c>
      <c r="C33" s="0" t="n">
        <v>536226</v>
      </c>
      <c r="D33" s="29" t="s">
        <v>42</v>
      </c>
      <c r="E33" s="33" t="n">
        <f aca="false">IF(D33="totale",(C33/(A33*24))/F33,IF(D33="marché libre",(C33/(A33*24))/G33,"spécifier histo"))</f>
        <v>0.39492266902342</v>
      </c>
      <c r="F33" s="9" t="n">
        <v>1825</v>
      </c>
      <c r="G33" s="9" t="n">
        <f aca="false">F33-H33</f>
        <v>1825</v>
      </c>
      <c r="H33" s="9" t="n">
        <v>0</v>
      </c>
      <c r="J33" s="0"/>
      <c r="K33" s="0"/>
      <c r="L33" s="0"/>
      <c r="M33" s="0"/>
      <c r="N33" s="0"/>
      <c r="O33" s="0"/>
      <c r="P33" s="144"/>
      <c r="Q33" s="144"/>
      <c r="R33" s="144"/>
      <c r="S33" s="144"/>
      <c r="T33" s="144"/>
      <c r="U33" s="144"/>
      <c r="V33" s="144"/>
      <c r="W33" s="144"/>
      <c r="X33" s="144"/>
      <c r="Y33" s="0"/>
      <c r="Z33" s="0"/>
      <c r="AA33" s="0"/>
      <c r="AB33" s="0"/>
      <c r="AC33" s="103"/>
      <c r="AD33" s="103"/>
      <c r="AE33" s="0"/>
      <c r="AF33" s="0"/>
      <c r="AG33" s="0"/>
      <c r="AH33" s="0"/>
      <c r="AI33" s="0"/>
      <c r="AJ33" s="0"/>
      <c r="AK33" s="0"/>
      <c r="AL33" s="0"/>
      <c r="AM33" s="0"/>
      <c r="AN33" s="0"/>
      <c r="AO33" s="0"/>
      <c r="AP33" s="0"/>
      <c r="AQ33" s="0"/>
      <c r="AR33" s="0"/>
      <c r="AS33" s="0"/>
    </row>
    <row r="34" customFormat="false" ht="13.5" hidden="false" customHeight="true" outlineLevel="0" collapsed="false">
      <c r="A34" s="0" t="n">
        <v>31</v>
      </c>
      <c r="B34" s="31" t="n">
        <v>37257</v>
      </c>
      <c r="C34" s="0" t="n">
        <v>626242</v>
      </c>
      <c r="D34" s="29" t="s">
        <v>42</v>
      </c>
      <c r="E34" s="33" t="n">
        <f aca="false">IF(D34="totale",(C34/(A34*24))/F34,IF(D34="marché libre",(C34/(A34*24))/G34,"spécifier histo"))</f>
        <v>0.461218147002504</v>
      </c>
      <c r="F34" s="9" t="n">
        <v>1825</v>
      </c>
      <c r="G34" s="9" t="n">
        <f aca="false">F34-H34</f>
        <v>1825</v>
      </c>
      <c r="H34" s="9" t="n">
        <v>0</v>
      </c>
      <c r="J34" s="0"/>
      <c r="K34" s="0"/>
      <c r="L34" s="0"/>
      <c r="M34" s="0"/>
      <c r="N34" s="0"/>
      <c r="O34" s="0"/>
      <c r="P34" s="0"/>
      <c r="Q34" s="0"/>
      <c r="R34" s="0"/>
      <c r="S34" s="0"/>
      <c r="T34" s="0"/>
      <c r="U34" s="0"/>
      <c r="V34" s="0"/>
      <c r="W34" s="0"/>
      <c r="X34" s="0"/>
      <c r="Y34" s="0"/>
      <c r="Z34" s="0"/>
      <c r="AA34" s="0"/>
      <c r="AB34" s="0"/>
      <c r="AC34" s="103"/>
      <c r="AD34" s="103"/>
      <c r="AE34" s="0"/>
      <c r="AF34" s="0"/>
      <c r="AG34" s="0"/>
      <c r="AH34" s="0"/>
      <c r="AI34" s="0"/>
      <c r="AJ34" s="0"/>
      <c r="AK34" s="0"/>
      <c r="AL34" s="0"/>
      <c r="AM34" s="0"/>
      <c r="AN34" s="0"/>
      <c r="AO34" s="0"/>
      <c r="AP34" s="0"/>
      <c r="AQ34" s="0"/>
      <c r="AR34" s="0"/>
      <c r="AS34" s="0"/>
    </row>
    <row r="35" customFormat="false" ht="13.5" hidden="false" customHeight="true" outlineLevel="0" collapsed="false">
      <c r="A35" s="0" t="n">
        <v>28</v>
      </c>
      <c r="B35" s="34" t="n">
        <v>37288</v>
      </c>
      <c r="C35" s="0" t="n">
        <v>732789</v>
      </c>
      <c r="D35" s="29" t="s">
        <v>42</v>
      </c>
      <c r="E35" s="33" t="n">
        <f aca="false">IF(D35="totale",(C35/(A35*24))/F35,IF(D35="marché libre",(C35/(A35*24))/G35,"spécifier histo"))</f>
        <v>0.597512230919765</v>
      </c>
      <c r="F35" s="9" t="n">
        <v>1825</v>
      </c>
      <c r="G35" s="9" t="n">
        <f aca="false">F35-H35</f>
        <v>1825</v>
      </c>
      <c r="H35" s="9" t="n">
        <v>0</v>
      </c>
      <c r="J35" s="0"/>
      <c r="K35" s="0"/>
      <c r="L35" s="0"/>
      <c r="M35" s="0"/>
      <c r="N35" s="0"/>
      <c r="O35" s="0"/>
      <c r="P35" s="145"/>
      <c r="Q35" s="144"/>
      <c r="R35" s="144"/>
      <c r="S35" s="144"/>
      <c r="T35" s="144"/>
      <c r="U35" s="144"/>
      <c r="V35" s="144"/>
      <c r="W35" s="144"/>
      <c r="X35" s="144"/>
      <c r="Y35" s="144"/>
      <c r="Z35" s="144"/>
      <c r="AA35" s="144"/>
      <c r="AB35" s="144"/>
      <c r="AC35" s="103"/>
      <c r="AD35" s="103"/>
      <c r="AE35" s="0"/>
      <c r="AF35" s="0"/>
      <c r="AG35" s="0"/>
      <c r="AH35" s="0"/>
      <c r="AI35" s="0"/>
      <c r="AJ35" s="0"/>
      <c r="AK35" s="0"/>
      <c r="AL35" s="0"/>
      <c r="AM35" s="0"/>
      <c r="AN35" s="0"/>
      <c r="AO35" s="0"/>
      <c r="AP35" s="0"/>
      <c r="AQ35" s="0"/>
      <c r="AR35" s="0"/>
      <c r="AS35" s="0"/>
    </row>
    <row r="36" customFormat="false" ht="13.5" hidden="false" customHeight="true" outlineLevel="0" collapsed="false">
      <c r="A36" s="0" t="n">
        <v>31</v>
      </c>
      <c r="B36" s="31" t="n">
        <v>37316</v>
      </c>
      <c r="C36" s="0" t="n">
        <v>1036490</v>
      </c>
      <c r="D36" s="29" t="s">
        <v>42</v>
      </c>
      <c r="E36" s="33" t="n">
        <f aca="false">IF(D36="totale",(C36/(A36*24))/F36,IF(D36="marché libre",(C36/(A36*24))/G36,"spécifier histo"))</f>
        <v>0.763359846811018</v>
      </c>
      <c r="F36" s="9" t="n">
        <v>1825</v>
      </c>
      <c r="G36" s="9" t="n">
        <f aca="false">F36-H36</f>
        <v>1825</v>
      </c>
      <c r="H36" s="9" t="n">
        <v>0</v>
      </c>
      <c r="J36" s="0"/>
      <c r="K36" s="0"/>
      <c r="L36" s="0"/>
      <c r="M36" s="0"/>
      <c r="N36" s="0"/>
      <c r="O36" s="0"/>
      <c r="P36" s="145"/>
      <c r="Q36" s="144"/>
      <c r="R36" s="144"/>
      <c r="S36" s="144"/>
      <c r="T36" s="144"/>
      <c r="U36" s="144"/>
      <c r="V36" s="144"/>
      <c r="W36" s="144"/>
      <c r="X36" s="144"/>
      <c r="Y36" s="144"/>
      <c r="Z36" s="144"/>
      <c r="AA36" s="144"/>
      <c r="AB36" s="144"/>
      <c r="AC36" s="103"/>
      <c r="AD36" s="103"/>
      <c r="AE36" s="0"/>
      <c r="AF36" s="0"/>
      <c r="AG36" s="0"/>
      <c r="AH36" s="0"/>
      <c r="AI36" s="0"/>
      <c r="AJ36" s="0"/>
      <c r="AK36" s="0"/>
      <c r="AL36" s="0"/>
      <c r="AM36" s="0"/>
      <c r="AN36" s="0"/>
      <c r="AO36" s="0"/>
      <c r="AP36" s="0"/>
      <c r="AQ36" s="0"/>
      <c r="AR36" s="0"/>
      <c r="AS36" s="0"/>
    </row>
    <row r="37" customFormat="false" ht="13.5" hidden="false" customHeight="true" outlineLevel="0" collapsed="false">
      <c r="A37" s="0" t="n">
        <v>30</v>
      </c>
      <c r="B37" s="34" t="n">
        <v>37347</v>
      </c>
      <c r="C37" s="0" t="n">
        <v>904478</v>
      </c>
      <c r="D37" s="29" t="s">
        <v>42</v>
      </c>
      <c r="E37" s="33" t="n">
        <f aca="false">IF(D37="totale",(C37/(A37*24))/F37,IF(D37="marché libre",(C37/(A37*24))/G37,"spécifier histo"))</f>
        <v>0.688339421613394</v>
      </c>
      <c r="F37" s="9" t="n">
        <v>1825</v>
      </c>
      <c r="G37" s="9" t="n">
        <f aca="false">F37-H37</f>
        <v>1825</v>
      </c>
      <c r="H37" s="9" t="n">
        <v>0</v>
      </c>
      <c r="J37" s="0"/>
      <c r="K37" s="0"/>
      <c r="L37" s="0"/>
      <c r="M37" s="0"/>
      <c r="N37" s="0"/>
      <c r="O37" s="0"/>
      <c r="P37" s="141"/>
      <c r="Q37" s="142"/>
      <c r="R37" s="142"/>
      <c r="S37" s="142"/>
      <c r="T37" s="143"/>
      <c r="U37" s="142"/>
      <c r="V37" s="142"/>
      <c r="W37" s="142"/>
      <c r="X37" s="143"/>
      <c r="Y37" s="142"/>
      <c r="Z37" s="142"/>
      <c r="AA37" s="142"/>
      <c r="AB37" s="143"/>
      <c r="AC37" s="103"/>
      <c r="AD37" s="103"/>
      <c r="AE37" s="0"/>
      <c r="AF37" s="0"/>
      <c r="AG37" s="0"/>
      <c r="AH37" s="0"/>
      <c r="AI37" s="0"/>
      <c r="AJ37" s="0"/>
      <c r="AK37" s="0"/>
      <c r="AL37" s="0"/>
      <c r="AM37" s="0"/>
      <c r="AN37" s="0"/>
      <c r="AO37" s="0"/>
      <c r="AP37" s="0"/>
      <c r="AQ37" s="0"/>
      <c r="AR37" s="0"/>
      <c r="AS37" s="0"/>
    </row>
    <row r="38" customFormat="false" ht="13.5" hidden="false" customHeight="true" outlineLevel="0" collapsed="false">
      <c r="A38" s="0" t="n">
        <v>31</v>
      </c>
      <c r="B38" s="31" t="n">
        <v>37377</v>
      </c>
      <c r="C38" s="0" t="n">
        <v>832389</v>
      </c>
      <c r="D38" s="29" t="s">
        <v>42</v>
      </c>
      <c r="E38" s="33" t="n">
        <f aca="false">IF(D38="totale",(C38/(A38*24))/F38,IF(D38="marché libre",(C38/(A38*24))/G38,"spécifier histo"))</f>
        <v>0.613042421564295</v>
      </c>
      <c r="F38" s="9" t="n">
        <v>1825</v>
      </c>
      <c r="G38" s="9" t="n">
        <f aca="false">F38-H38</f>
        <v>1825</v>
      </c>
      <c r="H38" s="9" t="n">
        <v>0</v>
      </c>
      <c r="J38" s="0"/>
      <c r="K38" s="0"/>
      <c r="L38" s="0"/>
      <c r="M38" s="0"/>
      <c r="N38" s="0"/>
      <c r="O38" s="0"/>
      <c r="P38" s="141"/>
      <c r="Q38" s="142"/>
      <c r="R38" s="142"/>
      <c r="S38" s="142"/>
      <c r="T38" s="143"/>
      <c r="U38" s="142"/>
      <c r="V38" s="142"/>
      <c r="W38" s="142"/>
      <c r="X38" s="143"/>
      <c r="Y38" s="142"/>
      <c r="Z38" s="142"/>
      <c r="AA38" s="142"/>
      <c r="AB38" s="143"/>
      <c r="AC38" s="103"/>
      <c r="AD38" s="103"/>
      <c r="AE38" s="0"/>
      <c r="AF38" s="0"/>
      <c r="AG38" s="0"/>
      <c r="AH38" s="0"/>
      <c r="AI38" s="0"/>
      <c r="AJ38" s="0"/>
      <c r="AK38" s="0"/>
      <c r="AL38" s="0"/>
      <c r="AM38" s="0"/>
      <c r="AN38" s="0"/>
      <c r="AO38" s="0"/>
      <c r="AP38" s="0"/>
      <c r="AQ38" s="0"/>
      <c r="AR38" s="0"/>
      <c r="AS38" s="0"/>
    </row>
    <row r="39" customFormat="false" ht="13.5" hidden="false" customHeight="true" outlineLevel="0" collapsed="false">
      <c r="A39" s="0" t="n">
        <v>30</v>
      </c>
      <c r="B39" s="34" t="n">
        <v>37408</v>
      </c>
      <c r="C39" s="0" t="n">
        <v>838479</v>
      </c>
      <c r="D39" s="29" t="s">
        <v>42</v>
      </c>
      <c r="E39" s="33" t="n">
        <f aca="false">IF(D39="totale",(C39/(A39*24))/F39,IF(D39="marché libre",(C39/(A39*24))/G39,"spécifier histo"))</f>
        <v>0.638111872146119</v>
      </c>
      <c r="F39" s="9" t="n">
        <v>1825</v>
      </c>
      <c r="G39" s="9" t="n">
        <f aca="false">F39-H39</f>
        <v>1825</v>
      </c>
      <c r="H39" s="9" t="n">
        <v>0</v>
      </c>
      <c r="J39" s="0"/>
      <c r="K39" s="0"/>
      <c r="L39" s="0"/>
      <c r="M39" s="0"/>
      <c r="N39" s="0"/>
      <c r="O39" s="0"/>
      <c r="P39" s="141"/>
      <c r="Q39" s="142"/>
      <c r="R39" s="142"/>
      <c r="S39" s="142"/>
      <c r="T39" s="143"/>
      <c r="U39" s="142"/>
      <c r="V39" s="142"/>
      <c r="W39" s="142"/>
      <c r="X39" s="143"/>
      <c r="Y39" s="142"/>
      <c r="Z39" s="142"/>
      <c r="AA39" s="142"/>
      <c r="AB39" s="143"/>
      <c r="AC39" s="103"/>
      <c r="AD39" s="103"/>
      <c r="AE39" s="0"/>
      <c r="AF39" s="0"/>
      <c r="AG39" s="0"/>
      <c r="AH39" s="0"/>
      <c r="AI39" s="0"/>
      <c r="AJ39" s="0"/>
      <c r="AK39" s="0"/>
      <c r="AL39" s="0"/>
      <c r="AM39" s="0"/>
      <c r="AN39" s="0"/>
      <c r="AO39" s="0"/>
      <c r="AP39" s="0"/>
      <c r="AQ39" s="0"/>
      <c r="AR39" s="0"/>
      <c r="AS39" s="0"/>
    </row>
    <row r="40" customFormat="false" ht="13.5" hidden="false" customHeight="true" outlineLevel="0" collapsed="false">
      <c r="A40" s="0" t="n">
        <v>31</v>
      </c>
      <c r="B40" s="31" t="n">
        <v>37438</v>
      </c>
      <c r="C40" s="0" t="n">
        <v>624195</v>
      </c>
      <c r="D40" s="29" t="s">
        <v>42</v>
      </c>
      <c r="E40" s="33" t="n">
        <f aca="false">IF(D40="totale",(C40/(A40*24))/F40,IF(D40="marché libre",(C40/(A40*24))/G40,"spécifier histo"))</f>
        <v>0.459710561201944</v>
      </c>
      <c r="F40" s="9" t="n">
        <v>1825</v>
      </c>
      <c r="G40" s="9" t="n">
        <f aca="false">F40-H40</f>
        <v>1825</v>
      </c>
      <c r="H40" s="9" t="n">
        <v>0</v>
      </c>
      <c r="J40" s="0"/>
      <c r="K40" s="0"/>
      <c r="L40" s="0"/>
      <c r="M40" s="0"/>
      <c r="N40" s="0"/>
      <c r="O40" s="0"/>
      <c r="P40" s="141"/>
      <c r="Q40" s="142"/>
      <c r="R40" s="142"/>
      <c r="S40" s="142"/>
      <c r="T40" s="143"/>
      <c r="U40" s="142"/>
      <c r="V40" s="142"/>
      <c r="W40" s="142"/>
      <c r="X40" s="143"/>
      <c r="Y40" s="142"/>
      <c r="Z40" s="142"/>
      <c r="AA40" s="142"/>
      <c r="AB40" s="143"/>
      <c r="AC40" s="103"/>
      <c r="AD40" s="103"/>
      <c r="AE40" s="0"/>
      <c r="AF40" s="0"/>
      <c r="AG40" s="0"/>
      <c r="AH40" s="0"/>
      <c r="AI40" s="0"/>
      <c r="AJ40" s="0"/>
      <c r="AK40" s="0"/>
      <c r="AL40" s="0"/>
      <c r="AM40" s="0"/>
      <c r="AN40" s="0"/>
      <c r="AO40" s="0"/>
      <c r="AP40" s="0"/>
      <c r="AQ40" s="0"/>
      <c r="AR40" s="0"/>
      <c r="AS40" s="0"/>
    </row>
    <row r="41" customFormat="false" ht="13.5" hidden="false" customHeight="true" outlineLevel="0" collapsed="false">
      <c r="A41" s="0" t="n">
        <v>31</v>
      </c>
      <c r="B41" s="34" t="n">
        <v>37469</v>
      </c>
      <c r="C41" s="0" t="n">
        <v>846373</v>
      </c>
      <c r="D41" s="29" t="s">
        <v>42</v>
      </c>
      <c r="E41" s="33" t="n">
        <f aca="false">IF(D41="totale",(C41/(A41*24))/F41,IF(D41="marché libre",(C41/(A41*24))/G41,"spécifier histo"))</f>
        <v>0.623341434673737</v>
      </c>
      <c r="F41" s="9" t="n">
        <v>1825</v>
      </c>
      <c r="G41" s="9" t="n">
        <f aca="false">F41-H41</f>
        <v>1825</v>
      </c>
      <c r="H41" s="9" t="n">
        <v>0</v>
      </c>
      <c r="J41" s="0"/>
      <c r="K41" s="0"/>
      <c r="L41" s="0"/>
      <c r="M41" s="0"/>
      <c r="N41" s="0"/>
      <c r="O41" s="0"/>
      <c r="P41" s="141"/>
      <c r="Q41" s="142"/>
      <c r="R41" s="142"/>
      <c r="S41" s="142"/>
      <c r="T41" s="143"/>
      <c r="U41" s="142"/>
      <c r="V41" s="142"/>
      <c r="W41" s="142"/>
      <c r="X41" s="143"/>
      <c r="Y41" s="142"/>
      <c r="Z41" s="142"/>
      <c r="AA41" s="142"/>
      <c r="AB41" s="143"/>
      <c r="AC41" s="103"/>
      <c r="AD41" s="103"/>
      <c r="AE41" s="0"/>
      <c r="AF41" s="0"/>
      <c r="AG41" s="0"/>
      <c r="AH41" s="0"/>
      <c r="AI41" s="0"/>
      <c r="AJ41" s="0"/>
      <c r="AK41" s="0"/>
      <c r="AL41" s="0"/>
      <c r="AM41" s="0"/>
      <c r="AN41" s="0"/>
      <c r="AO41" s="0"/>
      <c r="AP41" s="0"/>
      <c r="AQ41" s="0"/>
      <c r="AR41" s="0"/>
      <c r="AS41" s="0"/>
    </row>
    <row r="42" customFormat="false" ht="13.5" hidden="false" customHeight="true" outlineLevel="0" collapsed="false">
      <c r="A42" s="0" t="n">
        <v>30</v>
      </c>
      <c r="B42" s="31" t="n">
        <v>37500</v>
      </c>
      <c r="C42" s="0" t="n">
        <v>594430</v>
      </c>
      <c r="D42" s="29" t="s">
        <v>42</v>
      </c>
      <c r="E42" s="33" t="n">
        <f aca="false">IF(D42="totale",(C42/(A42*24))/F42,IF(D42="marché libre",(C42/(A42*24))/G42,"spécifier histo"))</f>
        <v>0.45238203957382</v>
      </c>
      <c r="F42" s="9" t="n">
        <v>1825</v>
      </c>
      <c r="G42" s="9" t="n">
        <f aca="false">F42-H42</f>
        <v>1825</v>
      </c>
      <c r="H42" s="9" t="n">
        <v>0</v>
      </c>
      <c r="J42" s="0"/>
      <c r="K42" s="0"/>
      <c r="L42" s="0"/>
      <c r="M42" s="0"/>
      <c r="N42" s="0"/>
      <c r="O42" s="0"/>
      <c r="P42" s="141"/>
      <c r="Q42" s="142"/>
      <c r="R42" s="142"/>
      <c r="S42" s="142"/>
      <c r="T42" s="143"/>
      <c r="U42" s="142"/>
      <c r="V42" s="142"/>
      <c r="W42" s="142"/>
      <c r="X42" s="143"/>
      <c r="Y42" s="142"/>
      <c r="Z42" s="142"/>
      <c r="AA42" s="142"/>
      <c r="AB42" s="143"/>
      <c r="AC42" s="103"/>
      <c r="AD42" s="103"/>
      <c r="AE42" s="0"/>
      <c r="AF42" s="0"/>
      <c r="AG42" s="0"/>
      <c r="AH42" s="0"/>
      <c r="AI42" s="0"/>
      <c r="AJ42" s="0"/>
      <c r="AK42" s="0"/>
      <c r="AL42" s="0"/>
      <c r="AM42" s="0"/>
      <c r="AN42" s="0"/>
      <c r="AO42" s="0"/>
      <c r="AP42" s="0"/>
      <c r="AQ42" s="0"/>
      <c r="AR42" s="0"/>
      <c r="AS42" s="0"/>
    </row>
    <row r="43" customFormat="false" ht="13.5" hidden="false" customHeight="true" outlineLevel="0" collapsed="false">
      <c r="A43" s="0" t="n">
        <v>31</v>
      </c>
      <c r="B43" s="34" t="n">
        <v>37530</v>
      </c>
      <c r="C43" s="0" t="n">
        <v>658223</v>
      </c>
      <c r="D43" s="29" t="s">
        <v>42</v>
      </c>
      <c r="E43" s="33" t="n">
        <f aca="false">IF(D43="totale",(C43/(A43*24))/F43,IF(D43="marché libre",(C43/(A43*24))/G43,"spécifier histo"))</f>
        <v>0.484771689497717</v>
      </c>
      <c r="F43" s="9" t="n">
        <v>1825</v>
      </c>
      <c r="G43" s="9" t="n">
        <f aca="false">F43-H43</f>
        <v>1825</v>
      </c>
      <c r="H43" s="9" t="n">
        <v>0</v>
      </c>
      <c r="J43" s="0"/>
      <c r="K43" s="0"/>
      <c r="L43" s="0"/>
      <c r="M43" s="0"/>
      <c r="N43" s="0"/>
      <c r="O43" s="0"/>
      <c r="P43" s="141"/>
      <c r="Q43" s="142"/>
      <c r="R43" s="142"/>
      <c r="S43" s="142"/>
      <c r="T43" s="143"/>
      <c r="U43" s="142"/>
      <c r="V43" s="142"/>
      <c r="W43" s="142"/>
      <c r="X43" s="143"/>
      <c r="Y43" s="142"/>
      <c r="Z43" s="142"/>
      <c r="AA43" s="142"/>
      <c r="AB43" s="143"/>
      <c r="AC43" s="103"/>
      <c r="AD43" s="103"/>
      <c r="AE43" s="0"/>
      <c r="AF43" s="0"/>
      <c r="AG43" s="0"/>
      <c r="AH43" s="0"/>
      <c r="AI43" s="0"/>
      <c r="AJ43" s="0"/>
      <c r="AK43" s="0"/>
      <c r="AL43" s="0"/>
      <c r="AM43" s="0"/>
      <c r="AN43" s="0"/>
      <c r="AO43" s="0"/>
      <c r="AP43" s="0"/>
      <c r="AQ43" s="0"/>
      <c r="AR43" s="0"/>
      <c r="AS43" s="0"/>
    </row>
    <row r="44" customFormat="false" ht="13.5" hidden="false" customHeight="true" outlineLevel="0" collapsed="false">
      <c r="A44" s="0" t="n">
        <v>30</v>
      </c>
      <c r="B44" s="31" t="n">
        <v>37561</v>
      </c>
      <c r="C44" s="0" t="n">
        <v>759099</v>
      </c>
      <c r="D44" s="29" t="s">
        <v>42</v>
      </c>
      <c r="E44" s="33" t="n">
        <f aca="false">IF(D44="totale",(C44/(A44*24))/F44,IF(D44="marché libre",(C44/(A44*24))/G44,"spécifier histo"))</f>
        <v>0.577700913242009</v>
      </c>
      <c r="F44" s="9" t="n">
        <v>1825</v>
      </c>
      <c r="G44" s="9" t="n">
        <f aca="false">F44-H44</f>
        <v>1825</v>
      </c>
      <c r="H44" s="9" t="n">
        <v>0</v>
      </c>
      <c r="J44" s="0"/>
      <c r="K44" s="0"/>
      <c r="L44" s="0"/>
      <c r="M44" s="0"/>
      <c r="N44" s="0"/>
      <c r="O44" s="0"/>
      <c r="P44" s="141"/>
      <c r="Q44" s="142"/>
      <c r="R44" s="142"/>
      <c r="S44" s="142"/>
      <c r="T44" s="143"/>
      <c r="U44" s="142"/>
      <c r="V44" s="142"/>
      <c r="W44" s="142"/>
      <c r="X44" s="143"/>
      <c r="Y44" s="142"/>
      <c r="Z44" s="142"/>
      <c r="AA44" s="142"/>
      <c r="AB44" s="143"/>
      <c r="AC44" s="103"/>
      <c r="AD44" s="103"/>
      <c r="AE44" s="0"/>
      <c r="AF44" s="0"/>
      <c r="AG44" s="0"/>
      <c r="AH44" s="0"/>
      <c r="AI44" s="0"/>
      <c r="AJ44" s="0"/>
      <c r="AK44" s="0"/>
      <c r="AL44" s="0"/>
      <c r="AM44" s="0"/>
      <c r="AN44" s="0"/>
      <c r="AO44" s="0"/>
      <c r="AP44" s="0"/>
      <c r="AQ44" s="0"/>
      <c r="AR44" s="0"/>
      <c r="AS44" s="0"/>
    </row>
    <row r="45" customFormat="false" ht="13.5" hidden="false" customHeight="true" outlineLevel="0" collapsed="false">
      <c r="A45" s="0" t="n">
        <v>31</v>
      </c>
      <c r="B45" s="34" t="n">
        <v>37591</v>
      </c>
      <c r="C45" s="0" t="n">
        <v>804701</v>
      </c>
      <c r="D45" s="29" t="s">
        <v>42</v>
      </c>
      <c r="E45" s="33" t="n">
        <f aca="false">IF(D45="totale",(C45/(A45*24))/F45,IF(D45="marché libre",(C45/(A45*24))/G45,"spécifier histo"))</f>
        <v>0.592650611282958</v>
      </c>
      <c r="F45" s="9" t="n">
        <v>1825</v>
      </c>
      <c r="G45" s="9" t="n">
        <f aca="false">F45-H45</f>
        <v>1825</v>
      </c>
      <c r="H45" s="9" t="n">
        <v>0</v>
      </c>
      <c r="J45" s="0"/>
      <c r="K45" s="0"/>
      <c r="L45" s="0"/>
      <c r="M45" s="0"/>
      <c r="N45" s="0"/>
      <c r="O45" s="0"/>
      <c r="P45" s="141"/>
      <c r="Q45" s="142"/>
      <c r="R45" s="142"/>
      <c r="S45" s="142"/>
      <c r="T45" s="143"/>
      <c r="U45" s="142"/>
      <c r="V45" s="142"/>
      <c r="W45" s="142"/>
      <c r="X45" s="143"/>
      <c r="Y45" s="142"/>
      <c r="Z45" s="142"/>
      <c r="AA45" s="142"/>
      <c r="AB45" s="143"/>
      <c r="AC45" s="103"/>
      <c r="AD45" s="103"/>
      <c r="AE45" s="0"/>
      <c r="AF45" s="0"/>
      <c r="AG45" s="0"/>
      <c r="AH45" s="0"/>
      <c r="AI45" s="0"/>
      <c r="AJ45" s="0"/>
      <c r="AK45" s="0"/>
      <c r="AL45" s="0"/>
      <c r="AM45" s="0"/>
      <c r="AN45" s="0"/>
      <c r="AO45" s="0"/>
      <c r="AP45" s="0"/>
      <c r="AQ45" s="0"/>
      <c r="AR45" s="0"/>
      <c r="AS45" s="0"/>
    </row>
    <row r="46" customFormat="false" ht="13.5" hidden="false" customHeight="true" outlineLevel="0" collapsed="false">
      <c r="A46" s="0" t="n">
        <v>31</v>
      </c>
      <c r="B46" s="31" t="n">
        <v>37622</v>
      </c>
      <c r="C46" s="0" t="n">
        <v>924849</v>
      </c>
      <c r="D46" s="29" t="s">
        <v>42</v>
      </c>
      <c r="E46" s="33" t="n">
        <f aca="false">IF(D46="totale",(C46/(A46*24))/F46,IF(D46="marché libre",(C46/(A46*24))/G46,"spécifier histo"))</f>
        <v>0.681137870083959</v>
      </c>
      <c r="F46" s="9" t="n">
        <v>1825</v>
      </c>
      <c r="G46" s="9" t="n">
        <f aca="false">F46-H46</f>
        <v>1825</v>
      </c>
      <c r="H46" s="9" t="n">
        <v>0</v>
      </c>
      <c r="J46" s="0"/>
      <c r="K46" s="0"/>
      <c r="L46" s="0"/>
      <c r="M46" s="0"/>
      <c r="N46" s="141"/>
      <c r="O46" s="0"/>
      <c r="P46" s="141"/>
      <c r="Q46" s="142"/>
      <c r="R46" s="142"/>
      <c r="S46" s="142"/>
      <c r="T46" s="143"/>
      <c r="U46" s="142"/>
      <c r="V46" s="142"/>
      <c r="W46" s="142"/>
      <c r="X46" s="143"/>
      <c r="Y46" s="142"/>
      <c r="Z46" s="142"/>
      <c r="AA46" s="142"/>
      <c r="AB46" s="143"/>
      <c r="AC46" s="103"/>
      <c r="AD46" s="103"/>
      <c r="AE46" s="103"/>
      <c r="AF46" s="103"/>
      <c r="AG46" s="103"/>
      <c r="AH46" s="103"/>
      <c r="AI46" s="103"/>
    </row>
    <row r="47" customFormat="false" ht="13.5" hidden="false" customHeight="true" outlineLevel="0" collapsed="false">
      <c r="A47" s="0" t="n">
        <v>28</v>
      </c>
      <c r="B47" s="34" t="n">
        <v>37653</v>
      </c>
      <c r="C47" s="142" t="n">
        <v>838649</v>
      </c>
      <c r="D47" s="29" t="s">
        <v>42</v>
      </c>
      <c r="E47" s="33" t="n">
        <f aca="false">IF(D47="totale",(C47/(A47*24))/F47,IF(D47="marché libre",(C47/(A47*24))/G47,"spécifier histo"))</f>
        <v>0.683829908675799</v>
      </c>
      <c r="F47" s="9" t="n">
        <v>1825</v>
      </c>
      <c r="G47" s="9" t="n">
        <f aca="false">F47-H47</f>
        <v>1825</v>
      </c>
      <c r="H47" s="9" t="n">
        <v>0</v>
      </c>
      <c r="J47" s="0"/>
      <c r="K47" s="0"/>
      <c r="L47" s="0"/>
      <c r="M47" s="0"/>
      <c r="N47" s="141"/>
      <c r="O47" s="0"/>
      <c r="P47" s="141"/>
      <c r="Q47" s="142"/>
      <c r="R47" s="142"/>
      <c r="S47" s="142"/>
      <c r="T47" s="143"/>
      <c r="U47" s="142"/>
      <c r="V47" s="142"/>
      <c r="W47" s="142"/>
      <c r="X47" s="143"/>
      <c r="Y47" s="142"/>
      <c r="Z47" s="142"/>
      <c r="AA47" s="142"/>
      <c r="AB47" s="143"/>
      <c r="AC47" s="103"/>
      <c r="AD47" s="103"/>
      <c r="AE47" s="103"/>
      <c r="AF47" s="103"/>
      <c r="AG47" s="103"/>
      <c r="AH47" s="103"/>
      <c r="AI47" s="103"/>
    </row>
    <row r="48" customFormat="false" ht="13.5" hidden="false" customHeight="true" outlineLevel="0" collapsed="false">
      <c r="A48" s="0" t="n">
        <v>31</v>
      </c>
      <c r="B48" s="31" t="n">
        <v>37681</v>
      </c>
      <c r="C48" s="142" t="n">
        <v>939978</v>
      </c>
      <c r="D48" s="29" t="s">
        <v>42</v>
      </c>
      <c r="E48" s="33" t="n">
        <f aca="false">IF(D48="totale",(C48/(A48*24))/F48,IF(D48="marché libre",(C48/(A48*24))/G48,"spécifier histo"))</f>
        <v>0.692280159080866</v>
      </c>
      <c r="F48" s="9" t="n">
        <v>1825</v>
      </c>
      <c r="G48" s="9" t="n">
        <f aca="false">F48-H48</f>
        <v>1825</v>
      </c>
      <c r="H48" s="9" t="n">
        <v>0</v>
      </c>
      <c r="J48" s="0"/>
      <c r="K48" s="0"/>
      <c r="L48" s="0"/>
      <c r="M48" s="0"/>
      <c r="N48" s="141"/>
      <c r="O48" s="0"/>
      <c r="P48" s="141"/>
      <c r="Q48" s="142"/>
      <c r="R48" s="142"/>
      <c r="S48" s="142"/>
      <c r="T48" s="143"/>
      <c r="U48" s="142"/>
      <c r="V48" s="142"/>
      <c r="W48" s="142"/>
      <c r="X48" s="143"/>
      <c r="Y48" s="142"/>
      <c r="Z48" s="142"/>
      <c r="AA48" s="142"/>
      <c r="AB48" s="143"/>
      <c r="AC48" s="103"/>
      <c r="AD48" s="103"/>
      <c r="AE48" s="103"/>
      <c r="AF48" s="103"/>
      <c r="AG48" s="103"/>
      <c r="AH48" s="103"/>
      <c r="AI48" s="103"/>
    </row>
    <row r="49" customFormat="false" ht="13.5" hidden="false" customHeight="true" outlineLevel="0" collapsed="false">
      <c r="A49" s="0" t="n">
        <v>30</v>
      </c>
      <c r="B49" s="34" t="n">
        <v>37712</v>
      </c>
      <c r="C49" s="142" t="n">
        <v>969504</v>
      </c>
      <c r="D49" s="29" t="s">
        <v>42</v>
      </c>
      <c r="E49" s="33" t="n">
        <f aca="false">IF(D49="totale",(C49/(A49*24))/F49,IF(D49="marché libre",(C49/(A49*24))/G49,"spécifier histo"))</f>
        <v>0.737826484018265</v>
      </c>
      <c r="F49" s="9" t="n">
        <v>1825</v>
      </c>
      <c r="G49" s="9" t="n">
        <f aca="false">F49-H49</f>
        <v>1825</v>
      </c>
      <c r="H49" s="9" t="n">
        <v>0</v>
      </c>
      <c r="J49" s="0"/>
      <c r="K49" s="0"/>
      <c r="L49" s="0"/>
      <c r="M49" s="0"/>
      <c r="N49" s="0"/>
      <c r="O49" s="0"/>
      <c r="P49" s="144"/>
      <c r="Q49" s="143"/>
      <c r="R49" s="143"/>
      <c r="S49" s="143"/>
      <c r="T49" s="143"/>
      <c r="U49" s="143"/>
      <c r="V49" s="143"/>
      <c r="W49" s="143"/>
      <c r="X49" s="143"/>
      <c r="Y49" s="143"/>
      <c r="Z49" s="143"/>
      <c r="AA49" s="143"/>
      <c r="AB49" s="143"/>
      <c r="AC49" s="103"/>
      <c r="AD49" s="103"/>
      <c r="AE49" s="103"/>
      <c r="AF49" s="103"/>
      <c r="AG49" s="103"/>
      <c r="AH49" s="103"/>
      <c r="AI49" s="103"/>
    </row>
    <row r="50" customFormat="false" ht="13.5" hidden="false" customHeight="true" outlineLevel="0" collapsed="false">
      <c r="A50" s="0" t="n">
        <v>31</v>
      </c>
      <c r="B50" s="31" t="n">
        <v>37742</v>
      </c>
      <c r="C50" s="0" t="n">
        <v>931291</v>
      </c>
      <c r="D50" s="29" t="s">
        <v>42</v>
      </c>
      <c r="E50" s="33" t="n">
        <f aca="false">IF(D50="totale",(C50/(A50*24))/F50,IF(D50="marché libre",(C50/(A50*24))/G50,"spécifier histo"))</f>
        <v>0.685882309618501</v>
      </c>
      <c r="F50" s="9" t="n">
        <v>1825</v>
      </c>
      <c r="G50" s="9" t="n">
        <f aca="false">F50-H50</f>
        <v>1825</v>
      </c>
      <c r="H50" s="9" t="n">
        <v>0</v>
      </c>
      <c r="J50" s="0"/>
      <c r="K50" s="0"/>
      <c r="L50" s="0"/>
      <c r="M50" s="0"/>
      <c r="N50" s="0"/>
      <c r="O50" s="0"/>
      <c r="P50" s="0"/>
      <c r="Q50" s="0"/>
      <c r="R50" s="0"/>
      <c r="S50" s="0"/>
      <c r="T50" s="0"/>
      <c r="U50" s="0"/>
      <c r="V50" s="0"/>
      <c r="W50" s="0"/>
      <c r="X50" s="0"/>
      <c r="Y50" s="0"/>
      <c r="Z50" s="0"/>
      <c r="AA50" s="0"/>
      <c r="AB50" s="0"/>
      <c r="AC50" s="103"/>
      <c r="AD50" s="103"/>
      <c r="AE50" s="103"/>
      <c r="AF50" s="103"/>
      <c r="AG50" s="103"/>
      <c r="AH50" s="103"/>
      <c r="AI50" s="103"/>
    </row>
    <row r="51" customFormat="false" ht="13.5" hidden="false" customHeight="true" outlineLevel="0" collapsed="false">
      <c r="A51" s="0" t="n">
        <v>30</v>
      </c>
      <c r="B51" s="34" t="n">
        <v>37773</v>
      </c>
      <c r="C51" s="0" t="n">
        <v>970689</v>
      </c>
      <c r="D51" s="29" t="s">
        <v>42</v>
      </c>
      <c r="E51" s="33" t="n">
        <f aca="false">IF(D51="totale",(C51/(A51*24))/F51,IF(D51="marché libre",(C51/(A51*24))/G51,"spécifier histo"))</f>
        <v>0.738728310502283</v>
      </c>
      <c r="F51" s="9" t="n">
        <v>1825</v>
      </c>
      <c r="G51" s="9" t="n">
        <f aca="false">F51-H51</f>
        <v>1825</v>
      </c>
      <c r="H51" s="9" t="n">
        <v>0</v>
      </c>
      <c r="J51" s="0"/>
      <c r="K51" s="0"/>
      <c r="L51" s="0"/>
      <c r="M51" s="0"/>
      <c r="N51" s="0"/>
      <c r="O51" s="0"/>
      <c r="P51" s="144"/>
      <c r="Q51" s="144"/>
      <c r="R51" s="144"/>
      <c r="S51" s="144"/>
      <c r="T51" s="144"/>
      <c r="U51" s="144"/>
      <c r="V51" s="144"/>
      <c r="W51" s="144"/>
      <c r="X51" s="144"/>
      <c r="Y51" s="0"/>
      <c r="Z51" s="0"/>
      <c r="AA51" s="0"/>
      <c r="AB51" s="0"/>
      <c r="AC51" s="103"/>
      <c r="AD51" s="103"/>
      <c r="AE51" s="103"/>
      <c r="AF51" s="103"/>
      <c r="AG51" s="103"/>
      <c r="AH51" s="103"/>
      <c r="AI51" s="103"/>
    </row>
    <row r="52" customFormat="false" ht="13.5" hidden="false" customHeight="true" outlineLevel="0" collapsed="false">
      <c r="A52" s="0" t="n">
        <v>31</v>
      </c>
      <c r="B52" s="31" t="n">
        <v>37803</v>
      </c>
      <c r="C52" s="0" t="n">
        <v>697836</v>
      </c>
      <c r="D52" s="29" t="s">
        <v>42</v>
      </c>
      <c r="E52" s="33" t="n">
        <f aca="false">IF(D52="totale",(C52/(A52*24))/F52,IF(D52="marché libre",(C52/(A52*24))/G52,"spécifier histo"))</f>
        <v>0.513946089262042</v>
      </c>
      <c r="F52" s="9" t="n">
        <v>1825</v>
      </c>
      <c r="G52" s="9" t="n">
        <f aca="false">F52-H52</f>
        <v>1825</v>
      </c>
      <c r="H52" s="9" t="n">
        <v>0</v>
      </c>
      <c r="J52" s="0"/>
      <c r="K52" s="0"/>
      <c r="L52" s="0"/>
      <c r="M52" s="0"/>
      <c r="N52" s="0"/>
      <c r="O52" s="0"/>
      <c r="P52" s="0"/>
      <c r="Q52" s="0"/>
      <c r="R52" s="0"/>
      <c r="S52" s="0"/>
      <c r="T52" s="0"/>
      <c r="U52" s="0"/>
      <c r="V52" s="0"/>
      <c r="W52" s="0"/>
      <c r="X52" s="0"/>
      <c r="Y52" s="0"/>
      <c r="Z52" s="0"/>
      <c r="AA52" s="0"/>
      <c r="AB52" s="0"/>
      <c r="AD52" s="0"/>
    </row>
    <row r="53" customFormat="false" ht="13.5" hidden="false" customHeight="true" outlineLevel="0" collapsed="false">
      <c r="A53" s="0" t="n">
        <v>31</v>
      </c>
      <c r="B53" s="34" t="n">
        <v>37834</v>
      </c>
      <c r="C53" s="0" t="n">
        <v>429766</v>
      </c>
      <c r="D53" s="29" t="s">
        <v>42</v>
      </c>
      <c r="E53" s="33" t="n">
        <f aca="false">IF(D53="totale",(C53/(A53*24))/F53,IF(D53="marché libre",(C53/(A53*24))/G53,"spécifier histo"))</f>
        <v>0.316516423626455</v>
      </c>
      <c r="F53" s="9" t="n">
        <v>1825</v>
      </c>
      <c r="G53" s="9" t="n">
        <f aca="false">F53-H53</f>
        <v>1825</v>
      </c>
      <c r="H53" s="9" t="n">
        <v>0</v>
      </c>
      <c r="J53" s="0"/>
      <c r="K53" s="0"/>
      <c r="L53" s="0"/>
      <c r="M53" s="0"/>
      <c r="N53" s="0"/>
      <c r="O53" s="0"/>
      <c r="P53" s="145"/>
      <c r="Q53" s="144"/>
      <c r="R53" s="144"/>
      <c r="S53" s="144"/>
      <c r="T53" s="144"/>
      <c r="U53" s="144"/>
      <c r="V53" s="144"/>
      <c r="W53" s="144"/>
      <c r="X53" s="144"/>
      <c r="Y53" s="144"/>
      <c r="Z53" s="144"/>
      <c r="AA53" s="144"/>
      <c r="AB53" s="144"/>
      <c r="AC53" s="0"/>
      <c r="AD53" s="141"/>
      <c r="AE53" s="142"/>
      <c r="AF53" s="142"/>
      <c r="AG53" s="142"/>
      <c r="AH53" s="143"/>
      <c r="AI53" s="142"/>
      <c r="AJ53" s="142"/>
      <c r="AK53" s="142"/>
      <c r="AL53" s="143"/>
      <c r="AM53" s="142"/>
      <c r="AN53" s="142"/>
      <c r="AO53" s="146" t="n">
        <v>4248</v>
      </c>
      <c r="AP53" s="147" t="n">
        <f aca="false">SUM(AM53:AO53)</f>
        <v>4248</v>
      </c>
      <c r="AQ53" s="0"/>
    </row>
    <row r="54" customFormat="false" ht="13.5" hidden="false" customHeight="true" outlineLevel="0" collapsed="false">
      <c r="A54" s="0" t="n">
        <v>30</v>
      </c>
      <c r="B54" s="31" t="n">
        <v>37865</v>
      </c>
      <c r="C54" s="0" t="n">
        <v>676928</v>
      </c>
      <c r="D54" s="29" t="s">
        <v>42</v>
      </c>
      <c r="E54" s="33" t="n">
        <f aca="false">IF(D54="totale",(C54/(A54*24))/F54,IF(D54="marché libre",(C54/(A54*24))/G54,"spécifier histo"))</f>
        <v>0.515165905631659</v>
      </c>
      <c r="F54" s="9" t="n">
        <v>1825</v>
      </c>
      <c r="G54" s="9" t="n">
        <f aca="false">F54-H54</f>
        <v>1825</v>
      </c>
      <c r="H54" s="9" t="n">
        <v>0</v>
      </c>
      <c r="J54" s="0"/>
      <c r="K54" s="0"/>
      <c r="L54" s="0"/>
      <c r="M54" s="0"/>
      <c r="N54" s="0"/>
      <c r="O54" s="0"/>
      <c r="P54" s="145"/>
      <c r="Q54" s="144"/>
      <c r="R54" s="144"/>
      <c r="S54" s="144"/>
      <c r="T54" s="144"/>
      <c r="U54" s="144"/>
      <c r="V54" s="144"/>
      <c r="W54" s="144"/>
      <c r="X54" s="144"/>
      <c r="Y54" s="144"/>
      <c r="Z54" s="144"/>
      <c r="AA54" s="144"/>
      <c r="AB54" s="144"/>
      <c r="AC54" s="0"/>
      <c r="AD54" s="141"/>
      <c r="AE54" s="142"/>
      <c r="AF54" s="142"/>
      <c r="AG54" s="142"/>
      <c r="AH54" s="143"/>
      <c r="AI54" s="142"/>
      <c r="AJ54" s="142"/>
      <c r="AK54" s="142"/>
      <c r="AL54" s="143"/>
      <c r="AM54" s="142"/>
      <c r="AN54" s="142"/>
      <c r="AO54" s="146" t="n">
        <v>9385</v>
      </c>
      <c r="AP54" s="147" t="n">
        <f aca="false">SUM(AM54:AO54)</f>
        <v>9385</v>
      </c>
      <c r="AQ54" s="0"/>
    </row>
    <row r="55" customFormat="false" ht="13.5" hidden="false" customHeight="true" outlineLevel="0" collapsed="false">
      <c r="A55" s="0" t="n">
        <v>31</v>
      </c>
      <c r="B55" s="34" t="n">
        <v>37895</v>
      </c>
      <c r="C55" s="0" t="n">
        <v>861126</v>
      </c>
      <c r="D55" s="29" t="s">
        <v>42</v>
      </c>
      <c r="E55" s="33" t="n">
        <f aca="false">IF(D55="totale",(C55/(A55*24))/F55,IF(D55="marché libre",(C55/(A55*24))/G55,"spécifier histo"))</f>
        <v>0.634206805125939</v>
      </c>
      <c r="F55" s="9" t="n">
        <v>1825</v>
      </c>
      <c r="G55" s="9" t="n">
        <f aca="false">F55-H55</f>
        <v>1825</v>
      </c>
      <c r="H55" s="9" t="n">
        <v>0</v>
      </c>
      <c r="J55" s="0"/>
      <c r="K55" s="0"/>
      <c r="L55" s="0"/>
      <c r="M55" s="0"/>
      <c r="N55" s="0"/>
      <c r="O55" s="0"/>
      <c r="P55" s="141"/>
      <c r="Q55" s="142"/>
      <c r="R55" s="142"/>
      <c r="S55" s="142"/>
      <c r="T55" s="143"/>
      <c r="U55" s="142"/>
      <c r="V55" s="142"/>
      <c r="W55" s="142"/>
      <c r="X55" s="143"/>
      <c r="Y55" s="142"/>
      <c r="Z55" s="142"/>
      <c r="AA55" s="142"/>
      <c r="AB55" s="143"/>
      <c r="AC55" s="0"/>
      <c r="AD55" s="141"/>
      <c r="AE55" s="142"/>
      <c r="AF55" s="142"/>
      <c r="AG55" s="142"/>
      <c r="AH55" s="143"/>
      <c r="AI55" s="142"/>
      <c r="AJ55" s="142"/>
      <c r="AK55" s="142"/>
      <c r="AL55" s="143"/>
      <c r="AM55" s="142"/>
      <c r="AN55" s="142"/>
      <c r="AO55" s="148" t="n">
        <v>7803</v>
      </c>
      <c r="AP55" s="149" t="n">
        <f aca="false">SUM(AM55:AO55)</f>
        <v>7803</v>
      </c>
      <c r="AQ55" s="0"/>
      <c r="AR55" s="150" t="n">
        <v>2013</v>
      </c>
      <c r="AS55" s="150" t="n">
        <v>2014</v>
      </c>
    </row>
    <row r="56" customFormat="false" ht="13.5" hidden="false" customHeight="true" outlineLevel="0" collapsed="false">
      <c r="A56" s="0" t="n">
        <v>30</v>
      </c>
      <c r="B56" s="31" t="n">
        <v>37926</v>
      </c>
      <c r="C56" s="0" t="n">
        <v>860205</v>
      </c>
      <c r="D56" s="29" t="s">
        <v>42</v>
      </c>
      <c r="E56" s="33" t="n">
        <f aca="false">IF(D56="totale",(C56/(A56*24))/F56,IF(D56="marché libre",(C56/(A56*24))/G56,"spécifier histo"))</f>
        <v>0.654646118721461</v>
      </c>
      <c r="F56" s="9" t="n">
        <v>1825</v>
      </c>
      <c r="G56" s="9" t="n">
        <f aca="false">F56-H56</f>
        <v>1825</v>
      </c>
      <c r="H56" s="9" t="n">
        <v>0</v>
      </c>
      <c r="J56" s="0"/>
      <c r="K56" s="0"/>
      <c r="L56" s="0"/>
      <c r="M56" s="0"/>
      <c r="N56" s="0"/>
      <c r="O56" s="0"/>
      <c r="P56" s="141"/>
      <c r="Q56" s="142"/>
      <c r="R56" s="0"/>
      <c r="S56" s="0"/>
      <c r="T56" s="0"/>
      <c r="U56" s="0"/>
      <c r="V56" s="0"/>
      <c r="W56" s="0"/>
      <c r="X56" s="0"/>
      <c r="Y56" s="0"/>
      <c r="Z56" s="0"/>
      <c r="AA56" s="142"/>
      <c r="AB56" s="143"/>
      <c r="AC56" s="0"/>
      <c r="AD56" s="144"/>
      <c r="AE56" s="143"/>
      <c r="AF56" s="143"/>
      <c r="AG56" s="143"/>
      <c r="AH56" s="143"/>
      <c r="AI56" s="143"/>
      <c r="AJ56" s="143"/>
      <c r="AK56" s="143"/>
      <c r="AL56" s="143"/>
      <c r="AM56" s="143"/>
      <c r="AN56" s="143"/>
      <c r="AO56" s="151" t="n">
        <f aca="false">SUM(AO53:AO55)</f>
        <v>21436</v>
      </c>
      <c r="AP56" s="152" t="n">
        <f aca="false">SUM(AM56:AO56)</f>
        <v>21436</v>
      </c>
      <c r="AQ56" s="0"/>
      <c r="AR56" s="9" t="n">
        <f aca="false">X73</f>
        <v>0</v>
      </c>
      <c r="AS56" s="9" t="n">
        <f aca="false">AB73</f>
        <v>0</v>
      </c>
    </row>
    <row r="57" customFormat="false" ht="13.5" hidden="false" customHeight="true" outlineLevel="0" collapsed="false">
      <c r="A57" s="0" t="n">
        <v>31</v>
      </c>
      <c r="B57" s="34" t="n">
        <v>37956</v>
      </c>
      <c r="C57" s="0" t="n">
        <v>954902</v>
      </c>
      <c r="D57" s="29" t="s">
        <v>42</v>
      </c>
      <c r="E57" s="33" t="n">
        <f aca="false">IF(D57="totale",(C57/(A57*24))/F57,IF(D57="marché libre",(C57/(A57*24))/G57,"spécifier histo"))</f>
        <v>0.70327146855207</v>
      </c>
      <c r="F57" s="9" t="n">
        <v>1825</v>
      </c>
      <c r="G57" s="9" t="n">
        <f aca="false">F57-H57</f>
        <v>1825</v>
      </c>
      <c r="H57" s="9" t="n">
        <v>0</v>
      </c>
      <c r="J57" s="0"/>
      <c r="K57" s="0"/>
      <c r="L57" s="0"/>
      <c r="M57" s="0"/>
      <c r="N57" s="0"/>
      <c r="O57" s="0"/>
      <c r="P57" s="0"/>
      <c r="Q57" s="0"/>
      <c r="R57" s="0"/>
      <c r="S57" s="0"/>
      <c r="T57" s="0"/>
      <c r="U57" s="0"/>
      <c r="V57" s="0"/>
      <c r="W57" s="0"/>
      <c r="X57" s="0"/>
      <c r="Y57" s="0"/>
      <c r="Z57" s="0"/>
      <c r="AA57" s="142"/>
      <c r="AB57" s="143"/>
      <c r="AC57" s="0"/>
      <c r="AD57" s="0"/>
      <c r="AE57" s="0"/>
      <c r="AF57" s="0"/>
      <c r="AG57" s="0"/>
      <c r="AH57" s="0"/>
      <c r="AI57" s="0"/>
      <c r="AJ57" s="0"/>
      <c r="AK57" s="0"/>
      <c r="AL57" s="0"/>
      <c r="AM57" s="0"/>
      <c r="AN57" s="0"/>
      <c r="AO57" s="0"/>
      <c r="AP57" s="0"/>
      <c r="AQ57" s="0"/>
      <c r="AR57" s="9" t="n">
        <f aca="false">X74</f>
        <v>0</v>
      </c>
      <c r="AS57" s="9" t="n">
        <f aca="false">AB74</f>
        <v>0</v>
      </c>
    </row>
    <row r="58" customFormat="false" ht="13.5" hidden="false" customHeight="true" outlineLevel="0" collapsed="false">
      <c r="A58" s="0" t="n">
        <v>31</v>
      </c>
      <c r="B58" s="31" t="n">
        <v>37987</v>
      </c>
      <c r="C58" s="0" t="n">
        <v>696457</v>
      </c>
      <c r="D58" s="29" t="s">
        <v>42</v>
      </c>
      <c r="E58" s="33" t="n">
        <f aca="false">IF(D58="totale",(C58/(A58*24))/F58,IF(D58="marché libre",(C58/(A58*24))/G58,"spécifier histo"))</f>
        <v>0.512930475769627</v>
      </c>
      <c r="F58" s="9" t="n">
        <v>1825</v>
      </c>
      <c r="G58" s="9" t="n">
        <f aca="false">F58-H58</f>
        <v>1825</v>
      </c>
      <c r="H58" s="9" t="n">
        <v>0</v>
      </c>
      <c r="J58" s="0"/>
      <c r="K58" s="0"/>
      <c r="L58" s="0"/>
      <c r="M58" s="0"/>
      <c r="N58" s="0"/>
      <c r="O58" s="0"/>
      <c r="P58" s="0"/>
      <c r="Q58" s="0"/>
      <c r="R58" s="0"/>
      <c r="S58" s="0"/>
      <c r="T58" s="0"/>
      <c r="U58" s="0"/>
      <c r="V58" s="0"/>
      <c r="W58" s="0"/>
      <c r="X58" s="0"/>
      <c r="Y58" s="0"/>
      <c r="Z58" s="0"/>
      <c r="AA58" s="142"/>
      <c r="AB58" s="143"/>
      <c r="AC58" s="0"/>
      <c r="AD58" s="144"/>
      <c r="AE58" s="144"/>
      <c r="AF58" s="144"/>
      <c r="AG58" s="144"/>
      <c r="AH58" s="144"/>
      <c r="AI58" s="144"/>
      <c r="AJ58" s="144"/>
      <c r="AK58" s="144"/>
      <c r="AL58" s="144"/>
      <c r="AM58" s="0"/>
      <c r="AN58" s="0"/>
      <c r="AO58" s="0"/>
      <c r="AP58" s="0"/>
      <c r="AR58" s="9" t="n">
        <f aca="false">X75</f>
        <v>0</v>
      </c>
      <c r="AS58" s="9" t="n">
        <f aca="false">AB75</f>
        <v>0</v>
      </c>
    </row>
    <row r="59" customFormat="false" ht="13.5" hidden="false" customHeight="true" outlineLevel="0" collapsed="false">
      <c r="A59" s="0" t="n">
        <v>28</v>
      </c>
      <c r="B59" s="34" t="n">
        <v>38018</v>
      </c>
      <c r="C59" s="0" t="n">
        <v>921794</v>
      </c>
      <c r="D59" s="29" t="s">
        <v>42</v>
      </c>
      <c r="E59" s="33" t="n">
        <f aca="false">IF(D59="totale",(C59/(A59*24))/F59,IF(D59="marché libre",(C59/(A59*24))/G59,"spécifier histo"))</f>
        <v>0.751625896934116</v>
      </c>
      <c r="F59" s="9" t="n">
        <v>1825</v>
      </c>
      <c r="G59" s="9" t="n">
        <f aca="false">F59-H59</f>
        <v>1825</v>
      </c>
      <c r="H59" s="9" t="n">
        <v>0</v>
      </c>
      <c r="J59" s="0"/>
      <c r="K59" s="0"/>
      <c r="L59" s="0"/>
      <c r="M59" s="0"/>
      <c r="N59" s="0"/>
      <c r="O59" s="0"/>
      <c r="P59" s="0"/>
      <c r="Q59" s="0"/>
      <c r="R59" s="0"/>
      <c r="S59" s="0"/>
      <c r="T59" s="0"/>
      <c r="U59" s="0"/>
      <c r="V59" s="0"/>
      <c r="W59" s="0"/>
      <c r="X59" s="0"/>
      <c r="Y59" s="0"/>
      <c r="Z59" s="0"/>
      <c r="AA59" s="142"/>
      <c r="AB59" s="143"/>
      <c r="AC59" s="0"/>
      <c r="AD59" s="0"/>
      <c r="AE59" s="0"/>
      <c r="AF59" s="0"/>
      <c r="AG59" s="0"/>
      <c r="AH59" s="0"/>
      <c r="AI59" s="0"/>
      <c r="AJ59" s="0"/>
      <c r="AK59" s="0"/>
      <c r="AL59" s="0"/>
      <c r="AM59" s="0"/>
      <c r="AN59" s="0"/>
      <c r="AO59" s="0"/>
      <c r="AP59" s="0"/>
      <c r="AR59" s="9" t="n">
        <f aca="false">X76</f>
        <v>0</v>
      </c>
      <c r="AS59" s="9" t="n">
        <f aca="false">AB76</f>
        <v>0</v>
      </c>
    </row>
    <row r="60" customFormat="false" ht="13.5" hidden="false" customHeight="true" outlineLevel="0" collapsed="false">
      <c r="A60" s="0" t="n">
        <v>31</v>
      </c>
      <c r="B60" s="31" t="n">
        <v>38047</v>
      </c>
      <c r="C60" s="0" t="n">
        <v>1006113</v>
      </c>
      <c r="D60" s="29" t="s">
        <v>42</v>
      </c>
      <c r="E60" s="33" t="n">
        <f aca="false">IF(D60="totale",(C60/(A60*24))/F60,IF(D60="marché libre",(C60/(A60*24))/G60,"spécifier histo"))</f>
        <v>0.740987627043747</v>
      </c>
      <c r="F60" s="9" t="n">
        <v>1825</v>
      </c>
      <c r="G60" s="9" t="n">
        <f aca="false">F60-H60</f>
        <v>1825</v>
      </c>
      <c r="H60" s="9" t="n">
        <v>0</v>
      </c>
      <c r="J60" s="0"/>
      <c r="K60" s="0"/>
      <c r="L60" s="0"/>
      <c r="M60" s="0"/>
      <c r="N60" s="0"/>
      <c r="O60" s="0"/>
      <c r="P60" s="0"/>
      <c r="Q60" s="0"/>
      <c r="R60" s="0"/>
      <c r="S60" s="0"/>
      <c r="T60" s="0"/>
      <c r="U60" s="0"/>
      <c r="V60" s="0"/>
      <c r="W60" s="0"/>
      <c r="X60" s="0"/>
      <c r="Y60" s="0"/>
      <c r="Z60" s="0"/>
      <c r="AA60" s="142"/>
      <c r="AB60" s="143"/>
      <c r="AC60" s="0"/>
      <c r="AD60" s="145"/>
      <c r="AE60" s="144"/>
      <c r="AF60" s="144"/>
      <c r="AG60" s="144"/>
      <c r="AH60" s="144"/>
      <c r="AI60" s="144"/>
      <c r="AJ60" s="144"/>
      <c r="AK60" s="144"/>
      <c r="AL60" s="144"/>
      <c r="AM60" s="144"/>
      <c r="AN60" s="144"/>
      <c r="AO60" s="144"/>
      <c r="AP60" s="144"/>
      <c r="AR60" s="9" t="n">
        <f aca="false">X77</f>
        <v>0</v>
      </c>
      <c r="AS60" s="9" t="n">
        <f aca="false">AB77</f>
        <v>0</v>
      </c>
    </row>
    <row r="61" customFormat="false" ht="13.5" hidden="false" customHeight="true" outlineLevel="0" collapsed="false">
      <c r="A61" s="0" t="n">
        <v>30</v>
      </c>
      <c r="B61" s="34" t="n">
        <v>38078</v>
      </c>
      <c r="C61" s="0" t="n">
        <v>899808</v>
      </c>
      <c r="D61" s="29" t="s">
        <v>42</v>
      </c>
      <c r="E61" s="33" t="n">
        <f aca="false">IF(D61="totale",(C61/(A61*24))/F61,IF(D61="marché libre",(C61/(A61*24))/G61,"spécifier histo"))</f>
        <v>0.684785388127854</v>
      </c>
      <c r="F61" s="9" t="n">
        <v>1825</v>
      </c>
      <c r="G61" s="9" t="n">
        <f aca="false">F61-H61</f>
        <v>1825</v>
      </c>
      <c r="H61" s="9" t="n">
        <v>0</v>
      </c>
      <c r="J61" s="0"/>
      <c r="K61" s="0"/>
      <c r="L61" s="0"/>
      <c r="M61" s="0"/>
      <c r="N61" s="0"/>
      <c r="O61" s="0"/>
      <c r="P61" s="0"/>
      <c r="Q61" s="0"/>
      <c r="R61" s="0"/>
      <c r="S61" s="0"/>
      <c r="T61" s="0"/>
      <c r="U61" s="0"/>
      <c r="V61" s="0"/>
      <c r="W61" s="0"/>
      <c r="X61" s="0"/>
      <c r="Y61" s="0"/>
      <c r="Z61" s="0"/>
      <c r="AA61" s="142"/>
      <c r="AB61" s="143"/>
      <c r="AC61" s="0"/>
      <c r="AD61" s="145"/>
      <c r="AE61" s="144"/>
      <c r="AF61" s="144"/>
      <c r="AG61" s="144"/>
      <c r="AH61" s="144"/>
      <c r="AI61" s="144"/>
      <c r="AJ61" s="144"/>
      <c r="AK61" s="144"/>
      <c r="AL61" s="144"/>
      <c r="AM61" s="144"/>
      <c r="AN61" s="144"/>
      <c r="AO61" s="153" t="s">
        <v>123</v>
      </c>
      <c r="AP61" s="154" t="s">
        <v>89</v>
      </c>
      <c r="AR61" s="9" t="n">
        <f aca="false">X78</f>
        <v>0</v>
      </c>
      <c r="AS61" s="9" t="n">
        <f aca="false">AB78</f>
        <v>0</v>
      </c>
    </row>
    <row r="62" customFormat="false" ht="13.5" hidden="false" customHeight="true" outlineLevel="0" collapsed="false">
      <c r="A62" s="0" t="n">
        <v>31</v>
      </c>
      <c r="B62" s="31" t="n">
        <v>38108</v>
      </c>
      <c r="C62" s="0" t="n">
        <v>812569</v>
      </c>
      <c r="D62" s="29" t="s">
        <v>42</v>
      </c>
      <c r="E62" s="33" t="n">
        <f aca="false">IF(D62="totale",(C62/(A62*24))/F62,IF(D62="marché libre",(C62/(A62*24))/G62,"spécifier histo"))</f>
        <v>0.598445279128001</v>
      </c>
      <c r="F62" s="9" t="n">
        <v>1825</v>
      </c>
      <c r="G62" s="9" t="n">
        <f aca="false">F62-H62</f>
        <v>1825</v>
      </c>
      <c r="H62" s="9" t="n">
        <v>0</v>
      </c>
      <c r="J62" s="0"/>
      <c r="K62" s="0"/>
      <c r="L62" s="0"/>
      <c r="M62" s="0"/>
      <c r="N62" s="0"/>
      <c r="O62" s="0"/>
      <c r="P62" s="0"/>
      <c r="Q62" s="0"/>
      <c r="R62" s="0"/>
      <c r="S62" s="0"/>
      <c r="T62" s="0"/>
      <c r="U62" s="0"/>
      <c r="V62" s="0"/>
      <c r="W62" s="0"/>
      <c r="X62" s="0"/>
      <c r="Y62" s="0"/>
      <c r="Z62" s="0"/>
      <c r="AA62" s="142"/>
      <c r="AB62" s="143"/>
      <c r="AC62" s="0"/>
      <c r="AD62" s="141"/>
      <c r="AE62" s="142"/>
      <c r="AF62" s="142"/>
      <c r="AG62" s="142"/>
      <c r="AH62" s="143"/>
      <c r="AI62" s="142"/>
      <c r="AJ62" s="142"/>
      <c r="AK62" s="142"/>
      <c r="AL62" s="143"/>
      <c r="AM62" s="142"/>
      <c r="AN62" s="142"/>
      <c r="AO62" s="146" t="n">
        <v>773</v>
      </c>
      <c r="AP62" s="155" t="n">
        <f aca="false">SUM(AM62:AO62)</f>
        <v>773</v>
      </c>
      <c r="AR62" s="9" t="n">
        <f aca="false">X79</f>
        <v>0</v>
      </c>
      <c r="AS62" s="9" t="n">
        <f aca="false">AB79</f>
        <v>0</v>
      </c>
    </row>
    <row r="63" customFormat="false" ht="13.5" hidden="false" customHeight="true" outlineLevel="0" collapsed="false">
      <c r="A63" s="0" t="n">
        <v>30</v>
      </c>
      <c r="B63" s="34" t="n">
        <v>38139</v>
      </c>
      <c r="C63" s="0" t="n">
        <v>860932</v>
      </c>
      <c r="D63" s="29" t="s">
        <v>42</v>
      </c>
      <c r="E63" s="33" t="n">
        <f aca="false">IF(D63="totale",(C63/(A63*24))/F63,IF(D63="marché libre",(C63/(A63*24))/G63,"spécifier histo"))</f>
        <v>0.655199391171994</v>
      </c>
      <c r="F63" s="9" t="n">
        <v>1825</v>
      </c>
      <c r="G63" s="9" t="n">
        <f aca="false">F63-H63</f>
        <v>1825</v>
      </c>
      <c r="H63" s="9" t="n">
        <v>0</v>
      </c>
      <c r="J63" s="0"/>
      <c r="K63" s="0"/>
      <c r="L63" s="0"/>
      <c r="M63" s="0"/>
      <c r="N63" s="0"/>
      <c r="O63" s="0"/>
      <c r="P63" s="0"/>
      <c r="Q63" s="0"/>
      <c r="R63" s="0"/>
      <c r="S63" s="0"/>
      <c r="T63" s="0"/>
      <c r="U63" s="0"/>
      <c r="V63" s="0"/>
      <c r="W63" s="0"/>
      <c r="X63" s="0"/>
      <c r="Y63" s="0"/>
      <c r="Z63" s="0"/>
      <c r="AA63" s="142"/>
      <c r="AB63" s="143"/>
      <c r="AC63" s="0"/>
      <c r="AD63" s="141"/>
      <c r="AE63" s="142"/>
      <c r="AF63" s="142"/>
      <c r="AG63" s="142"/>
      <c r="AH63" s="143"/>
      <c r="AI63" s="142"/>
      <c r="AJ63" s="142"/>
      <c r="AK63" s="142"/>
      <c r="AL63" s="143"/>
      <c r="AM63" s="142"/>
      <c r="AN63" s="142"/>
      <c r="AO63" s="146" t="n">
        <v>237</v>
      </c>
      <c r="AP63" s="155" t="n">
        <f aca="false">SUM(AM63:AO63)</f>
        <v>237</v>
      </c>
      <c r="AR63" s="9" t="n">
        <f aca="false">X80</f>
        <v>0</v>
      </c>
      <c r="AS63" s="9" t="n">
        <f aca="false">AB80</f>
        <v>0</v>
      </c>
    </row>
    <row r="64" customFormat="false" ht="13.5" hidden="false" customHeight="true" outlineLevel="0" collapsed="false">
      <c r="A64" s="0" t="n">
        <v>31</v>
      </c>
      <c r="B64" s="31" t="n">
        <v>38169</v>
      </c>
      <c r="C64" s="0" t="n">
        <v>857913</v>
      </c>
      <c r="D64" s="29" t="s">
        <v>42</v>
      </c>
      <c r="E64" s="33" t="n">
        <f aca="false">IF(D64="totale",(C64/(A64*24))/F64,IF(D64="marché libre",(C64/(A64*24))/G64,"spécifier histo"))</f>
        <v>0.631840477242598</v>
      </c>
      <c r="F64" s="9" t="n">
        <v>1825</v>
      </c>
      <c r="G64" s="9" t="n">
        <f aca="false">F64-H64</f>
        <v>1825</v>
      </c>
      <c r="H64" s="9" t="n">
        <v>0</v>
      </c>
      <c r="J64" s="0"/>
      <c r="K64" s="0"/>
      <c r="L64" s="0"/>
      <c r="M64" s="0"/>
      <c r="N64" s="0"/>
      <c r="O64" s="0"/>
      <c r="P64" s="0"/>
      <c r="Q64" s="0"/>
      <c r="R64" s="0"/>
      <c r="S64" s="0"/>
      <c r="T64" s="0"/>
      <c r="U64" s="0"/>
      <c r="V64" s="0"/>
      <c r="W64" s="0"/>
      <c r="X64" s="0"/>
      <c r="Y64" s="0"/>
      <c r="Z64" s="0"/>
      <c r="AA64" s="142"/>
      <c r="AB64" s="143"/>
      <c r="AC64" s="0"/>
      <c r="AD64" s="141"/>
      <c r="AE64" s="142"/>
      <c r="AF64" s="142"/>
      <c r="AG64" s="142"/>
      <c r="AH64" s="143"/>
      <c r="AI64" s="142"/>
      <c r="AJ64" s="142"/>
      <c r="AK64" s="142"/>
      <c r="AL64" s="143"/>
      <c r="AM64" s="142"/>
      <c r="AN64" s="142"/>
      <c r="AO64" s="146" t="n">
        <v>5165</v>
      </c>
      <c r="AP64" s="155" t="n">
        <f aca="false">SUM(AM64:AO64)</f>
        <v>5165</v>
      </c>
      <c r="AR64" s="9" t="n">
        <f aca="false">X81</f>
        <v>0</v>
      </c>
      <c r="AS64" s="9" t="n">
        <f aca="false">AB81</f>
        <v>0</v>
      </c>
    </row>
    <row r="65" customFormat="false" ht="13.5" hidden="false" customHeight="true" outlineLevel="0" collapsed="false">
      <c r="A65" s="0" t="n">
        <v>31</v>
      </c>
      <c r="B65" s="34" t="n">
        <v>38200</v>
      </c>
      <c r="C65" s="0" t="n">
        <v>672382</v>
      </c>
      <c r="D65" s="29" t="s">
        <v>42</v>
      </c>
      <c r="E65" s="33" t="n">
        <f aca="false">IF(D65="totale",(C65/(A65*24))/F65,IF(D65="marché libre",(C65/(A65*24))/G65,"spécifier histo"))</f>
        <v>0.495199587568125</v>
      </c>
      <c r="F65" s="9" t="n">
        <v>1825</v>
      </c>
      <c r="G65" s="9" t="n">
        <f aca="false">F65-H65</f>
        <v>1825</v>
      </c>
      <c r="H65" s="9" t="n">
        <v>0</v>
      </c>
      <c r="J65" s="0"/>
      <c r="K65" s="0"/>
      <c r="L65" s="0"/>
      <c r="M65" s="0"/>
      <c r="N65" s="0"/>
      <c r="O65" s="0"/>
      <c r="P65" s="0"/>
      <c r="Q65" s="0"/>
      <c r="R65" s="0"/>
      <c r="S65" s="0"/>
      <c r="T65" s="0"/>
      <c r="U65" s="0"/>
      <c r="V65" s="0"/>
      <c r="W65" s="0"/>
      <c r="X65" s="0"/>
      <c r="Y65" s="0"/>
      <c r="Z65" s="0"/>
      <c r="AA65" s="142"/>
      <c r="AB65" s="143"/>
      <c r="AC65" s="0"/>
      <c r="AD65" s="141"/>
      <c r="AE65" s="142"/>
      <c r="AF65" s="142"/>
      <c r="AG65" s="142"/>
      <c r="AH65" s="143"/>
      <c r="AI65" s="142"/>
      <c r="AJ65" s="142"/>
      <c r="AK65" s="142"/>
      <c r="AL65" s="143"/>
      <c r="AM65" s="142"/>
      <c r="AN65" s="142"/>
      <c r="AO65" s="146" t="n">
        <v>10310</v>
      </c>
      <c r="AP65" s="155" t="n">
        <f aca="false">SUM(AM65:AO65)</f>
        <v>10310</v>
      </c>
      <c r="AR65" s="9" t="n">
        <f aca="false">X82</f>
        <v>0</v>
      </c>
      <c r="AS65" s="9" t="n">
        <f aca="false">AB82</f>
        <v>0</v>
      </c>
    </row>
    <row r="66" customFormat="false" ht="13.5" hidden="false" customHeight="true" outlineLevel="0" collapsed="false">
      <c r="A66" s="0" t="n">
        <v>30</v>
      </c>
      <c r="B66" s="31" t="n">
        <v>38231</v>
      </c>
      <c r="C66" s="0" t="n">
        <v>441859</v>
      </c>
      <c r="D66" s="29" t="s">
        <v>42</v>
      </c>
      <c r="E66" s="33" t="n">
        <f aca="false">IF(D66="totale",(C66/(A66*24))/F66,IF(D66="marché libre",(C66/(A66*24))/G66,"spécifier histo"))</f>
        <v>0.336270167427702</v>
      </c>
      <c r="F66" s="9" t="n">
        <v>1825</v>
      </c>
      <c r="G66" s="9" t="n">
        <f aca="false">F66-H66</f>
        <v>1825</v>
      </c>
      <c r="H66" s="9" t="n">
        <v>0</v>
      </c>
      <c r="J66" s="0"/>
      <c r="K66" s="0"/>
      <c r="L66" s="0"/>
      <c r="M66" s="0"/>
      <c r="N66" s="0"/>
      <c r="O66" s="0"/>
      <c r="P66" s="0"/>
      <c r="Q66" s="0"/>
      <c r="R66" s="0"/>
      <c r="S66" s="0"/>
      <c r="T66" s="0"/>
      <c r="U66" s="0"/>
      <c r="V66" s="0"/>
      <c r="W66" s="0"/>
      <c r="X66" s="0"/>
      <c r="Y66" s="0"/>
      <c r="Z66" s="0"/>
      <c r="AA66" s="142"/>
      <c r="AB66" s="143"/>
      <c r="AC66" s="0"/>
      <c r="AD66" s="141"/>
      <c r="AE66" s="142"/>
      <c r="AF66" s="142"/>
      <c r="AG66" s="142"/>
      <c r="AH66" s="143"/>
      <c r="AI66" s="142"/>
      <c r="AJ66" s="142"/>
      <c r="AK66" s="142"/>
      <c r="AL66" s="143"/>
      <c r="AM66" s="142"/>
      <c r="AN66" s="142"/>
      <c r="AO66" s="146" t="n">
        <v>9396</v>
      </c>
      <c r="AP66" s="155" t="n">
        <f aca="false">SUM(AM66:AO66)</f>
        <v>9396</v>
      </c>
      <c r="AR66" s="9" t="n">
        <f aca="false">X83</f>
        <v>0</v>
      </c>
      <c r="AS66" s="9" t="n">
        <f aca="false">AB83</f>
        <v>0</v>
      </c>
    </row>
    <row r="67" customFormat="false" ht="13.5" hidden="false" customHeight="true" outlineLevel="0" collapsed="false">
      <c r="A67" s="0" t="n">
        <v>31</v>
      </c>
      <c r="B67" s="34" t="n">
        <v>38261</v>
      </c>
      <c r="C67" s="0" t="n">
        <v>434591</v>
      </c>
      <c r="D67" s="29" t="s">
        <v>42</v>
      </c>
      <c r="E67" s="33" t="n">
        <f aca="false">IF(D67="totale",(C67/(A67*24))/F67,IF(D67="marché libre",(C67/(A67*24))/G67,"spécifier histo"))</f>
        <v>0.320069966121667</v>
      </c>
      <c r="F67" s="9" t="n">
        <v>1825</v>
      </c>
      <c r="G67" s="9" t="n">
        <f aca="false">F67-H67</f>
        <v>1825</v>
      </c>
      <c r="H67" s="9" t="n">
        <v>0</v>
      </c>
      <c r="J67" s="0"/>
      <c r="K67" s="0"/>
      <c r="L67" s="0"/>
      <c r="M67" s="0"/>
      <c r="N67" s="0"/>
      <c r="O67" s="0"/>
      <c r="P67" s="0"/>
      <c r="Q67" s="0"/>
      <c r="R67" s="0"/>
      <c r="S67" s="0"/>
      <c r="T67" s="0"/>
      <c r="U67" s="0"/>
      <c r="V67" s="0"/>
      <c r="W67" s="0"/>
      <c r="X67" s="0"/>
      <c r="Y67" s="0"/>
      <c r="Z67" s="0"/>
      <c r="AA67" s="143"/>
      <c r="AB67" s="143"/>
      <c r="AC67" s="0"/>
      <c r="AD67" s="141"/>
      <c r="AE67" s="142"/>
      <c r="AF67" s="142"/>
      <c r="AG67" s="142"/>
      <c r="AH67" s="143"/>
      <c r="AI67" s="142"/>
      <c r="AJ67" s="142"/>
      <c r="AK67" s="142"/>
      <c r="AL67" s="143"/>
      <c r="AM67" s="142"/>
      <c r="AN67" s="142"/>
      <c r="AO67" s="146" t="n">
        <v>1574</v>
      </c>
      <c r="AP67" s="155" t="n">
        <f aca="false">SUM(AM67:AO67)</f>
        <v>1574</v>
      </c>
      <c r="AR67" s="9" t="n">
        <f aca="false">X84</f>
        <v>0</v>
      </c>
      <c r="AS67" s="9" t="n">
        <f aca="false">AB84</f>
        <v>0</v>
      </c>
    </row>
    <row r="68" customFormat="false" ht="13.5" hidden="false" customHeight="true" outlineLevel="0" collapsed="false">
      <c r="A68" s="0" t="n">
        <v>30</v>
      </c>
      <c r="B68" s="31" t="n">
        <v>38292</v>
      </c>
      <c r="C68" s="0" t="n">
        <v>655041</v>
      </c>
      <c r="D68" s="29" t="s">
        <v>42</v>
      </c>
      <c r="E68" s="33" t="n">
        <f aca="false">IF(D68="totale",(C68/(A68*24))/F68,IF(D68="marché libre",(C68/(A68*24))/G68,"spécifier histo"))</f>
        <v>0.498509132420091</v>
      </c>
      <c r="F68" s="9" t="n">
        <v>1825</v>
      </c>
      <c r="G68" s="9" t="n">
        <f aca="false">F68-H68</f>
        <v>1825</v>
      </c>
      <c r="H68" s="9" t="n">
        <v>0</v>
      </c>
      <c r="J68" s="0"/>
      <c r="K68" s="0"/>
      <c r="L68" s="0"/>
      <c r="M68" s="0"/>
      <c r="N68" s="0"/>
      <c r="O68" s="0"/>
      <c r="P68" s="0"/>
      <c r="Q68" s="0"/>
      <c r="R68" s="0"/>
      <c r="S68" s="0"/>
      <c r="T68" s="0"/>
      <c r="U68" s="0"/>
      <c r="V68" s="0"/>
      <c r="W68" s="0"/>
      <c r="X68" s="0"/>
      <c r="Y68" s="0"/>
      <c r="Z68" s="0"/>
      <c r="AA68" s="0"/>
      <c r="AB68" s="0"/>
      <c r="AC68" s="0"/>
      <c r="AD68" s="141"/>
      <c r="AE68" s="142"/>
      <c r="AF68" s="142"/>
      <c r="AG68" s="142"/>
      <c r="AH68" s="143"/>
      <c r="AI68" s="142"/>
      <c r="AJ68" s="142"/>
      <c r="AK68" s="142"/>
      <c r="AL68" s="143"/>
      <c r="AM68" s="142"/>
      <c r="AN68" s="142"/>
      <c r="AO68" s="146" t="n">
        <v>602</v>
      </c>
      <c r="AP68" s="155" t="n">
        <f aca="false">SUM(AM68:AO68)</f>
        <v>602</v>
      </c>
    </row>
    <row r="69" customFormat="false" ht="13.5" hidden="false" customHeight="true" outlineLevel="0" collapsed="false">
      <c r="A69" s="0" t="n">
        <v>31</v>
      </c>
      <c r="B69" s="34" t="n">
        <v>38322</v>
      </c>
      <c r="C69" s="0" t="n">
        <v>746528</v>
      </c>
      <c r="D69" s="29" t="s">
        <v>42</v>
      </c>
      <c r="E69" s="33" t="n">
        <f aca="false">IF(D69="totale",(C69/(A69*24))/F69,IF(D69="marché libre",(C69/(A69*24))/G69,"spécifier histo"))</f>
        <v>0.549807040801296</v>
      </c>
      <c r="F69" s="9" t="n">
        <v>1825</v>
      </c>
      <c r="G69" s="9" t="n">
        <f aca="false">F69-H69</f>
        <v>1825</v>
      </c>
      <c r="H69" s="9" t="n">
        <v>0</v>
      </c>
      <c r="J69" s="0"/>
      <c r="K69" s="0"/>
      <c r="L69" s="0"/>
      <c r="M69" s="0"/>
      <c r="N69" s="0"/>
      <c r="O69" s="0"/>
      <c r="P69" s="144"/>
      <c r="Q69" s="144"/>
      <c r="R69" s="144"/>
      <c r="S69" s="144"/>
      <c r="T69" s="144"/>
      <c r="U69" s="144"/>
      <c r="V69" s="144"/>
      <c r="W69" s="144"/>
      <c r="X69" s="144"/>
      <c r="Y69" s="0"/>
      <c r="Z69" s="0"/>
      <c r="AA69" s="0"/>
      <c r="AB69" s="0"/>
      <c r="AC69" s="0"/>
      <c r="AD69" s="141"/>
      <c r="AE69" s="142"/>
      <c r="AF69" s="142"/>
      <c r="AG69" s="142"/>
      <c r="AH69" s="143"/>
      <c r="AI69" s="142"/>
      <c r="AJ69" s="142"/>
      <c r="AK69" s="142"/>
      <c r="AL69" s="143"/>
      <c r="AM69" s="142"/>
      <c r="AN69" s="142"/>
      <c r="AO69" s="146" t="n">
        <v>1758</v>
      </c>
      <c r="AP69" s="155" t="n">
        <f aca="false">SUM(AM69:AO69)</f>
        <v>1758</v>
      </c>
    </row>
    <row r="70" customFormat="false" ht="13.5" hidden="false" customHeight="true" outlineLevel="0" collapsed="false">
      <c r="A70" s="0" t="n">
        <v>31</v>
      </c>
      <c r="B70" s="31" t="n">
        <v>38353</v>
      </c>
      <c r="C70" s="141" t="n">
        <v>820507</v>
      </c>
      <c r="D70" s="29" t="s">
        <v>42</v>
      </c>
      <c r="E70" s="33" t="n">
        <f aca="false">IF(D70="totale",(C70/(A70*24))/F70,IF(D70="marché libre",(C70/(A70*24))/G70,"spécifier histo"))</f>
        <v>0.604291500957431</v>
      </c>
      <c r="F70" s="9" t="n">
        <v>1825</v>
      </c>
      <c r="G70" s="9" t="n">
        <f aca="false">F70-H70</f>
        <v>1825</v>
      </c>
      <c r="H70" s="9" t="n">
        <v>0</v>
      </c>
      <c r="J70" s="0"/>
      <c r="K70" s="0"/>
      <c r="L70" s="0"/>
      <c r="M70" s="0"/>
      <c r="N70" s="0"/>
      <c r="O70" s="0"/>
      <c r="P70" s="0"/>
      <c r="Q70" s="0"/>
      <c r="R70" s="0"/>
      <c r="S70" s="0"/>
      <c r="T70" s="0"/>
      <c r="U70" s="0"/>
      <c r="V70" s="0"/>
      <c r="W70" s="0"/>
      <c r="X70" s="0"/>
      <c r="Y70" s="0"/>
      <c r="Z70" s="0"/>
      <c r="AA70" s="0"/>
      <c r="AB70" s="0"/>
      <c r="AC70" s="0"/>
      <c r="AD70" s="141"/>
      <c r="AE70" s="142"/>
      <c r="AF70" s="142"/>
      <c r="AG70" s="142"/>
      <c r="AH70" s="143"/>
      <c r="AI70" s="142"/>
      <c r="AJ70" s="142"/>
      <c r="AK70" s="142"/>
      <c r="AL70" s="143"/>
      <c r="AM70" s="142"/>
      <c r="AN70" s="142"/>
      <c r="AO70" s="146" t="n">
        <v>2053</v>
      </c>
      <c r="AP70" s="155" t="n">
        <f aca="false">SUM(AM70:AO70)</f>
        <v>2053</v>
      </c>
      <c r="AR70" s="156" t="n">
        <v>2013</v>
      </c>
      <c r="AS70" s="156" t="n">
        <v>2014</v>
      </c>
    </row>
    <row r="71" customFormat="false" ht="13.5" hidden="false" customHeight="true" outlineLevel="0" collapsed="false">
      <c r="A71" s="0" t="n">
        <v>28</v>
      </c>
      <c r="B71" s="34" t="n">
        <v>38384</v>
      </c>
      <c r="C71" s="141" t="n">
        <v>818837</v>
      </c>
      <c r="D71" s="29" t="s">
        <v>42</v>
      </c>
      <c r="E71" s="33" t="n">
        <f aca="false">IF(D71="totale",(C71/(A71*24))/F71,IF(D71="marché libre",(C71/(A71*24))/G71,"spécifier histo"))</f>
        <v>0.667675309849967</v>
      </c>
      <c r="F71" s="9" t="n">
        <v>1825</v>
      </c>
      <c r="G71" s="9" t="n">
        <f aca="false">F71-H71</f>
        <v>1825</v>
      </c>
      <c r="H71" s="9" t="n">
        <v>0</v>
      </c>
      <c r="J71" s="0"/>
      <c r="K71" s="0"/>
      <c r="L71" s="0"/>
      <c r="M71" s="0"/>
      <c r="N71" s="0"/>
      <c r="O71" s="0"/>
      <c r="P71" s="145"/>
      <c r="Q71" s="144"/>
      <c r="R71" s="144"/>
      <c r="S71" s="144"/>
      <c r="T71" s="144"/>
      <c r="U71" s="144"/>
      <c r="V71" s="144"/>
      <c r="W71" s="144"/>
      <c r="X71" s="144"/>
      <c r="Y71" s="144"/>
      <c r="Z71" s="144"/>
      <c r="AA71" s="144"/>
      <c r="AB71" s="144"/>
      <c r="AC71" s="0"/>
      <c r="AD71" s="141"/>
      <c r="AE71" s="142"/>
      <c r="AF71" s="142"/>
      <c r="AG71" s="142"/>
      <c r="AH71" s="143"/>
      <c r="AI71" s="142"/>
      <c r="AJ71" s="142"/>
      <c r="AK71" s="142"/>
      <c r="AL71" s="143"/>
      <c r="AM71" s="142"/>
      <c r="AN71" s="142"/>
      <c r="AO71" s="146" t="n">
        <v>3452</v>
      </c>
      <c r="AP71" s="155" t="n">
        <f aca="false">SUM(AM71:AO71)</f>
        <v>3452</v>
      </c>
      <c r="AR71" s="0"/>
      <c r="AS71" s="0"/>
    </row>
    <row r="72" customFormat="false" ht="13.5" hidden="false" customHeight="true" outlineLevel="0" collapsed="false">
      <c r="A72" s="0" t="n">
        <v>31</v>
      </c>
      <c r="B72" s="31" t="n">
        <v>38412</v>
      </c>
      <c r="C72" s="141" t="n">
        <v>1003388</v>
      </c>
      <c r="D72" s="29" t="s">
        <v>42</v>
      </c>
      <c r="E72" s="33" t="n">
        <f aca="false">IF(D72="totale",(C72/(A72*24))/F72,IF(D72="marché libre",(C72/(A72*24))/G72,"spécifier histo"))</f>
        <v>0.73898070408013</v>
      </c>
      <c r="F72" s="9" t="n">
        <v>1825</v>
      </c>
      <c r="G72" s="9" t="n">
        <f aca="false">F72-H72</f>
        <v>1825</v>
      </c>
      <c r="H72" s="9" t="n">
        <v>0</v>
      </c>
      <c r="I72" s="26"/>
      <c r="J72" s="0"/>
      <c r="K72" s="0"/>
      <c r="L72" s="0"/>
      <c r="M72" s="0"/>
      <c r="N72" s="0"/>
      <c r="O72" s="0"/>
      <c r="P72" s="145"/>
      <c r="Q72" s="144"/>
      <c r="R72" s="144"/>
      <c r="S72" s="144"/>
      <c r="T72" s="144"/>
      <c r="U72" s="144"/>
      <c r="V72" s="144"/>
      <c r="W72" s="144"/>
      <c r="X72" s="144"/>
      <c r="Y72" s="144"/>
      <c r="Z72" s="144"/>
      <c r="AA72" s="144"/>
      <c r="AB72" s="144"/>
      <c r="AC72" s="0"/>
      <c r="AD72" s="141"/>
      <c r="AE72" s="142"/>
      <c r="AF72" s="142"/>
      <c r="AG72" s="142"/>
      <c r="AH72" s="143"/>
      <c r="AI72" s="142"/>
      <c r="AJ72" s="142"/>
      <c r="AK72" s="142"/>
      <c r="AL72" s="143"/>
      <c r="AM72" s="142"/>
      <c r="AN72" s="142"/>
      <c r="AO72" s="146" t="n">
        <v>1746</v>
      </c>
      <c r="AP72" s="155" t="n">
        <f aca="false">SUM(AM72:AO72)</f>
        <v>1746</v>
      </c>
      <c r="AR72" s="0"/>
      <c r="AS72" s="0"/>
    </row>
    <row r="73" customFormat="false" ht="13.5" hidden="false" customHeight="true" outlineLevel="0" collapsed="false">
      <c r="A73" s="0" t="n">
        <v>30</v>
      </c>
      <c r="B73" s="34" t="n">
        <v>38443</v>
      </c>
      <c r="C73" s="141" t="n">
        <v>876342</v>
      </c>
      <c r="D73" s="29" t="s">
        <v>42</v>
      </c>
      <c r="E73" s="33" t="n">
        <f aca="false">IF(D73="totale",(C73/(A73*24))/F73,IF(D73="marché libre",(C73/(A73*24))/G73,"spécifier histo"))</f>
        <v>0.666926940639269</v>
      </c>
      <c r="F73" s="9" t="n">
        <v>1825</v>
      </c>
      <c r="G73" s="9" t="n">
        <f aca="false">F73-H73</f>
        <v>1825</v>
      </c>
      <c r="H73" s="9" t="n">
        <v>0</v>
      </c>
      <c r="I73" s="26"/>
      <c r="J73" s="0"/>
      <c r="K73" s="0"/>
      <c r="L73" s="0"/>
      <c r="M73" s="0"/>
      <c r="N73" s="0"/>
      <c r="O73" s="0"/>
      <c r="P73" s="141"/>
      <c r="Q73" s="142"/>
      <c r="R73" s="142"/>
      <c r="S73" s="142"/>
      <c r="T73" s="143"/>
      <c r="U73" s="142"/>
      <c r="V73" s="142"/>
      <c r="W73" s="142"/>
      <c r="X73" s="143"/>
      <c r="Y73" s="142"/>
      <c r="Z73" s="142"/>
      <c r="AA73" s="142"/>
      <c r="AB73" s="143"/>
      <c r="AC73" s="0"/>
      <c r="AD73" s="141"/>
      <c r="AE73" s="142"/>
      <c r="AF73" s="142"/>
      <c r="AG73" s="142"/>
      <c r="AH73" s="143"/>
      <c r="AI73" s="142"/>
      <c r="AJ73" s="142"/>
      <c r="AK73" s="142"/>
      <c r="AL73" s="143"/>
      <c r="AM73" s="142"/>
      <c r="AN73" s="142"/>
      <c r="AO73" s="148" t="n">
        <v>500</v>
      </c>
      <c r="AP73" s="157" t="n">
        <f aca="false">SUM(AM73:AO73)</f>
        <v>500</v>
      </c>
      <c r="AR73" s="0"/>
      <c r="AS73" s="0"/>
    </row>
    <row r="74" customFormat="false" ht="13.5" hidden="false" customHeight="true" outlineLevel="0" collapsed="false">
      <c r="A74" s="0" t="n">
        <v>31</v>
      </c>
      <c r="B74" s="31" t="n">
        <v>38473</v>
      </c>
      <c r="C74" s="141" t="n">
        <v>904092</v>
      </c>
      <c r="D74" s="29" t="s">
        <v>42</v>
      </c>
      <c r="E74" s="33" t="n">
        <f aca="false">IF(D74="totale",(C74/(A74*24))/F74,IF(D74="marché libre",(C74/(A74*24))/G74,"spécifier histo"))</f>
        <v>0.665850640742377</v>
      </c>
      <c r="F74" s="9" t="n">
        <v>1825</v>
      </c>
      <c r="G74" s="9" t="n">
        <f aca="false">F74-H74</f>
        <v>1825</v>
      </c>
      <c r="H74" s="9" t="n">
        <v>0</v>
      </c>
      <c r="I74" s="143"/>
      <c r="J74" s="143"/>
      <c r="K74" s="143"/>
      <c r="L74" s="143"/>
      <c r="M74" s="143"/>
      <c r="N74" s="143"/>
      <c r="O74" s="143"/>
      <c r="P74" s="143"/>
      <c r="Q74" s="143"/>
      <c r="R74" s="142"/>
      <c r="S74" s="142"/>
      <c r="T74" s="143"/>
      <c r="U74" s="142"/>
      <c r="V74" s="142"/>
      <c r="W74" s="142"/>
      <c r="X74" s="143"/>
      <c r="Y74" s="142"/>
      <c r="Z74" s="142"/>
      <c r="AA74" s="142"/>
      <c r="AB74" s="143"/>
      <c r="AC74" s="0"/>
      <c r="AD74" s="144"/>
      <c r="AE74" s="143"/>
      <c r="AF74" s="143"/>
      <c r="AG74" s="143"/>
      <c r="AH74" s="143"/>
      <c r="AI74" s="143"/>
      <c r="AJ74" s="143"/>
      <c r="AK74" s="143"/>
      <c r="AL74" s="143"/>
      <c r="AM74" s="143"/>
      <c r="AN74" s="143"/>
      <c r="AO74" s="151" t="n">
        <f aca="false">SUM(AO62:AO73)</f>
        <v>37566</v>
      </c>
      <c r="AP74" s="158" t="n">
        <f aca="false">SUM(AM74:AO74)</f>
        <v>37566</v>
      </c>
      <c r="AQ74" s="103"/>
      <c r="AR74" s="0"/>
      <c r="AS74" s="0"/>
    </row>
    <row r="75" customFormat="false" ht="13.5" hidden="false" customHeight="true" outlineLevel="0" collapsed="false">
      <c r="A75" s="0" t="n">
        <v>30</v>
      </c>
      <c r="B75" s="34" t="n">
        <v>38504</v>
      </c>
      <c r="C75" s="141" t="n">
        <v>967557</v>
      </c>
      <c r="D75" s="29" t="s">
        <v>42</v>
      </c>
      <c r="E75" s="33" t="n">
        <f aca="false">IF(D75="totale",(C75/(A75*24))/F75,IF(D75="marché libre",(C75/(A75*24))/G75,"spécifier histo"))</f>
        <v>0.736344748858447</v>
      </c>
      <c r="F75" s="9" t="n">
        <v>1825</v>
      </c>
      <c r="G75" s="9" t="n">
        <f aca="false">F75-H75</f>
        <v>1825</v>
      </c>
      <c r="H75" s="9" t="n">
        <v>0</v>
      </c>
      <c r="I75" s="0"/>
      <c r="J75" s="0"/>
      <c r="K75" s="0"/>
      <c r="L75" s="0"/>
      <c r="M75" s="0"/>
      <c r="N75" s="0"/>
      <c r="O75" s="0"/>
      <c r="P75" s="0"/>
      <c r="Q75" s="0"/>
      <c r="R75" s="142"/>
      <c r="S75" s="142"/>
      <c r="T75" s="143"/>
      <c r="U75" s="142"/>
      <c r="V75" s="142"/>
      <c r="W75" s="142"/>
      <c r="X75" s="143"/>
      <c r="Y75" s="142"/>
      <c r="Z75" s="142"/>
      <c r="AA75" s="142"/>
      <c r="AB75" s="143"/>
      <c r="AC75" s="0"/>
      <c r="AD75" s="0"/>
      <c r="AE75" s="0"/>
      <c r="AF75" s="0"/>
      <c r="AG75" s="0"/>
      <c r="AH75" s="0"/>
      <c r="AI75" s="0"/>
      <c r="AJ75" s="0"/>
      <c r="AK75" s="0"/>
      <c r="AL75" s="0"/>
      <c r="AM75" s="0"/>
      <c r="AN75" s="0"/>
      <c r="AO75" s="0"/>
      <c r="AP75" s="0"/>
      <c r="AQ75" s="103"/>
      <c r="AR75" s="0"/>
      <c r="AS75" s="0"/>
    </row>
    <row r="76" customFormat="false" ht="13.5" hidden="false" customHeight="true" outlineLevel="0" collapsed="false">
      <c r="A76" s="0" t="n">
        <v>31</v>
      </c>
      <c r="B76" s="31" t="n">
        <v>38534</v>
      </c>
      <c r="C76" s="141" t="n">
        <v>675465</v>
      </c>
      <c r="D76" s="29" t="s">
        <v>42</v>
      </c>
      <c r="E76" s="33" t="n">
        <f aca="false">IF(D76="totale",(C76/(A76*24))/F76,IF(D76="marché libre",(C76/(A76*24))/G76,"spécifier histo"))</f>
        <v>0.497470172337605</v>
      </c>
      <c r="F76" s="9" t="n">
        <v>1825</v>
      </c>
      <c r="G76" s="9" t="n">
        <f aca="false">F76-H76</f>
        <v>1825</v>
      </c>
      <c r="H76" s="9" t="n">
        <v>0</v>
      </c>
      <c r="I76" s="0"/>
      <c r="J76" s="0"/>
      <c r="K76" s="0"/>
      <c r="L76" s="0"/>
      <c r="M76" s="0"/>
      <c r="N76" s="0"/>
      <c r="O76" s="0"/>
      <c r="P76" s="0"/>
      <c r="Q76" s="0"/>
      <c r="R76" s="142"/>
      <c r="S76" s="142"/>
      <c r="T76" s="143"/>
      <c r="U76" s="142"/>
      <c r="V76" s="142"/>
      <c r="W76" s="142"/>
      <c r="X76" s="143"/>
      <c r="Y76" s="142"/>
      <c r="Z76" s="142"/>
      <c r="AA76" s="142"/>
      <c r="AB76" s="143"/>
      <c r="AC76" s="0"/>
      <c r="AD76" s="144"/>
      <c r="AE76" s="144"/>
      <c r="AF76" s="144"/>
      <c r="AG76" s="144"/>
      <c r="AH76" s="144"/>
      <c r="AI76" s="144"/>
      <c r="AJ76" s="144"/>
      <c r="AK76" s="144"/>
      <c r="AL76" s="144"/>
      <c r="AM76" s="0"/>
      <c r="AN76" s="0"/>
      <c r="AO76" s="0"/>
      <c r="AP76" s="0"/>
      <c r="AQ76" s="103"/>
      <c r="AR76" s="0"/>
      <c r="AS76" s="0"/>
    </row>
    <row r="77" customFormat="false" ht="13.5" hidden="false" customHeight="true" outlineLevel="0" collapsed="false">
      <c r="A77" s="0" t="n">
        <v>31</v>
      </c>
      <c r="B77" s="34" t="n">
        <v>38565</v>
      </c>
      <c r="C77" s="141" t="n">
        <v>539202</v>
      </c>
      <c r="D77" s="29" t="s">
        <v>42</v>
      </c>
      <c r="E77" s="33" t="n">
        <f aca="false">IF(D77="totale",(C77/(A77*24))/F77,IF(D77="marché libre",(C77/(A77*24))/G77,"spécifier histo"))</f>
        <v>0.397114449845338</v>
      </c>
      <c r="F77" s="9" t="n">
        <v>1825</v>
      </c>
      <c r="G77" s="9" t="n">
        <f aca="false">F77-H77</f>
        <v>1825</v>
      </c>
      <c r="H77" s="9" t="n">
        <v>0</v>
      </c>
      <c r="I77" s="0"/>
      <c r="J77" s="0"/>
      <c r="K77" s="0"/>
      <c r="L77" s="0"/>
      <c r="M77" s="0"/>
      <c r="N77" s="0"/>
      <c r="O77" s="0"/>
      <c r="P77" s="0"/>
      <c r="Q77" s="0"/>
      <c r="R77" s="142"/>
      <c r="S77" s="142"/>
      <c r="T77" s="143"/>
      <c r="U77" s="142"/>
      <c r="V77" s="142"/>
      <c r="W77" s="142"/>
      <c r="X77" s="143"/>
      <c r="Y77" s="142"/>
      <c r="Z77" s="142"/>
      <c r="AA77" s="142"/>
      <c r="AB77" s="143"/>
      <c r="AC77" s="0"/>
      <c r="AD77" s="0"/>
      <c r="AE77" s="0"/>
      <c r="AF77" s="0"/>
      <c r="AG77" s="0"/>
      <c r="AH77" s="0"/>
      <c r="AI77" s="0"/>
      <c r="AJ77" s="0"/>
      <c r="AK77" s="0"/>
      <c r="AL77" s="0"/>
      <c r="AM77" s="0"/>
      <c r="AN77" s="0"/>
      <c r="AO77" s="0"/>
      <c r="AP77" s="0"/>
      <c r="AQ77" s="103"/>
      <c r="AR77" s="0"/>
      <c r="AS77" s="0"/>
    </row>
    <row r="78" customFormat="false" ht="13.5" hidden="false" customHeight="true" outlineLevel="0" collapsed="false">
      <c r="A78" s="0" t="n">
        <v>30</v>
      </c>
      <c r="B78" s="31" t="n">
        <v>38596</v>
      </c>
      <c r="C78" s="141" t="n">
        <v>541484</v>
      </c>
      <c r="D78" s="29" t="s">
        <v>42</v>
      </c>
      <c r="E78" s="33" t="n">
        <f aca="false">IF(D78="totale",(C78/(A78*24))/F78,IF(D78="marché libre",(C78/(A78*24))/G78,"spécifier histo"))</f>
        <v>0.412088280060883</v>
      </c>
      <c r="F78" s="9" t="n">
        <v>1825</v>
      </c>
      <c r="G78" s="9" t="n">
        <f aca="false">F78-H78</f>
        <v>1825</v>
      </c>
      <c r="H78" s="9" t="n">
        <v>0</v>
      </c>
      <c r="I78" s="0"/>
      <c r="J78" s="0"/>
      <c r="K78" s="0"/>
      <c r="L78" s="0"/>
      <c r="M78" s="0"/>
      <c r="N78" s="0"/>
      <c r="O78" s="0"/>
      <c r="P78" s="0"/>
      <c r="Q78" s="0"/>
      <c r="R78" s="142"/>
      <c r="S78" s="142"/>
      <c r="T78" s="143"/>
      <c r="U78" s="142"/>
      <c r="V78" s="142"/>
      <c r="W78" s="142"/>
      <c r="X78" s="143"/>
      <c r="Y78" s="142"/>
      <c r="Z78" s="142"/>
      <c r="AA78" s="142"/>
      <c r="AB78" s="143"/>
      <c r="AC78" s="0"/>
      <c r="AD78" s="145"/>
      <c r="AE78" s="144"/>
      <c r="AF78" s="144"/>
      <c r="AG78" s="144"/>
      <c r="AH78" s="144"/>
      <c r="AI78" s="144"/>
      <c r="AJ78" s="144"/>
      <c r="AK78" s="144"/>
      <c r="AL78" s="144"/>
      <c r="AM78" s="144"/>
      <c r="AN78" s="144"/>
      <c r="AO78" s="144"/>
      <c r="AP78" s="144"/>
      <c r="AQ78" s="103"/>
      <c r="AR78" s="0"/>
      <c r="AS78" s="0"/>
    </row>
    <row r="79" customFormat="false" ht="13.5" hidden="false" customHeight="true" outlineLevel="0" collapsed="false">
      <c r="A79" s="0" t="n">
        <v>31</v>
      </c>
      <c r="B79" s="34" t="n">
        <v>38626</v>
      </c>
      <c r="C79" s="141" t="n">
        <v>250846</v>
      </c>
      <c r="D79" s="29" t="s">
        <v>42</v>
      </c>
      <c r="E79" s="33" t="n">
        <f aca="false">IF(D79="totale",(C79/(A79*24))/F79,IF(D79="marché libre",(C79/(A79*24))/G79,"spécifier histo"))</f>
        <v>0.184744439534541</v>
      </c>
      <c r="F79" s="9" t="n">
        <v>1825</v>
      </c>
      <c r="G79" s="9" t="n">
        <f aca="false">F79-H79</f>
        <v>1825</v>
      </c>
      <c r="H79" s="9" t="n">
        <v>0</v>
      </c>
      <c r="I79" s="0"/>
      <c r="J79" s="0"/>
      <c r="K79" s="0"/>
      <c r="L79" s="0"/>
      <c r="M79" s="0"/>
      <c r="N79" s="0"/>
      <c r="O79" s="0"/>
      <c r="P79" s="0"/>
      <c r="Q79" s="0"/>
      <c r="R79" s="142"/>
      <c r="S79" s="142"/>
      <c r="T79" s="143"/>
      <c r="U79" s="142"/>
      <c r="V79" s="142"/>
      <c r="W79" s="142"/>
      <c r="X79" s="143"/>
      <c r="Y79" s="142"/>
      <c r="Z79" s="142"/>
      <c r="AA79" s="142"/>
      <c r="AB79" s="143"/>
      <c r="AC79" s="0"/>
      <c r="AD79" s="145"/>
      <c r="AE79" s="144"/>
      <c r="AF79" s="144"/>
      <c r="AG79" s="144"/>
      <c r="AH79" s="144"/>
      <c r="AI79" s="144"/>
      <c r="AJ79" s="144"/>
      <c r="AK79" s="144"/>
      <c r="AL79" s="144"/>
      <c r="AM79" s="144"/>
      <c r="AN79" s="144"/>
      <c r="AO79" s="153" t="s">
        <v>123</v>
      </c>
      <c r="AP79" s="154" t="s">
        <v>89</v>
      </c>
      <c r="AQ79" s="103"/>
      <c r="AR79" s="0"/>
      <c r="AS79" s="0"/>
    </row>
    <row r="80" customFormat="false" ht="13.5" hidden="false" customHeight="true" outlineLevel="0" collapsed="false">
      <c r="A80" s="0" t="n">
        <v>30</v>
      </c>
      <c r="B80" s="31" t="n">
        <v>38657</v>
      </c>
      <c r="C80" s="496" t="n">
        <v>497532</v>
      </c>
      <c r="D80" s="29" t="s">
        <v>42</v>
      </c>
      <c r="E80" s="33" t="n">
        <f aca="false">IF(D80="totale",(C80/(A80*24))/F80,IF(D80="marché libre",(C80/(A80*24))/G80,"spécifier histo"))</f>
        <v>0.378639269406393</v>
      </c>
      <c r="F80" s="9" t="n">
        <v>1825</v>
      </c>
      <c r="G80" s="9" t="n">
        <f aca="false">F80-H80</f>
        <v>1825</v>
      </c>
      <c r="H80" s="9" t="n">
        <v>0</v>
      </c>
      <c r="I80" s="0"/>
      <c r="J80" s="0"/>
      <c r="K80" s="0"/>
      <c r="L80" s="0"/>
      <c r="M80" s="0"/>
      <c r="N80" s="0"/>
      <c r="O80" s="0"/>
      <c r="P80" s="0"/>
      <c r="Q80" s="142"/>
      <c r="R80" s="142"/>
      <c r="S80" s="142"/>
      <c r="T80" s="143"/>
      <c r="U80" s="142"/>
      <c r="V80" s="142"/>
      <c r="W80" s="142"/>
      <c r="X80" s="143"/>
      <c r="Y80" s="142"/>
      <c r="Z80" s="142"/>
      <c r="AA80" s="142"/>
      <c r="AB80" s="143"/>
      <c r="AC80" s="0"/>
      <c r="AD80" s="141"/>
      <c r="AE80" s="142"/>
      <c r="AF80" s="142"/>
      <c r="AG80" s="142"/>
      <c r="AH80" s="143"/>
      <c r="AI80" s="142"/>
      <c r="AJ80" s="142"/>
      <c r="AK80" s="142"/>
      <c r="AL80" s="143"/>
      <c r="AM80" s="142"/>
      <c r="AN80" s="142"/>
      <c r="AO80" s="146" t="n">
        <v>4937</v>
      </c>
      <c r="AP80" s="155" t="n">
        <f aca="false">SUM(AM80:AO80)</f>
        <v>4937</v>
      </c>
      <c r="AQ80" s="103"/>
      <c r="AR80" s="0"/>
      <c r="AS80" s="0"/>
    </row>
    <row r="81" customFormat="false" ht="13.5" hidden="false" customHeight="true" outlineLevel="0" collapsed="false">
      <c r="A81" s="0" t="n">
        <v>31</v>
      </c>
      <c r="B81" s="34" t="n">
        <v>38687</v>
      </c>
      <c r="C81" s="0" t="n">
        <v>646624</v>
      </c>
      <c r="D81" s="29" t="s">
        <v>42</v>
      </c>
      <c r="E81" s="33" t="n">
        <f aca="false">IF(D81="totale",(C81/(A81*24))/F81,IF(D81="marché libre",(C81/(A81*24))/G81,"spécifier histo"))</f>
        <v>0.476229194284873</v>
      </c>
      <c r="F81" s="9" t="n">
        <v>1825</v>
      </c>
      <c r="G81" s="9" t="n">
        <f aca="false">F81-H81</f>
        <v>1825</v>
      </c>
      <c r="H81" s="9" t="n">
        <v>0</v>
      </c>
      <c r="I81" s="0"/>
      <c r="J81" s="0"/>
      <c r="K81" s="0"/>
      <c r="L81" s="0"/>
      <c r="M81" s="0"/>
      <c r="N81" s="0"/>
      <c r="O81" s="0"/>
      <c r="P81" s="0"/>
      <c r="Q81" s="142"/>
      <c r="R81" s="142"/>
      <c r="S81" s="142"/>
      <c r="T81" s="143"/>
      <c r="U81" s="142"/>
      <c r="V81" s="142"/>
      <c r="W81" s="142"/>
      <c r="X81" s="143"/>
      <c r="Y81" s="142"/>
      <c r="Z81" s="142"/>
      <c r="AA81" s="142"/>
      <c r="AB81" s="143"/>
      <c r="AC81" s="0"/>
      <c r="AD81" s="141"/>
      <c r="AE81" s="142"/>
      <c r="AF81" s="142"/>
      <c r="AG81" s="142"/>
      <c r="AH81" s="143"/>
      <c r="AI81" s="142"/>
      <c r="AJ81" s="142"/>
      <c r="AK81" s="142"/>
      <c r="AL81" s="143"/>
      <c r="AM81" s="142"/>
      <c r="AN81" s="142"/>
      <c r="AO81" s="146" t="n">
        <v>970</v>
      </c>
      <c r="AP81" s="155" t="n">
        <f aca="false">SUM(AM81:AO81)</f>
        <v>970</v>
      </c>
      <c r="AQ81" s="103"/>
      <c r="AR81" s="0"/>
      <c r="AS81" s="0"/>
    </row>
    <row r="82" customFormat="false" ht="13.5" hidden="false" customHeight="true" outlineLevel="0" collapsed="false">
      <c r="A82" s="0" t="n">
        <v>31</v>
      </c>
      <c r="B82" s="31" t="n">
        <v>38718</v>
      </c>
      <c r="C82" s="142" t="n">
        <v>779184</v>
      </c>
      <c r="D82" s="29" t="s">
        <v>42</v>
      </c>
      <c r="E82" s="33" t="n">
        <f aca="false">IF(D82="totale",(C82/(A82*24))/F82,IF(D82="marché libre",(C82/(A82*24))/G82,"spécifier histo"))</f>
        <v>0.573857711003093</v>
      </c>
      <c r="F82" s="9" t="n">
        <v>1825</v>
      </c>
      <c r="G82" s="9" t="n">
        <f aca="false">F82-H82</f>
        <v>1825</v>
      </c>
      <c r="H82" s="9" t="n">
        <v>0</v>
      </c>
      <c r="I82" s="0"/>
      <c r="J82" s="0"/>
      <c r="K82" s="0"/>
      <c r="L82" s="0"/>
      <c r="M82" s="0"/>
      <c r="N82" s="0"/>
      <c r="O82" s="0"/>
      <c r="P82" s="0"/>
      <c r="Q82" s="142"/>
      <c r="R82" s="142"/>
      <c r="S82" s="142"/>
      <c r="T82" s="143"/>
      <c r="U82" s="142"/>
      <c r="V82" s="142"/>
      <c r="W82" s="142"/>
      <c r="X82" s="143"/>
      <c r="Y82" s="142"/>
      <c r="Z82" s="142"/>
      <c r="AA82" s="142"/>
      <c r="AB82" s="143"/>
      <c r="AC82" s="0"/>
      <c r="AD82" s="141"/>
      <c r="AE82" s="142"/>
      <c r="AF82" s="142"/>
      <c r="AG82" s="142"/>
      <c r="AH82" s="143"/>
      <c r="AI82" s="142"/>
      <c r="AJ82" s="142"/>
      <c r="AK82" s="142"/>
      <c r="AL82" s="143"/>
      <c r="AM82" s="142"/>
      <c r="AN82" s="142"/>
      <c r="AO82" s="146" t="n">
        <v>3745</v>
      </c>
      <c r="AP82" s="155" t="n">
        <f aca="false">SUM(AM82:AO82)</f>
        <v>3745</v>
      </c>
      <c r="AQ82" s="103"/>
      <c r="AR82" s="0"/>
      <c r="AS82" s="0"/>
    </row>
    <row r="83" customFormat="false" ht="13.5" hidden="false" customHeight="true" outlineLevel="0" collapsed="false">
      <c r="A83" s="0" t="n">
        <v>28</v>
      </c>
      <c r="B83" s="34" t="n">
        <v>38749</v>
      </c>
      <c r="C83" s="142" t="n">
        <v>638017</v>
      </c>
      <c r="D83" s="29" t="s">
        <v>42</v>
      </c>
      <c r="E83" s="33" t="n">
        <f aca="false">IF(D83="totale",(C83/(A83*24))/F83,IF(D83="marché libre",(C83/(A83*24))/G83,"spécifier histo"))</f>
        <v>0.520235649054142</v>
      </c>
      <c r="F83" s="9" t="n">
        <v>1825</v>
      </c>
      <c r="G83" s="9" t="n">
        <f aca="false">F83-H83</f>
        <v>1825</v>
      </c>
      <c r="H83" s="9" t="n">
        <v>0</v>
      </c>
      <c r="I83" s="0"/>
      <c r="J83" s="0"/>
      <c r="K83" s="0"/>
      <c r="L83" s="0"/>
      <c r="M83" s="0"/>
      <c r="N83" s="0"/>
      <c r="O83" s="0"/>
      <c r="P83" s="0"/>
      <c r="Q83" s="142"/>
      <c r="R83" s="142"/>
      <c r="S83" s="142"/>
      <c r="T83" s="143"/>
      <c r="U83" s="142"/>
      <c r="V83" s="142"/>
      <c r="W83" s="142"/>
      <c r="X83" s="143"/>
      <c r="Y83" s="142"/>
      <c r="Z83" s="142"/>
      <c r="AA83" s="142"/>
      <c r="AB83" s="143"/>
      <c r="AC83" s="0"/>
      <c r="AD83" s="141"/>
      <c r="AE83" s="142"/>
      <c r="AF83" s="142"/>
      <c r="AG83" s="142"/>
      <c r="AH83" s="143"/>
      <c r="AI83" s="142"/>
      <c r="AJ83" s="142"/>
      <c r="AK83" s="142"/>
      <c r="AL83" s="143"/>
      <c r="AM83" s="142"/>
      <c r="AN83" s="142"/>
      <c r="AO83" s="146" t="n">
        <v>9192</v>
      </c>
      <c r="AP83" s="155" t="n">
        <f aca="false">SUM(AM83:AO83)</f>
        <v>9192</v>
      </c>
      <c r="AQ83" s="103"/>
    </row>
    <row r="84" customFormat="false" ht="13.5" hidden="false" customHeight="true" outlineLevel="0" collapsed="false">
      <c r="A84" s="0" t="n">
        <v>31</v>
      </c>
      <c r="B84" s="31" t="n">
        <v>38777</v>
      </c>
      <c r="C84" s="142" t="n">
        <v>816521</v>
      </c>
      <c r="D84" s="29" t="s">
        <v>42</v>
      </c>
      <c r="E84" s="33" t="n">
        <f aca="false">IF(D84="totale",(C84/(A84*24))/F84,IF(D84="marché libre",(C84/(A84*24))/G84,"spécifier histo"))</f>
        <v>0.601355869789365</v>
      </c>
      <c r="F84" s="9" t="n">
        <v>1825</v>
      </c>
      <c r="G84" s="9" t="n">
        <f aca="false">F84-H84</f>
        <v>1825</v>
      </c>
      <c r="H84" s="9" t="n">
        <v>0</v>
      </c>
      <c r="I84" s="0"/>
      <c r="J84" s="0"/>
      <c r="K84" s="0"/>
      <c r="L84" s="0"/>
      <c r="M84" s="0"/>
      <c r="N84" s="0"/>
      <c r="O84" s="0"/>
      <c r="P84" s="0"/>
      <c r="Q84" s="142"/>
      <c r="R84" s="142"/>
      <c r="S84" s="142"/>
      <c r="T84" s="143"/>
      <c r="U84" s="142"/>
      <c r="V84" s="142"/>
      <c r="W84" s="142"/>
      <c r="X84" s="143"/>
      <c r="Y84" s="142"/>
      <c r="Z84" s="142"/>
      <c r="AA84" s="142"/>
      <c r="AB84" s="143"/>
      <c r="AC84" s="0"/>
      <c r="AD84" s="141"/>
      <c r="AE84" s="142"/>
      <c r="AF84" s="142"/>
      <c r="AG84" s="142"/>
      <c r="AH84" s="143"/>
      <c r="AI84" s="142"/>
      <c r="AJ84" s="142"/>
      <c r="AK84" s="142"/>
      <c r="AL84" s="143"/>
      <c r="AM84" s="142"/>
      <c r="AN84" s="142"/>
      <c r="AO84" s="146" t="n">
        <v>8940</v>
      </c>
      <c r="AP84" s="155" t="n">
        <f aca="false">SUM(AM84:AO84)</f>
        <v>8940</v>
      </c>
      <c r="AQ84" s="103"/>
    </row>
    <row r="85" customFormat="false" ht="13.5" hidden="false" customHeight="true" outlineLevel="0" collapsed="false">
      <c r="A85" s="0" t="n">
        <v>30</v>
      </c>
      <c r="B85" s="34" t="n">
        <v>38808</v>
      </c>
      <c r="C85" s="142" t="n">
        <v>951744</v>
      </c>
      <c r="D85" s="29" t="s">
        <v>42</v>
      </c>
      <c r="E85" s="33" t="n">
        <f aca="false">IF(D85="totale",(C85/(A85*24))/F85,IF(D85="marché libre",(C85/(A85*24))/G85,"spécifier histo"))</f>
        <v>0.724310502283105</v>
      </c>
      <c r="F85" s="9" t="n">
        <v>1825</v>
      </c>
      <c r="G85" s="9" t="n">
        <f aca="false">F85-H85</f>
        <v>1825</v>
      </c>
      <c r="H85" s="9" t="n">
        <v>0</v>
      </c>
      <c r="I85" s="0"/>
      <c r="J85" s="0"/>
      <c r="K85" s="0"/>
      <c r="L85" s="0"/>
      <c r="M85" s="0"/>
      <c r="N85" s="0"/>
      <c r="O85" s="0"/>
      <c r="P85" s="0"/>
      <c r="Q85" s="143"/>
      <c r="R85" s="143"/>
      <c r="S85" s="143"/>
      <c r="T85" s="143"/>
      <c r="U85" s="143"/>
      <c r="V85" s="143"/>
      <c r="W85" s="143"/>
      <c r="X85" s="143"/>
      <c r="Y85" s="143"/>
      <c r="Z85" s="143"/>
      <c r="AA85" s="143"/>
      <c r="AB85" s="143"/>
      <c r="AC85" s="0"/>
      <c r="AD85" s="141"/>
      <c r="AE85" s="142"/>
      <c r="AF85" s="142"/>
      <c r="AG85" s="142"/>
      <c r="AH85" s="143"/>
      <c r="AI85" s="142"/>
      <c r="AJ85" s="142"/>
      <c r="AK85" s="142"/>
      <c r="AL85" s="143"/>
      <c r="AM85" s="142"/>
      <c r="AN85" s="142"/>
      <c r="AO85" s="146" t="n">
        <v>8893</v>
      </c>
      <c r="AP85" s="155" t="n">
        <f aca="false">SUM(AM85:AO85)</f>
        <v>8893</v>
      </c>
      <c r="AQ85" s="103"/>
    </row>
    <row r="86" customFormat="false" ht="13.5" hidden="false" customHeight="true" outlineLevel="0" collapsed="false">
      <c r="A86" s="0" t="n">
        <v>31</v>
      </c>
      <c r="B86" s="31" t="n">
        <v>38838</v>
      </c>
      <c r="C86" s="142" t="n">
        <v>941423</v>
      </c>
      <c r="D86" s="29" t="s">
        <v>42</v>
      </c>
      <c r="E86" s="33" t="n">
        <f aca="false">IF(D86="totale",(C86/(A86*24))/F86,IF(D86="marché libre",(C86/(A86*24))/G86,"spécifier histo"))</f>
        <v>0.693344380615702</v>
      </c>
      <c r="F86" s="9" t="n">
        <v>1825</v>
      </c>
      <c r="G86" s="9" t="n">
        <f aca="false">F86-H86</f>
        <v>1825</v>
      </c>
      <c r="H86" s="9" t="n">
        <v>0</v>
      </c>
      <c r="I86" s="0"/>
      <c r="J86" s="0"/>
      <c r="K86" s="0"/>
      <c r="L86" s="0"/>
      <c r="M86" s="0"/>
      <c r="N86" s="0"/>
      <c r="O86" s="0"/>
      <c r="P86" s="0"/>
      <c r="Q86" s="0"/>
      <c r="V86" s="0"/>
      <c r="W86" s="0"/>
      <c r="X86" s="0"/>
      <c r="AC86" s="0"/>
      <c r="AD86" s="141"/>
      <c r="AE86" s="142"/>
      <c r="AF86" s="142"/>
      <c r="AG86" s="142"/>
      <c r="AH86" s="143"/>
      <c r="AI86" s="142"/>
      <c r="AJ86" s="142"/>
      <c r="AK86" s="142"/>
      <c r="AL86" s="143"/>
      <c r="AM86" s="142"/>
      <c r="AN86" s="142"/>
      <c r="AO86" s="146" t="n">
        <v>10555</v>
      </c>
      <c r="AP86" s="155" t="n">
        <f aca="false">SUM(AM86:AO86)</f>
        <v>10555</v>
      </c>
      <c r="AQ86" s="103"/>
    </row>
    <row r="87" customFormat="false" ht="13.5" hidden="false" customHeight="true" outlineLevel="0" collapsed="false">
      <c r="A87" s="0" t="n">
        <v>30</v>
      </c>
      <c r="B87" s="34" t="n">
        <v>38869</v>
      </c>
      <c r="C87" s="142" t="n">
        <v>745540</v>
      </c>
      <c r="D87" s="29" t="s">
        <v>42</v>
      </c>
      <c r="E87" s="33" t="n">
        <f aca="false">IF(D87="totale",(C87/(A87*24))/F87,IF(D87="marché libre",(C87/(A87*24))/G87,"spécifier histo"))</f>
        <v>0.56738203957382</v>
      </c>
      <c r="F87" s="9" t="n">
        <v>1825</v>
      </c>
      <c r="G87" s="9" t="n">
        <f aca="false">F87-H87</f>
        <v>1825</v>
      </c>
      <c r="H87" s="9" t="n">
        <v>0</v>
      </c>
      <c r="I87" s="26"/>
      <c r="J87" s="0"/>
      <c r="K87" s="0"/>
      <c r="L87" s="0"/>
      <c r="N87" s="0"/>
      <c r="P87" s="103"/>
      <c r="Q87" s="0"/>
      <c r="V87" s="0"/>
      <c r="X87" s="0"/>
      <c r="AC87" s="0"/>
      <c r="AD87" s="141"/>
      <c r="AE87" s="142"/>
      <c r="AF87" s="142"/>
      <c r="AG87" s="142"/>
      <c r="AH87" s="143"/>
      <c r="AI87" s="142"/>
      <c r="AJ87" s="142"/>
      <c r="AK87" s="142"/>
      <c r="AL87" s="143"/>
      <c r="AM87" s="142"/>
      <c r="AN87" s="142"/>
      <c r="AO87" s="146" t="n">
        <v>6289</v>
      </c>
      <c r="AP87" s="155" t="n">
        <f aca="false">SUM(AM87:AO87)</f>
        <v>6289</v>
      </c>
      <c r="AQ87" s="103"/>
    </row>
    <row r="88" customFormat="false" ht="13.5" hidden="false" customHeight="true" outlineLevel="0" collapsed="false">
      <c r="A88" s="0" t="n">
        <v>31</v>
      </c>
      <c r="B88" s="31" t="n">
        <v>38899</v>
      </c>
      <c r="C88" s="142" t="n">
        <v>202021</v>
      </c>
      <c r="D88" s="29" t="s">
        <v>42</v>
      </c>
      <c r="E88" s="33" t="n">
        <f aca="false">IF(D88="totale",(C88/(A88*24))/F88,IF(D88="marché libre",(C88/(A88*24))/G88,"spécifier histo"))</f>
        <v>0.148785535424952</v>
      </c>
      <c r="F88" s="9" t="n">
        <v>1825</v>
      </c>
      <c r="G88" s="9" t="n">
        <f aca="false">F88-H88</f>
        <v>1825</v>
      </c>
      <c r="H88" s="9" t="n">
        <v>0</v>
      </c>
      <c r="I88" s="26"/>
      <c r="J88" s="0"/>
      <c r="K88" s="0"/>
      <c r="L88" s="0"/>
      <c r="N88" s="0"/>
      <c r="P88" s="0"/>
      <c r="R88" s="0"/>
      <c r="Y88" s="0"/>
      <c r="AB88" s="0"/>
      <c r="AC88" s="0"/>
      <c r="AD88" s="141"/>
      <c r="AE88" s="142"/>
      <c r="AF88" s="142"/>
      <c r="AG88" s="142"/>
      <c r="AH88" s="143"/>
      <c r="AI88" s="142"/>
      <c r="AJ88" s="142"/>
      <c r="AK88" s="142"/>
      <c r="AL88" s="143"/>
      <c r="AM88" s="142"/>
      <c r="AN88" s="142"/>
      <c r="AO88" s="146" t="n">
        <v>6997</v>
      </c>
      <c r="AP88" s="155" t="n">
        <f aca="false">SUM(AM88:AO88)</f>
        <v>6997</v>
      </c>
      <c r="AQ88" s="103"/>
    </row>
    <row r="89" customFormat="false" ht="13.5" hidden="false" customHeight="true" outlineLevel="0" collapsed="false">
      <c r="A89" s="0" t="n">
        <v>31</v>
      </c>
      <c r="B89" s="34" t="n">
        <v>38930</v>
      </c>
      <c r="C89" s="142" t="n">
        <v>0</v>
      </c>
      <c r="D89" s="29" t="s">
        <v>42</v>
      </c>
      <c r="E89" s="33" t="n">
        <f aca="false">IF(D89="totale",(C89/(A89*24))/F89,IF(D89="marché libre",(C89/(A89*24))/G89,"spécifier histo"))</f>
        <v>0</v>
      </c>
      <c r="F89" s="9" t="n">
        <v>1825</v>
      </c>
      <c r="G89" s="9" t="n">
        <f aca="false">F89-H89</f>
        <v>1825</v>
      </c>
      <c r="H89" s="9" t="n">
        <v>0</v>
      </c>
      <c r="I89" s="26"/>
      <c r="J89" s="0"/>
      <c r="K89" s="0"/>
      <c r="L89" s="0"/>
      <c r="N89" s="0"/>
      <c r="P89" s="0"/>
      <c r="R89" s="0"/>
      <c r="Y89" s="0"/>
      <c r="AB89" s="0"/>
      <c r="AC89" s="0"/>
      <c r="AD89" s="141"/>
      <c r="AE89" s="142"/>
      <c r="AF89" s="142"/>
      <c r="AG89" s="142"/>
      <c r="AH89" s="143"/>
      <c r="AI89" s="142"/>
      <c r="AJ89" s="142"/>
      <c r="AK89" s="142"/>
      <c r="AL89" s="143"/>
      <c r="AM89" s="142"/>
      <c r="AN89" s="142"/>
      <c r="AO89" s="146" t="n">
        <v>4747</v>
      </c>
      <c r="AP89" s="155" t="n">
        <f aca="false">SUM(AM89:AO89)</f>
        <v>4747</v>
      </c>
      <c r="AQ89" s="103"/>
    </row>
    <row r="90" customFormat="false" ht="13.5" hidden="false" customHeight="true" outlineLevel="0" collapsed="false">
      <c r="A90" s="0" t="n">
        <v>30</v>
      </c>
      <c r="B90" s="31" t="n">
        <v>38961</v>
      </c>
      <c r="C90" s="142" t="n">
        <v>0</v>
      </c>
      <c r="D90" s="29" t="s">
        <v>42</v>
      </c>
      <c r="E90" s="33" t="n">
        <f aca="false">IF(D90="totale",(C90/(A90*24))/F90,IF(D90="marché libre",(C90/(A90*24))/G90,"spécifier histo"))</f>
        <v>0</v>
      </c>
      <c r="F90" s="9" t="n">
        <v>1825</v>
      </c>
      <c r="G90" s="9" t="n">
        <f aca="false">F90-H90</f>
        <v>1825</v>
      </c>
      <c r="H90" s="9" t="n">
        <v>0</v>
      </c>
      <c r="I90" s="26"/>
      <c r="J90" s="0"/>
      <c r="K90" s="0"/>
      <c r="L90" s="0"/>
      <c r="N90" s="0"/>
      <c r="P90" s="0"/>
      <c r="R90" s="0"/>
      <c r="Y90" s="0"/>
      <c r="AB90" s="0"/>
      <c r="AC90" s="0"/>
      <c r="AD90" s="141"/>
      <c r="AE90" s="142"/>
      <c r="AF90" s="142"/>
      <c r="AG90" s="142"/>
      <c r="AH90" s="143"/>
      <c r="AI90" s="142"/>
      <c r="AJ90" s="142"/>
      <c r="AK90" s="142"/>
      <c r="AL90" s="143"/>
      <c r="AM90" s="142"/>
      <c r="AN90" s="142"/>
      <c r="AO90" s="146" t="n">
        <v>7822</v>
      </c>
      <c r="AP90" s="155" t="n">
        <f aca="false">SUM(AM90:AO90)</f>
        <v>7822</v>
      </c>
      <c r="AQ90" s="103"/>
    </row>
    <row r="91" customFormat="false" ht="13.5" hidden="false" customHeight="true" outlineLevel="0" collapsed="false">
      <c r="A91" s="0" t="n">
        <v>31</v>
      </c>
      <c r="B91" s="34" t="n">
        <v>38991</v>
      </c>
      <c r="C91" s="142" t="n">
        <v>507806</v>
      </c>
      <c r="D91" s="29" t="s">
        <v>42</v>
      </c>
      <c r="E91" s="33" t="n">
        <f aca="false">IF(D91="totale",(C91/(A91*24))/F91,IF(D91="marché libre",(C91/(A91*24))/G91,"spécifier histo"))</f>
        <v>0.373991751362498</v>
      </c>
      <c r="F91" s="9" t="n">
        <v>1825</v>
      </c>
      <c r="G91" s="9" t="n">
        <f aca="false">F91-H91</f>
        <v>1825</v>
      </c>
      <c r="H91" s="9" t="n">
        <v>0</v>
      </c>
      <c r="I91" s="26"/>
      <c r="J91" s="0"/>
      <c r="K91" s="0"/>
      <c r="L91" s="0"/>
      <c r="N91" s="0"/>
      <c r="P91" s="0"/>
      <c r="R91" s="0"/>
      <c r="Y91" s="0"/>
      <c r="AB91" s="0"/>
      <c r="AC91" s="0"/>
      <c r="AD91" s="141"/>
      <c r="AE91" s="142"/>
      <c r="AF91" s="142"/>
      <c r="AG91" s="142"/>
      <c r="AH91" s="143"/>
      <c r="AI91" s="142"/>
      <c r="AJ91" s="142"/>
      <c r="AK91" s="142"/>
      <c r="AL91" s="143"/>
      <c r="AM91" s="142"/>
      <c r="AN91" s="142"/>
      <c r="AO91" s="148" t="n">
        <v>1996</v>
      </c>
      <c r="AP91" s="157" t="n">
        <f aca="false">SUM(AM91:AO91)</f>
        <v>1996</v>
      </c>
      <c r="AQ91" s="103"/>
    </row>
    <row r="92" customFormat="false" ht="13.5" hidden="false" customHeight="true" outlineLevel="0" collapsed="false">
      <c r="A92" s="0" t="n">
        <v>30</v>
      </c>
      <c r="B92" s="31" t="n">
        <v>39022</v>
      </c>
      <c r="C92" s="497" t="n">
        <v>657307</v>
      </c>
      <c r="D92" s="29" t="s">
        <v>42</v>
      </c>
      <c r="E92" s="33" t="n">
        <f aca="false">IF(D92="totale",(C92/(A92*24))/F92,IF(D92="marché libre",(C92/(A92*24))/G92,"spécifier histo"))</f>
        <v>0.500233637747336</v>
      </c>
      <c r="F92" s="9" t="n">
        <v>1825</v>
      </c>
      <c r="G92" s="9" t="n">
        <f aca="false">F92-H92</f>
        <v>1825</v>
      </c>
      <c r="H92" s="9" t="n">
        <v>0</v>
      </c>
      <c r="I92" s="26"/>
      <c r="J92" s="0"/>
      <c r="K92" s="0"/>
      <c r="L92" s="0"/>
      <c r="N92" s="0"/>
      <c r="P92" s="0"/>
      <c r="R92" s="0"/>
      <c r="Y92" s="0"/>
      <c r="AB92" s="0"/>
      <c r="AC92" s="0"/>
      <c r="AD92" s="144"/>
      <c r="AE92" s="143"/>
      <c r="AF92" s="143"/>
      <c r="AG92" s="143"/>
      <c r="AH92" s="143"/>
      <c r="AI92" s="143"/>
      <c r="AJ92" s="143"/>
      <c r="AK92" s="143"/>
      <c r="AL92" s="143"/>
      <c r="AM92" s="143"/>
      <c r="AN92" s="143"/>
      <c r="AO92" s="151" t="n">
        <f aca="false">SUM(AO80:AO91)</f>
        <v>75083</v>
      </c>
      <c r="AP92" s="158" t="n">
        <f aca="false">SUM(AM92:AO92)</f>
        <v>75083</v>
      </c>
      <c r="AQ92" s="103"/>
    </row>
    <row r="93" customFormat="false" ht="13.5" hidden="false" customHeight="true" outlineLevel="0" collapsed="false">
      <c r="A93" s="0" t="n">
        <v>31</v>
      </c>
      <c r="B93" s="34" t="n">
        <v>39052</v>
      </c>
      <c r="C93" s="0" t="n">
        <v>810224</v>
      </c>
      <c r="D93" s="29" t="s">
        <v>42</v>
      </c>
      <c r="E93" s="33" t="n">
        <f aca="false">IF(D93="totale",(C93/(A93*24))/F93,IF(D93="marché libre",(C93/(A93*24))/G93,"spécifier histo"))</f>
        <v>0.596718220651053</v>
      </c>
      <c r="F93" s="9" t="n">
        <v>1825</v>
      </c>
      <c r="G93" s="9" t="n">
        <f aca="false">F93-H93</f>
        <v>1825</v>
      </c>
      <c r="H93" s="9" t="n">
        <v>0</v>
      </c>
      <c r="I93" s="26"/>
      <c r="J93" s="0"/>
      <c r="K93" s="103"/>
      <c r="L93" s="0"/>
      <c r="N93" s="0"/>
      <c r="P93" s="0"/>
      <c r="R93" s="0"/>
      <c r="Y93" s="0"/>
      <c r="AC93" s="0"/>
      <c r="AD93" s="0"/>
      <c r="AE93" s="0"/>
      <c r="AF93" s="0"/>
      <c r="AG93" s="0"/>
      <c r="AH93" s="0"/>
      <c r="AI93" s="0"/>
      <c r="AJ93" s="0"/>
      <c r="AK93" s="0"/>
      <c r="AL93" s="0"/>
      <c r="AM93" s="0"/>
      <c r="AN93" s="0"/>
      <c r="AO93" s="0"/>
      <c r="AP93" s="0"/>
      <c r="AQ93" s="103"/>
    </row>
    <row r="94" customFormat="false" ht="13.5" hidden="false" customHeight="true" outlineLevel="0" collapsed="false">
      <c r="A94" s="0" t="n">
        <v>31</v>
      </c>
      <c r="B94" s="31" t="n">
        <v>39083</v>
      </c>
      <c r="C94" s="142" t="n">
        <v>609463</v>
      </c>
      <c r="D94" s="29" t="s">
        <v>42</v>
      </c>
      <c r="E94" s="33" t="n">
        <f aca="false">IF(D94="totale",(C94/(A94*24))/F94,IF(D94="marché libre",(C94/(A94*24))/G94,"spécifier histo"))</f>
        <v>0.448860656945058</v>
      </c>
      <c r="F94" s="9" t="n">
        <v>1825</v>
      </c>
      <c r="G94" s="9" t="n">
        <f aca="false">F94-H94</f>
        <v>1825</v>
      </c>
      <c r="H94" s="9" t="n">
        <v>0</v>
      </c>
      <c r="I94" s="26"/>
      <c r="J94" s="0"/>
      <c r="K94" s="103"/>
      <c r="L94" s="0"/>
      <c r="N94" s="0"/>
      <c r="P94" s="0"/>
      <c r="R94" s="0"/>
      <c r="Y94" s="0"/>
      <c r="AC94" s="0"/>
      <c r="AD94" s="144"/>
      <c r="AE94" s="144"/>
      <c r="AF94" s="144"/>
      <c r="AG94" s="144"/>
      <c r="AH94" s="144"/>
      <c r="AI94" s="144"/>
      <c r="AJ94" s="144"/>
      <c r="AK94" s="144"/>
      <c r="AL94" s="144"/>
      <c r="AM94" s="0"/>
      <c r="AN94" s="0"/>
      <c r="AO94" s="0"/>
      <c r="AP94" s="0"/>
      <c r="AQ94" s="103"/>
    </row>
    <row r="95" customFormat="false" ht="13.5" hidden="false" customHeight="true" outlineLevel="0" collapsed="false">
      <c r="A95" s="0" t="n">
        <v>28</v>
      </c>
      <c r="B95" s="34" t="n">
        <v>39114</v>
      </c>
      <c r="C95" s="142" t="n">
        <v>731834</v>
      </c>
      <c r="D95" s="29" t="s">
        <v>42</v>
      </c>
      <c r="E95" s="33" t="n">
        <f aca="false">IF(D95="totale",(C95/(A95*24))/F95,IF(D95="marché libre",(C95/(A95*24))/G95,"spécifier histo"))</f>
        <v>0.59673352902805</v>
      </c>
      <c r="F95" s="9" t="n">
        <v>1825</v>
      </c>
      <c r="G95" s="9" t="n">
        <f aca="false">F95-H95</f>
        <v>1825</v>
      </c>
      <c r="H95" s="9" t="n">
        <v>0</v>
      </c>
      <c r="I95" s="26"/>
      <c r="J95" s="0"/>
      <c r="K95" s="103"/>
      <c r="L95" s="0"/>
      <c r="N95" s="0"/>
      <c r="P95" s="0"/>
      <c r="R95" s="0"/>
      <c r="Y95" s="0"/>
      <c r="AC95" s="0"/>
      <c r="AD95" s="0"/>
      <c r="AE95" s="0"/>
      <c r="AF95" s="0"/>
      <c r="AG95" s="0"/>
      <c r="AH95" s="0"/>
      <c r="AI95" s="0"/>
      <c r="AJ95" s="0"/>
      <c r="AK95" s="0"/>
      <c r="AL95" s="0"/>
      <c r="AM95" s="0"/>
      <c r="AN95" s="0"/>
      <c r="AO95" s="0"/>
      <c r="AP95" s="0"/>
    </row>
    <row r="96" customFormat="false" ht="13.5" hidden="false" customHeight="true" outlineLevel="0" collapsed="false">
      <c r="A96" s="0" t="n">
        <v>31</v>
      </c>
      <c r="B96" s="31" t="n">
        <v>39142</v>
      </c>
      <c r="C96" s="142" t="n">
        <v>905059</v>
      </c>
      <c r="D96" s="29" t="s">
        <v>42</v>
      </c>
      <c r="E96" s="33" t="n">
        <f aca="false">IF(D96="totale",(C96/(A96*24))/F96,IF(D96="marché libre",(C96/(A96*24))/G96,"spécifier histo"))</f>
        <v>0.666562822212402</v>
      </c>
      <c r="F96" s="9" t="n">
        <v>1825</v>
      </c>
      <c r="G96" s="9" t="n">
        <f aca="false">F96-H96</f>
        <v>1825</v>
      </c>
      <c r="H96" s="9" t="n">
        <v>0</v>
      </c>
      <c r="I96" s="26"/>
      <c r="J96" s="0"/>
      <c r="K96" s="103"/>
      <c r="L96" s="0"/>
      <c r="N96" s="0"/>
      <c r="P96" s="0"/>
      <c r="R96" s="0"/>
      <c r="Y96" s="0"/>
      <c r="AC96" s="0"/>
      <c r="AD96" s="145"/>
      <c r="AE96" s="144"/>
      <c r="AF96" s="144"/>
      <c r="AG96" s="144"/>
      <c r="AH96" s="144"/>
      <c r="AI96" s="144"/>
      <c r="AJ96" s="144"/>
      <c r="AK96" s="144"/>
      <c r="AL96" s="144"/>
      <c r="AM96" s="144"/>
      <c r="AN96" s="144"/>
      <c r="AO96" s="144"/>
      <c r="AP96" s="144"/>
    </row>
    <row r="97" customFormat="false" ht="13.5" hidden="false" customHeight="true" outlineLevel="0" collapsed="false">
      <c r="A97" s="0" t="n">
        <v>30</v>
      </c>
      <c r="B97" s="34" t="n">
        <v>39173</v>
      </c>
      <c r="C97" s="142" t="n">
        <v>738828</v>
      </c>
      <c r="D97" s="29" t="s">
        <v>42</v>
      </c>
      <c r="E97" s="33" t="n">
        <f aca="false">IF(D97="totale",(C97/(A97*24))/F97,IF(D97="marché libre",(C97/(A97*24))/G97,"spécifier histo"))</f>
        <v>0.56227397260274</v>
      </c>
      <c r="F97" s="9" t="n">
        <v>1825</v>
      </c>
      <c r="G97" s="9" t="n">
        <f aca="false">F97-H97</f>
        <v>1825</v>
      </c>
      <c r="H97" s="9" t="n">
        <v>0</v>
      </c>
      <c r="I97" s="26"/>
      <c r="J97" s="0"/>
      <c r="K97" s="103"/>
      <c r="L97" s="0"/>
      <c r="N97" s="0"/>
      <c r="P97" s="0"/>
      <c r="R97" s="0"/>
      <c r="Y97" s="0"/>
      <c r="AD97" s="145"/>
      <c r="AG97" s="0"/>
      <c r="AJ97" s="0"/>
    </row>
    <row r="98" customFormat="false" ht="13.5" hidden="false" customHeight="true" outlineLevel="0" collapsed="false">
      <c r="A98" s="0" t="n">
        <v>31</v>
      </c>
      <c r="B98" s="31" t="n">
        <v>39203</v>
      </c>
      <c r="C98" s="142" t="n">
        <v>685324</v>
      </c>
      <c r="D98" s="29" t="s">
        <v>42</v>
      </c>
      <c r="E98" s="33" t="n">
        <f aca="false">IF(D98="totale",(C98/(A98*24))/F98,IF(D98="marché libre",(C98/(A98*24))/G98,"spécifier histo"))</f>
        <v>0.504731182795699</v>
      </c>
      <c r="F98" s="9" t="n">
        <v>1825</v>
      </c>
      <c r="G98" s="9" t="n">
        <f aca="false">F98-H98</f>
        <v>1825</v>
      </c>
      <c r="H98" s="9" t="n">
        <v>0</v>
      </c>
      <c r="I98" s="26"/>
      <c r="J98" s="0"/>
      <c r="K98" s="103"/>
      <c r="L98" s="0"/>
      <c r="N98" s="0"/>
      <c r="P98" s="0"/>
      <c r="R98" s="0"/>
      <c r="Y98" s="0"/>
      <c r="AD98" s="0"/>
      <c r="AG98" s="0"/>
      <c r="AJ98" s="0"/>
    </row>
    <row r="99" customFormat="false" ht="13.5" hidden="false" customHeight="true" outlineLevel="0" collapsed="false">
      <c r="A99" s="0" t="n">
        <v>30</v>
      </c>
      <c r="B99" s="34" t="n">
        <v>39234</v>
      </c>
      <c r="C99" s="142" t="n">
        <v>883814</v>
      </c>
      <c r="D99" s="29" t="s">
        <v>42</v>
      </c>
      <c r="E99" s="33" t="n">
        <f aca="false">IF(D99="totale",(C99/(A99*24))/F99,IF(D99="marché libre",(C99/(A99*24))/G99,"spécifier histo"))</f>
        <v>0.672613394216134</v>
      </c>
      <c r="F99" s="9" t="n">
        <v>1825</v>
      </c>
      <c r="G99" s="9" t="n">
        <f aca="false">F99-H99</f>
        <v>1825</v>
      </c>
      <c r="H99" s="9" t="n">
        <v>0</v>
      </c>
      <c r="I99" s="26"/>
      <c r="J99" s="0"/>
      <c r="K99" s="103"/>
      <c r="L99" s="0"/>
      <c r="N99" s="0"/>
      <c r="P99" s="0"/>
      <c r="R99" s="0"/>
      <c r="Y99" s="0"/>
      <c r="AD99" s="0"/>
      <c r="AG99" s="0"/>
      <c r="AJ99" s="0"/>
    </row>
    <row r="100" customFormat="false" ht="13.5" hidden="false" customHeight="true" outlineLevel="0" collapsed="false">
      <c r="A100" s="0" t="n">
        <v>31</v>
      </c>
      <c r="B100" s="31" t="n">
        <v>39264</v>
      </c>
      <c r="C100" s="142" t="n">
        <v>754732</v>
      </c>
      <c r="D100" s="29" t="s">
        <v>42</v>
      </c>
      <c r="E100" s="33" t="n">
        <f aca="false">IF(D100="totale",(C100/(A100*24))/F100,IF(D100="marché libre",(C100/(A100*24))/G100,"spécifier histo"))</f>
        <v>0.555849167771395</v>
      </c>
      <c r="F100" s="9" t="n">
        <v>1825</v>
      </c>
      <c r="G100" s="9" t="n">
        <f aca="false">F100-H100</f>
        <v>1825</v>
      </c>
      <c r="H100" s="9" t="n">
        <v>0</v>
      </c>
      <c r="I100" s="26"/>
      <c r="J100" s="0"/>
      <c r="K100" s="103"/>
      <c r="L100" s="0"/>
      <c r="N100" s="0"/>
      <c r="P100" s="0"/>
      <c r="R100" s="0"/>
      <c r="Y100" s="0"/>
      <c r="AD100" s="0"/>
      <c r="AG100" s="0"/>
      <c r="AJ100" s="0"/>
    </row>
    <row r="101" customFormat="false" ht="13.5" hidden="false" customHeight="true" outlineLevel="0" collapsed="false">
      <c r="A101" s="0" t="n">
        <v>31</v>
      </c>
      <c r="B101" s="34" t="n">
        <v>39295</v>
      </c>
      <c r="C101" s="142" t="n">
        <v>634850</v>
      </c>
      <c r="D101" s="29" t="s">
        <v>42</v>
      </c>
      <c r="E101" s="33" t="n">
        <f aca="false">IF(D101="totale",(C101/(A101*24))/F101,IF(D101="marché libre",(C101/(A101*24))/G101,"spécifier histo"))</f>
        <v>0.467557814111062</v>
      </c>
      <c r="F101" s="9" t="n">
        <v>1825</v>
      </c>
      <c r="G101" s="9" t="n">
        <f aca="false">F101-H101</f>
        <v>1825</v>
      </c>
      <c r="H101" s="9" t="n">
        <v>0</v>
      </c>
      <c r="I101" s="26"/>
      <c r="J101" s="0"/>
      <c r="K101" s="103"/>
      <c r="L101" s="0"/>
      <c r="N101" s="0"/>
      <c r="P101" s="0"/>
      <c r="R101" s="0"/>
      <c r="Y101" s="0"/>
      <c r="AD101" s="0"/>
      <c r="AG101" s="0"/>
      <c r="AJ101" s="0"/>
    </row>
    <row r="102" customFormat="false" ht="13.5" hidden="false" customHeight="true" outlineLevel="0" collapsed="false">
      <c r="A102" s="0" t="n">
        <v>30</v>
      </c>
      <c r="B102" s="31" t="n">
        <v>39326</v>
      </c>
      <c r="C102" s="142" t="n">
        <v>437354</v>
      </c>
      <c r="D102" s="29" t="s">
        <v>42</v>
      </c>
      <c r="E102" s="33" t="n">
        <f aca="false">IF(D102="totale",(C102/(A102*24))/F102,IF(D102="marché libre",(C102/(A102*24))/G102,"spécifier histo"))</f>
        <v>0.332841704718417</v>
      </c>
      <c r="F102" s="9" t="n">
        <v>1825</v>
      </c>
      <c r="G102" s="9" t="n">
        <f aca="false">F102-H102</f>
        <v>1825</v>
      </c>
      <c r="H102" s="9" t="n">
        <v>0</v>
      </c>
      <c r="I102" s="26"/>
      <c r="J102" s="0"/>
      <c r="K102" s="103"/>
      <c r="L102" s="0"/>
      <c r="N102" s="0"/>
      <c r="P102" s="0"/>
      <c r="R102" s="0"/>
      <c r="Y102" s="0"/>
      <c r="AD102" s="0"/>
      <c r="AG102" s="0"/>
      <c r="AJ102" s="0"/>
    </row>
    <row r="103" customFormat="false" ht="13.5" hidden="false" customHeight="true" outlineLevel="0" collapsed="false">
      <c r="A103" s="0" t="n">
        <v>31</v>
      </c>
      <c r="B103" s="34" t="n">
        <v>39356</v>
      </c>
      <c r="C103" s="142" t="n">
        <v>712082</v>
      </c>
      <c r="D103" s="29" t="s">
        <v>42</v>
      </c>
      <c r="E103" s="33" t="n">
        <f aca="false">IF(D103="totale",(C103/(A103*24))/F103,IF(D103="marché libre",(C103/(A103*24))/G103,"spécifier histo"))</f>
        <v>0.524438061570187</v>
      </c>
      <c r="F103" s="9" t="n">
        <v>1825</v>
      </c>
      <c r="G103" s="9" t="n">
        <f aca="false">F103-H103</f>
        <v>1825</v>
      </c>
      <c r="H103" s="9" t="n">
        <v>0</v>
      </c>
      <c r="I103" s="26"/>
      <c r="J103" s="0"/>
      <c r="K103" s="103"/>
      <c r="L103" s="0"/>
      <c r="N103" s="0"/>
      <c r="P103" s="0"/>
      <c r="R103" s="0"/>
      <c r="Y103" s="0"/>
      <c r="AD103" s="0"/>
      <c r="AG103" s="0"/>
      <c r="AJ103" s="0"/>
    </row>
    <row r="104" customFormat="false" ht="13.5" hidden="false" customHeight="true" outlineLevel="0" collapsed="false">
      <c r="A104" s="0" t="n">
        <v>30</v>
      </c>
      <c r="B104" s="31" t="n">
        <v>39387</v>
      </c>
      <c r="C104" s="497" t="n">
        <v>440306</v>
      </c>
      <c r="D104" s="29" t="s">
        <v>42</v>
      </c>
      <c r="E104" s="33" t="n">
        <f aca="false">IF(D104="totale",(C104/(A104*24))/F104,IF(D104="marché libre",(C104/(A104*24))/G104,"spécifier histo"))</f>
        <v>0.335088280060883</v>
      </c>
      <c r="F104" s="9" t="n">
        <v>1825</v>
      </c>
      <c r="G104" s="9" t="n">
        <f aca="false">F104-H104</f>
        <v>1825</v>
      </c>
      <c r="H104" s="9" t="n">
        <v>0</v>
      </c>
      <c r="I104" s="26"/>
      <c r="J104" s="0"/>
      <c r="K104" s="103"/>
      <c r="L104" s="0"/>
      <c r="N104" s="0"/>
      <c r="P104" s="0"/>
      <c r="R104" s="0"/>
      <c r="Y104" s="0"/>
      <c r="AD104" s="0"/>
      <c r="AG104" s="0"/>
      <c r="AJ104" s="0"/>
    </row>
    <row r="105" customFormat="false" ht="13.5" hidden="false" customHeight="true" outlineLevel="0" collapsed="false">
      <c r="A105" s="0" t="n">
        <v>31</v>
      </c>
      <c r="B105" s="34" t="n">
        <v>39417</v>
      </c>
      <c r="C105" s="0" t="n">
        <v>655937</v>
      </c>
      <c r="D105" s="29" t="s">
        <v>42</v>
      </c>
      <c r="E105" s="33" t="n">
        <f aca="false">IF(D105="totale",(C105/(A105*24))/F105,IF(D105="marché libre",(C105/(A105*24))/G105,"spécifier histo"))</f>
        <v>0.483088083664752</v>
      </c>
      <c r="F105" s="9" t="n">
        <v>1825</v>
      </c>
      <c r="G105" s="9" t="n">
        <f aca="false">F105-H105</f>
        <v>1825</v>
      </c>
      <c r="H105" s="9" t="n">
        <v>0</v>
      </c>
      <c r="I105" s="26"/>
      <c r="J105" s="0"/>
      <c r="K105" s="103"/>
      <c r="L105" s="0"/>
      <c r="N105" s="0"/>
      <c r="P105" s="0"/>
      <c r="Y105" s="0"/>
      <c r="AD105" s="0"/>
      <c r="AG105" s="0"/>
      <c r="AJ105" s="0"/>
    </row>
    <row r="106" customFormat="false" ht="13.5" hidden="false" customHeight="true" outlineLevel="0" collapsed="false">
      <c r="A106" s="0" t="n">
        <v>31</v>
      </c>
      <c r="B106" s="31" t="n">
        <v>39448</v>
      </c>
      <c r="C106" s="142" t="n">
        <v>831071</v>
      </c>
      <c r="D106" s="29" t="s">
        <v>42</v>
      </c>
      <c r="E106" s="33" t="n">
        <f aca="false">IF(D106="totale",(C106/(A106*24))/F106,IF(D106="marché libre",(C106/(A106*24))/G106,"spécifier histo"))</f>
        <v>0.612071733686846</v>
      </c>
      <c r="F106" s="9" t="n">
        <v>1825</v>
      </c>
      <c r="G106" s="9" t="n">
        <f aca="false">F106-H106</f>
        <v>1825</v>
      </c>
      <c r="H106" s="9" t="n">
        <v>0</v>
      </c>
      <c r="I106" s="26"/>
      <c r="J106" s="0"/>
      <c r="K106" s="103"/>
      <c r="L106" s="0"/>
      <c r="N106" s="0"/>
      <c r="P106" s="0"/>
      <c r="Y106" s="0"/>
      <c r="AG106" s="0"/>
      <c r="AJ106" s="0"/>
    </row>
    <row r="107" customFormat="false" ht="13.5" hidden="false" customHeight="true" outlineLevel="0" collapsed="false">
      <c r="A107" s="0" t="n">
        <v>28</v>
      </c>
      <c r="B107" s="34" t="n">
        <v>39479</v>
      </c>
      <c r="C107" s="142" t="n">
        <v>606087</v>
      </c>
      <c r="D107" s="29" t="s">
        <v>42</v>
      </c>
      <c r="E107" s="33" t="n">
        <f aca="false">IF(D107="totale",(C107/(A107*24))/F107,IF(D107="marché libre",(C107/(A107*24))/G107,"spécifier histo"))</f>
        <v>0.494200097847358</v>
      </c>
      <c r="F107" s="9" t="n">
        <v>1825</v>
      </c>
      <c r="G107" s="9" t="n">
        <f aca="false">F107-H107</f>
        <v>1825</v>
      </c>
      <c r="H107" s="9" t="n">
        <v>0</v>
      </c>
      <c r="I107" s="26"/>
      <c r="J107" s="0"/>
      <c r="K107" s="103"/>
      <c r="L107" s="0"/>
      <c r="N107" s="0"/>
      <c r="P107" s="0"/>
      <c r="Y107" s="0"/>
      <c r="AG107" s="0"/>
      <c r="AJ107" s="0"/>
    </row>
    <row r="108" customFormat="false" ht="13.5" hidden="false" customHeight="true" outlineLevel="0" collapsed="false">
      <c r="A108" s="0" t="n">
        <v>31</v>
      </c>
      <c r="B108" s="31" t="n">
        <v>39508</v>
      </c>
      <c r="C108" s="142" t="n">
        <v>725003</v>
      </c>
      <c r="D108" s="29" t="s">
        <v>42</v>
      </c>
      <c r="E108" s="33" t="n">
        <f aca="false">IF(D108="totale",(C108/(A108*24))/F108,IF(D108="marché libre",(C108/(A108*24))/G108,"spécifier histo"))</f>
        <v>0.533954190602445</v>
      </c>
      <c r="F108" s="9" t="n">
        <v>1825</v>
      </c>
      <c r="G108" s="9" t="n">
        <f aca="false">F108-H108</f>
        <v>1825</v>
      </c>
      <c r="H108" s="9" t="n">
        <v>0</v>
      </c>
      <c r="I108" s="26"/>
      <c r="J108" s="0"/>
      <c r="K108" s="103"/>
      <c r="L108" s="0"/>
      <c r="N108" s="0"/>
      <c r="P108" s="0"/>
      <c r="Y108" s="0"/>
      <c r="AG108" s="0"/>
      <c r="AJ108" s="0"/>
    </row>
    <row r="109" customFormat="false" ht="13.5" hidden="false" customHeight="true" outlineLevel="0" collapsed="false">
      <c r="A109" s="0" t="n">
        <v>30</v>
      </c>
      <c r="B109" s="34" t="n">
        <v>39539</v>
      </c>
      <c r="C109" s="142" t="n">
        <v>912560</v>
      </c>
      <c r="D109" s="29" t="s">
        <v>42</v>
      </c>
      <c r="E109" s="33" t="n">
        <f aca="false">IF(D109="totale",(C109/(A109*24))/F109,IF(D109="marché libre",(C109/(A109*24))/G109,"spécifier histo"))</f>
        <v>0.694490106544901</v>
      </c>
      <c r="F109" s="9" t="n">
        <v>1825</v>
      </c>
      <c r="G109" s="9" t="n">
        <f aca="false">F109-H109</f>
        <v>1825</v>
      </c>
      <c r="H109" s="9" t="n">
        <v>0</v>
      </c>
      <c r="I109" s="26"/>
      <c r="J109" s="0"/>
      <c r="K109" s="103"/>
      <c r="L109" s="0"/>
      <c r="N109" s="0"/>
      <c r="P109" s="0"/>
      <c r="Y109" s="0"/>
      <c r="AG109" s="0"/>
      <c r="AJ109" s="0"/>
    </row>
    <row r="110" customFormat="false" ht="13.5" hidden="false" customHeight="true" outlineLevel="0" collapsed="false">
      <c r="A110" s="0" t="n">
        <v>31</v>
      </c>
      <c r="B110" s="31" t="n">
        <v>39569</v>
      </c>
      <c r="C110" s="142" t="n">
        <v>897783</v>
      </c>
      <c r="D110" s="29" t="s">
        <v>42</v>
      </c>
      <c r="E110" s="33" t="n">
        <f aca="false">IF(D110="totale",(C110/(A110*24))/F110,IF(D110="marché libre",(C110/(A110*24))/G110,"spécifier histo"))</f>
        <v>0.661204153778171</v>
      </c>
      <c r="F110" s="9" t="n">
        <v>1825</v>
      </c>
      <c r="G110" s="9" t="n">
        <f aca="false">F110-H110</f>
        <v>1825</v>
      </c>
      <c r="H110" s="9" t="n">
        <v>0</v>
      </c>
      <c r="I110" s="26"/>
      <c r="J110" s="0"/>
      <c r="K110" s="103"/>
      <c r="L110" s="0"/>
      <c r="N110" s="0"/>
      <c r="P110" s="0"/>
      <c r="Y110" s="0"/>
      <c r="AG110" s="0"/>
      <c r="AJ110" s="0"/>
    </row>
    <row r="111" customFormat="false" ht="13.5" hidden="false" customHeight="true" outlineLevel="0" collapsed="false">
      <c r="A111" s="0" t="n">
        <v>30</v>
      </c>
      <c r="B111" s="34" t="n">
        <v>39600</v>
      </c>
      <c r="C111" s="142" t="n">
        <v>758046</v>
      </c>
      <c r="D111" s="29" t="s">
        <v>42</v>
      </c>
      <c r="E111" s="33" t="n">
        <f aca="false">IF(D111="totale",(C111/(A111*24))/F111,IF(D111="marché libre",(C111/(A111*24))/G111,"spécifier histo"))</f>
        <v>0.576899543378995</v>
      </c>
      <c r="F111" s="9" t="n">
        <v>1825</v>
      </c>
      <c r="G111" s="9" t="n">
        <f aca="false">F111-H111</f>
        <v>1825</v>
      </c>
      <c r="H111" s="9" t="n">
        <v>0</v>
      </c>
      <c r="I111" s="26"/>
      <c r="J111" s="0"/>
      <c r="K111" s="103"/>
      <c r="L111" s="0"/>
      <c r="P111" s="0"/>
      <c r="Y111" s="0"/>
      <c r="AG111" s="0"/>
      <c r="AJ111" s="0"/>
    </row>
    <row r="112" customFormat="false" ht="13.5" hidden="false" customHeight="true" outlineLevel="0" collapsed="false">
      <c r="A112" s="0" t="n">
        <v>31</v>
      </c>
      <c r="B112" s="31" t="n">
        <v>39630</v>
      </c>
      <c r="C112" s="142" t="n">
        <v>1001864</v>
      </c>
      <c r="D112" s="29" t="s">
        <v>42</v>
      </c>
      <c r="E112" s="33" t="n">
        <f aca="false">IF(D112="totale",(C112/(A112*24))/F112,IF(D112="marché libre",(C112/(A112*24))/G112,"spécifier histo"))</f>
        <v>0.737858300191486</v>
      </c>
      <c r="F112" s="9" t="n">
        <v>1825</v>
      </c>
      <c r="G112" s="9" t="n">
        <f aca="false">F112-H112</f>
        <v>1825</v>
      </c>
      <c r="H112" s="9" t="n">
        <v>0</v>
      </c>
      <c r="I112" s="26"/>
      <c r="J112" s="0"/>
      <c r="K112" s="103"/>
      <c r="L112" s="0"/>
      <c r="P112" s="0"/>
      <c r="Y112" s="0"/>
      <c r="AG112" s="0"/>
      <c r="AJ112" s="0"/>
    </row>
    <row r="113" customFormat="false" ht="13.5" hidden="false" customHeight="true" outlineLevel="0" collapsed="false">
      <c r="A113" s="0" t="n">
        <v>31</v>
      </c>
      <c r="B113" s="34" t="n">
        <v>39661</v>
      </c>
      <c r="C113" s="142" t="n">
        <v>689859</v>
      </c>
      <c r="D113" s="29" t="s">
        <v>42</v>
      </c>
      <c r="E113" s="33" t="n">
        <f aca="false">IF(D113="totale",(C113/(A113*24))/F113,IF(D113="marché libre",(C113/(A113*24))/G113,"spécifier histo"))</f>
        <v>0.508071144498453</v>
      </c>
      <c r="F113" s="9" t="n">
        <v>1825</v>
      </c>
      <c r="G113" s="9" t="n">
        <f aca="false">F113-H113</f>
        <v>1825</v>
      </c>
      <c r="H113" s="9" t="n">
        <v>0</v>
      </c>
      <c r="I113" s="26"/>
      <c r="J113" s="0"/>
      <c r="K113" s="103"/>
      <c r="L113" s="0"/>
      <c r="P113" s="0"/>
      <c r="Y113" s="0"/>
      <c r="AG113" s="0"/>
      <c r="AJ113" s="0"/>
    </row>
    <row r="114" customFormat="false" ht="13.5" hidden="false" customHeight="true" outlineLevel="0" collapsed="false">
      <c r="A114" s="0" t="n">
        <v>30</v>
      </c>
      <c r="B114" s="31" t="n">
        <v>39692</v>
      </c>
      <c r="C114" s="142" t="n">
        <v>473326</v>
      </c>
      <c r="D114" s="29" t="s">
        <v>42</v>
      </c>
      <c r="E114" s="33" t="n">
        <f aca="false">IF(D114="totale",(C114/(A114*24))/F114,IF(D114="marché libre",(C114/(A114*24))/G114,"spécifier histo"))</f>
        <v>0.360217656012177</v>
      </c>
      <c r="F114" s="9" t="n">
        <v>1825</v>
      </c>
      <c r="G114" s="9" t="n">
        <f aca="false">F114-H114</f>
        <v>1825</v>
      </c>
      <c r="H114" s="9" t="n">
        <v>0</v>
      </c>
      <c r="I114" s="26"/>
      <c r="J114" s="0"/>
      <c r="K114" s="103"/>
      <c r="L114" s="0"/>
      <c r="P114" s="0"/>
      <c r="Y114" s="0"/>
      <c r="AG114" s="0"/>
      <c r="AJ114" s="0"/>
    </row>
    <row r="115" customFormat="false" ht="13.5" hidden="false" customHeight="true" outlineLevel="0" collapsed="false">
      <c r="A115" s="0" t="n">
        <v>31</v>
      </c>
      <c r="B115" s="34" t="n">
        <v>39722</v>
      </c>
      <c r="C115" s="497" t="n">
        <v>462078</v>
      </c>
      <c r="D115" s="29" t="s">
        <v>42</v>
      </c>
      <c r="E115" s="33" t="n">
        <f aca="false">IF(D115="totale",(C115/(A115*24))/F115,IF(D115="marché libre",(C115/(A115*24))/G115,"spécifier histo"))</f>
        <v>0.340313742819266</v>
      </c>
      <c r="F115" s="9" t="n">
        <v>1825</v>
      </c>
      <c r="G115" s="9" t="n">
        <f aca="false">F115-H115</f>
        <v>1825</v>
      </c>
      <c r="H115" s="9" t="n">
        <v>0</v>
      </c>
      <c r="I115" s="26"/>
      <c r="J115" s="0"/>
      <c r="K115" s="103"/>
      <c r="L115" s="0"/>
      <c r="P115" s="0"/>
      <c r="Y115" s="0"/>
      <c r="AG115" s="0"/>
      <c r="AJ115" s="0"/>
    </row>
    <row r="116" customFormat="false" ht="13.5" hidden="false" customHeight="true" outlineLevel="0" collapsed="false">
      <c r="A116" s="0" t="n">
        <v>30</v>
      </c>
      <c r="B116" s="31" t="n">
        <v>39753</v>
      </c>
      <c r="C116" s="497" t="n">
        <v>785693</v>
      </c>
      <c r="D116" s="29" t="s">
        <v>42</v>
      </c>
      <c r="E116" s="33" t="n">
        <f aca="false">IF(D116="totale",(C116/(A116*24))/F116,IF(D116="marché libre",(C116/(A116*24))/G116,"spécifier histo"))</f>
        <v>0.597939878234399</v>
      </c>
      <c r="F116" s="9" t="n">
        <v>1825</v>
      </c>
      <c r="G116" s="9" t="n">
        <f aca="false">F116-H116</f>
        <v>1825</v>
      </c>
      <c r="H116" s="9" t="n">
        <v>0</v>
      </c>
      <c r="I116" s="26"/>
      <c r="J116" s="0"/>
      <c r="K116" s="103"/>
      <c r="L116" s="0"/>
      <c r="P116" s="0"/>
      <c r="Y116" s="0"/>
      <c r="AG116" s="0"/>
      <c r="AJ116" s="0"/>
    </row>
    <row r="117" customFormat="false" ht="13.5" hidden="false" customHeight="true" outlineLevel="0" collapsed="false">
      <c r="A117" s="0" t="n">
        <v>31</v>
      </c>
      <c r="B117" s="34" t="n">
        <v>39783</v>
      </c>
      <c r="C117" s="0" t="n">
        <v>904989</v>
      </c>
      <c r="D117" s="29" t="s">
        <v>42</v>
      </c>
      <c r="E117" s="33" t="n">
        <f aca="false">IF(D117="totale",(C117/(A117*24))/F117,IF(D117="marché libre",(C117/(A117*24))/G117,"spécifier histo"))</f>
        <v>0.666511268228016</v>
      </c>
      <c r="F117" s="9" t="n">
        <v>1825</v>
      </c>
      <c r="G117" s="9" t="n">
        <f aca="false">F117-H117</f>
        <v>1825</v>
      </c>
      <c r="H117" s="9" t="n">
        <v>0</v>
      </c>
      <c r="I117" s="26"/>
      <c r="J117" s="0"/>
      <c r="K117" s="103"/>
      <c r="L117" s="0"/>
      <c r="P117" s="0"/>
      <c r="Y117" s="0"/>
      <c r="AG117" s="0"/>
    </row>
    <row r="118" customFormat="false" ht="13.5" hidden="false" customHeight="true" outlineLevel="0" collapsed="false">
      <c r="A118" s="0" t="n">
        <v>31</v>
      </c>
      <c r="B118" s="31" t="n">
        <v>39814</v>
      </c>
      <c r="C118" s="497" t="n">
        <v>662833</v>
      </c>
      <c r="D118" s="29" t="s">
        <v>42</v>
      </c>
      <c r="E118" s="33" t="n">
        <f aca="false">IF(D118="totale",(C118/(A118*24))/F118,IF(D118="marché libre",(C118/(A118*24))/G118,"spécifier histo"))</f>
        <v>0.488166887612314</v>
      </c>
      <c r="F118" s="9" t="n">
        <v>1825</v>
      </c>
      <c r="G118" s="9" t="n">
        <f aca="false">F118-H118</f>
        <v>1825</v>
      </c>
      <c r="H118" s="9" t="n">
        <v>0</v>
      </c>
      <c r="I118" s="26"/>
      <c r="J118" s="0"/>
      <c r="K118" s="103"/>
      <c r="L118" s="0"/>
      <c r="P118" s="0"/>
      <c r="Y118" s="0"/>
      <c r="AG118" s="0"/>
    </row>
    <row r="119" customFormat="false" ht="13.5" hidden="false" customHeight="true" outlineLevel="0" collapsed="false">
      <c r="A119" s="0" t="n">
        <v>28</v>
      </c>
      <c r="B119" s="34" t="n">
        <v>39845</v>
      </c>
      <c r="C119" s="497" t="n">
        <v>860690</v>
      </c>
      <c r="D119" s="29" t="s">
        <v>42</v>
      </c>
      <c r="E119" s="33" t="n">
        <f aca="false">IF(D119="totale",(C119/(A119*24))/F119,IF(D119="marché libre",(C119/(A119*24))/G119,"spécifier histo"))</f>
        <v>0.701802022178734</v>
      </c>
      <c r="F119" s="9" t="n">
        <v>1825</v>
      </c>
      <c r="G119" s="9" t="n">
        <f aca="false">F119-H119</f>
        <v>1825</v>
      </c>
      <c r="H119" s="9" t="n">
        <v>0</v>
      </c>
      <c r="I119" s="26"/>
      <c r="J119" s="0"/>
      <c r="K119" s="103"/>
      <c r="L119" s="0"/>
      <c r="P119" s="0"/>
      <c r="Y119" s="0"/>
      <c r="AG119" s="0"/>
    </row>
    <row r="120" customFormat="false" ht="13.5" hidden="false" customHeight="true" outlineLevel="0" collapsed="false">
      <c r="A120" s="0" t="n">
        <v>31</v>
      </c>
      <c r="B120" s="31" t="n">
        <v>39873</v>
      </c>
      <c r="C120" s="497" t="n">
        <v>1048992</v>
      </c>
      <c r="D120" s="29" t="s">
        <v>42</v>
      </c>
      <c r="E120" s="33" t="n">
        <f aca="false">IF(D120="totale",(C120/(A120*24))/F120,IF(D120="marché libre",(C120/(A120*24))/G120,"spécifier histo"))</f>
        <v>0.772567388422448</v>
      </c>
      <c r="F120" s="9" t="n">
        <v>1825</v>
      </c>
      <c r="G120" s="9" t="n">
        <f aca="false">F120-H120</f>
        <v>1825</v>
      </c>
      <c r="H120" s="9" t="n">
        <v>0</v>
      </c>
      <c r="I120" s="26"/>
      <c r="J120" s="0"/>
      <c r="K120" s="103"/>
      <c r="L120" s="0"/>
      <c r="P120" s="0"/>
      <c r="Y120" s="0"/>
      <c r="AG120" s="0"/>
    </row>
    <row r="121" customFormat="false" ht="13.5" hidden="false" customHeight="true" outlineLevel="0" collapsed="false">
      <c r="A121" s="0" t="n">
        <v>30</v>
      </c>
      <c r="B121" s="34" t="n">
        <v>39904</v>
      </c>
      <c r="C121" s="497" t="n">
        <v>881389</v>
      </c>
      <c r="D121" s="29" t="s">
        <v>42</v>
      </c>
      <c r="E121" s="33" t="n">
        <f aca="false">IF(D121="totale",(C121/(A121*24))/F121,IF(D121="marché libre",(C121/(A121*24))/G121,"spécifier histo"))</f>
        <v>0.670767884322679</v>
      </c>
      <c r="F121" s="9" t="n">
        <v>1825</v>
      </c>
      <c r="G121" s="9" t="n">
        <f aca="false">F121-H121</f>
        <v>1825</v>
      </c>
      <c r="H121" s="9" t="n">
        <v>0</v>
      </c>
      <c r="I121" s="26"/>
      <c r="J121" s="0"/>
      <c r="K121" s="103"/>
      <c r="L121" s="0"/>
      <c r="P121" s="0"/>
      <c r="Y121" s="0"/>
      <c r="AG121" s="0"/>
    </row>
    <row r="122" customFormat="false" ht="13.5" hidden="false" customHeight="true" outlineLevel="0" collapsed="false">
      <c r="A122" s="0" t="n">
        <v>31</v>
      </c>
      <c r="B122" s="31" t="n">
        <v>39934</v>
      </c>
      <c r="C122" s="497" t="n">
        <v>593020</v>
      </c>
      <c r="D122" s="29" t="s">
        <v>42</v>
      </c>
      <c r="E122" s="33" t="n">
        <f aca="false">IF(D122="totale",(C122/(A122*24))/F122,IF(D122="marché libre",(C122/(A122*24))/G122,"spécifier histo"))</f>
        <v>0.436750626012668</v>
      </c>
      <c r="F122" s="9" t="n">
        <v>1825</v>
      </c>
      <c r="G122" s="9" t="n">
        <f aca="false">F122-H122</f>
        <v>1825</v>
      </c>
      <c r="H122" s="9" t="n">
        <v>0</v>
      </c>
      <c r="I122" s="26"/>
      <c r="J122" s="0"/>
      <c r="K122" s="103"/>
      <c r="L122" s="0"/>
      <c r="P122" s="0"/>
      <c r="Y122" s="0"/>
      <c r="AG122" s="0"/>
    </row>
    <row r="123" customFormat="false" ht="13.5" hidden="false" customHeight="true" outlineLevel="0" collapsed="false">
      <c r="A123" s="0" t="n">
        <v>30</v>
      </c>
      <c r="B123" s="34" t="n">
        <v>39965</v>
      </c>
      <c r="C123" s="497" t="n">
        <v>66932</v>
      </c>
      <c r="D123" s="29" t="s">
        <v>42</v>
      </c>
      <c r="E123" s="33" t="n">
        <f aca="false">IF(D123="totale",(C123/(A123*24))/F123,IF(D123="marché libre",(C123/(A123*24))/G123,"spécifier histo"))</f>
        <v>0.050937595129376</v>
      </c>
      <c r="F123" s="9" t="n">
        <v>1825</v>
      </c>
      <c r="G123" s="9" t="n">
        <f aca="false">F123-H123</f>
        <v>1825</v>
      </c>
      <c r="H123" s="9" t="n">
        <v>0</v>
      </c>
      <c r="I123" s="26"/>
      <c r="J123" s="0"/>
      <c r="K123" s="103"/>
      <c r="L123" s="0"/>
      <c r="P123" s="0"/>
      <c r="Y123" s="0"/>
      <c r="AG123" s="0"/>
    </row>
    <row r="124" customFormat="false" ht="13.5" hidden="false" customHeight="true" outlineLevel="0" collapsed="false">
      <c r="A124" s="0" t="n">
        <v>31</v>
      </c>
      <c r="B124" s="31" t="n">
        <v>39995</v>
      </c>
      <c r="C124" s="497" t="n">
        <v>861466</v>
      </c>
      <c r="D124" s="29" t="s">
        <v>42</v>
      </c>
      <c r="E124" s="33" t="n">
        <f aca="false">IF(D124="totale",(C124/(A124*24))/F124,IF(D124="marché libre",(C124/(A124*24))/G124,"spécifier histo"))</f>
        <v>0.634457210192959</v>
      </c>
      <c r="F124" s="9" t="n">
        <v>1825</v>
      </c>
      <c r="G124" s="9" t="n">
        <f aca="false">F124-H124</f>
        <v>1825</v>
      </c>
      <c r="H124" s="9" t="n">
        <v>0</v>
      </c>
      <c r="I124" s="26"/>
      <c r="J124" s="0"/>
      <c r="K124" s="103"/>
      <c r="L124" s="0"/>
      <c r="P124" s="0"/>
      <c r="Y124" s="0"/>
      <c r="AG124" s="0"/>
    </row>
    <row r="125" customFormat="false" ht="13.5" hidden="false" customHeight="true" outlineLevel="0" collapsed="false">
      <c r="A125" s="0" t="n">
        <v>31</v>
      </c>
      <c r="B125" s="34" t="n">
        <v>40026</v>
      </c>
      <c r="C125" s="497" t="n">
        <v>516466</v>
      </c>
      <c r="D125" s="29" t="s">
        <v>42</v>
      </c>
      <c r="E125" s="33" t="n">
        <f aca="false">IF(D125="totale",(C125/(A125*24))/F125,IF(D125="marché libre",(C125/(A125*24))/G125,"spécifier histo"))</f>
        <v>0.3803697157166</v>
      </c>
      <c r="F125" s="9" t="n">
        <v>1825</v>
      </c>
      <c r="G125" s="9" t="n">
        <f aca="false">F125-H125</f>
        <v>1825</v>
      </c>
      <c r="H125" s="9" t="n">
        <v>0</v>
      </c>
      <c r="I125" s="26"/>
      <c r="J125" s="0"/>
      <c r="K125" s="103"/>
      <c r="L125" s="0"/>
      <c r="P125" s="0"/>
      <c r="Y125" s="0"/>
      <c r="AG125" s="0"/>
    </row>
    <row r="126" customFormat="false" ht="13.5" hidden="false" customHeight="true" outlineLevel="0" collapsed="false">
      <c r="A126" s="0" t="n">
        <v>30</v>
      </c>
      <c r="B126" s="31" t="n">
        <v>40057</v>
      </c>
      <c r="C126" s="497" t="n">
        <v>281489</v>
      </c>
      <c r="D126" s="29" t="s">
        <v>42</v>
      </c>
      <c r="E126" s="33" t="n">
        <f aca="false">IF(D126="totale",(C126/(A126*24))/F126,IF(D126="marché libre",(C126/(A126*24))/G126,"spécifier histo"))</f>
        <v>0.21422298325723</v>
      </c>
      <c r="F126" s="9" t="n">
        <v>1825</v>
      </c>
      <c r="G126" s="9" t="n">
        <f aca="false">F126-H126</f>
        <v>1825</v>
      </c>
      <c r="H126" s="9" t="n">
        <v>0</v>
      </c>
      <c r="I126" s="26"/>
      <c r="J126" s="0"/>
      <c r="K126" s="103"/>
      <c r="L126" s="0"/>
      <c r="P126" s="0"/>
      <c r="Y126" s="0"/>
      <c r="AG126" s="0"/>
    </row>
    <row r="127" customFormat="false" ht="13.5" hidden="false" customHeight="true" outlineLevel="0" collapsed="false">
      <c r="A127" s="0" t="n">
        <v>31</v>
      </c>
      <c r="B127" s="34" t="n">
        <v>40087</v>
      </c>
      <c r="C127" s="497" t="n">
        <v>477928</v>
      </c>
      <c r="D127" s="29" t="s">
        <v>42</v>
      </c>
      <c r="E127" s="33" t="n">
        <f aca="false">IF(D127="totale",(C127/(A127*24))/F127,IF(D127="marché libre",(C127/(A127*24))/G127,"spécifier histo"))</f>
        <v>0.351987037855354</v>
      </c>
      <c r="F127" s="9" t="n">
        <v>1825</v>
      </c>
      <c r="G127" s="9" t="n">
        <f aca="false">F127-H127</f>
        <v>1825</v>
      </c>
      <c r="H127" s="9" t="n">
        <v>0</v>
      </c>
      <c r="I127" s="26"/>
      <c r="J127" s="0"/>
      <c r="K127" s="103"/>
      <c r="L127" s="0"/>
      <c r="P127" s="0"/>
      <c r="Y127" s="0"/>
      <c r="AG127" s="0"/>
    </row>
    <row r="128" customFormat="false" ht="13.5" hidden="false" customHeight="true" outlineLevel="0" collapsed="false">
      <c r="A128" s="0" t="n">
        <v>30</v>
      </c>
      <c r="B128" s="31" t="n">
        <v>40118</v>
      </c>
      <c r="C128" s="497" t="n">
        <v>671213</v>
      </c>
      <c r="D128" s="29" t="s">
        <v>42</v>
      </c>
      <c r="E128" s="33" t="n">
        <f aca="false">IF(D128="totale",(C128/(A128*24))/F128,IF(D128="marché libre",(C128/(A128*24))/G128,"spécifier histo"))</f>
        <v>0.510816590563166</v>
      </c>
      <c r="F128" s="9" t="n">
        <v>1825</v>
      </c>
      <c r="G128" s="9" t="n">
        <f aca="false">F128-H128</f>
        <v>1825</v>
      </c>
      <c r="H128" s="9" t="n">
        <v>0</v>
      </c>
      <c r="I128" s="26"/>
      <c r="J128" s="0"/>
      <c r="K128" s="103"/>
      <c r="L128" s="0"/>
      <c r="P128" s="0"/>
      <c r="Y128" s="0"/>
      <c r="AG128" s="0"/>
    </row>
    <row r="129" customFormat="false" ht="13.5" hidden="false" customHeight="true" outlineLevel="0" collapsed="false">
      <c r="A129" s="0" t="n">
        <v>31</v>
      </c>
      <c r="B129" s="34" t="n">
        <v>40148</v>
      </c>
      <c r="C129" s="289" t="n">
        <v>897589</v>
      </c>
      <c r="D129" s="29" t="s">
        <v>42</v>
      </c>
      <c r="E129" s="33" t="n">
        <f aca="false">IF(D129="totale",(C129/(A129*24))/F129,IF(D129="marché libre",(C129/(A129*24))/G129,"spécifier histo"))</f>
        <v>0.661061275592871</v>
      </c>
      <c r="F129" s="9" t="n">
        <v>1825</v>
      </c>
      <c r="G129" s="9" t="n">
        <f aca="false">F129-H129</f>
        <v>1825</v>
      </c>
      <c r="H129" s="9" t="n">
        <v>0</v>
      </c>
      <c r="I129" s="26"/>
      <c r="J129" s="0"/>
      <c r="K129" s="103"/>
      <c r="L129" s="0"/>
      <c r="Y129" s="0"/>
      <c r="AG129" s="0"/>
    </row>
    <row r="130" customFormat="false" ht="13.5" hidden="false" customHeight="true" outlineLevel="0" collapsed="false">
      <c r="A130" s="0" t="n">
        <v>31</v>
      </c>
      <c r="B130" s="31" t="n">
        <v>40179</v>
      </c>
      <c r="C130" s="142" t="n">
        <v>952734</v>
      </c>
      <c r="D130" s="29" t="s">
        <v>42</v>
      </c>
      <c r="E130" s="33" t="n">
        <f aca="false">IF(D130="totale",(C130/(A130*24))/F130,IF(D130="marché libre",(C130/(A130*24))/G130,"spécifier histo"))</f>
        <v>0.70167476800707</v>
      </c>
      <c r="F130" s="9" t="n">
        <v>1825</v>
      </c>
      <c r="G130" s="9" t="n">
        <f aca="false">F130-H130</f>
        <v>1825</v>
      </c>
      <c r="H130" s="9" t="n">
        <v>0</v>
      </c>
      <c r="I130" s="26"/>
      <c r="J130" s="0"/>
      <c r="K130" s="103"/>
      <c r="L130" s="0"/>
      <c r="Y130" s="0"/>
      <c r="AG130" s="0"/>
    </row>
    <row r="131" customFormat="false" ht="13.5" hidden="false" customHeight="true" outlineLevel="0" collapsed="false">
      <c r="A131" s="0" t="n">
        <v>28</v>
      </c>
      <c r="B131" s="34" t="n">
        <v>40210</v>
      </c>
      <c r="C131" s="142" t="n">
        <v>940069</v>
      </c>
      <c r="D131" s="29" t="s">
        <v>42</v>
      </c>
      <c r="E131" s="33" t="n">
        <f aca="false">IF(D131="totale",(C131/(A131*24))/F131,IF(D131="marché libre",(C131/(A131*24))/G131,"spécifier histo"))</f>
        <v>0.766527234181344</v>
      </c>
      <c r="F131" s="9" t="n">
        <v>1825</v>
      </c>
      <c r="G131" s="9" t="n">
        <f aca="false">F131-H131</f>
        <v>1825</v>
      </c>
      <c r="H131" s="9" t="n">
        <v>0</v>
      </c>
      <c r="I131" s="26"/>
      <c r="J131" s="0"/>
      <c r="K131" s="103"/>
      <c r="L131" s="0"/>
      <c r="Y131" s="0"/>
      <c r="AG131" s="0"/>
    </row>
    <row r="132" customFormat="false" ht="13.5" hidden="false" customHeight="true" outlineLevel="0" collapsed="false">
      <c r="A132" s="0" t="n">
        <v>31</v>
      </c>
      <c r="B132" s="31" t="n">
        <v>40238</v>
      </c>
      <c r="C132" s="142" t="n">
        <v>1030166</v>
      </c>
      <c r="D132" s="29" t="s">
        <v>42</v>
      </c>
      <c r="E132" s="33" t="n">
        <f aca="false">IF(D132="totale",(C132/(A132*24))/F132,IF(D132="marché libre",(C132/(A132*24))/G132,"spécifier histo"))</f>
        <v>0.758702312564443</v>
      </c>
      <c r="F132" s="9" t="n">
        <v>1825</v>
      </c>
      <c r="G132" s="9" t="n">
        <f aca="false">F132-H132</f>
        <v>1825</v>
      </c>
      <c r="H132" s="9" t="n">
        <v>0</v>
      </c>
      <c r="I132" s="26"/>
      <c r="J132" s="0"/>
      <c r="K132" s="103"/>
      <c r="L132" s="0"/>
      <c r="Y132" s="0"/>
      <c r="AG132" s="0"/>
    </row>
    <row r="133" customFormat="false" ht="13.5" hidden="false" customHeight="true" outlineLevel="0" collapsed="false">
      <c r="A133" s="0" t="n">
        <v>30</v>
      </c>
      <c r="B133" s="34" t="n">
        <v>40269</v>
      </c>
      <c r="C133" s="142" t="n">
        <v>985759</v>
      </c>
      <c r="D133" s="29" t="s">
        <v>42</v>
      </c>
      <c r="E133" s="33" t="n">
        <f aca="false">IF(D133="totale",(C133/(A133*24))/F133,IF(D133="marché libre",(C133/(A133*24))/G133,"spécifier histo"))</f>
        <v>0.750197108066971</v>
      </c>
      <c r="F133" s="9" t="n">
        <v>1825</v>
      </c>
      <c r="G133" s="9" t="n">
        <f aca="false">F133-H133</f>
        <v>1825</v>
      </c>
      <c r="H133" s="9" t="n">
        <v>0</v>
      </c>
      <c r="I133" s="26"/>
      <c r="J133" s="0"/>
      <c r="K133" s="103"/>
      <c r="L133" s="0"/>
      <c r="Y133" s="0"/>
      <c r="AG133" s="0"/>
    </row>
    <row r="134" customFormat="false" ht="13.5" hidden="false" customHeight="true" outlineLevel="0" collapsed="false">
      <c r="A134" s="0" t="n">
        <v>31</v>
      </c>
      <c r="B134" s="31" t="n">
        <v>40299</v>
      </c>
      <c r="C134" s="142" t="n">
        <v>878381</v>
      </c>
      <c r="D134" s="29" t="s">
        <v>42</v>
      </c>
      <c r="E134" s="33" t="n">
        <f aca="false">IF(D134="totale",(C134/(A134*24))/F134,IF(D134="marché libre",(C134/(A134*24))/G134,"spécifier histo"))</f>
        <v>0.646914862277213</v>
      </c>
      <c r="F134" s="9" t="n">
        <v>1825</v>
      </c>
      <c r="G134" s="9" t="n">
        <f aca="false">F134-H134</f>
        <v>1825</v>
      </c>
      <c r="H134" s="9" t="n">
        <v>0</v>
      </c>
      <c r="I134" s="26"/>
      <c r="J134" s="0"/>
      <c r="K134" s="103"/>
      <c r="L134" s="0"/>
      <c r="Y134" s="0"/>
      <c r="AG134" s="0"/>
    </row>
    <row r="135" customFormat="false" ht="13.5" hidden="false" customHeight="true" outlineLevel="0" collapsed="false">
      <c r="A135" s="0" t="n">
        <v>30</v>
      </c>
      <c r="B135" s="34" t="n">
        <v>40330</v>
      </c>
      <c r="C135" s="142" t="n">
        <v>903715</v>
      </c>
      <c r="D135" s="29" t="s">
        <v>42</v>
      </c>
      <c r="E135" s="33" t="n">
        <f aca="false">IF(D135="totale",(C135/(A135*24))/F135,IF(D135="marché libre",(C135/(A135*24))/G135,"spécifier histo"))</f>
        <v>0.687758751902588</v>
      </c>
      <c r="F135" s="9" t="n">
        <v>1825</v>
      </c>
      <c r="G135" s="9" t="n">
        <f aca="false">F135-H135</f>
        <v>1825</v>
      </c>
      <c r="H135" s="9" t="n">
        <v>0</v>
      </c>
      <c r="I135" s="26"/>
      <c r="J135" s="0"/>
      <c r="K135" s="103"/>
      <c r="Y135" s="0"/>
      <c r="AG135" s="0"/>
    </row>
    <row r="136" customFormat="false" ht="13.5" hidden="false" customHeight="true" outlineLevel="0" collapsed="false">
      <c r="A136" s="0" t="n">
        <v>31</v>
      </c>
      <c r="B136" s="31" t="n">
        <v>40360</v>
      </c>
      <c r="C136" s="142" t="n">
        <v>1000403</v>
      </c>
      <c r="D136" s="29" t="s">
        <v>42</v>
      </c>
      <c r="E136" s="33" t="n">
        <f aca="false">IF(D136="totale",(C136/(A136*24))/F136,IF(D136="marché libre",(C136/(A136*24))/G136,"spécifier histo"))</f>
        <v>0.736782294888791</v>
      </c>
      <c r="F136" s="9" t="n">
        <v>1825</v>
      </c>
      <c r="G136" s="9" t="n">
        <f aca="false">F136-H136</f>
        <v>1825</v>
      </c>
      <c r="H136" s="9" t="n">
        <v>0</v>
      </c>
      <c r="I136" s="26"/>
      <c r="J136" s="0"/>
      <c r="K136" s="103"/>
      <c r="Y136" s="0"/>
      <c r="AG136" s="0"/>
    </row>
    <row r="137" customFormat="false" ht="13.5" hidden="false" customHeight="true" outlineLevel="0" collapsed="false">
      <c r="A137" s="0" t="n">
        <v>31</v>
      </c>
      <c r="B137" s="34" t="n">
        <v>40391</v>
      </c>
      <c r="C137" s="142" t="n">
        <v>657205</v>
      </c>
      <c r="D137" s="29" t="s">
        <v>42</v>
      </c>
      <c r="E137" s="33" t="n">
        <f aca="false">IF(D137="totale",(C137/(A137*24))/F137,IF(D137="marché libre",(C137/(A137*24))/G137,"spécifier histo"))</f>
        <v>0.484021947267639</v>
      </c>
      <c r="F137" s="9" t="n">
        <v>1825</v>
      </c>
      <c r="G137" s="9" t="n">
        <f aca="false">F137-H137</f>
        <v>1825</v>
      </c>
      <c r="H137" s="9" t="n">
        <v>0</v>
      </c>
      <c r="I137" s="26"/>
      <c r="J137" s="0"/>
      <c r="K137" s="103"/>
      <c r="Y137" s="0"/>
      <c r="AG137" s="0"/>
    </row>
    <row r="138" customFormat="false" ht="13.5" hidden="false" customHeight="true" outlineLevel="0" collapsed="false">
      <c r="A138" s="0" t="n">
        <v>30</v>
      </c>
      <c r="B138" s="31" t="n">
        <v>40422</v>
      </c>
      <c r="C138" s="142" t="n">
        <v>369158</v>
      </c>
      <c r="D138" s="29" t="s">
        <v>42</v>
      </c>
      <c r="E138" s="33" t="n">
        <f aca="false">IF(D138="totale",(C138/(A138*24))/F138,IF(D138="marché libre",(C138/(A138*24))/G138,"spécifier histo"))</f>
        <v>0.280942161339422</v>
      </c>
      <c r="F138" s="9" t="n">
        <v>1825</v>
      </c>
      <c r="G138" s="9" t="n">
        <f aca="false">F138-H138</f>
        <v>1825</v>
      </c>
      <c r="H138" s="9" t="n">
        <v>0</v>
      </c>
      <c r="I138" s="26"/>
      <c r="J138" s="0"/>
      <c r="K138" s="103"/>
      <c r="Y138" s="0"/>
      <c r="AG138" s="0"/>
    </row>
    <row r="139" customFormat="false" ht="13.5" hidden="false" customHeight="true" outlineLevel="0" collapsed="false">
      <c r="A139" s="0" t="n">
        <v>31</v>
      </c>
      <c r="B139" s="34" t="n">
        <v>40452</v>
      </c>
      <c r="C139" s="142" t="n">
        <v>327592</v>
      </c>
      <c r="D139" s="29" t="s">
        <v>42</v>
      </c>
      <c r="E139" s="33" t="n">
        <f aca="false">IF(D139="totale",(C139/(A139*24))/F139,IF(D139="marché libre",(C139/(A139*24))/G139,"spécifier histo"))</f>
        <v>0.241266755044926</v>
      </c>
      <c r="F139" s="9" t="n">
        <v>1825</v>
      </c>
      <c r="G139" s="9" t="n">
        <f aca="false">F139-H139</f>
        <v>1825</v>
      </c>
      <c r="H139" s="9" t="n">
        <v>0</v>
      </c>
      <c r="I139" s="26"/>
      <c r="J139" s="0"/>
      <c r="K139" s="103"/>
      <c r="Y139" s="0"/>
      <c r="AG139" s="0"/>
    </row>
    <row r="140" customFormat="false" ht="13.5" hidden="false" customHeight="true" outlineLevel="0" collapsed="false">
      <c r="A140" s="0" t="n">
        <v>30</v>
      </c>
      <c r="B140" s="31" t="n">
        <v>40483</v>
      </c>
      <c r="C140" s="497" t="n">
        <v>504087</v>
      </c>
      <c r="D140" s="29" t="s">
        <v>42</v>
      </c>
      <c r="E140" s="33" t="n">
        <f aca="false">IF(D140="totale",(C140/(A140*24))/F140,IF(D140="marché libre",(C140/(A140*24))/G140,"spécifier histo"))</f>
        <v>0.383627853881279</v>
      </c>
      <c r="F140" s="9" t="n">
        <v>1825</v>
      </c>
      <c r="G140" s="9" t="n">
        <f aca="false">F140-H140</f>
        <v>1825</v>
      </c>
      <c r="H140" s="9" t="n">
        <v>0</v>
      </c>
      <c r="I140" s="26"/>
      <c r="J140" s="0"/>
      <c r="K140" s="103"/>
      <c r="Y140" s="0"/>
      <c r="AG140" s="0"/>
    </row>
    <row r="141" customFormat="false" ht="13.5" hidden="false" customHeight="true" outlineLevel="0" collapsed="false">
      <c r="A141" s="0" t="n">
        <v>31</v>
      </c>
      <c r="B141" s="34" t="n">
        <v>40513</v>
      </c>
      <c r="C141" s="0" t="n">
        <v>871310</v>
      </c>
      <c r="D141" s="29" t="s">
        <v>42</v>
      </c>
      <c r="E141" s="33" t="n">
        <f aca="false">IF(D141="totale",(C141/(A141*24))/F141,IF(D141="marché libre",(C141/(A141*24))/G141,"spécifier histo"))</f>
        <v>0.641707173368685</v>
      </c>
      <c r="F141" s="9" t="n">
        <v>1825</v>
      </c>
      <c r="G141" s="9" t="n">
        <f aca="false">F141-H141</f>
        <v>1825</v>
      </c>
      <c r="H141" s="9" t="n">
        <v>0</v>
      </c>
      <c r="I141" s="26"/>
      <c r="J141" s="0"/>
      <c r="K141" s="103"/>
      <c r="Y141" s="0"/>
      <c r="AG141" s="0"/>
    </row>
    <row r="142" customFormat="false" ht="13.5" hidden="false" customHeight="true" outlineLevel="0" collapsed="false">
      <c r="A142" s="0" t="n">
        <v>31</v>
      </c>
      <c r="B142" s="31" t="n">
        <v>40544</v>
      </c>
      <c r="C142" s="142" t="n">
        <v>731427</v>
      </c>
      <c r="D142" s="29" t="s">
        <v>42</v>
      </c>
      <c r="E142" s="33" t="n">
        <f aca="false">IF(D142="totale",(C142/(A142*24))/F142,IF(D142="marché libre",(C142/(A142*24))/G142,"spécifier histo"))</f>
        <v>0.538685373398144</v>
      </c>
      <c r="F142" s="9" t="n">
        <v>1825</v>
      </c>
      <c r="G142" s="9" t="n">
        <f aca="false">F142-H142</f>
        <v>1825</v>
      </c>
      <c r="H142" s="9" t="n">
        <v>0</v>
      </c>
      <c r="I142" s="26"/>
      <c r="J142" s="0"/>
      <c r="K142" s="103"/>
      <c r="Y142" s="0"/>
      <c r="AG142" s="0"/>
    </row>
    <row r="143" customFormat="false" ht="13.5" hidden="false" customHeight="true" outlineLevel="0" collapsed="false">
      <c r="A143" s="0" t="n">
        <v>28</v>
      </c>
      <c r="B143" s="34" t="n">
        <v>40575</v>
      </c>
      <c r="C143" s="142" t="n">
        <v>652297</v>
      </c>
      <c r="D143" s="29" t="s">
        <v>42</v>
      </c>
      <c r="E143" s="33" t="n">
        <f aca="false">IF(D143="totale",(C143/(A143*24))/F143,IF(D143="marché libre",(C143/(A143*24))/G143,"spécifier histo"))</f>
        <v>0.531879484670581</v>
      </c>
      <c r="F143" s="9" t="n">
        <v>1825</v>
      </c>
      <c r="G143" s="9" t="n">
        <f aca="false">F143-H143</f>
        <v>1825</v>
      </c>
      <c r="H143" s="9" t="n">
        <v>0</v>
      </c>
      <c r="I143" s="26"/>
      <c r="J143" s="0"/>
      <c r="K143" s="103"/>
      <c r="Y143" s="0"/>
      <c r="AG143" s="0"/>
    </row>
    <row r="144" customFormat="false" ht="13.5" hidden="false" customHeight="true" outlineLevel="0" collapsed="false">
      <c r="A144" s="0" t="n">
        <v>31</v>
      </c>
      <c r="B144" s="31" t="n">
        <v>40603</v>
      </c>
      <c r="C144" s="142" t="n">
        <v>988227</v>
      </c>
      <c r="D144" s="29" t="s">
        <v>42</v>
      </c>
      <c r="E144" s="33" t="n">
        <f aca="false">IF(D144="totale",(C144/(A144*24))/F144,IF(D144="marché libre",(C144/(A144*24))/G144,"spécifier histo"))</f>
        <v>0.727814847547503</v>
      </c>
      <c r="F144" s="9" t="n">
        <v>1825</v>
      </c>
      <c r="G144" s="9" t="n">
        <f aca="false">F144-H144</f>
        <v>1825</v>
      </c>
      <c r="H144" s="9" t="n">
        <v>0</v>
      </c>
      <c r="I144" s="26"/>
      <c r="J144" s="0"/>
      <c r="K144" s="103"/>
      <c r="Y144" s="0"/>
      <c r="AG144" s="0"/>
    </row>
    <row r="145" customFormat="false" ht="13.5" hidden="false" customHeight="true" outlineLevel="0" collapsed="false">
      <c r="A145" s="0" t="n">
        <v>30</v>
      </c>
      <c r="B145" s="34" t="n">
        <v>40634</v>
      </c>
      <c r="C145" s="142" t="n">
        <v>1005166</v>
      </c>
      <c r="D145" s="29" t="s">
        <v>42</v>
      </c>
      <c r="E145" s="33" t="n">
        <f aca="false">IF(D145="totale",(C145/(A145*24))/F145,IF(D145="marché libre",(C145/(A145*24))/G145,"spécifier histo"))</f>
        <v>0.764966514459665</v>
      </c>
      <c r="F145" s="9" t="n">
        <v>1825</v>
      </c>
      <c r="G145" s="9" t="n">
        <f aca="false">F145-H145</f>
        <v>1825</v>
      </c>
      <c r="H145" s="9" t="n">
        <v>0</v>
      </c>
      <c r="I145" s="26"/>
      <c r="J145" s="0"/>
      <c r="K145" s="103"/>
      <c r="Y145" s="0"/>
      <c r="AG145" s="0"/>
    </row>
    <row r="146" customFormat="false" ht="13.5" hidden="false" customHeight="true" outlineLevel="0" collapsed="false">
      <c r="A146" s="0" t="n">
        <v>31</v>
      </c>
      <c r="B146" s="31" t="n">
        <v>40664</v>
      </c>
      <c r="C146" s="142" t="n">
        <v>1065184</v>
      </c>
      <c r="D146" s="29" t="s">
        <v>42</v>
      </c>
      <c r="E146" s="33" t="n">
        <f aca="false">IF(D146="totale",(C146/(A146*24))/F146,IF(D146="marché libre",(C146/(A146*24))/G146,"spécifier histo"))</f>
        <v>0.784492561496539</v>
      </c>
      <c r="F146" s="9" t="n">
        <v>1825</v>
      </c>
      <c r="G146" s="9" t="n">
        <f aca="false">F146-H146</f>
        <v>1825</v>
      </c>
      <c r="H146" s="9" t="n">
        <v>0</v>
      </c>
      <c r="I146" s="26"/>
      <c r="J146" s="0"/>
      <c r="K146" s="103"/>
      <c r="Y146" s="0"/>
      <c r="AG146" s="0"/>
    </row>
    <row r="147" customFormat="false" ht="13.5" hidden="false" customHeight="true" outlineLevel="0" collapsed="false">
      <c r="A147" s="0" t="n">
        <v>30</v>
      </c>
      <c r="B147" s="34" t="n">
        <v>40695</v>
      </c>
      <c r="C147" s="142" t="n">
        <v>946825</v>
      </c>
      <c r="D147" s="29" t="s">
        <v>42</v>
      </c>
      <c r="E147" s="33" t="n">
        <f aca="false">IF(D147="totale",(C147/(A147*24))/F147,IF(D147="marché libre",(C147/(A147*24))/G147,"spécifier histo"))</f>
        <v>0.72056697108067</v>
      </c>
      <c r="F147" s="9" t="n">
        <v>1825</v>
      </c>
      <c r="G147" s="9" t="n">
        <f aca="false">F147-H147</f>
        <v>1825</v>
      </c>
      <c r="H147" s="9" t="n">
        <v>0</v>
      </c>
      <c r="I147" s="26"/>
      <c r="J147" s="0"/>
      <c r="K147" s="103"/>
      <c r="Y147" s="0"/>
      <c r="AG147" s="0"/>
    </row>
    <row r="148" customFormat="false" ht="13.5" hidden="false" customHeight="true" outlineLevel="0" collapsed="false">
      <c r="A148" s="0" t="n">
        <v>31</v>
      </c>
      <c r="B148" s="31" t="n">
        <v>40725</v>
      </c>
      <c r="C148" s="142" t="n">
        <v>669067</v>
      </c>
      <c r="D148" s="29" t="s">
        <v>42</v>
      </c>
      <c r="E148" s="33" t="n">
        <f aca="false">IF(D148="totale",(C148/(A148*24))/F148,IF(D148="marché libre",(C148/(A148*24))/G148,"spécifier histo"))</f>
        <v>0.492758138164678</v>
      </c>
      <c r="F148" s="9" t="n">
        <v>1825</v>
      </c>
      <c r="G148" s="9" t="n">
        <f aca="false">F148-H148</f>
        <v>1825</v>
      </c>
      <c r="H148" s="9" t="n">
        <v>0</v>
      </c>
      <c r="I148" s="26"/>
      <c r="J148" s="0"/>
      <c r="K148" s="103"/>
      <c r="Y148" s="0"/>
      <c r="AG148" s="0"/>
    </row>
    <row r="149" customFormat="false" ht="13.5" hidden="false" customHeight="true" outlineLevel="0" collapsed="false">
      <c r="A149" s="0" t="n">
        <v>31</v>
      </c>
      <c r="B149" s="34" t="n">
        <v>40756</v>
      </c>
      <c r="C149" s="142" t="n">
        <v>659004</v>
      </c>
      <c r="D149" s="29" t="s">
        <v>42</v>
      </c>
      <c r="E149" s="33" t="n">
        <f aca="false">IF(D149="totale",(C149/(A149*24))/F149,IF(D149="marché libre",(C149/(A149*24))/G149,"spécifier histo"))</f>
        <v>0.485346884666372</v>
      </c>
      <c r="F149" s="9" t="n">
        <v>1825</v>
      </c>
      <c r="G149" s="9" t="n">
        <f aca="false">F149-H149</f>
        <v>1825</v>
      </c>
      <c r="H149" s="9" t="n">
        <v>0</v>
      </c>
      <c r="I149" s="26"/>
      <c r="J149" s="0"/>
      <c r="K149" s="103"/>
      <c r="Y149" s="0"/>
      <c r="AG149" s="0"/>
    </row>
    <row r="150" customFormat="false" ht="13.5" hidden="false" customHeight="true" outlineLevel="0" collapsed="false">
      <c r="A150" s="0" t="n">
        <v>30</v>
      </c>
      <c r="B150" s="31" t="n">
        <v>40787</v>
      </c>
      <c r="C150" s="142" t="n">
        <v>492027</v>
      </c>
      <c r="D150" s="29" t="s">
        <v>42</v>
      </c>
      <c r="E150" s="33" t="n">
        <f aca="false">IF(D150="totale",(C150/(A150*24))/F150,IF(D150="marché libre",(C150/(A150*24))/G150,"spécifier histo"))</f>
        <v>0.374449771689498</v>
      </c>
      <c r="F150" s="9" t="n">
        <v>1825</v>
      </c>
      <c r="G150" s="9" t="n">
        <f aca="false">F150-H150</f>
        <v>1825</v>
      </c>
      <c r="H150" s="9" t="n">
        <v>0</v>
      </c>
      <c r="I150" s="26"/>
      <c r="J150" s="0"/>
      <c r="K150" s="103"/>
      <c r="Y150" s="0"/>
      <c r="AG150" s="0"/>
    </row>
    <row r="151" customFormat="false" ht="13.5" hidden="false" customHeight="true" outlineLevel="0" collapsed="false">
      <c r="A151" s="0" t="n">
        <v>31</v>
      </c>
      <c r="B151" s="34" t="n">
        <v>40817</v>
      </c>
      <c r="C151" s="142" t="n">
        <v>349651</v>
      </c>
      <c r="D151" s="29" t="s">
        <v>42</v>
      </c>
      <c r="E151" s="33" t="n">
        <f aca="false">IF(D151="totale",(C151/(A151*24))/F151,IF(D151="marché libre",(C151/(A151*24))/G151,"spécifier histo"))</f>
        <v>0.257512888496097</v>
      </c>
      <c r="F151" s="9" t="n">
        <v>1825</v>
      </c>
      <c r="G151" s="9" t="n">
        <f aca="false">F151-H151</f>
        <v>1825</v>
      </c>
      <c r="H151" s="9" t="n">
        <v>0</v>
      </c>
      <c r="I151" s="26"/>
      <c r="J151" s="0"/>
      <c r="K151" s="103"/>
      <c r="Y151" s="0"/>
      <c r="AG151" s="0"/>
    </row>
    <row r="152" customFormat="false" ht="13.5" hidden="false" customHeight="true" outlineLevel="0" collapsed="false">
      <c r="A152" s="0" t="n">
        <v>30</v>
      </c>
      <c r="B152" s="31" t="n">
        <v>40848</v>
      </c>
      <c r="C152" s="497" t="n">
        <v>663709</v>
      </c>
      <c r="D152" s="29" t="s">
        <v>42</v>
      </c>
      <c r="E152" s="33" t="n">
        <f aca="false">IF(D152="totale",(C152/(A152*24))/F152,IF(D152="marché libre",(C152/(A152*24))/G152,"spécifier histo"))</f>
        <v>0.505105783866058</v>
      </c>
      <c r="F152" s="9" t="n">
        <v>1825</v>
      </c>
      <c r="G152" s="9" t="n">
        <f aca="false">F152-H152</f>
        <v>1825</v>
      </c>
      <c r="H152" s="9" t="n">
        <v>0</v>
      </c>
      <c r="I152" s="26"/>
      <c r="J152" s="0"/>
      <c r="K152" s="103"/>
      <c r="Y152" s="0"/>
      <c r="AG152" s="0"/>
    </row>
    <row r="153" customFormat="false" ht="13.5" hidden="false" customHeight="true" outlineLevel="0" collapsed="false">
      <c r="A153" s="0" t="n">
        <v>31</v>
      </c>
      <c r="B153" s="34" t="n">
        <v>40878</v>
      </c>
      <c r="C153" s="0" t="n">
        <v>734014</v>
      </c>
      <c r="D153" s="29" t="s">
        <v>42</v>
      </c>
      <c r="E153" s="33" t="n">
        <f aca="false">IF(D153="totale",(C153/(A153*24))/F153,IF(D153="marché libre",(C153/(A153*24))/G153,"spécifier histo"))</f>
        <v>0.540590661363971</v>
      </c>
      <c r="F153" s="9" t="n">
        <v>1825</v>
      </c>
      <c r="G153" s="9" t="n">
        <f aca="false">F153-H153</f>
        <v>1825</v>
      </c>
      <c r="H153" s="9" t="n">
        <v>0</v>
      </c>
      <c r="J153" s="0"/>
      <c r="K153" s="103"/>
      <c r="Y153" s="0"/>
    </row>
    <row r="154" customFormat="false" ht="13.5" hidden="false" customHeight="true" outlineLevel="0" collapsed="false">
      <c r="A154" s="0" t="n">
        <v>31</v>
      </c>
      <c r="B154" s="31" t="n">
        <v>40909</v>
      </c>
      <c r="C154" s="142" t="n">
        <v>804413</v>
      </c>
      <c r="D154" s="29" t="s">
        <v>42</v>
      </c>
      <c r="E154" s="33" t="n">
        <f aca="false">IF(D154="totale",(C154/(A154*24))/F154,IF(D154="marché libre",(C154/(A154*24))/G154,"spécifier histo"))</f>
        <v>0.592438503461482</v>
      </c>
      <c r="F154" s="9" t="n">
        <v>1825</v>
      </c>
      <c r="G154" s="9" t="n">
        <f aca="false">F154-H154</f>
        <v>1825</v>
      </c>
      <c r="H154" s="9" t="n">
        <v>0</v>
      </c>
      <c r="J154" s="0"/>
      <c r="K154" s="103"/>
      <c r="Y154" s="0"/>
    </row>
    <row r="155" customFormat="false" ht="13.5" hidden="false" customHeight="true" outlineLevel="0" collapsed="false">
      <c r="A155" s="0" t="n">
        <v>28</v>
      </c>
      <c r="B155" s="34" t="n">
        <v>40940</v>
      </c>
      <c r="C155" s="142" t="n">
        <v>688360</v>
      </c>
      <c r="D155" s="29" t="s">
        <v>42</v>
      </c>
      <c r="E155" s="33" t="n">
        <f aca="false">IF(D155="totale",(C155/(A155*24))/F155,IF(D155="marché libre",(C155/(A155*24))/G155,"spécifier histo"))</f>
        <v>0.561285061969994</v>
      </c>
      <c r="F155" s="9" t="n">
        <v>1825</v>
      </c>
      <c r="G155" s="9" t="n">
        <f aca="false">F155-H155</f>
        <v>1825</v>
      </c>
      <c r="H155" s="9" t="n">
        <v>0</v>
      </c>
      <c r="J155" s="0"/>
      <c r="K155" s="103"/>
      <c r="Y155" s="0"/>
    </row>
    <row r="156" customFormat="false" ht="13.5" hidden="false" customHeight="true" outlineLevel="0" collapsed="false">
      <c r="A156" s="0" t="n">
        <v>31</v>
      </c>
      <c r="B156" s="31" t="n">
        <v>40969</v>
      </c>
      <c r="C156" s="142" t="n">
        <v>695377</v>
      </c>
      <c r="D156" s="29" t="s">
        <v>42</v>
      </c>
      <c r="E156" s="33" t="n">
        <f aca="false">IF(D156="totale",(C156/(A156*24))/F156,IF(D156="marché libre",(C156/(A156*24))/G156,"spécifier histo"))</f>
        <v>0.512135071439093</v>
      </c>
      <c r="F156" s="9" t="n">
        <v>1825</v>
      </c>
      <c r="G156" s="9" t="n">
        <f aca="false">F156-H156</f>
        <v>1825</v>
      </c>
      <c r="H156" s="9" t="n">
        <v>0</v>
      </c>
      <c r="J156" s="0"/>
      <c r="K156" s="103"/>
      <c r="Y156" s="0"/>
    </row>
    <row r="157" customFormat="false" ht="13.5" hidden="false" customHeight="true" outlineLevel="0" collapsed="false">
      <c r="A157" s="0" t="n">
        <v>30</v>
      </c>
      <c r="B157" s="34" t="n">
        <v>41000</v>
      </c>
      <c r="C157" s="142" t="n">
        <v>819206</v>
      </c>
      <c r="D157" s="29" t="s">
        <v>42</v>
      </c>
      <c r="E157" s="33" t="n">
        <f aca="false">IF(D157="totale",(C157/(A157*24))/F157,IF(D157="marché libre",(C157/(A157*24))/G157,"spécifier histo"))</f>
        <v>0.623444444444444</v>
      </c>
      <c r="F157" s="9" t="n">
        <v>1825</v>
      </c>
      <c r="G157" s="9" t="n">
        <f aca="false">F157-H157</f>
        <v>1825</v>
      </c>
      <c r="H157" s="9" t="n">
        <v>0</v>
      </c>
      <c r="J157" s="0"/>
      <c r="K157" s="103"/>
      <c r="Y157" s="0"/>
    </row>
    <row r="158" customFormat="false" ht="13.5" hidden="false" customHeight="true" outlineLevel="0" collapsed="false">
      <c r="A158" s="0" t="n">
        <v>31</v>
      </c>
      <c r="B158" s="31" t="n">
        <v>41030</v>
      </c>
      <c r="C158" s="142" t="n">
        <v>814075</v>
      </c>
      <c r="D158" s="29" t="s">
        <v>42</v>
      </c>
      <c r="E158" s="33" t="n">
        <f aca="false">IF(D158="totale",(C158/(A158*24))/F158,IF(D158="marché libre",(C158/(A158*24))/G158,"spécifier histo"))</f>
        <v>0.599554426277802</v>
      </c>
      <c r="F158" s="9" t="n">
        <v>1825</v>
      </c>
      <c r="G158" s="9" t="n">
        <f aca="false">F158-H158</f>
        <v>1825</v>
      </c>
      <c r="H158" s="9" t="n">
        <v>0</v>
      </c>
      <c r="J158" s="0"/>
      <c r="K158" s="103"/>
      <c r="Y158" s="0"/>
    </row>
    <row r="159" customFormat="false" ht="13.5" hidden="false" customHeight="true" outlineLevel="0" collapsed="false">
      <c r="A159" s="0" t="n">
        <v>30</v>
      </c>
      <c r="B159" s="34" t="n">
        <v>41061</v>
      </c>
      <c r="C159" s="142" t="n">
        <v>862286</v>
      </c>
      <c r="D159" s="29" t="s">
        <v>42</v>
      </c>
      <c r="E159" s="33" t="n">
        <f aca="false">IF(D159="totale",(C159/(A159*24))/F159,IF(D159="marché libre",(C159/(A159*24))/G159,"spécifier histo"))</f>
        <v>0.656229832572298</v>
      </c>
      <c r="F159" s="9" t="n">
        <v>1825</v>
      </c>
      <c r="G159" s="9" t="n">
        <f aca="false">F159-H159</f>
        <v>1825</v>
      </c>
      <c r="H159" s="9" t="n">
        <v>0</v>
      </c>
      <c r="J159" s="103"/>
      <c r="K159" s="103"/>
      <c r="Y159" s="0"/>
    </row>
    <row r="160" customFormat="false" ht="13.5" hidden="false" customHeight="true" outlineLevel="0" collapsed="false">
      <c r="A160" s="0" t="n">
        <v>31</v>
      </c>
      <c r="B160" s="31" t="n">
        <v>41091</v>
      </c>
      <c r="C160" s="142" t="n">
        <v>617872</v>
      </c>
      <c r="D160" s="29" t="s">
        <v>42</v>
      </c>
      <c r="E160" s="33" t="n">
        <f aca="false">IF(D160="totale",(C160/(A160*24))/F160,IF(D160="marché libre",(C160/(A160*24))/G160,"spécifier histo"))</f>
        <v>0.45505376344086</v>
      </c>
      <c r="F160" s="9" t="n">
        <v>1825</v>
      </c>
      <c r="G160" s="9" t="n">
        <f aca="false">F160-H160</f>
        <v>1825</v>
      </c>
      <c r="H160" s="9" t="n">
        <v>0</v>
      </c>
      <c r="J160" s="103"/>
      <c r="K160" s="103"/>
      <c r="Y160" s="0"/>
    </row>
    <row r="161" customFormat="false" ht="13.5" hidden="false" customHeight="true" outlineLevel="0" collapsed="false">
      <c r="A161" s="0" t="n">
        <v>31</v>
      </c>
      <c r="B161" s="34" t="n">
        <v>41122</v>
      </c>
      <c r="C161" s="497" t="n">
        <v>403044</v>
      </c>
      <c r="D161" s="29" t="s">
        <v>42</v>
      </c>
      <c r="E161" s="33" t="n">
        <f aca="false">IF(D161="totale",(C161/(A161*24))/F161,IF(D161="marché libre",(C161/(A161*24))/G161,"spécifier histo"))</f>
        <v>0.296836058329651</v>
      </c>
      <c r="F161" s="9" t="n">
        <v>1825</v>
      </c>
      <c r="G161" s="9" t="n">
        <f aca="false">F161-H161</f>
        <v>1825</v>
      </c>
      <c r="H161" s="9" t="n">
        <v>0</v>
      </c>
      <c r="J161" s="103"/>
      <c r="K161" s="103"/>
      <c r="Y161" s="0"/>
    </row>
    <row r="162" customFormat="false" ht="13.5" hidden="false" customHeight="true" outlineLevel="0" collapsed="false">
      <c r="A162" s="0" t="n">
        <v>30</v>
      </c>
      <c r="B162" s="31" t="n">
        <v>41153</v>
      </c>
      <c r="C162" s="497" t="n">
        <v>268825</v>
      </c>
      <c r="D162" s="29" t="s">
        <v>42</v>
      </c>
      <c r="E162" s="33" t="n">
        <f aca="false">IF(D162="totale",(C162/(A162*24))/F162,IF(D162="marché libre",(C162/(A162*24))/G162,"spécifier histo"))</f>
        <v>0.204585235920852</v>
      </c>
      <c r="F162" s="9" t="n">
        <v>1825</v>
      </c>
      <c r="G162" s="9" t="n">
        <f aca="false">F162-H162</f>
        <v>1825</v>
      </c>
      <c r="H162" s="9" t="n">
        <v>0</v>
      </c>
      <c r="J162" s="103"/>
      <c r="K162" s="103"/>
      <c r="Y162" s="0"/>
    </row>
    <row r="163" customFormat="false" ht="13.5" hidden="false" customHeight="true" outlineLevel="0" collapsed="false">
      <c r="A163" s="0" t="n">
        <v>31</v>
      </c>
      <c r="B163" s="34" t="n">
        <v>41183</v>
      </c>
      <c r="C163" s="497" t="n">
        <v>465598</v>
      </c>
      <c r="D163" s="29" t="s">
        <v>42</v>
      </c>
      <c r="E163" s="33" t="n">
        <f aca="false">IF(D163="totale",(C163/(A163*24))/F163,IF(D163="marché libre",(C163/(A163*24))/G163,"spécifier histo"))</f>
        <v>0.342906171748417</v>
      </c>
      <c r="F163" s="9" t="n">
        <v>1825</v>
      </c>
      <c r="G163" s="9" t="n">
        <f aca="false">F163-H163</f>
        <v>1825</v>
      </c>
      <c r="H163" s="9" t="n">
        <v>0</v>
      </c>
      <c r="J163" s="103"/>
      <c r="K163" s="103"/>
      <c r="Y163" s="0"/>
    </row>
    <row r="164" customFormat="false" ht="13.5" hidden="false" customHeight="true" outlineLevel="0" collapsed="false">
      <c r="A164" s="0" t="n">
        <v>30</v>
      </c>
      <c r="B164" s="31" t="n">
        <v>41214</v>
      </c>
      <c r="C164" s="497" t="n">
        <v>674135</v>
      </c>
      <c r="D164" s="29" t="s">
        <v>42</v>
      </c>
      <c r="E164" s="33" t="n">
        <f aca="false">IF(D164="totale",(C164/(A164*24))/F164,IF(D164="marché libre",(C164/(A164*24))/G164,"spécifier histo"))</f>
        <v>0.513040334855403</v>
      </c>
      <c r="F164" s="9" t="n">
        <v>1825</v>
      </c>
      <c r="G164" s="9" t="n">
        <f aca="false">F164-H164</f>
        <v>1825</v>
      </c>
      <c r="H164" s="9" t="n">
        <v>0</v>
      </c>
      <c r="J164" s="103"/>
      <c r="K164" s="103"/>
      <c r="Y164" s="0"/>
    </row>
    <row r="165" customFormat="false" ht="13.5" hidden="false" customHeight="true" outlineLevel="0" collapsed="false">
      <c r="A165" s="0" t="n">
        <v>31</v>
      </c>
      <c r="B165" s="34" t="n">
        <v>41244</v>
      </c>
      <c r="C165" s="289" t="n">
        <v>788792</v>
      </c>
      <c r="D165" s="29" t="s">
        <v>42</v>
      </c>
      <c r="E165" s="33" t="n">
        <f aca="false">IF(D165="totale",(C165/(A165*24))/F165,IF(D165="marché libre",(C165/(A165*24))/G165,"spécifier histo"))</f>
        <v>0.580933863602887</v>
      </c>
      <c r="F165" s="9" t="n">
        <v>1825</v>
      </c>
      <c r="G165" s="9" t="n">
        <f aca="false">F165-H165</f>
        <v>1825</v>
      </c>
      <c r="H165" s="9" t="n">
        <v>0</v>
      </c>
      <c r="J165" s="103"/>
      <c r="K165" s="103"/>
      <c r="Y165" s="0"/>
    </row>
    <row r="166" customFormat="false" ht="13.5" hidden="false" customHeight="true" outlineLevel="0" collapsed="false">
      <c r="A166" s="0" t="n">
        <v>31</v>
      </c>
      <c r="B166" s="31" t="n">
        <v>41275</v>
      </c>
      <c r="C166" s="497" t="n">
        <v>580659</v>
      </c>
      <c r="D166" s="29" t="s">
        <v>42</v>
      </c>
      <c r="E166" s="33" t="n">
        <f aca="false">IF(D166="totale",(C166/(A166*24))/F166,IF(D166="marché libre",(C166/(A166*24))/G166,"spécifier histo"))</f>
        <v>0.427646928855502</v>
      </c>
      <c r="F166" s="9" t="n">
        <v>1825</v>
      </c>
      <c r="G166" s="9" t="n">
        <f aca="false">F166-H166</f>
        <v>1825</v>
      </c>
      <c r="H166" s="9" t="n">
        <v>0</v>
      </c>
      <c r="J166" s="103"/>
      <c r="K166" s="103"/>
      <c r="Y166" s="0"/>
    </row>
    <row r="167" customFormat="false" ht="13.5" hidden="false" customHeight="true" outlineLevel="0" collapsed="false">
      <c r="A167" s="0" t="n">
        <v>28</v>
      </c>
      <c r="B167" s="34" t="n">
        <v>41306</v>
      </c>
      <c r="C167" s="497" t="n">
        <v>642226</v>
      </c>
      <c r="D167" s="29" t="s">
        <v>42</v>
      </c>
      <c r="E167" s="33" t="n">
        <f aca="false">IF(D167="totale",(C167/(A167*24))/F167,IF(D167="marché libre",(C167/(A167*24))/G167,"spécifier histo"))</f>
        <v>0.523667645140248</v>
      </c>
      <c r="F167" s="9" t="n">
        <v>1825</v>
      </c>
      <c r="G167" s="9" t="n">
        <f aca="false">F167-H167</f>
        <v>1825</v>
      </c>
      <c r="H167" s="9" t="n">
        <v>0</v>
      </c>
      <c r="J167" s="103"/>
      <c r="K167" s="103"/>
      <c r="Y167" s="0"/>
    </row>
    <row r="168" customFormat="false" ht="13.5" hidden="false" customHeight="true" outlineLevel="0" collapsed="false">
      <c r="A168" s="0" t="n">
        <v>31</v>
      </c>
      <c r="B168" s="31" t="n">
        <v>41334</v>
      </c>
      <c r="C168" s="497" t="n">
        <v>908520</v>
      </c>
      <c r="D168" s="29" t="s">
        <v>42</v>
      </c>
      <c r="E168" s="33" t="n">
        <f aca="false">IF(D168="totale",(C168/(A168*24))/F168,IF(D168="marché libre",(C168/(A168*24))/G168,"spécifier histo"))</f>
        <v>0.66911179849757</v>
      </c>
      <c r="F168" s="9" t="n">
        <v>1825</v>
      </c>
      <c r="G168" s="9" t="n">
        <f aca="false">F168-H168</f>
        <v>1825</v>
      </c>
      <c r="H168" s="9" t="n">
        <v>0</v>
      </c>
      <c r="J168" s="103"/>
      <c r="K168" s="103"/>
      <c r="Y168" s="0"/>
    </row>
    <row r="169" customFormat="false" ht="13.5" hidden="false" customHeight="true" outlineLevel="0" collapsed="false">
      <c r="A169" s="0" t="n">
        <v>30</v>
      </c>
      <c r="B169" s="34" t="n">
        <v>41365</v>
      </c>
      <c r="C169" s="497" t="n">
        <v>834596</v>
      </c>
      <c r="D169" s="29" t="s">
        <v>42</v>
      </c>
      <c r="E169" s="33" t="n">
        <f aca="false">IF(D169="totale",(C169/(A169*24))/F169,IF(D169="marché libre",(C169/(A169*24))/G169,"spécifier histo"))</f>
        <v>0.635156773211568</v>
      </c>
      <c r="F169" s="9" t="n">
        <v>1825</v>
      </c>
      <c r="G169" s="9" t="n">
        <f aca="false">F169-H169</f>
        <v>1825</v>
      </c>
      <c r="H169" s="9" t="n">
        <v>0</v>
      </c>
      <c r="J169" s="103"/>
      <c r="K169" s="103"/>
      <c r="Y169" s="0"/>
    </row>
    <row r="170" customFormat="false" ht="13.5" hidden="false" customHeight="true" outlineLevel="0" collapsed="false">
      <c r="A170" s="0" t="n">
        <v>31</v>
      </c>
      <c r="B170" s="31" t="n">
        <v>41395</v>
      </c>
      <c r="C170" s="497" t="n">
        <v>718001</v>
      </c>
      <c r="D170" s="29" t="s">
        <v>42</v>
      </c>
      <c r="E170" s="33" t="n">
        <f aca="false">IF(D170="totale",(C170/(A170*24))/F170,IF(D170="marché libre",(C170/(A170*24))/G170,"spécifier histo"))</f>
        <v>0.528797319192812</v>
      </c>
      <c r="F170" s="9" t="n">
        <v>1825</v>
      </c>
      <c r="G170" s="9" t="n">
        <f aca="false">F170-H170</f>
        <v>1825</v>
      </c>
      <c r="H170" s="9" t="n">
        <v>0</v>
      </c>
      <c r="J170" s="103"/>
      <c r="K170" s="103"/>
      <c r="Y170" s="0"/>
    </row>
    <row r="171" customFormat="false" ht="13.5" hidden="false" customHeight="true" outlineLevel="0" collapsed="false">
      <c r="A171" s="0" t="n">
        <v>30</v>
      </c>
      <c r="B171" s="34" t="n">
        <v>41426</v>
      </c>
      <c r="C171" s="497" t="n">
        <v>248055</v>
      </c>
      <c r="D171" s="29" t="s">
        <v>42</v>
      </c>
      <c r="E171" s="33" t="n">
        <f aca="false">IF(D171="totale",(C171/(A171*24))/F171,IF(D171="marché libre",(C171/(A171*24))/G171,"spécifier histo"))</f>
        <v>0.188778538812785</v>
      </c>
      <c r="F171" s="9" t="n">
        <v>1825</v>
      </c>
      <c r="G171" s="9" t="n">
        <f aca="false">F171-H171</f>
        <v>1825</v>
      </c>
      <c r="H171" s="9" t="n">
        <v>0</v>
      </c>
      <c r="I171" s="1"/>
      <c r="J171" s="117"/>
      <c r="Y171" s="0"/>
    </row>
    <row r="172" customFormat="false" ht="13.5" hidden="false" customHeight="true" outlineLevel="0" collapsed="false">
      <c r="A172" s="0" t="n">
        <v>31</v>
      </c>
      <c r="B172" s="31" t="n">
        <v>41456</v>
      </c>
      <c r="C172" s="497" t="n">
        <v>713218</v>
      </c>
      <c r="D172" s="29" t="s">
        <v>42</v>
      </c>
      <c r="E172" s="33" t="n">
        <f aca="false">IF(D172="totale",(C172/(A172*24))/F172,IF(D172="marché libre",(C172/(A172*24))/G172,"spécifier histo"))</f>
        <v>0.525274709088231</v>
      </c>
      <c r="F172" s="9" t="n">
        <v>1825</v>
      </c>
      <c r="G172" s="9" t="n">
        <f aca="false">F172-H172</f>
        <v>1825</v>
      </c>
      <c r="H172" s="9" t="n">
        <v>0</v>
      </c>
      <c r="I172" s="1"/>
      <c r="J172" s="117"/>
      <c r="Y172" s="0"/>
    </row>
    <row r="173" customFormat="false" ht="13.5" hidden="false" customHeight="true" outlineLevel="0" collapsed="false">
      <c r="A173" s="0" t="n">
        <v>31</v>
      </c>
      <c r="B173" s="34" t="n">
        <v>41487</v>
      </c>
      <c r="C173" s="497" t="n">
        <v>715839</v>
      </c>
      <c r="D173" s="29" t="s">
        <v>42</v>
      </c>
      <c r="E173" s="33" t="n">
        <f aca="false">IF(D173="totale",(C173/(A173*24))/F173,IF(D173="marché libre",(C173/(A173*24))/G173,"spécifier histo"))</f>
        <v>0.52720503756076</v>
      </c>
      <c r="F173" s="9" t="n">
        <v>1825</v>
      </c>
      <c r="G173" s="9" t="n">
        <f aca="false">F173-H173</f>
        <v>1825</v>
      </c>
      <c r="H173" s="9" t="n">
        <v>0</v>
      </c>
      <c r="I173" s="1"/>
      <c r="J173" s="117"/>
      <c r="Y173" s="0"/>
    </row>
    <row r="174" customFormat="false" ht="13.5" hidden="false" customHeight="true" outlineLevel="0" collapsed="false">
      <c r="A174" s="0" t="n">
        <v>30</v>
      </c>
      <c r="B174" s="31" t="n">
        <v>41518</v>
      </c>
      <c r="C174" s="497" t="n">
        <v>588186</v>
      </c>
      <c r="D174" s="29" t="s">
        <v>42</v>
      </c>
      <c r="E174" s="33" t="n">
        <f aca="false">IF(D174="totale",(C174/(A174*24))/F174,IF(D174="marché libre",(C174/(A174*24))/G174,"spécifier histo"))</f>
        <v>0.447630136986301</v>
      </c>
      <c r="F174" s="9" t="n">
        <v>1825</v>
      </c>
      <c r="G174" s="9" t="n">
        <f aca="false">F174-H174</f>
        <v>1825</v>
      </c>
      <c r="H174" s="9" t="n">
        <v>0</v>
      </c>
      <c r="I174" s="1"/>
      <c r="J174" s="117"/>
      <c r="Y174" s="0"/>
    </row>
    <row r="175" customFormat="false" ht="13.5" hidden="false" customHeight="true" outlineLevel="0" collapsed="false">
      <c r="A175" s="0" t="n">
        <v>31</v>
      </c>
      <c r="B175" s="34" t="n">
        <v>41548</v>
      </c>
      <c r="C175" s="497" t="n">
        <v>576719</v>
      </c>
      <c r="D175" s="29" t="s">
        <v>42</v>
      </c>
      <c r="E175" s="33" t="n">
        <f aca="false">IF(D175="totale",(C175/(A175*24))/F175,IF(D175="marché libre",(C175/(A175*24))/G175,"spécifier histo"))</f>
        <v>0.424745176020032</v>
      </c>
      <c r="F175" s="9" t="n">
        <v>1825</v>
      </c>
      <c r="G175" s="9" t="n">
        <f aca="false">F175-H175</f>
        <v>1825</v>
      </c>
      <c r="H175" s="9" t="n">
        <v>0</v>
      </c>
      <c r="I175" s="1"/>
      <c r="J175" s="117"/>
      <c r="Y175" s="0"/>
    </row>
    <row r="176" customFormat="false" ht="13.5" hidden="false" customHeight="true" outlineLevel="0" collapsed="false">
      <c r="A176" s="0" t="n">
        <v>30</v>
      </c>
      <c r="B176" s="31" t="n">
        <v>41579</v>
      </c>
      <c r="C176" s="497" t="n">
        <v>594873</v>
      </c>
      <c r="D176" s="29" t="s">
        <v>42</v>
      </c>
      <c r="E176" s="118" t="n">
        <f aca="false">IF(D176="totale",(C176/(A176*24))/F176,IF(D176="marché libre",(C176/(A176*24))/G176,"spécifier histo"))</f>
        <v>0.452719178082192</v>
      </c>
      <c r="F176" s="9" t="n">
        <v>1825</v>
      </c>
      <c r="G176" s="9" t="n">
        <f aca="false">F176-H176</f>
        <v>1825</v>
      </c>
      <c r="H176" s="9" t="n">
        <v>0</v>
      </c>
      <c r="I176" s="1"/>
      <c r="J176" s="117"/>
      <c r="Y176" s="0"/>
    </row>
    <row r="177" customFormat="false" ht="13.5" hidden="false" customHeight="true" outlineLevel="0" collapsed="false">
      <c r="A177" s="0" t="n">
        <v>31</v>
      </c>
      <c r="B177" s="34" t="n">
        <v>41609</v>
      </c>
      <c r="C177" s="0" t="n">
        <v>856854</v>
      </c>
      <c r="D177" s="29" t="s">
        <v>42</v>
      </c>
      <c r="E177" s="33" t="n">
        <f aca="false">IF(D177="totale",(C177/(A177*24))/F177,IF(D177="marché libre",(C177/(A177*24))/G177,"spécifier histo"))</f>
        <v>0.63106053910738</v>
      </c>
      <c r="F177" s="9" t="n">
        <v>1825</v>
      </c>
      <c r="G177" s="9" t="n">
        <f aca="false">F177-H177</f>
        <v>1825</v>
      </c>
      <c r="H177" s="9" t="n">
        <v>0</v>
      </c>
      <c r="I177" s="1"/>
      <c r="J177" s="1"/>
      <c r="Y177" s="0"/>
    </row>
    <row r="178" customFormat="false" ht="13.5" hidden="false" customHeight="true" outlineLevel="0" collapsed="false">
      <c r="A178" s="0" t="n">
        <v>31</v>
      </c>
      <c r="B178" s="31" t="n">
        <v>41640</v>
      </c>
      <c r="C178" s="142" t="n">
        <v>684710</v>
      </c>
      <c r="D178" s="29" t="s">
        <v>42</v>
      </c>
      <c r="E178" s="33" t="n">
        <f aca="false">IF(D178="totale",(C178/(A178*24))/F178,IF(D178="marché libre",(C178/(A178*24))/G178,"spécifier histo"))</f>
        <v>0.50427898070408</v>
      </c>
      <c r="F178" s="9" t="n">
        <v>1825</v>
      </c>
      <c r="G178" s="9" t="n">
        <f aca="false">F178-H178</f>
        <v>1825</v>
      </c>
      <c r="H178" s="9" t="n">
        <v>0</v>
      </c>
      <c r="Y178" s="0"/>
    </row>
    <row r="179" customFormat="false" ht="13.5" hidden="false" customHeight="true" outlineLevel="0" collapsed="false">
      <c r="A179" s="0" t="n">
        <v>28</v>
      </c>
      <c r="B179" s="34" t="n">
        <v>41671</v>
      </c>
      <c r="C179" s="142" t="n">
        <v>752889</v>
      </c>
      <c r="D179" s="29" t="s">
        <v>42</v>
      </c>
      <c r="E179" s="33" t="n">
        <f aca="false">IF(D179="totale",(C179/(A179*24))/F179,IF(D179="marché libre",(C179/(A179*24))/G179,"spécifier histo"))</f>
        <v>0.613901663405088</v>
      </c>
      <c r="F179" s="9" t="n">
        <v>1825</v>
      </c>
      <c r="G179" s="9" t="n">
        <f aca="false">F179-H179</f>
        <v>1825</v>
      </c>
      <c r="H179" s="9" t="n">
        <v>0</v>
      </c>
      <c r="Y179" s="0"/>
    </row>
    <row r="180" customFormat="false" ht="13.5" hidden="false" customHeight="true" outlineLevel="0" collapsed="false">
      <c r="A180" s="0" t="n">
        <v>31</v>
      </c>
      <c r="B180" s="31" t="n">
        <v>41699</v>
      </c>
      <c r="C180" s="142" t="n">
        <v>723224</v>
      </c>
      <c r="D180" s="29" t="s">
        <v>42</v>
      </c>
      <c r="E180" s="33" t="n">
        <f aca="false">IF(D180="totale",(C180/(A180*24))/F180,IF(D180="marché libre",(C180/(A180*24))/G180,"spécifier histo"))</f>
        <v>0.532643982913537</v>
      </c>
      <c r="F180" s="9" t="n">
        <v>1825</v>
      </c>
      <c r="G180" s="9" t="n">
        <f aca="false">F180-H180</f>
        <v>1825</v>
      </c>
      <c r="H180" s="9" t="n">
        <v>0</v>
      </c>
      <c r="Y180" s="0"/>
    </row>
    <row r="181" customFormat="false" ht="15.85" hidden="false" customHeight="true" outlineLevel="0" collapsed="false">
      <c r="A181" s="0" t="n">
        <v>30</v>
      </c>
      <c r="B181" s="34" t="n">
        <v>41730</v>
      </c>
      <c r="C181" s="142" t="n">
        <v>764195</v>
      </c>
      <c r="D181" s="29" t="s">
        <v>42</v>
      </c>
      <c r="E181" s="33" t="n">
        <f aca="false">IF(D181="totale",(C181/(A181*24))/F181,IF(D181="marché libre",(C181/(A181*24))/G181,"spécifier histo"))</f>
        <v>0.581579147640791</v>
      </c>
      <c r="F181" s="9" t="n">
        <v>1825</v>
      </c>
      <c r="G181" s="9" t="n">
        <f aca="false">F181-H181</f>
        <v>1825</v>
      </c>
      <c r="H181" s="9" t="n">
        <v>0</v>
      </c>
      <c r="Y181" s="0"/>
    </row>
    <row r="182" customFormat="false" ht="15.85" hidden="false" customHeight="true" outlineLevel="0" collapsed="false">
      <c r="A182" s="0" t="n">
        <v>31</v>
      </c>
      <c r="B182" s="31" t="n">
        <v>41760</v>
      </c>
      <c r="C182" s="142" t="n">
        <v>814524</v>
      </c>
      <c r="D182" s="29" t="s">
        <v>42</v>
      </c>
      <c r="E182" s="33" t="n">
        <f aca="false">IF(D182="totale",(C182/(A182*24))/F182,IF(D182="marché libre",(C182/(A182*24))/G182,"spécifier histo"))</f>
        <v>0.599885108263367</v>
      </c>
      <c r="F182" s="9" t="n">
        <v>1825</v>
      </c>
      <c r="G182" s="9" t="n">
        <f aca="false">F182-H182</f>
        <v>1825</v>
      </c>
      <c r="H182" s="9" t="n">
        <v>0</v>
      </c>
      <c r="Y182" s="0"/>
    </row>
    <row r="183" customFormat="false" ht="15.85" hidden="false" customHeight="true" outlineLevel="0" collapsed="false">
      <c r="A183" s="0" t="n">
        <v>30</v>
      </c>
      <c r="B183" s="34" t="n">
        <v>41791</v>
      </c>
      <c r="C183" s="142" t="n">
        <v>732938</v>
      </c>
      <c r="D183" s="29" t="s">
        <v>42</v>
      </c>
      <c r="E183" s="33" t="n">
        <f aca="false">IF(D183="totale",(C183/(A183*24))/F183,IF(D183="marché libre",(C183/(A183*24))/G183,"spécifier histo"))</f>
        <v>0.557791476407915</v>
      </c>
      <c r="F183" s="9" t="n">
        <v>1825</v>
      </c>
      <c r="G183" s="9" t="n">
        <f aca="false">F183-H183</f>
        <v>1825</v>
      </c>
      <c r="H183" s="9" t="n">
        <v>0</v>
      </c>
      <c r="Y183" s="0"/>
    </row>
    <row r="184" customFormat="false" ht="15.85" hidden="false" customHeight="true" outlineLevel="0" collapsed="false">
      <c r="A184" s="0" t="n">
        <v>31</v>
      </c>
      <c r="B184" s="31" t="n">
        <v>41821</v>
      </c>
      <c r="C184" s="142" t="n">
        <v>726665</v>
      </c>
      <c r="D184" s="29" t="s">
        <v>42</v>
      </c>
      <c r="E184" s="33" t="n">
        <f aca="false">IF(D184="totale",(C184/(A184*24))/F184,IF(D184="marché libre",(C184/(A184*24))/G184,"spécifier histo"))</f>
        <v>0.535178229488879</v>
      </c>
      <c r="F184" s="9" t="n">
        <v>1825</v>
      </c>
      <c r="G184" s="9" t="n">
        <f aca="false">F184-H184</f>
        <v>1825</v>
      </c>
      <c r="H184" s="9" t="n">
        <v>0</v>
      </c>
      <c r="Y184" s="0"/>
    </row>
    <row r="185" customFormat="false" ht="15.85" hidden="false" customHeight="true" outlineLevel="0" collapsed="false">
      <c r="A185" s="0" t="n">
        <v>31</v>
      </c>
      <c r="B185" s="34" t="n">
        <v>41852</v>
      </c>
      <c r="C185" s="142" t="n">
        <v>673185</v>
      </c>
      <c r="D185" s="29" t="s">
        <v>42</v>
      </c>
      <c r="E185" s="33" t="n">
        <f aca="false">IF(D185="totale",(C185/(A185*24))/F185,IF(D185="marché libre",(C185/(A185*24))/G185,"spécifier histo"))</f>
        <v>0.495790985417587</v>
      </c>
      <c r="F185" s="9" t="n">
        <v>1825</v>
      </c>
      <c r="G185" s="9" t="n">
        <f aca="false">F185-H185</f>
        <v>1825</v>
      </c>
      <c r="H185" s="9" t="n">
        <v>0</v>
      </c>
      <c r="Y185" s="0"/>
    </row>
    <row r="186" customFormat="false" ht="15.85" hidden="false" customHeight="true" outlineLevel="0" collapsed="false">
      <c r="A186" s="0" t="n">
        <v>30</v>
      </c>
      <c r="B186" s="31" t="n">
        <v>41883</v>
      </c>
      <c r="C186" s="142" t="n">
        <v>524946</v>
      </c>
      <c r="D186" s="29" t="s">
        <v>42</v>
      </c>
      <c r="E186" s="33" t="n">
        <f aca="false">IF(D186="totale",(C186/(A186*24))/F186,IF(D186="marché libre",(C186/(A186*24))/G186,"spécifier histo"))</f>
        <v>0.399502283105023</v>
      </c>
      <c r="F186" s="9" t="n">
        <v>1825</v>
      </c>
      <c r="G186" s="9" t="n">
        <f aca="false">F186-H186</f>
        <v>1825</v>
      </c>
      <c r="H186" s="9" t="n">
        <v>0</v>
      </c>
      <c r="Y186" s="0"/>
    </row>
    <row r="187" customFormat="false" ht="15.85" hidden="false" customHeight="true" outlineLevel="0" collapsed="false">
      <c r="A187" s="0" t="n">
        <v>31</v>
      </c>
      <c r="B187" s="34" t="n">
        <v>41913</v>
      </c>
      <c r="C187" s="142" t="n">
        <v>482676</v>
      </c>
      <c r="D187" s="29" t="s">
        <v>42</v>
      </c>
      <c r="E187" s="33" t="n">
        <f aca="false">IF(D187="totale",(C187/(A187*24))/F187,IF(D187="marché libre",(C187/(A187*24))/G187,"spécifier histo"))</f>
        <v>0.355483870967742</v>
      </c>
      <c r="F187" s="9" t="n">
        <v>1825</v>
      </c>
      <c r="G187" s="9" t="n">
        <f aca="false">F187-H187</f>
        <v>1825</v>
      </c>
      <c r="H187" s="9" t="n">
        <v>0</v>
      </c>
      <c r="Y187" s="0"/>
    </row>
    <row r="188" customFormat="false" ht="15.85" hidden="false" customHeight="true" outlineLevel="0" collapsed="false">
      <c r="A188" s="0" t="n">
        <v>30</v>
      </c>
      <c r="B188" s="31" t="n">
        <v>41944</v>
      </c>
      <c r="C188" s="497" t="n">
        <v>494353</v>
      </c>
      <c r="D188" s="29" t="s">
        <v>42</v>
      </c>
      <c r="E188" s="33" t="n">
        <f aca="false">IF(D188="totale",(C188/(A188*24))/F188,IF(D188="marché libre",(C188/(A188*24))/G188,"spécifier histo"))</f>
        <v>0.376219939117199</v>
      </c>
      <c r="F188" s="9" t="n">
        <v>1825</v>
      </c>
      <c r="G188" s="9" t="n">
        <f aca="false">F188-H188</f>
        <v>1825</v>
      </c>
      <c r="H188" s="9" t="n">
        <v>0</v>
      </c>
      <c r="Y188" s="0"/>
    </row>
    <row r="189" customFormat="false" ht="15.85" hidden="false" customHeight="true" outlineLevel="0" collapsed="false">
      <c r="A189" s="0" t="n">
        <v>31</v>
      </c>
      <c r="B189" s="34" t="n">
        <v>41974</v>
      </c>
      <c r="C189" s="0" t="n">
        <v>680801</v>
      </c>
      <c r="D189" s="29" t="s">
        <v>42</v>
      </c>
      <c r="E189" s="33" t="n">
        <f aca="false">IF(D189="totale",(C189/(A189*24))/F189,IF(D189="marché libre",(C189/(A189*24))/G189,"spécifier histo"))</f>
        <v>0.501400058918839</v>
      </c>
      <c r="F189" s="9" t="n">
        <v>1825</v>
      </c>
      <c r="G189" s="9" t="n">
        <f aca="false">F189-H189</f>
        <v>1825</v>
      </c>
      <c r="H189" s="9" t="n">
        <v>0</v>
      </c>
      <c r="Y189" s="0"/>
    </row>
    <row r="190" customFormat="false" ht="15.85" hidden="false" customHeight="true" outlineLevel="0" collapsed="false">
      <c r="A190" s="0" t="n">
        <v>31</v>
      </c>
      <c r="B190" s="31" t="n">
        <v>42005</v>
      </c>
      <c r="C190" s="142" t="n">
        <v>593655</v>
      </c>
      <c r="D190" s="29" t="s">
        <v>42</v>
      </c>
      <c r="E190" s="33" t="n">
        <f aca="false">IF(D190="totale",(C190/(A190*24))/F190,IF(D190="marché libre",(C190/(A190*24))/G190,"spécifier histo"))</f>
        <v>0.437218294299602</v>
      </c>
      <c r="F190" s="9" t="n">
        <v>1825</v>
      </c>
      <c r="G190" s="9" t="n">
        <f aca="false">F190-H190</f>
        <v>1825</v>
      </c>
      <c r="H190" s="9" t="n">
        <v>0</v>
      </c>
      <c r="Y190" s="0"/>
    </row>
    <row r="191" customFormat="false" ht="15.85" hidden="false" customHeight="true" outlineLevel="0" collapsed="false">
      <c r="A191" s="0" t="n">
        <v>28</v>
      </c>
      <c r="B191" s="31" t="n">
        <v>42036</v>
      </c>
      <c r="C191" s="142" t="n">
        <v>590767</v>
      </c>
      <c r="D191" s="29" t="s">
        <v>42</v>
      </c>
      <c r="E191" s="33" t="n">
        <f aca="false">IF(D191="totale",(C191/(A191*24))/F191,IF(D191="marché libre",(C191/(A191*24))/G191,"spécifier histo"))</f>
        <v>0.481708251793868</v>
      </c>
      <c r="F191" s="9" t="n">
        <v>1825</v>
      </c>
      <c r="G191" s="9" t="n">
        <f aca="false">F191-H191</f>
        <v>1825</v>
      </c>
      <c r="H191" s="9" t="n">
        <v>0</v>
      </c>
      <c r="Y191" s="0"/>
    </row>
    <row r="192" customFormat="false" ht="15.85" hidden="false" customHeight="true" outlineLevel="0" collapsed="false">
      <c r="A192" s="0" t="n">
        <v>31</v>
      </c>
      <c r="B192" s="31" t="n">
        <v>42064</v>
      </c>
      <c r="C192" s="142" t="n">
        <v>726426</v>
      </c>
      <c r="D192" s="29" t="s">
        <v>42</v>
      </c>
      <c r="E192" s="33" t="n">
        <f aca="false">IF(D192="totale",(C192/(A192*24))/F192,IF(D192="marché libre",(C192/(A192*24))/G192,"spécifier histo"))</f>
        <v>0.535002209456474</v>
      </c>
      <c r="F192" s="9" t="n">
        <v>1825</v>
      </c>
      <c r="G192" s="9" t="n">
        <f aca="false">F192-H192</f>
        <v>1825</v>
      </c>
      <c r="H192" s="9" t="n">
        <v>0</v>
      </c>
      <c r="Y192" s="0"/>
    </row>
    <row r="193" customFormat="false" ht="15.85" hidden="false" customHeight="true" outlineLevel="0" collapsed="false">
      <c r="A193" s="0" t="n">
        <v>30</v>
      </c>
      <c r="B193" s="34" t="n">
        <v>42095</v>
      </c>
      <c r="C193" s="142" t="n">
        <v>872199</v>
      </c>
      <c r="D193" s="29" t="s">
        <v>42</v>
      </c>
      <c r="E193" s="33" t="n">
        <f aca="false">IF(D193="totale",(C193/(A193*24))/F193,IF(D193="marché libre",(C193/(A193*24))/G193,"spécifier histo"))</f>
        <v>0.66377397260274</v>
      </c>
      <c r="F193" s="9" t="n">
        <v>1825</v>
      </c>
      <c r="G193" s="9" t="n">
        <f aca="false">F193-H193</f>
        <v>1825</v>
      </c>
      <c r="H193" s="9" t="n">
        <v>0</v>
      </c>
      <c r="Y193" s="0"/>
    </row>
    <row r="194" customFormat="false" ht="15.85" hidden="false" customHeight="true" outlineLevel="0" collapsed="false">
      <c r="A194" s="0" t="n">
        <v>31</v>
      </c>
      <c r="B194" s="31" t="n">
        <v>42125</v>
      </c>
      <c r="C194" s="142" t="n">
        <v>791528</v>
      </c>
      <c r="D194" s="29" t="s">
        <v>42</v>
      </c>
      <c r="E194" s="33" t="n">
        <f aca="false">IF(D194="totale",(C194/(A194*24))/F194,IF(D194="marché libre",(C194/(A194*24))/G194,"spécifier histo"))</f>
        <v>0.582948887906908</v>
      </c>
      <c r="F194" s="9" t="n">
        <v>1825</v>
      </c>
      <c r="G194" s="9" t="n">
        <f aca="false">F194-H194</f>
        <v>1825</v>
      </c>
      <c r="H194" s="9" t="n">
        <v>0</v>
      </c>
      <c r="Y194" s="0"/>
    </row>
    <row r="195" customFormat="false" ht="15.85" hidden="false" customHeight="true" outlineLevel="0" collapsed="false">
      <c r="A195" s="0" t="n">
        <v>30</v>
      </c>
      <c r="B195" s="34" t="n">
        <v>42156</v>
      </c>
      <c r="C195" s="498"/>
      <c r="D195" s="29" t="s">
        <v>42</v>
      </c>
      <c r="E195" s="33" t="n">
        <f aca="false">IF(D195="totale",(C195/(A195*24))/F195,IF(D195="marché libre",(C195/(A195*24))/G195,"spécifier histo"))</f>
        <v>0</v>
      </c>
      <c r="F195" s="9" t="n">
        <v>1825</v>
      </c>
      <c r="G195" s="9" t="n">
        <f aca="false">F195-H195</f>
        <v>1825</v>
      </c>
      <c r="H195" s="9" t="n">
        <v>0</v>
      </c>
      <c r="I195" s="0" t="s">
        <v>208</v>
      </c>
      <c r="J195" s="499" t="s">
        <v>934</v>
      </c>
      <c r="Y195" s="0"/>
    </row>
    <row r="196" customFormat="false" ht="12.8" hidden="false" customHeight="false" outlineLevel="0" collapsed="false">
      <c r="A196" s="0" t="n">
        <v>31</v>
      </c>
      <c r="B196" s="31" t="n">
        <v>42186</v>
      </c>
      <c r="C196" s="498"/>
      <c r="D196" s="29" t="s">
        <v>42</v>
      </c>
      <c r="E196" s="33" t="n">
        <f aca="false">IF(D196="totale",(C196/(A196*24))/F196,IF(D196="marché libre",(C196/(A196*24))/G196,"spécifier histo"))</f>
        <v>0</v>
      </c>
      <c r="F196" s="9" t="n">
        <v>1825</v>
      </c>
      <c r="G196" s="9" t="n">
        <f aca="false">F196-H196</f>
        <v>1825</v>
      </c>
      <c r="H196" s="9" t="n">
        <v>0</v>
      </c>
      <c r="I196" s="0" t="s">
        <v>208</v>
      </c>
      <c r="J196" s="499" t="s">
        <v>934</v>
      </c>
      <c r="Y196" s="0"/>
    </row>
    <row r="197" customFormat="false" ht="12.8" hidden="false" customHeight="false" outlineLevel="0" collapsed="false">
      <c r="A197" s="0" t="n">
        <v>31</v>
      </c>
      <c r="B197" s="34" t="n">
        <v>42217</v>
      </c>
      <c r="C197" s="498"/>
      <c r="D197" s="29" t="s">
        <v>42</v>
      </c>
      <c r="E197" s="33" t="n">
        <f aca="false">IF(D197="totale",(C197/(A197*24))/F197,IF(D197="marché libre",(C197/(A197*24))/G197,"spécifier histo"))</f>
        <v>0</v>
      </c>
      <c r="F197" s="9" t="n">
        <v>1825</v>
      </c>
      <c r="G197" s="9" t="n">
        <f aca="false">F197-H197</f>
        <v>1825</v>
      </c>
      <c r="H197" s="9" t="n">
        <v>0</v>
      </c>
      <c r="I197" s="0" t="s">
        <v>208</v>
      </c>
      <c r="J197" s="499" t="s">
        <v>934</v>
      </c>
      <c r="Y197" s="0"/>
    </row>
    <row r="198" customFormat="false" ht="12.8" hidden="false" customHeight="false" outlineLevel="0" collapsed="false">
      <c r="A198" s="0" t="n">
        <v>30</v>
      </c>
      <c r="B198" s="31" t="n">
        <v>42248</v>
      </c>
      <c r="C198" s="498"/>
      <c r="D198" s="29" t="s">
        <v>42</v>
      </c>
      <c r="E198" s="33" t="n">
        <f aca="false">IF(D198="totale",(C198/(A198*24))/F198,IF(D198="marché libre",(C198/(A198*24))/G198,"spécifier histo"))</f>
        <v>0</v>
      </c>
      <c r="F198" s="9" t="n">
        <v>1825</v>
      </c>
      <c r="G198" s="9" t="n">
        <f aca="false">F198-H198</f>
        <v>1825</v>
      </c>
      <c r="H198" s="9" t="n">
        <v>0</v>
      </c>
      <c r="I198" s="0" t="s">
        <v>208</v>
      </c>
      <c r="J198" s="499" t="s">
        <v>934</v>
      </c>
      <c r="Y198" s="0"/>
    </row>
    <row r="199" customFormat="false" ht="12.8" hidden="false" customHeight="false" outlineLevel="0" collapsed="false">
      <c r="A199" s="0" t="n">
        <v>31</v>
      </c>
      <c r="B199" s="34" t="n">
        <v>42278</v>
      </c>
      <c r="C199" s="498"/>
      <c r="D199" s="29" t="s">
        <v>42</v>
      </c>
      <c r="E199" s="33" t="n">
        <f aca="false">IF(D199="totale",(C199/(A199*24))/F199,IF(D199="marché libre",(C199/(A199*24))/G199,"spécifier histo"))</f>
        <v>0</v>
      </c>
      <c r="F199" s="9" t="n">
        <v>1825</v>
      </c>
      <c r="G199" s="9" t="n">
        <f aca="false">F199-H199</f>
        <v>1825</v>
      </c>
      <c r="H199" s="9" t="n">
        <v>0</v>
      </c>
      <c r="I199" s="0" t="s">
        <v>208</v>
      </c>
      <c r="J199" s="499" t="s">
        <v>934</v>
      </c>
      <c r="Y199" s="0"/>
    </row>
    <row r="200" customFormat="false" ht="12.8" hidden="false" customHeight="false" outlineLevel="0" collapsed="false">
      <c r="A200" s="0" t="n">
        <v>30</v>
      </c>
      <c r="B200" s="31" t="n">
        <v>42309</v>
      </c>
      <c r="C200" s="498"/>
      <c r="D200" s="29" t="s">
        <v>42</v>
      </c>
      <c r="E200" s="33" t="n">
        <f aca="false">IF(D200="totale",(C200/(A200*24))/F200,IF(D200="marché libre",(C200/(A200*24))/G200,"spécifier histo"))</f>
        <v>0</v>
      </c>
      <c r="F200" s="9" t="n">
        <v>1825</v>
      </c>
      <c r="G200" s="9" t="n">
        <f aca="false">F200-H200</f>
        <v>1825</v>
      </c>
      <c r="H200" s="9" t="n">
        <v>0</v>
      </c>
      <c r="I200" s="0" t="s">
        <v>208</v>
      </c>
      <c r="J200" s="499" t="s">
        <v>934</v>
      </c>
      <c r="Y200" s="0"/>
    </row>
    <row r="201" customFormat="false" ht="12.8" hidden="false" customHeight="false" outlineLevel="0" collapsed="false">
      <c r="A201" s="0" t="n">
        <v>31</v>
      </c>
      <c r="B201" s="34" t="n">
        <v>42339</v>
      </c>
      <c r="C201" s="498"/>
      <c r="D201" s="29" t="s">
        <v>42</v>
      </c>
      <c r="E201" s="33" t="n">
        <f aca="false">IF(D201="totale",(C201/(A201*24))/F201,IF(D201="marché libre",(C201/(A201*24))/G201,"spécifier histo"))</f>
        <v>0</v>
      </c>
      <c r="F201" s="9" t="n">
        <v>1825</v>
      </c>
      <c r="G201" s="9" t="n">
        <f aca="false">F201-H201</f>
        <v>1825</v>
      </c>
      <c r="H201" s="9" t="n">
        <v>0</v>
      </c>
      <c r="I201" s="0" t="s">
        <v>208</v>
      </c>
      <c r="J201" s="499" t="s">
        <v>934</v>
      </c>
      <c r="Y201" s="0"/>
    </row>
    <row r="202" customFormat="false" ht="12.8" hidden="false" customHeight="false" outlineLevel="0" collapsed="false">
      <c r="A202" s="281" t="n">
        <v>31</v>
      </c>
      <c r="B202" s="160" t="n">
        <v>42370</v>
      </c>
      <c r="C202" s="500" t="n">
        <v>789076</v>
      </c>
      <c r="D202" s="162" t="s">
        <v>42</v>
      </c>
      <c r="E202" s="163" t="n">
        <f aca="false">IF(D202="totale",(C202/(A202*24))/F202,IF(D202="marché libre",(C202/(A202*24))/G202,"spécifier histo"))</f>
        <v>0.581143025482398</v>
      </c>
      <c r="F202" s="161" t="n">
        <v>1825</v>
      </c>
      <c r="G202" s="161" t="n">
        <f aca="false">F202-H202</f>
        <v>1825</v>
      </c>
      <c r="H202" s="161" t="n">
        <v>0</v>
      </c>
      <c r="Y202" s="0"/>
    </row>
    <row r="203" customFormat="false" ht="12.8" hidden="false" customHeight="false" outlineLevel="0" collapsed="false">
      <c r="A203" s="0" t="n">
        <v>28</v>
      </c>
      <c r="B203" s="34" t="n">
        <v>42401</v>
      </c>
      <c r="C203" s="501" t="n">
        <v>700693</v>
      </c>
      <c r="D203" s="29" t="s">
        <v>42</v>
      </c>
      <c r="E203" s="33" t="n">
        <f aca="false">IF(D203="totale",(C203/(A203*24))/F203,IF(D203="marché libre",(C203/(A203*24))/G203,"spécifier histo"))</f>
        <v>0.571341324200913</v>
      </c>
      <c r="F203" s="9" t="n">
        <v>1825</v>
      </c>
      <c r="G203" s="9" t="n">
        <f aca="false">F203-H203</f>
        <v>1825</v>
      </c>
      <c r="H203" s="9" t="n">
        <v>0</v>
      </c>
      <c r="Y203" s="0"/>
    </row>
    <row r="204" customFormat="false" ht="12.8" hidden="false" customHeight="false" outlineLevel="0" collapsed="false">
      <c r="A204" s="0" t="n">
        <v>31</v>
      </c>
      <c r="B204" s="31" t="n">
        <v>42430</v>
      </c>
      <c r="C204" s="501" t="n">
        <v>861440</v>
      </c>
      <c r="D204" s="29" t="s">
        <v>42</v>
      </c>
      <c r="E204" s="33" t="n">
        <f aca="false">IF(D204="totale",(C204/(A204*24))/F204,IF(D204="marché libre",(C204/(A204*24))/G204,"spécifier histo"))</f>
        <v>0.634438061570187</v>
      </c>
      <c r="F204" s="9" t="n">
        <v>1825</v>
      </c>
      <c r="G204" s="9" t="n">
        <f aca="false">F204-H204</f>
        <v>1825</v>
      </c>
      <c r="H204" s="9" t="n">
        <v>0</v>
      </c>
      <c r="Y204" s="0"/>
    </row>
    <row r="205" customFormat="false" ht="12.8" hidden="false" customHeight="false" outlineLevel="0" collapsed="false">
      <c r="A205" s="0" t="n">
        <v>30</v>
      </c>
      <c r="B205" s="34" t="n">
        <v>42461</v>
      </c>
      <c r="C205" s="501" t="n">
        <v>800117</v>
      </c>
      <c r="D205" s="29" t="s">
        <v>42</v>
      </c>
      <c r="E205" s="33" t="n">
        <f aca="false">IF(D205="totale",(C205/(A205*24))/F205,IF(D205="marché libre",(C205/(A205*24))/G205,"spécifier histo"))</f>
        <v>0.60891704718417</v>
      </c>
      <c r="F205" s="9" t="n">
        <v>1825</v>
      </c>
      <c r="G205" s="9" t="n">
        <f aca="false">F205-H205</f>
        <v>1825</v>
      </c>
      <c r="H205" s="9" t="n">
        <v>0</v>
      </c>
      <c r="Y205" s="0"/>
    </row>
    <row r="206" customFormat="false" ht="12.8" hidden="false" customHeight="false" outlineLevel="0" collapsed="false">
      <c r="A206" s="0" t="n">
        <v>31</v>
      </c>
      <c r="B206" s="31" t="n">
        <v>42491</v>
      </c>
      <c r="C206" s="501" t="n">
        <v>831697</v>
      </c>
      <c r="D206" s="29" t="s">
        <v>42</v>
      </c>
      <c r="E206" s="33" t="n">
        <f aca="false">IF(D206="totale",(C206/(A206*24))/F206,IF(D206="marché libre",(C206/(A206*24))/G206,"spécifier histo"))</f>
        <v>0.61253277360436</v>
      </c>
      <c r="F206" s="9" t="n">
        <v>1825</v>
      </c>
      <c r="G206" s="9" t="n">
        <f aca="false">F206-H206</f>
        <v>1825</v>
      </c>
      <c r="H206" s="9" t="n">
        <v>0</v>
      </c>
      <c r="Y206" s="0"/>
    </row>
    <row r="207" customFormat="false" ht="12.8" hidden="false" customHeight="false" outlineLevel="0" collapsed="false">
      <c r="A207" s="0" t="n">
        <v>30</v>
      </c>
      <c r="B207" s="34" t="n">
        <v>42522</v>
      </c>
      <c r="C207" s="501" t="n">
        <v>836629</v>
      </c>
      <c r="D207" s="29" t="s">
        <v>42</v>
      </c>
      <c r="E207" s="33" t="n">
        <f aca="false">IF(D207="totale",(C207/(A207*24))/F207,IF(D207="marché libre",(C207/(A207*24))/G207,"spécifier histo"))</f>
        <v>0.63670395738204</v>
      </c>
      <c r="F207" s="9" t="n">
        <v>1825</v>
      </c>
      <c r="G207" s="9" t="n">
        <f aca="false">F207-H207</f>
        <v>1825</v>
      </c>
      <c r="H207" s="9" t="n">
        <v>0</v>
      </c>
      <c r="Y207" s="0"/>
    </row>
    <row r="208" customFormat="false" ht="12.8" hidden="false" customHeight="false" outlineLevel="0" collapsed="false">
      <c r="A208" s="0" t="n">
        <v>31</v>
      </c>
      <c r="B208" s="31" t="n">
        <v>42552</v>
      </c>
      <c r="C208" s="501" t="n">
        <v>685040</v>
      </c>
      <c r="D208" s="29" t="s">
        <v>42</v>
      </c>
      <c r="E208" s="33" t="n">
        <f aca="false">IF(D208="totale",(C208/(A208*24))/F208,IF(D208="marché libre",(C208/(A208*24))/G208,"spécifier histo"))</f>
        <v>0.504522020916188</v>
      </c>
      <c r="F208" s="9" t="n">
        <v>1825</v>
      </c>
      <c r="G208" s="9" t="n">
        <f aca="false">F208-H208</f>
        <v>1825</v>
      </c>
      <c r="H208" s="9" t="n">
        <v>0</v>
      </c>
      <c r="Y208" s="0"/>
    </row>
    <row r="209" customFormat="false" ht="12.8" hidden="false" customHeight="false" outlineLevel="0" collapsed="false">
      <c r="A209" s="0" t="n">
        <v>31</v>
      </c>
      <c r="B209" s="34" t="n">
        <v>42583</v>
      </c>
      <c r="C209" s="501" t="n">
        <v>376457</v>
      </c>
      <c r="D209" s="29" t="s">
        <v>42</v>
      </c>
      <c r="E209" s="33" t="n">
        <f aca="false">IF(D209="totale",(C209/(A209*24))/F209,IF(D209="marché libre",(C209/(A209*24))/G209,"spécifier histo"))</f>
        <v>0.277255118574164</v>
      </c>
      <c r="F209" s="9" t="n">
        <v>1825</v>
      </c>
      <c r="G209" s="9" t="n">
        <f aca="false">F209-H209</f>
        <v>1825</v>
      </c>
      <c r="H209" s="9" t="n">
        <v>0</v>
      </c>
      <c r="Y209" s="0"/>
    </row>
    <row r="210" customFormat="false" ht="12.8" hidden="false" customHeight="false" outlineLevel="0" collapsed="false">
      <c r="A210" s="0" t="n">
        <v>30</v>
      </c>
      <c r="B210" s="31" t="n">
        <v>42614</v>
      </c>
      <c r="C210" s="501" t="n">
        <v>312393</v>
      </c>
      <c r="D210" s="29" t="s">
        <v>42</v>
      </c>
      <c r="E210" s="33" t="n">
        <f aca="false">IF(D210="totale",(C210/(A210*24))/F210,IF(D210="marché libre",(C210/(A210*24))/G210,"spécifier histo"))</f>
        <v>0.23774200913242</v>
      </c>
      <c r="F210" s="9" t="n">
        <v>1825</v>
      </c>
      <c r="G210" s="9" t="n">
        <f aca="false">F210-H210</f>
        <v>1825</v>
      </c>
      <c r="H210" s="9" t="n">
        <v>0</v>
      </c>
      <c r="Y210" s="0"/>
    </row>
    <row r="211" customFormat="false" ht="12.8" hidden="false" customHeight="false" outlineLevel="0" collapsed="false">
      <c r="A211" s="0" t="n">
        <v>31</v>
      </c>
      <c r="B211" s="34" t="n">
        <v>42644</v>
      </c>
      <c r="C211" s="501" t="n">
        <v>432864</v>
      </c>
      <c r="D211" s="29" t="s">
        <v>42</v>
      </c>
      <c r="E211" s="33" t="n">
        <f aca="false">IF(D211="totale",(C211/(A211*24))/F211,IF(D211="marché libre",(C211/(A211*24))/G211,"spécifier histo"))</f>
        <v>0.318798055678303</v>
      </c>
      <c r="F211" s="9" t="n">
        <v>1825</v>
      </c>
      <c r="G211" s="9" t="n">
        <f aca="false">F211-H211</f>
        <v>1825</v>
      </c>
      <c r="H211" s="9" t="n">
        <v>0</v>
      </c>
      <c r="Y211" s="0"/>
    </row>
    <row r="212" customFormat="false" ht="12.8" hidden="false" customHeight="false" outlineLevel="0" collapsed="false">
      <c r="A212" s="0" t="n">
        <v>30</v>
      </c>
      <c r="B212" s="31" t="n">
        <v>42675</v>
      </c>
      <c r="C212" s="501" t="n">
        <v>619616</v>
      </c>
      <c r="D212" s="29" t="s">
        <v>42</v>
      </c>
      <c r="E212" s="33" t="n">
        <f aca="false">IF(D212="totale",(C212/(A212*24))/F212,IF(D212="marché libre",(C212/(A212*24))/G212,"spécifier histo"))</f>
        <v>0.471549467275495</v>
      </c>
      <c r="F212" s="9" t="n">
        <v>1825</v>
      </c>
      <c r="G212" s="9" t="n">
        <f aca="false">F212-H212</f>
        <v>1825</v>
      </c>
      <c r="H212" s="9" t="n">
        <v>0</v>
      </c>
      <c r="Y212" s="0"/>
    </row>
    <row r="213" customFormat="false" ht="12.8" hidden="false" customHeight="false" outlineLevel="0" collapsed="false">
      <c r="A213" s="0" t="n">
        <v>31</v>
      </c>
      <c r="B213" s="34" t="n">
        <v>42705</v>
      </c>
      <c r="C213" s="501" t="n">
        <v>606903</v>
      </c>
      <c r="D213" s="29" t="s">
        <v>42</v>
      </c>
      <c r="E213" s="33" t="n">
        <f aca="false">IF(D213="totale",(C213/(A213*24))/F213,IF(D213="marché libre",(C213/(A213*24))/G213,"spécifier histo"))</f>
        <v>0.446975254087494</v>
      </c>
      <c r="F213" s="9" t="n">
        <v>1825</v>
      </c>
      <c r="G213" s="9" t="n">
        <f aca="false">F213-H213</f>
        <v>1825</v>
      </c>
      <c r="H213" s="9" t="n">
        <v>0</v>
      </c>
      <c r="Y213" s="0"/>
    </row>
    <row r="214" customFormat="false" ht="12.8" hidden="false" customHeight="false" outlineLevel="0" collapsed="false">
      <c r="A214" s="0" t="n">
        <v>31</v>
      </c>
      <c r="B214" s="31" t="n">
        <v>42736</v>
      </c>
      <c r="C214" s="296" t="n">
        <v>621906</v>
      </c>
      <c r="D214" s="29" t="s">
        <v>42</v>
      </c>
      <c r="E214" s="33" t="n">
        <f aca="false">IF(D214="totale",(C214/(A214*24))/F214,IF(D214="marché libre",(C214/(A214*24))/G214,"spécifier histo"))</f>
        <v>0.458024745912506</v>
      </c>
      <c r="F214" s="9" t="n">
        <v>1825</v>
      </c>
      <c r="G214" s="9" t="n">
        <f aca="false">F214-H214</f>
        <v>1825</v>
      </c>
      <c r="H214" s="9" t="n">
        <v>0</v>
      </c>
      <c r="Y214" s="0"/>
    </row>
    <row r="215" customFormat="false" ht="12.8" hidden="false" customHeight="false" outlineLevel="0" collapsed="false">
      <c r="A215" s="0" t="n">
        <v>28</v>
      </c>
      <c r="B215" s="34" t="n">
        <v>42767</v>
      </c>
      <c r="C215" s="296" t="n">
        <v>620635</v>
      </c>
      <c r="D215" s="29" t="s">
        <v>42</v>
      </c>
      <c r="E215" s="33" t="n">
        <f aca="false">IF(D215="totale",(C215/(A215*24))/F215,IF(D215="marché libre",(C215/(A215*24))/G215,"spécifier histo"))</f>
        <v>0.506062459230267</v>
      </c>
      <c r="F215" s="9" t="n">
        <v>1825</v>
      </c>
      <c r="G215" s="9" t="n">
        <f aca="false">F215-H215</f>
        <v>1825</v>
      </c>
      <c r="H215" s="9" t="n">
        <v>0</v>
      </c>
      <c r="Y215" s="0"/>
    </row>
    <row r="216" customFormat="false" ht="12.8" hidden="false" customHeight="false" outlineLevel="0" collapsed="false">
      <c r="A216" s="0" t="n">
        <v>31</v>
      </c>
      <c r="B216" s="31" t="n">
        <v>42795</v>
      </c>
      <c r="C216" s="296" t="n">
        <v>835605</v>
      </c>
      <c r="D216" s="29" t="s">
        <v>42</v>
      </c>
      <c r="E216" s="33" t="n">
        <f aca="false">IF(D216="totale",(C216/(A216*24))/F216,IF(D216="marché libre",(C216/(A216*24))/G216,"spécifier histo"))</f>
        <v>0.61541095890411</v>
      </c>
      <c r="F216" s="9" t="n">
        <v>1825</v>
      </c>
      <c r="G216" s="9" t="n">
        <f aca="false">F216-H216</f>
        <v>1825</v>
      </c>
      <c r="H216" s="9" t="n">
        <v>0</v>
      </c>
      <c r="Y216" s="0"/>
    </row>
    <row r="217" customFormat="false" ht="12.8" hidden="false" customHeight="false" outlineLevel="0" collapsed="false">
      <c r="A217" s="0" t="n">
        <v>30</v>
      </c>
      <c r="B217" s="34" t="n">
        <v>42826</v>
      </c>
      <c r="C217" s="296" t="n">
        <v>821489</v>
      </c>
      <c r="D217" s="29" t="s">
        <v>42</v>
      </c>
      <c r="E217" s="33" t="n">
        <f aca="false">IF(D217="totale",(C217/(A217*24))/F217,IF(D217="marché libre",(C217/(A217*24))/G217,"spécifier histo"))</f>
        <v>0.625181887366819</v>
      </c>
      <c r="F217" s="9" t="n">
        <v>1825</v>
      </c>
      <c r="G217" s="9" t="n">
        <f aca="false">F217-H217</f>
        <v>1825</v>
      </c>
      <c r="H217" s="9" t="n">
        <v>0</v>
      </c>
      <c r="Y217" s="0"/>
    </row>
    <row r="218" customFormat="false" ht="12.8" hidden="false" customHeight="false" outlineLevel="0" collapsed="false">
      <c r="A218" s="0" t="n">
        <v>31</v>
      </c>
      <c r="B218" s="31" t="n">
        <v>42856</v>
      </c>
      <c r="C218" s="296" t="n">
        <v>906696</v>
      </c>
      <c r="D218" s="29" t="s">
        <v>42</v>
      </c>
      <c r="E218" s="33" t="n">
        <f aca="false">IF(D218="totale",(C218/(A218*24))/F218,IF(D218="marché libre",(C218/(A218*24))/G218,"spécifier histo"))</f>
        <v>0.667768448961555</v>
      </c>
      <c r="F218" s="9" t="n">
        <v>1825</v>
      </c>
      <c r="G218" s="9" t="n">
        <f aca="false">F218-H218</f>
        <v>1825</v>
      </c>
      <c r="H218" s="9" t="n">
        <v>0</v>
      </c>
      <c r="Y218" s="0"/>
    </row>
    <row r="219" customFormat="false" ht="12.8" hidden="false" customHeight="false" outlineLevel="0" collapsed="false">
      <c r="A219" s="0" t="n">
        <v>30</v>
      </c>
      <c r="B219" s="34" t="n">
        <v>42887</v>
      </c>
      <c r="C219" s="296" t="n">
        <v>828081</v>
      </c>
      <c r="D219" s="29" t="s">
        <v>42</v>
      </c>
      <c r="E219" s="33" t="n">
        <f aca="false">IF(D219="totale",(C219/(A219*24))/F219,IF(D219="marché libre",(C219/(A219*24))/G219,"spécifier histo"))</f>
        <v>0.630198630136986</v>
      </c>
      <c r="F219" s="9" t="n">
        <v>1825</v>
      </c>
      <c r="G219" s="9" t="n">
        <f aca="false">F219-H219</f>
        <v>1825</v>
      </c>
      <c r="H219" s="9" t="n">
        <v>0</v>
      </c>
      <c r="Y219" s="0"/>
    </row>
    <row r="220" customFormat="false" ht="12.8" hidden="false" customHeight="false" outlineLevel="0" collapsed="false">
      <c r="A220" s="0" t="n">
        <v>31</v>
      </c>
      <c r="B220" s="31" t="n">
        <v>42917</v>
      </c>
      <c r="C220" s="296" t="n">
        <v>659178</v>
      </c>
      <c r="D220" s="29" t="s">
        <v>42</v>
      </c>
      <c r="E220" s="33" t="n">
        <f aca="false">IF(D220="totale",(C220/(A220*24))/F220,IF(D220="marché libre",(C220/(A220*24))/G220,"spécifier histo"))</f>
        <v>0.485475033141847</v>
      </c>
      <c r="F220" s="9" t="n">
        <v>1825</v>
      </c>
      <c r="G220" s="9" t="n">
        <f aca="false">F220-H220</f>
        <v>1825</v>
      </c>
      <c r="H220" s="9" t="n">
        <v>0</v>
      </c>
      <c r="Y220" s="0"/>
    </row>
    <row r="221" customFormat="false" ht="12.8" hidden="false" customHeight="false" outlineLevel="0" collapsed="false">
      <c r="A221" s="0" t="n">
        <v>31</v>
      </c>
      <c r="B221" s="34" t="n">
        <v>42948</v>
      </c>
      <c r="C221" s="296" t="n">
        <v>494912</v>
      </c>
      <c r="D221" s="29" t="s">
        <v>42</v>
      </c>
      <c r="E221" s="33" t="n">
        <f aca="false">IF(D221="totale",(C221/(A221*24))/F221,IF(D221="marché libre",(C221/(A221*24))/G221,"spécifier histo"))</f>
        <v>0.364495507438503</v>
      </c>
      <c r="F221" s="9" t="n">
        <v>1825</v>
      </c>
      <c r="G221" s="9" t="n">
        <f aca="false">F221-H221</f>
        <v>1825</v>
      </c>
      <c r="H221" s="9" t="n">
        <v>0</v>
      </c>
      <c r="Y221" s="0"/>
    </row>
    <row r="222" customFormat="false" ht="12.8" hidden="false" customHeight="false" outlineLevel="0" collapsed="false">
      <c r="A222" s="0" t="n">
        <v>30</v>
      </c>
      <c r="B222" s="31" t="n">
        <v>42979</v>
      </c>
      <c r="C222" s="296" t="n">
        <v>464912</v>
      </c>
      <c r="D222" s="29" t="s">
        <v>42</v>
      </c>
      <c r="E222" s="33" t="n">
        <f aca="false">IF(D222="totale",(C222/(A222*24))/F222,IF(D222="marché libre",(C222/(A222*24))/G222,"spécifier histo"))</f>
        <v>0.353814307458143</v>
      </c>
      <c r="F222" s="9" t="n">
        <v>1825</v>
      </c>
      <c r="G222" s="9" t="n">
        <f aca="false">F222-H222</f>
        <v>1825</v>
      </c>
      <c r="H222" s="9" t="n">
        <v>0</v>
      </c>
      <c r="Y222" s="0"/>
    </row>
    <row r="223" customFormat="false" ht="12.8" hidden="false" customHeight="false" outlineLevel="0" collapsed="false">
      <c r="A223" s="0" t="n">
        <v>31</v>
      </c>
      <c r="B223" s="34" t="n">
        <v>43009</v>
      </c>
      <c r="C223" s="296" t="n">
        <v>396695</v>
      </c>
      <c r="D223" s="29" t="s">
        <v>42</v>
      </c>
      <c r="E223" s="33" t="n">
        <f aca="false">IF(D223="totale",(C223/(A223*24))/F223,IF(D223="marché libre",(C223/(A223*24))/G223,"spécifier histo"))</f>
        <v>0.292160111945795</v>
      </c>
      <c r="F223" s="9" t="n">
        <v>1825</v>
      </c>
      <c r="G223" s="9" t="n">
        <f aca="false">F223-H223</f>
        <v>1825</v>
      </c>
      <c r="H223" s="9" t="n">
        <v>0</v>
      </c>
      <c r="Y223" s="0"/>
    </row>
    <row r="224" customFormat="false" ht="12.8" hidden="false" customHeight="false" outlineLevel="0" collapsed="false">
      <c r="A224" s="0" t="n">
        <v>30</v>
      </c>
      <c r="B224" s="31" t="n">
        <v>43040</v>
      </c>
      <c r="C224" s="296" t="n">
        <v>603687</v>
      </c>
      <c r="D224" s="29" t="s">
        <v>42</v>
      </c>
      <c r="E224" s="33" t="n">
        <f aca="false">IF(D224="totale",(C224/(A224*24))/F224,IF(D224="marché libre",(C224/(A224*24))/G224,"spécifier histo"))</f>
        <v>0.459426940639269</v>
      </c>
      <c r="F224" s="9" t="n">
        <v>1825</v>
      </c>
      <c r="G224" s="9" t="n">
        <f aca="false">F224-H224</f>
        <v>1825</v>
      </c>
      <c r="H224" s="9" t="n">
        <v>0</v>
      </c>
      <c r="Y224" s="0"/>
    </row>
    <row r="225" customFormat="false" ht="12.8" hidden="false" customHeight="false" outlineLevel="0" collapsed="false">
      <c r="A225" s="0" t="n">
        <v>31</v>
      </c>
      <c r="B225" s="34" t="n">
        <v>43070</v>
      </c>
      <c r="C225" s="296" t="n">
        <v>681585</v>
      </c>
      <c r="D225" s="29" t="s">
        <v>42</v>
      </c>
      <c r="E225" s="33" t="n">
        <f aca="false">IF(D225="totale",(C225/(A225*24))/F225,IF(D225="marché libre",(C225/(A225*24))/G225,"spécifier histo"))</f>
        <v>0.501977463543968</v>
      </c>
      <c r="F225" s="9" t="n">
        <v>1825</v>
      </c>
      <c r="G225" s="9" t="n">
        <f aca="false">F225-H225</f>
        <v>1825</v>
      </c>
      <c r="H225" s="9" t="n">
        <v>0</v>
      </c>
      <c r="Y225" s="0"/>
    </row>
    <row r="226" customFormat="false" ht="12.8" hidden="false" customHeight="false" outlineLevel="0" collapsed="false">
      <c r="A226" s="0" t="n">
        <v>31</v>
      </c>
      <c r="B226" s="31" t="n">
        <v>43101</v>
      </c>
      <c r="C226" s="296" t="n">
        <v>635369</v>
      </c>
      <c r="D226" s="29" t="s">
        <v>42</v>
      </c>
      <c r="E226" s="33" t="n">
        <f aca="false">IF(D226="totale",(C226/(A226*24))/F226,IF(D226="marché libre",(C226/(A226*24))/G226,"spécifier histo"))</f>
        <v>0.467940050081013</v>
      </c>
      <c r="F226" s="9" t="n">
        <v>1825</v>
      </c>
      <c r="G226" s="9" t="n">
        <f aca="false">F226-H226</f>
        <v>1825</v>
      </c>
      <c r="H226" s="9" t="n">
        <v>0</v>
      </c>
      <c r="Y226" s="0"/>
    </row>
    <row r="227" customFormat="false" ht="12.8" hidden="false" customHeight="false" outlineLevel="0" collapsed="false">
      <c r="A227" s="0" t="n">
        <v>28</v>
      </c>
      <c r="B227" s="34" t="n">
        <v>43132</v>
      </c>
      <c r="C227" s="296" t="n">
        <v>652519</v>
      </c>
      <c r="D227" s="29" t="s">
        <v>42</v>
      </c>
      <c r="E227" s="33" t="n">
        <f aca="false">IF(D227="totale",(C227/(A227*24))/F227,IF(D227="marché libre",(C227/(A227*24))/G227,"spécifier histo"))</f>
        <v>0.532060502283105</v>
      </c>
      <c r="F227" s="9" t="n">
        <v>1825</v>
      </c>
      <c r="G227" s="9" t="n">
        <f aca="false">F227-H227</f>
        <v>1825</v>
      </c>
      <c r="H227" s="9" t="n">
        <v>0</v>
      </c>
      <c r="Y227" s="0"/>
    </row>
    <row r="228" customFormat="false" ht="12.8" hidden="false" customHeight="false" outlineLevel="0" collapsed="false">
      <c r="A228" s="0" t="n">
        <v>31</v>
      </c>
      <c r="B228" s="31" t="n">
        <v>43160</v>
      </c>
      <c r="C228" s="296" t="n">
        <v>858373</v>
      </c>
      <c r="D228" s="29" t="s">
        <v>42</v>
      </c>
      <c r="E228" s="33" t="n">
        <f aca="false">IF(D228="totale",(C228/(A228*24))/F228,IF(D228="marché libre",(C228/(A228*24))/G228,"spécifier histo"))</f>
        <v>0.632179260568567</v>
      </c>
      <c r="F228" s="9" t="n">
        <v>1825</v>
      </c>
      <c r="G228" s="9" t="n">
        <f aca="false">F228-H228</f>
        <v>1825</v>
      </c>
      <c r="H228" s="9" t="n">
        <v>0</v>
      </c>
      <c r="Y228" s="0"/>
    </row>
    <row r="229" customFormat="false" ht="12.8" hidden="false" customHeight="false" outlineLevel="0" collapsed="false">
      <c r="A229" s="0" t="n">
        <v>28</v>
      </c>
      <c r="B229" s="34" t="n">
        <v>43191</v>
      </c>
      <c r="C229" s="296" t="n">
        <v>758279</v>
      </c>
      <c r="D229" s="29" t="s">
        <v>42</v>
      </c>
      <c r="E229" s="33" t="n">
        <f aca="false">IF(D229="totale",(C229/(A229*24))/F229,IF(D229="marché libre",(C229/(A229*24))/G229,"spécifier histo"))</f>
        <v>0.618296640574038</v>
      </c>
      <c r="F229" s="9" t="n">
        <v>1825</v>
      </c>
      <c r="G229" s="9" t="n">
        <f aca="false">F229-H229</f>
        <v>1825</v>
      </c>
      <c r="H229" s="9" t="n">
        <v>0</v>
      </c>
      <c r="Y229" s="0"/>
    </row>
    <row r="230" customFormat="false" ht="12.8" hidden="false" customHeight="false" outlineLevel="0" collapsed="false">
      <c r="A230" s="0" t="n">
        <v>31</v>
      </c>
      <c r="B230" s="31" t="n">
        <v>43221</v>
      </c>
      <c r="C230" s="296" t="n">
        <v>727455</v>
      </c>
      <c r="D230" s="29" t="s">
        <v>42</v>
      </c>
      <c r="E230" s="33" t="n">
        <f aca="false">IF(D230="totale",(C230/(A230*24))/F230,IF(D230="marché libre",(C230/(A230*24))/G230,"spécifier histo"))</f>
        <v>0.535760053026955</v>
      </c>
      <c r="F230" s="9" t="n">
        <v>1825</v>
      </c>
      <c r="G230" s="9" t="n">
        <f aca="false">F230-H230</f>
        <v>1825</v>
      </c>
      <c r="H230" s="9" t="n">
        <v>0</v>
      </c>
      <c r="Y230" s="0"/>
    </row>
    <row r="231" customFormat="false" ht="12.8" hidden="false" customHeight="false" outlineLevel="0" collapsed="false">
      <c r="A231" s="0" t="n">
        <v>30</v>
      </c>
      <c r="B231" s="34" t="n">
        <v>43252</v>
      </c>
      <c r="C231" s="296" t="n">
        <v>479318</v>
      </c>
      <c r="D231" s="29" t="s">
        <v>42</v>
      </c>
      <c r="E231" s="33" t="n">
        <f aca="false">IF(D231="totale",(C231/(A231*24))/F231,IF(D231="marché libre",(C231/(A231*24))/G231,"spécifier histo"))</f>
        <v>0.364777777777778</v>
      </c>
      <c r="F231" s="9" t="n">
        <v>1825</v>
      </c>
      <c r="G231" s="9" t="n">
        <f aca="false">F231-H231</f>
        <v>1825</v>
      </c>
      <c r="H231" s="9" t="n">
        <v>0</v>
      </c>
      <c r="Y231" s="0"/>
    </row>
    <row r="232" customFormat="false" ht="12.8" hidden="false" customHeight="false" outlineLevel="0" collapsed="false">
      <c r="A232" s="0" t="n">
        <v>31</v>
      </c>
      <c r="B232" s="31" t="n">
        <v>43282</v>
      </c>
      <c r="C232" s="296" t="n">
        <v>845984</v>
      </c>
      <c r="D232" s="29" t="s">
        <v>42</v>
      </c>
      <c r="E232" s="33" t="n">
        <f aca="false">IF(D232="totale",(C232/(A232*24))/F232,IF(D232="marché libre",(C232/(A232*24))/G232,"spécifier histo"))</f>
        <v>0.623054941817646</v>
      </c>
      <c r="F232" s="9" t="n">
        <v>1825</v>
      </c>
      <c r="G232" s="9" t="n">
        <f aca="false">F232-H232</f>
        <v>1825</v>
      </c>
      <c r="H232" s="9" t="n">
        <v>0</v>
      </c>
      <c r="Y232" s="0"/>
    </row>
    <row r="233" customFormat="false" ht="12.8" hidden="false" customHeight="false" outlineLevel="0" collapsed="false">
      <c r="A233" s="0" t="n">
        <v>30</v>
      </c>
      <c r="B233" s="34" t="n">
        <v>43313</v>
      </c>
      <c r="C233" s="296" t="n">
        <v>625416</v>
      </c>
      <c r="D233" s="29" t="s">
        <v>42</v>
      </c>
      <c r="E233" s="33" t="n">
        <f aca="false">IF(D233="totale",(C233/(A233*24))/F233,IF(D233="marché libre",(C233/(A233*24))/G233,"spécifier histo"))</f>
        <v>0.475963470319635</v>
      </c>
      <c r="F233" s="9" t="n">
        <v>1825</v>
      </c>
      <c r="G233" s="9" t="n">
        <f aca="false">F233-H233</f>
        <v>1825</v>
      </c>
      <c r="H233" s="9" t="n">
        <v>0</v>
      </c>
      <c r="Y233" s="0"/>
    </row>
    <row r="234" customFormat="false" ht="12.8" hidden="false" customHeight="false" outlineLevel="0" collapsed="false">
      <c r="A234" s="0" t="n">
        <v>31</v>
      </c>
      <c r="B234" s="31" t="n">
        <v>43344</v>
      </c>
      <c r="C234" s="133" t="n">
        <v>430668</v>
      </c>
      <c r="D234" s="29" t="s">
        <v>42</v>
      </c>
      <c r="E234" s="33" t="n">
        <f aca="false">IF(D234="totale",(C234/(A234*24))/F234,IF(D234="marché libre",(C234/(A234*24))/G234,"spécifier histo"))</f>
        <v>0.317180733539549</v>
      </c>
      <c r="F234" s="9" t="n">
        <v>1825</v>
      </c>
      <c r="G234" s="9" t="n">
        <f aca="false">F234-H234</f>
        <v>1825</v>
      </c>
      <c r="H234" s="9" t="n">
        <v>0</v>
      </c>
      <c r="Y234" s="0"/>
    </row>
    <row r="235" customFormat="false" ht="12.8" hidden="false" customHeight="false" outlineLevel="0" collapsed="false">
      <c r="A235" s="0" t="n">
        <v>31</v>
      </c>
      <c r="B235" s="34" t="n">
        <v>43374</v>
      </c>
      <c r="C235" s="133" t="n">
        <v>502742</v>
      </c>
      <c r="D235" s="29" t="s">
        <v>42</v>
      </c>
      <c r="E235" s="33" t="n">
        <f aca="false">IF(D235="totale",(C235/(A235*24))/F235,IF(D235="marché libre",(C235/(A235*24))/G235,"spécifier histo"))</f>
        <v>0.37026218883488</v>
      </c>
      <c r="F235" s="9" t="n">
        <v>1825</v>
      </c>
      <c r="G235" s="9" t="n">
        <f aca="false">F235-H235</f>
        <v>1825</v>
      </c>
      <c r="H235" s="9" t="n">
        <v>0</v>
      </c>
      <c r="Y235" s="0"/>
    </row>
    <row r="236" customFormat="false" ht="12.8" hidden="false" customHeight="false" outlineLevel="0" collapsed="false">
      <c r="A236" s="1"/>
      <c r="B236" s="1"/>
      <c r="C236" s="1"/>
      <c r="D236" s="1"/>
      <c r="E236" s="1"/>
      <c r="Y236" s="0"/>
    </row>
    <row r="237" customFormat="false" ht="12.8" hidden="false" customHeight="false" outlineLevel="0" collapsed="false">
      <c r="Y237" s="0"/>
    </row>
    <row r="238" customFormat="false" ht="12.8" hidden="false" customHeight="false" outlineLevel="0" collapsed="false">
      <c r="Y238" s="0"/>
    </row>
    <row r="239" customFormat="false" ht="12.8" hidden="false" customHeight="false" outlineLevel="0" collapsed="false">
      <c r="Y239" s="0"/>
    </row>
    <row r="240" customFormat="false" ht="12.8" hidden="false" customHeight="false" outlineLevel="0" collapsed="false">
      <c r="Y240" s="0"/>
    </row>
    <row r="241" customFormat="false" ht="12.8" hidden="false" customHeight="false" outlineLevel="0" collapsed="false">
      <c r="Y241" s="0"/>
    </row>
    <row r="242" customFormat="false" ht="12.8" hidden="false" customHeight="false" outlineLevel="0" collapsed="false">
      <c r="Y242" s="0"/>
    </row>
    <row r="243" customFormat="false" ht="12.8" hidden="false" customHeight="false" outlineLevel="0" collapsed="false">
      <c r="Y243" s="0"/>
    </row>
    <row r="244" customFormat="false" ht="12.8" hidden="false" customHeight="false" outlineLevel="0" collapsed="false">
      <c r="Y244" s="0"/>
    </row>
    <row r="245" customFormat="false" ht="12.8" hidden="false" customHeight="false" outlineLevel="0" collapsed="false">
      <c r="Y245" s="0"/>
    </row>
    <row r="246" customFormat="false" ht="12.8" hidden="false" customHeight="false" outlineLevel="0" collapsed="false">
      <c r="Y246" s="0"/>
    </row>
  </sheetData>
  <mergeCells count="45">
    <mergeCell ref="B1:E2"/>
    <mergeCell ref="F1:O1"/>
    <mergeCell ref="F2:I2"/>
    <mergeCell ref="J2:L2"/>
    <mergeCell ref="M2:N2"/>
    <mergeCell ref="O2:O3"/>
    <mergeCell ref="J3:K3"/>
    <mergeCell ref="J4:K4"/>
    <mergeCell ref="U4:W4"/>
    <mergeCell ref="C6:D6"/>
    <mergeCell ref="F6:F7"/>
    <mergeCell ref="G6:O7"/>
    <mergeCell ref="C7:D7"/>
    <mergeCell ref="U17:X17"/>
    <mergeCell ref="Y17:AB17"/>
    <mergeCell ref="P33:X33"/>
    <mergeCell ref="P35:P36"/>
    <mergeCell ref="Q35:T35"/>
    <mergeCell ref="U35:X35"/>
    <mergeCell ref="Y35:AB35"/>
    <mergeCell ref="P51:X51"/>
    <mergeCell ref="P53:P54"/>
    <mergeCell ref="Q53:T53"/>
    <mergeCell ref="U53:X53"/>
    <mergeCell ref="Y53:AB53"/>
    <mergeCell ref="AD58:AL58"/>
    <mergeCell ref="AD60:AD61"/>
    <mergeCell ref="AE60:AH60"/>
    <mergeCell ref="AI60:AL60"/>
    <mergeCell ref="AM60:AP60"/>
    <mergeCell ref="P69:X69"/>
    <mergeCell ref="P71:P72"/>
    <mergeCell ref="Q71:T71"/>
    <mergeCell ref="U71:X71"/>
    <mergeCell ref="Y71:AB71"/>
    <mergeCell ref="AD76:AL76"/>
    <mergeCell ref="AD78:AD79"/>
    <mergeCell ref="AE78:AH78"/>
    <mergeCell ref="AI78:AL78"/>
    <mergeCell ref="AM78:AP78"/>
    <mergeCell ref="AD94:AL94"/>
    <mergeCell ref="AD96:AD97"/>
    <mergeCell ref="AE96:AH96"/>
    <mergeCell ref="AI96:AL96"/>
    <mergeCell ref="AM96:AP96"/>
  </mergeCells>
  <conditionalFormatting sqref="E10:E23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9.xml><?xml version="1.0" encoding="utf-8"?>
<worksheet xmlns="http://schemas.openxmlformats.org/spreadsheetml/2006/main" xmlns:r="http://schemas.openxmlformats.org/officeDocument/2006/relationships">
  <sheetPr filterMode="false">
    <tabColor rgb="FF009933"/>
    <pageSetUpPr fitToPage="false"/>
  </sheetPr>
  <dimension ref="A1:X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8" topLeftCell="B195" activePane="bottomRight" state="frozen"/>
      <selection pane="topLeft" activeCell="A1" activeCellId="0" sqref="A1"/>
      <selection pane="topRight" activeCell="B1" activeCellId="0" sqref="B1"/>
      <selection pane="bottomLeft" activeCell="A195" activeCellId="0" sqref="A195"/>
      <selection pane="bottomRight" activeCell="B196" activeCellId="0" sqref="B196"/>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22" t="s">
        <v>108</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1.65" hidden="false" customHeight="true" outlineLevel="0" collapsed="false">
      <c r="A4" s="0"/>
      <c r="B4" s="5" t="s">
        <v>109</v>
      </c>
      <c r="C4" s="5" t="n">
        <v>71662</v>
      </c>
      <c r="D4" s="5" t="s">
        <v>935</v>
      </c>
      <c r="E4" s="14" t="s">
        <v>936</v>
      </c>
      <c r="F4" s="15" t="n">
        <v>138</v>
      </c>
      <c r="G4" s="15" t="n">
        <v>138</v>
      </c>
      <c r="H4" s="15" t="n">
        <v>138</v>
      </c>
      <c r="I4" s="16" t="n">
        <v>138</v>
      </c>
      <c r="J4" s="15" t="n">
        <v>138</v>
      </c>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24"/>
      <c r="H6" s="124"/>
      <c r="I6" s="124"/>
      <c r="J6" s="124"/>
      <c r="K6" s="124"/>
      <c r="L6" s="124"/>
      <c r="M6" s="124"/>
      <c r="N6" s="124"/>
      <c r="P6" s="125" t="n">
        <v>41579</v>
      </c>
      <c r="Q6" s="19" t="s">
        <v>27</v>
      </c>
      <c r="R6" s="9"/>
      <c r="S6" s="22"/>
      <c r="T6" s="5" t="s">
        <v>28</v>
      </c>
    </row>
    <row r="7" customFormat="false" ht="66.9" hidden="false" customHeight="true" outlineLevel="0" collapsed="false">
      <c r="A7" s="0"/>
      <c r="B7" s="0"/>
      <c r="C7" s="126" t="s">
        <v>937</v>
      </c>
      <c r="D7" s="126"/>
      <c r="F7" s="20"/>
      <c r="G7" s="20"/>
      <c r="H7" s="124"/>
      <c r="I7" s="124"/>
      <c r="J7" s="124"/>
      <c r="K7" s="124"/>
      <c r="L7" s="124"/>
      <c r="M7" s="124"/>
      <c r="N7" s="124"/>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24.2" hidden="false" customHeight="true" outlineLevel="0" collapsed="false">
      <c r="A10" s="0" t="n">
        <v>31</v>
      </c>
      <c r="B10" s="31" t="n">
        <v>37622</v>
      </c>
      <c r="C10" s="1" t="n">
        <v>61280</v>
      </c>
      <c r="D10" s="26" t="s">
        <v>41</v>
      </c>
      <c r="E10" s="33" t="n">
        <f aca="false">IF(D10="totale",(C10/(A10*24))/F10,IF(D10="marché libre",(C10/(A10*24))/G10,"spécifier histo"))</f>
        <v>0.596852111578619</v>
      </c>
      <c r="F10" s="59" t="n">
        <v>138</v>
      </c>
      <c r="G10" s="59" t="n">
        <f aca="false">F10-H10</f>
        <v>138</v>
      </c>
      <c r="H10" s="59" t="n">
        <v>0</v>
      </c>
      <c r="I10" s="9"/>
      <c r="J10" s="30"/>
    </row>
    <row r="11" customFormat="false" ht="24.2" hidden="false" customHeight="true" outlineLevel="0" collapsed="false">
      <c r="A11" s="0" t="n">
        <v>28</v>
      </c>
      <c r="B11" s="34" t="n">
        <v>37653</v>
      </c>
      <c r="C11" s="1" t="n">
        <v>59820</v>
      </c>
      <c r="D11" s="26" t="s">
        <v>41</v>
      </c>
      <c r="E11" s="33" t="n">
        <f aca="false">IF(D11="totale",(C11/(A11*24))/F11,IF(D11="marché libre",(C11/(A11*24))/G11,"spécifier histo"))</f>
        <v>0.645056935817805</v>
      </c>
      <c r="F11" s="59" t="n">
        <v>138</v>
      </c>
      <c r="G11" s="59" t="n">
        <f aca="false">F11-H11</f>
        <v>138</v>
      </c>
      <c r="H11" s="59" t="n">
        <v>0</v>
      </c>
      <c r="I11" s="9"/>
      <c r="J11" s="30"/>
    </row>
    <row r="12" customFormat="false" ht="24.2" hidden="false" customHeight="true" outlineLevel="0" collapsed="false">
      <c r="A12" s="0" t="n">
        <v>31</v>
      </c>
      <c r="B12" s="31" t="n">
        <v>37681</v>
      </c>
      <c r="C12" s="1" t="n">
        <v>52520</v>
      </c>
      <c r="D12" s="26" t="s">
        <v>41</v>
      </c>
      <c r="E12" s="33" t="n">
        <f aca="false">IF(D12="totale",(C12/(A12*24))/F12,IF(D12="marché libre",(C12/(A12*24))/G12,"spécifier histo"))</f>
        <v>0.511531868474365</v>
      </c>
      <c r="F12" s="59" t="n">
        <v>138</v>
      </c>
      <c r="G12" s="59" t="n">
        <f aca="false">F12-H12</f>
        <v>138</v>
      </c>
      <c r="H12" s="59" t="n">
        <v>0</v>
      </c>
      <c r="I12" s="9"/>
      <c r="J12" s="30"/>
    </row>
    <row r="13" customFormat="false" ht="24.2" hidden="false" customHeight="true" outlineLevel="0" collapsed="false">
      <c r="A13" s="0" t="n">
        <v>30</v>
      </c>
      <c r="B13" s="34" t="n">
        <v>37712</v>
      </c>
      <c r="C13" s="1" t="n">
        <v>22840</v>
      </c>
      <c r="D13" s="26" t="s">
        <v>41</v>
      </c>
      <c r="E13" s="33" t="n">
        <f aca="false">IF(D13="totale",(C13/(A13*24))/F13,IF(D13="marché libre",(C13/(A13*24))/G13,"spécifier histo"))</f>
        <v>0.229871175523349</v>
      </c>
      <c r="F13" s="59" t="n">
        <v>138</v>
      </c>
      <c r="G13" s="59" t="n">
        <f aca="false">F13-H13</f>
        <v>138</v>
      </c>
      <c r="H13" s="59" t="n">
        <v>0</v>
      </c>
      <c r="I13" s="9"/>
      <c r="J13" s="30"/>
    </row>
    <row r="14" customFormat="false" ht="24.2" hidden="false" customHeight="true" outlineLevel="0" collapsed="false">
      <c r="A14" s="0" t="n">
        <v>31</v>
      </c>
      <c r="B14" s="31" t="n">
        <v>37742</v>
      </c>
      <c r="C14" s="1" t="n">
        <v>43720</v>
      </c>
      <c r="D14" s="26" t="s">
        <v>41</v>
      </c>
      <c r="E14" s="33" t="n">
        <f aca="false">IF(D14="totale",(C14/(A14*24))/F14,IF(D14="marché libre",(C14/(A14*24))/G14,"spécifier histo"))</f>
        <v>0.42582203521895</v>
      </c>
      <c r="F14" s="59" t="n">
        <v>138</v>
      </c>
      <c r="G14" s="59" t="n">
        <f aca="false">F14-H14</f>
        <v>138</v>
      </c>
      <c r="H14" s="59" t="n">
        <v>0</v>
      </c>
      <c r="I14" s="9"/>
      <c r="J14" s="30"/>
    </row>
    <row r="15" customFormat="false" ht="24.2" hidden="false" customHeight="true" outlineLevel="0" collapsed="false">
      <c r="A15" s="0" t="n">
        <v>30</v>
      </c>
      <c r="B15" s="34" t="n">
        <v>37773</v>
      </c>
      <c r="C15" s="1" t="n">
        <v>9680</v>
      </c>
      <c r="D15" s="26" t="s">
        <v>41</v>
      </c>
      <c r="E15" s="33" t="n">
        <f aca="false">IF(D15="totale",(C15/(A15*24))/F15,IF(D15="marché libre",(C15/(A15*24))/G15,"spécifier histo"))</f>
        <v>0.0974235104669887</v>
      </c>
      <c r="F15" s="59" t="n">
        <v>138</v>
      </c>
      <c r="G15" s="59" t="n">
        <f aca="false">F15-H15</f>
        <v>138</v>
      </c>
      <c r="H15" s="59" t="n">
        <v>0</v>
      </c>
      <c r="I15" s="9"/>
      <c r="J15" s="30"/>
    </row>
    <row r="16" customFormat="false" ht="24.2" hidden="false" customHeight="true" outlineLevel="0" collapsed="false">
      <c r="A16" s="0" t="n">
        <v>31</v>
      </c>
      <c r="B16" s="31" t="n">
        <v>37803</v>
      </c>
      <c r="C16" s="1" t="n">
        <v>0</v>
      </c>
      <c r="D16" s="26" t="s">
        <v>41</v>
      </c>
      <c r="E16" s="33" t="n">
        <f aca="false">IF(D16="totale",(C16/(A16*24))/F16,IF(D16="marché libre",(C16/(A16*24))/G16,"spécifier histo"))</f>
        <v>0</v>
      </c>
      <c r="F16" s="59" t="n">
        <v>138</v>
      </c>
      <c r="G16" s="59" t="n">
        <f aca="false">F16-H16</f>
        <v>138</v>
      </c>
      <c r="H16" s="59" t="n">
        <v>0</v>
      </c>
      <c r="I16" s="9"/>
      <c r="J16" s="30"/>
    </row>
    <row r="17" customFormat="false" ht="24.2" hidden="false" customHeight="true" outlineLevel="0" collapsed="false">
      <c r="A17" s="0" t="n">
        <v>31</v>
      </c>
      <c r="B17" s="34" t="n">
        <v>37834</v>
      </c>
      <c r="C17" s="1" t="n">
        <v>0</v>
      </c>
      <c r="D17" s="26" t="s">
        <v>41</v>
      </c>
      <c r="E17" s="33" t="n">
        <f aca="false">IF(D17="totale",(C17/(A17*24))/F17,IF(D17="marché libre",(C17/(A17*24))/G17,"spécifier histo"))</f>
        <v>0</v>
      </c>
      <c r="F17" s="59" t="n">
        <v>138</v>
      </c>
      <c r="G17" s="59" t="n">
        <f aca="false">F17-H17</f>
        <v>138</v>
      </c>
      <c r="H17" s="59" t="n">
        <v>0</v>
      </c>
      <c r="I17" s="9"/>
      <c r="J17" s="30"/>
    </row>
    <row r="18" customFormat="false" ht="24.2" hidden="false" customHeight="true" outlineLevel="0" collapsed="false">
      <c r="A18" s="0" t="n">
        <v>30</v>
      </c>
      <c r="B18" s="31" t="n">
        <v>37865</v>
      </c>
      <c r="C18" s="1" t="n">
        <v>0</v>
      </c>
      <c r="D18" s="26" t="s">
        <v>41</v>
      </c>
      <c r="E18" s="33" t="n">
        <f aca="false">IF(D18="totale",(C18/(A18*24))/F18,IF(D18="marché libre",(C18/(A18*24))/G18,"spécifier histo"))</f>
        <v>0</v>
      </c>
      <c r="F18" s="59" t="n">
        <v>138</v>
      </c>
      <c r="G18" s="59" t="n">
        <f aca="false">F18-H18</f>
        <v>138</v>
      </c>
      <c r="H18" s="59" t="n">
        <v>0</v>
      </c>
      <c r="I18" s="9"/>
      <c r="J18" s="30"/>
    </row>
    <row r="19" customFormat="false" ht="24.2" hidden="false" customHeight="true" outlineLevel="0" collapsed="false">
      <c r="A19" s="0" t="n">
        <v>31</v>
      </c>
      <c r="B19" s="34" t="n">
        <v>37895</v>
      </c>
      <c r="C19" s="1" t="n">
        <v>0</v>
      </c>
      <c r="D19" s="26" t="s">
        <v>41</v>
      </c>
      <c r="E19" s="33" t="n">
        <f aca="false">IF(D19="totale",(C19/(A19*24))/F19,IF(D19="marché libre",(C19/(A19*24))/G19,"spécifier histo"))</f>
        <v>0</v>
      </c>
      <c r="F19" s="59" t="n">
        <v>138</v>
      </c>
      <c r="G19" s="59" t="n">
        <f aca="false">F19-H19</f>
        <v>138</v>
      </c>
      <c r="H19" s="59" t="n">
        <v>0</v>
      </c>
      <c r="I19" s="9"/>
      <c r="J19" s="30"/>
    </row>
    <row r="20" customFormat="false" ht="24.2" hidden="false" customHeight="true" outlineLevel="0" collapsed="false">
      <c r="A20" s="0" t="n">
        <v>30</v>
      </c>
      <c r="B20" s="31" t="n">
        <v>37926</v>
      </c>
      <c r="C20" s="1" t="n">
        <v>0</v>
      </c>
      <c r="D20" s="26" t="s">
        <v>41</v>
      </c>
      <c r="E20" s="33" t="n">
        <f aca="false">IF(D20="totale",(C20/(A20*24))/F20,IF(D20="marché libre",(C20/(A20*24))/G20,"spécifier histo"))</f>
        <v>0</v>
      </c>
      <c r="F20" s="59" t="n">
        <v>138</v>
      </c>
      <c r="G20" s="59" t="n">
        <f aca="false">F20-H20</f>
        <v>138</v>
      </c>
      <c r="H20" s="59" t="n">
        <v>0</v>
      </c>
      <c r="I20" s="9"/>
      <c r="J20" s="30"/>
    </row>
    <row r="21" customFormat="false" ht="24.2" hidden="false" customHeight="true" outlineLevel="0" collapsed="false">
      <c r="A21" s="0" t="n">
        <v>31</v>
      </c>
      <c r="B21" s="34" t="n">
        <v>37956</v>
      </c>
      <c r="C21" s="1" t="n">
        <v>32160</v>
      </c>
      <c r="D21" s="26" t="s">
        <v>41</v>
      </c>
      <c r="E21" s="33" t="n">
        <f aca="false">IF(D21="totale",(C21/(A21*24))/F21,IF(D21="marché libre",(C21/(A21*24))/G21,"spécifier histo"))</f>
        <v>0.313230481533427</v>
      </c>
      <c r="F21" s="59" t="n">
        <v>138</v>
      </c>
      <c r="G21" s="59" t="n">
        <f aca="false">F21-H21</f>
        <v>138</v>
      </c>
      <c r="H21" s="59" t="n">
        <v>0</v>
      </c>
      <c r="I21" s="9"/>
      <c r="J21" s="30"/>
    </row>
    <row r="22" customFormat="false" ht="24.2" hidden="false" customHeight="true" outlineLevel="0" collapsed="false">
      <c r="A22" s="26" t="n">
        <v>31</v>
      </c>
      <c r="B22" s="31" t="n">
        <v>37987</v>
      </c>
      <c r="C22" s="1" t="n">
        <v>66340</v>
      </c>
      <c r="D22" s="26" t="s">
        <v>41</v>
      </c>
      <c r="E22" s="33" t="n">
        <f aca="false">IF(D22="totale",(C22/(A22*24))/F22,IF(D22="marché libre",(C22/(A22*24))/G22,"spécifier histo"))</f>
        <v>0.646135265700483</v>
      </c>
      <c r="F22" s="59" t="n">
        <v>138</v>
      </c>
      <c r="G22" s="59" t="n">
        <f aca="false">F22-H22</f>
        <v>138</v>
      </c>
      <c r="H22" s="59" t="n">
        <v>0</v>
      </c>
      <c r="I22" s="9"/>
      <c r="J22" s="30"/>
    </row>
    <row r="23" customFormat="false" ht="24.2" hidden="false" customHeight="true" outlineLevel="0" collapsed="false">
      <c r="A23" s="26" t="n">
        <v>28</v>
      </c>
      <c r="B23" s="34" t="n">
        <v>38018</v>
      </c>
      <c r="C23" s="1" t="n">
        <v>44420</v>
      </c>
      <c r="D23" s="26" t="s">
        <v>41</v>
      </c>
      <c r="E23" s="33" t="n">
        <f aca="false">IF(D23="totale",(C23/(A23*24))/F23,IF(D23="marché libre",(C23/(A23*24))/G23,"spécifier histo"))</f>
        <v>0.478994133885438</v>
      </c>
      <c r="F23" s="59" t="n">
        <v>138</v>
      </c>
      <c r="G23" s="59" t="n">
        <f aca="false">F23-H23</f>
        <v>138</v>
      </c>
      <c r="H23" s="59" t="n">
        <v>0</v>
      </c>
      <c r="I23" s="9"/>
      <c r="J23" s="30"/>
    </row>
    <row r="24" customFormat="false" ht="24.2" hidden="false" customHeight="true" outlineLevel="0" collapsed="false">
      <c r="A24" s="26" t="n">
        <v>31</v>
      </c>
      <c r="B24" s="31" t="n">
        <v>38047</v>
      </c>
      <c r="C24" s="1" t="n">
        <v>29240</v>
      </c>
      <c r="D24" s="26" t="s">
        <v>41</v>
      </c>
      <c r="E24" s="33" t="n">
        <f aca="false">IF(D24="totale",(C24/(A24*24))/F24,IF(D24="marché libre",(C24/(A24*24))/G24,"spécifier histo"))</f>
        <v>0.284790400498675</v>
      </c>
      <c r="F24" s="59" t="n">
        <v>138</v>
      </c>
      <c r="G24" s="59" t="n">
        <f aca="false">F24-H24</f>
        <v>138</v>
      </c>
      <c r="H24" s="59" t="n">
        <v>0</v>
      </c>
      <c r="I24" s="9"/>
      <c r="J24" s="30"/>
    </row>
    <row r="25" customFormat="false" ht="24.2" hidden="false" customHeight="true" outlineLevel="0" collapsed="false">
      <c r="A25" s="26" t="n">
        <v>30</v>
      </c>
      <c r="B25" s="34" t="n">
        <v>38078</v>
      </c>
      <c r="C25" s="1" t="n">
        <v>1713</v>
      </c>
      <c r="D25" s="26" t="s">
        <v>41</v>
      </c>
      <c r="E25" s="33" t="n">
        <f aca="false">IF(D25="totale",(C25/(A25*24))/F25,IF(D25="marché libre",(C25/(A25*24))/G25,"spécifier histo"))</f>
        <v>0.0172403381642512</v>
      </c>
      <c r="F25" s="59" t="n">
        <v>138</v>
      </c>
      <c r="G25" s="59" t="n">
        <f aca="false">F25-H25</f>
        <v>138</v>
      </c>
      <c r="H25" s="59" t="n">
        <v>0</v>
      </c>
      <c r="I25" s="9"/>
      <c r="J25" s="30"/>
    </row>
    <row r="26" customFormat="false" ht="24.2" hidden="false" customHeight="true" outlineLevel="0" collapsed="false">
      <c r="A26" s="26" t="n">
        <v>31</v>
      </c>
      <c r="B26" s="31" t="n">
        <v>38108</v>
      </c>
      <c r="C26" s="1" t="n">
        <v>1480</v>
      </c>
      <c r="D26" s="26" t="s">
        <v>41</v>
      </c>
      <c r="E26" s="33" t="n">
        <f aca="false">IF(D26="totale",(C26/(A26*24))/F26,IF(D26="marché libre",(C26/(A26*24))/G26,"spécifier histo"))</f>
        <v>0.0144148355929562</v>
      </c>
      <c r="F26" s="59" t="n">
        <v>138</v>
      </c>
      <c r="G26" s="59" t="n">
        <f aca="false">F26-H26</f>
        <v>138</v>
      </c>
      <c r="H26" s="59" t="n">
        <v>0</v>
      </c>
      <c r="I26" s="9"/>
      <c r="J26" s="30"/>
    </row>
    <row r="27" customFormat="false" ht="24.2" hidden="false" customHeight="true" outlineLevel="0" collapsed="false">
      <c r="A27" s="26" t="n">
        <v>30</v>
      </c>
      <c r="B27" s="34" t="n">
        <v>38139</v>
      </c>
      <c r="C27" s="1" t="n">
        <v>3680</v>
      </c>
      <c r="D27" s="26" t="s">
        <v>41</v>
      </c>
      <c r="E27" s="33" t="n">
        <f aca="false">IF(D27="totale",(C27/(A27*24))/F27,IF(D27="marché libre",(C27/(A27*24))/G27,"spécifier histo"))</f>
        <v>0.037037037037037</v>
      </c>
      <c r="F27" s="59" t="n">
        <v>138</v>
      </c>
      <c r="G27" s="59" t="n">
        <f aca="false">F27-H27</f>
        <v>138</v>
      </c>
      <c r="H27" s="59" t="n">
        <v>0</v>
      </c>
      <c r="I27" s="9"/>
      <c r="J27" s="30"/>
    </row>
    <row r="28" customFormat="false" ht="24.2" hidden="false" customHeight="true" outlineLevel="0" collapsed="false">
      <c r="A28" s="26" t="n">
        <v>31</v>
      </c>
      <c r="B28" s="31" t="n">
        <v>38169</v>
      </c>
      <c r="C28" s="1" t="n">
        <v>0</v>
      </c>
      <c r="D28" s="26" t="s">
        <v>41</v>
      </c>
      <c r="E28" s="33" t="n">
        <f aca="false">IF(D28="totale",(C28/(A28*24))/F28,IF(D28="marché libre",(C28/(A28*24))/G28,"spécifier histo"))</f>
        <v>0</v>
      </c>
      <c r="F28" s="59" t="n">
        <v>138</v>
      </c>
      <c r="G28" s="59" t="n">
        <f aca="false">F28-H28</f>
        <v>138</v>
      </c>
      <c r="H28" s="59" t="n">
        <v>0</v>
      </c>
      <c r="I28" s="9"/>
      <c r="J28" s="30"/>
    </row>
    <row r="29" customFormat="false" ht="24.2" hidden="false" customHeight="true" outlineLevel="0" collapsed="false">
      <c r="A29" s="26" t="n">
        <v>31</v>
      </c>
      <c r="B29" s="34" t="n">
        <v>38200</v>
      </c>
      <c r="C29" s="1" t="n">
        <v>0</v>
      </c>
      <c r="D29" s="26" t="s">
        <v>41</v>
      </c>
      <c r="E29" s="33" t="n">
        <f aca="false">IF(D29="totale",(C29/(A29*24))/F29,IF(D29="marché libre",(C29/(A29*24))/G29,"spécifier histo"))</f>
        <v>0</v>
      </c>
      <c r="F29" s="59" t="n">
        <v>138</v>
      </c>
      <c r="G29" s="59" t="n">
        <f aca="false">F29-H29</f>
        <v>138</v>
      </c>
      <c r="H29" s="59" t="n">
        <v>0</v>
      </c>
      <c r="I29" s="9"/>
      <c r="J29" s="30"/>
    </row>
    <row r="30" customFormat="false" ht="24.2" hidden="false" customHeight="true" outlineLevel="0" collapsed="false">
      <c r="A30" s="26" t="n">
        <v>30</v>
      </c>
      <c r="B30" s="31" t="n">
        <v>38231</v>
      </c>
      <c r="C30" s="1" t="n">
        <v>0</v>
      </c>
      <c r="D30" s="26" t="s">
        <v>41</v>
      </c>
      <c r="E30" s="33" t="n">
        <f aca="false">IF(D30="totale",(C30/(A30*24))/F30,IF(D30="marché libre",(C30/(A30*24))/G30,"spécifier histo"))</f>
        <v>0</v>
      </c>
      <c r="F30" s="59" t="n">
        <v>138</v>
      </c>
      <c r="G30" s="59" t="n">
        <f aca="false">F30-H30</f>
        <v>138</v>
      </c>
      <c r="H30" s="59" t="n">
        <v>0</v>
      </c>
      <c r="I30" s="9"/>
      <c r="J30" s="30"/>
    </row>
    <row r="31" customFormat="false" ht="24.2" hidden="false" customHeight="true" outlineLevel="0" collapsed="false">
      <c r="A31" s="26" t="n">
        <v>31</v>
      </c>
      <c r="B31" s="34" t="n">
        <v>38261</v>
      </c>
      <c r="C31" s="1" t="n">
        <v>6520</v>
      </c>
      <c r="D31" s="26" t="s">
        <v>41</v>
      </c>
      <c r="E31" s="33" t="n">
        <f aca="false">IF(D31="totale",(C31/(A31*24))/F31,IF(D31="marché libre",(C31/(A31*24))/G31,"spécifier histo"))</f>
        <v>0.0635031946392395</v>
      </c>
      <c r="F31" s="59" t="n">
        <v>138</v>
      </c>
      <c r="G31" s="59" t="n">
        <f aca="false">F31-H31</f>
        <v>138</v>
      </c>
      <c r="H31" s="59" t="n">
        <v>0</v>
      </c>
      <c r="I31" s="9"/>
      <c r="J31" s="30"/>
    </row>
    <row r="32" customFormat="false" ht="24.2" hidden="false" customHeight="true" outlineLevel="0" collapsed="false">
      <c r="A32" s="26" t="n">
        <v>30</v>
      </c>
      <c r="B32" s="31" t="n">
        <v>38292</v>
      </c>
      <c r="C32" s="1" t="n">
        <v>0</v>
      </c>
      <c r="D32" s="26" t="s">
        <v>41</v>
      </c>
      <c r="E32" s="33" t="n">
        <f aca="false">IF(D32="totale",(C32/(A32*24))/F32,IF(D32="marché libre",(C32/(A32*24))/G32,"spécifier histo"))</f>
        <v>0</v>
      </c>
      <c r="F32" s="59" t="n">
        <v>138</v>
      </c>
      <c r="G32" s="59" t="n">
        <f aca="false">F32-H32</f>
        <v>138</v>
      </c>
      <c r="H32" s="59" t="n">
        <v>0</v>
      </c>
      <c r="I32" s="9"/>
      <c r="J32" s="30"/>
    </row>
    <row r="33" customFormat="false" ht="24.2" hidden="false" customHeight="true" outlineLevel="0" collapsed="false">
      <c r="A33" s="26" t="n">
        <v>31</v>
      </c>
      <c r="B33" s="34" t="n">
        <v>38322</v>
      </c>
      <c r="C33" s="1" t="n">
        <v>18560</v>
      </c>
      <c r="D33" s="26" t="s">
        <v>41</v>
      </c>
      <c r="E33" s="33" t="n">
        <f aca="false">IF(D33="totale",(C33/(A33*24))/F33,IF(D33="marché libre",(C33/(A33*24))/G33,"spécifier histo"))</f>
        <v>0.180769830138694</v>
      </c>
      <c r="F33" s="59" t="n">
        <v>138</v>
      </c>
      <c r="G33" s="59" t="n">
        <f aca="false">F33-H33</f>
        <v>138</v>
      </c>
      <c r="H33" s="59" t="n">
        <v>0</v>
      </c>
      <c r="I33" s="9"/>
      <c r="J33" s="30"/>
    </row>
    <row r="34" customFormat="false" ht="24.2" hidden="false" customHeight="true" outlineLevel="0" collapsed="false">
      <c r="A34" s="26" t="n">
        <v>31</v>
      </c>
      <c r="B34" s="31" t="n">
        <v>38353</v>
      </c>
      <c r="C34" s="1" t="n">
        <v>22360</v>
      </c>
      <c r="D34" s="26" t="s">
        <v>41</v>
      </c>
      <c r="E34" s="33" t="n">
        <f aca="false">IF(D34="totale",(C34/(A34*24))/F34,IF(D34="marché libre",(C34/(A34*24))/G34,"spécifier histo"))</f>
        <v>0.217780894498987</v>
      </c>
      <c r="F34" s="59" t="n">
        <v>138</v>
      </c>
      <c r="G34" s="59" t="n">
        <f aca="false">F34-H34</f>
        <v>138</v>
      </c>
      <c r="H34" s="59" t="n">
        <v>0</v>
      </c>
      <c r="I34" s="9"/>
      <c r="J34" s="30"/>
    </row>
    <row r="35" customFormat="false" ht="24.2" hidden="false" customHeight="true" outlineLevel="0" collapsed="false">
      <c r="A35" s="26" t="n">
        <v>28</v>
      </c>
      <c r="B35" s="34" t="n">
        <v>38384</v>
      </c>
      <c r="C35" s="1" t="n">
        <v>16840</v>
      </c>
      <c r="D35" s="26" t="s">
        <v>41</v>
      </c>
      <c r="E35" s="33" t="n">
        <f aca="false">IF(D35="totale",(C35/(A35*24))/F35,IF(D35="marché libre",(C35/(A35*24))/G35,"spécifier histo"))</f>
        <v>0.181590752242926</v>
      </c>
      <c r="F35" s="59" t="n">
        <v>138</v>
      </c>
      <c r="G35" s="59" t="n">
        <f aca="false">F35-H35</f>
        <v>138</v>
      </c>
      <c r="H35" s="59" t="n">
        <v>0</v>
      </c>
      <c r="I35" s="9"/>
      <c r="J35" s="30"/>
    </row>
    <row r="36" customFormat="false" ht="24.2" hidden="false" customHeight="true" outlineLevel="0" collapsed="false">
      <c r="A36" s="26" t="n">
        <v>31</v>
      </c>
      <c r="B36" s="31" t="n">
        <v>38412</v>
      </c>
      <c r="C36" s="1" t="n">
        <v>7940</v>
      </c>
      <c r="D36" s="26" t="s">
        <v>41</v>
      </c>
      <c r="E36" s="33" t="n">
        <f aca="false">IF(D36="totale",(C36/(A36*24))/F36,IF(D36="marché libre",(C36/(A36*24))/G36,"spécifier histo"))</f>
        <v>0.0773336450054543</v>
      </c>
      <c r="F36" s="59" t="n">
        <v>138</v>
      </c>
      <c r="G36" s="59" t="n">
        <f aca="false">F36-H36</f>
        <v>138</v>
      </c>
      <c r="H36" s="59" t="n">
        <v>0</v>
      </c>
      <c r="I36" s="9"/>
      <c r="J36" s="30"/>
    </row>
    <row r="37" customFormat="false" ht="24.2" hidden="false" customHeight="true" outlineLevel="0" collapsed="false">
      <c r="A37" s="26" t="n">
        <v>30</v>
      </c>
      <c r="B37" s="34" t="n">
        <v>38443</v>
      </c>
      <c r="C37" s="1" t="n">
        <v>28240</v>
      </c>
      <c r="D37" s="26" t="s">
        <v>41</v>
      </c>
      <c r="E37" s="33" t="n">
        <f aca="false">IF(D37="totale",(C37/(A37*24))/F37,IF(D37="marché libre",(C37/(A37*24))/G37,"spécifier histo"))</f>
        <v>0.284219001610306</v>
      </c>
      <c r="F37" s="59" t="n">
        <v>138</v>
      </c>
      <c r="G37" s="59" t="n">
        <f aca="false">F37-H37</f>
        <v>138</v>
      </c>
      <c r="H37" s="59" t="n">
        <v>0</v>
      </c>
      <c r="I37" s="9"/>
      <c r="J37" s="30"/>
    </row>
    <row r="38" customFormat="false" ht="24.2" hidden="false" customHeight="true" outlineLevel="0" collapsed="false">
      <c r="A38" s="26" t="n">
        <v>31</v>
      </c>
      <c r="B38" s="31" t="n">
        <v>38473</v>
      </c>
      <c r="C38" s="1" t="n">
        <v>6840</v>
      </c>
      <c r="D38" s="26" t="s">
        <v>41</v>
      </c>
      <c r="E38" s="33" t="n">
        <f aca="false">IF(D38="totale",(C38/(A38*24))/F38,IF(D38="marché libre",(C38/(A38*24))/G38,"spécifier histo"))</f>
        <v>0.0666199158485274</v>
      </c>
      <c r="F38" s="59" t="n">
        <v>138</v>
      </c>
      <c r="G38" s="59" t="n">
        <f aca="false">F38-H38</f>
        <v>138</v>
      </c>
      <c r="H38" s="59" t="n">
        <v>0</v>
      </c>
      <c r="I38" s="9"/>
      <c r="J38" s="30"/>
    </row>
    <row r="39" customFormat="false" ht="24.2" hidden="false" customHeight="true" outlineLevel="0" collapsed="false">
      <c r="A39" s="26" t="n">
        <v>30</v>
      </c>
      <c r="B39" s="34" t="n">
        <v>38504</v>
      </c>
      <c r="C39" s="1" t="n">
        <v>0</v>
      </c>
      <c r="D39" s="26" t="s">
        <v>41</v>
      </c>
      <c r="E39" s="33" t="n">
        <f aca="false">IF(D39="totale",(C39/(A39*24))/F39,IF(D39="marché libre",(C39/(A39*24))/G39,"spécifier histo"))</f>
        <v>0</v>
      </c>
      <c r="F39" s="59" t="n">
        <v>138</v>
      </c>
      <c r="G39" s="59" t="n">
        <f aca="false">F39-H39</f>
        <v>138</v>
      </c>
      <c r="H39" s="59" t="n">
        <v>0</v>
      </c>
      <c r="I39" s="9"/>
      <c r="J39" s="30"/>
      <c r="M39" s="0"/>
      <c r="O39" s="0"/>
      <c r="P39" s="0"/>
      <c r="Q39" s="0"/>
      <c r="R39" s="0"/>
      <c r="S39" s="0"/>
      <c r="T39" s="0"/>
      <c r="U39" s="0"/>
      <c r="V39" s="0"/>
      <c r="W39" s="0"/>
      <c r="X39" s="0"/>
    </row>
    <row r="40" customFormat="false" ht="24.2" hidden="false" customHeight="true" outlineLevel="0" collapsed="false">
      <c r="A40" s="26" t="n">
        <v>31</v>
      </c>
      <c r="B40" s="31" t="n">
        <v>38534</v>
      </c>
      <c r="C40" s="1" t="n">
        <v>0</v>
      </c>
      <c r="D40" s="26" t="s">
        <v>41</v>
      </c>
      <c r="E40" s="33" t="n">
        <f aca="false">IF(D40="totale",(C40/(A40*24))/F40,IF(D40="marché libre",(C40/(A40*24))/G40,"spécifier histo"))</f>
        <v>0</v>
      </c>
      <c r="F40" s="59" t="n">
        <v>138</v>
      </c>
      <c r="G40" s="59" t="n">
        <f aca="false">F40-H40</f>
        <v>138</v>
      </c>
      <c r="H40" s="59" t="n">
        <v>0</v>
      </c>
      <c r="I40" s="9"/>
      <c r="J40" s="30"/>
      <c r="M40" s="0"/>
      <c r="O40" s="0"/>
      <c r="P40" s="0"/>
      <c r="Q40" s="0"/>
      <c r="R40" s="0"/>
      <c r="S40" s="0"/>
      <c r="T40" s="0"/>
      <c r="U40" s="0"/>
      <c r="V40" s="0"/>
      <c r="W40" s="0"/>
      <c r="X40" s="0"/>
    </row>
    <row r="41" customFormat="false" ht="24.2" hidden="false" customHeight="true" outlineLevel="0" collapsed="false">
      <c r="A41" s="26" t="n">
        <v>31</v>
      </c>
      <c r="B41" s="34" t="n">
        <v>38565</v>
      </c>
      <c r="C41" s="1" t="n">
        <v>0</v>
      </c>
      <c r="D41" s="26" t="s">
        <v>41</v>
      </c>
      <c r="E41" s="33" t="n">
        <f aca="false">IF(D41="totale",(C41/(A41*24))/F41,IF(D41="marché libre",(C41/(A41*24))/G41,"spécifier histo"))</f>
        <v>0</v>
      </c>
      <c r="F41" s="59" t="n">
        <v>138</v>
      </c>
      <c r="G41" s="59" t="n">
        <f aca="false">F41-H41</f>
        <v>138</v>
      </c>
      <c r="H41" s="59" t="n">
        <v>0</v>
      </c>
      <c r="I41" s="9"/>
      <c r="J41" s="30"/>
      <c r="M41" s="0"/>
      <c r="O41" s="0"/>
      <c r="P41" s="0"/>
      <c r="Q41" s="0"/>
      <c r="R41" s="0"/>
      <c r="S41" s="0"/>
      <c r="T41" s="0"/>
      <c r="U41" s="0"/>
      <c r="V41" s="0"/>
      <c r="W41" s="0"/>
      <c r="X41" s="0"/>
    </row>
    <row r="42" customFormat="false" ht="24.2" hidden="false" customHeight="true" outlineLevel="0" collapsed="false">
      <c r="A42" s="26" t="n">
        <v>30</v>
      </c>
      <c r="B42" s="31" t="n">
        <v>38596</v>
      </c>
      <c r="C42" s="1" t="n">
        <v>0</v>
      </c>
      <c r="D42" s="26" t="s">
        <v>41</v>
      </c>
      <c r="E42" s="33" t="n">
        <f aca="false">IF(D42="totale",(C42/(A42*24))/F42,IF(D42="marché libre",(C42/(A42*24))/G42,"spécifier histo"))</f>
        <v>0</v>
      </c>
      <c r="F42" s="59" t="n">
        <v>138</v>
      </c>
      <c r="G42" s="59" t="n">
        <f aca="false">F42-H42</f>
        <v>138</v>
      </c>
      <c r="H42" s="59" t="n">
        <v>0</v>
      </c>
      <c r="I42" s="9"/>
      <c r="J42" s="30"/>
      <c r="M42" s="0"/>
      <c r="O42" s="0"/>
      <c r="P42" s="0"/>
      <c r="Q42" s="0"/>
      <c r="R42" s="0"/>
      <c r="S42" s="0"/>
      <c r="T42" s="0"/>
      <c r="U42" s="0"/>
      <c r="V42" s="0"/>
      <c r="W42" s="0"/>
      <c r="X42" s="0"/>
    </row>
    <row r="43" customFormat="false" ht="24.2" hidden="false" customHeight="true" outlineLevel="0" collapsed="false">
      <c r="A43" s="26" t="n">
        <v>31</v>
      </c>
      <c r="B43" s="34" t="n">
        <v>38626</v>
      </c>
      <c r="C43" s="1" t="n">
        <v>0</v>
      </c>
      <c r="D43" s="26" t="s">
        <v>41</v>
      </c>
      <c r="E43" s="33" t="n">
        <f aca="false">IF(D43="totale",(C43/(A43*24))/F43,IF(D43="marché libre",(C43/(A43*24))/G43,"spécifier histo"))</f>
        <v>0</v>
      </c>
      <c r="F43" s="59" t="n">
        <v>138</v>
      </c>
      <c r="G43" s="59" t="n">
        <f aca="false">F43-H43</f>
        <v>138</v>
      </c>
      <c r="H43" s="59" t="n">
        <v>0</v>
      </c>
      <c r="I43" s="9"/>
      <c r="J43" s="30"/>
      <c r="M43" s="0"/>
      <c r="O43" s="0"/>
      <c r="P43" s="0"/>
      <c r="Q43" s="0"/>
      <c r="R43" s="0"/>
      <c r="S43" s="0"/>
      <c r="T43" s="0"/>
      <c r="U43" s="0"/>
      <c r="V43" s="0"/>
      <c r="W43" s="0"/>
      <c r="X43" s="0"/>
    </row>
    <row r="44" customFormat="false" ht="24.2" hidden="false" customHeight="true" outlineLevel="0" collapsed="false">
      <c r="A44" s="26" t="n">
        <v>30</v>
      </c>
      <c r="B44" s="31" t="n">
        <v>38657</v>
      </c>
      <c r="C44" s="1" t="n">
        <v>0</v>
      </c>
      <c r="D44" s="26" t="s">
        <v>41</v>
      </c>
      <c r="E44" s="33" t="n">
        <f aca="false">IF(D44="totale",(C44/(A44*24))/F44,IF(D44="marché libre",(C44/(A44*24))/G44,"spécifier histo"))</f>
        <v>0</v>
      </c>
      <c r="F44" s="59" t="n">
        <v>138</v>
      </c>
      <c r="G44" s="59" t="n">
        <f aca="false">F44-H44</f>
        <v>138</v>
      </c>
      <c r="H44" s="59" t="n">
        <v>0</v>
      </c>
      <c r="I44" s="9"/>
      <c r="J44" s="30"/>
      <c r="M44" s="0"/>
      <c r="O44" s="0"/>
      <c r="P44" s="0"/>
      <c r="Q44" s="0"/>
      <c r="R44" s="0"/>
      <c r="S44" s="0"/>
      <c r="T44" s="0"/>
      <c r="U44" s="0"/>
      <c r="V44" s="0"/>
      <c r="W44" s="0"/>
      <c r="X44" s="0"/>
    </row>
    <row r="45" customFormat="false" ht="24.2" hidden="false" customHeight="true" outlineLevel="0" collapsed="false">
      <c r="A45" s="26" t="n">
        <v>31</v>
      </c>
      <c r="B45" s="34" t="n">
        <v>38687</v>
      </c>
      <c r="C45" s="1" t="n">
        <v>0</v>
      </c>
      <c r="D45" s="26" t="s">
        <v>41</v>
      </c>
      <c r="E45" s="33" t="n">
        <f aca="false">IF(D45="totale",(C45/(A45*24))/F45,IF(D45="marché libre",(C45/(A45*24))/G45,"spécifier histo"))</f>
        <v>0</v>
      </c>
      <c r="F45" s="59" t="n">
        <v>138</v>
      </c>
      <c r="G45" s="59" t="n">
        <f aca="false">F45-H45</f>
        <v>138</v>
      </c>
      <c r="H45" s="59" t="n">
        <v>0</v>
      </c>
      <c r="I45" s="9"/>
      <c r="J45" s="30"/>
      <c r="M45" s="0"/>
      <c r="O45" s="0"/>
      <c r="P45" s="0"/>
      <c r="Q45" s="0"/>
      <c r="R45" s="0"/>
      <c r="S45" s="0"/>
      <c r="T45" s="0"/>
      <c r="U45" s="0"/>
      <c r="V45" s="0"/>
      <c r="W45" s="0"/>
      <c r="X45" s="0"/>
    </row>
    <row r="46" customFormat="false" ht="24.2" hidden="false" customHeight="true" outlineLevel="0" collapsed="false">
      <c r="A46" s="26" t="n">
        <v>31</v>
      </c>
      <c r="B46" s="31" t="n">
        <v>38718</v>
      </c>
      <c r="C46" s="1" t="n">
        <v>36440</v>
      </c>
      <c r="D46" s="26" t="s">
        <v>41</v>
      </c>
      <c r="E46" s="33" t="n">
        <f aca="false">IF(D46="totale",(C46/(A46*24))/F46,IF(D46="marché libre",(C46/(A46*24))/G46,"spécifier histo"))</f>
        <v>0.354916627707651</v>
      </c>
      <c r="F46" s="59" t="n">
        <v>138</v>
      </c>
      <c r="G46" s="59" t="n">
        <f aca="false">F46-H46</f>
        <v>138</v>
      </c>
      <c r="H46" s="59" t="n">
        <v>0</v>
      </c>
      <c r="I46" s="9"/>
      <c r="J46" s="30"/>
      <c r="M46" s="0"/>
      <c r="O46" s="0"/>
      <c r="P46" s="0"/>
      <c r="Q46" s="0"/>
      <c r="R46" s="0"/>
      <c r="S46" s="0"/>
      <c r="T46" s="0"/>
      <c r="U46" s="0"/>
      <c r="V46" s="0"/>
      <c r="W46" s="0"/>
      <c r="X46" s="0"/>
    </row>
    <row r="47" customFormat="false" ht="24.2" hidden="false" customHeight="true" outlineLevel="0" collapsed="false">
      <c r="A47" s="26" t="n">
        <v>28</v>
      </c>
      <c r="B47" s="34" t="n">
        <v>38749</v>
      </c>
      <c r="C47" s="1" t="n">
        <v>35500</v>
      </c>
      <c r="D47" s="26" t="s">
        <v>41</v>
      </c>
      <c r="E47" s="33" t="n">
        <f aca="false">IF(D47="totale",(C47/(A47*24))/F47,IF(D47="marché libre",(C47/(A47*24))/G47,"spécifier histo"))</f>
        <v>0.382807108350587</v>
      </c>
      <c r="F47" s="59" t="n">
        <v>138</v>
      </c>
      <c r="G47" s="59" t="n">
        <f aca="false">F47-H47</f>
        <v>138</v>
      </c>
      <c r="H47" s="59" t="n">
        <v>0</v>
      </c>
      <c r="I47" s="9"/>
      <c r="J47" s="30"/>
      <c r="M47" s="0"/>
      <c r="O47" s="0"/>
      <c r="P47" s="0"/>
      <c r="Q47" s="0"/>
      <c r="R47" s="0"/>
      <c r="S47" s="0"/>
      <c r="T47" s="0"/>
      <c r="U47" s="0"/>
      <c r="V47" s="0"/>
      <c r="W47" s="0"/>
      <c r="X47" s="0"/>
    </row>
    <row r="48" customFormat="false" ht="24.2" hidden="false" customHeight="true" outlineLevel="0" collapsed="false">
      <c r="A48" s="26" t="n">
        <v>31</v>
      </c>
      <c r="B48" s="31" t="n">
        <v>38777</v>
      </c>
      <c r="C48" s="1" t="n">
        <v>68460</v>
      </c>
      <c r="D48" s="26" t="s">
        <v>41</v>
      </c>
      <c r="E48" s="33" t="n">
        <f aca="false">IF(D48="totale",(C48/(A48*24))/F48,IF(D48="marché libre",(C48/(A48*24))/G48,"spécifier histo"))</f>
        <v>0.666783543712015</v>
      </c>
      <c r="F48" s="59" t="n">
        <v>138</v>
      </c>
      <c r="G48" s="59" t="n">
        <f aca="false">F48-H48</f>
        <v>138</v>
      </c>
      <c r="H48" s="59" t="n">
        <v>0</v>
      </c>
      <c r="I48" s="9"/>
      <c r="J48" s="30"/>
      <c r="M48" s="0"/>
      <c r="O48" s="0"/>
      <c r="P48" s="0"/>
      <c r="Q48" s="0"/>
      <c r="R48" s="0"/>
      <c r="S48" s="0"/>
      <c r="T48" s="0"/>
      <c r="U48" s="0"/>
      <c r="V48" s="0"/>
      <c r="W48" s="0"/>
      <c r="X48" s="0"/>
    </row>
    <row r="49" customFormat="false" ht="24.2" hidden="false" customHeight="true" outlineLevel="0" collapsed="false">
      <c r="A49" s="26" t="n">
        <v>30</v>
      </c>
      <c r="B49" s="34" t="n">
        <v>38808</v>
      </c>
      <c r="C49" s="1" t="n">
        <v>47000</v>
      </c>
      <c r="D49" s="26" t="s">
        <v>41</v>
      </c>
      <c r="E49" s="33" t="n">
        <f aca="false">IF(D49="totale",(C49/(A49*24))/F49,IF(D49="marché libre",(C49/(A49*24))/G49,"spécifier histo"))</f>
        <v>0.473027375201288</v>
      </c>
      <c r="F49" s="59" t="n">
        <v>138</v>
      </c>
      <c r="G49" s="59" t="n">
        <f aca="false">F49-H49</f>
        <v>138</v>
      </c>
      <c r="H49" s="59" t="n">
        <v>0</v>
      </c>
      <c r="I49" s="9"/>
      <c r="J49" s="30"/>
      <c r="M49" s="0"/>
      <c r="N49" s="0"/>
      <c r="O49" s="0"/>
      <c r="P49" s="0"/>
      <c r="Q49" s="0"/>
      <c r="R49" s="0"/>
      <c r="S49" s="0"/>
      <c r="T49" s="0"/>
      <c r="U49" s="0"/>
      <c r="V49" s="0"/>
      <c r="W49" s="0"/>
      <c r="X49" s="0"/>
    </row>
    <row r="50" customFormat="false" ht="24.2" hidden="false" customHeight="true" outlineLevel="0" collapsed="false">
      <c r="A50" s="26" t="n">
        <v>31</v>
      </c>
      <c r="B50" s="31" t="n">
        <v>38838</v>
      </c>
      <c r="C50" s="1" t="n">
        <v>9200</v>
      </c>
      <c r="D50" s="26" t="s">
        <v>41</v>
      </c>
      <c r="E50" s="33" t="n">
        <f aca="false">IF(D50="totale",(C50/(A50*24))/F50,IF(D50="marché libre",(C50/(A50*24))/G50,"spécifier histo"))</f>
        <v>0.0896057347670251</v>
      </c>
      <c r="F50" s="59" t="n">
        <v>138</v>
      </c>
      <c r="G50" s="59" t="n">
        <f aca="false">F50-H50</f>
        <v>138</v>
      </c>
      <c r="H50" s="59" t="n">
        <v>0</v>
      </c>
      <c r="I50" s="9"/>
      <c r="J50" s="30"/>
      <c r="M50" s="0"/>
      <c r="N50" s="0"/>
      <c r="O50" s="0"/>
      <c r="P50" s="0"/>
      <c r="Q50" s="0"/>
      <c r="R50" s="0"/>
      <c r="S50" s="0"/>
      <c r="T50" s="0"/>
      <c r="U50" s="0"/>
      <c r="V50" s="0"/>
      <c r="W50" s="0"/>
      <c r="X50" s="0"/>
    </row>
    <row r="51" customFormat="false" ht="24.2" hidden="false" customHeight="true" outlineLevel="0" collapsed="false">
      <c r="A51" s="26" t="n">
        <v>30</v>
      </c>
      <c r="B51" s="34" t="n">
        <v>38869</v>
      </c>
      <c r="C51" s="1" t="n">
        <v>0</v>
      </c>
      <c r="D51" s="26" t="s">
        <v>41</v>
      </c>
      <c r="E51" s="33" t="n">
        <f aca="false">IF(D51="totale",(C51/(A51*24))/F51,IF(D51="marché libre",(C51/(A51*24))/G51,"spécifier histo"))</f>
        <v>0</v>
      </c>
      <c r="F51" s="59" t="n">
        <v>138</v>
      </c>
      <c r="G51" s="59" t="n">
        <f aca="false">F51-H51</f>
        <v>138</v>
      </c>
      <c r="H51" s="59" t="n">
        <v>0</v>
      </c>
      <c r="I51" s="9"/>
      <c r="J51" s="30"/>
      <c r="P51" s="0"/>
      <c r="T51" s="0"/>
      <c r="V51" s="0"/>
      <c r="X51" s="0"/>
    </row>
    <row r="52" customFormat="false" ht="24.2" hidden="false" customHeight="true" outlineLevel="0" collapsed="false">
      <c r="A52" s="26" t="n">
        <v>31</v>
      </c>
      <c r="B52" s="31" t="n">
        <v>38899</v>
      </c>
      <c r="C52" s="1" t="n">
        <v>0</v>
      </c>
      <c r="D52" s="26" t="s">
        <v>41</v>
      </c>
      <c r="E52" s="33" t="n">
        <f aca="false">IF(D52="totale",(C52/(A52*24))/F52,IF(D52="marché libre",(C52/(A52*24))/G52,"spécifier histo"))</f>
        <v>0</v>
      </c>
      <c r="F52" s="59" t="n">
        <v>138</v>
      </c>
      <c r="G52" s="59" t="n">
        <f aca="false">F52-H52</f>
        <v>138</v>
      </c>
      <c r="H52" s="59" t="n">
        <v>0</v>
      </c>
      <c r="I52" s="9"/>
      <c r="J52" s="30"/>
      <c r="P52" s="0"/>
      <c r="T52" s="0"/>
      <c r="V52" s="0"/>
      <c r="X52" s="0"/>
    </row>
    <row r="53" customFormat="false" ht="24.2" hidden="false" customHeight="true" outlineLevel="0" collapsed="false">
      <c r="A53" s="26" t="n">
        <v>31</v>
      </c>
      <c r="B53" s="34" t="n">
        <v>38930</v>
      </c>
      <c r="C53" s="1" t="n">
        <v>0</v>
      </c>
      <c r="D53" s="26" t="s">
        <v>41</v>
      </c>
      <c r="E53" s="33" t="n">
        <f aca="false">IF(D53="totale",(C53/(A53*24))/F53,IF(D53="marché libre",(C53/(A53*24))/G53,"spécifier histo"))</f>
        <v>0</v>
      </c>
      <c r="F53" s="59" t="n">
        <v>138</v>
      </c>
      <c r="G53" s="59" t="n">
        <f aca="false">F53-H53</f>
        <v>138</v>
      </c>
      <c r="H53" s="59" t="n">
        <v>0</v>
      </c>
      <c r="I53" s="9"/>
      <c r="J53" s="30"/>
      <c r="K53" s="0"/>
      <c r="P53" s="0"/>
      <c r="T53" s="0"/>
      <c r="V53" s="0"/>
      <c r="X53" s="0"/>
    </row>
    <row r="54" customFormat="false" ht="24.2" hidden="false" customHeight="true" outlineLevel="0" collapsed="false">
      <c r="A54" s="26" t="n">
        <v>30</v>
      </c>
      <c r="B54" s="31" t="n">
        <v>38961</v>
      </c>
      <c r="C54" s="1" t="n">
        <v>10400</v>
      </c>
      <c r="D54" s="26" t="s">
        <v>41</v>
      </c>
      <c r="E54" s="33" t="n">
        <f aca="false">IF(D54="totale",(C54/(A54*24))/F54,IF(D54="marché libre",(C54/(A54*24))/G54,"spécifier histo"))</f>
        <v>0.104669887278583</v>
      </c>
      <c r="F54" s="59" t="n">
        <v>138</v>
      </c>
      <c r="G54" s="59" t="n">
        <f aca="false">F54-H54</f>
        <v>138</v>
      </c>
      <c r="H54" s="59" t="n">
        <v>0</v>
      </c>
      <c r="I54" s="9"/>
      <c r="J54" s="30"/>
      <c r="P54" s="0"/>
      <c r="T54" s="0"/>
      <c r="V54" s="0"/>
      <c r="X54" s="0"/>
    </row>
    <row r="55" customFormat="false" ht="24.2" hidden="false" customHeight="true" outlineLevel="0" collapsed="false">
      <c r="A55" s="26" t="n">
        <v>31</v>
      </c>
      <c r="B55" s="34" t="n">
        <v>38991</v>
      </c>
      <c r="C55" s="1" t="n">
        <v>240</v>
      </c>
      <c r="D55" s="26" t="s">
        <v>41</v>
      </c>
      <c r="E55" s="33" t="n">
        <f aca="false">IF(D55="totale",(C55/(A55*24))/F55,IF(D55="marché libre",(C55/(A55*24))/G55,"spécifier histo"))</f>
        <v>0.00233754090696587</v>
      </c>
      <c r="F55" s="59" t="n">
        <v>138</v>
      </c>
      <c r="G55" s="59" t="n">
        <f aca="false">F55-H55</f>
        <v>138</v>
      </c>
      <c r="H55" s="59" t="n">
        <v>0</v>
      </c>
      <c r="I55" s="9"/>
      <c r="J55" s="30"/>
      <c r="P55" s="0"/>
      <c r="T55" s="0"/>
      <c r="V55" s="0"/>
      <c r="X55" s="0"/>
    </row>
    <row r="56" customFormat="false" ht="24.2" hidden="false" customHeight="true" outlineLevel="0" collapsed="false">
      <c r="A56" s="26" t="n">
        <v>30</v>
      </c>
      <c r="B56" s="31" t="n">
        <v>39022</v>
      </c>
      <c r="C56" s="1" t="n">
        <v>11080</v>
      </c>
      <c r="D56" s="26" t="s">
        <v>41</v>
      </c>
      <c r="E56" s="33" t="n">
        <f aca="false">IF(D56="totale",(C56/(A56*24))/F56,IF(D56="marché libre",(C56/(A56*24))/G56,"spécifier histo"))</f>
        <v>0.111513687600644</v>
      </c>
      <c r="F56" s="59" t="n">
        <v>138</v>
      </c>
      <c r="G56" s="59" t="n">
        <f aca="false">F56-H56</f>
        <v>138</v>
      </c>
      <c r="H56" s="59" t="n">
        <v>0</v>
      </c>
      <c r="I56" s="9"/>
      <c r="J56" s="30"/>
      <c r="P56" s="0"/>
      <c r="T56" s="0"/>
      <c r="V56" s="0"/>
      <c r="X56" s="0"/>
    </row>
    <row r="57" customFormat="false" ht="24.2" hidden="false" customHeight="true" outlineLevel="0" collapsed="false">
      <c r="A57" s="26" t="n">
        <v>31</v>
      </c>
      <c r="B57" s="34" t="n">
        <v>39052</v>
      </c>
      <c r="C57" s="1" t="n">
        <v>41120</v>
      </c>
      <c r="D57" s="26" t="s">
        <v>41</v>
      </c>
      <c r="E57" s="33" t="n">
        <f aca="false">IF(D57="totale",(C57/(A57*24))/F57,IF(D57="marché libre",(C57/(A57*24))/G57,"spécifier histo"))</f>
        <v>0.400498675393486</v>
      </c>
      <c r="F57" s="59" t="n">
        <v>138</v>
      </c>
      <c r="G57" s="59" t="n">
        <f aca="false">F57-H57</f>
        <v>138</v>
      </c>
      <c r="H57" s="59" t="n">
        <v>0</v>
      </c>
      <c r="I57" s="9"/>
      <c r="J57" s="30"/>
      <c r="P57" s="0"/>
      <c r="T57" s="0"/>
      <c r="V57" s="0"/>
      <c r="X57" s="0"/>
    </row>
    <row r="58" customFormat="false" ht="19.85" hidden="false" customHeight="true" outlineLevel="0" collapsed="false">
      <c r="A58" s="0" t="n">
        <v>31</v>
      </c>
      <c r="B58" s="31" t="n">
        <v>39083</v>
      </c>
      <c r="C58" s="1" t="n">
        <v>51180</v>
      </c>
      <c r="D58" s="26" t="s">
        <v>41</v>
      </c>
      <c r="E58" s="33" t="n">
        <f aca="false">IF(D58="totale",(C58/(A58*24))/F58,IF(D58="marché libre",(C58/(A58*24))/G58,"spécifier histo"))</f>
        <v>0.498480598410472</v>
      </c>
      <c r="F58" s="59" t="n">
        <v>138</v>
      </c>
      <c r="G58" s="59" t="n">
        <f aca="false">F58-H58</f>
        <v>138</v>
      </c>
      <c r="H58" s="59" t="n">
        <v>0</v>
      </c>
      <c r="J58" s="55"/>
      <c r="P58" s="0"/>
      <c r="T58" s="0"/>
      <c r="V58" s="0"/>
      <c r="X58" s="0"/>
    </row>
    <row r="59" customFormat="false" ht="19.85" hidden="false" customHeight="true" outlineLevel="0" collapsed="false">
      <c r="A59" s="0" t="n">
        <v>28</v>
      </c>
      <c r="B59" s="34" t="n">
        <v>39114</v>
      </c>
      <c r="C59" s="1" t="n">
        <v>59680</v>
      </c>
      <c r="D59" s="26" t="s">
        <v>41</v>
      </c>
      <c r="E59" s="33" t="n">
        <f aca="false">IF(D59="totale",(C59/(A59*24))/F59,IF(D59="marché libre",(C59/(A59*24))/G59,"spécifier histo"))</f>
        <v>0.643547273982057</v>
      </c>
      <c r="F59" s="59" t="n">
        <v>138</v>
      </c>
      <c r="G59" s="59" t="n">
        <f aca="false">F59-H59</f>
        <v>138</v>
      </c>
      <c r="H59" s="59" t="n">
        <v>0</v>
      </c>
      <c r="J59" s="55"/>
      <c r="P59" s="0"/>
      <c r="T59" s="0"/>
      <c r="V59" s="0"/>
      <c r="X59" s="0"/>
    </row>
    <row r="60" customFormat="false" ht="19.85" hidden="false" customHeight="true" outlineLevel="0" collapsed="false">
      <c r="A60" s="0" t="n">
        <v>31</v>
      </c>
      <c r="B60" s="31" t="n">
        <v>39142</v>
      </c>
      <c r="C60" s="1" t="n">
        <v>65680</v>
      </c>
      <c r="D60" s="26" t="s">
        <v>41</v>
      </c>
      <c r="E60" s="33" t="n">
        <f aca="false">IF(D60="totale",(C60/(A60*24))/F60,IF(D60="marché libre",(C60/(A60*24))/G60,"spécifier histo"))</f>
        <v>0.639707028206327</v>
      </c>
      <c r="F60" s="59" t="n">
        <v>138</v>
      </c>
      <c r="G60" s="59" t="n">
        <f aca="false">F60-H60</f>
        <v>138</v>
      </c>
      <c r="H60" s="59" t="n">
        <v>0</v>
      </c>
      <c r="J60" s="55"/>
      <c r="P60" s="0"/>
      <c r="T60" s="0"/>
      <c r="V60" s="0"/>
      <c r="X60" s="0"/>
    </row>
    <row r="61" customFormat="false" ht="19.85" hidden="false" customHeight="true" outlineLevel="0" collapsed="false">
      <c r="A61" s="0" t="n">
        <v>30</v>
      </c>
      <c r="B61" s="34" t="n">
        <v>39173</v>
      </c>
      <c r="C61" s="1" t="n">
        <v>38520</v>
      </c>
      <c r="D61" s="26" t="s">
        <v>41</v>
      </c>
      <c r="E61" s="33" t="n">
        <f aca="false">IF(D61="totale",(C61/(A61*24))/F61,IF(D61="marché libre",(C61/(A61*24))/G61,"spécifier histo"))</f>
        <v>0.38768115942029</v>
      </c>
      <c r="F61" s="59" t="n">
        <v>138</v>
      </c>
      <c r="G61" s="59" t="n">
        <f aca="false">F61-H61</f>
        <v>138</v>
      </c>
      <c r="H61" s="59" t="n">
        <v>0</v>
      </c>
      <c r="J61" s="55"/>
      <c r="P61" s="0"/>
      <c r="T61" s="0"/>
      <c r="V61" s="0"/>
      <c r="X61" s="0"/>
    </row>
    <row r="62" customFormat="false" ht="19.85" hidden="false" customHeight="true" outlineLevel="0" collapsed="false">
      <c r="A62" s="0" t="n">
        <v>31</v>
      </c>
      <c r="B62" s="31" t="n">
        <v>39203</v>
      </c>
      <c r="C62" s="1" t="n">
        <v>26240</v>
      </c>
      <c r="D62" s="26" t="s">
        <v>41</v>
      </c>
      <c r="E62" s="33" t="n">
        <f aca="false">IF(D62="totale",(C62/(A62*24))/F62,IF(D62="marché libre",(C62/(A62*24))/G62,"spécifier histo"))</f>
        <v>0.255571139161602</v>
      </c>
      <c r="F62" s="59" t="n">
        <v>138</v>
      </c>
      <c r="G62" s="59" t="n">
        <f aca="false">F62-H62</f>
        <v>138</v>
      </c>
      <c r="H62" s="59" t="n">
        <v>0</v>
      </c>
      <c r="J62" s="55"/>
      <c r="P62" s="0"/>
      <c r="T62" s="0"/>
      <c r="V62" s="0"/>
      <c r="X62" s="0"/>
    </row>
    <row r="63" customFormat="false" ht="19.85" hidden="false" customHeight="true" outlineLevel="0" collapsed="false">
      <c r="A63" s="0" t="n">
        <v>30</v>
      </c>
      <c r="B63" s="34" t="n">
        <v>39234</v>
      </c>
      <c r="C63" s="1" t="n">
        <v>34400</v>
      </c>
      <c r="D63" s="26" t="s">
        <v>41</v>
      </c>
      <c r="E63" s="33" t="n">
        <f aca="false">IF(D63="totale",(C63/(A63*24))/F63,IF(D63="marché libre",(C63/(A63*24))/G63,"spécifier histo"))</f>
        <v>0.34621578099839</v>
      </c>
      <c r="F63" s="59" t="n">
        <v>138</v>
      </c>
      <c r="G63" s="59" t="n">
        <f aca="false">F63-H63</f>
        <v>138</v>
      </c>
      <c r="H63" s="59" t="n">
        <v>0</v>
      </c>
      <c r="J63" s="55"/>
      <c r="T63" s="0"/>
      <c r="X63" s="0"/>
    </row>
    <row r="64" customFormat="false" ht="19.85" hidden="false" customHeight="true" outlineLevel="0" collapsed="false">
      <c r="A64" s="0" t="n">
        <v>31</v>
      </c>
      <c r="B64" s="31" t="n">
        <v>39264</v>
      </c>
      <c r="C64" s="1" t="n">
        <v>5320</v>
      </c>
      <c r="D64" s="26" t="s">
        <v>41</v>
      </c>
      <c r="E64" s="33" t="n">
        <f aca="false">IF(D64="totale",(C64/(A64*24))/F64,IF(D64="marché libre",(C64/(A64*24))/G64,"spécifier histo"))</f>
        <v>0.0518154901044102</v>
      </c>
      <c r="F64" s="59" t="n">
        <v>138</v>
      </c>
      <c r="G64" s="59" t="n">
        <f aca="false">F64-H64</f>
        <v>138</v>
      </c>
      <c r="H64" s="59" t="n">
        <v>0</v>
      </c>
      <c r="J64" s="55"/>
      <c r="T64" s="0"/>
      <c r="X64" s="0"/>
    </row>
    <row r="65" customFormat="false" ht="19.85" hidden="false" customHeight="true" outlineLevel="0" collapsed="false">
      <c r="A65" s="0" t="n">
        <v>31</v>
      </c>
      <c r="B65" s="34" t="n">
        <v>39295</v>
      </c>
      <c r="C65" s="1" t="n">
        <v>0</v>
      </c>
      <c r="D65" s="26" t="s">
        <v>41</v>
      </c>
      <c r="E65" s="33" t="n">
        <f aca="false">IF(D65="totale",(C65/(A65*24))/F65,IF(D65="marché libre",(C65/(A65*24))/G65,"spécifier histo"))</f>
        <v>0</v>
      </c>
      <c r="F65" s="59" t="n">
        <v>138</v>
      </c>
      <c r="G65" s="59" t="n">
        <f aca="false">F65-H65</f>
        <v>138</v>
      </c>
      <c r="H65" s="59" t="n">
        <v>0</v>
      </c>
      <c r="J65" s="55"/>
      <c r="T65" s="0"/>
      <c r="X65" s="0"/>
    </row>
    <row r="66" customFormat="false" ht="19.85" hidden="false" customHeight="true" outlineLevel="0" collapsed="false">
      <c r="A66" s="0" t="n">
        <v>30</v>
      </c>
      <c r="B66" s="31" t="n">
        <v>39326</v>
      </c>
      <c r="C66" s="1" t="n">
        <v>0</v>
      </c>
      <c r="D66" s="26" t="s">
        <v>41</v>
      </c>
      <c r="E66" s="33" t="n">
        <f aca="false">IF(D66="totale",(C66/(A66*24))/F66,IF(D66="marché libre",(C66/(A66*24))/G66,"spécifier histo"))</f>
        <v>0</v>
      </c>
      <c r="F66" s="59" t="n">
        <v>138</v>
      </c>
      <c r="G66" s="59" t="n">
        <f aca="false">F66-H66</f>
        <v>138</v>
      </c>
      <c r="H66" s="59" t="n">
        <v>0</v>
      </c>
      <c r="J66" s="55"/>
      <c r="T66" s="0"/>
      <c r="X66" s="0"/>
    </row>
    <row r="67" customFormat="false" ht="19.85" hidden="false" customHeight="true" outlineLevel="0" collapsed="false">
      <c r="A67" s="0" t="n">
        <v>31</v>
      </c>
      <c r="B67" s="34" t="n">
        <v>39356</v>
      </c>
      <c r="C67" s="1" t="n">
        <v>0</v>
      </c>
      <c r="D67" s="26" t="s">
        <v>41</v>
      </c>
      <c r="E67" s="33" t="n">
        <f aca="false">IF(D67="totale",(C67/(A67*24))/F67,IF(D67="marché libre",(C67/(A67*24))/G67,"spécifier histo"))</f>
        <v>0</v>
      </c>
      <c r="F67" s="59" t="n">
        <v>138</v>
      </c>
      <c r="G67" s="59" t="n">
        <f aca="false">F67-H67</f>
        <v>138</v>
      </c>
      <c r="H67" s="59" t="n">
        <v>0</v>
      </c>
      <c r="J67" s="55"/>
      <c r="T67" s="0"/>
      <c r="X67" s="0"/>
    </row>
    <row r="68" customFormat="false" ht="19.85" hidden="false" customHeight="true" outlineLevel="0" collapsed="false">
      <c r="A68" s="0" t="n">
        <v>30</v>
      </c>
      <c r="B68" s="31" t="n">
        <v>39387</v>
      </c>
      <c r="C68" s="1" t="n">
        <v>0</v>
      </c>
      <c r="D68" s="26" t="s">
        <v>41</v>
      </c>
      <c r="E68" s="33" t="n">
        <f aca="false">IF(D68="totale",(C68/(A68*24))/F68,IF(D68="marché libre",(C68/(A68*24))/G68,"spécifier histo"))</f>
        <v>0</v>
      </c>
      <c r="F68" s="59" t="n">
        <v>138</v>
      </c>
      <c r="G68" s="59" t="n">
        <f aca="false">F68-H68</f>
        <v>138</v>
      </c>
      <c r="H68" s="59" t="n">
        <v>0</v>
      </c>
      <c r="J68" s="55"/>
      <c r="T68" s="0"/>
      <c r="X68" s="0"/>
    </row>
    <row r="69" customFormat="false" ht="19.85" hidden="false" customHeight="true" outlineLevel="0" collapsed="false">
      <c r="A69" s="0" t="n">
        <v>31</v>
      </c>
      <c r="B69" s="34" t="n">
        <v>39417</v>
      </c>
      <c r="C69" s="1" t="n">
        <v>22680</v>
      </c>
      <c r="D69" s="26" t="s">
        <v>41</v>
      </c>
      <c r="E69" s="33" t="n">
        <f aca="false">IF(D69="totale",(C69/(A69*24))/F69,IF(D69="marché libre",(C69/(A69*24))/G69,"spécifier histo"))</f>
        <v>0.220897615708275</v>
      </c>
      <c r="F69" s="59" t="n">
        <v>138</v>
      </c>
      <c r="G69" s="59" t="n">
        <f aca="false">F69-H69</f>
        <v>138</v>
      </c>
      <c r="H69" s="59" t="n">
        <v>0</v>
      </c>
      <c r="J69" s="55"/>
      <c r="T69" s="0"/>
      <c r="X69" s="0"/>
    </row>
    <row r="70" customFormat="false" ht="19.85" hidden="false" customHeight="true" outlineLevel="0" collapsed="false">
      <c r="A70" s="0" t="n">
        <v>31</v>
      </c>
      <c r="B70" s="31" t="n">
        <v>39448</v>
      </c>
      <c r="C70" s="1" t="n">
        <v>48820</v>
      </c>
      <c r="D70" s="26" t="s">
        <v>41</v>
      </c>
      <c r="E70" s="33" t="n">
        <f aca="false">IF(D70="totale",(C70/(A70*24))/F70,IF(D70="marché libre",(C70/(A70*24))/G70,"spécifier histo"))</f>
        <v>0.475494779491975</v>
      </c>
      <c r="F70" s="59" t="n">
        <v>138</v>
      </c>
      <c r="G70" s="59" t="n">
        <f aca="false">F70-H70</f>
        <v>138</v>
      </c>
      <c r="H70" s="59" t="n">
        <v>0</v>
      </c>
      <c r="J70" s="55"/>
      <c r="T70" s="0"/>
      <c r="X70" s="0"/>
    </row>
    <row r="71" customFormat="false" ht="19.85" hidden="false" customHeight="true" outlineLevel="0" collapsed="false">
      <c r="A71" s="0" t="n">
        <v>28</v>
      </c>
      <c r="B71" s="34" t="n">
        <v>39479</v>
      </c>
      <c r="C71" s="1" t="n">
        <v>39320</v>
      </c>
      <c r="D71" s="26" t="s">
        <v>41</v>
      </c>
      <c r="E71" s="33" t="n">
        <f aca="false">IF(D71="totale",(C71/(A71*24))/F71,IF(D71="marché libre",(C71/(A71*24))/G71,"spécifier histo"))</f>
        <v>0.423999309868875</v>
      </c>
      <c r="F71" s="59" t="n">
        <v>138</v>
      </c>
      <c r="G71" s="59" t="n">
        <f aca="false">F71-H71</f>
        <v>138</v>
      </c>
      <c r="H71" s="59" t="n">
        <v>0</v>
      </c>
      <c r="J71" s="55"/>
      <c r="T71" s="0"/>
      <c r="X71" s="0"/>
    </row>
    <row r="72" customFormat="false" ht="19.85" hidden="false" customHeight="true" outlineLevel="0" collapsed="false">
      <c r="A72" s="0" t="n">
        <v>31</v>
      </c>
      <c r="B72" s="31" t="n">
        <v>39508</v>
      </c>
      <c r="C72" s="1" t="n">
        <v>44660</v>
      </c>
      <c r="D72" s="26" t="s">
        <v>41</v>
      </c>
      <c r="E72" s="33" t="n">
        <f aca="false">IF(D72="totale",(C72/(A72*24))/F72,IF(D72="marché libre",(C72/(A72*24))/G72,"spécifier histo"))</f>
        <v>0.434977403771233</v>
      </c>
      <c r="F72" s="59" t="n">
        <v>138</v>
      </c>
      <c r="G72" s="59" t="n">
        <f aca="false">F72-H72</f>
        <v>138</v>
      </c>
      <c r="H72" s="59" t="n">
        <v>0</v>
      </c>
      <c r="J72" s="55"/>
      <c r="T72" s="0"/>
      <c r="X72" s="0"/>
    </row>
    <row r="73" customFormat="false" ht="19.85" hidden="false" customHeight="true" outlineLevel="0" collapsed="false">
      <c r="A73" s="0" t="n">
        <v>30</v>
      </c>
      <c r="B73" s="34" t="n">
        <v>39539</v>
      </c>
      <c r="C73" s="1" t="n">
        <v>52240</v>
      </c>
      <c r="D73" s="26" t="s">
        <v>41</v>
      </c>
      <c r="E73" s="33" t="n">
        <f aca="false">IF(D73="totale",(C73/(A73*24))/F73,IF(D73="marché libre",(C73/(A73*24))/G73,"spécifier histo"))</f>
        <v>0.525764895330113</v>
      </c>
      <c r="F73" s="59" t="n">
        <v>138</v>
      </c>
      <c r="G73" s="59" t="n">
        <f aca="false">F73-H73</f>
        <v>138</v>
      </c>
      <c r="H73" s="59" t="n">
        <v>0</v>
      </c>
      <c r="J73" s="55"/>
      <c r="T73" s="0"/>
      <c r="X73" s="0"/>
    </row>
    <row r="74" customFormat="false" ht="19.85" hidden="false" customHeight="true" outlineLevel="0" collapsed="false">
      <c r="A74" s="0" t="n">
        <v>31</v>
      </c>
      <c r="B74" s="31" t="n">
        <v>39569</v>
      </c>
      <c r="C74" s="1" t="n">
        <v>47600</v>
      </c>
      <c r="D74" s="26" t="s">
        <v>41</v>
      </c>
      <c r="E74" s="33" t="n">
        <f aca="false">IF(D74="totale",(C74/(A74*24))/F74,IF(D74="marché libre",(C74/(A74*24))/G74,"spécifier histo"))</f>
        <v>0.463612279881565</v>
      </c>
      <c r="F74" s="59" t="n">
        <v>138</v>
      </c>
      <c r="G74" s="59" t="n">
        <f aca="false">F74-H74</f>
        <v>138</v>
      </c>
      <c r="H74" s="59" t="n">
        <v>0</v>
      </c>
      <c r="J74" s="55"/>
      <c r="T74" s="0"/>
      <c r="X74" s="0"/>
    </row>
    <row r="75" customFormat="false" ht="19.85" hidden="false" customHeight="true" outlineLevel="0" collapsed="false">
      <c r="A75" s="0" t="n">
        <v>30</v>
      </c>
      <c r="B75" s="34" t="n">
        <v>39600</v>
      </c>
      <c r="C75" s="1" t="n">
        <v>45080</v>
      </c>
      <c r="D75" s="26" t="s">
        <v>41</v>
      </c>
      <c r="E75" s="33" t="n">
        <f aca="false">IF(D75="totale",(C75/(A75*24))/F75,IF(D75="marché libre",(C75/(A75*24))/G75,"spécifier histo"))</f>
        <v>0.453703703703704</v>
      </c>
      <c r="F75" s="59" t="n">
        <v>138</v>
      </c>
      <c r="G75" s="59" t="n">
        <f aca="false">F75-H75</f>
        <v>138</v>
      </c>
      <c r="H75" s="59" t="n">
        <v>0</v>
      </c>
      <c r="J75" s="55"/>
      <c r="T75" s="0"/>
      <c r="X75" s="0"/>
    </row>
    <row r="76" customFormat="false" ht="19.85" hidden="false" customHeight="true" outlineLevel="0" collapsed="false">
      <c r="A76" s="0" t="n">
        <v>31</v>
      </c>
      <c r="B76" s="31" t="n">
        <v>39630</v>
      </c>
      <c r="C76" s="1" t="n">
        <v>0</v>
      </c>
      <c r="D76" s="26" t="s">
        <v>41</v>
      </c>
      <c r="E76" s="33" t="n">
        <f aca="false">IF(D76="totale",(C76/(A76*24))/F76,IF(D76="marché libre",(C76/(A76*24))/G76,"spécifier histo"))</f>
        <v>0</v>
      </c>
      <c r="F76" s="59" t="n">
        <v>138</v>
      </c>
      <c r="G76" s="59" t="n">
        <f aca="false">F76-H76</f>
        <v>138</v>
      </c>
      <c r="H76" s="59" t="n">
        <v>0</v>
      </c>
      <c r="J76" s="55"/>
      <c r="T76" s="0"/>
      <c r="X76" s="0"/>
    </row>
    <row r="77" customFormat="false" ht="19.85" hidden="false" customHeight="true" outlineLevel="0" collapsed="false">
      <c r="A77" s="0" t="n">
        <v>31</v>
      </c>
      <c r="B77" s="34" t="n">
        <v>39661</v>
      </c>
      <c r="C77" s="1" t="n">
        <v>0</v>
      </c>
      <c r="D77" s="26" t="s">
        <v>41</v>
      </c>
      <c r="E77" s="33" t="n">
        <f aca="false">IF(D77="totale",(C77/(A77*24))/F77,IF(D77="marché libre",(C77/(A77*24))/G77,"spécifier histo"))</f>
        <v>0</v>
      </c>
      <c r="F77" s="59" t="n">
        <v>138</v>
      </c>
      <c r="G77" s="59" t="n">
        <f aca="false">F77-H77</f>
        <v>138</v>
      </c>
      <c r="H77" s="59" t="n">
        <v>0</v>
      </c>
      <c r="J77" s="55"/>
      <c r="T77" s="0"/>
      <c r="X77" s="0"/>
    </row>
    <row r="78" customFormat="false" ht="19.85" hidden="false" customHeight="true" outlineLevel="0" collapsed="false">
      <c r="A78" s="0" t="n">
        <v>30</v>
      </c>
      <c r="B78" s="31" t="n">
        <v>39692</v>
      </c>
      <c r="C78" s="1" t="n">
        <v>0</v>
      </c>
      <c r="D78" s="26" t="s">
        <v>41</v>
      </c>
      <c r="E78" s="33" t="n">
        <f aca="false">IF(D78="totale",(C78/(A78*24))/F78,IF(D78="marché libre",(C78/(A78*24))/G78,"spécifier histo"))</f>
        <v>0</v>
      </c>
      <c r="F78" s="59" t="n">
        <v>138</v>
      </c>
      <c r="G78" s="59" t="n">
        <f aca="false">F78-H78</f>
        <v>138</v>
      </c>
      <c r="H78" s="59" t="n">
        <v>0</v>
      </c>
      <c r="J78" s="55"/>
      <c r="T78" s="0"/>
      <c r="X78" s="0"/>
    </row>
    <row r="79" customFormat="false" ht="19.85" hidden="false" customHeight="true" outlineLevel="0" collapsed="false">
      <c r="A79" s="0" t="n">
        <v>31</v>
      </c>
      <c r="B79" s="34" t="n">
        <v>39722</v>
      </c>
      <c r="C79" s="1" t="n">
        <v>0</v>
      </c>
      <c r="D79" s="26" t="s">
        <v>41</v>
      </c>
      <c r="E79" s="33" t="n">
        <f aca="false">IF(D79="totale",(C79/(A79*24))/F79,IF(D79="marché libre",(C79/(A79*24))/G79,"spécifier histo"))</f>
        <v>0</v>
      </c>
      <c r="F79" s="59" t="n">
        <v>138</v>
      </c>
      <c r="G79" s="59" t="n">
        <f aca="false">F79-H79</f>
        <v>138</v>
      </c>
      <c r="H79" s="59" t="n">
        <v>0</v>
      </c>
      <c r="J79" s="55"/>
      <c r="T79" s="0"/>
      <c r="X79" s="0"/>
    </row>
    <row r="80" customFormat="false" ht="19.85" hidden="false" customHeight="true" outlineLevel="0" collapsed="false">
      <c r="A80" s="0" t="n">
        <v>30</v>
      </c>
      <c r="B80" s="31" t="n">
        <v>39753</v>
      </c>
      <c r="C80" s="1" t="n">
        <v>32160</v>
      </c>
      <c r="D80" s="26" t="s">
        <v>41</v>
      </c>
      <c r="E80" s="33" t="n">
        <f aca="false">IF(D80="totale",(C80/(A80*24))/F80,IF(D80="marché libre",(C80/(A80*24))/G80,"spécifier histo"))</f>
        <v>0.323671497584541</v>
      </c>
      <c r="F80" s="59" t="n">
        <v>138</v>
      </c>
      <c r="G80" s="59" t="n">
        <f aca="false">F80-H80</f>
        <v>138</v>
      </c>
      <c r="H80" s="59" t="n">
        <v>0</v>
      </c>
      <c r="J80" s="55"/>
      <c r="T80" s="0"/>
      <c r="X80" s="0"/>
    </row>
    <row r="81" customFormat="false" ht="19.85" hidden="false" customHeight="true" outlineLevel="0" collapsed="false">
      <c r="A81" s="0" t="n">
        <v>31</v>
      </c>
      <c r="B81" s="34" t="n">
        <v>39783</v>
      </c>
      <c r="C81" s="1" t="n">
        <v>54160</v>
      </c>
      <c r="D81" s="26" t="s">
        <v>41</v>
      </c>
      <c r="E81" s="33" t="n">
        <f aca="false">IF(D81="totale",(C81/(A81*24))/F81,IF(D81="marché libre",(C81/(A81*24))/G81,"spécifier histo"))</f>
        <v>0.527505064671965</v>
      </c>
      <c r="F81" s="59" t="n">
        <v>138</v>
      </c>
      <c r="G81" s="59" t="n">
        <f aca="false">F81-H81</f>
        <v>138</v>
      </c>
      <c r="H81" s="59" t="n">
        <v>0</v>
      </c>
      <c r="J81" s="55"/>
      <c r="T81" s="0"/>
      <c r="X81" s="0"/>
    </row>
    <row r="82" customFormat="false" ht="19.85" hidden="false" customHeight="true" outlineLevel="0" collapsed="false">
      <c r="A82" s="0" t="n">
        <v>31</v>
      </c>
      <c r="B82" s="31" t="n">
        <v>39814</v>
      </c>
      <c r="C82" s="1" t="n">
        <v>47160</v>
      </c>
      <c r="D82" s="26" t="s">
        <v>41</v>
      </c>
      <c r="E82" s="33" t="n">
        <f aca="false">IF(D82="totale",(C82/(A82*24))/F82,IF(D82="marché libre",(C82/(A82*24))/G82,"spécifier histo"))</f>
        <v>0.459326788218794</v>
      </c>
      <c r="F82" s="59" t="n">
        <v>138</v>
      </c>
      <c r="G82" s="59" t="n">
        <f aca="false">F82-H82</f>
        <v>138</v>
      </c>
      <c r="H82" s="59" t="n">
        <v>0</v>
      </c>
      <c r="J82" s="55"/>
      <c r="T82" s="0"/>
      <c r="X82" s="0"/>
    </row>
    <row r="83" customFormat="false" ht="19.85" hidden="false" customHeight="true" outlineLevel="0" collapsed="false">
      <c r="A83" s="0" t="n">
        <v>28</v>
      </c>
      <c r="B83" s="34" t="n">
        <v>39845</v>
      </c>
      <c r="C83" s="1" t="n">
        <v>42780</v>
      </c>
      <c r="D83" s="26" t="s">
        <v>41</v>
      </c>
      <c r="E83" s="33" t="n">
        <f aca="false">IF(D83="totale",(C83/(A83*24))/F83,IF(D83="marché libre",(C83/(A83*24))/G83,"spécifier histo"))</f>
        <v>0.461309523809524</v>
      </c>
      <c r="F83" s="59" t="n">
        <v>138</v>
      </c>
      <c r="G83" s="59" t="n">
        <f aca="false">F83-H83</f>
        <v>138</v>
      </c>
      <c r="H83" s="59" t="n">
        <v>0</v>
      </c>
      <c r="J83" s="55"/>
      <c r="T83" s="0"/>
      <c r="X83" s="0"/>
    </row>
    <row r="84" customFormat="false" ht="19.85" hidden="false" customHeight="true" outlineLevel="0" collapsed="false">
      <c r="A84" s="0" t="n">
        <v>31</v>
      </c>
      <c r="B84" s="31" t="n">
        <v>39873</v>
      </c>
      <c r="C84" s="1" t="n">
        <v>28160</v>
      </c>
      <c r="D84" s="26" t="s">
        <v>41</v>
      </c>
      <c r="E84" s="33" t="n">
        <f aca="false">IF(D84="totale",(C84/(A84*24))/F84,IF(D84="marché libre",(C84/(A84*24))/G84,"spécifier histo"))</f>
        <v>0.274271466417329</v>
      </c>
      <c r="F84" s="59" t="n">
        <v>138</v>
      </c>
      <c r="G84" s="59" t="n">
        <f aca="false">F84-H84</f>
        <v>138</v>
      </c>
      <c r="H84" s="59" t="n">
        <v>0</v>
      </c>
      <c r="J84" s="55"/>
      <c r="T84" s="0"/>
      <c r="X84" s="0"/>
    </row>
    <row r="85" customFormat="false" ht="19.85" hidden="false" customHeight="true" outlineLevel="0" collapsed="false">
      <c r="A85" s="0" t="n">
        <v>30</v>
      </c>
      <c r="B85" s="34" t="n">
        <v>39904</v>
      </c>
      <c r="C85" s="1" t="n">
        <v>37880</v>
      </c>
      <c r="D85" s="26" t="s">
        <v>41</v>
      </c>
      <c r="E85" s="33" t="n">
        <f aca="false">IF(D85="totale",(C85/(A85*24))/F85,IF(D85="marché libre",(C85/(A85*24))/G85,"spécifier histo"))</f>
        <v>0.381239935587762</v>
      </c>
      <c r="F85" s="59" t="n">
        <v>138</v>
      </c>
      <c r="G85" s="59" t="n">
        <f aca="false">F85-H85</f>
        <v>138</v>
      </c>
      <c r="H85" s="59" t="n">
        <v>0</v>
      </c>
      <c r="J85" s="55"/>
      <c r="T85" s="0"/>
      <c r="X85" s="0"/>
    </row>
    <row r="86" customFormat="false" ht="19.85" hidden="false" customHeight="true" outlineLevel="0" collapsed="false">
      <c r="A86" s="0" t="n">
        <v>31</v>
      </c>
      <c r="B86" s="31" t="n">
        <v>39934</v>
      </c>
      <c r="C86" s="1" t="n">
        <v>22420</v>
      </c>
      <c r="D86" s="26" t="s">
        <v>41</v>
      </c>
      <c r="E86" s="33" t="n">
        <f aca="false">IF(D86="totale",(C86/(A86*24))/F86,IF(D86="marché libre",(C86/(A86*24))/G86,"spécifier histo"))</f>
        <v>0.218365279725728</v>
      </c>
      <c r="F86" s="59" t="n">
        <v>138</v>
      </c>
      <c r="G86" s="59" t="n">
        <f aca="false">F86-H86</f>
        <v>138</v>
      </c>
      <c r="H86" s="59" t="n">
        <v>0</v>
      </c>
      <c r="J86" s="55"/>
      <c r="T86" s="0"/>
      <c r="X86" s="0"/>
    </row>
    <row r="87" customFormat="false" ht="19.85" hidden="false" customHeight="true" outlineLevel="0" collapsed="false">
      <c r="A87" s="0" t="n">
        <v>30</v>
      </c>
      <c r="B87" s="34" t="n">
        <v>39965</v>
      </c>
      <c r="C87" s="1" t="n">
        <v>7300</v>
      </c>
      <c r="D87" s="26" t="s">
        <v>41</v>
      </c>
      <c r="E87" s="33" t="n">
        <f aca="false">IF(D87="totale",(C87/(A87*24))/F87,IF(D87="marché libre",(C87/(A87*24))/G87,"spécifier histo"))</f>
        <v>0.0734702093397746</v>
      </c>
      <c r="F87" s="59" t="n">
        <v>138</v>
      </c>
      <c r="G87" s="59" t="n">
        <f aca="false">F87-H87</f>
        <v>138</v>
      </c>
      <c r="H87" s="59" t="n">
        <v>0</v>
      </c>
      <c r="J87" s="55"/>
      <c r="T87" s="0"/>
    </row>
    <row r="88" customFormat="false" ht="19.85" hidden="false" customHeight="true" outlineLevel="0" collapsed="false">
      <c r="A88" s="0" t="n">
        <v>31</v>
      </c>
      <c r="B88" s="31" t="n">
        <v>39995</v>
      </c>
      <c r="C88" s="1" t="n">
        <v>0</v>
      </c>
      <c r="D88" s="26" t="s">
        <v>41</v>
      </c>
      <c r="E88" s="33" t="n">
        <f aca="false">IF(D88="totale",(C88/(A88*24))/F88,IF(D88="marché libre",(C88/(A88*24))/G88,"spécifier histo"))</f>
        <v>0</v>
      </c>
      <c r="F88" s="59" t="n">
        <v>138</v>
      </c>
      <c r="G88" s="59" t="n">
        <f aca="false">F88-H88</f>
        <v>138</v>
      </c>
      <c r="H88" s="59" t="n">
        <v>0</v>
      </c>
      <c r="J88" s="55"/>
      <c r="T88" s="0"/>
    </row>
    <row r="89" customFormat="false" ht="19.85" hidden="false" customHeight="true" outlineLevel="0" collapsed="false">
      <c r="A89" s="0" t="n">
        <v>31</v>
      </c>
      <c r="B89" s="34" t="n">
        <v>40026</v>
      </c>
      <c r="C89" s="1" t="n">
        <v>0</v>
      </c>
      <c r="D89" s="26" t="s">
        <v>41</v>
      </c>
      <c r="E89" s="33" t="n">
        <f aca="false">IF(D89="totale",(C89/(A89*24))/F89,IF(D89="marché libre",(C89/(A89*24))/G89,"spécifier histo"))</f>
        <v>0</v>
      </c>
      <c r="F89" s="59" t="n">
        <v>138</v>
      </c>
      <c r="G89" s="59" t="n">
        <f aca="false">F89-H89</f>
        <v>138</v>
      </c>
      <c r="H89" s="59" t="n">
        <v>0</v>
      </c>
      <c r="J89" s="55"/>
      <c r="T89" s="0"/>
    </row>
    <row r="90" customFormat="false" ht="19.85" hidden="false" customHeight="true" outlineLevel="0" collapsed="false">
      <c r="A90" s="0" t="n">
        <v>30</v>
      </c>
      <c r="B90" s="31" t="n">
        <v>40057</v>
      </c>
      <c r="C90" s="1" t="n">
        <v>0</v>
      </c>
      <c r="D90" s="26" t="s">
        <v>41</v>
      </c>
      <c r="E90" s="33" t="n">
        <f aca="false">IF(D90="totale",(C90/(A90*24))/F90,IF(D90="marché libre",(C90/(A90*24))/G90,"spécifier histo"))</f>
        <v>0</v>
      </c>
      <c r="F90" s="59" t="n">
        <v>138</v>
      </c>
      <c r="G90" s="59" t="n">
        <f aca="false">F90-H90</f>
        <v>138</v>
      </c>
      <c r="H90" s="59" t="n">
        <v>0</v>
      </c>
      <c r="J90" s="55"/>
      <c r="T90" s="0"/>
    </row>
    <row r="91" customFormat="false" ht="19.85" hidden="false" customHeight="true" outlineLevel="0" collapsed="false">
      <c r="A91" s="0" t="n">
        <v>31</v>
      </c>
      <c r="B91" s="34" t="n">
        <v>40087</v>
      </c>
      <c r="C91" s="1" t="n">
        <v>0</v>
      </c>
      <c r="D91" s="26" t="s">
        <v>41</v>
      </c>
      <c r="E91" s="33" t="n">
        <f aca="false">IF(D91="totale",(C91/(A91*24))/F91,IF(D91="marché libre",(C91/(A91*24))/G91,"spécifier histo"))</f>
        <v>0</v>
      </c>
      <c r="F91" s="59" t="n">
        <v>138</v>
      </c>
      <c r="G91" s="59" t="n">
        <f aca="false">F91-H91</f>
        <v>138</v>
      </c>
      <c r="H91" s="59" t="n">
        <v>0</v>
      </c>
      <c r="J91" s="55"/>
      <c r="T91" s="0"/>
    </row>
    <row r="92" customFormat="false" ht="19.85" hidden="false" customHeight="true" outlineLevel="0" collapsed="false">
      <c r="A92" s="0" t="n">
        <v>30</v>
      </c>
      <c r="B92" s="31" t="n">
        <v>40118</v>
      </c>
      <c r="C92" s="1" t="n">
        <v>29960</v>
      </c>
      <c r="D92" s="26" t="s">
        <v>41</v>
      </c>
      <c r="E92" s="33" t="n">
        <f aca="false">IF(D92="totale",(C92/(A92*24))/F92,IF(D92="marché libre",(C92/(A92*24))/G92,"spécifier histo"))</f>
        <v>0.301529790660225</v>
      </c>
      <c r="F92" s="59" t="n">
        <v>138</v>
      </c>
      <c r="G92" s="59" t="n">
        <f aca="false">F92-H92</f>
        <v>138</v>
      </c>
      <c r="H92" s="59" t="n">
        <v>0</v>
      </c>
      <c r="J92" s="55"/>
      <c r="T92" s="0"/>
    </row>
    <row r="93" customFormat="false" ht="19.85" hidden="false" customHeight="true" outlineLevel="0" collapsed="false">
      <c r="A93" s="0" t="n">
        <v>31</v>
      </c>
      <c r="B93" s="34" t="n">
        <v>40148</v>
      </c>
      <c r="C93" s="1" t="n">
        <v>48900</v>
      </c>
      <c r="D93" s="26" t="s">
        <v>41</v>
      </c>
      <c r="E93" s="33" t="n">
        <f aca="false">IF(D93="totale",(C93/(A93*24))/F93,IF(D93="marché libre",(C93/(A93*24))/G93,"spécifier histo"))</f>
        <v>0.476273959794296</v>
      </c>
      <c r="F93" s="59" t="n">
        <v>138</v>
      </c>
      <c r="G93" s="59" t="n">
        <f aca="false">F93-H93</f>
        <v>138</v>
      </c>
      <c r="H93" s="59" t="n">
        <v>0</v>
      </c>
      <c r="J93" s="55"/>
      <c r="T93" s="0"/>
    </row>
    <row r="94" customFormat="false" ht="19.85" hidden="false" customHeight="true" outlineLevel="0" collapsed="false">
      <c r="A94" s="0" t="n">
        <v>31</v>
      </c>
      <c r="B94" s="31" t="n">
        <v>40179</v>
      </c>
      <c r="C94" s="1" t="n">
        <v>61260</v>
      </c>
      <c r="D94" s="26" t="s">
        <v>41</v>
      </c>
      <c r="E94" s="33" t="n">
        <f aca="false">IF(D94="totale",(C94/(A94*24))/F94,IF(D94="marché libre",(C94/(A94*24))/G94,"spécifier histo"))</f>
        <v>0.596657316503039</v>
      </c>
      <c r="F94" s="59" t="n">
        <v>138</v>
      </c>
      <c r="G94" s="59" t="n">
        <f aca="false">F94-H94</f>
        <v>138</v>
      </c>
      <c r="H94" s="59" t="n">
        <v>0</v>
      </c>
      <c r="J94" s="55"/>
      <c r="T94" s="0"/>
    </row>
    <row r="95" customFormat="false" ht="19.85" hidden="false" customHeight="true" outlineLevel="0" collapsed="false">
      <c r="A95" s="0" t="n">
        <v>28</v>
      </c>
      <c r="B95" s="34" t="n">
        <v>40210</v>
      </c>
      <c r="C95" s="1" t="n">
        <v>71480</v>
      </c>
      <c r="D95" s="26" t="s">
        <v>41</v>
      </c>
      <c r="E95" s="33" t="n">
        <f aca="false">IF(D95="totale",(C95/(A95*24))/F95,IF(D95="marché libre",(C95/(A95*24))/G95,"spécifier histo"))</f>
        <v>0.770790200138026</v>
      </c>
      <c r="F95" s="59" t="n">
        <v>138</v>
      </c>
      <c r="G95" s="59" t="n">
        <f aca="false">F95-H95</f>
        <v>138</v>
      </c>
      <c r="H95" s="59" t="n">
        <v>0</v>
      </c>
      <c r="J95" s="55"/>
      <c r="T95" s="0"/>
    </row>
    <row r="96" customFormat="false" ht="19.85" hidden="false" customHeight="true" outlineLevel="0" collapsed="false">
      <c r="A96" s="0" t="n">
        <v>31</v>
      </c>
      <c r="B96" s="31" t="n">
        <v>40238</v>
      </c>
      <c r="C96" s="1" t="n">
        <v>55580</v>
      </c>
      <c r="D96" s="26" t="s">
        <v>41</v>
      </c>
      <c r="E96" s="33" t="n">
        <f aca="false">IF(D96="totale",(C96/(A96*24))/F96,IF(D96="marché libre",(C96/(A96*24))/G96,"spécifier histo"))</f>
        <v>0.54133551503818</v>
      </c>
      <c r="F96" s="59" t="n">
        <v>138</v>
      </c>
      <c r="G96" s="59" t="n">
        <f aca="false">F96-H96</f>
        <v>138</v>
      </c>
      <c r="H96" s="59" t="n">
        <v>0</v>
      </c>
      <c r="J96" s="55"/>
      <c r="T96" s="0"/>
    </row>
    <row r="97" customFormat="false" ht="19.85" hidden="false" customHeight="true" outlineLevel="0" collapsed="false">
      <c r="A97" s="0" t="n">
        <v>30</v>
      </c>
      <c r="B97" s="34" t="n">
        <v>40269</v>
      </c>
      <c r="C97" s="1" t="n">
        <v>52520</v>
      </c>
      <c r="D97" s="26" t="s">
        <v>41</v>
      </c>
      <c r="E97" s="33" t="n">
        <f aca="false">IF(D97="totale",(C97/(A97*24))/F97,IF(D97="marché libre",(C97/(A97*24))/G97,"spécifier histo"))</f>
        <v>0.528582930756844</v>
      </c>
      <c r="F97" s="59" t="n">
        <v>138</v>
      </c>
      <c r="G97" s="59" t="n">
        <f aca="false">F97-H97</f>
        <v>138</v>
      </c>
      <c r="H97" s="59" t="n">
        <v>0</v>
      </c>
      <c r="J97" s="55"/>
      <c r="T97" s="0"/>
    </row>
    <row r="98" customFormat="false" ht="19.85" hidden="false" customHeight="true" outlineLevel="0" collapsed="false">
      <c r="A98" s="0" t="n">
        <v>31</v>
      </c>
      <c r="B98" s="31" t="n">
        <v>40299</v>
      </c>
      <c r="C98" s="1" t="n">
        <v>30660</v>
      </c>
      <c r="D98" s="26" t="s">
        <v>41</v>
      </c>
      <c r="E98" s="33" t="n">
        <f aca="false">IF(D98="totale",(C98/(A98*24))/F98,IF(D98="marché libre",(C98/(A98*24))/G98,"spécifier histo"))</f>
        <v>0.29862085086489</v>
      </c>
      <c r="F98" s="59" t="n">
        <v>138</v>
      </c>
      <c r="G98" s="59" t="n">
        <f aca="false">F98-H98</f>
        <v>138</v>
      </c>
      <c r="H98" s="59" t="n">
        <v>0</v>
      </c>
      <c r="J98" s="55"/>
      <c r="T98" s="0"/>
    </row>
    <row r="99" customFormat="false" ht="19.85" hidden="false" customHeight="true" outlineLevel="0" collapsed="false">
      <c r="A99" s="0" t="n">
        <v>30</v>
      </c>
      <c r="B99" s="34" t="n">
        <v>40330</v>
      </c>
      <c r="C99" s="1" t="n">
        <v>29560</v>
      </c>
      <c r="D99" s="26" t="s">
        <v>41</v>
      </c>
      <c r="E99" s="33" t="n">
        <f aca="false">IF(D99="totale",(C99/(A99*24))/F99,IF(D99="marché libre",(C99/(A99*24))/G99,"spécifier histo"))</f>
        <v>0.297504025764895</v>
      </c>
      <c r="F99" s="59" t="n">
        <v>138</v>
      </c>
      <c r="G99" s="59" t="n">
        <f aca="false">F99-H99</f>
        <v>138</v>
      </c>
      <c r="H99" s="59" t="n">
        <v>0</v>
      </c>
      <c r="J99" s="55"/>
      <c r="T99" s="0"/>
    </row>
    <row r="100" customFormat="false" ht="19.85" hidden="false" customHeight="true" outlineLevel="0" collapsed="false">
      <c r="A100" s="0" t="n">
        <v>31</v>
      </c>
      <c r="B100" s="31" t="n">
        <v>40360</v>
      </c>
      <c r="C100" s="1" t="n">
        <v>4260</v>
      </c>
      <c r="D100" s="26" t="s">
        <v>41</v>
      </c>
      <c r="E100" s="33" t="n">
        <f aca="false">IF(D100="totale",(C100/(A100*24))/F100,IF(D100="marché libre",(C100/(A100*24))/G100,"spécifier histo"))</f>
        <v>0.0414913510986442</v>
      </c>
      <c r="F100" s="59" t="n">
        <v>138</v>
      </c>
      <c r="G100" s="59" t="n">
        <f aca="false">F100-H100</f>
        <v>138</v>
      </c>
      <c r="H100" s="59" t="n">
        <v>0</v>
      </c>
      <c r="J100" s="55"/>
      <c r="T100" s="0"/>
    </row>
    <row r="101" customFormat="false" ht="19.85" hidden="false" customHeight="true" outlineLevel="0" collapsed="false">
      <c r="A101" s="0" t="n">
        <v>31</v>
      </c>
      <c r="B101" s="34" t="n">
        <v>40391</v>
      </c>
      <c r="C101" s="1" t="n">
        <v>0</v>
      </c>
      <c r="D101" s="26" t="s">
        <v>41</v>
      </c>
      <c r="E101" s="33" t="n">
        <f aca="false">IF(D101="totale",(C101/(A101*24))/F101,IF(D101="marché libre",(C101/(A101*24))/G101,"spécifier histo"))</f>
        <v>0</v>
      </c>
      <c r="F101" s="59" t="n">
        <v>138</v>
      </c>
      <c r="G101" s="59" t="n">
        <f aca="false">F101-H101</f>
        <v>138</v>
      </c>
      <c r="H101" s="59" t="n">
        <v>0</v>
      </c>
      <c r="J101" s="55"/>
      <c r="T101" s="0"/>
    </row>
    <row r="102" customFormat="false" ht="19.85" hidden="false" customHeight="true" outlineLevel="0" collapsed="false">
      <c r="A102" s="0" t="n">
        <v>30</v>
      </c>
      <c r="B102" s="31" t="n">
        <v>40422</v>
      </c>
      <c r="C102" s="1" t="n">
        <v>0</v>
      </c>
      <c r="D102" s="26" t="s">
        <v>41</v>
      </c>
      <c r="E102" s="33" t="n">
        <f aca="false">IF(D102="totale",(C102/(A102*24))/F102,IF(D102="marché libre",(C102/(A102*24))/G102,"spécifier histo"))</f>
        <v>0</v>
      </c>
      <c r="F102" s="59" t="n">
        <v>138</v>
      </c>
      <c r="G102" s="59" t="n">
        <f aca="false">F102-H102</f>
        <v>138</v>
      </c>
      <c r="H102" s="59" t="n">
        <v>0</v>
      </c>
      <c r="J102" s="55"/>
      <c r="T102" s="0"/>
    </row>
    <row r="103" customFormat="false" ht="19.85" hidden="false" customHeight="true" outlineLevel="0" collapsed="false">
      <c r="A103" s="0" t="n">
        <v>31</v>
      </c>
      <c r="B103" s="34" t="n">
        <v>40452</v>
      </c>
      <c r="C103" s="1" t="n">
        <v>0</v>
      </c>
      <c r="D103" s="26" t="s">
        <v>41</v>
      </c>
      <c r="E103" s="33" t="n">
        <f aca="false">IF(D103="totale",(C103/(A103*24))/F103,IF(D103="marché libre",(C103/(A103*24))/G103,"spécifier histo"))</f>
        <v>0</v>
      </c>
      <c r="F103" s="59" t="n">
        <v>138</v>
      </c>
      <c r="G103" s="59" t="n">
        <f aca="false">F103-H103</f>
        <v>138</v>
      </c>
      <c r="H103" s="59" t="n">
        <v>0</v>
      </c>
      <c r="J103" s="55"/>
      <c r="T103" s="0"/>
    </row>
    <row r="104" customFormat="false" ht="19.85" hidden="false" customHeight="true" outlineLevel="0" collapsed="false">
      <c r="A104" s="0" t="n">
        <v>30</v>
      </c>
      <c r="B104" s="31" t="n">
        <v>40483</v>
      </c>
      <c r="C104" s="1" t="n">
        <v>24000</v>
      </c>
      <c r="D104" s="26" t="s">
        <v>41</v>
      </c>
      <c r="E104" s="33" t="n">
        <f aca="false">IF(D104="totale",(C104/(A104*24))/F104,IF(D104="marché libre",(C104/(A104*24))/G104,"spécifier histo"))</f>
        <v>0.241545893719807</v>
      </c>
      <c r="F104" s="59" t="n">
        <v>138</v>
      </c>
      <c r="G104" s="59" t="n">
        <f aca="false">F104-H104</f>
        <v>138</v>
      </c>
      <c r="H104" s="59" t="n">
        <v>0</v>
      </c>
      <c r="J104" s="55"/>
      <c r="T104" s="0"/>
    </row>
    <row r="105" customFormat="false" ht="19.85" hidden="false" customHeight="true" outlineLevel="0" collapsed="false">
      <c r="A105" s="0" t="n">
        <v>31</v>
      </c>
      <c r="B105" s="34" t="n">
        <v>40513</v>
      </c>
      <c r="C105" s="1" t="n">
        <v>43060</v>
      </c>
      <c r="D105" s="26" t="s">
        <v>41</v>
      </c>
      <c r="E105" s="33" t="n">
        <f aca="false">IF(D105="totale",(C105/(A105*24))/F105,IF(D105="marché libre",(C105/(A105*24))/G105,"spécifier histo"))</f>
        <v>0.419393797724794</v>
      </c>
      <c r="F105" s="59" t="n">
        <v>138</v>
      </c>
      <c r="G105" s="59" t="n">
        <f aca="false">F105-H105</f>
        <v>138</v>
      </c>
      <c r="H105" s="59" t="n">
        <v>0</v>
      </c>
      <c r="J105" s="55"/>
      <c r="T105" s="0"/>
    </row>
    <row r="106" customFormat="false" ht="19.85" hidden="false" customHeight="true" outlineLevel="0" collapsed="false">
      <c r="A106" s="0" t="n">
        <v>31</v>
      </c>
      <c r="B106" s="31" t="n">
        <v>40544</v>
      </c>
      <c r="C106" s="1" t="n">
        <v>44220</v>
      </c>
      <c r="D106" s="26" t="s">
        <v>41</v>
      </c>
      <c r="E106" s="33" t="n">
        <f aca="false">IF(D106="totale",(C106/(A106*24))/F106,IF(D106="marché libre",(C106/(A106*24))/G106,"spécifier histo"))</f>
        <v>0.430691912108462</v>
      </c>
      <c r="F106" s="59" t="n">
        <v>138</v>
      </c>
      <c r="G106" s="59" t="n">
        <f aca="false">F106-H106</f>
        <v>138</v>
      </c>
      <c r="H106" s="59" t="n">
        <v>0</v>
      </c>
      <c r="J106" s="55"/>
      <c r="T106" s="0"/>
    </row>
    <row r="107" customFormat="false" ht="19.85" hidden="false" customHeight="true" outlineLevel="0" collapsed="false">
      <c r="A107" s="0" t="n">
        <v>28</v>
      </c>
      <c r="B107" s="34" t="n">
        <v>40575</v>
      </c>
      <c r="C107" s="1" t="n">
        <v>28380</v>
      </c>
      <c r="D107" s="26" t="s">
        <v>41</v>
      </c>
      <c r="E107" s="33" t="n">
        <f aca="false">IF(D107="totale",(C107/(A107*24))/F107,IF(D107="marché libre",(C107/(A107*24))/G107,"spécifier histo"))</f>
        <v>0.306030020703934</v>
      </c>
      <c r="F107" s="59" t="n">
        <v>138</v>
      </c>
      <c r="G107" s="59" t="n">
        <f aca="false">F107-H107</f>
        <v>138</v>
      </c>
      <c r="H107" s="59" t="n">
        <v>0</v>
      </c>
      <c r="J107" s="55"/>
      <c r="T107" s="0"/>
    </row>
    <row r="108" customFormat="false" ht="19.85" hidden="false" customHeight="true" outlineLevel="0" collapsed="false">
      <c r="A108" s="0" t="n">
        <v>31</v>
      </c>
      <c r="B108" s="31" t="n">
        <v>40603</v>
      </c>
      <c r="C108" s="1" t="n">
        <v>26040</v>
      </c>
      <c r="D108" s="26" t="s">
        <v>41</v>
      </c>
      <c r="E108" s="33" t="n">
        <f aca="false">IF(D108="totale",(C108/(A108*24))/F108,IF(D108="marché libre",(C108/(A108*24))/G108,"spécifier histo"))</f>
        <v>0.253623188405797</v>
      </c>
      <c r="F108" s="59" t="n">
        <v>138</v>
      </c>
      <c r="G108" s="59" t="n">
        <f aca="false">F108-H108</f>
        <v>138</v>
      </c>
      <c r="H108" s="59" t="n">
        <v>0</v>
      </c>
      <c r="J108" s="55"/>
      <c r="T108" s="0"/>
    </row>
    <row r="109" customFormat="false" ht="19.85" hidden="false" customHeight="true" outlineLevel="0" collapsed="false">
      <c r="A109" s="0" t="n">
        <v>30</v>
      </c>
      <c r="B109" s="34" t="n">
        <v>40634</v>
      </c>
      <c r="C109" s="1" t="n">
        <v>6060</v>
      </c>
      <c r="D109" s="26" t="s">
        <v>41</v>
      </c>
      <c r="E109" s="33" t="n">
        <f aca="false">IF(D109="totale",(C109/(A109*24))/F109,IF(D109="marché libre",(C109/(A109*24))/G109,"spécifier histo"))</f>
        <v>0.0609903381642512</v>
      </c>
      <c r="F109" s="59" t="n">
        <v>138</v>
      </c>
      <c r="G109" s="59" t="n">
        <f aca="false">F109-H109</f>
        <v>138</v>
      </c>
      <c r="H109" s="59" t="n">
        <v>0</v>
      </c>
      <c r="J109" s="55"/>
      <c r="T109" s="0"/>
    </row>
    <row r="110" customFormat="false" ht="19.85" hidden="false" customHeight="true" outlineLevel="0" collapsed="false">
      <c r="A110" s="0" t="n">
        <v>31</v>
      </c>
      <c r="B110" s="31" t="n">
        <v>40664</v>
      </c>
      <c r="C110" s="1" t="n">
        <v>0</v>
      </c>
      <c r="D110" s="26" t="s">
        <v>41</v>
      </c>
      <c r="E110" s="33" t="n">
        <f aca="false">IF(D110="totale",(C110/(A110*24))/F110,IF(D110="marché libre",(C110/(A110*24))/G110,"spécifier histo"))</f>
        <v>0</v>
      </c>
      <c r="F110" s="59" t="n">
        <v>138</v>
      </c>
      <c r="G110" s="59" t="n">
        <f aca="false">F110-H110</f>
        <v>138</v>
      </c>
      <c r="H110" s="59" t="n">
        <v>0</v>
      </c>
      <c r="J110" s="55"/>
      <c r="T110" s="0"/>
    </row>
    <row r="111" customFormat="false" ht="19.85" hidden="false" customHeight="true" outlineLevel="0" collapsed="false">
      <c r="A111" s="0" t="n">
        <v>30</v>
      </c>
      <c r="B111" s="34" t="n">
        <v>40695</v>
      </c>
      <c r="C111" s="1" t="n">
        <v>0</v>
      </c>
      <c r="D111" s="26" t="s">
        <v>41</v>
      </c>
      <c r="E111" s="33" t="n">
        <f aca="false">IF(D111="totale",(C111/(A111*24))/F111,IF(D111="marché libre",(C111/(A111*24))/G111,"spécifier histo"))</f>
        <v>0</v>
      </c>
      <c r="F111" s="59" t="n">
        <v>138</v>
      </c>
      <c r="G111" s="59" t="n">
        <f aca="false">F111-H111</f>
        <v>138</v>
      </c>
      <c r="H111" s="59" t="n">
        <v>0</v>
      </c>
      <c r="J111" s="55"/>
    </row>
    <row r="112" customFormat="false" ht="19.85" hidden="false" customHeight="true" outlineLevel="0" collapsed="false">
      <c r="A112" s="0" t="n">
        <v>31</v>
      </c>
      <c r="B112" s="31" t="n">
        <v>40725</v>
      </c>
      <c r="C112" s="1" t="n">
        <v>0</v>
      </c>
      <c r="D112" s="26" t="s">
        <v>41</v>
      </c>
      <c r="E112" s="33" t="n">
        <f aca="false">IF(D112="totale",(C112/(A112*24))/F112,IF(D112="marché libre",(C112/(A112*24))/G112,"spécifier histo"))</f>
        <v>0</v>
      </c>
      <c r="F112" s="59" t="n">
        <v>138</v>
      </c>
      <c r="G112" s="59" t="n">
        <f aca="false">F112-H112</f>
        <v>138</v>
      </c>
      <c r="H112" s="59" t="n">
        <v>0</v>
      </c>
      <c r="J112" s="55"/>
    </row>
    <row r="113" customFormat="false" ht="19.85" hidden="false" customHeight="true" outlineLevel="0" collapsed="false">
      <c r="A113" s="0" t="n">
        <v>31</v>
      </c>
      <c r="B113" s="34" t="n">
        <v>40756</v>
      </c>
      <c r="C113" s="1" t="n">
        <v>0</v>
      </c>
      <c r="D113" s="26" t="s">
        <v>41</v>
      </c>
      <c r="E113" s="33" t="n">
        <f aca="false">IF(D113="totale",(C113/(A113*24))/F113,IF(D113="marché libre",(C113/(A113*24))/G113,"spécifier histo"))</f>
        <v>0</v>
      </c>
      <c r="F113" s="59" t="n">
        <v>138</v>
      </c>
      <c r="G113" s="59" t="n">
        <f aca="false">F113-H113</f>
        <v>138</v>
      </c>
      <c r="H113" s="59" t="n">
        <v>0</v>
      </c>
      <c r="J113" s="55"/>
    </row>
    <row r="114" customFormat="false" ht="19.85" hidden="false" customHeight="true" outlineLevel="0" collapsed="false">
      <c r="A114" s="0" t="n">
        <v>30</v>
      </c>
      <c r="B114" s="31" t="n">
        <v>40787</v>
      </c>
      <c r="C114" s="1" t="n">
        <v>0</v>
      </c>
      <c r="D114" s="26" t="s">
        <v>41</v>
      </c>
      <c r="E114" s="33" t="n">
        <f aca="false">IF(D114="totale",(C114/(A114*24))/F114,IF(D114="marché libre",(C114/(A114*24))/G114,"spécifier histo"))</f>
        <v>0</v>
      </c>
      <c r="F114" s="59" t="n">
        <v>138</v>
      </c>
      <c r="G114" s="59" t="n">
        <f aca="false">F114-H114</f>
        <v>138</v>
      </c>
      <c r="H114" s="59" t="n">
        <v>0</v>
      </c>
      <c r="J114" s="55"/>
    </row>
    <row r="115" customFormat="false" ht="19.85" hidden="false" customHeight="true" outlineLevel="0" collapsed="false">
      <c r="A115" s="0" t="n">
        <v>31</v>
      </c>
      <c r="B115" s="34" t="n">
        <v>40817</v>
      </c>
      <c r="C115" s="1" t="n">
        <v>0</v>
      </c>
      <c r="D115" s="26" t="s">
        <v>41</v>
      </c>
      <c r="E115" s="33" t="n">
        <f aca="false">IF(D115="totale",(C115/(A115*24))/F115,IF(D115="marché libre",(C115/(A115*24))/G115,"spécifier histo"))</f>
        <v>0</v>
      </c>
      <c r="F115" s="59" t="n">
        <v>138</v>
      </c>
      <c r="G115" s="59" t="n">
        <f aca="false">F115-H115</f>
        <v>138</v>
      </c>
      <c r="H115" s="59" t="n">
        <v>0</v>
      </c>
      <c r="J115" s="55"/>
    </row>
    <row r="116" customFormat="false" ht="19.85" hidden="false" customHeight="true" outlineLevel="0" collapsed="false">
      <c r="A116" s="0" t="n">
        <v>30</v>
      </c>
      <c r="B116" s="31" t="n">
        <v>40848</v>
      </c>
      <c r="C116" s="1" t="n">
        <v>0</v>
      </c>
      <c r="D116" s="26" t="s">
        <v>41</v>
      </c>
      <c r="E116" s="33" t="n">
        <f aca="false">IF(D116="totale",(C116/(A116*24))/F116,IF(D116="marché libre",(C116/(A116*24))/G116,"spécifier histo"))</f>
        <v>0</v>
      </c>
      <c r="F116" s="59" t="n">
        <v>138</v>
      </c>
      <c r="G116" s="59" t="n">
        <f aca="false">F116-H116</f>
        <v>138</v>
      </c>
      <c r="H116" s="59" t="n">
        <v>0</v>
      </c>
      <c r="J116" s="55"/>
    </row>
    <row r="117" customFormat="false" ht="19.85" hidden="false" customHeight="true" outlineLevel="0" collapsed="false">
      <c r="A117" s="0" t="n">
        <v>31</v>
      </c>
      <c r="B117" s="34" t="n">
        <v>40878</v>
      </c>
      <c r="C117" s="1" t="n">
        <v>13320</v>
      </c>
      <c r="D117" s="26" t="s">
        <v>41</v>
      </c>
      <c r="E117" s="33" t="n">
        <f aca="false">IF(D117="totale",(C117/(A117*24))/F117,IF(D117="marché libre",(C117/(A117*24))/G117,"spécifier histo"))</f>
        <v>0.129733520336606</v>
      </c>
      <c r="F117" s="59" t="n">
        <v>138</v>
      </c>
      <c r="G117" s="59" t="n">
        <f aca="false">F117-H117</f>
        <v>138</v>
      </c>
      <c r="H117" s="59" t="n">
        <v>0</v>
      </c>
      <c r="J117" s="55"/>
    </row>
    <row r="118" customFormat="false" ht="19.85" hidden="false" customHeight="true" outlineLevel="0" collapsed="false">
      <c r="A118" s="0" t="n">
        <v>31</v>
      </c>
      <c r="B118" s="31" t="n">
        <v>40909</v>
      </c>
      <c r="C118" s="1" t="n">
        <v>21880</v>
      </c>
      <c r="D118" s="26" t="s">
        <v>41</v>
      </c>
      <c r="E118" s="33" t="n">
        <f aca="false">IF(D118="totale",(C118/(A118*24))/F118,IF(D118="marché libre",(C118/(A118*24))/G118,"spécifier histo"))</f>
        <v>0.213105812685055</v>
      </c>
      <c r="F118" s="59" t="n">
        <v>138</v>
      </c>
      <c r="G118" s="59" t="n">
        <f aca="false">F118-H118</f>
        <v>138</v>
      </c>
      <c r="H118" s="59" t="n">
        <v>0</v>
      </c>
      <c r="J118" s="55"/>
    </row>
    <row r="119" customFormat="false" ht="19.85" hidden="false" customHeight="true" outlineLevel="0" collapsed="false">
      <c r="A119" s="0" t="n">
        <v>28</v>
      </c>
      <c r="B119" s="34" t="n">
        <v>40940</v>
      </c>
      <c r="C119" s="1" t="n">
        <v>18540</v>
      </c>
      <c r="D119" s="26" t="s">
        <v>41</v>
      </c>
      <c r="E119" s="33" t="n">
        <f aca="false">IF(D119="totale",(C119/(A119*24))/F119,IF(D119="marché libre",(C119/(A119*24))/G119,"spécifier histo"))</f>
        <v>0.199922360248447</v>
      </c>
      <c r="F119" s="59" t="n">
        <v>138</v>
      </c>
      <c r="G119" s="59" t="n">
        <f aca="false">F119-H119</f>
        <v>138</v>
      </c>
      <c r="H119" s="59" t="n">
        <v>0</v>
      </c>
      <c r="J119" s="55"/>
    </row>
    <row r="120" customFormat="false" ht="19.85" hidden="false" customHeight="true" outlineLevel="0" collapsed="false">
      <c r="A120" s="0" t="n">
        <v>31</v>
      </c>
      <c r="B120" s="31" t="n">
        <v>40969</v>
      </c>
      <c r="C120" s="1" t="n">
        <v>4480</v>
      </c>
      <c r="D120" s="26" t="s">
        <v>41</v>
      </c>
      <c r="E120" s="33" t="n">
        <f aca="false">IF(D120="totale",(C120/(A120*24))/F120,IF(D120="marché libre",(C120/(A120*24))/G120,"spécifier histo"))</f>
        <v>0.0436340969300296</v>
      </c>
      <c r="F120" s="59" t="n">
        <v>138</v>
      </c>
      <c r="G120" s="59" t="n">
        <f aca="false">F120-H120</f>
        <v>138</v>
      </c>
      <c r="H120" s="59" t="n">
        <v>0</v>
      </c>
      <c r="J120" s="55"/>
    </row>
    <row r="121" customFormat="false" ht="19.85" hidden="false" customHeight="true" outlineLevel="0" collapsed="false">
      <c r="A121" s="0" t="n">
        <v>30</v>
      </c>
      <c r="B121" s="34" t="n">
        <v>41000</v>
      </c>
      <c r="C121" s="1" t="n">
        <v>10820</v>
      </c>
      <c r="D121" s="26" t="s">
        <v>41</v>
      </c>
      <c r="E121" s="33" t="n">
        <f aca="false">IF(D121="totale",(C121/(A121*24))/F121,IF(D121="marché libre",(C121/(A121*24))/G121,"spécifier histo"))</f>
        <v>0.10889694041868</v>
      </c>
      <c r="F121" s="59" t="n">
        <v>138</v>
      </c>
      <c r="G121" s="59" t="n">
        <f aca="false">F121-H121</f>
        <v>138</v>
      </c>
      <c r="H121" s="59" t="n">
        <v>0</v>
      </c>
      <c r="J121" s="55"/>
    </row>
    <row r="122" customFormat="false" ht="19.85" hidden="false" customHeight="true" outlineLevel="0" collapsed="false">
      <c r="A122" s="0" t="n">
        <v>31</v>
      </c>
      <c r="B122" s="31" t="n">
        <v>41030</v>
      </c>
      <c r="C122" s="1" t="n">
        <v>44540</v>
      </c>
      <c r="D122" s="26" t="s">
        <v>41</v>
      </c>
      <c r="E122" s="33" t="n">
        <f aca="false">IF(D122="totale",(C122/(A122*24))/F122,IF(D122="marché libre",(C122/(A122*24))/G122,"spécifier histo"))</f>
        <v>0.43380863331775</v>
      </c>
      <c r="F122" s="59" t="n">
        <v>138</v>
      </c>
      <c r="G122" s="59" t="n">
        <f aca="false">F122-H122</f>
        <v>138</v>
      </c>
      <c r="H122" s="59" t="n">
        <v>0</v>
      </c>
      <c r="J122" s="55"/>
    </row>
    <row r="123" customFormat="false" ht="19.85" hidden="false" customHeight="true" outlineLevel="0" collapsed="false">
      <c r="A123" s="0" t="n">
        <v>30</v>
      </c>
      <c r="B123" s="34" t="n">
        <v>41061</v>
      </c>
      <c r="C123" s="1" t="n">
        <v>16540</v>
      </c>
      <c r="D123" s="26" t="s">
        <v>41</v>
      </c>
      <c r="E123" s="33" t="n">
        <f aca="false">IF(D123="totale",(C123/(A123*24))/F123,IF(D123="marché libre",(C123/(A123*24))/G123,"spécifier histo"))</f>
        <v>0.1664653784219</v>
      </c>
      <c r="F123" s="59" t="n">
        <v>138</v>
      </c>
      <c r="G123" s="59" t="n">
        <f aca="false">F123-H123</f>
        <v>138</v>
      </c>
      <c r="H123" s="59" t="n">
        <v>0</v>
      </c>
      <c r="J123" s="55"/>
    </row>
    <row r="124" customFormat="false" ht="19.85" hidden="false" customHeight="true" outlineLevel="0" collapsed="false">
      <c r="A124" s="0" t="n">
        <v>31</v>
      </c>
      <c r="B124" s="31" t="n">
        <v>41091</v>
      </c>
      <c r="C124" s="1" t="n">
        <v>0</v>
      </c>
      <c r="D124" s="26" t="s">
        <v>41</v>
      </c>
      <c r="E124" s="33" t="n">
        <f aca="false">IF(D124="totale",(C124/(A124*24))/F124,IF(D124="marché libre",(C124/(A124*24))/G124,"spécifier histo"))</f>
        <v>0</v>
      </c>
      <c r="F124" s="59" t="n">
        <v>138</v>
      </c>
      <c r="G124" s="59" t="n">
        <f aca="false">F124-H124</f>
        <v>138</v>
      </c>
      <c r="H124" s="59" t="n">
        <v>0</v>
      </c>
      <c r="J124" s="55"/>
    </row>
    <row r="125" customFormat="false" ht="19.85" hidden="false" customHeight="true" outlineLevel="0" collapsed="false">
      <c r="A125" s="0" t="n">
        <v>31</v>
      </c>
      <c r="B125" s="34" t="n">
        <v>41122</v>
      </c>
      <c r="C125" s="1" t="n">
        <v>0</v>
      </c>
      <c r="D125" s="26" t="s">
        <v>41</v>
      </c>
      <c r="E125" s="33" t="n">
        <f aca="false">IF(D125="totale",(C125/(A125*24))/F125,IF(D125="marché libre",(C125/(A125*24))/G125,"spécifier histo"))</f>
        <v>0</v>
      </c>
      <c r="F125" s="59" t="n">
        <v>138</v>
      </c>
      <c r="G125" s="59" t="n">
        <f aca="false">F125-H125</f>
        <v>138</v>
      </c>
      <c r="H125" s="59" t="n">
        <v>0</v>
      </c>
      <c r="J125" s="55"/>
    </row>
    <row r="126" customFormat="false" ht="19.85" hidden="false" customHeight="true" outlineLevel="0" collapsed="false">
      <c r="A126" s="0" t="n">
        <v>30</v>
      </c>
      <c r="B126" s="31" t="n">
        <v>41153</v>
      </c>
      <c r="C126" s="1" t="n">
        <v>0</v>
      </c>
      <c r="D126" s="26" t="s">
        <v>41</v>
      </c>
      <c r="E126" s="33" t="n">
        <f aca="false">IF(D126="totale",(C126/(A126*24))/F126,IF(D126="marché libre",(C126/(A126*24))/G126,"spécifier histo"))</f>
        <v>0</v>
      </c>
      <c r="F126" s="59" t="n">
        <v>138</v>
      </c>
      <c r="G126" s="59" t="n">
        <f aca="false">F126-H126</f>
        <v>138</v>
      </c>
      <c r="H126" s="59" t="n">
        <v>0</v>
      </c>
      <c r="J126" s="55"/>
    </row>
    <row r="127" customFormat="false" ht="19.85" hidden="false" customHeight="true" outlineLevel="0" collapsed="false">
      <c r="A127" s="0" t="n">
        <v>31</v>
      </c>
      <c r="B127" s="34" t="n">
        <v>41183</v>
      </c>
      <c r="C127" s="1" t="n">
        <v>0</v>
      </c>
      <c r="D127" s="26" t="s">
        <v>41</v>
      </c>
      <c r="E127" s="33" t="n">
        <f aca="false">IF(D127="totale",(C127/(A127*24))/F127,IF(D127="marché libre",(C127/(A127*24))/G127,"spécifier histo"))</f>
        <v>0</v>
      </c>
      <c r="F127" s="59" t="n">
        <v>138</v>
      </c>
      <c r="G127" s="59" t="n">
        <f aca="false">F127-H127</f>
        <v>138</v>
      </c>
      <c r="H127" s="59" t="n">
        <v>0</v>
      </c>
      <c r="J127" s="55"/>
    </row>
    <row r="128" customFormat="false" ht="19.85" hidden="false" customHeight="true" outlineLevel="0" collapsed="false">
      <c r="A128" s="0" t="n">
        <v>30</v>
      </c>
      <c r="B128" s="31" t="n">
        <v>41214</v>
      </c>
      <c r="C128" s="1" t="n">
        <v>0</v>
      </c>
      <c r="D128" s="26" t="s">
        <v>41</v>
      </c>
      <c r="E128" s="33" t="n">
        <f aca="false">IF(D128="totale",(C128/(A128*24))/F128,IF(D128="marché libre",(C128/(A128*24))/G128,"spécifier histo"))</f>
        <v>0</v>
      </c>
      <c r="F128" s="59" t="n">
        <v>138</v>
      </c>
      <c r="G128" s="59" t="n">
        <f aca="false">F128-H128</f>
        <v>138</v>
      </c>
      <c r="H128" s="59" t="n">
        <v>0</v>
      </c>
      <c r="J128" s="55"/>
    </row>
    <row r="129" customFormat="false" ht="19.85" hidden="false" customHeight="true" outlineLevel="0" collapsed="false">
      <c r="A129" s="0" t="n">
        <v>31</v>
      </c>
      <c r="B129" s="34" t="n">
        <v>41244</v>
      </c>
      <c r="C129" s="1" t="n">
        <v>19660</v>
      </c>
      <c r="D129" s="26" t="s">
        <v>41</v>
      </c>
      <c r="E129" s="33" t="n">
        <f aca="false">IF(D129="totale",(C129/(A129*24))/F129,IF(D129="marché libre",(C129/(A129*24))/G129,"spécifier histo"))</f>
        <v>0.191483559295621</v>
      </c>
      <c r="F129" s="59" t="n">
        <v>138</v>
      </c>
      <c r="G129" s="59" t="n">
        <f aca="false">F129-H129</f>
        <v>138</v>
      </c>
      <c r="H129" s="59" t="n">
        <v>0</v>
      </c>
      <c r="J129" s="127"/>
    </row>
    <row r="130" customFormat="false" ht="19.85" hidden="false" customHeight="true" outlineLevel="0" collapsed="false">
      <c r="A130" s="0" t="n">
        <v>31</v>
      </c>
      <c r="B130" s="31" t="n">
        <v>41275</v>
      </c>
      <c r="C130" s="56" t="n">
        <v>0</v>
      </c>
      <c r="D130" s="26" t="s">
        <v>41</v>
      </c>
      <c r="E130" s="33" t="n">
        <f aca="false">IF(D130="totale",(C130/(A130*24))/F130,IF(D130="marché libre",(C130/(A130*24))/G130,"spécifier histo"))</f>
        <v>0</v>
      </c>
      <c r="F130" s="59" t="n">
        <v>138</v>
      </c>
      <c r="G130" s="59" t="n">
        <f aca="false">F130-H130</f>
        <v>138</v>
      </c>
      <c r="H130" s="59" t="n">
        <v>0</v>
      </c>
      <c r="J130" s="55"/>
    </row>
    <row r="131" customFormat="false" ht="19.85" hidden="false" customHeight="true" outlineLevel="0" collapsed="false">
      <c r="A131" s="0" t="n">
        <v>28</v>
      </c>
      <c r="B131" s="34" t="n">
        <v>41306</v>
      </c>
      <c r="C131" s="56" t="n">
        <v>0</v>
      </c>
      <c r="D131" s="26" t="s">
        <v>41</v>
      </c>
      <c r="E131" s="33" t="n">
        <f aca="false">IF(D131="totale",(C131/(A131*24))/F131,IF(D131="marché libre",(C131/(A131*24))/G131,"spécifier histo"))</f>
        <v>0</v>
      </c>
      <c r="F131" s="59" t="n">
        <v>138</v>
      </c>
      <c r="G131" s="59" t="n">
        <f aca="false">F131-H131</f>
        <v>138</v>
      </c>
      <c r="H131" s="59" t="n">
        <v>0</v>
      </c>
      <c r="J131" s="55"/>
    </row>
    <row r="132" customFormat="false" ht="19.85" hidden="false" customHeight="true" outlineLevel="0" collapsed="false">
      <c r="A132" s="0" t="n">
        <v>31</v>
      </c>
      <c r="B132" s="31" t="n">
        <v>41334</v>
      </c>
      <c r="C132" s="56" t="n">
        <v>0</v>
      </c>
      <c r="D132" s="26" t="s">
        <v>41</v>
      </c>
      <c r="E132" s="33" t="n">
        <f aca="false">IF(D132="totale",(C132/(A132*24))/F132,IF(D132="marché libre",(C132/(A132*24))/G132,"spécifier histo"))</f>
        <v>0</v>
      </c>
      <c r="F132" s="59" t="n">
        <v>138</v>
      </c>
      <c r="G132" s="59" t="n">
        <f aca="false">F132-H132</f>
        <v>138</v>
      </c>
      <c r="H132" s="59" t="n">
        <v>0</v>
      </c>
      <c r="J132" s="55"/>
    </row>
    <row r="133" customFormat="false" ht="19.85" hidden="false" customHeight="true" outlineLevel="0" collapsed="false">
      <c r="A133" s="0" t="n">
        <v>30</v>
      </c>
      <c r="B133" s="34" t="n">
        <v>41365</v>
      </c>
      <c r="C133" s="56" t="n">
        <v>0</v>
      </c>
      <c r="D133" s="26" t="s">
        <v>41</v>
      </c>
      <c r="E133" s="33" t="n">
        <f aca="false">IF(D133="totale",(C133/(A133*24))/F133,IF(D133="marché libre",(C133/(A133*24))/G133,"spécifier histo"))</f>
        <v>0</v>
      </c>
      <c r="F133" s="59" t="n">
        <v>138</v>
      </c>
      <c r="G133" s="59" t="n">
        <f aca="false">F133-H133</f>
        <v>138</v>
      </c>
      <c r="H133" s="59" t="n">
        <v>0</v>
      </c>
      <c r="J133" s="55"/>
    </row>
    <row r="134" customFormat="false" ht="19.85" hidden="false" customHeight="true" outlineLevel="0" collapsed="false">
      <c r="A134" s="0" t="n">
        <v>31</v>
      </c>
      <c r="B134" s="31" t="n">
        <v>41395</v>
      </c>
      <c r="C134" s="56" t="n">
        <v>0</v>
      </c>
      <c r="D134" s="26" t="s">
        <v>41</v>
      </c>
      <c r="E134" s="33" t="n">
        <f aca="false">IF(D134="totale",(C134/(A134*24))/F134,IF(D134="marché libre",(C134/(A134*24))/G134,"spécifier histo"))</f>
        <v>0</v>
      </c>
      <c r="F134" s="59" t="n">
        <v>138</v>
      </c>
      <c r="G134" s="59" t="n">
        <f aca="false">F134-H134</f>
        <v>138</v>
      </c>
      <c r="H134" s="59" t="n">
        <v>0</v>
      </c>
      <c r="J134" s="55"/>
    </row>
    <row r="135" customFormat="false" ht="19.85" hidden="false" customHeight="true" outlineLevel="0" collapsed="false">
      <c r="A135" s="0" t="n">
        <v>30</v>
      </c>
      <c r="B135" s="34" t="n">
        <v>41426</v>
      </c>
      <c r="C135" s="56" t="n">
        <v>0</v>
      </c>
      <c r="D135" s="26" t="s">
        <v>41</v>
      </c>
      <c r="E135" s="33" t="n">
        <f aca="false">IF(D135="totale",(C135/(A135*24))/F135,IF(D135="marché libre",(C135/(A135*24))/G135,"spécifier histo"))</f>
        <v>0</v>
      </c>
      <c r="F135" s="59" t="n">
        <v>138</v>
      </c>
      <c r="G135" s="59" t="n">
        <f aca="false">F135-H135</f>
        <v>138</v>
      </c>
      <c r="H135" s="59" t="n">
        <v>0</v>
      </c>
      <c r="J135" s="55"/>
    </row>
    <row r="136" customFormat="false" ht="19.85" hidden="false" customHeight="true" outlineLevel="0" collapsed="false">
      <c r="A136" s="0" t="n">
        <v>31</v>
      </c>
      <c r="B136" s="31" t="n">
        <v>41456</v>
      </c>
      <c r="C136" s="56" t="n">
        <v>0</v>
      </c>
      <c r="D136" s="26" t="s">
        <v>41</v>
      </c>
      <c r="E136" s="33" t="n">
        <f aca="false">IF(D136="totale",(C136/(A136*24))/F136,IF(D136="marché libre",(C136/(A136*24))/G136,"spécifier histo"))</f>
        <v>0</v>
      </c>
      <c r="F136" s="59" t="n">
        <v>138</v>
      </c>
      <c r="G136" s="59" t="n">
        <f aca="false">F136-H136</f>
        <v>138</v>
      </c>
      <c r="H136" s="59" t="n">
        <v>0</v>
      </c>
      <c r="J136" s="55"/>
    </row>
    <row r="137" customFormat="false" ht="19.85" hidden="false" customHeight="true" outlineLevel="0" collapsed="false">
      <c r="A137" s="0" t="n">
        <v>31</v>
      </c>
      <c r="B137" s="34" t="n">
        <v>41487</v>
      </c>
      <c r="C137" s="56" t="n">
        <v>0</v>
      </c>
      <c r="D137" s="26" t="s">
        <v>41</v>
      </c>
      <c r="E137" s="33" t="n">
        <f aca="false">IF(D137="totale",(C137/(A137*24))/F137,IF(D137="marché libre",(C137/(A137*24))/G137,"spécifier histo"))</f>
        <v>0</v>
      </c>
      <c r="F137" s="59" t="n">
        <v>138</v>
      </c>
      <c r="G137" s="59" t="n">
        <f aca="false">F137-H137</f>
        <v>138</v>
      </c>
      <c r="H137" s="59" t="n">
        <v>0</v>
      </c>
      <c r="J137" s="55"/>
    </row>
    <row r="138" customFormat="false" ht="19.85" hidden="false" customHeight="true" outlineLevel="0" collapsed="false">
      <c r="A138" s="0" t="n">
        <v>30</v>
      </c>
      <c r="B138" s="31" t="n">
        <v>41518</v>
      </c>
      <c r="C138" s="56" t="n">
        <v>0</v>
      </c>
      <c r="D138" s="26" t="s">
        <v>41</v>
      </c>
      <c r="E138" s="33" t="n">
        <f aca="false">IF(D138="totale",(C138/(A138*24))/F138,IF(D138="marché libre",(C138/(A138*24))/G138,"spécifier histo"))</f>
        <v>0</v>
      </c>
      <c r="F138" s="59" t="n">
        <v>138</v>
      </c>
      <c r="G138" s="59" t="n">
        <f aca="false">F138-H138</f>
        <v>138</v>
      </c>
      <c r="H138" s="59" t="n">
        <v>0</v>
      </c>
      <c r="J138" s="55"/>
    </row>
    <row r="139" customFormat="false" ht="19.85" hidden="false" customHeight="true" outlineLevel="0" collapsed="false">
      <c r="A139" s="0" t="n">
        <v>31</v>
      </c>
      <c r="B139" s="34" t="n">
        <v>41548</v>
      </c>
      <c r="C139" s="56" t="n">
        <v>0</v>
      </c>
      <c r="D139" s="26" t="s">
        <v>41</v>
      </c>
      <c r="E139" s="33" t="n">
        <f aca="false">IF(D139="totale",(C139/(A139*24))/F139,IF(D139="marché libre",(C139/(A139*24))/G139,"spécifier histo"))</f>
        <v>0</v>
      </c>
      <c r="F139" s="59" t="n">
        <v>138</v>
      </c>
      <c r="G139" s="59" t="n">
        <f aca="false">F139-H139</f>
        <v>138</v>
      </c>
      <c r="H139" s="59" t="n">
        <v>0</v>
      </c>
      <c r="J139" s="55"/>
    </row>
    <row r="140" customFormat="false" ht="19.85" hidden="false" customHeight="true" outlineLevel="0" collapsed="false">
      <c r="A140" s="0" t="n">
        <v>30</v>
      </c>
      <c r="B140" s="31" t="n">
        <v>41579</v>
      </c>
      <c r="C140" s="502" t="n">
        <v>44555</v>
      </c>
      <c r="D140" s="503" t="s">
        <v>42</v>
      </c>
      <c r="E140" s="188" t="n">
        <f aca="false">IF(D140="totale",(C140/(A140*24))/F140,IF(D140="marché libre",(C140/(A140*24))/G140,"spécifier histo"))</f>
        <v>0.448419887278583</v>
      </c>
      <c r="F140" s="189" t="n">
        <v>138</v>
      </c>
      <c r="G140" s="189" t="n">
        <f aca="false">F140-H140</f>
        <v>138</v>
      </c>
      <c r="H140" s="189" t="n">
        <v>0</v>
      </c>
      <c r="J140" s="55"/>
    </row>
    <row r="141" customFormat="false" ht="19.85" hidden="false" customHeight="true" outlineLevel="0" collapsed="false">
      <c r="A141" s="0" t="n">
        <v>31</v>
      </c>
      <c r="B141" s="34" t="n">
        <v>41609</v>
      </c>
      <c r="C141" s="1" t="n">
        <v>33894</v>
      </c>
      <c r="D141" s="504" t="s">
        <v>42</v>
      </c>
      <c r="E141" s="33" t="n">
        <f aca="false">IF(D141="totale",(C141/(A141*24))/F141,IF(D141="marché libre",(C141/(A141*24))/G141,"spécifier histo"))</f>
        <v>0.330119214586255</v>
      </c>
      <c r="F141" s="59" t="n">
        <v>138</v>
      </c>
      <c r="G141" s="59" t="n">
        <f aca="false">F141-H141</f>
        <v>138</v>
      </c>
      <c r="H141" s="59" t="n">
        <v>0</v>
      </c>
      <c r="J141" s="55"/>
      <c r="L141" s="38"/>
    </row>
    <row r="142" customFormat="false" ht="19.85" hidden="false" customHeight="true" outlineLevel="0" collapsed="false">
      <c r="A142" s="1" t="n">
        <v>31</v>
      </c>
      <c r="B142" s="31" t="n">
        <v>41640</v>
      </c>
      <c r="C142" s="1" t="n">
        <v>60157</v>
      </c>
      <c r="D142" s="504" t="s">
        <v>42</v>
      </c>
      <c r="E142" s="33" t="n">
        <f aca="false">IF(D142="totale",(C142/(A142*24))/F142,IF(D142="marché libre",(C142/(A142*24))/G142,"spécifier histo"))</f>
        <v>0.585914368084775</v>
      </c>
      <c r="F142" s="59" t="n">
        <v>138</v>
      </c>
      <c r="G142" s="1" t="n">
        <f aca="false">F142-H142</f>
        <v>138</v>
      </c>
      <c r="H142" s="59" t="n">
        <v>0</v>
      </c>
      <c r="J142" s="55"/>
      <c r="K142" s="55"/>
      <c r="L142" s="0"/>
      <c r="M142" s="0"/>
    </row>
    <row r="143" customFormat="false" ht="19.85" hidden="false" customHeight="true" outlineLevel="0" collapsed="false">
      <c r="A143" s="0" t="n">
        <v>28</v>
      </c>
      <c r="B143" s="34" t="n">
        <v>41671</v>
      </c>
      <c r="C143" s="1" t="n">
        <v>69080</v>
      </c>
      <c r="D143" s="504" t="s">
        <v>42</v>
      </c>
      <c r="E143" s="33" t="n">
        <f aca="false">IF(D143="totale",(C143/(A143*24))/F143,IF(D143="marché libre",(C143/(A143*24))/G143,"spécifier histo"))</f>
        <v>0.744910282953761</v>
      </c>
      <c r="F143" s="59" t="n">
        <v>138</v>
      </c>
      <c r="G143" s="59" t="n">
        <f aca="false">F143-H143</f>
        <v>138</v>
      </c>
      <c r="H143" s="59" t="n">
        <v>0</v>
      </c>
      <c r="J143" s="55"/>
      <c r="L143" s="0"/>
      <c r="M143" s="0"/>
    </row>
    <row r="144" customFormat="false" ht="19.85" hidden="false" customHeight="true" outlineLevel="0" collapsed="false">
      <c r="A144" s="0" t="n">
        <v>31</v>
      </c>
      <c r="B144" s="31" t="n">
        <v>41699</v>
      </c>
      <c r="C144" s="1" t="n">
        <v>71158</v>
      </c>
      <c r="D144" s="504" t="s">
        <v>42</v>
      </c>
      <c r="E144" s="33" t="n">
        <f aca="false">IF(D144="totale",(C144/(A144*24))/F144,IF(D144="marché libre",(C144/(A144*24))/G144,"spécifier histo"))</f>
        <v>0.693061399407823</v>
      </c>
      <c r="F144" s="59" t="n">
        <v>138</v>
      </c>
      <c r="G144" s="59" t="n">
        <f aca="false">F144-H144</f>
        <v>138</v>
      </c>
      <c r="H144" s="59" t="n">
        <v>0</v>
      </c>
      <c r="J144" s="55"/>
      <c r="L144" s="0"/>
      <c r="M144" s="0"/>
    </row>
    <row r="145" customFormat="false" ht="19.85" hidden="false" customHeight="true" outlineLevel="0" collapsed="false">
      <c r="A145" s="0" t="n">
        <v>30</v>
      </c>
      <c r="B145" s="34" t="n">
        <v>41730</v>
      </c>
      <c r="C145" s="1" t="n">
        <v>52937</v>
      </c>
      <c r="D145" s="504" t="s">
        <v>42</v>
      </c>
      <c r="E145" s="33" t="n">
        <f aca="false">IF(D145="totale",(C145/(A145*24))/F145,IF(D145="marché libre",(C145/(A145*24))/G145,"spécifier histo"))</f>
        <v>0.532779790660225</v>
      </c>
      <c r="F145" s="59" t="n">
        <v>138</v>
      </c>
      <c r="G145" s="59" t="n">
        <f aca="false">F145-H145</f>
        <v>138</v>
      </c>
      <c r="H145" s="59" t="n">
        <v>0</v>
      </c>
      <c r="J145" s="55"/>
      <c r="L145" s="0"/>
      <c r="M145" s="0"/>
    </row>
    <row r="146" customFormat="false" ht="19.85" hidden="false" customHeight="true" outlineLevel="0" collapsed="false">
      <c r="A146" s="0" t="n">
        <v>31</v>
      </c>
      <c r="B146" s="31" t="n">
        <v>41760</v>
      </c>
      <c r="C146" s="1" t="n">
        <v>39357</v>
      </c>
      <c r="D146" s="504" t="s">
        <v>42</v>
      </c>
      <c r="E146" s="33" t="n">
        <f aca="false">IF(D146="totale",(C146/(A146*24))/F146,IF(D146="marché libre",(C146/(A146*24))/G146,"spécifier histo"))</f>
        <v>0.383327489481066</v>
      </c>
      <c r="F146" s="59" t="n">
        <v>138</v>
      </c>
      <c r="G146" s="59" t="n">
        <f aca="false">F146-H146</f>
        <v>138</v>
      </c>
      <c r="H146" s="59" t="n">
        <v>0</v>
      </c>
      <c r="J146" s="55"/>
      <c r="L146" s="0"/>
    </row>
    <row r="147" customFormat="false" ht="19.85" hidden="false" customHeight="true" outlineLevel="0" collapsed="false">
      <c r="A147" s="0" t="n">
        <v>30</v>
      </c>
      <c r="B147" s="34" t="n">
        <v>41791</v>
      </c>
      <c r="C147" s="1" t="n">
        <v>20963</v>
      </c>
      <c r="D147" s="504" t="s">
        <v>42</v>
      </c>
      <c r="E147" s="33" t="n">
        <f aca="false">IF(D147="totale",(C147/(A147*24))/F147,IF(D147="marché libre",(C147/(A147*24))/G147,"spécifier histo"))</f>
        <v>0.210980273752013</v>
      </c>
      <c r="F147" s="59" t="n">
        <v>138</v>
      </c>
      <c r="G147" s="59" t="n">
        <f aca="false">F147-H147</f>
        <v>138</v>
      </c>
      <c r="H147" s="59" t="n">
        <v>0</v>
      </c>
      <c r="J147" s="55"/>
      <c r="L147" s="0"/>
    </row>
    <row r="148" customFormat="false" ht="19.85" hidden="false" customHeight="true" outlineLevel="0" collapsed="false">
      <c r="A148" s="0" t="n">
        <v>31</v>
      </c>
      <c r="B148" s="31" t="n">
        <v>41821</v>
      </c>
      <c r="C148" s="1" t="n">
        <v>8386</v>
      </c>
      <c r="D148" s="504" t="s">
        <v>42</v>
      </c>
      <c r="E148" s="33" t="n">
        <f aca="false">IF(D148="totale",(C148/(A148*24))/F148,IF(D148="marché libre",(C148/(A148*24))/G148,"spécifier histo"))</f>
        <v>0.0816775751908992</v>
      </c>
      <c r="F148" s="59" t="n">
        <v>138</v>
      </c>
      <c r="G148" s="59" t="n">
        <f aca="false">F148-H148</f>
        <v>138</v>
      </c>
      <c r="H148" s="59" t="n">
        <v>0</v>
      </c>
      <c r="J148" s="55"/>
      <c r="L148" s="131"/>
    </row>
    <row r="149" customFormat="false" ht="19.85" hidden="false" customHeight="true" outlineLevel="0" collapsed="false">
      <c r="A149" s="0" t="n">
        <v>31</v>
      </c>
      <c r="B149" s="34" t="n">
        <v>41852</v>
      </c>
      <c r="C149" s="1" t="n">
        <v>0</v>
      </c>
      <c r="D149" s="504" t="s">
        <v>42</v>
      </c>
      <c r="E149" s="33" t="n">
        <f aca="false">IF(D149="totale",(C149/(A149*24))/F149,IF(D149="marché libre",(C149/(A149*24))/G149,"spécifier histo"))</f>
        <v>0</v>
      </c>
      <c r="F149" s="59" t="n">
        <v>138</v>
      </c>
      <c r="G149" s="59" t="n">
        <f aca="false">F149-H149</f>
        <v>138</v>
      </c>
      <c r="H149" s="59" t="n">
        <v>0</v>
      </c>
      <c r="J149" s="55"/>
      <c r="L149" s="0"/>
    </row>
    <row r="150" customFormat="false" ht="19.85" hidden="false" customHeight="true" outlineLevel="0" collapsed="false">
      <c r="A150" s="0" t="n">
        <v>30</v>
      </c>
      <c r="B150" s="31" t="n">
        <v>41883</v>
      </c>
      <c r="C150" s="1" t="n">
        <v>0</v>
      </c>
      <c r="D150" s="504" t="s">
        <v>42</v>
      </c>
      <c r="E150" s="33" t="n">
        <f aca="false">IF(D150="totale",(C150/(A150*24))/F150,IF(D150="marché libre",(C150/(A150*24))/G150,"spécifier histo"))</f>
        <v>0</v>
      </c>
      <c r="F150" s="59" t="n">
        <v>138</v>
      </c>
      <c r="G150" s="59" t="n">
        <f aca="false">F150-H150</f>
        <v>138</v>
      </c>
      <c r="H150" s="59" t="n">
        <v>0</v>
      </c>
      <c r="J150" s="55"/>
      <c r="L150" s="0"/>
    </row>
    <row r="151" customFormat="false" ht="19.85" hidden="false" customHeight="true" outlineLevel="0" collapsed="false">
      <c r="A151" s="0" t="n">
        <v>31</v>
      </c>
      <c r="B151" s="34" t="n">
        <v>41913</v>
      </c>
      <c r="C151" s="1" t="n">
        <v>0</v>
      </c>
      <c r="D151" s="504" t="s">
        <v>42</v>
      </c>
      <c r="E151" s="33" t="n">
        <f aca="false">IF(D151="totale",(C151/(A151*24))/F151,IF(D151="marché libre",(C151/(A151*24))/G151,"spécifier histo"))</f>
        <v>0</v>
      </c>
      <c r="F151" s="59" t="n">
        <v>138</v>
      </c>
      <c r="G151" s="59" t="n">
        <f aca="false">F151-H151</f>
        <v>138</v>
      </c>
      <c r="H151" s="59" t="n">
        <v>0</v>
      </c>
      <c r="J151" s="73"/>
      <c r="L151" s="0"/>
    </row>
    <row r="152" customFormat="false" ht="19.85" hidden="false" customHeight="true" outlineLevel="0" collapsed="false">
      <c r="A152" s="0" t="n">
        <v>30</v>
      </c>
      <c r="B152" s="31" t="n">
        <v>41944</v>
      </c>
      <c r="C152" s="1" t="n">
        <v>16085</v>
      </c>
      <c r="D152" s="504" t="s">
        <v>42</v>
      </c>
      <c r="E152" s="33" t="n">
        <f aca="false">IF(D152="totale",(C152/(A152*24))/F152,IF(D152="marché libre",(C152/(A152*24))/G152,"spécifier histo"))</f>
        <v>0.161886070853462</v>
      </c>
      <c r="F152" s="59" t="n">
        <v>138</v>
      </c>
      <c r="G152" s="59" t="n">
        <f aca="false">F152-H152</f>
        <v>138</v>
      </c>
      <c r="H152" s="59" t="n">
        <v>0</v>
      </c>
      <c r="J152" s="55"/>
      <c r="L152" s="0"/>
    </row>
    <row r="153" customFormat="false" ht="19.95" hidden="false" customHeight="true" outlineLevel="0" collapsed="false">
      <c r="A153" s="0" t="n">
        <v>31</v>
      </c>
      <c r="B153" s="34" t="n">
        <v>41974</v>
      </c>
      <c r="C153" s="1" t="n">
        <v>25650</v>
      </c>
      <c r="D153" s="504" t="s">
        <v>42</v>
      </c>
      <c r="E153" s="33" t="n">
        <f aca="false">IF(D153="totale",(C153/(A153*24))/F153,IF(D153="marché libre",(C153/(A153*24))/G153,"spécifier histo"))</f>
        <v>0.249824684431978</v>
      </c>
      <c r="F153" s="59" t="n">
        <v>138</v>
      </c>
      <c r="G153" s="59" t="n">
        <f aca="false">F153-H153</f>
        <v>138</v>
      </c>
      <c r="H153" s="59" t="n">
        <v>0</v>
      </c>
      <c r="J153" s="55"/>
      <c r="L153" s="0"/>
    </row>
    <row r="154" customFormat="false" ht="19.85" hidden="false" customHeight="true" outlineLevel="0" collapsed="false">
      <c r="A154" s="0" t="n">
        <v>31</v>
      </c>
      <c r="B154" s="31" t="n">
        <v>42005</v>
      </c>
      <c r="C154" s="56" t="n">
        <v>37648</v>
      </c>
      <c r="D154" s="504" t="s">
        <v>42</v>
      </c>
      <c r="E154" s="33" t="n">
        <f aca="false">IF(D154="totale",(C154/(A154*24))/F154,IF(D154="marché libre",(C154/(A154*24))/G154,"spécifier histo"))</f>
        <v>0.366682250272713</v>
      </c>
      <c r="F154" s="59" t="n">
        <v>138</v>
      </c>
      <c r="G154" s="57" t="n">
        <f aca="false">F154-H154</f>
        <v>138</v>
      </c>
      <c r="H154" s="59" t="n">
        <v>0</v>
      </c>
      <c r="J154" s="55"/>
    </row>
    <row r="155" customFormat="false" ht="19.85" hidden="false" customHeight="true" outlineLevel="0" collapsed="false">
      <c r="A155" s="0" t="n">
        <v>28</v>
      </c>
      <c r="B155" s="34" t="n">
        <v>42036</v>
      </c>
      <c r="C155" s="56" t="n">
        <v>44905</v>
      </c>
      <c r="D155" s="504" t="s">
        <v>42</v>
      </c>
      <c r="E155" s="33" t="n">
        <f aca="false">IF(D155="totale",(C155/(A155*24))/F155,IF(D155="marché libre",(C155/(A155*24))/G155,"spécifier histo"))</f>
        <v>0.484224033816425</v>
      </c>
      <c r="F155" s="59" t="n">
        <v>138</v>
      </c>
      <c r="G155" s="59" t="n">
        <f aca="false">F155-H155</f>
        <v>138</v>
      </c>
      <c r="H155" s="59" t="n">
        <v>0</v>
      </c>
      <c r="J155" s="55"/>
    </row>
    <row r="156" customFormat="false" ht="19.85" hidden="false" customHeight="true" outlineLevel="0" collapsed="false">
      <c r="A156" s="0" t="n">
        <v>31</v>
      </c>
      <c r="B156" s="31" t="n">
        <v>42064</v>
      </c>
      <c r="C156" s="56" t="n">
        <v>39214</v>
      </c>
      <c r="D156" s="504" t="s">
        <v>42</v>
      </c>
      <c r="E156" s="33" t="n">
        <f aca="false">IF(D156="totale",(C156/(A156*24))/F156,IF(D156="marché libre",(C156/(A156*24))/G156,"spécifier histo"))</f>
        <v>0.381934704690665</v>
      </c>
      <c r="F156" s="59" t="n">
        <v>138</v>
      </c>
      <c r="G156" s="59" t="n">
        <f aca="false">F156-H156</f>
        <v>138</v>
      </c>
      <c r="H156" s="59" t="n">
        <v>0</v>
      </c>
      <c r="J156" s="55"/>
    </row>
    <row r="157" customFormat="false" ht="19.85" hidden="false" customHeight="true" outlineLevel="0" collapsed="false">
      <c r="A157" s="0" t="n">
        <v>30</v>
      </c>
      <c r="B157" s="34" t="n">
        <v>42095</v>
      </c>
      <c r="C157" s="56" t="n">
        <v>0</v>
      </c>
      <c r="D157" s="504" t="s">
        <v>42</v>
      </c>
      <c r="E157" s="33" t="n">
        <f aca="false">IF(D157="totale",(C157/(A157*24))/F157,IF(D157="marché libre",(C157/(A157*24))/G157,"spécifier histo"))</f>
        <v>0</v>
      </c>
      <c r="F157" s="59" t="n">
        <v>138</v>
      </c>
      <c r="G157" s="59" t="n">
        <f aca="false">F157-H157</f>
        <v>138</v>
      </c>
      <c r="H157" s="59" t="n">
        <v>0</v>
      </c>
      <c r="J157" s="55"/>
    </row>
    <row r="158" customFormat="false" ht="19.85" hidden="false" customHeight="true" outlineLevel="0" collapsed="false">
      <c r="A158" s="0" t="n">
        <v>31</v>
      </c>
      <c r="B158" s="31" t="n">
        <v>42125</v>
      </c>
      <c r="C158" s="56" t="n">
        <v>0</v>
      </c>
      <c r="D158" s="504" t="s">
        <v>42</v>
      </c>
      <c r="E158" s="33" t="n">
        <f aca="false">IF(D158="totale",(C158/(A158*24))/F158,IF(D158="marché libre",(C158/(A158*24))/G158,"spécifier histo"))</f>
        <v>0</v>
      </c>
      <c r="F158" s="59" t="n">
        <v>138</v>
      </c>
      <c r="G158" s="59" t="n">
        <f aca="false">F158-H158</f>
        <v>138</v>
      </c>
      <c r="H158" s="59" t="n">
        <v>0</v>
      </c>
      <c r="J158" s="55"/>
    </row>
    <row r="159" customFormat="false" ht="19.85" hidden="false" customHeight="true" outlineLevel="0" collapsed="false">
      <c r="A159" s="0" t="n">
        <v>30</v>
      </c>
      <c r="B159" s="34" t="n">
        <v>42156</v>
      </c>
      <c r="C159" s="56" t="n">
        <v>0</v>
      </c>
      <c r="D159" s="504" t="s">
        <v>42</v>
      </c>
      <c r="E159" s="33" t="n">
        <f aca="false">IF(D159="totale",(C159/(A159*24))/F159,IF(D159="marché libre",(C159/(A159*24))/G159,"spécifier histo"))</f>
        <v>0</v>
      </c>
      <c r="F159" s="59" t="n">
        <v>138</v>
      </c>
      <c r="G159" s="59" t="n">
        <f aca="false">F159-H159</f>
        <v>138</v>
      </c>
      <c r="H159" s="59" t="n">
        <v>0</v>
      </c>
      <c r="J159" s="55"/>
    </row>
    <row r="160" customFormat="false" ht="19.85" hidden="false" customHeight="true" outlineLevel="0" collapsed="false">
      <c r="A160" s="0" t="n">
        <v>31</v>
      </c>
      <c r="B160" s="31" t="n">
        <v>42186</v>
      </c>
      <c r="C160" s="56" t="n">
        <v>0</v>
      </c>
      <c r="D160" s="504" t="s">
        <v>42</v>
      </c>
      <c r="E160" s="33" t="n">
        <f aca="false">IF(D160="totale",(C160/(A160*24))/F160,IF(D160="marché libre",(C160/(A160*24))/G160,"spécifier histo"))</f>
        <v>0</v>
      </c>
      <c r="F160" s="59" t="n">
        <v>138</v>
      </c>
      <c r="G160" s="59" t="n">
        <f aca="false">F160-H160</f>
        <v>138</v>
      </c>
      <c r="H160" s="59" t="n">
        <v>0</v>
      </c>
      <c r="J160" s="55"/>
    </row>
    <row r="161" customFormat="false" ht="19.85" hidden="false" customHeight="true" outlineLevel="0" collapsed="false">
      <c r="A161" s="0" t="n">
        <v>31</v>
      </c>
      <c r="B161" s="34" t="n">
        <v>42217</v>
      </c>
      <c r="C161" s="56" t="n">
        <v>0</v>
      </c>
      <c r="D161" s="504" t="s">
        <v>42</v>
      </c>
      <c r="E161" s="33" t="n">
        <f aca="false">IF(D161="totale",(C161/(A161*24))/F161,IF(D161="marché libre",(C161/(A161*24))/G161,"spécifier histo"))</f>
        <v>0</v>
      </c>
      <c r="F161" s="59" t="n">
        <v>138</v>
      </c>
      <c r="G161" s="59" t="n">
        <f aca="false">F161-H161</f>
        <v>138</v>
      </c>
      <c r="H161" s="59" t="n">
        <v>0</v>
      </c>
      <c r="J161" s="55"/>
    </row>
    <row r="162" customFormat="false" ht="19.85" hidden="false" customHeight="true" outlineLevel="0" collapsed="false">
      <c r="A162" s="0" t="n">
        <v>30</v>
      </c>
      <c r="B162" s="31" t="n">
        <v>42248</v>
      </c>
      <c r="C162" s="56" t="n">
        <v>0</v>
      </c>
      <c r="D162" s="504" t="s">
        <v>42</v>
      </c>
      <c r="E162" s="33" t="n">
        <f aca="false">IF(D162="totale",(C162/(A162*24))/F162,IF(D162="marché libre",(C162/(A162*24))/G162,"spécifier histo"))</f>
        <v>0</v>
      </c>
      <c r="F162" s="59" t="n">
        <v>138</v>
      </c>
      <c r="G162" s="59" t="n">
        <f aca="false">F162-H162</f>
        <v>138</v>
      </c>
      <c r="H162" s="59" t="n">
        <v>0</v>
      </c>
      <c r="J162" s="55"/>
    </row>
    <row r="163" customFormat="false" ht="19.85" hidden="false" customHeight="true" outlineLevel="0" collapsed="false">
      <c r="A163" s="0" t="n">
        <v>31</v>
      </c>
      <c r="B163" s="34" t="n">
        <v>42278</v>
      </c>
      <c r="C163" s="56" t="n">
        <v>0</v>
      </c>
      <c r="D163" s="504" t="s">
        <v>42</v>
      </c>
      <c r="E163" s="33" t="n">
        <f aca="false">IF(D163="totale",(C163/(A163*24))/F163,IF(D163="marché libre",(C163/(A163*24))/G163,"spécifier histo"))</f>
        <v>0</v>
      </c>
      <c r="F163" s="59" t="n">
        <v>138</v>
      </c>
      <c r="G163" s="59" t="n">
        <f aca="false">F163-H163</f>
        <v>138</v>
      </c>
      <c r="H163" s="59" t="n">
        <v>0</v>
      </c>
      <c r="J163" s="55"/>
    </row>
    <row r="164" customFormat="false" ht="19.85" hidden="false" customHeight="true" outlineLevel="0" collapsed="false">
      <c r="A164" s="0" t="n">
        <v>30</v>
      </c>
      <c r="B164" s="31" t="n">
        <v>42309</v>
      </c>
      <c r="C164" s="56" t="n">
        <v>0</v>
      </c>
      <c r="D164" s="504" t="s">
        <v>42</v>
      </c>
      <c r="E164" s="33" t="n">
        <f aca="false">IF(D164="totale",(C164/(A164*24))/F164,IF(D164="marché libre",(C164/(A164*24))/G164,"spécifier histo"))</f>
        <v>0</v>
      </c>
      <c r="F164" s="59" t="n">
        <v>138</v>
      </c>
      <c r="G164" s="59" t="n">
        <f aca="false">F164-H164</f>
        <v>138</v>
      </c>
      <c r="H164" s="59" t="n">
        <v>0</v>
      </c>
      <c r="J164" s="55"/>
    </row>
    <row r="165" customFormat="false" ht="19.85" hidden="false" customHeight="true" outlineLevel="0" collapsed="false">
      <c r="A165" s="0" t="n">
        <v>31</v>
      </c>
      <c r="B165" s="34" t="n">
        <v>42339</v>
      </c>
      <c r="C165" s="56" t="n">
        <v>0</v>
      </c>
      <c r="D165" s="504" t="s">
        <v>42</v>
      </c>
      <c r="E165" s="33" t="n">
        <f aca="false">IF(D165="totale",(C165/(A165*24))/F165,IF(D165="marché libre",(C165/(A165*24))/G165,"spécifier histo"))</f>
        <v>0</v>
      </c>
      <c r="F165" s="59" t="n">
        <v>138</v>
      </c>
      <c r="G165" s="59" t="n">
        <f aca="false">F165-H165</f>
        <v>138</v>
      </c>
      <c r="H165" s="59" t="n">
        <v>0</v>
      </c>
      <c r="J165" s="55"/>
      <c r="K165" s="0"/>
    </row>
    <row r="166" customFormat="false" ht="19.85" hidden="false" customHeight="true" outlineLevel="0" collapsed="false">
      <c r="A166" s="0" t="n">
        <v>31</v>
      </c>
      <c r="B166" s="31" t="n">
        <v>42370</v>
      </c>
      <c r="C166" s="1" t="n">
        <v>0</v>
      </c>
      <c r="D166" s="504" t="s">
        <v>42</v>
      </c>
      <c r="E166" s="33" t="n">
        <f aca="false">IF(D166="totale",(C166/(A166*24))/F166,IF(D166="marché libre",(C166/(A166*24))/G166,"spécifier histo"))</f>
        <v>0</v>
      </c>
      <c r="F166" s="59" t="n">
        <v>138</v>
      </c>
      <c r="G166" s="59" t="n">
        <f aca="false">F166-H166</f>
        <v>138</v>
      </c>
      <c r="H166" s="59" t="n">
        <v>0</v>
      </c>
      <c r="J166" s="55"/>
      <c r="K166" s="0"/>
    </row>
    <row r="167" customFormat="false" ht="19.85" hidden="false" customHeight="true" outlineLevel="0" collapsed="false">
      <c r="A167" s="0" t="n">
        <v>28</v>
      </c>
      <c r="B167" s="34" t="n">
        <v>42401</v>
      </c>
      <c r="C167" s="1" t="n">
        <v>37176</v>
      </c>
      <c r="D167" s="504" t="s">
        <v>42</v>
      </c>
      <c r="E167" s="33" t="n">
        <f aca="false">IF(D167="totale",(C167/(A167*24))/F167,IF(D167="marché libre",(C167/(A167*24))/G167,"spécifier histo"))</f>
        <v>0.400879917184265</v>
      </c>
      <c r="F167" s="59" t="n">
        <v>138</v>
      </c>
      <c r="G167" s="59" t="n">
        <f aca="false">F167-H167</f>
        <v>138</v>
      </c>
      <c r="H167" s="59" t="n">
        <v>0</v>
      </c>
      <c r="J167" s="55"/>
      <c r="K167" s="0"/>
    </row>
    <row r="168" customFormat="false" ht="19.85" hidden="false" customHeight="true" outlineLevel="0" collapsed="false">
      <c r="A168" s="0" t="n">
        <v>31</v>
      </c>
      <c r="B168" s="31" t="n">
        <v>42430</v>
      </c>
      <c r="C168" s="1" t="n">
        <v>58120</v>
      </c>
      <c r="D168" s="504" t="s">
        <v>42</v>
      </c>
      <c r="E168" s="33" t="n">
        <f aca="false">IF(D168="totale",(C168/(A168*24))/F168,IF(D168="marché libre",(C168/(A168*24))/G168,"spécifier histo"))</f>
        <v>0.566074489636902</v>
      </c>
      <c r="F168" s="59" t="n">
        <v>138</v>
      </c>
      <c r="G168" s="59" t="n">
        <f aca="false">F168-H168</f>
        <v>138</v>
      </c>
      <c r="H168" s="59" t="n">
        <v>0</v>
      </c>
      <c r="J168" s="55"/>
      <c r="K168" s="0"/>
    </row>
    <row r="169" customFormat="false" ht="19.85" hidden="false" customHeight="true" outlineLevel="0" collapsed="false">
      <c r="A169" s="0" t="n">
        <v>30</v>
      </c>
      <c r="B169" s="34" t="n">
        <v>42461</v>
      </c>
      <c r="C169" s="1" t="n">
        <v>41862</v>
      </c>
      <c r="D169" s="504" t="s">
        <v>42</v>
      </c>
      <c r="E169" s="33" t="n">
        <f aca="false">IF(D169="totale",(C169/(A169*24))/F169,IF(D169="marché libre",(C169/(A169*24))/G169,"spécifier histo"))</f>
        <v>0.421316425120773</v>
      </c>
      <c r="F169" s="59" t="n">
        <v>138</v>
      </c>
      <c r="G169" s="59" t="n">
        <f aca="false">F169-H169</f>
        <v>138</v>
      </c>
      <c r="H169" s="59" t="n">
        <v>0</v>
      </c>
      <c r="J169" s="55"/>
      <c r="K169" s="0"/>
    </row>
    <row r="170" customFormat="false" ht="19.85" hidden="false" customHeight="true" outlineLevel="0" collapsed="false">
      <c r="A170" s="0" t="n">
        <v>31</v>
      </c>
      <c r="B170" s="31" t="n">
        <v>42491</v>
      </c>
      <c r="C170" s="1" t="n">
        <v>24865</v>
      </c>
      <c r="D170" s="504" t="s">
        <v>42</v>
      </c>
      <c r="E170" s="33" t="n">
        <f aca="false">IF(D170="totale",(C170/(A170*24))/F170,IF(D170="marché libre",(C170/(A170*24))/G170,"spécifier histo"))</f>
        <v>0.242178977715443</v>
      </c>
      <c r="F170" s="59" t="n">
        <v>138</v>
      </c>
      <c r="G170" s="59" t="n">
        <f aca="false">F170-H170</f>
        <v>138</v>
      </c>
      <c r="H170" s="59" t="n">
        <v>0</v>
      </c>
      <c r="J170" s="55"/>
      <c r="K170" s="0"/>
    </row>
    <row r="171" customFormat="false" ht="19.85" hidden="false" customHeight="true" outlineLevel="0" collapsed="false">
      <c r="A171" s="0" t="n">
        <v>30</v>
      </c>
      <c r="B171" s="34" t="n">
        <v>42522</v>
      </c>
      <c r="C171" s="58" t="n">
        <v>31174</v>
      </c>
      <c r="D171" s="504" t="s">
        <v>42</v>
      </c>
      <c r="E171" s="33" t="n">
        <f aca="false">IF(D171="totale",(C171/(A171*24))/F171,IF(D171="marché libre",(C171/(A171*24))/G171,"spécifier histo"))</f>
        <v>0.313747987117552</v>
      </c>
      <c r="F171" s="59" t="n">
        <v>138</v>
      </c>
      <c r="G171" s="59" t="n">
        <f aca="false">F171-H171</f>
        <v>138</v>
      </c>
      <c r="H171" s="59" t="n">
        <v>0</v>
      </c>
      <c r="J171" s="55"/>
      <c r="K171" s="0"/>
    </row>
    <row r="172" customFormat="false" ht="19.85" hidden="false" customHeight="true" outlineLevel="0" collapsed="false">
      <c r="A172" s="0" t="n">
        <v>31</v>
      </c>
      <c r="B172" s="31" t="n">
        <v>42552</v>
      </c>
      <c r="C172" s="505" t="n">
        <v>2238</v>
      </c>
      <c r="D172" s="504" t="s">
        <v>42</v>
      </c>
      <c r="E172" s="33" t="n">
        <f aca="false">IF(D172="totale",(C172/(A172*24))/F172,IF(D172="marché libre",(C172/(A172*24))/G172,"spécifier histo"))</f>
        <v>0.0217975689574568</v>
      </c>
      <c r="F172" s="59" t="n">
        <v>138</v>
      </c>
      <c r="G172" s="59" t="n">
        <f aca="false">F172-H172</f>
        <v>138</v>
      </c>
      <c r="H172" s="506" t="n">
        <v>0</v>
      </c>
      <c r="J172" s="55"/>
      <c r="K172" s="0"/>
    </row>
    <row r="173" customFormat="false" ht="19.85" hidden="false" customHeight="true" outlineLevel="0" collapsed="false">
      <c r="A173" s="0" t="n">
        <v>31</v>
      </c>
      <c r="B173" s="34" t="n">
        <v>42583</v>
      </c>
      <c r="C173" s="29" t="n">
        <v>0</v>
      </c>
      <c r="D173" s="504" t="s">
        <v>42</v>
      </c>
      <c r="E173" s="33" t="n">
        <f aca="false">IF(D173="totale",(C173/(A173*24))/F173,IF(D173="marché libre",(C173/(A173*24))/G173,"spécifier histo"))</f>
        <v>0</v>
      </c>
      <c r="F173" s="59" t="n">
        <v>138</v>
      </c>
      <c r="G173" s="59" t="n">
        <f aca="false">F173-H173</f>
        <v>138</v>
      </c>
      <c r="H173" s="59" t="n">
        <v>0</v>
      </c>
      <c r="J173" s="55"/>
      <c r="K173" s="0"/>
    </row>
    <row r="174" customFormat="false" ht="19.85" hidden="false" customHeight="true" outlineLevel="0" collapsed="false">
      <c r="A174" s="0" t="n">
        <v>30</v>
      </c>
      <c r="B174" s="31" t="n">
        <v>42614</v>
      </c>
      <c r="C174" s="29" t="n">
        <v>0</v>
      </c>
      <c r="D174" s="504" t="s">
        <v>42</v>
      </c>
      <c r="E174" s="33" t="n">
        <f aca="false">IF(D174="totale",(C174/(A174*24))/F174,IF(D174="marché libre",(C174/(A174*24))/G174,"spécifier histo"))</f>
        <v>0</v>
      </c>
      <c r="F174" s="59" t="n">
        <v>138</v>
      </c>
      <c r="G174" s="59" t="n">
        <f aca="false">F174-H174</f>
        <v>138</v>
      </c>
      <c r="H174" s="59" t="n">
        <v>0</v>
      </c>
      <c r="J174" s="55"/>
      <c r="K174" s="0"/>
    </row>
    <row r="175" customFormat="false" ht="19.85" hidden="false" customHeight="true" outlineLevel="0" collapsed="false">
      <c r="A175" s="0" t="n">
        <v>31</v>
      </c>
      <c r="B175" s="34" t="n">
        <v>42644</v>
      </c>
      <c r="C175" s="29" t="n">
        <v>0</v>
      </c>
      <c r="D175" s="504" t="s">
        <v>42</v>
      </c>
      <c r="E175" s="33" t="n">
        <f aca="false">IF(D175="totale",(C175/(A175*24))/F175,IF(D175="marché libre",(C175/(A175*24))/G175,"spécifier histo"))</f>
        <v>0</v>
      </c>
      <c r="F175" s="59" t="n">
        <v>138</v>
      </c>
      <c r="G175" s="59" t="n">
        <f aca="false">F175-H175</f>
        <v>138</v>
      </c>
      <c r="H175" s="59" t="n">
        <v>0</v>
      </c>
      <c r="J175" s="55"/>
      <c r="K175" s="0"/>
    </row>
    <row r="176" customFormat="false" ht="19.85" hidden="false" customHeight="true" outlineLevel="0" collapsed="false">
      <c r="A176" s="0" t="n">
        <v>30</v>
      </c>
      <c r="B176" s="31" t="n">
        <v>42675</v>
      </c>
      <c r="C176" s="29" t="n">
        <v>0</v>
      </c>
      <c r="D176" s="504" t="s">
        <v>42</v>
      </c>
      <c r="E176" s="33" t="n">
        <f aca="false">IF(D176="totale",(C176/(A176*24))/F176,IF(D176="marché libre",(C176/(A176*24))/G176,"spécifier histo"))</f>
        <v>0</v>
      </c>
      <c r="F176" s="59" t="n">
        <v>138</v>
      </c>
      <c r="G176" s="59" t="n">
        <f aca="false">F176-H176</f>
        <v>138</v>
      </c>
      <c r="H176" s="59" t="n">
        <v>0</v>
      </c>
      <c r="J176" s="55"/>
      <c r="K176" s="0"/>
    </row>
    <row r="177" customFormat="false" ht="19.85" hidden="false" customHeight="true" outlineLevel="0" collapsed="false">
      <c r="A177" s="0" t="n">
        <v>31</v>
      </c>
      <c r="B177" s="34" t="n">
        <v>42705</v>
      </c>
      <c r="C177" s="29" t="n">
        <v>0</v>
      </c>
      <c r="D177" s="504" t="s">
        <v>42</v>
      </c>
      <c r="E177" s="33" t="n">
        <f aca="false">IF(D177="totale",(C177/(A177*24))/F177,IF(D177="marché libre",(C177/(A177*24))/G177,"spécifier histo"))</f>
        <v>0</v>
      </c>
      <c r="F177" s="59" t="n">
        <v>138</v>
      </c>
      <c r="G177" s="59" t="n">
        <f aca="false">F177-H177</f>
        <v>138</v>
      </c>
      <c r="H177" s="59" t="n">
        <v>0</v>
      </c>
      <c r="J177" s="55"/>
    </row>
    <row r="178" customFormat="false" ht="19.85" hidden="false" customHeight="true" outlineLevel="0" collapsed="false">
      <c r="A178" s="0" t="n">
        <v>31</v>
      </c>
      <c r="B178" s="31" t="n">
        <v>42736</v>
      </c>
      <c r="C178" s="1" t="n">
        <v>0</v>
      </c>
      <c r="D178" s="504" t="s">
        <v>42</v>
      </c>
      <c r="E178" s="33" t="n">
        <f aca="false">IF(D178="totale",(C178/(A178*24))/F178,IF(D178="marché libre",(C178/(A178*24))/G178,"spécifier histo"))</f>
        <v>0</v>
      </c>
      <c r="F178" s="59" t="n">
        <v>138</v>
      </c>
      <c r="G178" s="59" t="n">
        <f aca="false">F178-H178</f>
        <v>138</v>
      </c>
      <c r="H178" s="59" t="n">
        <v>0</v>
      </c>
      <c r="J178" s="30"/>
      <c r="K178" s="0"/>
    </row>
    <row r="179" customFormat="false" ht="19.85" hidden="false" customHeight="true" outlineLevel="0" collapsed="false">
      <c r="A179" s="0" t="n">
        <v>28</v>
      </c>
      <c r="B179" s="34" t="n">
        <v>42767</v>
      </c>
      <c r="C179" s="1" t="n">
        <v>20779</v>
      </c>
      <c r="D179" s="504" t="s">
        <v>42</v>
      </c>
      <c r="E179" s="33" t="n">
        <f aca="false">IF(D179="totale",(C179/(A179*24))/F179,IF(D179="marché libre",(C179/(A179*24))/G179,"spécifier histo"))</f>
        <v>0.224066166321601</v>
      </c>
      <c r="F179" s="59" t="n">
        <v>138</v>
      </c>
      <c r="G179" s="59" t="n">
        <f aca="false">F179-H179</f>
        <v>138</v>
      </c>
      <c r="H179" s="59" t="n">
        <v>0</v>
      </c>
      <c r="J179" s="55"/>
      <c r="K179" s="0"/>
    </row>
    <row r="180" customFormat="false" ht="19.85" hidden="false" customHeight="true" outlineLevel="0" collapsed="false">
      <c r="A180" s="0" t="n">
        <v>31</v>
      </c>
      <c r="B180" s="31" t="n">
        <v>42795</v>
      </c>
      <c r="C180" s="1" t="n">
        <v>46413</v>
      </c>
      <c r="D180" s="504" t="s">
        <v>42</v>
      </c>
      <c r="E180" s="33" t="n">
        <f aca="false">IF(D180="totale",(C180/(A180*24))/F180,IF(D180="marché libre",(C180/(A180*24))/G180,"spécifier histo"))</f>
        <v>0.452051192145863</v>
      </c>
      <c r="F180" s="59" t="n">
        <v>138</v>
      </c>
      <c r="G180" s="59" t="n">
        <f aca="false">F180-H180</f>
        <v>138</v>
      </c>
      <c r="H180" s="59" t="n">
        <v>0</v>
      </c>
      <c r="J180" s="55"/>
      <c r="K180" s="0"/>
    </row>
    <row r="181" customFormat="false" ht="19.85" hidden="false" customHeight="true" outlineLevel="0" collapsed="false">
      <c r="A181" s="0" t="n">
        <v>30</v>
      </c>
      <c r="B181" s="34" t="n">
        <v>42826</v>
      </c>
      <c r="C181" s="1" t="n">
        <v>13391</v>
      </c>
      <c r="D181" s="504" t="s">
        <v>42</v>
      </c>
      <c r="E181" s="33" t="n">
        <f aca="false">IF(D181="totale",(C181/(A181*24))/F181,IF(D181="marché libre",(C181/(A181*24))/G181,"spécifier histo"))</f>
        <v>0.134772544283414</v>
      </c>
      <c r="F181" s="59" t="n">
        <v>138</v>
      </c>
      <c r="G181" s="59" t="n">
        <f aca="false">F181-H181</f>
        <v>138</v>
      </c>
      <c r="H181" s="59" t="n">
        <v>0</v>
      </c>
      <c r="J181" s="55"/>
      <c r="K181" s="0"/>
    </row>
    <row r="182" customFormat="false" ht="19.85" hidden="false" customHeight="true" outlineLevel="0" collapsed="false">
      <c r="A182" s="0" t="n">
        <v>31</v>
      </c>
      <c r="B182" s="31" t="n">
        <v>42856</v>
      </c>
      <c r="C182" s="1" t="n">
        <v>0</v>
      </c>
      <c r="D182" s="504" t="s">
        <v>42</v>
      </c>
      <c r="E182" s="33" t="n">
        <f aca="false">IF(D182="totale",(C182/(A182*24))/F182,IF(D182="marché libre",(C182/(A182*24))/G182,"spécifier histo"))</f>
        <v>0</v>
      </c>
      <c r="F182" s="59" t="n">
        <v>138</v>
      </c>
      <c r="G182" s="59" t="n">
        <f aca="false">F182-H182</f>
        <v>138</v>
      </c>
      <c r="H182" s="59" t="n">
        <v>0</v>
      </c>
      <c r="J182" s="55"/>
      <c r="K182" s="0"/>
    </row>
    <row r="183" customFormat="false" ht="22.45" hidden="false" customHeight="true" outlineLevel="0" collapsed="false">
      <c r="A183" s="0" t="n">
        <v>30</v>
      </c>
      <c r="B183" s="34" t="n">
        <v>42887</v>
      </c>
      <c r="C183" s="1" t="n">
        <v>0</v>
      </c>
      <c r="D183" s="504" t="s">
        <v>42</v>
      </c>
      <c r="E183" s="33" t="n">
        <f aca="false">IF(D183="totale",(C183/(A183*24))/F183,IF(D183="marché libre",(C183/(A183*24))/G183,"spécifier histo"))</f>
        <v>0</v>
      </c>
      <c r="F183" s="59" t="n">
        <v>138</v>
      </c>
      <c r="G183" s="59" t="n">
        <f aca="false">F183-H183</f>
        <v>138</v>
      </c>
      <c r="H183" s="59" t="n">
        <v>0</v>
      </c>
      <c r="J183" s="55"/>
      <c r="K183" s="0"/>
    </row>
    <row r="184" customFormat="false" ht="21.65" hidden="false" customHeight="true" outlineLevel="0" collapsed="false">
      <c r="A184" s="0" t="n">
        <v>31</v>
      </c>
      <c r="B184" s="31" t="n">
        <v>42917</v>
      </c>
      <c r="C184" s="1" t="n">
        <v>0</v>
      </c>
      <c r="D184" s="504" t="s">
        <v>42</v>
      </c>
      <c r="E184" s="33" t="n">
        <f aca="false">IF(D184="totale",(C184/(A184*24))/F184,IF(D184="marché libre",(C184/(A184*24))/G184,"spécifier histo"))</f>
        <v>0</v>
      </c>
      <c r="F184" s="59" t="n">
        <v>138</v>
      </c>
      <c r="G184" s="59" t="n">
        <f aca="false">F184-H184</f>
        <v>138</v>
      </c>
      <c r="H184" s="59" t="n">
        <v>0</v>
      </c>
      <c r="J184" s="55"/>
      <c r="K184" s="0"/>
    </row>
    <row r="185" customFormat="false" ht="21.65" hidden="false" customHeight="true" outlineLevel="0" collapsed="false">
      <c r="A185" s="0" t="n">
        <v>31</v>
      </c>
      <c r="B185" s="34" t="n">
        <v>42948</v>
      </c>
      <c r="C185" s="1" t="n">
        <v>0</v>
      </c>
      <c r="D185" s="504" t="s">
        <v>42</v>
      </c>
      <c r="E185" s="33" t="n">
        <f aca="false">IF(D185="totale",(C185/(A185*24))/F185,IF(D185="marché libre",(C185/(A185*24))/G185,"spécifier histo"))</f>
        <v>0</v>
      </c>
      <c r="F185" s="59" t="n">
        <v>138</v>
      </c>
      <c r="G185" s="59" t="n">
        <f aca="false">F185-H185</f>
        <v>138</v>
      </c>
      <c r="H185" s="59" t="n">
        <v>0</v>
      </c>
      <c r="J185" s="55"/>
      <c r="K185" s="0"/>
    </row>
    <row r="186" customFormat="false" ht="21.65" hidden="false" customHeight="true" outlineLevel="0" collapsed="false">
      <c r="A186" s="0" t="n">
        <v>30</v>
      </c>
      <c r="B186" s="31" t="n">
        <v>42979</v>
      </c>
      <c r="C186" s="1" t="n">
        <v>0</v>
      </c>
      <c r="D186" s="504" t="s">
        <v>42</v>
      </c>
      <c r="E186" s="33" t="n">
        <f aca="false">IF(D186="totale",(C186/(A186*24))/F186,IF(D186="marché libre",(C186/(A186*24))/G186,"spécifier histo"))</f>
        <v>0</v>
      </c>
      <c r="F186" s="59" t="n">
        <v>138</v>
      </c>
      <c r="G186" s="59" t="n">
        <f aca="false">F186-H186</f>
        <v>138</v>
      </c>
      <c r="H186" s="59" t="n">
        <v>0</v>
      </c>
      <c r="J186" s="55"/>
      <c r="K186" s="0"/>
    </row>
    <row r="187" customFormat="false" ht="21.65" hidden="false" customHeight="true" outlineLevel="0" collapsed="false">
      <c r="A187" s="0" t="n">
        <v>31</v>
      </c>
      <c r="B187" s="34" t="n">
        <v>43009</v>
      </c>
      <c r="C187" s="1" t="n">
        <v>0</v>
      </c>
      <c r="D187" s="504" t="s">
        <v>42</v>
      </c>
      <c r="E187" s="33" t="n">
        <f aca="false">IF(D187="totale",(C187/(A187*24))/F187,IF(D187="marché libre",(C187/(A187*24))/G187,"spécifier histo"))</f>
        <v>0</v>
      </c>
      <c r="F187" s="59" t="n">
        <v>138</v>
      </c>
      <c r="G187" s="59" t="n">
        <f aca="false">F187-H187</f>
        <v>138</v>
      </c>
      <c r="H187" s="59" t="n">
        <v>0</v>
      </c>
      <c r="J187" s="55"/>
      <c r="K187" s="0"/>
    </row>
    <row r="188" customFormat="false" ht="21.65" hidden="false" customHeight="true" outlineLevel="0" collapsed="false">
      <c r="A188" s="0" t="n">
        <v>30</v>
      </c>
      <c r="B188" s="31" t="n">
        <v>43040</v>
      </c>
      <c r="C188" s="1" t="n">
        <v>0</v>
      </c>
      <c r="D188" s="504" t="s">
        <v>42</v>
      </c>
      <c r="E188" s="33" t="n">
        <f aca="false">IF(D188="totale",(C188/(A188*24))/F188,IF(D188="marché libre",(C188/(A188*24))/G188,"spécifier histo"))</f>
        <v>0</v>
      </c>
      <c r="F188" s="59" t="n">
        <v>138</v>
      </c>
      <c r="G188" s="59" t="n">
        <f aca="false">F188-H188</f>
        <v>138</v>
      </c>
      <c r="H188" s="59" t="n">
        <v>0</v>
      </c>
      <c r="J188" s="55"/>
      <c r="K188" s="0"/>
    </row>
    <row r="189" customFormat="false" ht="21.65" hidden="false" customHeight="true" outlineLevel="0" collapsed="false">
      <c r="A189" s="0" t="n">
        <v>31</v>
      </c>
      <c r="B189" s="34" t="n">
        <v>43070</v>
      </c>
      <c r="C189" s="1" t="n">
        <v>12253</v>
      </c>
      <c r="D189" s="504" t="s">
        <v>42</v>
      </c>
      <c r="E189" s="33" t="n">
        <f aca="false">IF(D189="totale",(C189/(A189*24))/F189,IF(D189="marché libre",(C189/(A189*24))/G189,"spécifier histo"))</f>
        <v>0.119341203054387</v>
      </c>
      <c r="F189" s="59" t="n">
        <v>138</v>
      </c>
      <c r="G189" s="59" t="n">
        <f aca="false">F189-H189</f>
        <v>138</v>
      </c>
      <c r="H189" s="59" t="n">
        <v>0</v>
      </c>
      <c r="J189" s="55"/>
      <c r="K189" s="0"/>
    </row>
    <row r="190" customFormat="false" ht="23.8" hidden="false" customHeight="true" outlineLevel="0" collapsed="false">
      <c r="A190" s="0" t="n">
        <v>31</v>
      </c>
      <c r="B190" s="31" t="n">
        <v>43101</v>
      </c>
      <c r="C190" s="1" t="n">
        <v>68637</v>
      </c>
      <c r="D190" s="504" t="s">
        <v>42</v>
      </c>
      <c r="E190" s="33" t="n">
        <f aca="false">IF(D190="totale",(C190/(A190*24))/F190,IF(D190="marché libre",(C190/(A190*24))/G190,"spécifier histo"))</f>
        <v>0.668507480130902</v>
      </c>
      <c r="F190" s="59" t="n">
        <v>138</v>
      </c>
      <c r="G190" s="59" t="n">
        <f aca="false">F190-H190</f>
        <v>138</v>
      </c>
      <c r="H190" s="59" t="n">
        <v>0</v>
      </c>
      <c r="J190" s="30"/>
    </row>
    <row r="191" customFormat="false" ht="28.35" hidden="false" customHeight="true" outlineLevel="0" collapsed="false">
      <c r="A191" s="0" t="n">
        <v>31</v>
      </c>
      <c r="B191" s="34" t="n">
        <v>43132</v>
      </c>
      <c r="C191" s="1" t="n">
        <v>61562</v>
      </c>
      <c r="D191" s="504" t="s">
        <v>42</v>
      </c>
      <c r="E191" s="33" t="n">
        <f aca="false">IF(D191="totale",(C191/(A191*24))/F191,IF(D191="marché libre",(C191/(A191*24))/G191,"spécifier histo"))</f>
        <v>0.599598722144304</v>
      </c>
      <c r="F191" s="59" t="n">
        <v>138</v>
      </c>
      <c r="G191" s="59" t="n">
        <f aca="false">F191-H191</f>
        <v>138</v>
      </c>
      <c r="H191" s="59" t="n">
        <v>0</v>
      </c>
    </row>
    <row r="192" customFormat="false" ht="28.35" hidden="false" customHeight="true" outlineLevel="0" collapsed="false">
      <c r="A192" s="0" t="n">
        <v>28</v>
      </c>
      <c r="B192" s="31" t="n">
        <v>43160</v>
      </c>
      <c r="C192" s="1" t="n">
        <v>62940</v>
      </c>
      <c r="D192" s="504" t="s">
        <v>42</v>
      </c>
      <c r="E192" s="33" t="n">
        <f aca="false">IF(D192="totale",(C192/(A192*24))/F192,IF(D192="marché libre",(C192/(A192*24))/G192,"spécifier histo"))</f>
        <v>0.67870082815735</v>
      </c>
      <c r="F192" s="59" t="n">
        <v>138</v>
      </c>
      <c r="G192" s="59" t="n">
        <f aca="false">F192-H192</f>
        <v>138</v>
      </c>
      <c r="H192" s="59" t="n">
        <v>0</v>
      </c>
    </row>
    <row r="193" customFormat="false" ht="28.35" hidden="false" customHeight="true" outlineLevel="0" collapsed="false">
      <c r="A193" s="0" t="n">
        <v>31</v>
      </c>
      <c r="B193" s="34" t="n">
        <v>43191</v>
      </c>
      <c r="C193" s="1" t="n">
        <v>54614</v>
      </c>
      <c r="D193" s="504" t="s">
        <v>42</v>
      </c>
      <c r="E193" s="33" t="n">
        <f aca="false">IF(D193="totale",(C193/(A193*24))/F193,IF(D193="marché libre",(C193/(A193*24))/G193,"spécifier histo"))</f>
        <v>0.531926912887642</v>
      </c>
      <c r="F193" s="59" t="n">
        <v>138</v>
      </c>
      <c r="G193" s="59" t="n">
        <f aca="false">F193-H193</f>
        <v>138</v>
      </c>
      <c r="H193" s="59" t="n">
        <v>0</v>
      </c>
    </row>
    <row r="194" customFormat="false" ht="28.35" hidden="false" customHeight="true" outlineLevel="0" collapsed="false">
      <c r="A194" s="0" t="n">
        <v>30</v>
      </c>
      <c r="B194" s="31" t="n">
        <v>43221</v>
      </c>
      <c r="C194" s="1" t="n">
        <v>31215</v>
      </c>
      <c r="D194" s="504" t="s">
        <v>42</v>
      </c>
      <c r="E194" s="33" t="n">
        <f aca="false">IF(D194="totale",(C194/(A194*24))/F194,IF(D194="marché libre",(C194/(A194*24))/G194,"spécifier histo"))</f>
        <v>0.314160628019324</v>
      </c>
      <c r="F194" s="59" t="n">
        <v>138</v>
      </c>
      <c r="G194" s="59" t="n">
        <f aca="false">F194-H194</f>
        <v>138</v>
      </c>
      <c r="H194" s="59" t="n">
        <v>0</v>
      </c>
    </row>
    <row r="195" customFormat="false" ht="28.35" hidden="false" customHeight="true" outlineLevel="0" collapsed="false">
      <c r="A195" s="0" t="n">
        <v>31</v>
      </c>
      <c r="B195" s="34" t="n">
        <v>43252</v>
      </c>
      <c r="C195" s="1" t="n">
        <v>38030</v>
      </c>
      <c r="D195" s="504" t="s">
        <v>42</v>
      </c>
      <c r="E195" s="33" t="n">
        <f aca="false">IF(D195="totale",(C195/(A195*24))/F195,IF(D195="marché libre",(C195/(A195*24))/G195,"spécifier histo"))</f>
        <v>0.3704028362163</v>
      </c>
      <c r="F195" s="59" t="n">
        <v>138</v>
      </c>
      <c r="G195" s="59" t="n">
        <f aca="false">F195-H195</f>
        <v>138</v>
      </c>
      <c r="H195" s="59" t="n">
        <v>0</v>
      </c>
    </row>
    <row r="196" customFormat="false" ht="28.35" hidden="false" customHeight="true" outlineLevel="0" collapsed="false">
      <c r="A196" s="0"/>
    </row>
    <row r="197" customFormat="false" ht="28.35" hidden="false" customHeight="true" outlineLevel="0" collapsed="false">
      <c r="A197" s="0"/>
    </row>
    <row r="198" customFormat="false" ht="28.35" hidden="false" customHeight="true" outlineLevel="0" collapsed="false">
      <c r="A198" s="0"/>
    </row>
    <row r="199" customFormat="false" ht="28.35" hidden="false" customHeight="true" outlineLevel="0" collapsed="false">
      <c r="A199" s="0"/>
    </row>
    <row r="200" customFormat="false" ht="28.35" hidden="false" customHeight="true" outlineLevel="0" collapsed="false">
      <c r="A200" s="0"/>
    </row>
    <row r="201" customFormat="false" ht="28.35" hidden="false" customHeight="true" outlineLevel="0" collapsed="false">
      <c r="A201" s="0"/>
    </row>
    <row r="202" customFormat="false" ht="28.35" hidden="false" customHeight="true" outlineLevel="0" collapsed="false">
      <c r="A202" s="0"/>
    </row>
    <row r="203" customFormat="false" ht="28.35" hidden="false" customHeight="true" outlineLevel="0" collapsed="false">
      <c r="A203" s="0"/>
    </row>
    <row r="204" customFormat="false" ht="28.35" hidden="false" customHeight="true" outlineLevel="0" collapsed="false">
      <c r="A204" s="0"/>
    </row>
    <row r="205" customFormat="false" ht="28.35" hidden="false" customHeight="true" outlineLevel="0" collapsed="false">
      <c r="A205" s="0"/>
    </row>
    <row r="206" customFormat="false" ht="28.35" hidden="false" customHeight="true" outlineLevel="0" collapsed="false">
      <c r="A206" s="0"/>
    </row>
    <row r="207" customFormat="false" ht="28.35" hidden="false" customHeight="true" outlineLevel="0" collapsed="false">
      <c r="A207" s="0"/>
    </row>
    <row r="208" customFormat="false" ht="28.35" hidden="false" customHeight="true" outlineLevel="0" collapsed="false">
      <c r="A208" s="0"/>
    </row>
    <row r="209" customFormat="false" ht="28.35" hidden="false" customHeight="true" outlineLevel="0" collapsed="false">
      <c r="A209" s="0"/>
    </row>
    <row r="210" customFormat="false" ht="28.35" hidden="false" customHeight="true" outlineLevel="0" collapsed="false">
      <c r="A210" s="0"/>
    </row>
    <row r="211" customFormat="false" ht="28.35" hidden="false" customHeight="true" outlineLevel="0" collapsed="false">
      <c r="A211" s="0"/>
    </row>
    <row r="212" customFormat="false" ht="28.35" hidden="false" customHeight="true" outlineLevel="0" collapsed="false">
      <c r="A212" s="0"/>
    </row>
    <row r="213" customFormat="false" ht="28.35" hidden="false" customHeight="true" outlineLevel="0" collapsed="false">
      <c r="A213" s="0"/>
    </row>
    <row r="214" customFormat="false" ht="28.35" hidden="false" customHeight="true" outlineLevel="0" collapsed="false">
      <c r="A214" s="0"/>
    </row>
    <row r="215" customFormat="false" ht="28.35" hidden="false" customHeight="true" outlineLevel="0" collapsed="false">
      <c r="A215" s="0"/>
    </row>
    <row r="216" customFormat="false" ht="28.35" hidden="false" customHeight="true" outlineLevel="0" collapsed="false">
      <c r="A216" s="0"/>
    </row>
    <row r="217" customFormat="false" ht="28.35" hidden="false" customHeight="true" outlineLevel="0" collapsed="false">
      <c r="A217" s="0"/>
    </row>
    <row r="218" customFormat="false" ht="28.35" hidden="false" customHeight="true" outlineLevel="0" collapsed="false">
      <c r="A218" s="0"/>
    </row>
    <row r="219" customFormat="false" ht="28.35" hidden="false" customHeight="true" outlineLevel="0" collapsed="false">
      <c r="A219" s="0"/>
    </row>
    <row r="220" customFormat="false" ht="28.35" hidden="false" customHeight="true" outlineLevel="0" collapsed="false">
      <c r="A220" s="0"/>
    </row>
    <row r="221" customFormat="false" ht="28.35" hidden="false" customHeight="true" outlineLevel="0" collapsed="false">
      <c r="A221" s="0"/>
    </row>
    <row r="222" customFormat="false" ht="28.35" hidden="false" customHeight="true" outlineLevel="0" collapsed="false">
      <c r="A222" s="0"/>
    </row>
    <row r="223" customFormat="false" ht="28.35" hidden="false" customHeight="true" outlineLevel="0" collapsed="false">
      <c r="A223" s="0"/>
    </row>
    <row r="224" customFormat="false" ht="28.35" hidden="false" customHeight="true" outlineLevel="0" collapsed="false">
      <c r="A224" s="0"/>
    </row>
    <row r="225" customFormat="false" ht="28.35" hidden="false" customHeight="true" outlineLevel="0" collapsed="false">
      <c r="A225" s="0"/>
    </row>
    <row r="226" customFormat="false" ht="28.35" hidden="false" customHeight="true" outlineLevel="0" collapsed="false">
      <c r="A226" s="0"/>
    </row>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41 E143:E19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42">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0.xml><?xml version="1.0" encoding="utf-8"?>
<worksheet xmlns="http://schemas.openxmlformats.org/spreadsheetml/2006/main" xmlns:r="http://schemas.openxmlformats.org/officeDocument/2006/relationships">
  <sheetPr filterMode="false">
    <tabColor rgb="FF168253"/>
    <pageSetUpPr fitToPage="false"/>
  </sheetPr>
  <dimension ref="A1:V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17" activePane="bottomRight" state="frozen"/>
      <selection pane="topLeft" activeCell="A1" activeCellId="0" sqref="A1"/>
      <selection pane="topRight" activeCell="B1" activeCellId="0" sqref="B1"/>
      <selection pane="bottomLeft" activeCell="A217" activeCellId="0" sqref="A217"/>
      <selection pane="bottomRight" activeCell="I221" activeCellId="0" sqref="I221"/>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56" width="24.68"/>
    <col collapsed="false" customWidth="true" hidden="false" outlineLevel="0" max="11" min="11" style="256" width="19.45"/>
    <col collapsed="false" customWidth="true" hidden="false" outlineLevel="0" max="12" min="12" style="256" width="24.54"/>
    <col collapsed="false" customWidth="false" hidden="false" outlineLevel="0" max="13" min="13" style="256" width="11.52"/>
    <col collapsed="false" customWidth="true" hidden="false" outlineLevel="0" max="14" min="14" style="256" width="10.8"/>
    <col collapsed="false" customWidth="true" hidden="false" outlineLevel="0" max="15" min="15" style="256" width="4.02"/>
    <col collapsed="false" customWidth="false" hidden="false" outlineLevel="0" max="16" min="16" style="256" width="11.52"/>
    <col collapsed="false" customWidth="true" hidden="false" outlineLevel="0" max="17" min="17" style="256" width="15.28"/>
    <col collapsed="false" customWidth="true" hidden="false" outlineLevel="0" max="18" min="18" style="256" width="3.85"/>
    <col collapsed="false" customWidth="false" hidden="false" outlineLevel="0" max="20" min="19" style="256" width="11.52"/>
    <col collapsed="false" customWidth="false" hidden="false" outlineLevel="0" max="1025" min="21" style="1" width="11.52"/>
  </cols>
  <sheetData>
    <row r="1" s="1" customFormat="true" ht="30.8" hidden="false" customHeight="true" outlineLevel="0" collapsed="false">
      <c r="A1" s="122" t="s">
        <v>108</v>
      </c>
      <c r="B1" s="2" t="s">
        <v>0</v>
      </c>
      <c r="C1" s="2"/>
      <c r="D1" s="2"/>
      <c r="E1" s="2"/>
      <c r="F1" s="3" t="s">
        <v>1</v>
      </c>
      <c r="G1" s="3"/>
      <c r="H1" s="3"/>
      <c r="I1" s="3"/>
      <c r="J1" s="3"/>
      <c r="K1" s="3"/>
      <c r="L1" s="3"/>
      <c r="M1" s="3"/>
      <c r="N1" s="3"/>
    </row>
    <row r="2" s="1" customFormat="true" ht="30.8" hidden="false" customHeight="true" outlineLevel="0" collapsed="false">
      <c r="A2" s="0"/>
      <c r="B2" s="2"/>
      <c r="C2" s="2"/>
      <c r="D2" s="2"/>
      <c r="E2" s="2"/>
      <c r="F2" s="3" t="s">
        <v>305</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5" t="s">
        <v>938</v>
      </c>
      <c r="C4" s="219" t="n">
        <v>71665</v>
      </c>
      <c r="D4" s="5" t="s">
        <v>939</v>
      </c>
      <c r="E4" s="14" t="s">
        <v>940</v>
      </c>
      <c r="F4" s="15" t="n">
        <v>320</v>
      </c>
      <c r="G4" s="15" t="n">
        <v>500</v>
      </c>
      <c r="H4" s="15" t="n">
        <v>340</v>
      </c>
      <c r="I4" s="15"/>
      <c r="J4" s="15" t="n">
        <v>320</v>
      </c>
      <c r="K4" s="16"/>
      <c r="L4" s="5"/>
      <c r="M4" s="16"/>
      <c r="N4" s="16"/>
      <c r="P4" s="17"/>
      <c r="Q4" s="16" t="s">
        <v>23</v>
      </c>
      <c r="S4" s="18"/>
      <c r="T4" s="19" t="s">
        <v>24</v>
      </c>
      <c r="U4" s="19"/>
      <c r="V4" s="19"/>
    </row>
    <row r="5" s="1" customFormat="true" ht="28.35" hidden="false" customHeight="true" outlineLevel="0" collapsed="false">
      <c r="A5" s="0"/>
      <c r="F5" s="9"/>
      <c r="G5" s="9"/>
      <c r="H5" s="9"/>
      <c r="J5" s="9"/>
      <c r="P5" s="9"/>
      <c r="Q5" s="9"/>
    </row>
    <row r="6" s="1" customFormat="true" ht="28.35" hidden="false" customHeight="true" outlineLevel="0" collapsed="false">
      <c r="A6" s="0"/>
      <c r="B6" s="0"/>
      <c r="C6" s="10" t="s">
        <v>25</v>
      </c>
      <c r="D6" s="10"/>
      <c r="F6" s="20" t="s">
        <v>26</v>
      </c>
      <c r="G6" s="297" t="s">
        <v>941</v>
      </c>
      <c r="H6" s="297"/>
      <c r="I6" s="297"/>
      <c r="J6" s="297"/>
      <c r="K6" s="297"/>
      <c r="L6" s="297"/>
      <c r="M6" s="297"/>
      <c r="N6" s="297"/>
      <c r="P6" s="21" t="s">
        <v>942</v>
      </c>
      <c r="Q6" s="19" t="s">
        <v>27</v>
      </c>
      <c r="R6" s="9"/>
      <c r="S6" s="22"/>
      <c r="T6" s="5" t="s">
        <v>28</v>
      </c>
    </row>
    <row r="7" s="1" customFormat="true" ht="66.9" hidden="false" customHeight="true" outlineLevel="0" collapsed="false">
      <c r="A7" s="0"/>
      <c r="B7" s="0"/>
      <c r="C7" s="7" t="s">
        <v>943</v>
      </c>
      <c r="D7" s="7"/>
      <c r="F7" s="20"/>
      <c r="G7" s="20"/>
      <c r="H7" s="297"/>
      <c r="I7" s="297"/>
      <c r="J7" s="297"/>
      <c r="K7" s="297"/>
      <c r="L7" s="297"/>
      <c r="M7" s="297"/>
      <c r="N7" s="297"/>
      <c r="P7" s="24"/>
      <c r="Q7" s="5" t="s">
        <v>29</v>
      </c>
      <c r="R7" s="9"/>
      <c r="S7" s="25"/>
      <c r="T7" s="5" t="s">
        <v>30</v>
      </c>
    </row>
    <row r="8" s="1" customFormat="true" ht="42.45" hidden="false" customHeight="true" outlineLevel="0" collapsed="false">
      <c r="A8" s="26" t="n">
        <f aca="false">_xlfn.SHEET()</f>
        <v>60</v>
      </c>
      <c r="C8" s="0"/>
      <c r="F8" s="9"/>
      <c r="G8" s="9"/>
      <c r="H8" s="9"/>
      <c r="J8" s="9"/>
      <c r="R8" s="9"/>
      <c r="S8" s="27"/>
      <c r="T8" s="16" t="s">
        <v>31</v>
      </c>
    </row>
    <row r="9" s="1" customFormat="true" ht="36.65" hidden="false" customHeight="true" outlineLevel="0" collapsed="false">
      <c r="A9" s="26" t="n">
        <f aca="false">_xlfn.SHEETS()</f>
        <v>79</v>
      </c>
      <c r="B9" s="9" t="s">
        <v>32</v>
      </c>
      <c r="C9" s="1" t="s">
        <v>33</v>
      </c>
      <c r="D9" s="0"/>
      <c r="E9" s="1" t="s">
        <v>35</v>
      </c>
      <c r="F9" s="9" t="s">
        <v>36</v>
      </c>
      <c r="G9" s="9" t="s">
        <v>37</v>
      </c>
      <c r="H9" s="9" t="s">
        <v>38</v>
      </c>
      <c r="I9" s="9" t="s">
        <v>39</v>
      </c>
      <c r="J9" s="205" t="s">
        <v>40</v>
      </c>
    </row>
    <row r="10" s="1" customFormat="true" ht="22" hidden="false" customHeight="true" outlineLevel="0" collapsed="false">
      <c r="A10" s="0" t="n">
        <v>31</v>
      </c>
      <c r="B10" s="31" t="n">
        <v>36892</v>
      </c>
      <c r="C10" s="56" t="n">
        <v>39240</v>
      </c>
      <c r="D10" s="128" t="s">
        <v>42</v>
      </c>
      <c r="E10" s="33" t="n">
        <f aca="false">IF(D10="totale",(C10/(A10*24))/F10,IF(D10="marché libre",(C10/(A10*24))/G10,"spécifier histo"))</f>
        <v>0.164818548387097</v>
      </c>
      <c r="F10" s="57" t="n">
        <v>320</v>
      </c>
      <c r="G10" s="57" t="n">
        <f aca="false">F10-H10</f>
        <v>320</v>
      </c>
      <c r="H10" s="9" t="n">
        <f aca="false">0</f>
        <v>0</v>
      </c>
      <c r="I10" s="9"/>
      <c r="J10" s="205"/>
    </row>
    <row r="11" s="1" customFormat="true" ht="22" hidden="false" customHeight="true" outlineLevel="0" collapsed="false">
      <c r="A11" s="0" t="n">
        <v>28</v>
      </c>
      <c r="B11" s="34" t="n">
        <v>36923</v>
      </c>
      <c r="C11" s="56" t="n">
        <v>74100</v>
      </c>
      <c r="D11" s="128" t="s">
        <v>42</v>
      </c>
      <c r="E11" s="33" t="n">
        <f aca="false">IF(D11="totale",(C11/(A11*24))/F11,IF(D11="marché libre",(C11/(A11*24))/G11,"spécifier histo"))</f>
        <v>0.344587053571429</v>
      </c>
      <c r="F11" s="57" t="n">
        <v>320</v>
      </c>
      <c r="G11" s="57" t="n">
        <f aca="false">F11-H11</f>
        <v>320</v>
      </c>
      <c r="H11" s="9" t="n">
        <f aca="false">0</f>
        <v>0</v>
      </c>
      <c r="I11" s="9"/>
      <c r="J11" s="205"/>
    </row>
    <row r="12" s="1" customFormat="true" ht="22" hidden="false" customHeight="true" outlineLevel="0" collapsed="false">
      <c r="A12" s="0" t="n">
        <v>31</v>
      </c>
      <c r="B12" s="31" t="n">
        <v>36951</v>
      </c>
      <c r="C12" s="56" t="n">
        <v>38160</v>
      </c>
      <c r="D12" s="128" t="s">
        <v>42</v>
      </c>
      <c r="E12" s="33" t="n">
        <f aca="false">IF(D12="totale",(C12/(A12*24))/F12,IF(D12="marché libre",(C12/(A12*24))/G12,"spécifier histo"))</f>
        <v>0.160282258064516</v>
      </c>
      <c r="F12" s="57" t="n">
        <v>320</v>
      </c>
      <c r="G12" s="57" t="n">
        <f aca="false">F12-H12</f>
        <v>320</v>
      </c>
      <c r="H12" s="9" t="n">
        <f aca="false">0</f>
        <v>0</v>
      </c>
      <c r="I12" s="9"/>
      <c r="J12" s="205"/>
    </row>
    <row r="13" s="1" customFormat="true" ht="22" hidden="false" customHeight="true" outlineLevel="0" collapsed="false">
      <c r="A13" s="0" t="n">
        <v>30</v>
      </c>
      <c r="B13" s="31" t="n">
        <v>36982</v>
      </c>
      <c r="C13" s="56" t="n">
        <v>73440</v>
      </c>
      <c r="D13" s="128" t="s">
        <v>42</v>
      </c>
      <c r="E13" s="33" t="n">
        <f aca="false">IF(D13="totale",(C13/(A13*24))/F13,IF(D13="marché libre",(C13/(A13*24))/G13,"spécifier histo"))</f>
        <v>0.31875</v>
      </c>
      <c r="F13" s="57" t="n">
        <v>320</v>
      </c>
      <c r="G13" s="57" t="n">
        <f aca="false">F13-H13</f>
        <v>320</v>
      </c>
      <c r="H13" s="9" t="n">
        <f aca="false">0</f>
        <v>0</v>
      </c>
      <c r="I13" s="9"/>
      <c r="J13" s="205"/>
    </row>
    <row r="14" s="1" customFormat="true" ht="22" hidden="false" customHeight="true" outlineLevel="0" collapsed="false">
      <c r="A14" s="0" t="n">
        <v>31</v>
      </c>
      <c r="B14" s="34" t="n">
        <v>37012</v>
      </c>
      <c r="C14" s="56" t="n">
        <v>130800</v>
      </c>
      <c r="D14" s="128" t="s">
        <v>42</v>
      </c>
      <c r="E14" s="33" t="n">
        <f aca="false">IF(D14="totale",(C14/(A14*24))/F14,IF(D14="marché libre",(C14/(A14*24))/G14,"spécifier histo"))</f>
        <v>0.549395161290323</v>
      </c>
      <c r="F14" s="57" t="n">
        <v>320</v>
      </c>
      <c r="G14" s="57" t="n">
        <f aca="false">F14-H14</f>
        <v>320</v>
      </c>
      <c r="H14" s="9" t="n">
        <f aca="false">0</f>
        <v>0</v>
      </c>
      <c r="I14" s="9"/>
      <c r="J14" s="205"/>
    </row>
    <row r="15" s="1" customFormat="true" ht="22" hidden="false" customHeight="true" outlineLevel="0" collapsed="false">
      <c r="A15" s="0" t="n">
        <v>30</v>
      </c>
      <c r="B15" s="31" t="n">
        <v>37043</v>
      </c>
      <c r="C15" s="56" t="n">
        <v>149700</v>
      </c>
      <c r="D15" s="128" t="s">
        <v>42</v>
      </c>
      <c r="E15" s="33" t="n">
        <f aca="false">IF(D15="totale",(C15/(A15*24))/F15,IF(D15="marché libre",(C15/(A15*24))/G15,"spécifier histo"))</f>
        <v>0.649739583333333</v>
      </c>
      <c r="F15" s="57" t="n">
        <v>320</v>
      </c>
      <c r="G15" s="57" t="n">
        <f aca="false">F15-H15</f>
        <v>320</v>
      </c>
      <c r="H15" s="9" t="n">
        <f aca="false">0</f>
        <v>0</v>
      </c>
      <c r="I15" s="9"/>
      <c r="J15" s="205"/>
    </row>
    <row r="16" s="1" customFormat="true" ht="22" hidden="false" customHeight="true" outlineLevel="0" collapsed="false">
      <c r="A16" s="0" t="n">
        <v>31</v>
      </c>
      <c r="B16" s="34" t="n">
        <v>37073</v>
      </c>
      <c r="C16" s="56" t="n">
        <v>117720</v>
      </c>
      <c r="D16" s="128" t="s">
        <v>42</v>
      </c>
      <c r="E16" s="33" t="n">
        <f aca="false">IF(D16="totale",(C16/(A16*24))/F16,IF(D16="marché libre",(C16/(A16*24))/G16,"spécifier histo"))</f>
        <v>0.49445564516129</v>
      </c>
      <c r="F16" s="57" t="n">
        <v>320</v>
      </c>
      <c r="G16" s="57" t="n">
        <f aca="false">F16-H16</f>
        <v>320</v>
      </c>
      <c r="H16" s="9" t="n">
        <f aca="false">0</f>
        <v>0</v>
      </c>
      <c r="I16" s="9"/>
      <c r="J16" s="205"/>
    </row>
    <row r="17" s="1" customFormat="true" ht="22" hidden="false" customHeight="true" outlineLevel="0" collapsed="false">
      <c r="A17" s="0" t="n">
        <v>31</v>
      </c>
      <c r="B17" s="31" t="n">
        <v>37104</v>
      </c>
      <c r="C17" s="56" t="n">
        <v>120060</v>
      </c>
      <c r="D17" s="128" t="s">
        <v>42</v>
      </c>
      <c r="E17" s="33" t="n">
        <f aca="false">IF(D17="totale",(C17/(A17*24))/F17,IF(D17="marché libre",(C17/(A17*24))/G17,"spécifier histo"))</f>
        <v>0.504284274193548</v>
      </c>
      <c r="F17" s="57" t="n">
        <v>320</v>
      </c>
      <c r="G17" s="57" t="n">
        <f aca="false">F17-H17</f>
        <v>320</v>
      </c>
      <c r="H17" s="9" t="n">
        <f aca="false">0</f>
        <v>0</v>
      </c>
      <c r="I17" s="9"/>
      <c r="J17" s="205"/>
    </row>
    <row r="18" s="1" customFormat="true" ht="22" hidden="false" customHeight="true" outlineLevel="0" collapsed="false">
      <c r="A18" s="0" t="n">
        <v>30</v>
      </c>
      <c r="B18" s="34" t="n">
        <v>37135</v>
      </c>
      <c r="C18" s="56" t="n">
        <v>82440</v>
      </c>
      <c r="D18" s="128" t="s">
        <v>42</v>
      </c>
      <c r="E18" s="33" t="n">
        <f aca="false">IF(D18="totale",(C18/(A18*24))/F18,IF(D18="marché libre",(C18/(A18*24))/G18,"spécifier histo"))</f>
        <v>0.3578125</v>
      </c>
      <c r="F18" s="57" t="n">
        <v>320</v>
      </c>
      <c r="G18" s="57" t="n">
        <f aca="false">F18-H18</f>
        <v>320</v>
      </c>
      <c r="H18" s="9" t="n">
        <f aca="false">0</f>
        <v>0</v>
      </c>
      <c r="I18" s="9"/>
      <c r="J18" s="205"/>
    </row>
    <row r="19" s="1" customFormat="true" ht="22" hidden="false" customHeight="true" outlineLevel="0" collapsed="false">
      <c r="A19" s="0" t="n">
        <v>31</v>
      </c>
      <c r="B19" s="31" t="n">
        <v>37165</v>
      </c>
      <c r="C19" s="56" t="n">
        <v>73740</v>
      </c>
      <c r="D19" s="128" t="s">
        <v>42</v>
      </c>
      <c r="E19" s="33" t="n">
        <f aca="false">IF(D19="totale",(C19/(A19*24))/F19,IF(D19="marché libre",(C19/(A19*24))/G19,"spécifier histo"))</f>
        <v>0.309727822580645</v>
      </c>
      <c r="F19" s="57" t="n">
        <v>320</v>
      </c>
      <c r="G19" s="57" t="n">
        <f aca="false">F19-H19</f>
        <v>320</v>
      </c>
      <c r="H19" s="9" t="n">
        <f aca="false">0</f>
        <v>0</v>
      </c>
      <c r="I19" s="9"/>
      <c r="J19" s="205"/>
    </row>
    <row r="20" s="1" customFormat="true" ht="22" hidden="false" customHeight="true" outlineLevel="0" collapsed="false">
      <c r="A20" s="0" t="n">
        <v>30</v>
      </c>
      <c r="B20" s="31" t="n">
        <v>37196</v>
      </c>
      <c r="C20" s="56" t="n">
        <v>74220</v>
      </c>
      <c r="D20" s="128" t="s">
        <v>42</v>
      </c>
      <c r="E20" s="33" t="n">
        <f aca="false">IF(D20="totale",(C20/(A20*24))/F20,IF(D20="marché libre",(C20/(A20*24))/G20,"spécifier histo"))</f>
        <v>0.322135416666667</v>
      </c>
      <c r="F20" s="57" t="n">
        <v>320</v>
      </c>
      <c r="G20" s="57" t="n">
        <f aca="false">F20-H20</f>
        <v>320</v>
      </c>
      <c r="H20" s="9" t="n">
        <f aca="false">0</f>
        <v>0</v>
      </c>
      <c r="I20" s="9"/>
      <c r="J20" s="205"/>
    </row>
    <row r="21" s="1" customFormat="true" ht="22" hidden="false" customHeight="true" outlineLevel="0" collapsed="false">
      <c r="A21" s="0" t="n">
        <v>31</v>
      </c>
      <c r="B21" s="34" t="n">
        <v>37226</v>
      </c>
      <c r="C21" s="56" t="n">
        <v>100080</v>
      </c>
      <c r="D21" s="128" t="s">
        <v>42</v>
      </c>
      <c r="E21" s="33" t="n">
        <f aca="false">IF(D21="totale",(C21/(A21*24))/F21,IF(D21="marché libre",(C21/(A21*24))/G21,"spécifier histo"))</f>
        <v>0.420362903225807</v>
      </c>
      <c r="F21" s="57" t="n">
        <v>320</v>
      </c>
      <c r="G21" s="57" t="n">
        <f aca="false">F21-H21</f>
        <v>320</v>
      </c>
      <c r="H21" s="9" t="n">
        <f aca="false">0</f>
        <v>0</v>
      </c>
      <c r="I21" s="9"/>
      <c r="J21" s="205"/>
    </row>
    <row r="22" s="1" customFormat="true" ht="22" hidden="false" customHeight="true" outlineLevel="0" collapsed="false">
      <c r="A22" s="0" t="n">
        <v>31</v>
      </c>
      <c r="B22" s="31" t="n">
        <v>37257</v>
      </c>
      <c r="C22" s="56" t="n">
        <v>143040</v>
      </c>
      <c r="D22" s="128" t="s">
        <v>42</v>
      </c>
      <c r="E22" s="33" t="n">
        <f aca="false">IF(D22="totale",(C22/(A22*24))/F22,IF(D22="marché libre",(C22/(A22*24))/G22,"spécifier histo"))</f>
        <v>0.600806451612903</v>
      </c>
      <c r="F22" s="57" t="n">
        <v>320</v>
      </c>
      <c r="G22" s="57" t="n">
        <f aca="false">F22-H22</f>
        <v>320</v>
      </c>
      <c r="H22" s="9" t="n">
        <f aca="false">0</f>
        <v>0</v>
      </c>
      <c r="I22" s="9"/>
      <c r="J22" s="205"/>
    </row>
    <row r="23" s="1" customFormat="true" ht="22" hidden="false" customHeight="true" outlineLevel="0" collapsed="false">
      <c r="A23" s="0" t="n">
        <v>28</v>
      </c>
      <c r="B23" s="34" t="n">
        <v>37288</v>
      </c>
      <c r="C23" s="56" t="n">
        <v>141120</v>
      </c>
      <c r="D23" s="128" t="s">
        <v>42</v>
      </c>
      <c r="E23" s="33" t="n">
        <f aca="false">IF(D23="totale",(C23/(A23*24))/F23,IF(D23="marché libre",(C23/(A23*24))/G23,"spécifier histo"))</f>
        <v>0.65625</v>
      </c>
      <c r="F23" s="57" t="n">
        <v>320</v>
      </c>
      <c r="G23" s="57" t="n">
        <f aca="false">F23-H23</f>
        <v>320</v>
      </c>
      <c r="H23" s="9" t="n">
        <f aca="false">0</f>
        <v>0</v>
      </c>
      <c r="I23" s="9"/>
      <c r="J23" s="205"/>
    </row>
    <row r="24" s="1" customFormat="true" ht="22" hidden="false" customHeight="true" outlineLevel="0" collapsed="false">
      <c r="A24" s="0" t="n">
        <v>31</v>
      </c>
      <c r="B24" s="31" t="n">
        <v>37316</v>
      </c>
      <c r="C24" s="56" t="n">
        <v>142800</v>
      </c>
      <c r="D24" s="128" t="s">
        <v>42</v>
      </c>
      <c r="E24" s="33" t="n">
        <f aca="false">IF(D24="totale",(C24/(A24*24))/F24,IF(D24="marché libre",(C24/(A24*24))/G24,"spécifier histo"))</f>
        <v>0.599798387096774</v>
      </c>
      <c r="F24" s="57" t="n">
        <v>320</v>
      </c>
      <c r="G24" s="57" t="n">
        <f aca="false">F24-H24</f>
        <v>320</v>
      </c>
      <c r="H24" s="9" t="n">
        <f aca="false">0</f>
        <v>0</v>
      </c>
      <c r="I24" s="9"/>
      <c r="J24" s="205"/>
    </row>
    <row r="25" s="1" customFormat="true" ht="22" hidden="false" customHeight="true" outlineLevel="0" collapsed="false">
      <c r="A25" s="0" t="n">
        <v>30</v>
      </c>
      <c r="B25" s="34" t="n">
        <v>37347</v>
      </c>
      <c r="C25" s="56" t="n">
        <v>165000</v>
      </c>
      <c r="D25" s="128" t="s">
        <v>42</v>
      </c>
      <c r="E25" s="33" t="n">
        <f aca="false">IF(D25="totale",(C25/(A25*24))/F25,IF(D25="marché libre",(C25/(A25*24))/G25,"spécifier histo"))</f>
        <v>0.716145833333333</v>
      </c>
      <c r="F25" s="57" t="n">
        <v>320</v>
      </c>
      <c r="G25" s="57" t="n">
        <f aca="false">F25-H25</f>
        <v>320</v>
      </c>
      <c r="H25" s="9" t="n">
        <f aca="false">0</f>
        <v>0</v>
      </c>
      <c r="I25" s="9"/>
      <c r="J25" s="205"/>
    </row>
    <row r="26" s="1" customFormat="true" ht="22" hidden="false" customHeight="true" outlineLevel="0" collapsed="false">
      <c r="A26" s="0" t="n">
        <v>31</v>
      </c>
      <c r="B26" s="31" t="n">
        <v>37377</v>
      </c>
      <c r="C26" s="56" t="n">
        <v>145440</v>
      </c>
      <c r="D26" s="128" t="s">
        <v>42</v>
      </c>
      <c r="E26" s="33" t="n">
        <f aca="false">IF(D26="totale",(C26/(A26*24))/F26,IF(D26="marché libre",(C26/(A26*24))/G26,"spécifier histo"))</f>
        <v>0.610887096774194</v>
      </c>
      <c r="F26" s="57" t="n">
        <v>320</v>
      </c>
      <c r="G26" s="57" t="n">
        <f aca="false">F26-H26</f>
        <v>320</v>
      </c>
      <c r="H26" s="9" t="n">
        <f aca="false">0</f>
        <v>0</v>
      </c>
      <c r="I26" s="9"/>
      <c r="J26" s="205"/>
    </row>
    <row r="27" s="1" customFormat="true" ht="22" hidden="false" customHeight="true" outlineLevel="0" collapsed="false">
      <c r="A27" s="0" t="n">
        <v>30</v>
      </c>
      <c r="B27" s="31" t="n">
        <v>37408</v>
      </c>
      <c r="C27" s="56" t="n">
        <v>123840</v>
      </c>
      <c r="D27" s="128" t="s">
        <v>42</v>
      </c>
      <c r="E27" s="33" t="n">
        <f aca="false">IF(D27="totale",(C27/(A27*24))/F27,IF(D27="marché libre",(C27/(A27*24))/G27,"spécifier histo"))</f>
        <v>0.5375</v>
      </c>
      <c r="F27" s="57" t="n">
        <v>320</v>
      </c>
      <c r="G27" s="57" t="n">
        <f aca="false">F27-H27</f>
        <v>320</v>
      </c>
      <c r="H27" s="9" t="n">
        <f aca="false">0</f>
        <v>0</v>
      </c>
      <c r="I27" s="9"/>
      <c r="J27" s="205"/>
    </row>
    <row r="28" s="1" customFormat="true" ht="22" hidden="false" customHeight="true" outlineLevel="0" collapsed="false">
      <c r="A28" s="0" t="n">
        <v>31</v>
      </c>
      <c r="B28" s="34" t="n">
        <v>37438</v>
      </c>
      <c r="C28" s="56" t="n">
        <v>62460</v>
      </c>
      <c r="D28" s="128" t="s">
        <v>42</v>
      </c>
      <c r="E28" s="33" t="n">
        <f aca="false">IF(D28="totale",(C28/(A28*24))/F28,IF(D28="marché libre",(C28/(A28*24))/G28,"spécifier histo"))</f>
        <v>0.262348790322581</v>
      </c>
      <c r="F28" s="57" t="n">
        <v>320</v>
      </c>
      <c r="G28" s="57" t="n">
        <f aca="false">F28-H28</f>
        <v>320</v>
      </c>
      <c r="H28" s="9" t="n">
        <f aca="false">0</f>
        <v>0</v>
      </c>
      <c r="I28" s="9"/>
      <c r="J28" s="205"/>
    </row>
    <row r="29" s="1" customFormat="true" ht="22" hidden="false" customHeight="true" outlineLevel="0" collapsed="false">
      <c r="A29" s="0" t="n">
        <v>31</v>
      </c>
      <c r="B29" s="31" t="n">
        <v>37469</v>
      </c>
      <c r="C29" s="56" t="n">
        <v>40080</v>
      </c>
      <c r="D29" s="128" t="s">
        <v>42</v>
      </c>
      <c r="E29" s="33" t="n">
        <f aca="false">IF(D29="totale",(C29/(A29*24))/F29,IF(D29="marché libre",(C29/(A29*24))/G29,"spécifier histo"))</f>
        <v>0.168346774193548</v>
      </c>
      <c r="F29" s="57" t="n">
        <v>320</v>
      </c>
      <c r="G29" s="57" t="n">
        <f aca="false">F29-H29</f>
        <v>320</v>
      </c>
      <c r="H29" s="9" t="n">
        <f aca="false">0</f>
        <v>0</v>
      </c>
      <c r="I29" s="9"/>
      <c r="J29" s="205"/>
    </row>
    <row r="30" s="1" customFormat="true" ht="22" hidden="false" customHeight="true" outlineLevel="0" collapsed="false">
      <c r="A30" s="0" t="n">
        <v>30</v>
      </c>
      <c r="B30" s="34" t="n">
        <v>37500</v>
      </c>
      <c r="C30" s="56" t="n">
        <v>55800</v>
      </c>
      <c r="D30" s="128" t="s">
        <v>42</v>
      </c>
      <c r="E30" s="33" t="n">
        <f aca="false">IF(D30="totale",(C30/(A30*24))/F30,IF(D30="marché libre",(C30/(A30*24))/G30,"spécifier histo"))</f>
        <v>0.2421875</v>
      </c>
      <c r="F30" s="57" t="n">
        <v>320</v>
      </c>
      <c r="G30" s="57" t="n">
        <f aca="false">F30-H30</f>
        <v>320</v>
      </c>
      <c r="H30" s="9" t="n">
        <f aca="false">0</f>
        <v>0</v>
      </c>
      <c r="I30" s="9"/>
      <c r="J30" s="205"/>
    </row>
    <row r="31" s="1" customFormat="true" ht="22" hidden="false" customHeight="true" outlineLevel="0" collapsed="false">
      <c r="A31" s="0" t="n">
        <v>31</v>
      </c>
      <c r="B31" s="31" t="n">
        <v>37530</v>
      </c>
      <c r="C31" s="56" t="n">
        <v>40860</v>
      </c>
      <c r="D31" s="128" t="s">
        <v>42</v>
      </c>
      <c r="E31" s="33" t="n">
        <f aca="false">IF(D31="totale",(C31/(A31*24))/F31,IF(D31="marché libre",(C31/(A31*24))/G31,"spécifier histo"))</f>
        <v>0.171622983870968</v>
      </c>
      <c r="F31" s="57" t="n">
        <v>320</v>
      </c>
      <c r="G31" s="57" t="n">
        <f aca="false">F31-H31</f>
        <v>320</v>
      </c>
      <c r="H31" s="9" t="n">
        <f aca="false">0</f>
        <v>0</v>
      </c>
      <c r="I31" s="9"/>
      <c r="J31" s="205"/>
    </row>
    <row r="32" s="1" customFormat="true" ht="22" hidden="false" customHeight="true" outlineLevel="0" collapsed="false">
      <c r="A32" s="0" t="n">
        <v>30</v>
      </c>
      <c r="B32" s="34" t="n">
        <v>37561</v>
      </c>
      <c r="C32" s="56" t="n">
        <v>76800</v>
      </c>
      <c r="D32" s="128" t="s">
        <v>42</v>
      </c>
      <c r="E32" s="33" t="n">
        <f aca="false">IF(D32="totale",(C32/(A32*24))/F32,IF(D32="marché libre",(C32/(A32*24))/G32,"spécifier histo"))</f>
        <v>0.333333333333333</v>
      </c>
      <c r="F32" s="57" t="n">
        <v>320</v>
      </c>
      <c r="G32" s="57" t="n">
        <f aca="false">F32-H32</f>
        <v>320</v>
      </c>
      <c r="H32" s="9" t="n">
        <f aca="false">0</f>
        <v>0</v>
      </c>
      <c r="I32" s="9"/>
      <c r="J32" s="205"/>
    </row>
    <row r="33" s="1" customFormat="true" ht="22" hidden="false" customHeight="true" outlineLevel="0" collapsed="false">
      <c r="A33" s="0" t="n">
        <v>31</v>
      </c>
      <c r="B33" s="31" t="n">
        <v>37591</v>
      </c>
      <c r="C33" s="56" t="n">
        <v>101700</v>
      </c>
      <c r="D33" s="128" t="s">
        <v>42</v>
      </c>
      <c r="E33" s="33" t="n">
        <f aca="false">IF(D33="totale",(C33/(A33*24))/F33,IF(D33="marché libre",(C33/(A33*24))/G33,"spécifier histo"))</f>
        <v>0.427167338709677</v>
      </c>
      <c r="F33" s="57" t="n">
        <v>320</v>
      </c>
      <c r="G33" s="57" t="n">
        <f aca="false">F33-H33</f>
        <v>320</v>
      </c>
      <c r="H33" s="9" t="n">
        <f aca="false">0</f>
        <v>0</v>
      </c>
      <c r="I33" s="9"/>
      <c r="J33" s="205"/>
    </row>
    <row r="34" s="1" customFormat="true" ht="22" hidden="false" customHeight="true" outlineLevel="0" collapsed="false">
      <c r="A34" s="0" t="n">
        <v>31</v>
      </c>
      <c r="B34" s="31" t="n">
        <v>37622</v>
      </c>
      <c r="C34" s="56" t="n">
        <v>80700</v>
      </c>
      <c r="D34" s="128" t="s">
        <v>42</v>
      </c>
      <c r="E34" s="33" t="n">
        <f aca="false">IF(D34="totale",(C34/(A34*24))/F34,IF(D34="marché libre",(C34/(A34*24))/G34,"spécifier histo"))</f>
        <v>0.338961693548387</v>
      </c>
      <c r="F34" s="57" t="n">
        <v>320</v>
      </c>
      <c r="G34" s="57" t="n">
        <f aca="false">F34-H34</f>
        <v>320</v>
      </c>
      <c r="H34" s="9" t="n">
        <f aca="false">0</f>
        <v>0</v>
      </c>
      <c r="I34" s="9"/>
      <c r="J34" s="205"/>
    </row>
    <row r="35" s="1" customFormat="true" ht="22" hidden="false" customHeight="true" outlineLevel="0" collapsed="false">
      <c r="A35" s="0" t="n">
        <v>28</v>
      </c>
      <c r="B35" s="34" t="n">
        <v>37653</v>
      </c>
      <c r="C35" s="56" t="n">
        <v>104280</v>
      </c>
      <c r="D35" s="128" t="s">
        <v>42</v>
      </c>
      <c r="E35" s="33" t="n">
        <f aca="false">IF(D35="totale",(C35/(A35*24))/F35,IF(D35="marché libre",(C35/(A35*24))/G35,"spécifier histo"))</f>
        <v>0.484933035714286</v>
      </c>
      <c r="F35" s="57" t="n">
        <v>320</v>
      </c>
      <c r="G35" s="57" t="n">
        <f aca="false">F35-H35</f>
        <v>320</v>
      </c>
      <c r="H35" s="9" t="n">
        <f aca="false">0</f>
        <v>0</v>
      </c>
      <c r="I35" s="9"/>
      <c r="J35" s="205"/>
    </row>
    <row r="36" s="1" customFormat="true" ht="22" hidden="false" customHeight="true" outlineLevel="0" collapsed="false">
      <c r="A36" s="0" t="n">
        <v>31</v>
      </c>
      <c r="B36" s="31" t="n">
        <v>37681</v>
      </c>
      <c r="C36" s="56" t="n">
        <v>180900</v>
      </c>
      <c r="D36" s="128" t="s">
        <v>42</v>
      </c>
      <c r="E36" s="33" t="n">
        <f aca="false">IF(D36="totale",(C36/(A36*24))/F36,IF(D36="marché libre",(C36/(A36*24))/G36,"spécifier histo"))</f>
        <v>0.759828629032258</v>
      </c>
      <c r="F36" s="57" t="n">
        <v>320</v>
      </c>
      <c r="G36" s="57" t="n">
        <f aca="false">F36-H36</f>
        <v>320</v>
      </c>
      <c r="H36" s="9" t="n">
        <f aca="false">0</f>
        <v>0</v>
      </c>
      <c r="I36" s="9"/>
      <c r="J36" s="205"/>
    </row>
    <row r="37" s="1" customFormat="true" ht="22" hidden="false" customHeight="true" outlineLevel="0" collapsed="false">
      <c r="A37" s="0" t="n">
        <v>30</v>
      </c>
      <c r="B37" s="34" t="n">
        <v>37712</v>
      </c>
      <c r="C37" s="56" t="n">
        <v>150360</v>
      </c>
      <c r="D37" s="128" t="s">
        <v>42</v>
      </c>
      <c r="E37" s="33" t="n">
        <f aca="false">IF(D37="totale",(C37/(A37*24))/F37,IF(D37="marché libre",(C37/(A37*24))/G37,"spécifier histo"))</f>
        <v>0.652604166666667</v>
      </c>
      <c r="F37" s="57" t="n">
        <v>320</v>
      </c>
      <c r="G37" s="57" t="n">
        <f aca="false">F37-H37</f>
        <v>320</v>
      </c>
      <c r="H37" s="9" t="n">
        <f aca="false">0</f>
        <v>0</v>
      </c>
      <c r="I37" s="9"/>
      <c r="J37" s="205"/>
    </row>
    <row r="38" s="1" customFormat="true" ht="22" hidden="false" customHeight="true" outlineLevel="0" collapsed="false">
      <c r="A38" s="0" t="n">
        <v>31</v>
      </c>
      <c r="B38" s="31" t="n">
        <v>37742</v>
      </c>
      <c r="C38" s="56" t="n">
        <v>143880</v>
      </c>
      <c r="D38" s="128" t="s">
        <v>42</v>
      </c>
      <c r="E38" s="33" t="n">
        <f aca="false">IF(D38="totale",(C38/(A38*24))/F38,IF(D38="marché libre",(C38/(A38*24))/G38,"spécifier histo"))</f>
        <v>0.604334677419355</v>
      </c>
      <c r="F38" s="57" t="n">
        <v>320</v>
      </c>
      <c r="G38" s="57" t="n">
        <f aca="false">F38-H38</f>
        <v>320</v>
      </c>
      <c r="H38" s="9" t="n">
        <f aca="false">0</f>
        <v>0</v>
      </c>
      <c r="I38" s="9"/>
      <c r="J38" s="205"/>
    </row>
    <row r="39" s="1" customFormat="true" ht="22" hidden="false" customHeight="true" outlineLevel="0" collapsed="false">
      <c r="A39" s="0" t="n">
        <v>30</v>
      </c>
      <c r="B39" s="34" t="n">
        <v>37773</v>
      </c>
      <c r="C39" s="56" t="n">
        <v>99960</v>
      </c>
      <c r="D39" s="128" t="s">
        <v>42</v>
      </c>
      <c r="E39" s="33" t="n">
        <f aca="false">IF(D39="totale",(C39/(A39*24))/F39,IF(D39="marché libre",(C39/(A39*24))/G39,"spécifier histo"))</f>
        <v>0.433854166666667</v>
      </c>
      <c r="F39" s="57" t="n">
        <v>320</v>
      </c>
      <c r="G39" s="57" t="n">
        <f aca="false">F39-H39</f>
        <v>320</v>
      </c>
      <c r="H39" s="9" t="n">
        <f aca="false">0</f>
        <v>0</v>
      </c>
      <c r="I39" s="9"/>
      <c r="J39" s="205"/>
    </row>
    <row r="40" s="1" customFormat="true" ht="22" hidden="false" customHeight="true" outlineLevel="0" collapsed="false">
      <c r="A40" s="0" t="n">
        <v>31</v>
      </c>
      <c r="B40" s="31" t="n">
        <v>37803</v>
      </c>
      <c r="C40" s="56" t="n">
        <v>42360</v>
      </c>
      <c r="D40" s="128" t="s">
        <v>42</v>
      </c>
      <c r="E40" s="33" t="n">
        <f aca="false">IF(D40="totale",(C40/(A40*24))/F40,IF(D40="marché libre",(C40/(A40*24))/G40,"spécifier histo"))</f>
        <v>0.177923387096774</v>
      </c>
      <c r="F40" s="57" t="n">
        <v>320</v>
      </c>
      <c r="G40" s="57" t="n">
        <f aca="false">F40-H40</f>
        <v>320</v>
      </c>
      <c r="H40" s="9" t="n">
        <f aca="false">0</f>
        <v>0</v>
      </c>
      <c r="I40" s="9"/>
      <c r="J40" s="205"/>
    </row>
    <row r="41" s="1" customFormat="true" ht="22" hidden="false" customHeight="true" outlineLevel="0" collapsed="false">
      <c r="A41" s="0" t="n">
        <v>31</v>
      </c>
      <c r="B41" s="31" t="n">
        <v>37834</v>
      </c>
      <c r="C41" s="56" t="n">
        <v>10200</v>
      </c>
      <c r="D41" s="128" t="s">
        <v>42</v>
      </c>
      <c r="E41" s="33" t="n">
        <f aca="false">IF(D41="totale",(C41/(A41*24))/F41,IF(D41="marché libre",(C41/(A41*24))/G41,"spécifier histo"))</f>
        <v>0.0428427419354839</v>
      </c>
      <c r="F41" s="57" t="n">
        <v>320</v>
      </c>
      <c r="G41" s="57" t="n">
        <f aca="false">F41-H41</f>
        <v>320</v>
      </c>
      <c r="H41" s="9" t="n">
        <f aca="false">0</f>
        <v>0</v>
      </c>
      <c r="I41" s="9"/>
      <c r="J41" s="205"/>
    </row>
    <row r="42" s="1" customFormat="true" ht="22" hidden="false" customHeight="true" outlineLevel="0" collapsed="false">
      <c r="A42" s="0" t="n">
        <v>30</v>
      </c>
      <c r="B42" s="34" t="n">
        <v>37865</v>
      </c>
      <c r="C42" s="56" t="n">
        <v>28620</v>
      </c>
      <c r="D42" s="128" t="s">
        <v>42</v>
      </c>
      <c r="E42" s="33" t="n">
        <f aca="false">IF(D42="totale",(C42/(A42*24))/F42,IF(D42="marché libre",(C42/(A42*24))/G42,"spécifier histo"))</f>
        <v>0.12421875</v>
      </c>
      <c r="F42" s="57" t="n">
        <v>320</v>
      </c>
      <c r="G42" s="57" t="n">
        <f aca="false">F42-H42</f>
        <v>320</v>
      </c>
      <c r="H42" s="9" t="n">
        <f aca="false">0</f>
        <v>0</v>
      </c>
      <c r="I42" s="9"/>
      <c r="J42" s="205"/>
    </row>
    <row r="43" s="1" customFormat="true" ht="22" hidden="false" customHeight="true" outlineLevel="0" collapsed="false">
      <c r="A43" s="0" t="n">
        <v>31</v>
      </c>
      <c r="B43" s="31" t="n">
        <v>37895</v>
      </c>
      <c r="C43" s="56" t="n">
        <v>25980</v>
      </c>
      <c r="D43" s="128" t="s">
        <v>42</v>
      </c>
      <c r="E43" s="33" t="n">
        <f aca="false">IF(D43="totale",(C43/(A43*24))/F43,IF(D43="marché libre",(C43/(A43*24))/G43,"spécifier histo"))</f>
        <v>0.109122983870968</v>
      </c>
      <c r="F43" s="57" t="n">
        <v>320</v>
      </c>
      <c r="G43" s="57" t="n">
        <f aca="false">F43-H43</f>
        <v>320</v>
      </c>
      <c r="H43" s="9" t="n">
        <f aca="false">0</f>
        <v>0</v>
      </c>
      <c r="I43" s="9"/>
      <c r="J43" s="205"/>
    </row>
    <row r="44" s="1" customFormat="true" ht="22" hidden="false" customHeight="true" outlineLevel="0" collapsed="false">
      <c r="A44" s="0" t="n">
        <v>30</v>
      </c>
      <c r="B44" s="34" t="n">
        <v>37926</v>
      </c>
      <c r="C44" s="56" t="n">
        <v>72660</v>
      </c>
      <c r="D44" s="128" t="s">
        <v>42</v>
      </c>
      <c r="E44" s="33" t="n">
        <f aca="false">IF(D44="totale",(C44/(A44*24))/F44,IF(D44="marché libre",(C44/(A44*24))/G44,"spécifier histo"))</f>
        <v>0.315364583333333</v>
      </c>
      <c r="F44" s="57" t="n">
        <v>320</v>
      </c>
      <c r="G44" s="57" t="n">
        <f aca="false">F44-H44</f>
        <v>320</v>
      </c>
      <c r="H44" s="9" t="n">
        <f aca="false">0</f>
        <v>0</v>
      </c>
      <c r="I44" s="9"/>
      <c r="J44" s="205"/>
    </row>
    <row r="45" s="1" customFormat="true" ht="22" hidden="false" customHeight="true" outlineLevel="0" collapsed="false">
      <c r="A45" s="0" t="n">
        <v>31</v>
      </c>
      <c r="B45" s="31" t="n">
        <v>37956</v>
      </c>
      <c r="C45" s="56" t="n">
        <v>151320</v>
      </c>
      <c r="D45" s="128" t="s">
        <v>42</v>
      </c>
      <c r="E45" s="33" t="n">
        <f aca="false">IF(D45="totale",(C45/(A45*24))/F45,IF(D45="marché libre",(C45/(A45*24))/G45,"spécifier histo"))</f>
        <v>0.635584677419355</v>
      </c>
      <c r="F45" s="57" t="n">
        <v>320</v>
      </c>
      <c r="G45" s="57" t="n">
        <f aca="false">F45-H45</f>
        <v>320</v>
      </c>
      <c r="H45" s="9" t="n">
        <f aca="false">0</f>
        <v>0</v>
      </c>
      <c r="I45" s="9"/>
      <c r="J45" s="205"/>
    </row>
    <row r="46" s="1" customFormat="true" ht="22" hidden="false" customHeight="true" outlineLevel="0" collapsed="false">
      <c r="A46" s="0" t="n">
        <v>31</v>
      </c>
      <c r="B46" s="34" t="n">
        <v>37987</v>
      </c>
      <c r="C46" s="56" t="n">
        <v>56280</v>
      </c>
      <c r="D46" s="128" t="s">
        <v>42</v>
      </c>
      <c r="E46" s="33" t="n">
        <f aca="false">IF(D46="totale",(C46/(A46*24))/F46,IF(D46="marché libre",(C46/(A46*24))/G46,"spécifier histo"))</f>
        <v>0.236391129032258</v>
      </c>
      <c r="F46" s="57" t="n">
        <v>320</v>
      </c>
      <c r="G46" s="57" t="n">
        <f aca="false">F46-H46</f>
        <v>320</v>
      </c>
      <c r="H46" s="9" t="n">
        <f aca="false">0</f>
        <v>0</v>
      </c>
      <c r="I46" s="9"/>
      <c r="J46" s="205"/>
    </row>
    <row r="47" s="1" customFormat="true" ht="22" hidden="false" customHeight="true" outlineLevel="0" collapsed="false">
      <c r="A47" s="0" t="n">
        <v>28</v>
      </c>
      <c r="B47" s="31" t="n">
        <v>38018</v>
      </c>
      <c r="C47" s="56" t="n">
        <v>160380</v>
      </c>
      <c r="D47" s="128" t="s">
        <v>42</v>
      </c>
      <c r="E47" s="33" t="n">
        <f aca="false">IF(D47="totale",(C47/(A47*24))/F47,IF(D47="marché libre",(C47/(A47*24))/G47,"spécifier histo"))</f>
        <v>0.745814732142857</v>
      </c>
      <c r="F47" s="57" t="n">
        <v>320</v>
      </c>
      <c r="G47" s="57" t="n">
        <f aca="false">F47-H47</f>
        <v>320</v>
      </c>
      <c r="H47" s="9" t="n">
        <f aca="false">0</f>
        <v>0</v>
      </c>
      <c r="I47" s="9"/>
      <c r="J47" s="205"/>
    </row>
    <row r="48" s="1" customFormat="true" ht="22" hidden="false" customHeight="true" outlineLevel="0" collapsed="false">
      <c r="A48" s="0" t="n">
        <v>31</v>
      </c>
      <c r="B48" s="31" t="n">
        <v>38047</v>
      </c>
      <c r="C48" s="56" t="n">
        <v>196680</v>
      </c>
      <c r="D48" s="128" t="s">
        <v>42</v>
      </c>
      <c r="E48" s="33" t="n">
        <f aca="false">IF(D48="totale",(C48/(A48*24))/F48,IF(D48="marché libre",(C48/(A48*24))/G48,"spécifier histo"))</f>
        <v>0.826108870967742</v>
      </c>
      <c r="F48" s="57" t="n">
        <v>320</v>
      </c>
      <c r="G48" s="57" t="n">
        <f aca="false">F48-H48</f>
        <v>320</v>
      </c>
      <c r="H48" s="9" t="n">
        <f aca="false">0</f>
        <v>0</v>
      </c>
      <c r="I48" s="9"/>
      <c r="J48" s="205"/>
    </row>
    <row r="49" s="1" customFormat="true" ht="22" hidden="false" customHeight="true" outlineLevel="0" collapsed="false">
      <c r="A49" s="0" t="n">
        <v>30</v>
      </c>
      <c r="B49" s="34" t="n">
        <v>38078</v>
      </c>
      <c r="C49" s="56" t="n">
        <v>170560</v>
      </c>
      <c r="D49" s="128" t="s">
        <v>42</v>
      </c>
      <c r="E49" s="33" t="n">
        <f aca="false">IF(D49="totale",(C49/(A49*24))/F49,IF(D49="marché libre",(C49/(A49*24))/G49,"spécifier histo"))</f>
        <v>0.740277777777778</v>
      </c>
      <c r="F49" s="57" t="n">
        <v>320</v>
      </c>
      <c r="G49" s="57" t="n">
        <f aca="false">F49-H49</f>
        <v>320</v>
      </c>
      <c r="H49" s="9" t="n">
        <f aca="false">0</f>
        <v>0</v>
      </c>
      <c r="I49" s="9"/>
      <c r="J49" s="205"/>
    </row>
    <row r="50" s="1" customFormat="true" ht="22" hidden="false" customHeight="true" outlineLevel="0" collapsed="false">
      <c r="A50" s="0" t="n">
        <v>31</v>
      </c>
      <c r="B50" s="31" t="n">
        <v>38108</v>
      </c>
      <c r="C50" s="56" t="n">
        <v>170160</v>
      </c>
      <c r="D50" s="128" t="s">
        <v>42</v>
      </c>
      <c r="E50" s="33" t="n">
        <f aca="false">IF(D50="totale",(C50/(A50*24))/F50,IF(D50="marché libre",(C50/(A50*24))/G50,"spécifier histo"))</f>
        <v>0.714717741935484</v>
      </c>
      <c r="F50" s="57" t="n">
        <v>320</v>
      </c>
      <c r="G50" s="57" t="n">
        <f aca="false">F50-H50</f>
        <v>320</v>
      </c>
      <c r="H50" s="9" t="n">
        <f aca="false">0</f>
        <v>0</v>
      </c>
      <c r="I50" s="9"/>
      <c r="J50" s="205"/>
    </row>
    <row r="51" s="1" customFormat="true" ht="22" hidden="false" customHeight="true" outlineLevel="0" collapsed="false">
      <c r="A51" s="0" t="n">
        <v>30</v>
      </c>
      <c r="B51" s="34" t="n">
        <v>38139</v>
      </c>
      <c r="C51" s="56" t="n">
        <v>73115</v>
      </c>
      <c r="D51" s="128" t="s">
        <v>42</v>
      </c>
      <c r="E51" s="33" t="n">
        <f aca="false">IF(D51="totale",(C51/(A51*24))/F51,IF(D51="marché libre",(C51/(A51*24))/G51,"spécifier histo"))</f>
        <v>0.317339409722222</v>
      </c>
      <c r="F51" s="57" t="n">
        <v>320</v>
      </c>
      <c r="G51" s="57" t="n">
        <f aca="false">F51-H51</f>
        <v>320</v>
      </c>
      <c r="H51" s="9" t="n">
        <f aca="false">0</f>
        <v>0</v>
      </c>
      <c r="I51" s="9"/>
      <c r="J51" s="205"/>
    </row>
    <row r="52" s="1" customFormat="true" ht="22" hidden="false" customHeight="true" outlineLevel="0" collapsed="false">
      <c r="A52" s="0" t="n">
        <v>31</v>
      </c>
      <c r="B52" s="31" t="n">
        <v>38169</v>
      </c>
      <c r="C52" s="56" t="n">
        <v>31694</v>
      </c>
      <c r="D52" s="128" t="s">
        <v>42</v>
      </c>
      <c r="E52" s="33" t="n">
        <f aca="false">IF(D52="totale",(C52/(A52*24))/F52,IF(D52="marché libre",(C52/(A52*24))/G52,"spécifier histo"))</f>
        <v>0.133123319892473</v>
      </c>
      <c r="F52" s="57" t="n">
        <v>320</v>
      </c>
      <c r="G52" s="57" t="n">
        <f aca="false">F52-H52</f>
        <v>320</v>
      </c>
      <c r="H52" s="9" t="n">
        <f aca="false">0</f>
        <v>0</v>
      </c>
      <c r="I52" s="9"/>
      <c r="J52" s="205"/>
    </row>
    <row r="53" s="1" customFormat="true" ht="22" hidden="false" customHeight="true" outlineLevel="0" collapsed="false">
      <c r="A53" s="0" t="n">
        <v>31</v>
      </c>
      <c r="B53" s="34" t="n">
        <v>38200</v>
      </c>
      <c r="C53" s="56" t="n">
        <v>48518</v>
      </c>
      <c r="D53" s="128" t="s">
        <v>42</v>
      </c>
      <c r="E53" s="33" t="n">
        <f aca="false">IF(D53="totale",(C53/(A53*24))/F53,IF(D53="marché libre",(C53/(A53*24))/G53,"spécifier histo"))</f>
        <v>0.203788642473118</v>
      </c>
      <c r="F53" s="57" t="n">
        <v>320</v>
      </c>
      <c r="G53" s="57" t="n">
        <f aca="false">F53-H53</f>
        <v>320</v>
      </c>
      <c r="H53" s="9" t="n">
        <f aca="false">0</f>
        <v>0</v>
      </c>
      <c r="I53" s="9"/>
      <c r="J53" s="205"/>
    </row>
    <row r="54" s="1" customFormat="true" ht="22" hidden="false" customHeight="true" outlineLevel="0" collapsed="false">
      <c r="A54" s="0" t="n">
        <v>30</v>
      </c>
      <c r="B54" s="31" t="n">
        <v>38231</v>
      </c>
      <c r="C54" s="56" t="n">
        <v>43917</v>
      </c>
      <c r="D54" s="128" t="s">
        <v>42</v>
      </c>
      <c r="E54" s="33" t="n">
        <f aca="false">IF(D54="totale",(C54/(A54*24))/F54,IF(D54="marché libre",(C54/(A54*24))/G54,"spécifier histo"))</f>
        <v>0.190611979166667</v>
      </c>
      <c r="F54" s="57" t="n">
        <v>320</v>
      </c>
      <c r="G54" s="57" t="n">
        <f aca="false">F54-H54</f>
        <v>320</v>
      </c>
      <c r="H54" s="9" t="n">
        <f aca="false">0</f>
        <v>0</v>
      </c>
      <c r="I54" s="9"/>
      <c r="J54" s="205"/>
    </row>
    <row r="55" s="1" customFormat="true" ht="22" hidden="false" customHeight="true" outlineLevel="0" collapsed="false">
      <c r="A55" s="0" t="n">
        <v>31</v>
      </c>
      <c r="B55" s="31" t="n">
        <v>38261</v>
      </c>
      <c r="C55" s="56" t="n">
        <v>60566</v>
      </c>
      <c r="D55" s="128" t="s">
        <v>42</v>
      </c>
      <c r="E55" s="33" t="n">
        <f aca="false">IF(D55="totale",(C55/(A55*24))/F55,IF(D55="marché libre",(C55/(A55*24))/G55,"spécifier histo"))</f>
        <v>0.254393481182796</v>
      </c>
      <c r="F55" s="57" t="n">
        <v>320</v>
      </c>
      <c r="G55" s="57" t="n">
        <f aca="false">F55-H55</f>
        <v>320</v>
      </c>
      <c r="H55" s="9" t="n">
        <f aca="false">0</f>
        <v>0</v>
      </c>
      <c r="I55" s="9"/>
      <c r="J55" s="205"/>
    </row>
    <row r="56" s="1" customFormat="true" ht="22" hidden="false" customHeight="true" outlineLevel="0" collapsed="false">
      <c r="A56" s="0" t="n">
        <v>30</v>
      </c>
      <c r="B56" s="34" t="n">
        <v>38292</v>
      </c>
      <c r="C56" s="56" t="n">
        <v>50474</v>
      </c>
      <c r="D56" s="128" t="s">
        <v>42</v>
      </c>
      <c r="E56" s="33" t="n">
        <f aca="false">IF(D56="totale",(C56/(A56*24))/F56,IF(D56="marché libre",(C56/(A56*24))/G56,"spécifier histo"))</f>
        <v>0.219071180555556</v>
      </c>
      <c r="F56" s="57" t="n">
        <v>320</v>
      </c>
      <c r="G56" s="57" t="n">
        <f aca="false">F56-H56</f>
        <v>320</v>
      </c>
      <c r="H56" s="9" t="n">
        <f aca="false">0</f>
        <v>0</v>
      </c>
      <c r="I56" s="9"/>
      <c r="J56" s="205"/>
    </row>
    <row r="57" s="1" customFormat="true" ht="22" hidden="false" customHeight="true" outlineLevel="0" collapsed="false">
      <c r="A57" s="0" t="n">
        <v>31</v>
      </c>
      <c r="B57" s="31" t="n">
        <v>38322</v>
      </c>
      <c r="C57" s="56" t="n">
        <v>90654</v>
      </c>
      <c r="D57" s="128" t="s">
        <v>42</v>
      </c>
      <c r="E57" s="33" t="n">
        <f aca="false">IF(D57="totale",(C57/(A57*24))/F57,IF(D57="marché libre",(C57/(A57*24))/G57,"spécifier histo"))</f>
        <v>0.380771169354839</v>
      </c>
      <c r="F57" s="57" t="n">
        <v>320</v>
      </c>
      <c r="G57" s="57" t="n">
        <f aca="false">F57-H57</f>
        <v>320</v>
      </c>
      <c r="H57" s="9" t="n">
        <f aca="false">0</f>
        <v>0</v>
      </c>
      <c r="I57" s="9"/>
      <c r="J57" s="205"/>
    </row>
    <row r="58" s="1" customFormat="true" ht="22" hidden="false" customHeight="true" outlineLevel="0" collapsed="false">
      <c r="A58" s="0" t="n">
        <v>31</v>
      </c>
      <c r="B58" s="34" t="n">
        <v>38353</v>
      </c>
      <c r="C58" s="56" t="n">
        <v>178059</v>
      </c>
      <c r="D58" s="128" t="s">
        <v>42</v>
      </c>
      <c r="E58" s="33" t="n">
        <f aca="false">IF(D58="totale",(C58/(A58*24))/F58,IF(D58="marché libre",(C58/(A58*24))/G58,"spécifier histo"))</f>
        <v>0.747895665322581</v>
      </c>
      <c r="F58" s="57" t="n">
        <v>320</v>
      </c>
      <c r="G58" s="57" t="n">
        <f aca="false">F58-H58</f>
        <v>320</v>
      </c>
      <c r="H58" s="9" t="n">
        <f aca="false">0</f>
        <v>0</v>
      </c>
      <c r="I58" s="9"/>
      <c r="J58" s="205"/>
    </row>
    <row r="59" s="1" customFormat="true" ht="22" hidden="false" customHeight="true" outlineLevel="0" collapsed="false">
      <c r="A59" s="0" t="n">
        <v>28</v>
      </c>
      <c r="B59" s="31" t="n">
        <v>38384</v>
      </c>
      <c r="C59" s="56" t="n">
        <v>149982</v>
      </c>
      <c r="D59" s="128" t="s">
        <v>42</v>
      </c>
      <c r="E59" s="33" t="n">
        <f aca="false">IF(D59="totale",(C59/(A59*24))/F59,IF(D59="marché libre",(C59/(A59*24))/G59,"spécifier histo"))</f>
        <v>0.6974609375</v>
      </c>
      <c r="F59" s="57" t="n">
        <v>320</v>
      </c>
      <c r="G59" s="57" t="n">
        <f aca="false">F59-H59</f>
        <v>320</v>
      </c>
      <c r="H59" s="9" t="n">
        <f aca="false">0</f>
        <v>0</v>
      </c>
      <c r="I59" s="9"/>
      <c r="J59" s="205"/>
    </row>
    <row r="60" s="1" customFormat="true" ht="22" hidden="false" customHeight="true" outlineLevel="0" collapsed="false">
      <c r="A60" s="0" t="n">
        <v>31</v>
      </c>
      <c r="B60" s="34" t="n">
        <v>38412</v>
      </c>
      <c r="C60" s="56" t="n">
        <v>119756</v>
      </c>
      <c r="D60" s="128" t="s">
        <v>42</v>
      </c>
      <c r="E60" s="33" t="n">
        <f aca="false">IF(D60="totale",(C60/(A60*24))/F60,IF(D60="marché libre",(C60/(A60*24))/G60,"spécifier histo"))</f>
        <v>0.503007392473118</v>
      </c>
      <c r="F60" s="57" t="n">
        <v>320</v>
      </c>
      <c r="G60" s="57" t="n">
        <f aca="false">F60-H60</f>
        <v>320</v>
      </c>
      <c r="H60" s="9" t="n">
        <f aca="false">0</f>
        <v>0</v>
      </c>
      <c r="I60" s="9"/>
      <c r="J60" s="205"/>
    </row>
    <row r="61" s="1" customFormat="true" ht="22" hidden="false" customHeight="true" outlineLevel="0" collapsed="false">
      <c r="A61" s="0" t="n">
        <v>30</v>
      </c>
      <c r="B61" s="31" t="n">
        <v>38443</v>
      </c>
      <c r="C61" s="56" t="n">
        <v>147600</v>
      </c>
      <c r="D61" s="128" t="s">
        <v>42</v>
      </c>
      <c r="E61" s="33" t="n">
        <f aca="false">IF(D61="totale",(C61/(A61*24))/F61,IF(D61="marché libre",(C61/(A61*24))/G61,"spécifier histo"))</f>
        <v>0.640625</v>
      </c>
      <c r="F61" s="57" t="n">
        <v>320</v>
      </c>
      <c r="G61" s="57" t="n">
        <f aca="false">F61-H61</f>
        <v>320</v>
      </c>
      <c r="H61" s="9" t="n">
        <f aca="false">0</f>
        <v>0</v>
      </c>
      <c r="I61" s="9"/>
      <c r="J61" s="205"/>
    </row>
    <row r="62" s="1" customFormat="true" ht="22" hidden="false" customHeight="true" outlineLevel="0" collapsed="false">
      <c r="A62" s="0" t="n">
        <v>31</v>
      </c>
      <c r="B62" s="31" t="n">
        <v>38473</v>
      </c>
      <c r="C62" s="56" t="n">
        <v>106545</v>
      </c>
      <c r="D62" s="128" t="s">
        <v>42</v>
      </c>
      <c r="E62" s="33" t="n">
        <f aca="false">IF(D62="totale",(C62/(A62*24))/F62,IF(D62="marché libre",(C62/(A62*24))/G62,"spécifier histo"))</f>
        <v>0.447517641129032</v>
      </c>
      <c r="F62" s="57" t="n">
        <v>320</v>
      </c>
      <c r="G62" s="57" t="n">
        <f aca="false">F62-H62</f>
        <v>320</v>
      </c>
      <c r="H62" s="9" t="n">
        <f aca="false">0</f>
        <v>0</v>
      </c>
      <c r="I62" s="9"/>
      <c r="J62" s="205"/>
    </row>
    <row r="63" s="1" customFormat="true" ht="22" hidden="false" customHeight="true" outlineLevel="0" collapsed="false">
      <c r="A63" s="0" t="n">
        <v>30</v>
      </c>
      <c r="B63" s="34" t="n">
        <v>38504</v>
      </c>
      <c r="C63" s="56" t="n">
        <v>38514</v>
      </c>
      <c r="D63" s="128" t="s">
        <v>42</v>
      </c>
      <c r="E63" s="33" t="n">
        <f aca="false">IF(D63="totale",(C63/(A63*24))/F63,IF(D63="marché libre",(C63/(A63*24))/G63,"spécifier histo"))</f>
        <v>0.167161458333333</v>
      </c>
      <c r="F63" s="57" t="n">
        <v>320</v>
      </c>
      <c r="G63" s="57" t="n">
        <f aca="false">F63-H63</f>
        <v>320</v>
      </c>
      <c r="H63" s="9" t="n">
        <f aca="false">0</f>
        <v>0</v>
      </c>
      <c r="I63" s="9"/>
      <c r="J63" s="205"/>
    </row>
    <row r="64" s="1" customFormat="true" ht="22" hidden="false" customHeight="true" outlineLevel="0" collapsed="false">
      <c r="A64" s="0" t="n">
        <v>31</v>
      </c>
      <c r="B64" s="31" t="n">
        <v>38534</v>
      </c>
      <c r="C64" s="56" t="n">
        <v>12912</v>
      </c>
      <c r="D64" s="128" t="s">
        <v>42</v>
      </c>
      <c r="E64" s="33" t="n">
        <f aca="false">IF(D64="totale",(C64/(A64*24))/F64,IF(D64="marché libre",(C64/(A64*24))/G64,"spécifier histo"))</f>
        <v>0.0542338709677419</v>
      </c>
      <c r="F64" s="57" t="n">
        <v>320</v>
      </c>
      <c r="G64" s="57" t="n">
        <f aca="false">F64-H64</f>
        <v>320</v>
      </c>
      <c r="H64" s="9" t="n">
        <f aca="false">0</f>
        <v>0</v>
      </c>
      <c r="I64" s="9"/>
      <c r="J64" s="205"/>
    </row>
    <row r="65" s="1" customFormat="true" ht="22" hidden="false" customHeight="true" outlineLevel="0" collapsed="false">
      <c r="A65" s="0" t="n">
        <v>31</v>
      </c>
      <c r="B65" s="34" t="n">
        <v>38565</v>
      </c>
      <c r="C65" s="56" t="n">
        <v>90</v>
      </c>
      <c r="D65" s="128" t="s">
        <v>42</v>
      </c>
      <c r="E65" s="33" t="n">
        <f aca="false">IF(D65="totale",(C65/(A65*24))/F65,IF(D65="marché libre",(C65/(A65*24))/G65,"spécifier histo"))</f>
        <v>0.000378024193548387</v>
      </c>
      <c r="F65" s="57" t="n">
        <v>320</v>
      </c>
      <c r="G65" s="57" t="n">
        <f aca="false">F65-H65</f>
        <v>320</v>
      </c>
      <c r="H65" s="9" t="n">
        <f aca="false">0</f>
        <v>0</v>
      </c>
      <c r="I65" s="9"/>
      <c r="J65" s="205"/>
    </row>
    <row r="66" s="1" customFormat="true" ht="22" hidden="false" customHeight="true" outlineLevel="0" collapsed="false">
      <c r="A66" s="0" t="n">
        <v>30</v>
      </c>
      <c r="B66" s="31" t="n">
        <v>38596</v>
      </c>
      <c r="C66" s="56" t="n">
        <v>1058</v>
      </c>
      <c r="D66" s="128" t="s">
        <v>42</v>
      </c>
      <c r="E66" s="33" t="n">
        <f aca="false">IF(D66="totale",(C66/(A66*24))/F66,IF(D66="marché libre",(C66/(A66*24))/G66,"spécifier histo"))</f>
        <v>0.00459201388888889</v>
      </c>
      <c r="F66" s="57" t="n">
        <v>320</v>
      </c>
      <c r="G66" s="57" t="n">
        <f aca="false">F66-H66</f>
        <v>320</v>
      </c>
      <c r="H66" s="9" t="n">
        <f aca="false">0</f>
        <v>0</v>
      </c>
      <c r="I66" s="9"/>
      <c r="J66" s="205"/>
    </row>
    <row r="67" s="1" customFormat="true" ht="22" hidden="false" customHeight="true" outlineLevel="0" collapsed="false">
      <c r="A67" s="0" t="n">
        <v>31</v>
      </c>
      <c r="B67" s="34" t="n">
        <v>38626</v>
      </c>
      <c r="C67" s="56" t="n">
        <v>4550</v>
      </c>
      <c r="D67" s="128" t="s">
        <v>42</v>
      </c>
      <c r="E67" s="33" t="n">
        <f aca="false">IF(D67="totale",(C67/(A67*24))/F67,IF(D67="marché libre",(C67/(A67*24))/G67,"spécifier histo"))</f>
        <v>0.0191112231182796</v>
      </c>
      <c r="F67" s="57" t="n">
        <v>320</v>
      </c>
      <c r="G67" s="57" t="n">
        <f aca="false">F67-H67</f>
        <v>320</v>
      </c>
      <c r="H67" s="9" t="n">
        <f aca="false">0</f>
        <v>0</v>
      </c>
      <c r="I67" s="9"/>
      <c r="J67" s="205"/>
    </row>
    <row r="68" s="1" customFormat="true" ht="22" hidden="false" customHeight="true" outlineLevel="0" collapsed="false">
      <c r="A68" s="0" t="n">
        <v>30</v>
      </c>
      <c r="B68" s="31" t="n">
        <v>38657</v>
      </c>
      <c r="C68" s="56" t="n">
        <v>5384</v>
      </c>
      <c r="D68" s="128" t="s">
        <v>42</v>
      </c>
      <c r="E68" s="33" t="n">
        <f aca="false">IF(D68="totale",(C68/(A68*24))/F68,IF(D68="marché libre",(C68/(A68*24))/G68,"spécifier histo"))</f>
        <v>0.0233680555555556</v>
      </c>
      <c r="F68" s="57" t="n">
        <v>320</v>
      </c>
      <c r="G68" s="57" t="n">
        <f aca="false">F68-H68</f>
        <v>320</v>
      </c>
      <c r="H68" s="9" t="n">
        <f aca="false">0</f>
        <v>0</v>
      </c>
      <c r="I68" s="9"/>
      <c r="J68" s="205"/>
    </row>
    <row r="69" s="1" customFormat="true" ht="22" hidden="false" customHeight="true" outlineLevel="0" collapsed="false">
      <c r="A69" s="0" t="n">
        <v>31</v>
      </c>
      <c r="B69" s="31" t="n">
        <v>38687</v>
      </c>
      <c r="C69" s="56" t="n">
        <v>75123</v>
      </c>
      <c r="D69" s="128" t="s">
        <v>42</v>
      </c>
      <c r="E69" s="33" t="n">
        <f aca="false">IF(D69="totale",(C69/(A69*24))/F69,IF(D69="marché libre",(C69/(A69*24))/G69,"spécifier histo"))</f>
        <v>0.315536794354839</v>
      </c>
      <c r="F69" s="57" t="n">
        <v>320</v>
      </c>
      <c r="G69" s="57" t="n">
        <f aca="false">F69-H69</f>
        <v>320</v>
      </c>
      <c r="H69" s="9" t="n">
        <f aca="false">0</f>
        <v>0</v>
      </c>
      <c r="I69" s="9"/>
      <c r="J69" s="205"/>
    </row>
    <row r="70" s="1" customFormat="true" ht="22" hidden="false" customHeight="true" outlineLevel="0" collapsed="false">
      <c r="A70" s="0" t="n">
        <v>31</v>
      </c>
      <c r="B70" s="34" t="n">
        <v>38718</v>
      </c>
      <c r="C70" s="56" t="n">
        <v>149718</v>
      </c>
      <c r="D70" s="128" t="s">
        <v>42</v>
      </c>
      <c r="E70" s="33" t="n">
        <f aca="false">IF(D70="totale",(C70/(A70*24))/F70,IF(D70="marché libre",(C70/(A70*24))/G70,"spécifier histo"))</f>
        <v>0.628855846774193</v>
      </c>
      <c r="F70" s="57" t="n">
        <v>320</v>
      </c>
      <c r="G70" s="57" t="n">
        <f aca="false">F70-H70</f>
        <v>320</v>
      </c>
      <c r="H70" s="9" t="n">
        <f aca="false">0</f>
        <v>0</v>
      </c>
      <c r="I70" s="9"/>
      <c r="J70" s="205"/>
    </row>
    <row r="71" s="1" customFormat="true" ht="22" hidden="false" customHeight="true" outlineLevel="0" collapsed="false">
      <c r="A71" s="0" t="n">
        <v>28</v>
      </c>
      <c r="B71" s="31" t="n">
        <v>38749</v>
      </c>
      <c r="C71" s="56" t="n">
        <v>135239</v>
      </c>
      <c r="D71" s="128" t="s">
        <v>42</v>
      </c>
      <c r="E71" s="33" t="n">
        <f aca="false">IF(D71="totale",(C71/(A71*24))/F71,IF(D71="marché libre",(C71/(A71*24))/G71,"spécifier histo"))</f>
        <v>0.628901599702381</v>
      </c>
      <c r="F71" s="57" t="n">
        <v>320</v>
      </c>
      <c r="G71" s="57" t="n">
        <f aca="false">F71-H71</f>
        <v>320</v>
      </c>
      <c r="H71" s="9" t="n">
        <f aca="false">0</f>
        <v>0</v>
      </c>
      <c r="I71" s="9"/>
      <c r="J71" s="205"/>
    </row>
    <row r="72" s="1" customFormat="true" ht="22" hidden="false" customHeight="true" outlineLevel="0" collapsed="false">
      <c r="A72" s="0" t="n">
        <v>31</v>
      </c>
      <c r="B72" s="34" t="n">
        <v>38777</v>
      </c>
      <c r="C72" s="56" t="n">
        <v>67165</v>
      </c>
      <c r="D72" s="128" t="s">
        <v>42</v>
      </c>
      <c r="E72" s="33" t="n">
        <f aca="false">IF(D72="totale",(C72/(A72*24))/F72,IF(D72="marché libre",(C72/(A72*24))/G72,"spécifier histo"))</f>
        <v>0.282111055107527</v>
      </c>
      <c r="F72" s="57" t="n">
        <v>320</v>
      </c>
      <c r="G72" s="57" t="n">
        <f aca="false">F72-H72</f>
        <v>320</v>
      </c>
      <c r="H72" s="9" t="n">
        <f aca="false">0</f>
        <v>0</v>
      </c>
      <c r="I72" s="9"/>
      <c r="J72" s="205"/>
    </row>
    <row r="73" s="1" customFormat="true" ht="22" hidden="false" customHeight="true" outlineLevel="0" collapsed="false">
      <c r="A73" s="0" t="n">
        <v>30</v>
      </c>
      <c r="B73" s="31" t="n">
        <v>38808</v>
      </c>
      <c r="C73" s="56" t="n">
        <v>103694</v>
      </c>
      <c r="D73" s="128" t="s">
        <v>42</v>
      </c>
      <c r="E73" s="33" t="n">
        <f aca="false">IF(D73="totale",(C73/(A73*24))/F73,IF(D73="marché libre",(C73/(A73*24))/G73,"spécifier histo"))</f>
        <v>0.450060763888889</v>
      </c>
      <c r="F73" s="57" t="n">
        <v>320</v>
      </c>
      <c r="G73" s="57" t="n">
        <f aca="false">F73-H73</f>
        <v>320</v>
      </c>
      <c r="H73" s="9" t="n">
        <f aca="false">0</f>
        <v>0</v>
      </c>
      <c r="I73" s="9"/>
      <c r="J73" s="205"/>
    </row>
    <row r="74" s="1" customFormat="true" ht="22" hidden="false" customHeight="true" outlineLevel="0" collapsed="false">
      <c r="A74" s="0" t="n">
        <v>31</v>
      </c>
      <c r="B74" s="34" t="n">
        <v>38838</v>
      </c>
      <c r="C74" s="56" t="n">
        <v>144972</v>
      </c>
      <c r="D74" s="128" t="s">
        <v>42</v>
      </c>
      <c r="E74" s="33" t="n">
        <f aca="false">IF(D74="totale",(C74/(A74*24))/F74,IF(D74="marché libre",(C74/(A74*24))/G74,"spécifier histo"))</f>
        <v>0.608921370967742</v>
      </c>
      <c r="F74" s="57" t="n">
        <v>320</v>
      </c>
      <c r="G74" s="57" t="n">
        <f aca="false">F74-H74</f>
        <v>320</v>
      </c>
      <c r="H74" s="9" t="n">
        <f aca="false">0</f>
        <v>0</v>
      </c>
      <c r="I74" s="9"/>
      <c r="J74" s="205"/>
    </row>
    <row r="75" s="1" customFormat="true" ht="22" hidden="false" customHeight="true" outlineLevel="0" collapsed="false">
      <c r="A75" s="0" t="n">
        <v>30</v>
      </c>
      <c r="B75" s="31" t="n">
        <v>38869</v>
      </c>
      <c r="C75" s="56" t="n">
        <v>54455</v>
      </c>
      <c r="D75" s="128" t="s">
        <v>42</v>
      </c>
      <c r="E75" s="33" t="n">
        <f aca="false">IF(D75="totale",(C75/(A75*24))/F75,IF(D75="marché libre",(C75/(A75*24))/G75,"spécifier histo"))</f>
        <v>0.236349826388889</v>
      </c>
      <c r="F75" s="57" t="n">
        <v>320</v>
      </c>
      <c r="G75" s="57" t="n">
        <f aca="false">F75-H75</f>
        <v>320</v>
      </c>
      <c r="H75" s="9" t="n">
        <f aca="false">0</f>
        <v>0</v>
      </c>
      <c r="I75" s="9"/>
      <c r="J75" s="205"/>
    </row>
    <row r="76" s="1" customFormat="true" ht="22" hidden="false" customHeight="true" outlineLevel="0" collapsed="false">
      <c r="A76" s="0" t="n">
        <v>31</v>
      </c>
      <c r="B76" s="31" t="n">
        <v>38899</v>
      </c>
      <c r="C76" s="56" t="n">
        <v>27350</v>
      </c>
      <c r="D76" s="128" t="s">
        <v>42</v>
      </c>
      <c r="E76" s="33" t="n">
        <f aca="false">IF(D76="totale",(C76/(A76*24))/F76,IF(D76="marché libre",(C76/(A76*24))/G76,"spécifier histo"))</f>
        <v>0.114877352150538</v>
      </c>
      <c r="F76" s="57" t="n">
        <v>320</v>
      </c>
      <c r="G76" s="57" t="n">
        <f aca="false">F76-H76</f>
        <v>320</v>
      </c>
      <c r="H76" s="9" t="n">
        <f aca="false">0</f>
        <v>0</v>
      </c>
      <c r="I76" s="9"/>
      <c r="J76" s="205"/>
    </row>
    <row r="77" s="1" customFormat="true" ht="22" hidden="false" customHeight="true" outlineLevel="0" collapsed="false">
      <c r="A77" s="0" t="n">
        <v>31</v>
      </c>
      <c r="B77" s="34" t="n">
        <v>38930</v>
      </c>
      <c r="C77" s="56" t="n">
        <v>18106</v>
      </c>
      <c r="D77" s="128" t="s">
        <v>42</v>
      </c>
      <c r="E77" s="33" t="n">
        <f aca="false">IF(D77="totale",(C77/(A77*24))/F77,IF(D77="marché libre",(C77/(A77*24))/G77,"spécifier histo"))</f>
        <v>0.0760500672043011</v>
      </c>
      <c r="F77" s="57" t="n">
        <v>320</v>
      </c>
      <c r="G77" s="57" t="n">
        <f aca="false">F77-H77</f>
        <v>320</v>
      </c>
      <c r="H77" s="9" t="n">
        <f aca="false">0</f>
        <v>0</v>
      </c>
      <c r="I77" s="9"/>
      <c r="J77" s="205"/>
    </row>
    <row r="78" s="1" customFormat="true" ht="22" hidden="false" customHeight="true" outlineLevel="0" collapsed="false">
      <c r="A78" s="0" t="n">
        <v>30</v>
      </c>
      <c r="B78" s="31" t="n">
        <v>38961</v>
      </c>
      <c r="C78" s="56" t="n">
        <v>54383</v>
      </c>
      <c r="D78" s="128" t="s">
        <v>42</v>
      </c>
      <c r="E78" s="33" t="n">
        <f aca="false">IF(D78="totale",(C78/(A78*24))/F78,IF(D78="marché libre",(C78/(A78*24))/G78,"spécifier histo"))</f>
        <v>0.236037326388889</v>
      </c>
      <c r="F78" s="57" t="n">
        <v>320</v>
      </c>
      <c r="G78" s="57" t="n">
        <f aca="false">F78-H78</f>
        <v>320</v>
      </c>
      <c r="H78" s="9" t="n">
        <f aca="false">0</f>
        <v>0</v>
      </c>
      <c r="I78" s="9"/>
      <c r="J78" s="205"/>
    </row>
    <row r="79" s="1" customFormat="true" ht="22" hidden="false" customHeight="true" outlineLevel="0" collapsed="false">
      <c r="A79" s="0" t="n">
        <v>31</v>
      </c>
      <c r="B79" s="34" t="n">
        <v>38991</v>
      </c>
      <c r="C79" s="56" t="n">
        <v>138948</v>
      </c>
      <c r="D79" s="128" t="s">
        <v>42</v>
      </c>
      <c r="E79" s="33" t="n">
        <f aca="false">IF(D79="totale",(C79/(A79*24))/F79,IF(D79="marché libre",(C79/(A79*24))/G79,"spécifier histo"))</f>
        <v>0.583618951612903</v>
      </c>
      <c r="F79" s="57" t="n">
        <v>320</v>
      </c>
      <c r="G79" s="57" t="n">
        <f aca="false">F79-H79</f>
        <v>320</v>
      </c>
      <c r="H79" s="9" t="n">
        <f aca="false">0</f>
        <v>0</v>
      </c>
      <c r="I79" s="9"/>
      <c r="J79" s="205"/>
    </row>
    <row r="80" s="1" customFormat="true" ht="22" hidden="false" customHeight="true" outlineLevel="0" collapsed="false">
      <c r="A80" s="0" t="n">
        <v>30</v>
      </c>
      <c r="B80" s="31" t="n">
        <v>39022</v>
      </c>
      <c r="C80" s="56" t="n">
        <v>122552</v>
      </c>
      <c r="D80" s="128" t="s">
        <v>42</v>
      </c>
      <c r="E80" s="33" t="n">
        <f aca="false">IF(D80="totale",(C80/(A80*24))/F80,IF(D80="marché libre",(C80/(A80*24))/G80,"spécifier histo"))</f>
        <v>0.531909722222222</v>
      </c>
      <c r="F80" s="57" t="n">
        <v>320</v>
      </c>
      <c r="G80" s="57" t="n">
        <f aca="false">F80-H80</f>
        <v>320</v>
      </c>
      <c r="H80" s="9" t="n">
        <f aca="false">0</f>
        <v>0</v>
      </c>
      <c r="I80" s="9"/>
      <c r="J80" s="205"/>
    </row>
    <row r="81" s="1" customFormat="true" ht="22" hidden="false" customHeight="true" outlineLevel="0" collapsed="false">
      <c r="A81" s="0" t="n">
        <v>31</v>
      </c>
      <c r="B81" s="34" t="n">
        <v>39052</v>
      </c>
      <c r="C81" s="56" t="n">
        <v>133516</v>
      </c>
      <c r="D81" s="128" t="s">
        <v>42</v>
      </c>
      <c r="E81" s="33" t="n">
        <f aca="false">IF(D81="totale",(C81/(A81*24))/F81,IF(D81="marché libre",(C81/(A81*24))/G81,"spécifier histo"))</f>
        <v>0.560803091397849</v>
      </c>
      <c r="F81" s="57" t="n">
        <v>320</v>
      </c>
      <c r="G81" s="57" t="n">
        <f aca="false">F81-H81</f>
        <v>320</v>
      </c>
      <c r="H81" s="9" t="n">
        <f aca="false">0</f>
        <v>0</v>
      </c>
      <c r="I81" s="9"/>
      <c r="J81" s="205"/>
    </row>
    <row r="82" s="1" customFormat="true" ht="22" hidden="false" customHeight="true" outlineLevel="0" collapsed="false">
      <c r="A82" s="0" t="n">
        <v>31</v>
      </c>
      <c r="B82" s="31" t="n">
        <v>39083</v>
      </c>
      <c r="C82" s="56" t="n">
        <v>121401</v>
      </c>
      <c r="D82" s="128" t="s">
        <v>42</v>
      </c>
      <c r="E82" s="33" t="n">
        <f aca="false">IF(D82="totale",(C82/(A82*24))/F82,IF(D82="marché libre",(C82/(A82*24))/G82,"spécifier histo"))</f>
        <v>0.509916834677419</v>
      </c>
      <c r="F82" s="57" t="n">
        <v>320</v>
      </c>
      <c r="G82" s="57" t="n">
        <f aca="false">F82-H82</f>
        <v>320</v>
      </c>
      <c r="H82" s="9" t="n">
        <f aca="false">0</f>
        <v>0</v>
      </c>
      <c r="I82" s="9"/>
      <c r="J82" s="205"/>
    </row>
    <row r="83" s="1" customFormat="true" ht="22" hidden="false" customHeight="true" outlineLevel="0" collapsed="false">
      <c r="A83" s="0" t="n">
        <v>28</v>
      </c>
      <c r="B83" s="31" t="n">
        <v>39114</v>
      </c>
      <c r="C83" s="56" t="n">
        <v>79349</v>
      </c>
      <c r="D83" s="128" t="s">
        <v>42</v>
      </c>
      <c r="E83" s="33" t="n">
        <f aca="false">IF(D83="totale",(C83/(A83*24))/F83,IF(D83="marché libre",(C83/(A83*24))/G83,"spécifier histo"))</f>
        <v>0.368996465773809</v>
      </c>
      <c r="F83" s="57" t="n">
        <v>320</v>
      </c>
      <c r="G83" s="57" t="n">
        <f aca="false">F83-H83</f>
        <v>320</v>
      </c>
      <c r="H83" s="9" t="n">
        <f aca="false">0</f>
        <v>0</v>
      </c>
      <c r="I83" s="9"/>
      <c r="J83" s="205"/>
    </row>
    <row r="84" s="1" customFormat="true" ht="22" hidden="false" customHeight="true" outlineLevel="0" collapsed="false">
      <c r="A84" s="0" t="n">
        <v>31</v>
      </c>
      <c r="B84" s="34" t="n">
        <v>39142</v>
      </c>
      <c r="C84" s="56" t="n">
        <v>70533</v>
      </c>
      <c r="D84" s="128" t="s">
        <v>42</v>
      </c>
      <c r="E84" s="33" t="n">
        <f aca="false">IF(D84="totale",(C84/(A84*24))/F84,IF(D84="marché libre",(C84/(A84*24))/G84,"spécifier histo"))</f>
        <v>0.296257560483871</v>
      </c>
      <c r="F84" s="57" t="n">
        <v>320</v>
      </c>
      <c r="G84" s="57" t="n">
        <f aca="false">F84-H84</f>
        <v>320</v>
      </c>
      <c r="H84" s="9" t="n">
        <f aca="false">0</f>
        <v>0</v>
      </c>
      <c r="I84" s="9"/>
      <c r="J84" s="205"/>
    </row>
    <row r="85" s="1" customFormat="true" ht="22" hidden="false" customHeight="true" outlineLevel="0" collapsed="false">
      <c r="A85" s="0" t="n">
        <v>30</v>
      </c>
      <c r="B85" s="31" t="n">
        <v>39173</v>
      </c>
      <c r="C85" s="56" t="n">
        <v>167262</v>
      </c>
      <c r="D85" s="128" t="s">
        <v>42</v>
      </c>
      <c r="E85" s="33" t="n">
        <f aca="false">IF(D85="totale",(C85/(A85*24))/F85,IF(D85="marché libre",(C85/(A85*24))/G85,"spécifier histo"))</f>
        <v>0.725963541666667</v>
      </c>
      <c r="F85" s="57" t="n">
        <v>320</v>
      </c>
      <c r="G85" s="57" t="n">
        <f aca="false">F85-H85</f>
        <v>320</v>
      </c>
      <c r="H85" s="9" t="n">
        <f aca="false">0</f>
        <v>0</v>
      </c>
      <c r="I85" s="9"/>
      <c r="J85" s="205"/>
    </row>
    <row r="86" s="1" customFormat="true" ht="22" hidden="false" customHeight="true" outlineLevel="0" collapsed="false">
      <c r="A86" s="0" t="n">
        <v>31</v>
      </c>
      <c r="B86" s="34" t="n">
        <v>39203</v>
      </c>
      <c r="C86" s="56" t="n">
        <v>166507</v>
      </c>
      <c r="D86" s="128" t="s">
        <v>42</v>
      </c>
      <c r="E86" s="33" t="n">
        <f aca="false">IF(D86="totale",(C86/(A86*24))/F86,IF(D86="marché libre",(C86/(A86*24))/G86,"spécifier histo"))</f>
        <v>0.699374159946237</v>
      </c>
      <c r="F86" s="57" t="n">
        <v>320</v>
      </c>
      <c r="G86" s="57" t="n">
        <f aca="false">F86-H86</f>
        <v>320</v>
      </c>
      <c r="H86" s="9" t="n">
        <f aca="false">0</f>
        <v>0</v>
      </c>
      <c r="I86" s="9"/>
      <c r="J86" s="205"/>
    </row>
    <row r="87" s="1" customFormat="true" ht="22" hidden="false" customHeight="true" outlineLevel="0" collapsed="false">
      <c r="A87" s="0" t="n">
        <v>30</v>
      </c>
      <c r="B87" s="31" t="n">
        <v>39234</v>
      </c>
      <c r="C87" s="56" t="n">
        <v>162425</v>
      </c>
      <c r="D87" s="128" t="s">
        <v>42</v>
      </c>
      <c r="E87" s="33" t="n">
        <f aca="false">IF(D87="totale",(C87/(A87*24))/F87,IF(D87="marché libre",(C87/(A87*24))/G87,"spécifier histo"))</f>
        <v>0.704969618055556</v>
      </c>
      <c r="F87" s="57" t="n">
        <v>320</v>
      </c>
      <c r="G87" s="57" t="n">
        <f aca="false">F87-H87</f>
        <v>320</v>
      </c>
      <c r="H87" s="9" t="n">
        <f aca="false">0</f>
        <v>0</v>
      </c>
      <c r="I87" s="9"/>
      <c r="J87" s="205"/>
    </row>
    <row r="88" s="1" customFormat="true" ht="22" hidden="false" customHeight="true" outlineLevel="0" collapsed="false">
      <c r="A88" s="0" t="n">
        <v>31</v>
      </c>
      <c r="B88" s="34" t="n">
        <v>39264</v>
      </c>
      <c r="C88" s="56" t="n">
        <v>141778</v>
      </c>
      <c r="D88" s="128" t="s">
        <v>42</v>
      </c>
      <c r="E88" s="33" t="n">
        <f aca="false">IF(D88="totale",(C88/(A88*24))/F88,IF(D88="marché libre",(C88/(A88*24))/G88,"spécifier histo"))</f>
        <v>0.595505712365591</v>
      </c>
      <c r="F88" s="57" t="n">
        <v>320</v>
      </c>
      <c r="G88" s="57" t="n">
        <f aca="false">F88-H88</f>
        <v>320</v>
      </c>
      <c r="H88" s="9" t="n">
        <f aca="false">0</f>
        <v>0</v>
      </c>
      <c r="I88" s="9"/>
      <c r="J88" s="205"/>
    </row>
    <row r="89" s="1" customFormat="true" ht="22" hidden="false" customHeight="true" outlineLevel="0" collapsed="false">
      <c r="A89" s="0" t="n">
        <v>31</v>
      </c>
      <c r="B89" s="31" t="n">
        <v>39295</v>
      </c>
      <c r="C89" s="56" t="n">
        <v>95840</v>
      </c>
      <c r="D89" s="128" t="s">
        <v>42</v>
      </c>
      <c r="E89" s="33" t="n">
        <f aca="false">IF(D89="totale",(C89/(A89*24))/F89,IF(D89="marché libre",(C89/(A89*24))/G89,"spécifier histo"))</f>
        <v>0.40255376344086</v>
      </c>
      <c r="F89" s="57" t="n">
        <v>320</v>
      </c>
      <c r="G89" s="57" t="n">
        <f aca="false">F89-H89</f>
        <v>320</v>
      </c>
      <c r="H89" s="9" t="n">
        <f aca="false">0</f>
        <v>0</v>
      </c>
      <c r="I89" s="9"/>
      <c r="J89" s="205"/>
    </row>
    <row r="90" s="1" customFormat="true" ht="22" hidden="false" customHeight="true" outlineLevel="0" collapsed="false">
      <c r="A90" s="0" t="n">
        <v>30</v>
      </c>
      <c r="B90" s="31" t="n">
        <v>39326</v>
      </c>
      <c r="C90" s="56" t="n">
        <v>84338</v>
      </c>
      <c r="D90" s="128" t="s">
        <v>42</v>
      </c>
      <c r="E90" s="33" t="n">
        <f aca="false">IF(D90="totale",(C90/(A90*24))/F90,IF(D90="marché libre",(C90/(A90*24))/G90,"spécifier histo"))</f>
        <v>0.366050347222222</v>
      </c>
      <c r="F90" s="57" t="n">
        <v>320</v>
      </c>
      <c r="G90" s="57" t="n">
        <f aca="false">F90-H90</f>
        <v>320</v>
      </c>
      <c r="H90" s="9" t="n">
        <f aca="false">0</f>
        <v>0</v>
      </c>
      <c r="I90" s="9"/>
      <c r="J90" s="205"/>
    </row>
    <row r="91" s="1" customFormat="true" ht="22" hidden="false" customHeight="true" outlineLevel="0" collapsed="false">
      <c r="A91" s="0" t="n">
        <v>31</v>
      </c>
      <c r="B91" s="34" t="n">
        <v>39356</v>
      </c>
      <c r="C91" s="56" t="n">
        <v>61979</v>
      </c>
      <c r="D91" s="128" t="s">
        <v>42</v>
      </c>
      <c r="E91" s="33" t="n">
        <f aca="false">IF(D91="totale",(C91/(A91*24))/F91,IF(D91="marché libre",(C91/(A91*24))/G91,"spécifier histo"))</f>
        <v>0.260328461021505</v>
      </c>
      <c r="F91" s="57" t="n">
        <v>320</v>
      </c>
      <c r="G91" s="57" t="n">
        <f aca="false">F91-H91</f>
        <v>320</v>
      </c>
      <c r="H91" s="9" t="n">
        <f aca="false">0</f>
        <v>0</v>
      </c>
      <c r="I91" s="9"/>
      <c r="J91" s="205"/>
    </row>
    <row r="92" s="1" customFormat="true" ht="22" hidden="false" customHeight="true" outlineLevel="0" collapsed="false">
      <c r="A92" s="0" t="n">
        <v>30</v>
      </c>
      <c r="B92" s="31" t="n">
        <v>39387</v>
      </c>
      <c r="C92" s="56" t="n">
        <v>60005</v>
      </c>
      <c r="D92" s="128" t="s">
        <v>42</v>
      </c>
      <c r="E92" s="33" t="n">
        <f aca="false">IF(D92="totale",(C92/(A92*24))/F92,IF(D92="marché libre",(C92/(A92*24))/G92,"spécifier histo"))</f>
        <v>0.260438368055556</v>
      </c>
      <c r="F92" s="57" t="n">
        <v>320</v>
      </c>
      <c r="G92" s="57" t="n">
        <f aca="false">F92-H92</f>
        <v>320</v>
      </c>
      <c r="H92" s="9" t="n">
        <f aca="false">0</f>
        <v>0</v>
      </c>
      <c r="I92" s="9"/>
      <c r="J92" s="205"/>
    </row>
    <row r="93" s="1" customFormat="true" ht="22" hidden="false" customHeight="true" outlineLevel="0" collapsed="false">
      <c r="A93" s="0" t="n">
        <v>31</v>
      </c>
      <c r="B93" s="34" t="n">
        <v>39417</v>
      </c>
      <c r="C93" s="56" t="n">
        <v>128005</v>
      </c>
      <c r="D93" s="128" t="s">
        <v>42</v>
      </c>
      <c r="E93" s="33" t="n">
        <f aca="false">IF(D93="totale",(C93/(A93*24))/F93,IF(D93="marché libre",(C93/(A93*24))/G93,"spécifier histo"))</f>
        <v>0.537655409946237</v>
      </c>
      <c r="F93" s="57" t="n">
        <v>320</v>
      </c>
      <c r="G93" s="57" t="n">
        <f aca="false">F93-H93</f>
        <v>320</v>
      </c>
      <c r="H93" s="9" t="n">
        <f aca="false">0</f>
        <v>0</v>
      </c>
      <c r="I93" s="9"/>
      <c r="J93" s="205"/>
    </row>
    <row r="94" s="1" customFormat="true" ht="22" hidden="false" customHeight="true" outlineLevel="0" collapsed="false">
      <c r="A94" s="0" t="n">
        <v>31</v>
      </c>
      <c r="B94" s="31" t="n">
        <v>39448</v>
      </c>
      <c r="C94" s="56" t="n">
        <v>107770</v>
      </c>
      <c r="D94" s="128" t="s">
        <v>42</v>
      </c>
      <c r="E94" s="33" t="n">
        <f aca="false">IF(D94="totale",(C94/(A94*24))/F94,IF(D94="marché libre",(C94/(A94*24))/G94,"spécifier histo"))</f>
        <v>0.452662970430108</v>
      </c>
      <c r="F94" s="57" t="n">
        <v>320</v>
      </c>
      <c r="G94" s="57" t="n">
        <f aca="false">F94-H94</f>
        <v>320</v>
      </c>
      <c r="H94" s="9" t="n">
        <f aca="false">0</f>
        <v>0</v>
      </c>
      <c r="I94" s="9"/>
      <c r="J94" s="205"/>
    </row>
    <row r="95" s="1" customFormat="true" ht="22" hidden="false" customHeight="true" outlineLevel="0" collapsed="false">
      <c r="A95" s="0" t="n">
        <v>28</v>
      </c>
      <c r="B95" s="34" t="n">
        <v>39479</v>
      </c>
      <c r="C95" s="56" t="n">
        <v>151286</v>
      </c>
      <c r="D95" s="128" t="s">
        <v>42</v>
      </c>
      <c r="E95" s="33" t="n">
        <f aca="false">IF(D95="totale",(C95/(A95*24))/F95,IF(D95="marché libre",(C95/(A95*24))/G95,"spécifier histo"))</f>
        <v>0.703524925595238</v>
      </c>
      <c r="F95" s="57" t="n">
        <v>320</v>
      </c>
      <c r="G95" s="57" t="n">
        <f aca="false">F95-H95</f>
        <v>320</v>
      </c>
      <c r="H95" s="9" t="n">
        <f aca="false">0</f>
        <v>0</v>
      </c>
      <c r="I95" s="9"/>
      <c r="J95" s="205"/>
    </row>
    <row r="96" s="1" customFormat="true" ht="22" hidden="false" customHeight="true" outlineLevel="0" collapsed="false">
      <c r="A96" s="0" t="n">
        <v>31</v>
      </c>
      <c r="B96" s="31" t="n">
        <v>39508</v>
      </c>
      <c r="C96" s="56" t="n">
        <v>154197</v>
      </c>
      <c r="D96" s="128" t="s">
        <v>42</v>
      </c>
      <c r="E96" s="33" t="n">
        <f aca="false">IF(D96="totale",(C96/(A96*24))/F96,IF(D96="marché libre",(C96/(A96*24))/G96,"spécifier histo"))</f>
        <v>0.647668850806452</v>
      </c>
      <c r="F96" s="57" t="n">
        <v>320</v>
      </c>
      <c r="G96" s="57" t="n">
        <f aca="false">F96-H96</f>
        <v>320</v>
      </c>
      <c r="H96" s="9" t="n">
        <f aca="false">0</f>
        <v>0</v>
      </c>
      <c r="I96" s="9"/>
      <c r="J96" s="205"/>
    </row>
    <row r="97" s="1" customFormat="true" ht="22" hidden="false" customHeight="true" outlineLevel="0" collapsed="false">
      <c r="A97" s="0" t="n">
        <v>30</v>
      </c>
      <c r="B97" s="31" t="n">
        <v>39539</v>
      </c>
      <c r="C97" s="56" t="n">
        <v>140765</v>
      </c>
      <c r="D97" s="128" t="s">
        <v>42</v>
      </c>
      <c r="E97" s="33" t="n">
        <f aca="false">IF(D97="totale",(C97/(A97*24))/F97,IF(D97="marché libre",(C97/(A97*24))/G97,"spécifier histo"))</f>
        <v>0.610959201388889</v>
      </c>
      <c r="F97" s="57" t="n">
        <v>320</v>
      </c>
      <c r="G97" s="57" t="n">
        <f aca="false">F97-H97</f>
        <v>320</v>
      </c>
      <c r="H97" s="9" t="n">
        <f aca="false">0</f>
        <v>0</v>
      </c>
      <c r="I97" s="9"/>
      <c r="J97" s="205"/>
    </row>
    <row r="98" s="1" customFormat="true" ht="22" hidden="false" customHeight="true" outlineLevel="0" collapsed="false">
      <c r="A98" s="0" t="n">
        <v>31</v>
      </c>
      <c r="B98" s="34" t="n">
        <v>39569</v>
      </c>
      <c r="C98" s="56" t="n">
        <v>159328</v>
      </c>
      <c r="D98" s="128" t="s">
        <v>42</v>
      </c>
      <c r="E98" s="33" t="n">
        <f aca="false">IF(D98="totale",(C98/(A98*24))/F98,IF(D98="marché libre",(C98/(A98*24))/G98,"spécifier histo"))</f>
        <v>0.669220430107527</v>
      </c>
      <c r="F98" s="57" t="n">
        <v>320</v>
      </c>
      <c r="G98" s="57" t="n">
        <f aca="false">F98-H98</f>
        <v>320</v>
      </c>
      <c r="H98" s="9" t="n">
        <f aca="false">0</f>
        <v>0</v>
      </c>
      <c r="I98" s="9"/>
      <c r="J98" s="205"/>
    </row>
    <row r="99" s="1" customFormat="true" ht="22" hidden="false" customHeight="true" outlineLevel="0" collapsed="false">
      <c r="A99" s="0" t="n">
        <v>30</v>
      </c>
      <c r="B99" s="31" t="n">
        <v>39600</v>
      </c>
      <c r="C99" s="56" t="n">
        <v>150645</v>
      </c>
      <c r="D99" s="128" t="s">
        <v>42</v>
      </c>
      <c r="E99" s="33" t="n">
        <f aca="false">IF(D99="totale",(C99/(A99*24))/F99,IF(D99="marché libre",(C99/(A99*24))/G99,"spécifier histo"))</f>
        <v>0.653841145833333</v>
      </c>
      <c r="F99" s="57" t="n">
        <v>320</v>
      </c>
      <c r="G99" s="57" t="n">
        <f aca="false">F99-H99</f>
        <v>320</v>
      </c>
      <c r="H99" s="9" t="n">
        <f aca="false">0</f>
        <v>0</v>
      </c>
      <c r="I99" s="9"/>
      <c r="J99" s="205"/>
    </row>
    <row r="100" s="1" customFormat="true" ht="22" hidden="false" customHeight="true" outlineLevel="0" collapsed="false">
      <c r="A100" s="0" t="n">
        <v>31</v>
      </c>
      <c r="B100" s="34" t="n">
        <v>39630</v>
      </c>
      <c r="C100" s="56" t="n">
        <v>108862</v>
      </c>
      <c r="D100" s="128" t="s">
        <v>42</v>
      </c>
      <c r="E100" s="33" t="n">
        <f aca="false">IF(D100="totale",(C100/(A100*24))/F100,IF(D100="marché libre",(C100/(A100*24))/G100,"spécifier histo"))</f>
        <v>0.457249663978495</v>
      </c>
      <c r="F100" s="57" t="n">
        <v>320</v>
      </c>
      <c r="G100" s="57" t="n">
        <f aca="false">F100-H100</f>
        <v>320</v>
      </c>
      <c r="H100" s="9" t="n">
        <f aca="false">0</f>
        <v>0</v>
      </c>
      <c r="I100" s="9"/>
      <c r="J100" s="205"/>
    </row>
    <row r="101" s="1" customFormat="true" ht="22" hidden="false" customHeight="true" outlineLevel="0" collapsed="false">
      <c r="A101" s="0" t="n">
        <v>31</v>
      </c>
      <c r="B101" s="31" t="n">
        <v>39661</v>
      </c>
      <c r="C101" s="56" t="n">
        <v>79435</v>
      </c>
      <c r="D101" s="128" t="s">
        <v>42</v>
      </c>
      <c r="E101" s="33" t="n">
        <f aca="false">IF(D101="totale",(C101/(A101*24))/F101,IF(D101="marché libre",(C101/(A101*24))/G101,"spécifier histo"))</f>
        <v>0.333648353494624</v>
      </c>
      <c r="F101" s="57" t="n">
        <v>320</v>
      </c>
      <c r="G101" s="57" t="n">
        <f aca="false">F101-H101</f>
        <v>320</v>
      </c>
      <c r="H101" s="9" t="n">
        <f aca="false">0</f>
        <v>0</v>
      </c>
      <c r="I101" s="9"/>
      <c r="J101" s="205"/>
    </row>
    <row r="102" s="1" customFormat="true" ht="22" hidden="false" customHeight="true" outlineLevel="0" collapsed="false">
      <c r="A102" s="0" t="n">
        <v>30</v>
      </c>
      <c r="B102" s="34" t="n">
        <v>39692</v>
      </c>
      <c r="C102" s="56" t="n">
        <v>82628</v>
      </c>
      <c r="D102" s="128" t="s">
        <v>42</v>
      </c>
      <c r="E102" s="33" t="n">
        <f aca="false">IF(D102="totale",(C102/(A102*24))/F102,IF(D102="marché libre",(C102/(A102*24))/G102,"spécifier histo"))</f>
        <v>0.358628472222222</v>
      </c>
      <c r="F102" s="57" t="n">
        <v>320</v>
      </c>
      <c r="G102" s="57" t="n">
        <f aca="false">F102-H102</f>
        <v>320</v>
      </c>
      <c r="H102" s="9" t="n">
        <f aca="false">0</f>
        <v>0</v>
      </c>
      <c r="I102" s="9"/>
      <c r="J102" s="205"/>
    </row>
    <row r="103" s="1" customFormat="true" ht="22" hidden="false" customHeight="true" outlineLevel="0" collapsed="false">
      <c r="A103" s="0" t="n">
        <v>31</v>
      </c>
      <c r="B103" s="31" t="n">
        <v>39722</v>
      </c>
      <c r="C103" s="56" t="n">
        <v>81321</v>
      </c>
      <c r="D103" s="128" t="s">
        <v>42</v>
      </c>
      <c r="E103" s="33" t="n">
        <f aca="false">IF(D103="totale",(C103/(A103*24))/F103,IF(D103="marché libre",(C103/(A103*24))/G103,"spécifier histo"))</f>
        <v>0.341570060483871</v>
      </c>
      <c r="F103" s="57" t="n">
        <v>320</v>
      </c>
      <c r="G103" s="57" t="n">
        <f aca="false">F103-H103</f>
        <v>320</v>
      </c>
      <c r="H103" s="9" t="n">
        <f aca="false">0</f>
        <v>0</v>
      </c>
      <c r="I103" s="9"/>
      <c r="J103" s="205"/>
    </row>
    <row r="104" s="1" customFormat="true" ht="22" hidden="false" customHeight="true" outlineLevel="0" collapsed="false">
      <c r="A104" s="0" t="n">
        <v>30</v>
      </c>
      <c r="B104" s="31" t="n">
        <v>39753</v>
      </c>
      <c r="C104" s="56" t="n">
        <v>142354</v>
      </c>
      <c r="D104" s="128" t="s">
        <v>42</v>
      </c>
      <c r="E104" s="33" t="n">
        <f aca="false">IF(D104="totale",(C104/(A104*24))/F104,IF(D104="marché libre",(C104/(A104*24))/G104,"spécifier histo"))</f>
        <v>0.617855902777778</v>
      </c>
      <c r="F104" s="57" t="n">
        <v>320</v>
      </c>
      <c r="G104" s="57" t="n">
        <f aca="false">F104-H104</f>
        <v>320</v>
      </c>
      <c r="H104" s="9" t="n">
        <f aca="false">0</f>
        <v>0</v>
      </c>
      <c r="I104" s="9"/>
      <c r="J104" s="205"/>
    </row>
    <row r="105" s="1" customFormat="true" ht="22" hidden="false" customHeight="true" outlineLevel="0" collapsed="false">
      <c r="A105" s="0" t="n">
        <v>31</v>
      </c>
      <c r="B105" s="34" t="n">
        <v>39783</v>
      </c>
      <c r="C105" s="56" t="n">
        <v>108217</v>
      </c>
      <c r="D105" s="128" t="s">
        <v>42</v>
      </c>
      <c r="E105" s="33" t="n">
        <f aca="false">IF(D105="totale",(C105/(A105*24))/F105,IF(D105="marché libre",(C105/(A105*24))/G105,"spécifier histo"))</f>
        <v>0.454540490591398</v>
      </c>
      <c r="F105" s="57" t="n">
        <v>320</v>
      </c>
      <c r="G105" s="57" t="n">
        <f aca="false">F105-H105</f>
        <v>320</v>
      </c>
      <c r="H105" s="9" t="n">
        <f aca="false">0</f>
        <v>0</v>
      </c>
      <c r="I105" s="9"/>
      <c r="J105" s="205"/>
    </row>
    <row r="106" s="1" customFormat="true" ht="22" hidden="false" customHeight="true" outlineLevel="0" collapsed="false">
      <c r="A106" s="0" t="n">
        <v>31</v>
      </c>
      <c r="B106" s="31" t="n">
        <v>39814</v>
      </c>
      <c r="C106" s="56" t="n">
        <v>136484</v>
      </c>
      <c r="D106" s="128" t="s">
        <v>42</v>
      </c>
      <c r="E106" s="33" t="n">
        <f aca="false">IF(D106="totale",(C106/(A106*24))/F106,IF(D106="marché libre",(C106/(A106*24))/G106,"spécifier histo"))</f>
        <v>0.573269489247312</v>
      </c>
      <c r="F106" s="57" t="n">
        <v>320</v>
      </c>
      <c r="G106" s="57" t="n">
        <f aca="false">F106-H106</f>
        <v>320</v>
      </c>
      <c r="H106" s="9" t="n">
        <f aca="false">0</f>
        <v>0</v>
      </c>
      <c r="I106" s="9"/>
      <c r="J106" s="205"/>
    </row>
    <row r="107" s="1" customFormat="true" ht="22" hidden="false" customHeight="true" outlineLevel="0" collapsed="false">
      <c r="A107" s="0" t="n">
        <v>28</v>
      </c>
      <c r="B107" s="34" t="n">
        <v>39845</v>
      </c>
      <c r="C107" s="56" t="n">
        <v>153354</v>
      </c>
      <c r="D107" s="128" t="s">
        <v>42</v>
      </c>
      <c r="E107" s="33" t="n">
        <f aca="false">IF(D107="totale",(C107/(A107*24))/F107,IF(D107="marché libre",(C107/(A107*24))/G107,"spécifier histo"))</f>
        <v>0.713141741071429</v>
      </c>
      <c r="F107" s="57" t="n">
        <v>320</v>
      </c>
      <c r="G107" s="57" t="n">
        <f aca="false">F107-H107</f>
        <v>320</v>
      </c>
      <c r="H107" s="9" t="n">
        <f aca="false">0</f>
        <v>0</v>
      </c>
      <c r="I107" s="9"/>
      <c r="J107" s="205"/>
    </row>
    <row r="108" s="1" customFormat="true" ht="22" hidden="false" customHeight="true" outlineLevel="0" collapsed="false">
      <c r="A108" s="0" t="n">
        <v>31</v>
      </c>
      <c r="B108" s="31" t="n">
        <v>39873</v>
      </c>
      <c r="C108" s="56" t="n">
        <v>190175</v>
      </c>
      <c r="D108" s="128" t="s">
        <v>42</v>
      </c>
      <c r="E108" s="33" t="n">
        <f aca="false">IF(D108="totale",(C108/(A108*24))/F108,IF(D108="marché libre",(C108/(A108*24))/G108,"spécifier histo"))</f>
        <v>0.798786122311828</v>
      </c>
      <c r="F108" s="57" t="n">
        <v>320</v>
      </c>
      <c r="G108" s="57" t="n">
        <f aca="false">F108-H108</f>
        <v>320</v>
      </c>
      <c r="H108" s="9" t="n">
        <f aca="false">0</f>
        <v>0</v>
      </c>
      <c r="I108" s="9"/>
      <c r="J108" s="205"/>
    </row>
    <row r="109" s="1" customFormat="true" ht="22" hidden="false" customHeight="true" outlineLevel="0" collapsed="false">
      <c r="A109" s="0" t="n">
        <v>30</v>
      </c>
      <c r="B109" s="34" t="n">
        <v>39904</v>
      </c>
      <c r="C109" s="56" t="n">
        <v>145412</v>
      </c>
      <c r="D109" s="128" t="s">
        <v>42</v>
      </c>
      <c r="E109" s="33" t="n">
        <f aca="false">IF(D109="totale",(C109/(A109*24))/F109,IF(D109="marché libre",(C109/(A109*24))/G109,"spécifier histo"))</f>
        <v>0.631128472222222</v>
      </c>
      <c r="F109" s="57" t="n">
        <v>320</v>
      </c>
      <c r="G109" s="57" t="n">
        <f aca="false">F109-H109</f>
        <v>320</v>
      </c>
      <c r="H109" s="9" t="n">
        <f aca="false">0</f>
        <v>0</v>
      </c>
      <c r="I109" s="9"/>
      <c r="J109" s="205"/>
    </row>
    <row r="110" s="1" customFormat="true" ht="22" hidden="false" customHeight="true" outlineLevel="0" collapsed="false">
      <c r="A110" s="0" t="n">
        <v>31</v>
      </c>
      <c r="B110" s="31" t="n">
        <v>39934</v>
      </c>
      <c r="C110" s="56" t="n">
        <v>155086</v>
      </c>
      <c r="D110" s="128" t="s">
        <v>42</v>
      </c>
      <c r="E110" s="33" t="n">
        <f aca="false">IF(D110="totale",(C110/(A110*24))/F110,IF(D110="marché libre",(C110/(A110*24))/G110,"spécifier histo"))</f>
        <v>0.651402889784946</v>
      </c>
      <c r="F110" s="57" t="n">
        <v>320</v>
      </c>
      <c r="G110" s="57" t="n">
        <f aca="false">F110-H110</f>
        <v>320</v>
      </c>
      <c r="H110" s="9" t="n">
        <f aca="false">0</f>
        <v>0</v>
      </c>
      <c r="I110" s="9"/>
      <c r="J110" s="205"/>
    </row>
    <row r="111" s="1" customFormat="true" ht="22" hidden="false" customHeight="true" outlineLevel="0" collapsed="false">
      <c r="A111" s="0" t="n">
        <v>30</v>
      </c>
      <c r="B111" s="31" t="n">
        <v>39965</v>
      </c>
      <c r="C111" s="56" t="n">
        <v>112781</v>
      </c>
      <c r="D111" s="128" t="s">
        <v>42</v>
      </c>
      <c r="E111" s="33" t="n">
        <f aca="false">IF(D111="totale",(C111/(A111*24))/F111,IF(D111="marché libre",(C111/(A111*24))/G111,"spécifier histo"))</f>
        <v>0.489500868055556</v>
      </c>
      <c r="F111" s="57" t="n">
        <v>320</v>
      </c>
      <c r="G111" s="57" t="n">
        <f aca="false">F111-H111</f>
        <v>320</v>
      </c>
      <c r="H111" s="9" t="n">
        <f aca="false">0</f>
        <v>0</v>
      </c>
      <c r="I111" s="9"/>
      <c r="J111" s="205"/>
    </row>
    <row r="112" s="1" customFormat="true" ht="22" hidden="false" customHeight="true" outlineLevel="0" collapsed="false">
      <c r="A112" s="0" t="n">
        <v>31</v>
      </c>
      <c r="B112" s="34" t="n">
        <v>39995</v>
      </c>
      <c r="C112" s="56" t="n">
        <v>52800</v>
      </c>
      <c r="D112" s="128" t="s">
        <v>42</v>
      </c>
      <c r="E112" s="33" t="n">
        <f aca="false">IF(D112="totale",(C111/(A112*24))/F112,IF(D112="marché libre",(C111/(A112*24))/G112,"spécifier histo"))</f>
        <v>0.473710517473118</v>
      </c>
      <c r="F112" s="57" t="n">
        <v>320</v>
      </c>
      <c r="G112" s="57" t="n">
        <f aca="false">F112-H112</f>
        <v>320</v>
      </c>
      <c r="H112" s="9" t="n">
        <f aca="false">0</f>
        <v>0</v>
      </c>
      <c r="I112" s="9"/>
      <c r="J112" s="205"/>
    </row>
    <row r="113" s="1" customFormat="true" ht="22" hidden="false" customHeight="true" outlineLevel="0" collapsed="false">
      <c r="A113" s="0" t="n">
        <v>31</v>
      </c>
      <c r="B113" s="31" t="n">
        <v>40026</v>
      </c>
      <c r="C113" s="56" t="n">
        <v>28371</v>
      </c>
      <c r="D113" s="128" t="s">
        <v>42</v>
      </c>
      <c r="E113" s="33" t="n">
        <f aca="false">IF(D113="totale",(C112/(A113*24))/F113,IF(D113="marché libre",(C112/(A113*24))/G113,"spécifier histo"))</f>
        <v>0.221774193548387</v>
      </c>
      <c r="F113" s="57" t="n">
        <v>320</v>
      </c>
      <c r="G113" s="57" t="n">
        <f aca="false">F113-H113</f>
        <v>320</v>
      </c>
      <c r="H113" s="9" t="n">
        <f aca="false">0</f>
        <v>0</v>
      </c>
      <c r="I113" s="9"/>
      <c r="J113" s="205"/>
    </row>
    <row r="114" s="1" customFormat="true" ht="22" hidden="false" customHeight="true" outlineLevel="0" collapsed="false">
      <c r="A114" s="0" t="n">
        <v>30</v>
      </c>
      <c r="B114" s="34" t="n">
        <v>40057</v>
      </c>
      <c r="C114" s="56" t="n">
        <v>12484</v>
      </c>
      <c r="D114" s="128" t="s">
        <v>42</v>
      </c>
      <c r="E114" s="33" t="n">
        <f aca="false">IF(D114="totale",(C113/(A114*24))/F114,IF(D114="marché libre",(C113/(A114*24))/G114,"spécifier histo"))</f>
        <v>0.123138020833333</v>
      </c>
      <c r="F114" s="57" t="n">
        <v>320</v>
      </c>
      <c r="G114" s="57" t="n">
        <f aca="false">F114-H114</f>
        <v>320</v>
      </c>
      <c r="H114" s="9" t="n">
        <f aca="false">0</f>
        <v>0</v>
      </c>
      <c r="I114" s="9"/>
      <c r="J114" s="205"/>
    </row>
    <row r="115" s="1" customFormat="true" ht="22" hidden="false" customHeight="true" outlineLevel="0" collapsed="false">
      <c r="A115" s="0" t="n">
        <v>31</v>
      </c>
      <c r="B115" s="31" t="n">
        <v>40087</v>
      </c>
      <c r="C115" s="56" t="n">
        <v>30041</v>
      </c>
      <c r="D115" s="128" t="s">
        <v>42</v>
      </c>
      <c r="E115" s="33" t="n">
        <f aca="false">IF(D115="totale",(C114/(A115*24))/F115,IF(D115="marché libre",(C114/(A115*24))/G115,"spécifier histo"))</f>
        <v>0.0524361559139785</v>
      </c>
      <c r="F115" s="57" t="n">
        <v>320</v>
      </c>
      <c r="G115" s="57" t="n">
        <f aca="false">F115-H115</f>
        <v>320</v>
      </c>
      <c r="H115" s="9" t="n">
        <f aca="false">0</f>
        <v>0</v>
      </c>
      <c r="I115" s="9"/>
      <c r="J115" s="205"/>
    </row>
    <row r="116" s="1" customFormat="true" ht="22" hidden="false" customHeight="true" outlineLevel="0" collapsed="false">
      <c r="A116" s="0" t="n">
        <v>30</v>
      </c>
      <c r="B116" s="34" t="n">
        <v>40118</v>
      </c>
      <c r="C116" s="56" t="n">
        <v>108482</v>
      </c>
      <c r="D116" s="128" t="s">
        <v>42</v>
      </c>
      <c r="E116" s="33" t="n">
        <f aca="false">IF(D116="totale",(C115/(A116*24))/F116,IF(D116="marché libre",(C115/(A116*24))/G116,"spécifier histo"))</f>
        <v>0.130386284722222</v>
      </c>
      <c r="F116" s="57" t="n">
        <v>320</v>
      </c>
      <c r="G116" s="57" t="n">
        <f aca="false">F116-H116</f>
        <v>320</v>
      </c>
      <c r="H116" s="9" t="n">
        <f aca="false">0</f>
        <v>0</v>
      </c>
      <c r="I116" s="9"/>
      <c r="J116" s="205"/>
    </row>
    <row r="117" s="1" customFormat="true" ht="22" hidden="false" customHeight="true" outlineLevel="0" collapsed="false">
      <c r="A117" s="0" t="n">
        <v>31</v>
      </c>
      <c r="B117" s="31" t="n">
        <v>40148</v>
      </c>
      <c r="C117" s="56" t="n">
        <v>143372</v>
      </c>
      <c r="D117" s="128" t="s">
        <v>42</v>
      </c>
      <c r="E117" s="33" t="n">
        <f aca="false">IF(D117="totale",(C116/(A117*24))/F117,IF(D117="marché libre",(C116/(A117*24))/G117,"spécifier histo"))</f>
        <v>0.455653561827957</v>
      </c>
      <c r="F117" s="57" t="n">
        <v>320</v>
      </c>
      <c r="G117" s="57" t="n">
        <f aca="false">F117-H117</f>
        <v>320</v>
      </c>
      <c r="H117" s="9" t="n">
        <f aca="false">0</f>
        <v>0</v>
      </c>
      <c r="I117" s="9"/>
      <c r="J117" s="205"/>
    </row>
    <row r="118" s="1" customFormat="true" ht="22" hidden="false" customHeight="true" outlineLevel="0" collapsed="false">
      <c r="A118" s="0" t="n">
        <v>31</v>
      </c>
      <c r="B118" s="31" t="n">
        <v>40179</v>
      </c>
      <c r="C118" s="26" t="n">
        <v>96251</v>
      </c>
      <c r="D118" s="128" t="s">
        <v>42</v>
      </c>
      <c r="E118" s="33" t="n">
        <f aca="false">IF(D118="totale",(C117/(A118*24))/F118,IF(D118="marché libre",(C117/(A118*24))/G118,"spécifier histo"))</f>
        <v>0.602200940860215</v>
      </c>
      <c r="F118" s="57" t="n">
        <v>320</v>
      </c>
      <c r="G118" s="57" t="n">
        <f aca="false">F118-H118</f>
        <v>320</v>
      </c>
      <c r="H118" s="9" t="n">
        <f aca="false">0</f>
        <v>0</v>
      </c>
      <c r="I118" s="9"/>
      <c r="J118" s="205"/>
    </row>
    <row r="119" s="1" customFormat="true" ht="22" hidden="false" customHeight="true" outlineLevel="0" collapsed="false">
      <c r="A119" s="0" t="n">
        <v>28</v>
      </c>
      <c r="B119" s="34" t="n">
        <v>40210</v>
      </c>
      <c r="C119" s="56" t="n">
        <v>133908</v>
      </c>
      <c r="D119" s="128" t="s">
        <v>42</v>
      </c>
      <c r="E119" s="33" t="n">
        <f aca="false">IF(D119="totale",(C119/(A119*24))/F119,IF(D119="marché libre",(C119/(A119*24))/G119,"spécifier histo"))</f>
        <v>0.622712053571429</v>
      </c>
      <c r="F119" s="57" t="n">
        <v>320</v>
      </c>
      <c r="G119" s="57" t="n">
        <f aca="false">F119-H119</f>
        <v>320</v>
      </c>
      <c r="H119" s="9" t="n">
        <f aca="false">0</f>
        <v>0</v>
      </c>
      <c r="I119" s="9"/>
      <c r="J119" s="205"/>
    </row>
    <row r="120" s="1" customFormat="true" ht="22" hidden="false" customHeight="true" outlineLevel="0" collapsed="false">
      <c r="A120" s="0" t="n">
        <v>31</v>
      </c>
      <c r="B120" s="31" t="n">
        <v>40238</v>
      </c>
      <c r="C120" s="56" t="n">
        <v>181502</v>
      </c>
      <c r="D120" s="128" t="s">
        <v>42</v>
      </c>
      <c r="E120" s="33" t="n">
        <f aca="false">IF(D120="totale",(C120/(A120*24))/F120,IF(D120="marché libre",(C120/(A120*24))/G120,"spécifier histo"))</f>
        <v>0.762357190860215</v>
      </c>
      <c r="F120" s="57" t="n">
        <v>320</v>
      </c>
      <c r="G120" s="57" t="n">
        <f aca="false">F120-H120</f>
        <v>320</v>
      </c>
      <c r="H120" s="9" t="n">
        <f aca="false">0</f>
        <v>0</v>
      </c>
      <c r="I120" s="9"/>
      <c r="J120" s="205"/>
    </row>
    <row r="121" s="1" customFormat="true" ht="22" hidden="false" customHeight="true" outlineLevel="0" collapsed="false">
      <c r="A121" s="0" t="n">
        <v>30</v>
      </c>
      <c r="B121" s="34" t="n">
        <v>40269</v>
      </c>
      <c r="C121" s="56" t="n">
        <v>172501</v>
      </c>
      <c r="D121" s="128" t="s">
        <v>42</v>
      </c>
      <c r="E121" s="33" t="n">
        <f aca="false">IF(D121="totale",(C121/(A121*24))/F121,IF(D121="marché libre",(C121/(A121*24))/G121,"spécifier histo"))</f>
        <v>0.748702256944444</v>
      </c>
      <c r="F121" s="57" t="n">
        <v>320</v>
      </c>
      <c r="G121" s="57" t="n">
        <f aca="false">F121-H121</f>
        <v>320</v>
      </c>
      <c r="H121" s="9" t="n">
        <f aca="false">0</f>
        <v>0</v>
      </c>
      <c r="I121" s="9"/>
      <c r="J121" s="205"/>
    </row>
    <row r="122" s="1" customFormat="true" ht="22" hidden="false" customHeight="true" outlineLevel="0" collapsed="false">
      <c r="A122" s="0" t="n">
        <v>31</v>
      </c>
      <c r="B122" s="31" t="n">
        <v>40299</v>
      </c>
      <c r="C122" s="56" t="n">
        <v>136927</v>
      </c>
      <c r="D122" s="128" t="s">
        <v>42</v>
      </c>
      <c r="E122" s="33" t="n">
        <f aca="false">IF(D122="totale",(C122/(A122*24))/F122,IF(D122="marché libre",(C122/(A122*24))/G122,"spécifier histo"))</f>
        <v>0.575130208333333</v>
      </c>
      <c r="F122" s="57" t="n">
        <v>320</v>
      </c>
      <c r="G122" s="57" t="n">
        <f aca="false">F122-H122</f>
        <v>320</v>
      </c>
      <c r="H122" s="9" t="n">
        <f aca="false">0</f>
        <v>0</v>
      </c>
      <c r="I122" s="9"/>
      <c r="J122" s="205"/>
    </row>
    <row r="123" s="1" customFormat="true" ht="22" hidden="false" customHeight="true" outlineLevel="0" collapsed="false">
      <c r="A123" s="0" t="n">
        <v>30</v>
      </c>
      <c r="B123" s="34" t="n">
        <v>40330</v>
      </c>
      <c r="C123" s="56" t="n">
        <v>112779</v>
      </c>
      <c r="D123" s="128" t="s">
        <v>42</v>
      </c>
      <c r="E123" s="33" t="n">
        <f aca="false">IF(D123="totale",(C123/(A123*24))/F123,IF(D123="marché libre",(C123/(A123*24))/G123,"spécifier histo"))</f>
        <v>0.4894921875</v>
      </c>
      <c r="F123" s="57" t="n">
        <v>320</v>
      </c>
      <c r="G123" s="57" t="n">
        <f aca="false">F123-H123</f>
        <v>320</v>
      </c>
      <c r="H123" s="9" t="n">
        <f aca="false">0</f>
        <v>0</v>
      </c>
      <c r="I123" s="9"/>
      <c r="J123" s="205"/>
    </row>
    <row r="124" s="1" customFormat="true" ht="25" hidden="false" customHeight="true" outlineLevel="0" collapsed="false">
      <c r="A124" s="0" t="n">
        <v>31</v>
      </c>
      <c r="B124" s="31" t="n">
        <v>40360</v>
      </c>
      <c r="C124" s="56" t="n">
        <v>56284</v>
      </c>
      <c r="D124" s="128" t="s">
        <v>42</v>
      </c>
      <c r="E124" s="33" t="n">
        <f aca="false">IF(D124="totale",(C124/(A124*24))/F124,IF(D124="marché libre",(C124/(A124*24))/G124,"spécifier histo"))</f>
        <v>0.236407930107527</v>
      </c>
      <c r="F124" s="57" t="n">
        <v>320</v>
      </c>
      <c r="G124" s="57" t="n">
        <f aca="false">F124-H124</f>
        <v>320</v>
      </c>
      <c r="H124" s="9" t="n">
        <f aca="false">0</f>
        <v>0</v>
      </c>
      <c r="I124" s="9"/>
      <c r="J124" s="205"/>
    </row>
    <row r="125" s="1" customFormat="true" ht="25" hidden="false" customHeight="true" outlineLevel="0" collapsed="false">
      <c r="A125" s="0" t="n">
        <v>31</v>
      </c>
      <c r="B125" s="31" t="n">
        <v>40391</v>
      </c>
      <c r="C125" s="56" t="n">
        <v>16194</v>
      </c>
      <c r="D125" s="128" t="s">
        <v>42</v>
      </c>
      <c r="E125" s="33" t="n">
        <f aca="false">IF(D125="totale",(C125/(A125*24))/F125,IF(D125="marché libre",(C125/(A125*24))/G125,"spécifier histo"))</f>
        <v>0.0680191532258065</v>
      </c>
      <c r="F125" s="57" t="n">
        <v>320</v>
      </c>
      <c r="G125" s="57" t="n">
        <f aca="false">F125-H125</f>
        <v>320</v>
      </c>
      <c r="H125" s="9" t="n">
        <f aca="false">0</f>
        <v>0</v>
      </c>
      <c r="I125" s="9"/>
      <c r="J125" s="205"/>
    </row>
    <row r="126" s="1" customFormat="true" ht="25" hidden="false" customHeight="true" outlineLevel="0" collapsed="false">
      <c r="A126" s="0" t="n">
        <v>30</v>
      </c>
      <c r="B126" s="34" t="n">
        <v>40422</v>
      </c>
      <c r="C126" s="56" t="n">
        <v>0</v>
      </c>
      <c r="D126" s="128" t="s">
        <v>42</v>
      </c>
      <c r="E126" s="33" t="n">
        <f aca="false">IF(D126="totale",(C126/(A126*24))/F126,IF(D126="marché libre",(C126/(A126*24))/G126,"spécifier histo"))</f>
        <v>0</v>
      </c>
      <c r="F126" s="57" t="n">
        <v>320</v>
      </c>
      <c r="G126" s="57" t="n">
        <f aca="false">F126-H126</f>
        <v>320</v>
      </c>
      <c r="H126" s="9" t="n">
        <f aca="false">0</f>
        <v>0</v>
      </c>
      <c r="I126" s="9"/>
      <c r="J126" s="205"/>
    </row>
    <row r="127" s="1" customFormat="true" ht="25" hidden="false" customHeight="true" outlineLevel="0" collapsed="false">
      <c r="A127" s="0" t="n">
        <v>31</v>
      </c>
      <c r="B127" s="31" t="n">
        <v>40452</v>
      </c>
      <c r="C127" s="56" t="n">
        <v>5540</v>
      </c>
      <c r="D127" s="128" t="s">
        <v>42</v>
      </c>
      <c r="E127" s="33" t="n">
        <f aca="false">IF(D127="totale",(C127/(A127*24))/F127,IF(D127="marché libre",(C127/(A127*24))/G127,"spécifier histo"))</f>
        <v>0.0232694892473118</v>
      </c>
      <c r="F127" s="57" t="n">
        <v>320</v>
      </c>
      <c r="G127" s="57" t="n">
        <f aca="false">F127-H127</f>
        <v>320</v>
      </c>
      <c r="H127" s="9" t="n">
        <f aca="false">0</f>
        <v>0</v>
      </c>
      <c r="I127" s="9"/>
      <c r="J127" s="205"/>
    </row>
    <row r="128" s="1" customFormat="true" ht="25" hidden="false" customHeight="true" outlineLevel="0" collapsed="false">
      <c r="A128" s="0" t="n">
        <v>30</v>
      </c>
      <c r="B128" s="34" t="n">
        <v>40483</v>
      </c>
      <c r="C128" s="56" t="n">
        <v>80614</v>
      </c>
      <c r="D128" s="128" t="s">
        <v>42</v>
      </c>
      <c r="E128" s="33" t="n">
        <f aca="false">IF(D128="totale",(C128/(A128*24))/F128,IF(D128="marché libre",(C128/(A128*24))/G128,"spécifier histo"))</f>
        <v>0.349887152777778</v>
      </c>
      <c r="F128" s="57" t="n">
        <v>320</v>
      </c>
      <c r="G128" s="57" t="n">
        <f aca="false">F128-H128</f>
        <v>320</v>
      </c>
      <c r="H128" s="9" t="n">
        <f aca="false">0</f>
        <v>0</v>
      </c>
      <c r="I128" s="9"/>
      <c r="J128" s="205"/>
    </row>
    <row r="129" s="1" customFormat="true" ht="25" hidden="false" customHeight="true" outlineLevel="0" collapsed="false">
      <c r="A129" s="0" t="n">
        <v>31</v>
      </c>
      <c r="B129" s="31" t="n">
        <v>40513</v>
      </c>
      <c r="C129" s="56" t="n">
        <v>122701</v>
      </c>
      <c r="D129" s="128" t="s">
        <v>42</v>
      </c>
      <c r="E129" s="33" t="n">
        <f aca="false">IF(D129="totale",(C129/(A129*24))/F129,IF(D129="marché libre",(C129/(A129*24))/G129,"spécifier histo"))</f>
        <v>0.515377184139785</v>
      </c>
      <c r="F129" s="57" t="n">
        <v>320</v>
      </c>
      <c r="G129" s="57" t="n">
        <f aca="false">F129-H129</f>
        <v>320</v>
      </c>
      <c r="H129" s="9" t="n">
        <f aca="false">0</f>
        <v>0</v>
      </c>
      <c r="I129" s="9"/>
      <c r="J129" s="205"/>
    </row>
    <row r="130" s="1" customFormat="true" ht="25" hidden="false" customHeight="true" outlineLevel="0" collapsed="false">
      <c r="A130" s="0" t="n">
        <v>31</v>
      </c>
      <c r="B130" s="34" t="n">
        <v>40544</v>
      </c>
      <c r="C130" s="56" t="n">
        <v>184306</v>
      </c>
      <c r="D130" s="128" t="s">
        <v>42</v>
      </c>
      <c r="E130" s="33" t="n">
        <f aca="false">IF(D130="totale",(C130/(A130*24))/F130,IF(D130="marché libre",(C130/(A130*24))/G130,"spécifier histo"))</f>
        <v>0.774134744623656</v>
      </c>
      <c r="F130" s="57" t="n">
        <v>320</v>
      </c>
      <c r="G130" s="57" t="n">
        <f aca="false">F130-H130</f>
        <v>320</v>
      </c>
      <c r="H130" s="9" t="n">
        <f aca="false">0</f>
        <v>0</v>
      </c>
      <c r="I130" s="9"/>
      <c r="J130" s="205"/>
    </row>
    <row r="131" s="1" customFormat="true" ht="25" hidden="false" customHeight="true" outlineLevel="0" collapsed="false">
      <c r="A131" s="0" t="n">
        <v>28</v>
      </c>
      <c r="B131" s="31" t="n">
        <v>40575</v>
      </c>
      <c r="C131" s="56" t="n">
        <v>168358</v>
      </c>
      <c r="D131" s="128" t="s">
        <v>42</v>
      </c>
      <c r="E131" s="33" t="n">
        <f aca="false">IF(D131="totale",(C131/(A131*24))/F131,IF(D131="marché libre",(C131/(A131*24))/G131,"spécifier histo"))</f>
        <v>0.782914806547619</v>
      </c>
      <c r="F131" s="57" t="n">
        <v>320</v>
      </c>
      <c r="G131" s="57" t="n">
        <f aca="false">F131-H131</f>
        <v>320</v>
      </c>
      <c r="H131" s="9" t="n">
        <f aca="false">0</f>
        <v>0</v>
      </c>
      <c r="I131" s="9"/>
      <c r="J131" s="205"/>
    </row>
    <row r="132" s="1" customFormat="true" ht="25" hidden="false" customHeight="true" outlineLevel="0" collapsed="false">
      <c r="A132" s="0" t="n">
        <v>31</v>
      </c>
      <c r="B132" s="31" t="n">
        <v>40603</v>
      </c>
      <c r="C132" s="56" t="n">
        <v>159843</v>
      </c>
      <c r="D132" s="128" t="s">
        <v>42</v>
      </c>
      <c r="E132" s="33" t="n">
        <f aca="false">IF(D132="totale",(C132/(A132*24))/F132,IF(D132="marché libre",(C132/(A132*24))/G132,"spécifier histo"))</f>
        <v>0.671383568548387</v>
      </c>
      <c r="F132" s="57" t="n">
        <v>320</v>
      </c>
      <c r="G132" s="57" t="n">
        <f aca="false">F132-H132</f>
        <v>320</v>
      </c>
      <c r="H132" s="9" t="n">
        <f aca="false">0</f>
        <v>0</v>
      </c>
      <c r="I132" s="9"/>
      <c r="J132" s="205"/>
    </row>
    <row r="133" s="1" customFormat="true" ht="25" hidden="false" customHeight="true" outlineLevel="0" collapsed="false">
      <c r="A133" s="0" t="n">
        <v>30</v>
      </c>
      <c r="B133" s="34" t="n">
        <v>40634</v>
      </c>
      <c r="C133" s="56" t="n">
        <v>94558</v>
      </c>
      <c r="D133" s="128" t="s">
        <v>42</v>
      </c>
      <c r="E133" s="33" t="n">
        <f aca="false">IF(D133="totale",(C133/(A133*24))/F133,IF(D133="marché libre",(C133/(A133*24))/G133,"spécifier histo"))</f>
        <v>0.410407986111111</v>
      </c>
      <c r="F133" s="57" t="n">
        <v>320</v>
      </c>
      <c r="G133" s="57" t="n">
        <f aca="false">F133-H133</f>
        <v>320</v>
      </c>
      <c r="H133" s="9" t="n">
        <f aca="false">0</f>
        <v>0</v>
      </c>
      <c r="I133" s="9"/>
      <c r="J133" s="205"/>
    </row>
    <row r="134" s="1" customFormat="true" ht="25" hidden="false" customHeight="true" outlineLevel="0" collapsed="false">
      <c r="A134" s="0" t="n">
        <v>31</v>
      </c>
      <c r="B134" s="31" t="n">
        <v>40664</v>
      </c>
      <c r="C134" s="56" t="n">
        <v>46329</v>
      </c>
      <c r="D134" s="128" t="s">
        <v>42</v>
      </c>
      <c r="E134" s="33" t="n">
        <f aca="false">IF(D134="totale",(C134/(A134*24))/F134,IF(D134="marché libre",(C134/(A134*24))/G134,"spécifier histo"))</f>
        <v>0.194594254032258</v>
      </c>
      <c r="F134" s="57" t="n">
        <v>320</v>
      </c>
      <c r="G134" s="57" t="n">
        <f aca="false">F134-H134</f>
        <v>320</v>
      </c>
      <c r="H134" s="9" t="n">
        <f aca="false">0</f>
        <v>0</v>
      </c>
      <c r="I134" s="9"/>
      <c r="J134" s="205"/>
    </row>
    <row r="135" s="1" customFormat="true" ht="25" hidden="false" customHeight="true" outlineLevel="0" collapsed="false">
      <c r="A135" s="0" t="n">
        <v>30</v>
      </c>
      <c r="B135" s="34" t="n">
        <v>40695</v>
      </c>
      <c r="C135" s="56" t="n">
        <v>13465</v>
      </c>
      <c r="D135" s="128" t="s">
        <v>42</v>
      </c>
      <c r="E135" s="33" t="n">
        <f aca="false">IF(D135="totale",(C135/(A135*24))/F135,IF(D135="marché libre",(C135/(A135*24))/G135,"spécifier histo"))</f>
        <v>0.0584418402777778</v>
      </c>
      <c r="F135" s="57" t="n">
        <v>320</v>
      </c>
      <c r="G135" s="57" t="n">
        <f aca="false">F135-H135</f>
        <v>320</v>
      </c>
      <c r="H135" s="9" t="n">
        <f aca="false">0</f>
        <v>0</v>
      </c>
      <c r="I135" s="9"/>
      <c r="J135" s="205"/>
    </row>
    <row r="136" s="1" customFormat="true" ht="25" hidden="false" customHeight="true" outlineLevel="0" collapsed="false">
      <c r="A136" s="0" t="n">
        <v>31</v>
      </c>
      <c r="B136" s="31" t="n">
        <v>40725</v>
      </c>
      <c r="C136" s="56" t="n">
        <v>0</v>
      </c>
      <c r="D136" s="128" t="s">
        <v>42</v>
      </c>
      <c r="E136" s="33" t="n">
        <f aca="false">IF(D136="totale",(C136/(A136*24))/F136,IF(D136="marché libre",(C136/(A136*24))/G136,"spécifier histo"))</f>
        <v>0</v>
      </c>
      <c r="F136" s="57" t="n">
        <v>320</v>
      </c>
      <c r="G136" s="57" t="n">
        <f aca="false">F136-H136</f>
        <v>320</v>
      </c>
      <c r="H136" s="9" t="n">
        <f aca="false">0</f>
        <v>0</v>
      </c>
      <c r="I136" s="9"/>
      <c r="J136" s="205"/>
    </row>
    <row r="137" s="1" customFormat="true" ht="25" hidden="false" customHeight="true" outlineLevel="0" collapsed="false">
      <c r="A137" s="0" t="n">
        <v>31</v>
      </c>
      <c r="B137" s="34" t="n">
        <v>40756</v>
      </c>
      <c r="C137" s="56" t="n">
        <v>0</v>
      </c>
      <c r="D137" s="128" t="s">
        <v>42</v>
      </c>
      <c r="E137" s="33" t="n">
        <f aca="false">IF(D137="totale",(C137/(A137*24))/F137,IF(D137="marché libre",(C137/(A137*24))/G137,"spécifier histo"))</f>
        <v>0</v>
      </c>
      <c r="F137" s="57" t="n">
        <v>320</v>
      </c>
      <c r="G137" s="57" t="n">
        <f aca="false">F137-H137</f>
        <v>320</v>
      </c>
      <c r="H137" s="9" t="n">
        <f aca="false">0</f>
        <v>0</v>
      </c>
      <c r="I137" s="9"/>
      <c r="J137" s="205"/>
    </row>
    <row r="138" s="1" customFormat="true" ht="25" hidden="false" customHeight="true" outlineLevel="0" collapsed="false">
      <c r="A138" s="0" t="n">
        <v>30</v>
      </c>
      <c r="B138" s="31" t="n">
        <v>40787</v>
      </c>
      <c r="C138" s="56" t="n">
        <v>4571</v>
      </c>
      <c r="D138" s="128" t="s">
        <v>42</v>
      </c>
      <c r="E138" s="33" t="n">
        <f aca="false">IF(D138="totale",(C138/(A138*24))/F138,IF(D138="marché libre",(C138/(A138*24))/G138,"spécifier histo"))</f>
        <v>0.0198394097222222</v>
      </c>
      <c r="F138" s="57" t="n">
        <v>320</v>
      </c>
      <c r="G138" s="57" t="n">
        <f aca="false">F138-H138</f>
        <v>320</v>
      </c>
      <c r="H138" s="9" t="n">
        <f aca="false">0</f>
        <v>0</v>
      </c>
      <c r="I138" s="9"/>
      <c r="J138" s="205"/>
    </row>
    <row r="139" s="1" customFormat="true" ht="25" hidden="false" customHeight="true" outlineLevel="0" collapsed="false">
      <c r="A139" s="0" t="n">
        <v>31</v>
      </c>
      <c r="B139" s="31" t="n">
        <v>40817</v>
      </c>
      <c r="C139" s="56" t="n">
        <v>0</v>
      </c>
      <c r="D139" s="128" t="s">
        <v>42</v>
      </c>
      <c r="E139" s="33" t="n">
        <f aca="false">IF(D139="totale",(C139/(A139*24))/F139,IF(D139="marché libre",(C139/(A139*24))/G139,"spécifier histo"))</f>
        <v>0</v>
      </c>
      <c r="F139" s="57" t="n">
        <v>320</v>
      </c>
      <c r="G139" s="57" t="n">
        <f aca="false">F139-H139</f>
        <v>320</v>
      </c>
      <c r="H139" s="9" t="n">
        <f aca="false">0</f>
        <v>0</v>
      </c>
      <c r="I139" s="9"/>
      <c r="J139" s="205"/>
    </row>
    <row r="140" s="1" customFormat="true" ht="25" hidden="false" customHeight="true" outlineLevel="0" collapsed="false">
      <c r="A140" s="0" t="n">
        <v>30</v>
      </c>
      <c r="B140" s="34" t="n">
        <v>40848</v>
      </c>
      <c r="C140" s="56" t="n">
        <v>17501</v>
      </c>
      <c r="D140" s="128" t="s">
        <v>42</v>
      </c>
      <c r="E140" s="33" t="n">
        <f aca="false">IF(D140="totale",(C140/(A140*24))/F140,IF(D140="marché libre",(C140/(A140*24))/G140,"spécifier histo"))</f>
        <v>0.0759592013888889</v>
      </c>
      <c r="F140" s="57" t="n">
        <v>320</v>
      </c>
      <c r="G140" s="57" t="n">
        <f aca="false">F140-H140</f>
        <v>320</v>
      </c>
      <c r="H140" s="9" t="n">
        <f aca="false">0</f>
        <v>0</v>
      </c>
      <c r="I140" s="9"/>
      <c r="J140" s="205"/>
    </row>
    <row r="141" s="1" customFormat="true" ht="25" hidden="false" customHeight="true" outlineLevel="0" collapsed="false">
      <c r="A141" s="0" t="n">
        <v>31</v>
      </c>
      <c r="B141" s="31" t="n">
        <v>40878</v>
      </c>
      <c r="C141" s="56" t="n">
        <v>77929</v>
      </c>
      <c r="D141" s="128" t="s">
        <v>42</v>
      </c>
      <c r="E141" s="33" t="n">
        <f aca="false">IF(D141="totale",(C141/(A141*24))/F141,IF(D141="marché libre",(C141/(A141*24))/G141,"spécifier histo"))</f>
        <v>0.327322748655914</v>
      </c>
      <c r="F141" s="57" t="n">
        <v>320</v>
      </c>
      <c r="G141" s="57" t="n">
        <f aca="false">F141-H141</f>
        <v>320</v>
      </c>
      <c r="H141" s="9" t="n">
        <f aca="false">0</f>
        <v>0</v>
      </c>
      <c r="I141" s="9"/>
      <c r="J141" s="205"/>
    </row>
    <row r="142" s="1" customFormat="true" ht="25" hidden="false" customHeight="true" outlineLevel="0" collapsed="false">
      <c r="A142" s="0" t="n">
        <v>31</v>
      </c>
      <c r="B142" s="34" t="n">
        <v>40909</v>
      </c>
      <c r="C142" s="56" t="n">
        <v>151114</v>
      </c>
      <c r="D142" s="128" t="s">
        <v>42</v>
      </c>
      <c r="E142" s="33" t="n">
        <f aca="false">IF(D142="totale",(C142/(A142*24))/F142,IF(D142="marché libre",(C142/(A142*24))/G142,"spécifier histo"))</f>
        <v>0.634719422043011</v>
      </c>
      <c r="F142" s="57" t="n">
        <v>320</v>
      </c>
      <c r="G142" s="57" t="n">
        <f aca="false">F142-H142</f>
        <v>320</v>
      </c>
      <c r="H142" s="9" t="n">
        <f aca="false">0</f>
        <v>0</v>
      </c>
      <c r="I142" s="9"/>
      <c r="J142" s="205"/>
    </row>
    <row r="143" s="1" customFormat="true" ht="25" hidden="false" customHeight="true" outlineLevel="0" collapsed="false">
      <c r="A143" s="0" t="n">
        <v>28</v>
      </c>
      <c r="B143" s="31" t="n">
        <v>40940</v>
      </c>
      <c r="C143" s="56" t="n">
        <v>174197</v>
      </c>
      <c r="D143" s="128" t="s">
        <v>42</v>
      </c>
      <c r="E143" s="33" t="n">
        <f aca="false">IF(D143="totale",(C143/(A143*24))/F143,IF(D143="marché libre",(C143/(A143*24))/G143,"spécifier histo"))</f>
        <v>0.810067894345238</v>
      </c>
      <c r="F143" s="57" t="n">
        <v>320</v>
      </c>
      <c r="G143" s="57" t="n">
        <f aca="false">F143-H143</f>
        <v>320</v>
      </c>
      <c r="H143" s="9" t="n">
        <f aca="false">0</f>
        <v>0</v>
      </c>
      <c r="I143" s="9"/>
      <c r="J143" s="205"/>
    </row>
    <row r="144" s="1" customFormat="true" ht="25" hidden="false" customHeight="true" outlineLevel="0" collapsed="false">
      <c r="A144" s="0" t="n">
        <v>31</v>
      </c>
      <c r="B144" s="34" t="n">
        <v>40969</v>
      </c>
      <c r="C144" s="56" t="n">
        <v>128928</v>
      </c>
      <c r="D144" s="128" t="s">
        <v>42</v>
      </c>
      <c r="E144" s="33" t="n">
        <f aca="false">IF(D144="totale",(C144/(A144*24))/F144,IF(D144="marché libre",(C144/(A144*24))/G144,"spécifier histo"))</f>
        <v>0.541532258064516</v>
      </c>
      <c r="F144" s="57" t="n">
        <v>320</v>
      </c>
      <c r="G144" s="57" t="n">
        <f aca="false">F144-H144</f>
        <v>320</v>
      </c>
      <c r="H144" s="9" t="n">
        <f aca="false">0</f>
        <v>0</v>
      </c>
      <c r="I144" s="9"/>
      <c r="J144" s="205"/>
    </row>
    <row r="145" s="1" customFormat="true" ht="25" hidden="false" customHeight="true" outlineLevel="0" collapsed="false">
      <c r="A145" s="0" t="n">
        <v>30</v>
      </c>
      <c r="B145" s="31" t="n">
        <v>41000</v>
      </c>
      <c r="C145" s="56" t="n">
        <v>103850</v>
      </c>
      <c r="D145" s="128" t="s">
        <v>42</v>
      </c>
      <c r="E145" s="33" t="n">
        <f aca="false">IF(D145="totale",(C145/(A145*24))/F145,IF(D145="marché libre",(C145/(A145*24))/G145,"spécifier histo"))</f>
        <v>0.450737847222222</v>
      </c>
      <c r="F145" s="57" t="n">
        <v>320</v>
      </c>
      <c r="G145" s="57" t="n">
        <f aca="false">F145-H145</f>
        <v>320</v>
      </c>
      <c r="H145" s="9" t="n">
        <f aca="false">0</f>
        <v>0</v>
      </c>
      <c r="I145" s="9"/>
      <c r="J145" s="205"/>
    </row>
    <row r="146" s="1" customFormat="true" ht="25" hidden="false" customHeight="true" outlineLevel="0" collapsed="false">
      <c r="A146" s="0" t="n">
        <v>31</v>
      </c>
      <c r="B146" s="31" t="n">
        <v>41030</v>
      </c>
      <c r="C146" s="56" t="n">
        <v>108308</v>
      </c>
      <c r="D146" s="128" t="s">
        <v>42</v>
      </c>
      <c r="E146" s="33" t="n">
        <f aca="false">IF(D146="totale",(C146/(A146*24))/F146,IF(D146="marché libre",(C146/(A146*24))/G146,"spécifier histo"))</f>
        <v>0.454922715053763</v>
      </c>
      <c r="F146" s="57" t="n">
        <v>320</v>
      </c>
      <c r="G146" s="57" t="n">
        <f aca="false">F146-H146</f>
        <v>320</v>
      </c>
      <c r="H146" s="9" t="n">
        <f aca="false">0</f>
        <v>0</v>
      </c>
      <c r="I146" s="9"/>
      <c r="J146" s="205"/>
    </row>
    <row r="147" s="1" customFormat="true" ht="25" hidden="false" customHeight="true" outlineLevel="0" collapsed="false">
      <c r="A147" s="0" t="n">
        <v>30</v>
      </c>
      <c r="B147" s="34" t="n">
        <v>41061</v>
      </c>
      <c r="C147" s="56" t="n">
        <v>155036</v>
      </c>
      <c r="D147" s="128" t="s">
        <v>42</v>
      </c>
      <c r="E147" s="33" t="n">
        <f aca="false">IF(D147="totale",(C147/(A147*24))/F147,IF(D147="marché libre",(C147/(A147*24))/G147,"spécifier histo"))</f>
        <v>0.672899305555556</v>
      </c>
      <c r="F147" s="57" t="n">
        <v>320</v>
      </c>
      <c r="G147" s="57" t="n">
        <f aca="false">F147-H147</f>
        <v>320</v>
      </c>
      <c r="H147" s="9" t="n">
        <f aca="false">0</f>
        <v>0</v>
      </c>
      <c r="I147" s="9"/>
      <c r="J147" s="205"/>
    </row>
    <row r="148" s="1" customFormat="true" ht="25" hidden="false" customHeight="true" outlineLevel="0" collapsed="false">
      <c r="A148" s="0" t="n">
        <v>31</v>
      </c>
      <c r="B148" s="31" t="n">
        <v>41091</v>
      </c>
      <c r="C148" s="56" t="n">
        <v>89841</v>
      </c>
      <c r="D148" s="128" t="s">
        <v>42</v>
      </c>
      <c r="E148" s="33" t="n">
        <f aca="false">IF(D148="totale",(C148/(A148*24))/F148,IF(D148="marché libre",(C148/(A148*24))/G148,"spécifier histo"))</f>
        <v>0.377356350806452</v>
      </c>
      <c r="F148" s="57" t="n">
        <v>320</v>
      </c>
      <c r="G148" s="57" t="n">
        <f aca="false">F148-H148</f>
        <v>320</v>
      </c>
      <c r="H148" s="9" t="n">
        <f aca="false">0</f>
        <v>0</v>
      </c>
      <c r="I148" s="9"/>
      <c r="J148" s="205"/>
    </row>
    <row r="149" s="1" customFormat="true" ht="25" hidden="false" customHeight="true" outlineLevel="0" collapsed="false">
      <c r="A149" s="0" t="n">
        <v>31</v>
      </c>
      <c r="B149" s="34" t="n">
        <v>41122</v>
      </c>
      <c r="C149" s="56" t="n">
        <v>33054</v>
      </c>
      <c r="D149" s="128" t="s">
        <v>42</v>
      </c>
      <c r="E149" s="33" t="n">
        <f aca="false">IF(D149="totale",(C149/(A149*24))/F149,IF(D149="marché libre",(C149/(A149*24))/G149,"spécifier histo"))</f>
        <v>0.138835685483871</v>
      </c>
      <c r="F149" s="57" t="n">
        <v>320</v>
      </c>
      <c r="G149" s="57" t="n">
        <f aca="false">F149-H149</f>
        <v>320</v>
      </c>
      <c r="H149" s="9" t="n">
        <f aca="false">0</f>
        <v>0</v>
      </c>
      <c r="I149" s="9"/>
      <c r="J149" s="205"/>
    </row>
    <row r="150" s="1" customFormat="true" ht="25" hidden="false" customHeight="true" outlineLevel="0" collapsed="false">
      <c r="A150" s="0" t="n">
        <v>30</v>
      </c>
      <c r="B150" s="31" t="n">
        <v>41153</v>
      </c>
      <c r="C150" s="223" t="n">
        <v>26614</v>
      </c>
      <c r="D150" s="507" t="s">
        <v>42</v>
      </c>
      <c r="E150" s="225" t="n">
        <f aca="false">IF(D150="totale",(C150/(A150*24))/F150,IF(D150="marché libre",(C150/(A150*24))/G150,"spécifier histo"))</f>
        <v>0.115512152777778</v>
      </c>
      <c r="F150" s="226" t="n">
        <v>320</v>
      </c>
      <c r="G150" s="226" t="n">
        <f aca="false">F150-H150</f>
        <v>320</v>
      </c>
      <c r="H150" s="9" t="n">
        <f aca="false">0</f>
        <v>0</v>
      </c>
      <c r="I150" s="9"/>
      <c r="J150" s="205"/>
    </row>
    <row r="151" customFormat="false" ht="19.85" hidden="false" customHeight="true" outlineLevel="0" collapsed="false">
      <c r="A151" s="0" t="n">
        <v>31</v>
      </c>
      <c r="B151" s="34" t="n">
        <v>41183</v>
      </c>
      <c r="C151" s="56" t="n">
        <v>65828</v>
      </c>
      <c r="D151" s="128" t="s">
        <v>42</v>
      </c>
      <c r="E151" s="33" t="n">
        <f aca="false">IF(D151="totale",(C151/(A151*24))/F151,IF(D151="marché libre",(C151/(A151*24))/G151,"spécifier histo"))</f>
        <v>0.276495295698925</v>
      </c>
      <c r="F151" s="57" t="n">
        <v>320</v>
      </c>
      <c r="G151" s="57" t="n">
        <f aca="false">F151-H151</f>
        <v>320</v>
      </c>
      <c r="H151" s="9" t="n">
        <f aca="false">0</f>
        <v>0</v>
      </c>
      <c r="J151" s="55"/>
    </row>
    <row r="152" customFormat="false" ht="19.85" hidden="false" customHeight="true" outlineLevel="0" collapsed="false">
      <c r="A152" s="0" t="n">
        <v>30</v>
      </c>
      <c r="B152" s="31" t="n">
        <v>41214</v>
      </c>
      <c r="C152" s="56" t="n">
        <v>118860</v>
      </c>
      <c r="D152" s="128" t="s">
        <v>42</v>
      </c>
      <c r="E152" s="33" t="n">
        <f aca="false">IF(D152="totale",(C152/(A152*24))/F152,IF(D152="marché libre",(C152/(A152*24))/G152,"spécifier histo"))</f>
        <v>0.515885416666667</v>
      </c>
      <c r="F152" s="59" t="n">
        <v>320</v>
      </c>
      <c r="G152" s="59" t="n">
        <f aca="false">F152-H152</f>
        <v>320</v>
      </c>
      <c r="H152" s="9" t="n">
        <f aca="false">0</f>
        <v>0</v>
      </c>
      <c r="J152" s="55"/>
    </row>
    <row r="153" customFormat="false" ht="19.85" hidden="false" customHeight="true" outlineLevel="0" collapsed="false">
      <c r="A153" s="0" t="n">
        <v>31</v>
      </c>
      <c r="B153" s="34" t="n">
        <v>41244</v>
      </c>
      <c r="C153" s="56" t="n">
        <v>87842</v>
      </c>
      <c r="D153" s="128" t="s">
        <v>42</v>
      </c>
      <c r="E153" s="33" t="n">
        <f aca="false">IF(D153="totale",(C153/(A153*24))/F153,IF(D153="marché libre",(C153/(A153*24))/G153,"spécifier histo"))</f>
        <v>0.36896001344086</v>
      </c>
      <c r="F153" s="59" t="n">
        <v>320</v>
      </c>
      <c r="G153" s="59" t="n">
        <f aca="false">F153-H153</f>
        <v>320</v>
      </c>
      <c r="H153" s="9" t="n">
        <f aca="false">0</f>
        <v>0</v>
      </c>
      <c r="J153" s="55"/>
    </row>
    <row r="154" customFormat="false" ht="19.85" hidden="false" customHeight="true" outlineLevel="0" collapsed="false">
      <c r="A154" s="0" t="n">
        <v>31</v>
      </c>
      <c r="B154" s="31" t="n">
        <v>41275</v>
      </c>
      <c r="C154" s="56" t="n">
        <v>72279</v>
      </c>
      <c r="D154" s="128" t="s">
        <v>42</v>
      </c>
      <c r="E154" s="33" t="n">
        <f aca="false">IF(D154="totale",(C154/(A154*24))/F154,IF(D154="marché libre",(C154/(A154*24))/G154,"spécifier histo"))</f>
        <v>0.30359122983871</v>
      </c>
      <c r="F154" s="59" t="n">
        <v>320</v>
      </c>
      <c r="G154" s="59" t="n">
        <f aca="false">F154-H154</f>
        <v>320</v>
      </c>
      <c r="H154" s="9" t="n">
        <f aca="false">0</f>
        <v>0</v>
      </c>
      <c r="J154" s="55"/>
    </row>
    <row r="155" customFormat="false" ht="19.85" hidden="false" customHeight="true" outlineLevel="0" collapsed="false">
      <c r="A155" s="0" t="n">
        <v>28</v>
      </c>
      <c r="B155" s="34" t="n">
        <v>41306</v>
      </c>
      <c r="C155" s="56" t="n">
        <v>29791</v>
      </c>
      <c r="D155" s="128" t="s">
        <v>42</v>
      </c>
      <c r="E155" s="33" t="n">
        <f aca="false">IF(D155="totale",(C155/(A155*24))/F155,IF(D155="marché libre",(C155/(A155*24))/G155,"spécifier histo"))</f>
        <v>0.138537016369048</v>
      </c>
      <c r="F155" s="59" t="n">
        <v>320</v>
      </c>
      <c r="G155" s="59" t="n">
        <f aca="false">F155-H155</f>
        <v>320</v>
      </c>
      <c r="H155" s="9" t="n">
        <f aca="false">0</f>
        <v>0</v>
      </c>
      <c r="J155" s="55"/>
    </row>
    <row r="156" customFormat="false" ht="19.85" hidden="false" customHeight="true" outlineLevel="0" collapsed="false">
      <c r="A156" s="0" t="n">
        <v>31</v>
      </c>
      <c r="B156" s="31" t="n">
        <v>41334</v>
      </c>
      <c r="C156" s="56" t="n">
        <v>166552</v>
      </c>
      <c r="D156" s="128" t="s">
        <v>42</v>
      </c>
      <c r="E156" s="33" t="n">
        <f aca="false">IF(D156="totale",(C156/(A156*24))/F156,IF(D156="marché libre",(C156/(A156*24))/G156,"spécifier histo"))</f>
        <v>0.699563172043011</v>
      </c>
      <c r="F156" s="59" t="n">
        <v>320</v>
      </c>
      <c r="G156" s="59" t="n">
        <f aca="false">F156-H156</f>
        <v>320</v>
      </c>
      <c r="H156" s="9" t="n">
        <f aca="false">0</f>
        <v>0</v>
      </c>
      <c r="J156" s="55"/>
    </row>
    <row r="157" customFormat="false" ht="19.85" hidden="false" customHeight="true" outlineLevel="0" collapsed="false">
      <c r="A157" s="0" t="n">
        <v>30</v>
      </c>
      <c r="B157" s="34" t="n">
        <v>41365</v>
      </c>
      <c r="C157" s="56" t="n">
        <v>145904</v>
      </c>
      <c r="D157" s="128" t="s">
        <v>42</v>
      </c>
      <c r="E157" s="33" t="n">
        <f aca="false">IF(D157="totale",(C157/(A157*24))/F157,IF(D157="marché libre",(C157/(A157*24))/G157,"spécifier histo"))</f>
        <v>0.633263888888889</v>
      </c>
      <c r="F157" s="59" t="n">
        <v>320</v>
      </c>
      <c r="G157" s="59" t="n">
        <f aca="false">F157-H157</f>
        <v>320</v>
      </c>
      <c r="H157" s="9" t="n">
        <f aca="false">0</f>
        <v>0</v>
      </c>
      <c r="J157" s="55"/>
    </row>
    <row r="158" customFormat="false" ht="19.85" hidden="false" customHeight="true" outlineLevel="0" collapsed="false">
      <c r="A158" s="0" t="n">
        <v>31</v>
      </c>
      <c r="B158" s="31" t="n">
        <v>41395</v>
      </c>
      <c r="C158" s="56" t="n">
        <v>168163</v>
      </c>
      <c r="D158" s="128" t="s">
        <v>42</v>
      </c>
      <c r="E158" s="33" t="n">
        <f aca="false">IF(D158="totale",(C158/(A158*24))/F158,IF(D158="marché libre",(C158/(A158*24))/G158,"spécifier histo"))</f>
        <v>0.706329805107527</v>
      </c>
      <c r="F158" s="59" t="n">
        <v>320</v>
      </c>
      <c r="G158" s="59" t="n">
        <f aca="false">F158-H158</f>
        <v>320</v>
      </c>
      <c r="H158" s="9" t="n">
        <f aca="false">0</f>
        <v>0</v>
      </c>
      <c r="J158" s="55"/>
    </row>
    <row r="159" customFormat="false" ht="19.85" hidden="false" customHeight="true" outlineLevel="0" collapsed="false">
      <c r="A159" s="0" t="n">
        <v>30</v>
      </c>
      <c r="B159" s="34" t="n">
        <v>41426</v>
      </c>
      <c r="C159" s="56" t="n">
        <v>130787</v>
      </c>
      <c r="D159" s="128" t="s">
        <v>42</v>
      </c>
      <c r="E159" s="33" t="n">
        <f aca="false">IF(D159="totale",(C159/(A159*24))/F159,IF(D159="marché libre",(C159/(A159*24))/G159,"spécifier histo"))</f>
        <v>0.567651909722222</v>
      </c>
      <c r="F159" s="59" t="n">
        <v>320</v>
      </c>
      <c r="G159" s="59" t="n">
        <f aca="false">F159-H159</f>
        <v>320</v>
      </c>
      <c r="H159" s="9" t="n">
        <f aca="false">0</f>
        <v>0</v>
      </c>
      <c r="J159" s="55"/>
    </row>
    <row r="160" customFormat="false" ht="19.85" hidden="false" customHeight="true" outlineLevel="0" collapsed="false">
      <c r="A160" s="0" t="n">
        <v>31</v>
      </c>
      <c r="B160" s="31" t="n">
        <v>41456</v>
      </c>
      <c r="C160" s="56" t="n">
        <v>142662</v>
      </c>
      <c r="D160" s="128" t="s">
        <v>42</v>
      </c>
      <c r="E160" s="33" t="n">
        <f aca="false">IF(D160="totale",(C160/(A160*24))/F160,IF(D160="marché libre",(C160/(A160*24))/G160,"spécifier histo"))</f>
        <v>0.59921875</v>
      </c>
      <c r="F160" s="59" t="n">
        <v>320</v>
      </c>
      <c r="G160" s="59" t="n">
        <f aca="false">F160-H160</f>
        <v>320</v>
      </c>
      <c r="H160" s="9" t="n">
        <f aca="false">0</f>
        <v>0</v>
      </c>
      <c r="J160" s="55"/>
    </row>
    <row r="161" customFormat="false" ht="19.85" hidden="false" customHeight="true" outlineLevel="0" collapsed="false">
      <c r="A161" s="0" t="n">
        <v>31</v>
      </c>
      <c r="B161" s="34" t="n">
        <v>41487</v>
      </c>
      <c r="C161" s="56" t="n">
        <v>90499</v>
      </c>
      <c r="D161" s="128" t="s">
        <v>42</v>
      </c>
      <c r="E161" s="33" t="n">
        <f aca="false">IF(D161="totale",(C161/(A161*24))/F161,IF(D161="marché libre",(C161/(A161*24))/G161,"spécifier histo"))</f>
        <v>0.380120127688172</v>
      </c>
      <c r="F161" s="59" t="n">
        <v>320</v>
      </c>
      <c r="G161" s="59" t="n">
        <f aca="false">F161-H161</f>
        <v>320</v>
      </c>
      <c r="H161" s="9" t="n">
        <f aca="false">0</f>
        <v>0</v>
      </c>
      <c r="J161" s="55"/>
    </row>
    <row r="162" customFormat="false" ht="19.85" hidden="false" customHeight="true" outlineLevel="0" collapsed="false">
      <c r="A162" s="0" t="n">
        <v>30</v>
      </c>
      <c r="B162" s="31" t="n">
        <v>41518</v>
      </c>
      <c r="C162" s="56" t="n">
        <v>73770</v>
      </c>
      <c r="D162" s="128" t="s">
        <v>42</v>
      </c>
      <c r="E162" s="33" t="n">
        <f aca="false">IF(D162="totale",(C162/(A162*24))/F162,IF(D162="marché libre",(C162/(A162*24))/G162,"spécifier histo"))</f>
        <v>0.320182291666667</v>
      </c>
      <c r="F162" s="59" t="n">
        <v>320</v>
      </c>
      <c r="G162" s="59" t="n">
        <f aca="false">F162-H162</f>
        <v>320</v>
      </c>
      <c r="H162" s="9" t="n">
        <f aca="false">0</f>
        <v>0</v>
      </c>
      <c r="J162" s="55"/>
    </row>
    <row r="163" customFormat="false" ht="19.85" hidden="false" customHeight="true" outlineLevel="0" collapsed="false">
      <c r="A163" s="0" t="n">
        <v>31</v>
      </c>
      <c r="B163" s="34" t="n">
        <v>41548</v>
      </c>
      <c r="C163" s="56" t="n">
        <v>116664</v>
      </c>
      <c r="D163" s="128" t="s">
        <v>42</v>
      </c>
      <c r="E163" s="33" t="n">
        <f aca="false">IF(D163="totale",(C163/(A163*24))/F163,IF(D163="marché libre",(C163/(A163*24))/G163,"spécifier histo"))</f>
        <v>0.490020161290323</v>
      </c>
      <c r="F163" s="59" t="n">
        <v>320</v>
      </c>
      <c r="G163" s="59" t="n">
        <f aca="false">F163-H163</f>
        <v>320</v>
      </c>
      <c r="H163" s="9" t="n">
        <f aca="false">0</f>
        <v>0</v>
      </c>
      <c r="J163" s="55"/>
    </row>
    <row r="164" customFormat="false" ht="19.85" hidden="false" customHeight="true" outlineLevel="0" collapsed="false">
      <c r="A164" s="0" t="n">
        <v>30</v>
      </c>
      <c r="B164" s="31" t="n">
        <v>41579</v>
      </c>
      <c r="C164" s="56" t="n">
        <v>82082</v>
      </c>
      <c r="D164" s="128" t="s">
        <v>42</v>
      </c>
      <c r="E164" s="33" t="n">
        <f aca="false">IF(D164="totale",(C164/(A164*24))/F164,IF(D164="marché libre",(C164/(A164*24))/G164,"spécifier histo"))</f>
        <v>0.356258680555556</v>
      </c>
      <c r="F164" s="59" t="n">
        <v>320</v>
      </c>
      <c r="G164" s="59" t="n">
        <f aca="false">F164-H164</f>
        <v>320</v>
      </c>
      <c r="H164" s="9" t="n">
        <f aca="false">0</f>
        <v>0</v>
      </c>
      <c r="J164" s="55"/>
    </row>
    <row r="165" customFormat="false" ht="19.85" hidden="false" customHeight="true" outlineLevel="0" collapsed="false">
      <c r="A165" s="0" t="n">
        <v>31</v>
      </c>
      <c r="B165" s="34" t="n">
        <v>41609</v>
      </c>
      <c r="C165" s="26" t="n">
        <v>159314</v>
      </c>
      <c r="D165" s="128" t="s">
        <v>42</v>
      </c>
      <c r="E165" s="33" t="n">
        <f aca="false">IF(D165="totale",(C165/(A165*24))/F165,IF(D165="marché libre",(C165/(A165*24))/G165,"spécifier histo"))</f>
        <v>0.669161626344086</v>
      </c>
      <c r="F165" s="59" t="n">
        <v>320</v>
      </c>
      <c r="G165" s="59" t="n">
        <f aca="false">F165-H165</f>
        <v>320</v>
      </c>
      <c r="H165" s="9" t="n">
        <f aca="false">0</f>
        <v>0</v>
      </c>
      <c r="J165" s="55"/>
    </row>
    <row r="166" customFormat="false" ht="19.85" hidden="false" customHeight="true" outlineLevel="0" collapsed="false">
      <c r="A166" s="0" t="n">
        <v>31</v>
      </c>
      <c r="B166" s="31" t="n">
        <v>41640</v>
      </c>
      <c r="C166" s="26" t="n">
        <v>81508</v>
      </c>
      <c r="D166" s="128" t="s">
        <v>42</v>
      </c>
      <c r="E166" s="33" t="n">
        <f aca="false">IF(D166="totale",(C166/(A166*24))/F166,IF(D166="marché libre",(C166/(A166*24))/G166,"spécifier histo"))</f>
        <v>0.342355510752688</v>
      </c>
      <c r="F166" s="59" t="n">
        <v>320</v>
      </c>
      <c r="G166" s="57" t="n">
        <f aca="false">F166-H166</f>
        <v>320</v>
      </c>
      <c r="H166" s="9" t="n">
        <f aca="false">0</f>
        <v>0</v>
      </c>
      <c r="J166" s="55"/>
      <c r="K166" s="256" t="s">
        <v>944</v>
      </c>
    </row>
    <row r="167" customFormat="false" ht="19.85" hidden="false" customHeight="true" outlineLevel="0" collapsed="false">
      <c r="A167" s="0" t="n">
        <v>28</v>
      </c>
      <c r="B167" s="34" t="n">
        <v>41671</v>
      </c>
      <c r="C167" s="26" t="n">
        <v>10280</v>
      </c>
      <c r="D167" s="26" t="s">
        <v>42</v>
      </c>
      <c r="E167" s="33" t="n">
        <f aca="false">IF(D167="totale",(C167/(A167*24))/F167,IF(D167="marché libre",(C167/(A167*24))/G167,"spécifier histo"))</f>
        <v>0.0478050595238095</v>
      </c>
      <c r="F167" s="59" t="n">
        <v>320</v>
      </c>
      <c r="G167" s="59" t="n">
        <f aca="false">F167-H167</f>
        <v>320</v>
      </c>
      <c r="H167" s="9" t="n">
        <f aca="false">0</f>
        <v>0</v>
      </c>
      <c r="J167" s="55"/>
      <c r="K167" s="256" t="s">
        <v>945</v>
      </c>
    </row>
    <row r="168" customFormat="false" ht="19.85" hidden="false" customHeight="true" outlineLevel="0" collapsed="false">
      <c r="A168" s="0" t="n">
        <v>31</v>
      </c>
      <c r="B168" s="31" t="n">
        <v>41699</v>
      </c>
      <c r="C168" s="26" t="n">
        <v>102347</v>
      </c>
      <c r="D168" s="26" t="s">
        <v>42</v>
      </c>
      <c r="E168" s="33" t="n">
        <f aca="false">IF(D168="totale",(C168/(A168*24))/F168,IF(D168="marché libre",(C168/(A168*24))/G168,"spécifier histo"))</f>
        <v>0.429884912634409</v>
      </c>
      <c r="F168" s="59" t="n">
        <v>320</v>
      </c>
      <c r="G168" s="59" t="n">
        <f aca="false">F168-H168</f>
        <v>320</v>
      </c>
      <c r="H168" s="9" t="n">
        <f aca="false">0</f>
        <v>0</v>
      </c>
      <c r="J168" s="55"/>
      <c r="K168" s="256" t="s">
        <v>946</v>
      </c>
    </row>
    <row r="169" customFormat="false" ht="19.85" hidden="false" customHeight="true" outlineLevel="0" collapsed="false">
      <c r="A169" s="0" t="n">
        <v>30</v>
      </c>
      <c r="B169" s="34" t="n">
        <v>41730</v>
      </c>
      <c r="C169" s="26" t="n">
        <v>171131</v>
      </c>
      <c r="D169" s="26" t="s">
        <v>42</v>
      </c>
      <c r="E169" s="33" t="n">
        <f aca="false">IF(D169="totale",(C169/(A169*24))/F169,IF(D169="marché libre",(C169/(A169*24))/G169,"spécifier histo"))</f>
        <v>0.742756076388889</v>
      </c>
      <c r="F169" s="59" t="n">
        <v>320</v>
      </c>
      <c r="G169" s="59" t="n">
        <f aca="false">F169-H169</f>
        <v>320</v>
      </c>
      <c r="H169" s="9" t="n">
        <f aca="false">0</f>
        <v>0</v>
      </c>
      <c r="J169" s="55"/>
      <c r="K169" s="256" t="s">
        <v>947</v>
      </c>
    </row>
    <row r="170" customFormat="false" ht="19.85" hidden="false" customHeight="true" outlineLevel="0" collapsed="false">
      <c r="A170" s="0" t="n">
        <v>31</v>
      </c>
      <c r="B170" s="31" t="n">
        <v>41760</v>
      </c>
      <c r="C170" s="26" t="n">
        <v>171274</v>
      </c>
      <c r="D170" s="26" t="s">
        <v>42</v>
      </c>
      <c r="E170" s="33" t="n">
        <f aca="false">IF(D170="totale",(C170/(A170*24))/F170,IF(D170="marché libre",(C170/(A170*24))/G170,"spécifier histo"))</f>
        <v>0.71939684139785</v>
      </c>
      <c r="F170" s="59" t="n">
        <v>320</v>
      </c>
      <c r="G170" s="59" t="n">
        <f aca="false">F170-H170</f>
        <v>320</v>
      </c>
      <c r="H170" s="9" t="n">
        <f aca="false">0</f>
        <v>0</v>
      </c>
      <c r="J170" s="55"/>
      <c r="K170" s="256" t="s">
        <v>948</v>
      </c>
    </row>
    <row r="171" customFormat="false" ht="19.85" hidden="false" customHeight="true" outlineLevel="0" collapsed="false">
      <c r="A171" s="0" t="n">
        <v>30</v>
      </c>
      <c r="B171" s="34" t="n">
        <v>41791</v>
      </c>
      <c r="C171" s="26" t="n">
        <v>154307</v>
      </c>
      <c r="D171" s="26" t="s">
        <v>42</v>
      </c>
      <c r="E171" s="33" t="n">
        <f aca="false">IF(D171="totale",(C171/(A171*24))/F171,IF(D171="marché libre",(C171/(A171*24))/G171,"spécifier histo"))</f>
        <v>0.669735243055556</v>
      </c>
      <c r="F171" s="59" t="n">
        <v>320</v>
      </c>
      <c r="G171" s="59" t="n">
        <f aca="false">F171-H171</f>
        <v>320</v>
      </c>
      <c r="H171" s="9" t="n">
        <f aca="false">0</f>
        <v>0</v>
      </c>
      <c r="J171" s="55"/>
      <c r="K171" s="256" t="s">
        <v>949</v>
      </c>
    </row>
    <row r="172" customFormat="false" ht="19.85" hidden="false" customHeight="true" outlineLevel="0" collapsed="false">
      <c r="A172" s="0" t="n">
        <v>31</v>
      </c>
      <c r="B172" s="31" t="n">
        <v>41821</v>
      </c>
      <c r="C172" s="26" t="n">
        <v>115318</v>
      </c>
      <c r="D172" s="26" t="s">
        <v>42</v>
      </c>
      <c r="E172" s="33" t="n">
        <f aca="false">IF(D172="totale",(C172/(A172*24))/F172,IF(D172="marché libre",(C172/(A172*24))/G172,"spécifier histo"))</f>
        <v>0.484366599462366</v>
      </c>
      <c r="F172" s="59" t="n">
        <v>320</v>
      </c>
      <c r="G172" s="59" t="n">
        <f aca="false">F172-H172</f>
        <v>320</v>
      </c>
      <c r="H172" s="9" t="n">
        <f aca="false">0</f>
        <v>0</v>
      </c>
      <c r="J172" s="55"/>
      <c r="K172" s="256" t="s">
        <v>950</v>
      </c>
    </row>
    <row r="173" customFormat="false" ht="19.85" hidden="false" customHeight="true" outlineLevel="0" collapsed="false">
      <c r="A173" s="0" t="n">
        <v>31</v>
      </c>
      <c r="B173" s="34" t="n">
        <v>41852</v>
      </c>
      <c r="C173" s="26" t="n">
        <v>91438</v>
      </c>
      <c r="D173" s="26" t="s">
        <v>42</v>
      </c>
      <c r="E173" s="33" t="n">
        <f aca="false">IF(D173="totale",(C173/(A173*24))/F173,IF(D173="marché libre",(C173/(A173*24))/G173,"spécifier histo"))</f>
        <v>0.384064180107527</v>
      </c>
      <c r="F173" s="59" t="n">
        <v>320</v>
      </c>
      <c r="G173" s="59" t="n">
        <f aca="false">F173-H173</f>
        <v>320</v>
      </c>
      <c r="H173" s="9" t="n">
        <f aca="false">0</f>
        <v>0</v>
      </c>
      <c r="J173" s="55"/>
      <c r="K173" s="256" t="s">
        <v>951</v>
      </c>
    </row>
    <row r="174" customFormat="false" ht="19.85" hidden="false" customHeight="true" outlineLevel="0" collapsed="false">
      <c r="A174" s="0" t="n">
        <v>30</v>
      </c>
      <c r="B174" s="31" t="n">
        <v>41883</v>
      </c>
      <c r="C174" s="26" t="n">
        <v>82726</v>
      </c>
      <c r="D174" s="26" t="s">
        <v>42</v>
      </c>
      <c r="E174" s="33" t="n">
        <f aca="false">IF(D174="totale",(C174/(A174*24))/F174,IF(D174="marché libre",(C174/(A174*24))/G174,"spécifier histo"))</f>
        <v>0.359053819444444</v>
      </c>
      <c r="F174" s="59" t="n">
        <v>320</v>
      </c>
      <c r="G174" s="59" t="n">
        <f aca="false">F174-H174</f>
        <v>320</v>
      </c>
      <c r="H174" s="9" t="n">
        <f aca="false">0</f>
        <v>0</v>
      </c>
      <c r="J174" s="55"/>
      <c r="K174" s="256" t="s">
        <v>952</v>
      </c>
    </row>
    <row r="175" customFormat="false" ht="19.85" hidden="false" customHeight="true" outlineLevel="0" collapsed="false">
      <c r="A175" s="0" t="n">
        <v>31</v>
      </c>
      <c r="B175" s="34" t="n">
        <v>41913</v>
      </c>
      <c r="C175" s="26" t="n">
        <v>89015</v>
      </c>
      <c r="D175" s="26" t="s">
        <v>42</v>
      </c>
      <c r="E175" s="33" t="n">
        <f aca="false">IF(D175="totale",(C175/(A175*24))/F175,IF(D175="marché libre",(C175/(A175*24))/G175,"spécifier histo"))</f>
        <v>0.373886928763441</v>
      </c>
      <c r="F175" s="59" t="n">
        <v>320</v>
      </c>
      <c r="G175" s="59" t="n">
        <f aca="false">F175-H175</f>
        <v>320</v>
      </c>
      <c r="H175" s="9" t="n">
        <f aca="false">0</f>
        <v>0</v>
      </c>
      <c r="J175" s="55"/>
      <c r="K175" s="256" t="s">
        <v>953</v>
      </c>
    </row>
    <row r="176" customFormat="false" ht="19.85" hidden="false" customHeight="true" outlineLevel="0" collapsed="false">
      <c r="A176" s="0" t="n">
        <v>30</v>
      </c>
      <c r="B176" s="31" t="n">
        <v>41944</v>
      </c>
      <c r="C176" s="26" t="n">
        <v>104646</v>
      </c>
      <c r="D176" s="26" t="s">
        <v>42</v>
      </c>
      <c r="E176" s="33" t="n">
        <f aca="false">IF(D176="totale",(C176/(A176*24))/F176,IF(D176="marché libre",(C176/(A176*24))/G176,"spécifier histo"))</f>
        <v>0.454192708333333</v>
      </c>
      <c r="F176" s="59" t="n">
        <v>320</v>
      </c>
      <c r="G176" s="59" t="n">
        <f aca="false">F176-H176</f>
        <v>320</v>
      </c>
      <c r="H176" s="9" t="n">
        <f aca="false">0</f>
        <v>0</v>
      </c>
      <c r="J176" s="55"/>
      <c r="K176" s="256" t="s">
        <v>954</v>
      </c>
    </row>
    <row r="177" customFormat="false" ht="19.95" hidden="false" customHeight="true" outlineLevel="0" collapsed="false">
      <c r="A177" s="0" t="n">
        <v>31</v>
      </c>
      <c r="B177" s="34" t="n">
        <v>41974</v>
      </c>
      <c r="C177" s="26" t="n">
        <v>154893</v>
      </c>
      <c r="D177" s="26" t="s">
        <v>42</v>
      </c>
      <c r="E177" s="33" t="n">
        <f aca="false">IF(D177="totale",(C177/(A177*24))/F177,IF(D177="marché libre",(C177/(A177*24))/G177,"spécifier histo"))</f>
        <v>0.650592237903226</v>
      </c>
      <c r="F177" s="59" t="n">
        <v>320</v>
      </c>
      <c r="G177" s="59" t="n">
        <f aca="false">F177-H177</f>
        <v>320</v>
      </c>
      <c r="H177" s="9" t="n">
        <f aca="false">0</f>
        <v>0</v>
      </c>
      <c r="J177" s="55"/>
      <c r="K177" s="256" t="s">
        <v>955</v>
      </c>
    </row>
    <row r="178" customFormat="false" ht="19.85" hidden="false" customHeight="true" outlineLevel="0" collapsed="false">
      <c r="A178" s="0" t="n">
        <v>31</v>
      </c>
      <c r="B178" s="31" t="n">
        <v>42005</v>
      </c>
      <c r="C178" s="26" t="n">
        <v>137184</v>
      </c>
      <c r="D178" s="26" t="s">
        <v>42</v>
      </c>
      <c r="E178" s="33" t="n">
        <f aca="false">IF(D178="totale",(C178/(A178*24))/F178,IF(D178="marché libre",(C178/(A178*24))/G178,"spécifier histo"))</f>
        <v>0.576209677419355</v>
      </c>
      <c r="F178" s="59" t="n">
        <v>320</v>
      </c>
      <c r="G178" s="59" t="n">
        <f aca="false">F178-H178</f>
        <v>320</v>
      </c>
      <c r="H178" s="9" t="n">
        <f aca="false">0</f>
        <v>0</v>
      </c>
      <c r="J178" s="55"/>
      <c r="K178" s="256" t="s">
        <v>956</v>
      </c>
    </row>
    <row r="179" customFormat="false" ht="19.85" hidden="false" customHeight="true" outlineLevel="0" collapsed="false">
      <c r="A179" s="0" t="n">
        <v>28</v>
      </c>
      <c r="B179" s="34" t="n">
        <v>42036</v>
      </c>
      <c r="C179" s="56" t="n">
        <v>122028</v>
      </c>
      <c r="D179" s="26" t="s">
        <v>42</v>
      </c>
      <c r="E179" s="33" t="n">
        <f aca="false">IF(D179="totale",(C179/(A179*24))/F179,IF(D179="marché libre",(C179/(A179*24))/G179,"spécifier histo"))</f>
        <v>0.567466517857143</v>
      </c>
      <c r="F179" s="59" t="n">
        <v>320</v>
      </c>
      <c r="G179" s="59" t="n">
        <f aca="false">F179-H179</f>
        <v>320</v>
      </c>
      <c r="H179" s="9" t="n">
        <f aca="false">0</f>
        <v>0</v>
      </c>
      <c r="J179" s="55"/>
      <c r="K179" s="256" t="s">
        <v>957</v>
      </c>
    </row>
    <row r="180" customFormat="false" ht="19.85" hidden="false" customHeight="true" outlineLevel="0" collapsed="false">
      <c r="A180" s="0" t="n">
        <v>31</v>
      </c>
      <c r="B180" s="31" t="n">
        <v>42064</v>
      </c>
      <c r="C180" s="56" t="n">
        <v>131060</v>
      </c>
      <c r="D180" s="26" t="s">
        <v>42</v>
      </c>
      <c r="E180" s="33" t="n">
        <f aca="false">IF(D180="totale",(C180/(A180*24))/F180,IF(D180="marché libre",(C180/(A180*24))/G180,"spécifier histo"))</f>
        <v>0.550487231182796</v>
      </c>
      <c r="F180" s="59" t="n">
        <v>320</v>
      </c>
      <c r="G180" s="59" t="n">
        <f aca="false">F180-H180</f>
        <v>320</v>
      </c>
      <c r="H180" s="9" t="n">
        <f aca="false">0</f>
        <v>0</v>
      </c>
      <c r="J180" s="55"/>
      <c r="K180" s="256" t="s">
        <v>958</v>
      </c>
    </row>
    <row r="181" customFormat="false" ht="19.85" hidden="false" customHeight="true" outlineLevel="0" collapsed="false">
      <c r="A181" s="0" t="n">
        <v>30</v>
      </c>
      <c r="B181" s="34" t="n">
        <v>42095</v>
      </c>
      <c r="C181" s="56" t="n">
        <v>165374</v>
      </c>
      <c r="D181" s="26" t="s">
        <v>42</v>
      </c>
      <c r="E181" s="33" t="n">
        <f aca="false">IF(D181="totale",(C181/(A181*24))/F181,IF(D181="marché libre",(C181/(A181*24))/G181,"spécifier histo"))</f>
        <v>0.717769097222222</v>
      </c>
      <c r="F181" s="59" t="n">
        <v>320</v>
      </c>
      <c r="G181" s="59" t="n">
        <f aca="false">F181-H181</f>
        <v>320</v>
      </c>
      <c r="H181" s="9" t="n">
        <f aca="false">0</f>
        <v>0</v>
      </c>
      <c r="J181" s="55"/>
      <c r="K181" s="256" t="s">
        <v>959</v>
      </c>
    </row>
    <row r="182" customFormat="false" ht="19.85" hidden="false" customHeight="true" outlineLevel="0" collapsed="false">
      <c r="A182" s="0" t="n">
        <v>31</v>
      </c>
      <c r="B182" s="31" t="n">
        <v>42125</v>
      </c>
      <c r="C182" s="56" t="n">
        <v>140468</v>
      </c>
      <c r="D182" s="26" t="s">
        <v>42</v>
      </c>
      <c r="E182" s="33" t="n">
        <f aca="false">IF(D182="totale",(C182/(A182*24))/F182,IF(D182="marché libre",(C182/(A182*24))/G182,"spécifier histo"))</f>
        <v>0.590003360215054</v>
      </c>
      <c r="F182" s="59" t="n">
        <v>320</v>
      </c>
      <c r="G182" s="59" t="n">
        <f aca="false">F182-H182</f>
        <v>320</v>
      </c>
      <c r="H182" s="9" t="n">
        <f aca="false">0</f>
        <v>0</v>
      </c>
      <c r="J182" s="55"/>
      <c r="K182" s="0"/>
      <c r="L182" s="0"/>
    </row>
    <row r="183" customFormat="false" ht="19.85" hidden="false" customHeight="true" outlineLevel="0" collapsed="false">
      <c r="A183" s="0" t="n">
        <v>30</v>
      </c>
      <c r="B183" s="34" t="n">
        <v>42156</v>
      </c>
      <c r="C183" s="56" t="n">
        <v>110497</v>
      </c>
      <c r="D183" s="26" t="s">
        <v>42</v>
      </c>
      <c r="E183" s="33" t="n">
        <f aca="false">IF(D183="totale",(C183/(A183*24))/F183,IF(D183="marché libre",(C183/(A183*24))/G183,"spécifier histo"))</f>
        <v>0.479587673611111</v>
      </c>
      <c r="F183" s="59" t="n">
        <v>320</v>
      </c>
      <c r="G183" s="59" t="n">
        <f aca="false">F183-H183</f>
        <v>320</v>
      </c>
      <c r="H183" s="9" t="n">
        <f aca="false">0</f>
        <v>0</v>
      </c>
      <c r="J183" s="55"/>
      <c r="K183" s="0"/>
      <c r="L183" s="0"/>
    </row>
    <row r="184" customFormat="false" ht="19.85" hidden="false" customHeight="true" outlineLevel="0" collapsed="false">
      <c r="A184" s="0" t="n">
        <v>31</v>
      </c>
      <c r="B184" s="31" t="n">
        <v>42186</v>
      </c>
      <c r="C184" s="56" t="n">
        <v>46822</v>
      </c>
      <c r="D184" s="26" t="s">
        <v>42</v>
      </c>
      <c r="E184" s="33" t="n">
        <f aca="false">IF(D184="totale",(C184/(A184*24))/F184,IF(D184="marché libre",(C184/(A184*24))/G184,"spécifier histo"))</f>
        <v>0.19666498655914</v>
      </c>
      <c r="F184" s="59" t="n">
        <v>320</v>
      </c>
      <c r="G184" s="59" t="n">
        <f aca="false">F184-H184</f>
        <v>320</v>
      </c>
      <c r="H184" s="9" t="n">
        <f aca="false">0</f>
        <v>0</v>
      </c>
      <c r="J184" s="55"/>
      <c r="K184" s="0"/>
      <c r="L184" s="0"/>
    </row>
    <row r="185" customFormat="false" ht="19.85" hidden="false" customHeight="true" outlineLevel="0" collapsed="false">
      <c r="A185" s="0" t="n">
        <v>31</v>
      </c>
      <c r="B185" s="34" t="n">
        <v>42217</v>
      </c>
      <c r="C185" s="56" t="n">
        <v>55030</v>
      </c>
      <c r="D185" s="26" t="s">
        <v>42</v>
      </c>
      <c r="E185" s="33" t="n">
        <f aca="false">IF(D185="totale",(C185/(A185*24))/F185,IF(D185="marché libre",(C185/(A185*24))/G185,"spécifier histo"))</f>
        <v>0.231140793010753</v>
      </c>
      <c r="F185" s="59" t="n">
        <v>320</v>
      </c>
      <c r="G185" s="59" t="n">
        <f aca="false">F185-H185</f>
        <v>320</v>
      </c>
      <c r="H185" s="9" t="n">
        <f aca="false">0</f>
        <v>0</v>
      </c>
      <c r="J185" s="55"/>
      <c r="K185" s="0"/>
      <c r="L185" s="0"/>
    </row>
    <row r="186" customFormat="false" ht="19.85" hidden="false" customHeight="true" outlineLevel="0" collapsed="false">
      <c r="A186" s="0" t="n">
        <v>30</v>
      </c>
      <c r="B186" s="31" t="n">
        <v>42248</v>
      </c>
      <c r="C186" s="56" t="n">
        <v>46612</v>
      </c>
      <c r="D186" s="26" t="s">
        <v>42</v>
      </c>
      <c r="E186" s="33" t="n">
        <f aca="false">IF(D186="totale",(C186/(A186*24))/F186,IF(D186="marché libre",(C186/(A186*24))/G186,"spécifier histo"))</f>
        <v>0.202309027777778</v>
      </c>
      <c r="F186" s="59" t="n">
        <v>320</v>
      </c>
      <c r="G186" s="59" t="n">
        <f aca="false">F186-H186</f>
        <v>320</v>
      </c>
      <c r="H186" s="9" t="n">
        <f aca="false">0</f>
        <v>0</v>
      </c>
      <c r="J186" s="55"/>
      <c r="K186" s="0"/>
      <c r="L186" s="0"/>
    </row>
    <row r="187" customFormat="false" ht="19.85" hidden="false" customHeight="true" outlineLevel="0" collapsed="false">
      <c r="A187" s="0" t="n">
        <v>31</v>
      </c>
      <c r="B187" s="34" t="n">
        <v>42278</v>
      </c>
      <c r="C187" s="56" t="n">
        <v>53504</v>
      </c>
      <c r="D187" s="26" t="s">
        <v>42</v>
      </c>
      <c r="E187" s="33" t="n">
        <f aca="false">IF(D187="totale",(C187/(A187*24))/F187,IF(D187="marché libre",(C187/(A187*24))/G187,"spécifier histo"))</f>
        <v>0.224731182795699</v>
      </c>
      <c r="F187" s="59" t="n">
        <v>320</v>
      </c>
      <c r="G187" s="59" t="n">
        <f aca="false">F187-H187</f>
        <v>320</v>
      </c>
      <c r="H187" s="9" t="n">
        <f aca="false">0</f>
        <v>0</v>
      </c>
      <c r="J187" s="55"/>
    </row>
    <row r="188" customFormat="false" ht="19.85" hidden="false" customHeight="true" outlineLevel="0" collapsed="false">
      <c r="A188" s="0" t="n">
        <v>30</v>
      </c>
      <c r="B188" s="31" t="n">
        <v>42309</v>
      </c>
      <c r="C188" s="56" t="n">
        <v>57873</v>
      </c>
      <c r="D188" s="26" t="s">
        <v>42</v>
      </c>
      <c r="E188" s="33" t="n">
        <f aca="false">IF(D188="totale",(C188/(A188*24))/F188,IF(D188="marché libre",(C188/(A188*24))/G188,"spécifier histo"))</f>
        <v>0.251184895833333</v>
      </c>
      <c r="F188" s="59" t="n">
        <v>320</v>
      </c>
      <c r="G188" s="59" t="n">
        <f aca="false">F188-H188</f>
        <v>320</v>
      </c>
      <c r="H188" s="9" t="n">
        <f aca="false">0</f>
        <v>0</v>
      </c>
      <c r="J188" s="55"/>
    </row>
    <row r="189" customFormat="false" ht="19.85" hidden="false" customHeight="true" outlineLevel="0" collapsed="false">
      <c r="A189" s="0" t="n">
        <v>31</v>
      </c>
      <c r="B189" s="34" t="n">
        <v>42339</v>
      </c>
      <c r="C189" s="56" t="n">
        <v>62025</v>
      </c>
      <c r="D189" s="26" t="s">
        <v>42</v>
      </c>
      <c r="E189" s="33" t="n">
        <f aca="false">IF(D189="totale",(C189/(A189*24))/F189,IF(D189="marché libre",(C189/(A189*24))/G189,"spécifier histo"))</f>
        <v>0.260521673387097</v>
      </c>
      <c r="F189" s="59" t="n">
        <v>320</v>
      </c>
      <c r="G189" s="59" t="n">
        <f aca="false">F189-H189</f>
        <v>320</v>
      </c>
      <c r="H189" s="9" t="n">
        <f aca="false">0</f>
        <v>0</v>
      </c>
      <c r="J189" s="55"/>
    </row>
    <row r="190" customFormat="false" ht="19.85" hidden="false" customHeight="true" outlineLevel="0" collapsed="false">
      <c r="A190" s="0" t="n">
        <v>31</v>
      </c>
      <c r="B190" s="31" t="n">
        <v>42370</v>
      </c>
      <c r="C190" s="56" t="n">
        <v>74497</v>
      </c>
      <c r="D190" s="26" t="s">
        <v>42</v>
      </c>
      <c r="E190" s="33" t="n">
        <f aca="false">IF(D190="totale",(C190/(A190*24))/F190,IF(D190="marché libre",(C190/(A190*24))/G190,"spécifier histo"))</f>
        <v>0.312907426075269</v>
      </c>
      <c r="F190" s="59" t="n">
        <v>320</v>
      </c>
      <c r="G190" s="59" t="n">
        <f aca="false">F190-H190</f>
        <v>320</v>
      </c>
      <c r="H190" s="9" t="n">
        <f aca="false">0</f>
        <v>0</v>
      </c>
      <c r="J190" s="55"/>
    </row>
    <row r="191" customFormat="false" ht="19.85" hidden="false" customHeight="true" outlineLevel="0" collapsed="false">
      <c r="A191" s="0" t="n">
        <v>28</v>
      </c>
      <c r="B191" s="34" t="n">
        <v>42401</v>
      </c>
      <c r="C191" s="56" t="n">
        <v>31816</v>
      </c>
      <c r="D191" s="26" t="s">
        <v>42</v>
      </c>
      <c r="E191" s="33" t="n">
        <f aca="false">IF(D191="totale",(C191/(A191*24))/F191,IF(D191="marché libre",(C191/(A191*24))/G191,"spécifier histo"))</f>
        <v>0.147953869047619</v>
      </c>
      <c r="F191" s="59" t="n">
        <v>320</v>
      </c>
      <c r="G191" s="59" t="n">
        <f aca="false">F191-H191</f>
        <v>320</v>
      </c>
      <c r="H191" s="9" t="n">
        <f aca="false">0</f>
        <v>0</v>
      </c>
      <c r="J191" s="55"/>
    </row>
    <row r="192" customFormat="false" ht="19.85" hidden="false" customHeight="true" outlineLevel="0" collapsed="false">
      <c r="A192" s="0" t="n">
        <v>31</v>
      </c>
      <c r="B192" s="31" t="n">
        <v>42430</v>
      </c>
      <c r="C192" s="56" t="n">
        <v>95361</v>
      </c>
      <c r="D192" s="26" t="s">
        <v>42</v>
      </c>
      <c r="E192" s="33" t="n">
        <f aca="false">IF(D192="totale",(C192/(A192*24))/F192,IF(D192="marché libre",(C192/(A192*24))/G192,"spécifier histo"))</f>
        <v>0.400541834677419</v>
      </c>
      <c r="F192" s="59" t="n">
        <v>320</v>
      </c>
      <c r="G192" s="59" t="n">
        <f aca="false">F192-H192</f>
        <v>320</v>
      </c>
      <c r="H192" s="9" t="n">
        <f aca="false">0</f>
        <v>0</v>
      </c>
      <c r="J192" s="55"/>
    </row>
    <row r="193" customFormat="false" ht="19.85" hidden="false" customHeight="true" outlineLevel="0" collapsed="false">
      <c r="A193" s="0" t="n">
        <v>30</v>
      </c>
      <c r="B193" s="34" t="n">
        <v>42461</v>
      </c>
      <c r="C193" s="56" t="n">
        <v>159642</v>
      </c>
      <c r="D193" s="26" t="s">
        <v>42</v>
      </c>
      <c r="E193" s="33" t="n">
        <f aca="false">IF(D193="totale",(C193/(A193*24))/F193,IF(D193="marché libre",(C193/(A193*24))/G193,"spécifier histo"))</f>
        <v>0.692890625</v>
      </c>
      <c r="F193" s="59" t="n">
        <v>320</v>
      </c>
      <c r="G193" s="59" t="n">
        <f aca="false">F193-H193</f>
        <v>320</v>
      </c>
      <c r="H193" s="9" t="n">
        <f aca="false">0</f>
        <v>0</v>
      </c>
      <c r="J193" s="55"/>
    </row>
    <row r="194" customFormat="false" ht="19.85" hidden="false" customHeight="true" outlineLevel="0" collapsed="false">
      <c r="A194" s="0" t="n">
        <v>31</v>
      </c>
      <c r="B194" s="31" t="n">
        <v>42491</v>
      </c>
      <c r="C194" s="56" t="n">
        <v>176708</v>
      </c>
      <c r="D194" s="26" t="s">
        <v>42</v>
      </c>
      <c r="E194" s="33" t="n">
        <f aca="false">IF(D194="totale",(C194/(A194*24))/F194,IF(D194="marché libre",(C194/(A194*24))/G194,"spécifier histo"))</f>
        <v>0.742221102150538</v>
      </c>
      <c r="F194" s="59" t="n">
        <v>320</v>
      </c>
      <c r="G194" s="59" t="n">
        <f aca="false">F194-H194</f>
        <v>320</v>
      </c>
      <c r="H194" s="9" t="n">
        <f aca="false">0</f>
        <v>0</v>
      </c>
      <c r="J194" s="55"/>
    </row>
    <row r="195" customFormat="false" ht="19.85" hidden="false" customHeight="true" outlineLevel="0" collapsed="false">
      <c r="A195" s="0" t="n">
        <v>30</v>
      </c>
      <c r="B195" s="34" t="n">
        <v>42522</v>
      </c>
      <c r="C195" s="56" t="n">
        <v>157442</v>
      </c>
      <c r="D195" s="26" t="s">
        <v>42</v>
      </c>
      <c r="E195" s="33" t="n">
        <f aca="false">IF(D195="totale",(C195/(A195*24))/F195,IF(D195="marché libre",(C195/(A195*24))/G195,"spécifier histo"))</f>
        <v>0.683342013888889</v>
      </c>
      <c r="F195" s="59" t="n">
        <v>320</v>
      </c>
      <c r="G195" s="59" t="n">
        <f aca="false">F195-H195</f>
        <v>320</v>
      </c>
      <c r="H195" s="9" t="n">
        <f aca="false">0</f>
        <v>0</v>
      </c>
      <c r="J195" s="55"/>
    </row>
    <row r="196" customFormat="false" ht="19.85" hidden="false" customHeight="true" outlineLevel="0" collapsed="false">
      <c r="A196" s="0" t="n">
        <v>31</v>
      </c>
      <c r="B196" s="31" t="n">
        <v>42552</v>
      </c>
      <c r="C196" s="56" t="n">
        <v>43343</v>
      </c>
      <c r="D196" s="26" t="s">
        <v>42</v>
      </c>
      <c r="E196" s="33" t="n">
        <f aca="false">IF(D196="totale",(C196/(A196*24))/F196,IF(D196="marché libre",(C196/(A196*24))/G196,"spécifier histo"))</f>
        <v>0.182052251344086</v>
      </c>
      <c r="F196" s="59" t="n">
        <v>320</v>
      </c>
      <c r="G196" s="59" t="n">
        <f aca="false">F196-H196</f>
        <v>320</v>
      </c>
      <c r="H196" s="9" t="n">
        <f aca="false">0</f>
        <v>0</v>
      </c>
      <c r="J196" s="55"/>
    </row>
    <row r="197" customFormat="false" ht="19.85" hidden="false" customHeight="true" outlineLevel="0" collapsed="false">
      <c r="A197" s="0" t="n">
        <v>31</v>
      </c>
      <c r="B197" s="34" t="n">
        <v>42583</v>
      </c>
      <c r="C197" s="56" t="n">
        <v>13250</v>
      </c>
      <c r="D197" s="26" t="s">
        <v>42</v>
      </c>
      <c r="E197" s="33" t="n">
        <f aca="false">IF(D197="totale",(C197/(A197*24))/F197,IF(D197="marché libre",(C197/(A197*24))/G197,"spécifier histo"))</f>
        <v>0.055653561827957</v>
      </c>
      <c r="F197" s="59" t="n">
        <v>320</v>
      </c>
      <c r="G197" s="59" t="n">
        <f aca="false">F197-H197</f>
        <v>320</v>
      </c>
      <c r="H197" s="9" t="n">
        <f aca="false">0</f>
        <v>0</v>
      </c>
      <c r="J197" s="55"/>
    </row>
    <row r="198" customFormat="false" ht="19.85" hidden="false" customHeight="true" outlineLevel="0" collapsed="false">
      <c r="A198" s="0" t="n">
        <v>30</v>
      </c>
      <c r="B198" s="31" t="n">
        <v>42614</v>
      </c>
      <c r="C198" s="56" t="n">
        <v>34160</v>
      </c>
      <c r="D198" s="26" t="s">
        <v>42</v>
      </c>
      <c r="E198" s="33" t="n">
        <f aca="false">IF(D198="totale",(C198/(A198*24))/F198,IF(D198="marché libre",(C198/(A198*24))/G198,"spécifier histo"))</f>
        <v>0.148263888888889</v>
      </c>
      <c r="F198" s="59" t="n">
        <v>320</v>
      </c>
      <c r="G198" s="59" t="n">
        <f aca="false">F198-H198</f>
        <v>320</v>
      </c>
      <c r="H198" s="9" t="n">
        <f aca="false">0</f>
        <v>0</v>
      </c>
      <c r="J198" s="55"/>
    </row>
    <row r="199" customFormat="false" ht="19.85" hidden="false" customHeight="true" outlineLevel="0" collapsed="false">
      <c r="A199" s="0" t="n">
        <v>31</v>
      </c>
      <c r="B199" s="34" t="n">
        <v>42644</v>
      </c>
      <c r="C199" s="56" t="n">
        <v>32310</v>
      </c>
      <c r="D199" s="26" t="s">
        <v>42</v>
      </c>
      <c r="E199" s="33" t="n">
        <f aca="false">IF(D199="totale",(C199/(A199*24))/F199,IF(D199="marché libre",(C199/(A199*24))/G199,"spécifier histo"))</f>
        <v>0.135710685483871</v>
      </c>
      <c r="F199" s="59" t="n">
        <v>320</v>
      </c>
      <c r="G199" s="59" t="n">
        <f aca="false">F199-H199</f>
        <v>320</v>
      </c>
      <c r="H199" s="9" t="n">
        <f aca="false">0</f>
        <v>0</v>
      </c>
      <c r="J199" s="55"/>
    </row>
    <row r="200" customFormat="false" ht="19.85" hidden="false" customHeight="true" outlineLevel="0" collapsed="false">
      <c r="A200" s="0" t="n">
        <v>30</v>
      </c>
      <c r="B200" s="31" t="n">
        <v>42675</v>
      </c>
      <c r="C200" s="56" t="n">
        <v>53605</v>
      </c>
      <c r="D200" s="26" t="s">
        <v>42</v>
      </c>
      <c r="E200" s="33" t="n">
        <f aca="false">IF(D200="totale",(C200/(A200*24))/F200,IF(D200="marché libre",(C200/(A200*24))/G200,"spécifier histo"))</f>
        <v>0.232660590277778</v>
      </c>
      <c r="F200" s="59" t="n">
        <v>320</v>
      </c>
      <c r="G200" s="59" t="n">
        <f aca="false">F200-H200</f>
        <v>320</v>
      </c>
      <c r="H200" s="9" t="n">
        <f aca="false">0</f>
        <v>0</v>
      </c>
      <c r="J200" s="55"/>
    </row>
    <row r="201" customFormat="false" ht="19.85" hidden="false" customHeight="true" outlineLevel="0" collapsed="false">
      <c r="A201" s="0" t="n">
        <v>31</v>
      </c>
      <c r="B201" s="34" t="n">
        <v>42705</v>
      </c>
      <c r="C201" s="56" t="n">
        <v>62707</v>
      </c>
      <c r="D201" s="26" t="s">
        <v>42</v>
      </c>
      <c r="E201" s="33" t="n">
        <f aca="false">IF(D201="totale",(C201/(A201*24))/F201,IF(D201="marché libre",(C201/(A201*24))/G201,"spécifier histo"))</f>
        <v>0.26338625672043</v>
      </c>
      <c r="F201" s="59" t="n">
        <v>320</v>
      </c>
      <c r="G201" s="59" t="n">
        <f aca="false">F201-H201</f>
        <v>320</v>
      </c>
      <c r="H201" s="9" t="n">
        <f aca="false">0</f>
        <v>0</v>
      </c>
      <c r="J201" s="55"/>
    </row>
    <row r="202" customFormat="false" ht="19.85" hidden="false" customHeight="true" outlineLevel="0" collapsed="false">
      <c r="A202" s="0" t="n">
        <v>31</v>
      </c>
      <c r="B202" s="31" t="n">
        <v>42736</v>
      </c>
      <c r="C202" s="56" t="n">
        <v>66641</v>
      </c>
      <c r="D202" s="26" t="s">
        <v>42</v>
      </c>
      <c r="E202" s="33" t="n">
        <f aca="false">IF(D202="totale",(C202/(A202*24))/F202,IF(D202="marché libre",(C202/(A202*24))/G202,"spécifier histo"))</f>
        <v>0.279910114247312</v>
      </c>
      <c r="F202" s="59" t="n">
        <v>320</v>
      </c>
      <c r="G202" s="59" t="n">
        <f aca="false">F202-H202</f>
        <v>320</v>
      </c>
      <c r="H202" s="9" t="n">
        <f aca="false">0</f>
        <v>0</v>
      </c>
      <c r="J202" s="55"/>
      <c r="K202" s="0"/>
    </row>
    <row r="203" customFormat="false" ht="19.85" hidden="false" customHeight="true" outlineLevel="0" collapsed="false">
      <c r="A203" s="0" t="n">
        <v>28</v>
      </c>
      <c r="B203" s="34" t="n">
        <v>42767</v>
      </c>
      <c r="C203" s="56" t="n">
        <v>118602</v>
      </c>
      <c r="D203" s="26" t="s">
        <v>42</v>
      </c>
      <c r="E203" s="33" t="n">
        <f aca="false">IF(D203="totale",(C203/(A203*24))/F203,IF(D203="marché libre",(C203/(A203*24))/G203,"spécifier histo"))</f>
        <v>0.551534598214286</v>
      </c>
      <c r="F203" s="59" t="n">
        <v>320</v>
      </c>
      <c r="G203" s="59" t="n">
        <f aca="false">F203-H203</f>
        <v>320</v>
      </c>
      <c r="H203" s="9" t="n">
        <f aca="false">0</f>
        <v>0</v>
      </c>
      <c r="J203" s="55"/>
      <c r="K203" s="0"/>
    </row>
    <row r="204" customFormat="false" ht="19.85" hidden="false" customHeight="true" outlineLevel="0" collapsed="false">
      <c r="A204" s="0" t="n">
        <v>31</v>
      </c>
      <c r="B204" s="31" t="n">
        <v>42795</v>
      </c>
      <c r="C204" s="56" t="n">
        <v>109104</v>
      </c>
      <c r="D204" s="26" t="s">
        <v>42</v>
      </c>
      <c r="E204" s="33" t="n">
        <f aca="false">IF(D204="totale",(C204/(A204*24))/F204,IF(D204="marché libre",(C204/(A204*24))/G204,"spécifier histo"))</f>
        <v>0.458266129032258</v>
      </c>
      <c r="F204" s="59" t="n">
        <v>320</v>
      </c>
      <c r="G204" s="59" t="n">
        <f aca="false">F204-H204</f>
        <v>320</v>
      </c>
      <c r="H204" s="9" t="n">
        <f aca="false">0</f>
        <v>0</v>
      </c>
      <c r="J204" s="55"/>
      <c r="K204" s="0"/>
    </row>
    <row r="205" customFormat="false" ht="19.85" hidden="false" customHeight="true" outlineLevel="0" collapsed="false">
      <c r="A205" s="0" t="n">
        <v>30</v>
      </c>
      <c r="B205" s="34" t="n">
        <v>42826</v>
      </c>
      <c r="C205" s="56" t="n">
        <v>134054</v>
      </c>
      <c r="D205" s="26" t="s">
        <v>42</v>
      </c>
      <c r="E205" s="33" t="n">
        <f aca="false">IF(D205="totale",(C205/(A205*24))/F205,IF(D205="marché libre",(C205/(A205*24))/G205,"spécifier histo"))</f>
        <v>0.581831597222222</v>
      </c>
      <c r="F205" s="59" t="n">
        <v>320</v>
      </c>
      <c r="G205" s="59" t="n">
        <f aca="false">F205-H205</f>
        <v>320</v>
      </c>
      <c r="H205" s="9" t="n">
        <f aca="false">0</f>
        <v>0</v>
      </c>
      <c r="J205" s="55"/>
      <c r="K205" s="0"/>
    </row>
    <row r="206" customFormat="false" ht="19.85" hidden="false" customHeight="true" outlineLevel="0" collapsed="false">
      <c r="A206" s="0" t="n">
        <v>31</v>
      </c>
      <c r="B206" s="31" t="n">
        <v>42856</v>
      </c>
      <c r="C206" s="56" t="n">
        <v>108208</v>
      </c>
      <c r="D206" s="26" t="s">
        <v>42</v>
      </c>
      <c r="E206" s="33" t="n">
        <f aca="false">IF(D206="totale",(C206/(A206*24))/F206,IF(D206="marché libre",(C206/(A206*24))/G206,"spécifier histo"))</f>
        <v>0.454502688172043</v>
      </c>
      <c r="F206" s="59" t="n">
        <v>320</v>
      </c>
      <c r="G206" s="59" t="n">
        <f aca="false">F206-H206</f>
        <v>320</v>
      </c>
      <c r="H206" s="9" t="n">
        <f aca="false">0</f>
        <v>0</v>
      </c>
      <c r="J206" s="55"/>
      <c r="K206" s="0"/>
    </row>
    <row r="207" customFormat="false" ht="22.45" hidden="false" customHeight="true" outlineLevel="0" collapsed="false">
      <c r="A207" s="0" t="n">
        <v>30</v>
      </c>
      <c r="B207" s="34" t="n">
        <v>42887</v>
      </c>
      <c r="C207" s="56" t="n">
        <v>44208</v>
      </c>
      <c r="D207" s="26" t="s">
        <v>42</v>
      </c>
      <c r="E207" s="33" t="n">
        <f aca="false">IF(D207="totale",(C207/(A207*24))/F207,IF(D207="marché libre",(C207/(A207*24))/G207,"spécifier histo"))</f>
        <v>0.191875</v>
      </c>
      <c r="F207" s="59" t="n">
        <v>320</v>
      </c>
      <c r="G207" s="59" t="n">
        <f aca="false">F207-H207</f>
        <v>320</v>
      </c>
      <c r="H207" s="9" t="n">
        <f aca="false">0</f>
        <v>0</v>
      </c>
      <c r="J207" s="55"/>
      <c r="K207" s="0"/>
    </row>
    <row r="208" customFormat="false" ht="21.65" hidden="false" customHeight="true" outlineLevel="0" collapsed="false">
      <c r="A208" s="0" t="n">
        <v>31</v>
      </c>
      <c r="B208" s="31" t="n">
        <v>42917</v>
      </c>
      <c r="C208" s="56" t="n">
        <v>36335</v>
      </c>
      <c r="D208" s="26" t="s">
        <v>42</v>
      </c>
      <c r="E208" s="33" t="n">
        <f aca="false">IF(D208="totale",(C208/(A208*24))/F208,IF(D208="marché libre",(C208/(A208*24))/G208,"spécifier histo"))</f>
        <v>0.152616767473118</v>
      </c>
      <c r="F208" s="59" t="n">
        <v>320</v>
      </c>
      <c r="G208" s="59" t="n">
        <f aca="false">F208-H208</f>
        <v>320</v>
      </c>
      <c r="H208" s="9" t="n">
        <f aca="false">0</f>
        <v>0</v>
      </c>
      <c r="J208" s="55"/>
      <c r="K208" s="0"/>
    </row>
    <row r="209" customFormat="false" ht="21.65" hidden="false" customHeight="true" outlineLevel="0" collapsed="false">
      <c r="A209" s="0" t="n">
        <v>31</v>
      </c>
      <c r="B209" s="34" t="n">
        <v>42948</v>
      </c>
      <c r="C209" s="56" t="n">
        <v>7115</v>
      </c>
      <c r="D209" s="26" t="s">
        <v>42</v>
      </c>
      <c r="E209" s="33" t="n">
        <f aca="false">IF(D209="totale",(C209/(A209*24))/F209,IF(D209="marché libre",(C209/(A209*24))/G209,"spécifier histo"))</f>
        <v>0.0298849126344086</v>
      </c>
      <c r="F209" s="59" t="n">
        <v>320</v>
      </c>
      <c r="G209" s="59" t="n">
        <f aca="false">F209-H209</f>
        <v>320</v>
      </c>
      <c r="H209" s="9" t="n">
        <f aca="false">0</f>
        <v>0</v>
      </c>
      <c r="J209" s="55"/>
      <c r="K209" s="0"/>
    </row>
    <row r="210" customFormat="false" ht="21.65" hidden="false" customHeight="true" outlineLevel="0" collapsed="false">
      <c r="A210" s="0" t="n">
        <v>30</v>
      </c>
      <c r="B210" s="31" t="n">
        <v>42979</v>
      </c>
      <c r="C210" s="56" t="n">
        <v>11638</v>
      </c>
      <c r="D210" s="26" t="s">
        <v>42</v>
      </c>
      <c r="E210" s="33" t="n">
        <f aca="false">IF(D210="totale",(C210/(A210*24))/F210,IF(D210="marché libre",(C210/(A210*24))/G210,"spécifier histo"))</f>
        <v>0.0505121527777778</v>
      </c>
      <c r="F210" s="59" t="n">
        <v>320</v>
      </c>
      <c r="G210" s="59" t="n">
        <f aca="false">F210-H210</f>
        <v>320</v>
      </c>
      <c r="H210" s="9" t="n">
        <f aca="false">0</f>
        <v>0</v>
      </c>
      <c r="J210" s="55"/>
      <c r="K210" s="0"/>
    </row>
    <row r="211" customFormat="false" ht="21.65" hidden="false" customHeight="true" outlineLevel="0" collapsed="false">
      <c r="A211" s="0" t="n">
        <v>31</v>
      </c>
      <c r="B211" s="34" t="n">
        <v>43009</v>
      </c>
      <c r="C211" s="56" t="n">
        <v>12134</v>
      </c>
      <c r="D211" s="26" t="s">
        <v>42</v>
      </c>
      <c r="E211" s="33" t="n">
        <f aca="false">IF(D211="totale",(C211/(A211*24))/F211,IF(D211="marché libre",(C211/(A211*24))/G211,"spécifier histo"))</f>
        <v>0.050966061827957</v>
      </c>
      <c r="F211" s="59" t="n">
        <v>320</v>
      </c>
      <c r="G211" s="59" t="n">
        <f aca="false">F211-H211</f>
        <v>320</v>
      </c>
      <c r="H211" s="9" t="n">
        <f aca="false">0</f>
        <v>0</v>
      </c>
      <c r="J211" s="55"/>
      <c r="K211" s="0"/>
    </row>
    <row r="212" customFormat="false" ht="21.65" hidden="false" customHeight="true" outlineLevel="0" collapsed="false">
      <c r="A212" s="0" t="n">
        <v>30</v>
      </c>
      <c r="B212" s="31" t="n">
        <v>43040</v>
      </c>
      <c r="C212" s="56" t="n">
        <v>15697</v>
      </c>
      <c r="D212" s="26" t="s">
        <v>42</v>
      </c>
      <c r="E212" s="33" t="n">
        <f aca="false">IF(D212="totale",(C212/(A212*24))/F212,IF(D212="marché libre",(C212/(A212*24))/G212,"spécifier histo"))</f>
        <v>0.0681293402777778</v>
      </c>
      <c r="F212" s="59" t="n">
        <v>320</v>
      </c>
      <c r="G212" s="59" t="n">
        <f aca="false">F212-H212</f>
        <v>320</v>
      </c>
      <c r="H212" s="9" t="n">
        <f aca="false">0</f>
        <v>0</v>
      </c>
      <c r="J212" s="55"/>
      <c r="K212" s="0"/>
    </row>
    <row r="213" customFormat="false" ht="21.65" hidden="false" customHeight="true" outlineLevel="0" collapsed="false">
      <c r="A213" s="0" t="n">
        <v>31</v>
      </c>
      <c r="B213" s="34" t="n">
        <v>43070</v>
      </c>
      <c r="C213" s="56" t="n">
        <v>56391</v>
      </c>
      <c r="D213" s="26" t="s">
        <v>42</v>
      </c>
      <c r="E213" s="33" t="n">
        <f aca="false">IF(D213="totale",(C213/(A213*24))/F213,IF(D213="marché libre",(C213/(A213*24))/G213,"spécifier histo"))</f>
        <v>0.236857358870968</v>
      </c>
      <c r="F213" s="59" t="n">
        <v>320</v>
      </c>
      <c r="G213" s="59" t="n">
        <f aca="false">F213-H213</f>
        <v>320</v>
      </c>
      <c r="H213" s="9" t="n">
        <f aca="false">0</f>
        <v>0</v>
      </c>
      <c r="J213" s="55"/>
      <c r="K213" s="0"/>
    </row>
    <row r="214" customFormat="false" ht="28.35" hidden="false" customHeight="true" outlineLevel="0" collapsed="false">
      <c r="A214" s="0" t="n">
        <v>31</v>
      </c>
      <c r="B214" s="31" t="n">
        <v>43101</v>
      </c>
      <c r="C214" s="59" t="n">
        <v>5765</v>
      </c>
      <c r="D214" s="26" t="s">
        <v>42</v>
      </c>
      <c r="E214" s="33" t="n">
        <f aca="false">IF(D214="totale",(C214/(A214*24))/F214,IF(D214="marché libre",(C214/(A214*24))/G214,"spécifier histo"))</f>
        <v>0.0242145497311828</v>
      </c>
      <c r="F214" s="59" t="n">
        <v>320</v>
      </c>
      <c r="G214" s="59" t="n">
        <f aca="false">F214-H214</f>
        <v>320</v>
      </c>
      <c r="H214" s="9" t="n">
        <f aca="false">0</f>
        <v>0</v>
      </c>
      <c r="J214" s="55"/>
    </row>
    <row r="215" customFormat="false" ht="28.35" hidden="false" customHeight="true" outlineLevel="0" collapsed="false">
      <c r="A215" s="0" t="n">
        <v>28</v>
      </c>
      <c r="B215" s="34" t="n">
        <v>43132</v>
      </c>
      <c r="C215" s="1" t="n">
        <v>69138</v>
      </c>
      <c r="D215" s="26" t="s">
        <v>42</v>
      </c>
      <c r="E215" s="33" t="n">
        <f aca="false">IF(D215="totale",(C215/(A215*24))/F215,IF(D215="marché libre",(C215/(A215*24))/G215,"spécifier histo"))</f>
        <v>0.321512276785714</v>
      </c>
      <c r="F215" s="59" t="n">
        <v>320</v>
      </c>
      <c r="G215" s="59" t="n">
        <f aca="false">F215-H215</f>
        <v>320</v>
      </c>
      <c r="H215" s="9" t="n">
        <f aca="false">0</f>
        <v>0</v>
      </c>
    </row>
    <row r="216" customFormat="false" ht="28.35" hidden="false" customHeight="true" outlineLevel="0" collapsed="false">
      <c r="A216" s="0" t="n">
        <v>31</v>
      </c>
      <c r="B216" s="31" t="n">
        <v>43160</v>
      </c>
      <c r="C216" s="1" t="n">
        <v>120505</v>
      </c>
      <c r="D216" s="26" t="s">
        <v>42</v>
      </c>
      <c r="E216" s="33" t="n">
        <f aca="false">IF(D216="totale",(C216/(A216*24))/F216,IF(D216="marché libre",(C216/(A216*24))/G216,"spécifier histo"))</f>
        <v>0.506153393817204</v>
      </c>
      <c r="F216" s="59" t="n">
        <v>320</v>
      </c>
      <c r="G216" s="59" t="n">
        <f aca="false">F216-H216</f>
        <v>320</v>
      </c>
      <c r="H216" s="9" t="n">
        <f aca="false">0</f>
        <v>0</v>
      </c>
    </row>
    <row r="217" customFormat="false" ht="28.35" hidden="false" customHeight="true" outlineLevel="0" collapsed="false">
      <c r="A217" s="0" t="n">
        <v>30</v>
      </c>
      <c r="B217" s="34" t="n">
        <v>43191</v>
      </c>
      <c r="C217" s="1" t="n">
        <v>133011</v>
      </c>
      <c r="D217" s="26" t="s">
        <v>42</v>
      </c>
      <c r="E217" s="33" t="n">
        <f aca="false">IF(D217="totale",(C217/(A217*24))/F217,IF(D217="marché libre",(C217/(A217*24))/G217,"spécifier histo"))</f>
        <v>0.5773046875</v>
      </c>
      <c r="F217" s="59" t="n">
        <v>320</v>
      </c>
      <c r="G217" s="59" t="n">
        <f aca="false">F217-H217</f>
        <v>320</v>
      </c>
      <c r="H217" s="9" t="n">
        <f aca="false">0</f>
        <v>0</v>
      </c>
    </row>
    <row r="218" customFormat="false" ht="28.35" hidden="false" customHeight="true" outlineLevel="0" collapsed="false">
      <c r="A218" s="0" t="n">
        <v>31</v>
      </c>
      <c r="B218" s="31" t="n">
        <v>43221</v>
      </c>
      <c r="C218" s="1" t="n">
        <v>169531</v>
      </c>
      <c r="D218" s="26" t="s">
        <v>42</v>
      </c>
      <c r="E218" s="33" t="n">
        <f aca="false">IF(D218="totale",(C218/(A218*24))/F218,IF(D218="marché libre",(C218/(A218*24))/G218,"spécifier histo"))</f>
        <v>0.712075772849462</v>
      </c>
      <c r="F218" s="59" t="n">
        <v>320</v>
      </c>
      <c r="G218" s="59" t="n">
        <f aca="false">F218-H218</f>
        <v>320</v>
      </c>
      <c r="H218" s="9" t="n">
        <f aca="false">0</f>
        <v>0</v>
      </c>
    </row>
    <row r="219" customFormat="false" ht="28.35" hidden="false" customHeight="true" outlineLevel="0" collapsed="false">
      <c r="A219" s="0" t="n">
        <v>30</v>
      </c>
      <c r="B219" s="34" t="n">
        <v>43252</v>
      </c>
      <c r="C219" s="1" t="n">
        <v>144748</v>
      </c>
      <c r="D219" s="26" t="s">
        <v>42</v>
      </c>
      <c r="E219" s="33" t="n">
        <f aca="false">IF(D219="totale",(C219/(A219*24))/F219,IF(D219="marché libre",(C219/(A219*24))/G219,"spécifier histo"))</f>
        <v>0.628246527777778</v>
      </c>
      <c r="F219" s="59" t="n">
        <v>320</v>
      </c>
      <c r="G219" s="59" t="n">
        <f aca="false">F219-H219</f>
        <v>320</v>
      </c>
      <c r="H219" s="9" t="n">
        <f aca="false">0</f>
        <v>0</v>
      </c>
    </row>
    <row r="220" customFormat="false" ht="28.35" hidden="false" customHeight="true" outlineLevel="0" collapsed="false">
      <c r="A220" s="0" t="n">
        <v>31</v>
      </c>
      <c r="B220" s="31" t="n">
        <v>43282</v>
      </c>
      <c r="C220" s="1" t="n">
        <v>110274</v>
      </c>
      <c r="D220" s="26" t="s">
        <v>42</v>
      </c>
      <c r="E220" s="33" t="n">
        <f aca="false">IF(D220="totale",(C220/(A220*24))/F220,IF(D220="marché libre",(C220/(A220*24))/G220,"spécifier histo"))</f>
        <v>0.463180443548387</v>
      </c>
      <c r="F220" s="59" t="n">
        <v>320</v>
      </c>
      <c r="G220" s="59" t="n">
        <f aca="false">F220-H220</f>
        <v>320</v>
      </c>
      <c r="H220" s="9" t="n">
        <f aca="false">0</f>
        <v>0</v>
      </c>
    </row>
    <row r="221" customFormat="false" ht="28.35" hidden="false" customHeight="true" outlineLevel="0" collapsed="false">
      <c r="A221" s="0" t="n">
        <v>31</v>
      </c>
      <c r="B221" s="34" t="n">
        <v>43313</v>
      </c>
      <c r="C221" s="1" t="n">
        <v>53180</v>
      </c>
      <c r="D221" s="26" t="s">
        <v>42</v>
      </c>
      <c r="E221" s="33" t="n">
        <f aca="false">IF(D221="totale",(C221/(A221*24))/F221,IF(D221="marché libre",(C221/(A221*24))/G221,"spécifier histo"))</f>
        <v>0.223370295698925</v>
      </c>
      <c r="F221" s="59" t="n">
        <v>320</v>
      </c>
      <c r="G221" s="59" t="n">
        <f aca="false">F221-H221</f>
        <v>320</v>
      </c>
      <c r="H221" s="9" t="n">
        <f aca="false">0</f>
        <v>0</v>
      </c>
    </row>
    <row r="222" customFormat="false" ht="28.35" hidden="false" customHeight="true" outlineLevel="0" collapsed="false">
      <c r="A222" s="0"/>
    </row>
    <row r="223" customFormat="false" ht="28.35" hidden="false" customHeight="true" outlineLevel="0" collapsed="false">
      <c r="A223" s="0"/>
    </row>
    <row r="224" customFormat="false" ht="28.35" hidden="false" customHeight="true" outlineLevel="0" collapsed="false">
      <c r="A224" s="0"/>
    </row>
    <row r="225" customFormat="false" ht="28.35" hidden="false" customHeight="true" outlineLevel="0" collapsed="false">
      <c r="A225" s="0"/>
    </row>
    <row r="226" customFormat="false" ht="28.35" hidden="false" customHeight="true" outlineLevel="0" collapsed="false">
      <c r="A226" s="0"/>
    </row>
    <row r="227" customFormat="false" ht="28.35" hidden="false" customHeight="true" outlineLevel="0" collapsed="false">
      <c r="A227" s="0"/>
    </row>
    <row r="228" customFormat="false" ht="28.35" hidden="false" customHeight="true" outlineLevel="0" collapsed="false">
      <c r="A228" s="0"/>
    </row>
    <row r="229" customFormat="false" ht="28.35" hidden="false" customHeight="true" outlineLevel="0" collapsed="false">
      <c r="A229" s="0"/>
    </row>
    <row r="230" customFormat="false" ht="28.35" hidden="false" customHeight="true" outlineLevel="0" collapsed="false">
      <c r="A230" s="0"/>
    </row>
    <row r="231" customFormat="false" ht="28.35" hidden="false" customHeight="true" outlineLevel="0" collapsed="false">
      <c r="A231" s="0"/>
    </row>
    <row r="232" customFormat="false" ht="28.35" hidden="false" customHeight="true" outlineLevel="0" collapsed="false">
      <c r="A232" s="0"/>
    </row>
    <row r="233" customFormat="false" ht="28.35" hidden="false" customHeight="true" outlineLevel="0" collapsed="false">
      <c r="A233" s="0"/>
    </row>
    <row r="234" customFormat="false" ht="28.35" hidden="false" customHeight="true" outlineLevel="0" collapsed="false">
      <c r="A234" s="0"/>
    </row>
    <row r="235" customFormat="false" ht="28.35" hidden="false" customHeight="true" outlineLevel="0" collapsed="false">
      <c r="A235" s="0"/>
    </row>
    <row r="236" customFormat="false" ht="28.35" hidden="false" customHeight="true" outlineLevel="0" collapsed="false">
      <c r="A236" s="0"/>
    </row>
    <row r="237" customFormat="false" ht="28.35" hidden="false" customHeight="true" outlineLevel="0" collapsed="false">
      <c r="A237" s="0"/>
    </row>
    <row r="238" customFormat="false" ht="28.35" hidden="false" customHeight="true" outlineLevel="0" collapsed="false">
      <c r="A238" s="0"/>
    </row>
    <row r="239" customFormat="false" ht="28.35" hidden="false" customHeight="true" outlineLevel="0" collapsed="false">
      <c r="A239" s="0"/>
    </row>
    <row r="240" customFormat="false" ht="28.35" hidden="false" customHeight="true" outlineLevel="0" collapsed="false">
      <c r="A240" s="0"/>
    </row>
    <row r="241" customFormat="false" ht="28.35" hidden="false" customHeight="true" outlineLevel="0" collapsed="false">
      <c r="A241" s="0"/>
    </row>
    <row r="242" customFormat="false" ht="28.35" hidden="false" customHeight="true" outlineLevel="0" collapsed="false">
      <c r="A242" s="0"/>
    </row>
    <row r="243" customFormat="false" ht="28.35" hidden="false" customHeight="true" outlineLevel="0" collapsed="false">
      <c r="A243" s="0"/>
    </row>
    <row r="244" customFormat="false" ht="28.35" hidden="false" customHeight="true" outlineLevel="0" collapsed="false">
      <c r="A244" s="0"/>
    </row>
    <row r="245" customFormat="false" ht="28.35" hidden="false" customHeight="true" outlineLevel="0" collapsed="false">
      <c r="A245" s="0"/>
    </row>
    <row r="246" customFormat="false" ht="28.35" hidden="false" customHeight="true" outlineLevel="0" collapsed="false">
      <c r="A246" s="0"/>
    </row>
    <row r="247" customFormat="false" ht="28.35" hidden="false" customHeight="true" outlineLevel="0" collapsed="false">
      <c r="A247" s="0"/>
    </row>
    <row r="248" customFormat="false" ht="28.35" hidden="false" customHeight="true" outlineLevel="0" collapsed="false">
      <c r="A248" s="0"/>
    </row>
    <row r="249" customFormat="false" ht="28.35" hidden="false" customHeight="true" outlineLevel="0" collapsed="false">
      <c r="A249" s="0"/>
    </row>
    <row r="250" customFormat="false" ht="28.35" hidden="false" customHeight="true" outlineLevel="0" collapsed="false">
      <c r="A250" s="0"/>
    </row>
    <row r="251" customFormat="false" ht="28.35" hidden="false" customHeight="true" outlineLevel="0" collapsed="false">
      <c r="A251" s="0"/>
    </row>
    <row r="252" customFormat="false" ht="28.35" hidden="false" customHeight="true" outlineLevel="0" collapsed="false">
      <c r="A252" s="0"/>
    </row>
    <row r="253" customFormat="false" ht="28.35" hidden="false" customHeight="true" outlineLevel="0" collapsed="false">
      <c r="A253" s="0"/>
    </row>
    <row r="254" customFormat="false" ht="28.35" hidden="false" customHeight="true" outlineLevel="0" collapsed="false">
      <c r="A254" s="0"/>
    </row>
    <row r="255" customFormat="false" ht="28.35" hidden="false" customHeight="true" outlineLevel="0" collapsed="false">
      <c r="A255" s="0"/>
    </row>
    <row r="1048552" customFormat="false" ht="12.8" hidden="false" customHeight="true" outlineLevel="0" collapsed="false"/>
    <row r="1048553" customFormat="false" ht="12.8" hidden="false" customHeight="true" outlineLevel="0" collapsed="false"/>
    <row r="1048554" customFormat="false" ht="12.8" hidden="false" customHeight="true" outlineLevel="0" collapsed="false"/>
    <row r="1048555" customFormat="false" ht="12.8" hidden="false" customHeight="true" outlineLevel="0" collapsed="false"/>
    <row r="1048556" customFormat="false" ht="12.8" hidden="false" customHeight="true" outlineLevel="0" collapsed="false"/>
    <row r="1048557" customFormat="false" ht="12.8" hidden="false" customHeight="true" outlineLevel="0" collapsed="false"/>
    <row r="1048558" customFormat="false" ht="12.8" hidden="false" customHeight="true" outlineLevel="0" collapsed="false"/>
    <row r="1048559" customFormat="false" ht="12.8" hidden="false" customHeight="true" outlineLevel="0" collapsed="false"/>
    <row r="1048560" customFormat="false" ht="12.8" hidden="false" customHeight="true" outlineLevel="0" collapsed="false"/>
    <row r="1048561" customFormat="false" ht="12.8" hidden="false" customHeight="true" outlineLevel="0" collapsed="false"/>
    <row r="1048562" customFormat="false" ht="12.8" hidden="false" customHeight="true" outlineLevel="0" collapsed="false"/>
    <row r="1048563" customFormat="false" ht="12.8" hidden="false" customHeight="true" outlineLevel="0" collapsed="false"/>
    <row r="1048564" customFormat="false" ht="12.8" hidden="false" customHeight="true" outlineLevel="0" collapsed="false"/>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2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61.xml><?xml version="1.0" encoding="utf-8"?>
<worksheet xmlns="http://schemas.openxmlformats.org/spreadsheetml/2006/main" xmlns:r="http://schemas.openxmlformats.org/officeDocument/2006/relationships">
  <sheetPr filterMode="false">
    <tabColor rgb="FF00CC33"/>
    <pageSetUpPr fitToPage="false"/>
  </sheetPr>
  <dimension ref="A1:V27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89" activePane="bottomRight" state="frozen"/>
      <selection pane="topLeft" activeCell="A1" activeCellId="0" sqref="A1"/>
      <selection pane="topRight" activeCell="B1" activeCellId="0" sqref="B1"/>
      <selection pane="bottomLeft" activeCell="A189" activeCellId="0" sqref="A189"/>
      <selection pane="bottomRight" activeCell="B194" activeCellId="0" sqref="B194"/>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960</v>
      </c>
      <c r="C4" s="5" t="n">
        <v>71716</v>
      </c>
      <c r="D4" s="5" t="s">
        <v>961</v>
      </c>
      <c r="E4" s="14" t="s">
        <v>962</v>
      </c>
      <c r="F4" s="19" t="s">
        <v>963</v>
      </c>
      <c r="G4" s="15" t="n">
        <v>1613</v>
      </c>
      <c r="H4" s="19" t="n">
        <v>1518</v>
      </c>
      <c r="I4" s="16"/>
      <c r="J4" s="15" t="s">
        <v>964</v>
      </c>
      <c r="K4" s="16"/>
      <c r="L4" s="16" t="s">
        <v>113</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c r="H6" s="20"/>
      <c r="I6" s="20"/>
      <c r="J6" s="20"/>
      <c r="K6" s="20"/>
      <c r="L6" s="20"/>
      <c r="M6" s="20"/>
      <c r="N6" s="20"/>
      <c r="P6" s="21" t="n">
        <v>42064</v>
      </c>
      <c r="Q6" s="19" t="s">
        <v>27</v>
      </c>
      <c r="R6" s="9"/>
      <c r="S6" s="22"/>
      <c r="T6" s="5" t="s">
        <v>28</v>
      </c>
    </row>
    <row r="7" customFormat="false" ht="41.65" hidden="false" customHeight="true" outlineLevel="0" collapsed="false">
      <c r="A7" s="0"/>
      <c r="B7" s="0"/>
      <c r="C7" s="23" t="s">
        <v>965</v>
      </c>
      <c r="D7" s="23"/>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3.95" hidden="false" customHeight="true" outlineLevel="0" collapsed="false">
      <c r="A10" s="0" t="n">
        <v>31</v>
      </c>
      <c r="B10" s="31" t="n">
        <v>37622</v>
      </c>
      <c r="C10" s="56" t="n">
        <v>684200</v>
      </c>
      <c r="D10" s="57" t="s">
        <v>42</v>
      </c>
      <c r="E10" s="33" t="n">
        <f aca="false">IF(D10="totale",(C10/(A10*24))/F10,IF(D10="marché libre",(C10/(A10*24))/G10,"spécifier histo"))</f>
        <v>0.605812685055322</v>
      </c>
      <c r="F10" s="59" t="n">
        <v>1518</v>
      </c>
      <c r="G10" s="59" t="n">
        <f aca="false">F10-H10</f>
        <v>1518</v>
      </c>
      <c r="H10" s="58" t="n">
        <v>0</v>
      </c>
      <c r="I10" s="9"/>
      <c r="J10" s="30"/>
    </row>
    <row r="11" customFormat="false" ht="23.95" hidden="false" customHeight="true" outlineLevel="0" collapsed="false">
      <c r="A11" s="0" t="n">
        <v>28</v>
      </c>
      <c r="B11" s="34" t="n">
        <v>37653</v>
      </c>
      <c r="C11" s="56" t="n">
        <v>48200</v>
      </c>
      <c r="D11" s="57" t="s">
        <v>42</v>
      </c>
      <c r="E11" s="33" t="n">
        <f aca="false">IF(D11="totale",(C11/(A11*24))/F11,IF(D11="marché libre",(C11/(A11*24))/G11,"spécifier histo"))</f>
        <v>0.0472504548591505</v>
      </c>
      <c r="F11" s="59" t="n">
        <v>1518</v>
      </c>
      <c r="G11" s="59" t="n">
        <f aca="false">F11-H11</f>
        <v>1518</v>
      </c>
      <c r="H11" s="58" t="n">
        <v>0</v>
      </c>
      <c r="I11" s="9"/>
      <c r="J11" s="30"/>
    </row>
    <row r="12" customFormat="false" ht="23.95" hidden="false" customHeight="true" outlineLevel="0" collapsed="false">
      <c r="A12" s="0" t="n">
        <v>31</v>
      </c>
      <c r="B12" s="31" t="n">
        <v>37681</v>
      </c>
      <c r="C12" s="56" t="n">
        <v>92200</v>
      </c>
      <c r="D12" s="57" t="s">
        <v>42</v>
      </c>
      <c r="E12" s="33" t="n">
        <f aca="false">IF(D12="totale",(C12/(A12*24))/F12,IF(D12="marché libre",(C12/(A12*24))/G12,"spécifier histo"))</f>
        <v>0.0816368453114596</v>
      </c>
      <c r="F12" s="59" t="n">
        <v>1518</v>
      </c>
      <c r="G12" s="59" t="n">
        <f aca="false">F12-H12</f>
        <v>1518</v>
      </c>
      <c r="H12" s="58" t="n">
        <v>0</v>
      </c>
      <c r="I12" s="9"/>
      <c r="J12" s="30"/>
    </row>
    <row r="13" customFormat="false" ht="23.95" hidden="false" customHeight="true" outlineLevel="0" collapsed="false">
      <c r="A13" s="0" t="n">
        <v>30</v>
      </c>
      <c r="B13" s="34" t="n">
        <v>37712</v>
      </c>
      <c r="C13" s="56" t="n">
        <v>0</v>
      </c>
      <c r="D13" s="57" t="s">
        <v>42</v>
      </c>
      <c r="E13" s="33" t="n">
        <f aca="false">IF(D13="totale",(C13/(A13*24))/F13,IF(D13="marché libre",(C13/(A13*24))/G13,"spécifier histo"))</f>
        <v>0</v>
      </c>
      <c r="F13" s="59" t="n">
        <v>1518</v>
      </c>
      <c r="G13" s="59" t="n">
        <f aca="false">F13-H13</f>
        <v>1518</v>
      </c>
      <c r="H13" s="58" t="n">
        <v>0</v>
      </c>
      <c r="I13" s="9"/>
      <c r="J13" s="30"/>
    </row>
    <row r="14" customFormat="false" ht="23.95" hidden="false" customHeight="true" outlineLevel="0" collapsed="false">
      <c r="A14" s="0" t="n">
        <v>31</v>
      </c>
      <c r="B14" s="31" t="n">
        <v>37742</v>
      </c>
      <c r="C14" s="56" t="n">
        <v>0</v>
      </c>
      <c r="D14" s="57" t="s">
        <v>42</v>
      </c>
      <c r="E14" s="33" t="n">
        <f aca="false">IF(D14="totale",(C14/(A14*24))/F14,IF(D14="marché libre",(C14/(A14*24))/G14,"spécifier histo"))</f>
        <v>0</v>
      </c>
      <c r="F14" s="59" t="n">
        <v>1518</v>
      </c>
      <c r="G14" s="59" t="n">
        <f aca="false">F14-H14</f>
        <v>1518</v>
      </c>
      <c r="H14" s="58" t="n">
        <v>0</v>
      </c>
      <c r="I14" s="9"/>
      <c r="J14" s="30"/>
    </row>
    <row r="15" customFormat="false" ht="23.95" hidden="false" customHeight="true" outlineLevel="0" collapsed="false">
      <c r="A15" s="0" t="n">
        <v>30</v>
      </c>
      <c r="B15" s="34" t="n">
        <v>37773</v>
      </c>
      <c r="C15" s="56" t="n">
        <v>0</v>
      </c>
      <c r="D15" s="57" t="s">
        <v>42</v>
      </c>
      <c r="E15" s="33" t="n">
        <f aca="false">IF(D15="totale",(C15/(A15*24))/F15,IF(D15="marché libre",(C15/(A15*24))/G15,"spécifier histo"))</f>
        <v>0</v>
      </c>
      <c r="F15" s="59" t="n">
        <v>1518</v>
      </c>
      <c r="G15" s="59" t="n">
        <f aca="false">F15-H15</f>
        <v>1518</v>
      </c>
      <c r="H15" s="58" t="n">
        <v>0</v>
      </c>
      <c r="I15" s="9"/>
      <c r="J15" s="30"/>
    </row>
    <row r="16" customFormat="false" ht="23.95" hidden="false" customHeight="true" outlineLevel="0" collapsed="false">
      <c r="A16" s="0" t="n">
        <v>31</v>
      </c>
      <c r="B16" s="31" t="n">
        <v>37803</v>
      </c>
      <c r="C16" s="56" t="n">
        <v>0</v>
      </c>
      <c r="D16" s="57" t="s">
        <v>42</v>
      </c>
      <c r="E16" s="33" t="n">
        <f aca="false">IF(D16="totale",(C16/(A16*24))/F16,IF(D16="marché libre",(C16/(A16*24))/G16,"spécifier histo"))</f>
        <v>0</v>
      </c>
      <c r="F16" s="59" t="n">
        <v>1518</v>
      </c>
      <c r="G16" s="59" t="n">
        <f aca="false">F16-H16</f>
        <v>1518</v>
      </c>
      <c r="H16" s="58" t="n">
        <v>0</v>
      </c>
      <c r="I16" s="9"/>
      <c r="J16" s="30"/>
    </row>
    <row r="17" customFormat="false" ht="23.95" hidden="false" customHeight="true" outlineLevel="0" collapsed="false">
      <c r="A17" s="0" t="n">
        <v>31</v>
      </c>
      <c r="B17" s="34" t="n">
        <v>37834</v>
      </c>
      <c r="C17" s="56" t="n">
        <v>0</v>
      </c>
      <c r="D17" s="57" t="s">
        <v>42</v>
      </c>
      <c r="E17" s="33" t="n">
        <f aca="false">IF(D17="totale",(C17/(A17*24))/F17,IF(D17="marché libre",(C17/(A17*24))/G17,"spécifier histo"))</f>
        <v>0</v>
      </c>
      <c r="F17" s="59" t="n">
        <v>1518</v>
      </c>
      <c r="G17" s="59" t="n">
        <f aca="false">F17-H17</f>
        <v>1518</v>
      </c>
      <c r="H17" s="58" t="n">
        <v>0</v>
      </c>
      <c r="I17" s="9"/>
      <c r="J17" s="30"/>
    </row>
    <row r="18" customFormat="false" ht="23.95" hidden="false" customHeight="true" outlineLevel="0" collapsed="false">
      <c r="A18" s="0" t="n">
        <v>30</v>
      </c>
      <c r="B18" s="31" t="n">
        <v>37865</v>
      </c>
      <c r="C18" s="56" t="n">
        <v>0</v>
      </c>
      <c r="D18" s="57" t="s">
        <v>42</v>
      </c>
      <c r="E18" s="33" t="n">
        <f aca="false">IF(D18="totale",(C18/(A18*24))/F18,IF(D18="marché libre",(C18/(A18*24))/G18,"spécifier histo"))</f>
        <v>0</v>
      </c>
      <c r="F18" s="59" t="n">
        <v>1518</v>
      </c>
      <c r="G18" s="59" t="n">
        <f aca="false">F18-H18</f>
        <v>1518</v>
      </c>
      <c r="H18" s="58" t="n">
        <v>0</v>
      </c>
      <c r="I18" s="9"/>
      <c r="J18" s="30"/>
    </row>
    <row r="19" customFormat="false" ht="23.95" hidden="false" customHeight="true" outlineLevel="0" collapsed="false">
      <c r="A19" s="0" t="n">
        <v>31</v>
      </c>
      <c r="B19" s="34" t="n">
        <v>37895</v>
      </c>
      <c r="C19" s="56" t="n">
        <v>0</v>
      </c>
      <c r="D19" s="57" t="s">
        <v>42</v>
      </c>
      <c r="E19" s="33" t="n">
        <f aca="false">IF(D19="totale",(C19/(A19*24))/F19,IF(D19="marché libre",(C19/(A19*24))/G19,"spécifier histo"))</f>
        <v>0</v>
      </c>
      <c r="F19" s="59" t="n">
        <v>1518</v>
      </c>
      <c r="G19" s="59" t="n">
        <f aca="false">F19-H19</f>
        <v>1518</v>
      </c>
      <c r="H19" s="58" t="n">
        <v>0</v>
      </c>
      <c r="I19" s="9"/>
      <c r="J19" s="30"/>
    </row>
    <row r="20" customFormat="false" ht="23.95" hidden="false" customHeight="true" outlineLevel="0" collapsed="false">
      <c r="A20" s="0" t="n">
        <v>30</v>
      </c>
      <c r="B20" s="31" t="n">
        <v>37926</v>
      </c>
      <c r="C20" s="56" t="n">
        <v>0</v>
      </c>
      <c r="D20" s="57" t="s">
        <v>42</v>
      </c>
      <c r="E20" s="33" t="n">
        <f aca="false">IF(D20="totale",(C20/(A20*24))/F20,IF(D20="marché libre",(C20/(A20*24))/G20,"spécifier histo"))</f>
        <v>0</v>
      </c>
      <c r="F20" s="59" t="n">
        <v>1518</v>
      </c>
      <c r="G20" s="59" t="n">
        <f aca="false">F20-H20</f>
        <v>1518</v>
      </c>
      <c r="H20" s="58" t="n">
        <v>0</v>
      </c>
      <c r="I20" s="9"/>
      <c r="J20" s="30"/>
    </row>
    <row r="21" customFormat="false" ht="23.95" hidden="false" customHeight="true" outlineLevel="0" collapsed="false">
      <c r="A21" s="0" t="n">
        <v>31</v>
      </c>
      <c r="B21" s="34" t="n">
        <v>37956</v>
      </c>
      <c r="C21" s="56" t="n">
        <v>332600</v>
      </c>
      <c r="D21" s="57" t="s">
        <v>42</v>
      </c>
      <c r="E21" s="33" t="n">
        <f aca="false">IF(D21="totale",(C21/(A21*24))/F21,IF(D21="marché libre",(C21/(A21*24))/G21,"spécifier histo"))</f>
        <v>0.294494736991231</v>
      </c>
      <c r="F21" s="59" t="n">
        <v>1518</v>
      </c>
      <c r="G21" s="59" t="n">
        <f aca="false">F21-H21</f>
        <v>1518</v>
      </c>
      <c r="H21" s="58" t="n">
        <v>0</v>
      </c>
      <c r="I21" s="9"/>
      <c r="J21" s="30"/>
    </row>
    <row r="22" customFormat="false" ht="23.95" hidden="false" customHeight="true" outlineLevel="0" collapsed="false">
      <c r="A22" s="0" t="n">
        <v>31</v>
      </c>
      <c r="B22" s="31" t="n">
        <v>37987</v>
      </c>
      <c r="C22" s="56" t="n">
        <v>646600</v>
      </c>
      <c r="D22" s="57" t="s">
        <v>42</v>
      </c>
      <c r="E22" s="33" t="n">
        <f aca="false">IF(D22="totale",(C22/(A22*24))/F22,IF(D22="marché libre",(C22/(A22*24))/G22,"spécifier histo"))</f>
        <v>0.572520435774293</v>
      </c>
      <c r="F22" s="59" t="n">
        <v>1518</v>
      </c>
      <c r="G22" s="59" t="n">
        <f aca="false">F22-H22</f>
        <v>1518</v>
      </c>
      <c r="H22" s="58" t="n">
        <v>0</v>
      </c>
      <c r="I22" s="9"/>
      <c r="J22" s="30"/>
    </row>
    <row r="23" customFormat="false" ht="23.95" hidden="false" customHeight="true" outlineLevel="0" collapsed="false">
      <c r="A23" s="0" t="n">
        <v>28</v>
      </c>
      <c r="B23" s="34" t="n">
        <v>38018</v>
      </c>
      <c r="C23" s="56" t="n">
        <v>574200</v>
      </c>
      <c r="D23" s="57" t="s">
        <v>42</v>
      </c>
      <c r="E23" s="33" t="n">
        <f aca="false">IF(D23="totale",(C23/(A23*24))/F23,IF(D23="marché libre",(C23/(A23*24))/G23,"spécifier histo"))</f>
        <v>0.562888198757764</v>
      </c>
      <c r="F23" s="59" t="n">
        <v>1518</v>
      </c>
      <c r="G23" s="59" t="n">
        <f aca="false">F23-H23</f>
        <v>1518</v>
      </c>
      <c r="H23" s="58" t="n">
        <v>0</v>
      </c>
      <c r="I23" s="9"/>
      <c r="J23" s="30"/>
    </row>
    <row r="24" customFormat="false" ht="23.95" hidden="false" customHeight="true" outlineLevel="0" collapsed="false">
      <c r="A24" s="0" t="n">
        <v>31</v>
      </c>
      <c r="B24" s="31" t="n">
        <v>38047</v>
      </c>
      <c r="C24" s="56" t="n">
        <v>572800</v>
      </c>
      <c r="D24" s="57" t="s">
        <v>42</v>
      </c>
      <c r="E24" s="33" t="n">
        <f aca="false">IF(D24="totale",(C24/(A24*24))/F24,IF(D24="marché libre",(C24/(A24*24))/G24,"spécifier histo"))</f>
        <v>0.507175542238656</v>
      </c>
      <c r="F24" s="59" t="n">
        <v>1518</v>
      </c>
      <c r="G24" s="59" t="n">
        <f aca="false">F24-H24</f>
        <v>1518</v>
      </c>
      <c r="H24" s="58" t="n">
        <v>0</v>
      </c>
      <c r="I24" s="9"/>
      <c r="J24" s="30"/>
    </row>
    <row r="25" customFormat="false" ht="23.95" hidden="false" customHeight="true" outlineLevel="0" collapsed="false">
      <c r="A25" s="0" t="n">
        <v>30</v>
      </c>
      <c r="B25" s="34" t="n">
        <v>38078</v>
      </c>
      <c r="C25" s="56" t="n">
        <v>238200</v>
      </c>
      <c r="D25" s="57" t="s">
        <v>42</v>
      </c>
      <c r="E25" s="33" t="n">
        <f aca="false">IF(D25="totale",(C25/(A25*24))/F25,IF(D25="marché libre",(C25/(A25*24))/G25,"spécifier histo"))</f>
        <v>0.217940272288098</v>
      </c>
      <c r="F25" s="59" t="n">
        <v>1518</v>
      </c>
      <c r="G25" s="59" t="n">
        <f aca="false">F25-H25</f>
        <v>1518</v>
      </c>
      <c r="H25" s="58" t="n">
        <v>0</v>
      </c>
      <c r="I25" s="9"/>
      <c r="J25" s="30"/>
    </row>
    <row r="26" customFormat="false" ht="23.95" hidden="false" customHeight="true" outlineLevel="0" collapsed="false">
      <c r="A26" s="0" t="n">
        <v>31</v>
      </c>
      <c r="B26" s="31" t="n">
        <v>38108</v>
      </c>
      <c r="C26" s="56" t="n">
        <v>193800</v>
      </c>
      <c r="D26" s="57" t="s">
        <v>42</v>
      </c>
      <c r="E26" s="33" t="n">
        <f aca="false">IF(D26="totale",(C26/(A26*24))/F26,IF(D26="marché libre",(C26/(A26*24))/G26,"spécifier histo"))</f>
        <v>0.171596752943177</v>
      </c>
      <c r="F26" s="59" t="n">
        <v>1518</v>
      </c>
      <c r="G26" s="59" t="n">
        <f aca="false">F26-H26</f>
        <v>1518</v>
      </c>
      <c r="H26" s="58" t="n">
        <v>0</v>
      </c>
      <c r="I26" s="9"/>
      <c r="J26" s="30"/>
    </row>
    <row r="27" customFormat="false" ht="23.95" hidden="false" customHeight="true" outlineLevel="0" collapsed="false">
      <c r="A27" s="0" t="n">
        <v>30</v>
      </c>
      <c r="B27" s="34" t="n">
        <v>38139</v>
      </c>
      <c r="C27" s="56" t="n">
        <v>0</v>
      </c>
      <c r="D27" s="57" t="s">
        <v>42</v>
      </c>
      <c r="E27" s="33" t="n">
        <f aca="false">IF(D27="totale",(C27/(A27*24))/F27,IF(D27="marché libre",(C27/(A27*24))/G27,"spécifier histo"))</f>
        <v>0</v>
      </c>
      <c r="F27" s="59" t="n">
        <v>1518</v>
      </c>
      <c r="G27" s="59" t="n">
        <f aca="false">F27-H27</f>
        <v>1518</v>
      </c>
      <c r="H27" s="58" t="n">
        <v>0</v>
      </c>
      <c r="I27" s="9"/>
      <c r="J27" s="30"/>
    </row>
    <row r="28" customFormat="false" ht="23.95" hidden="false" customHeight="true" outlineLevel="0" collapsed="false">
      <c r="A28" s="0" t="n">
        <v>31</v>
      </c>
      <c r="B28" s="31" t="n">
        <v>38169</v>
      </c>
      <c r="C28" s="56" t="n">
        <v>48000</v>
      </c>
      <c r="D28" s="57" t="s">
        <v>42</v>
      </c>
      <c r="E28" s="33" t="n">
        <f aca="false">IF(D28="totale",(C28/(A28*24))/F28,IF(D28="marché libre",(C28/(A28*24))/G28,"spécifier histo"))</f>
        <v>0.0425007437630159</v>
      </c>
      <c r="F28" s="59" t="n">
        <v>1518</v>
      </c>
      <c r="G28" s="59" t="n">
        <f aca="false">F28-H28</f>
        <v>1518</v>
      </c>
      <c r="H28" s="58" t="n">
        <v>0</v>
      </c>
      <c r="I28" s="9"/>
      <c r="J28" s="30"/>
    </row>
    <row r="29" customFormat="false" ht="23.95" hidden="false" customHeight="true" outlineLevel="0" collapsed="false">
      <c r="A29" s="0" t="n">
        <v>31</v>
      </c>
      <c r="B29" s="34" t="n">
        <v>38200</v>
      </c>
      <c r="C29" s="56" t="n">
        <v>53600</v>
      </c>
      <c r="D29" s="57" t="s">
        <v>42</v>
      </c>
      <c r="E29" s="33" t="n">
        <f aca="false">IF(D29="totale",(C29/(A29*24))/F29,IF(D29="marché libre",(C29/(A29*24))/G29,"spécifier histo"))</f>
        <v>0.047459163868701</v>
      </c>
      <c r="F29" s="59" t="n">
        <v>1518</v>
      </c>
      <c r="G29" s="59" t="n">
        <f aca="false">F29-H29</f>
        <v>1518</v>
      </c>
      <c r="H29" s="58" t="n">
        <v>0</v>
      </c>
      <c r="I29" s="9"/>
      <c r="J29" s="30"/>
    </row>
    <row r="30" customFormat="false" ht="23.95" hidden="false" customHeight="true" outlineLevel="0" collapsed="false">
      <c r="A30" s="0" t="n">
        <v>30</v>
      </c>
      <c r="B30" s="31" t="n">
        <v>38231</v>
      </c>
      <c r="C30" s="56" t="n">
        <v>0</v>
      </c>
      <c r="D30" s="57" t="s">
        <v>42</v>
      </c>
      <c r="E30" s="33" t="n">
        <f aca="false">IF(D30="totale",(C30/(A30*24))/F30,IF(D30="marché libre",(C30/(A30*24))/G30,"spécifier histo"))</f>
        <v>0</v>
      </c>
      <c r="F30" s="59" t="n">
        <v>1518</v>
      </c>
      <c r="G30" s="59" t="n">
        <f aca="false">F30-H30</f>
        <v>1518</v>
      </c>
      <c r="H30" s="58" t="n">
        <v>0</v>
      </c>
      <c r="I30" s="9"/>
      <c r="J30" s="30"/>
    </row>
    <row r="31" customFormat="false" ht="23.95" hidden="false" customHeight="true" outlineLevel="0" collapsed="false">
      <c r="A31" s="0" t="n">
        <v>31</v>
      </c>
      <c r="B31" s="34" t="n">
        <v>38261</v>
      </c>
      <c r="C31" s="56" t="n">
        <v>283000</v>
      </c>
      <c r="D31" s="57" t="s">
        <v>42</v>
      </c>
      <c r="E31" s="33" t="n">
        <f aca="false">IF(D31="totale",(C31/(A31*24))/F31,IF(D31="marché libre",(C31/(A31*24))/G31,"spécifier histo"))</f>
        <v>0.250577301769448</v>
      </c>
      <c r="F31" s="59" t="n">
        <v>1518</v>
      </c>
      <c r="G31" s="59" t="n">
        <f aca="false">F31-H31</f>
        <v>1518</v>
      </c>
      <c r="H31" s="58" t="n">
        <v>0</v>
      </c>
      <c r="I31" s="9"/>
      <c r="J31" s="30"/>
    </row>
    <row r="32" customFormat="false" ht="23.95" hidden="false" customHeight="true" outlineLevel="0" collapsed="false">
      <c r="A32" s="0" t="n">
        <v>30</v>
      </c>
      <c r="B32" s="31" t="n">
        <v>38292</v>
      </c>
      <c r="C32" s="56" t="n">
        <v>376600</v>
      </c>
      <c r="D32" s="57" t="s">
        <v>42</v>
      </c>
      <c r="E32" s="33" t="n">
        <f aca="false">IF(D32="totale",(C32/(A32*24))/F32,IF(D32="marché libre",(C32/(A32*24))/G32,"spécifier histo"))</f>
        <v>0.344568877177573</v>
      </c>
      <c r="F32" s="59" t="n">
        <v>1518</v>
      </c>
      <c r="G32" s="59" t="n">
        <f aca="false">F32-H32</f>
        <v>1518</v>
      </c>
      <c r="H32" s="58" t="n">
        <v>0</v>
      </c>
      <c r="I32" s="9"/>
      <c r="J32" s="30"/>
    </row>
    <row r="33" customFormat="false" ht="23.95" hidden="false" customHeight="true" outlineLevel="0" collapsed="false">
      <c r="A33" s="0" t="n">
        <v>31</v>
      </c>
      <c r="B33" s="34" t="n">
        <v>38322</v>
      </c>
      <c r="C33" s="56" t="n">
        <v>271000</v>
      </c>
      <c r="D33" s="57" t="s">
        <v>42</v>
      </c>
      <c r="E33" s="33" t="n">
        <f aca="false">IF(D33="totale",(C33/(A33*24))/F33,IF(D33="marché libre",(C33/(A33*24))/G33,"spécifier histo"))</f>
        <v>0.239952115828694</v>
      </c>
      <c r="F33" s="59" t="n">
        <v>1518</v>
      </c>
      <c r="G33" s="59" t="n">
        <f aca="false">F33-H33</f>
        <v>1518</v>
      </c>
      <c r="H33" s="58" t="n">
        <v>0</v>
      </c>
      <c r="I33" s="9"/>
      <c r="J33" s="30"/>
    </row>
    <row r="34" customFormat="false" ht="21.7" hidden="false" customHeight="true" outlineLevel="0" collapsed="false">
      <c r="A34" s="0" t="n">
        <v>31</v>
      </c>
      <c r="B34" s="31" t="n">
        <v>38353</v>
      </c>
      <c r="C34" s="56" t="n">
        <v>492800</v>
      </c>
      <c r="D34" s="57" t="s">
        <v>42</v>
      </c>
      <c r="E34" s="33" t="n">
        <f aca="false">IF(D34="totale",(C34/(A34*24))/F34,IF(D34="marché libre",(C34/(A34*24))/G34,"spécifier histo"))</f>
        <v>0.436340969300296</v>
      </c>
      <c r="F34" s="59" t="n">
        <v>1518</v>
      </c>
      <c r="G34" s="59" t="n">
        <f aca="false">F34-H34</f>
        <v>1518</v>
      </c>
      <c r="H34" s="58" t="n">
        <v>0</v>
      </c>
      <c r="I34" s="9"/>
      <c r="J34" s="30"/>
    </row>
    <row r="35" customFormat="false" ht="21.7" hidden="false" customHeight="true" outlineLevel="0" collapsed="false">
      <c r="A35" s="0" t="n">
        <v>28</v>
      </c>
      <c r="B35" s="34" t="n">
        <v>38384</v>
      </c>
      <c r="C35" s="56" t="n">
        <v>436400</v>
      </c>
      <c r="D35" s="57" t="s">
        <v>42</v>
      </c>
      <c r="E35" s="33" t="n">
        <f aca="false">IF(D35="totale",(C35/(A35*24))/F35,IF(D35="marché libre",(C35/(A35*24))/G35,"spécifier histo"))</f>
        <v>0.427802873455047</v>
      </c>
      <c r="F35" s="59" t="n">
        <v>1518</v>
      </c>
      <c r="G35" s="59" t="n">
        <f aca="false">F35-H35</f>
        <v>1518</v>
      </c>
      <c r="H35" s="58" t="n">
        <v>0</v>
      </c>
      <c r="I35" s="9"/>
      <c r="J35" s="30"/>
    </row>
    <row r="36" customFormat="false" ht="21.7" hidden="false" customHeight="true" outlineLevel="0" collapsed="false">
      <c r="A36" s="0" t="n">
        <v>31</v>
      </c>
      <c r="B36" s="31" t="n">
        <v>38412</v>
      </c>
      <c r="C36" s="56" t="n">
        <v>544000</v>
      </c>
      <c r="D36" s="57" t="s">
        <v>42</v>
      </c>
      <c r="E36" s="33" t="n">
        <f aca="false">IF(D36="totale",(C36/(A36*24))/F36,IF(D36="marché libre",(C36/(A36*24))/G36,"spécifier histo"))</f>
        <v>0.481675095980846</v>
      </c>
      <c r="F36" s="59" t="n">
        <v>1518</v>
      </c>
      <c r="G36" s="59" t="n">
        <f aca="false">F36-H36</f>
        <v>1518</v>
      </c>
      <c r="H36" s="58" t="n">
        <v>0</v>
      </c>
      <c r="I36" s="9"/>
      <c r="J36" s="30"/>
    </row>
    <row r="37" customFormat="false" ht="21.7" hidden="false" customHeight="true" outlineLevel="0" collapsed="false">
      <c r="A37" s="0" t="n">
        <v>30</v>
      </c>
      <c r="B37" s="34" t="n">
        <v>38443</v>
      </c>
      <c r="C37" s="56" t="n">
        <v>239800</v>
      </c>
      <c r="D37" s="57" t="s">
        <v>42</v>
      </c>
      <c r="E37" s="33" t="n">
        <f aca="false">IF(D37="totale",(C37/(A37*24))/F37,IF(D37="marché libre",(C37/(A37*24))/G37,"spécifier histo"))</f>
        <v>0.219404186795491</v>
      </c>
      <c r="F37" s="59" t="n">
        <v>1518</v>
      </c>
      <c r="G37" s="59" t="n">
        <f aca="false">F37-H37</f>
        <v>1518</v>
      </c>
      <c r="H37" s="58" t="n">
        <v>0</v>
      </c>
      <c r="I37" s="9"/>
      <c r="J37" s="30"/>
    </row>
    <row r="38" customFormat="false" ht="21.7" hidden="false" customHeight="true" outlineLevel="0" collapsed="false">
      <c r="A38" s="0" t="n">
        <v>31</v>
      </c>
      <c r="B38" s="31" t="n">
        <v>38473</v>
      </c>
      <c r="C38" s="56" t="n">
        <v>34400</v>
      </c>
      <c r="D38" s="57" t="s">
        <v>42</v>
      </c>
      <c r="E38" s="33" t="n">
        <f aca="false">IF(D38="totale",(C38/(A38*24))/F38,IF(D38="marché libre",(C38/(A38*24))/G38,"spécifier histo"))</f>
        <v>0.0304588663634947</v>
      </c>
      <c r="F38" s="59" t="n">
        <v>1518</v>
      </c>
      <c r="G38" s="59" t="n">
        <f aca="false">F38-H38</f>
        <v>1518</v>
      </c>
      <c r="H38" s="58" t="n">
        <v>0</v>
      </c>
      <c r="I38" s="9"/>
      <c r="J38" s="30"/>
    </row>
    <row r="39" customFormat="false" ht="21.7" hidden="false" customHeight="true" outlineLevel="0" collapsed="false">
      <c r="A39" s="0" t="n">
        <v>30</v>
      </c>
      <c r="B39" s="34" t="n">
        <v>38504</v>
      </c>
      <c r="C39" s="56" t="n">
        <v>0</v>
      </c>
      <c r="D39" s="57" t="s">
        <v>42</v>
      </c>
      <c r="E39" s="33" t="n">
        <f aca="false">IF(D39="totale",(C39/(A39*24))/F39,IF(D39="marché libre",(C39/(A39*24))/G39,"spécifier histo"))</f>
        <v>0</v>
      </c>
      <c r="F39" s="59" t="n">
        <v>1518</v>
      </c>
      <c r="G39" s="59" t="n">
        <f aca="false">F39-H39</f>
        <v>1518</v>
      </c>
      <c r="H39" s="58" t="n">
        <v>0</v>
      </c>
      <c r="I39" s="9"/>
      <c r="J39" s="30"/>
    </row>
    <row r="40" customFormat="false" ht="21.7" hidden="false" customHeight="true" outlineLevel="0" collapsed="false">
      <c r="A40" s="0" t="n">
        <v>31</v>
      </c>
      <c r="B40" s="31" t="n">
        <v>38534</v>
      </c>
      <c r="C40" s="56" t="n">
        <v>0</v>
      </c>
      <c r="D40" s="57" t="s">
        <v>42</v>
      </c>
      <c r="E40" s="33" t="n">
        <f aca="false">IF(D40="totale",(C40/(A40*24))/F40,IF(D40="marché libre",(C40/(A40*24))/G40,"spécifier histo"))</f>
        <v>0</v>
      </c>
      <c r="F40" s="59" t="n">
        <v>1518</v>
      </c>
      <c r="G40" s="59" t="n">
        <f aca="false">F40-H40</f>
        <v>1518</v>
      </c>
      <c r="H40" s="58" t="n">
        <v>0</v>
      </c>
      <c r="I40" s="9"/>
      <c r="J40" s="30"/>
    </row>
    <row r="41" customFormat="false" ht="21.7" hidden="false" customHeight="true" outlineLevel="0" collapsed="false">
      <c r="A41" s="0" t="n">
        <v>31</v>
      </c>
      <c r="B41" s="34" t="n">
        <v>38565</v>
      </c>
      <c r="C41" s="56" t="n">
        <v>0</v>
      </c>
      <c r="D41" s="57" t="s">
        <v>42</v>
      </c>
      <c r="E41" s="33" t="n">
        <f aca="false">IF(D41="totale",(C41/(A41*24))/F41,IF(D41="marché libre",(C41/(A41*24))/G41,"spécifier histo"))</f>
        <v>0</v>
      </c>
      <c r="F41" s="59" t="n">
        <v>1518</v>
      </c>
      <c r="G41" s="59" t="n">
        <f aca="false">F41-H41</f>
        <v>1518</v>
      </c>
      <c r="H41" s="58" t="n">
        <v>0</v>
      </c>
      <c r="I41" s="9"/>
      <c r="J41" s="30"/>
    </row>
    <row r="42" customFormat="false" ht="21.7" hidden="false" customHeight="true" outlineLevel="0" collapsed="false">
      <c r="A42" s="0" t="n">
        <v>30</v>
      </c>
      <c r="B42" s="31" t="n">
        <v>38596</v>
      </c>
      <c r="C42" s="56" t="n">
        <v>0</v>
      </c>
      <c r="D42" s="57" t="s">
        <v>42</v>
      </c>
      <c r="E42" s="33" t="n">
        <f aca="false">IF(D42="totale",(C42/(A42*24))/F42,IF(D42="marché libre",(C42/(A42*24))/G42,"spécifier histo"))</f>
        <v>0</v>
      </c>
      <c r="F42" s="59" t="n">
        <v>1518</v>
      </c>
      <c r="G42" s="59" t="n">
        <f aca="false">F42-H42</f>
        <v>1518</v>
      </c>
      <c r="H42" s="58" t="n">
        <v>0</v>
      </c>
      <c r="I42" s="9"/>
      <c r="J42" s="30"/>
    </row>
    <row r="43" customFormat="false" ht="21.7" hidden="false" customHeight="true" outlineLevel="0" collapsed="false">
      <c r="A43" s="0" t="n">
        <v>31</v>
      </c>
      <c r="B43" s="34" t="n">
        <v>38626</v>
      </c>
      <c r="C43" s="56" t="n">
        <v>0</v>
      </c>
      <c r="D43" s="57" t="s">
        <v>42</v>
      </c>
      <c r="E43" s="33" t="n">
        <f aca="false">IF(D43="totale",(C43/(A43*24))/F43,IF(D43="marché libre",(C43/(A43*24))/G43,"spécifier histo"))</f>
        <v>0</v>
      </c>
      <c r="F43" s="59" t="n">
        <v>1518</v>
      </c>
      <c r="G43" s="59" t="n">
        <f aca="false">F43-H43</f>
        <v>1518</v>
      </c>
      <c r="H43" s="58" t="n">
        <v>0</v>
      </c>
      <c r="I43" s="9"/>
      <c r="J43" s="30"/>
    </row>
    <row r="44" customFormat="false" ht="21.7" hidden="false" customHeight="true" outlineLevel="0" collapsed="false">
      <c r="A44" s="0" t="n">
        <v>30</v>
      </c>
      <c r="B44" s="31" t="n">
        <v>38657</v>
      </c>
      <c r="C44" s="56" t="n">
        <v>176738</v>
      </c>
      <c r="D44" s="57" t="s">
        <v>42</v>
      </c>
      <c r="E44" s="33" t="n">
        <f aca="false">IF(D44="totale",(C44/(A44*24))/F44,IF(D44="marché libre",(C44/(A44*24))/G44,"spécifier histo"))</f>
        <v>0.161705826379739</v>
      </c>
      <c r="F44" s="59" t="n">
        <v>1518</v>
      </c>
      <c r="G44" s="59" t="n">
        <f aca="false">F44-H44</f>
        <v>1518</v>
      </c>
      <c r="H44" s="58" t="n">
        <v>0</v>
      </c>
      <c r="I44" s="9"/>
      <c r="J44" s="30"/>
    </row>
    <row r="45" customFormat="false" ht="21.7" hidden="false" customHeight="true" outlineLevel="0" collapsed="false">
      <c r="A45" s="0" t="n">
        <v>31</v>
      </c>
      <c r="B45" s="34" t="n">
        <v>38687</v>
      </c>
      <c r="C45" s="56" t="n">
        <v>459039</v>
      </c>
      <c r="D45" s="57" t="s">
        <v>42</v>
      </c>
      <c r="E45" s="33" t="n">
        <f aca="false">IF(D45="totale",(C45/(A45*24))/F45,IF(D45="marché libre",(C45/(A45*24))/G45,"spécifier histo"))</f>
        <v>0.406447894088147</v>
      </c>
      <c r="F45" s="59" t="n">
        <v>1518</v>
      </c>
      <c r="G45" s="59" t="n">
        <f aca="false">F45-H45</f>
        <v>1518</v>
      </c>
      <c r="H45" s="58" t="n">
        <v>0</v>
      </c>
      <c r="I45" s="9"/>
      <c r="J45" s="30"/>
    </row>
    <row r="46" customFormat="false" ht="21.7" hidden="false" customHeight="true" outlineLevel="0" collapsed="false">
      <c r="A46" s="0" t="n">
        <v>31</v>
      </c>
      <c r="B46" s="31" t="n">
        <v>38718</v>
      </c>
      <c r="C46" s="56" t="n">
        <v>404306</v>
      </c>
      <c r="D46" s="57" t="s">
        <v>42</v>
      </c>
      <c r="E46" s="33" t="n">
        <f aca="false">IF(D46="totale",(C46/(A46*24))/F46,IF(D46="marché libre",(C46/(A46*24))/G46,"spécifier histo"))</f>
        <v>0.357985535580206</v>
      </c>
      <c r="F46" s="59" t="n">
        <v>1518</v>
      </c>
      <c r="G46" s="59" t="n">
        <f aca="false">F46-H46</f>
        <v>1518</v>
      </c>
      <c r="H46" s="58" t="n">
        <v>0</v>
      </c>
      <c r="I46" s="9"/>
      <c r="J46" s="30"/>
    </row>
    <row r="47" customFormat="false" ht="21.7" hidden="false" customHeight="true" outlineLevel="0" collapsed="false">
      <c r="A47" s="0" t="n">
        <v>28</v>
      </c>
      <c r="B47" s="34" t="n">
        <v>38749</v>
      </c>
      <c r="C47" s="56" t="n">
        <v>430548</v>
      </c>
      <c r="D47" s="57" t="s">
        <v>42</v>
      </c>
      <c r="E47" s="33" t="n">
        <f aca="false">IF(D47="totale",(C47/(A47*24))/F47,IF(D47="marché libre",(C47/(A47*24))/G47,"spécifier histo"))</f>
        <v>0.422066158479202</v>
      </c>
      <c r="F47" s="59" t="n">
        <v>1518</v>
      </c>
      <c r="G47" s="59" t="n">
        <f aca="false">F47-H47</f>
        <v>1518</v>
      </c>
      <c r="H47" s="58" t="n">
        <v>0</v>
      </c>
      <c r="I47" s="9"/>
      <c r="J47" s="30"/>
    </row>
    <row r="48" customFormat="false" ht="21.7" hidden="false" customHeight="true" outlineLevel="0" collapsed="false">
      <c r="A48" s="0" t="n">
        <v>31</v>
      </c>
      <c r="B48" s="31" t="n">
        <v>38777</v>
      </c>
      <c r="C48" s="56" t="n">
        <v>746261</v>
      </c>
      <c r="D48" s="57" t="s">
        <v>42</v>
      </c>
      <c r="E48" s="33" t="n">
        <f aca="false">IF(D48="totale",(C48/(A48*24))/F48,IF(D48="marché libre",(C48/(A48*24))/G48,"spécifier histo"))</f>
        <v>0.660763490444416</v>
      </c>
      <c r="F48" s="59" t="n">
        <v>1518</v>
      </c>
      <c r="G48" s="59" t="n">
        <f aca="false">F48-H48</f>
        <v>1518</v>
      </c>
      <c r="H48" s="58" t="n">
        <v>0</v>
      </c>
      <c r="I48" s="9"/>
      <c r="J48" s="30"/>
    </row>
    <row r="49" customFormat="false" ht="21.7" hidden="false" customHeight="true" outlineLevel="0" collapsed="false">
      <c r="A49" s="0" t="n">
        <v>30</v>
      </c>
      <c r="B49" s="34" t="n">
        <v>38808</v>
      </c>
      <c r="C49" s="56" t="n">
        <v>555855</v>
      </c>
      <c r="D49" s="57" t="s">
        <v>42</v>
      </c>
      <c r="E49" s="33" t="n">
        <f aca="false">IF(D49="totale",(C49/(A49*24))/F49,IF(D49="marché libre",(C49/(A49*24))/G49,"spécifier histo"))</f>
        <v>0.508577624066755</v>
      </c>
      <c r="F49" s="59" t="n">
        <v>1518</v>
      </c>
      <c r="G49" s="59" t="n">
        <f aca="false">F49-H49</f>
        <v>1518</v>
      </c>
      <c r="H49" s="58" t="n">
        <v>0</v>
      </c>
      <c r="I49" s="9"/>
      <c r="J49" s="30"/>
    </row>
    <row r="50" customFormat="false" ht="21.7" hidden="false" customHeight="true" outlineLevel="0" collapsed="false">
      <c r="A50" s="0" t="n">
        <v>31</v>
      </c>
      <c r="B50" s="31" t="n">
        <v>38838</v>
      </c>
      <c r="C50" s="56" t="n">
        <v>267820</v>
      </c>
      <c r="D50" s="57" t="s">
        <v>42</v>
      </c>
      <c r="E50" s="33" t="n">
        <f aca="false">IF(D50="totale",(C50/(A50*24))/F50,IF(D50="marché libre",(C50/(A50*24))/G50,"spécifier histo"))</f>
        <v>0.237136441554394</v>
      </c>
      <c r="F50" s="59" t="n">
        <v>1518</v>
      </c>
      <c r="G50" s="59" t="n">
        <f aca="false">F50-H50</f>
        <v>1518</v>
      </c>
      <c r="H50" s="58" t="n">
        <v>0</v>
      </c>
      <c r="I50" s="9"/>
      <c r="J50" s="30"/>
    </row>
    <row r="51" customFormat="false" ht="21.7" hidden="false" customHeight="true" outlineLevel="0" collapsed="false">
      <c r="A51" s="0" t="n">
        <v>30</v>
      </c>
      <c r="B51" s="34" t="n">
        <v>38869</v>
      </c>
      <c r="C51" s="56" t="n">
        <v>0</v>
      </c>
      <c r="D51" s="57" t="s">
        <v>42</v>
      </c>
      <c r="E51" s="33" t="n">
        <f aca="false">IF(D51="totale",(C51/(A51*24))/F51,IF(D51="marché libre",(C51/(A51*24))/G51,"spécifier histo"))</f>
        <v>0</v>
      </c>
      <c r="F51" s="59" t="n">
        <v>1518</v>
      </c>
      <c r="G51" s="59" t="n">
        <f aca="false">F51-H51</f>
        <v>1518</v>
      </c>
      <c r="H51" s="58" t="n">
        <v>0</v>
      </c>
      <c r="I51" s="9"/>
      <c r="J51" s="30"/>
    </row>
    <row r="52" customFormat="false" ht="21.7" hidden="false" customHeight="true" outlineLevel="0" collapsed="false">
      <c r="A52" s="0" t="n">
        <v>31</v>
      </c>
      <c r="B52" s="31" t="n">
        <v>38899</v>
      </c>
      <c r="C52" s="56" t="n">
        <v>0</v>
      </c>
      <c r="D52" s="57" t="s">
        <v>42</v>
      </c>
      <c r="E52" s="33" t="n">
        <f aca="false">IF(D52="totale",(C52/(A52*24))/F52,IF(D52="marché libre",(C52/(A52*24))/G52,"spécifier histo"))</f>
        <v>0</v>
      </c>
      <c r="F52" s="59" t="n">
        <v>1518</v>
      </c>
      <c r="G52" s="59" t="n">
        <f aca="false">F52-H52</f>
        <v>1518</v>
      </c>
      <c r="H52" s="58" t="n">
        <v>0</v>
      </c>
      <c r="I52" s="9"/>
      <c r="J52" s="30"/>
    </row>
    <row r="53" customFormat="false" ht="21.7" hidden="false" customHeight="true" outlineLevel="0" collapsed="false">
      <c r="A53" s="0" t="n">
        <v>31</v>
      </c>
      <c r="B53" s="34" t="n">
        <v>38930</v>
      </c>
      <c r="C53" s="56" t="n">
        <v>0</v>
      </c>
      <c r="D53" s="57" t="s">
        <v>42</v>
      </c>
      <c r="E53" s="33" t="n">
        <f aca="false">IF(D53="totale",(C53/(A53*24))/F53,IF(D53="marché libre",(C53/(A53*24))/G53,"spécifier histo"))</f>
        <v>0</v>
      </c>
      <c r="F53" s="59" t="n">
        <v>1518</v>
      </c>
      <c r="G53" s="59" t="n">
        <f aca="false">F53-H53</f>
        <v>1518</v>
      </c>
      <c r="H53" s="58" t="n">
        <v>0</v>
      </c>
      <c r="I53" s="9"/>
      <c r="J53" s="30"/>
    </row>
    <row r="54" customFormat="false" ht="21.7" hidden="false" customHeight="true" outlineLevel="0" collapsed="false">
      <c r="A54" s="0" t="n">
        <v>30</v>
      </c>
      <c r="B54" s="31" t="n">
        <v>38961</v>
      </c>
      <c r="C54" s="56" t="n">
        <v>0</v>
      </c>
      <c r="D54" s="57" t="s">
        <v>42</v>
      </c>
      <c r="E54" s="33" t="n">
        <f aca="false">IF(D54="totale",(C54/(A54*24))/F54,IF(D54="marché libre",(C54/(A54*24))/G54,"spécifier histo"))</f>
        <v>0</v>
      </c>
      <c r="F54" s="59" t="n">
        <v>1518</v>
      </c>
      <c r="G54" s="59" t="n">
        <f aca="false">F54-H54</f>
        <v>1518</v>
      </c>
      <c r="H54" s="58" t="n">
        <v>0</v>
      </c>
      <c r="I54" s="9"/>
      <c r="J54" s="30"/>
    </row>
    <row r="55" customFormat="false" ht="21.7" hidden="false" customHeight="true" outlineLevel="0" collapsed="false">
      <c r="A55" s="0" t="n">
        <v>31</v>
      </c>
      <c r="B55" s="34" t="n">
        <v>38991</v>
      </c>
      <c r="C55" s="56" t="n">
        <v>142154</v>
      </c>
      <c r="D55" s="57" t="s">
        <v>42</v>
      </c>
      <c r="E55" s="33" t="n">
        <f aca="false">IF(D55="totale",(C55/(A55*24))/F55,IF(D55="marché libre",(C55/(A55*24))/G55,"spécifier histo"))</f>
        <v>0.125867723518495</v>
      </c>
      <c r="F55" s="59" t="n">
        <v>1518</v>
      </c>
      <c r="G55" s="59" t="n">
        <f aca="false">F55-H55</f>
        <v>1518</v>
      </c>
      <c r="H55" s="58" t="n">
        <v>0</v>
      </c>
      <c r="I55" s="9"/>
      <c r="J55" s="30"/>
    </row>
    <row r="56" customFormat="false" ht="21.7" hidden="false" customHeight="true" outlineLevel="0" collapsed="false">
      <c r="A56" s="0" t="n">
        <v>30</v>
      </c>
      <c r="B56" s="31" t="n">
        <v>39022</v>
      </c>
      <c r="C56" s="56" t="n">
        <v>228</v>
      </c>
      <c r="D56" s="57" t="s">
        <v>42</v>
      </c>
      <c r="E56" s="33" t="n">
        <f aca="false">IF(D56="totale",(C56/(A56*24))/F56,IF(D56="marché libre",(C56/(A56*24))/G56,"spécifier histo"))</f>
        <v>0.000208607817303469</v>
      </c>
      <c r="F56" s="59" t="n">
        <v>1518</v>
      </c>
      <c r="G56" s="59" t="n">
        <f aca="false">F56-H56</f>
        <v>1518</v>
      </c>
      <c r="H56" s="58" t="n">
        <v>0</v>
      </c>
      <c r="I56" s="9"/>
      <c r="J56" s="30"/>
    </row>
    <row r="57" customFormat="false" ht="21.7" hidden="false" customHeight="true" outlineLevel="0" collapsed="false">
      <c r="A57" s="0" t="n">
        <v>31</v>
      </c>
      <c r="B57" s="34" t="n">
        <v>39052</v>
      </c>
      <c r="C57" s="56" t="n">
        <v>578969</v>
      </c>
      <c r="D57" s="57" t="s">
        <v>42</v>
      </c>
      <c r="E57" s="33" t="n">
        <f aca="false">IF(D57="totale",(C57/(A57*24))/F57,IF(D57="marché libre",(C57/(A57*24))/G57,"spécifier histo"))</f>
        <v>0.512637773244365</v>
      </c>
      <c r="F57" s="59" t="n">
        <v>1518</v>
      </c>
      <c r="G57" s="59" t="n">
        <f aca="false">F57-H57</f>
        <v>1518</v>
      </c>
      <c r="H57" s="58" t="n">
        <v>0</v>
      </c>
      <c r="I57" s="9"/>
      <c r="J57" s="30"/>
    </row>
    <row r="58" customFormat="false" ht="21.7" hidden="false" customHeight="true" outlineLevel="0" collapsed="false">
      <c r="A58" s="0" t="n">
        <v>31</v>
      </c>
      <c r="B58" s="31" t="n">
        <v>39083</v>
      </c>
      <c r="C58" s="56" t="n">
        <v>645545</v>
      </c>
      <c r="D58" s="57" t="s">
        <v>42</v>
      </c>
      <c r="E58" s="33" t="n">
        <f aca="false">IF(D58="totale",(C58/(A58*24))/F58,IF(D58="marché libre",(C58/(A58*24))/G58,"spécifier histo"))</f>
        <v>0.571586304843668</v>
      </c>
      <c r="F58" s="59" t="n">
        <v>1518</v>
      </c>
      <c r="G58" s="59" t="n">
        <f aca="false">F58-H58</f>
        <v>1518</v>
      </c>
      <c r="H58" s="58" t="n">
        <v>0</v>
      </c>
      <c r="I58" s="9"/>
      <c r="J58" s="30"/>
    </row>
    <row r="59" customFormat="false" ht="21.7" hidden="false" customHeight="true" outlineLevel="0" collapsed="false">
      <c r="A59" s="0" t="n">
        <v>28</v>
      </c>
      <c r="B59" s="34" t="n">
        <v>39114</v>
      </c>
      <c r="C59" s="56" t="n">
        <v>775806</v>
      </c>
      <c r="D59" s="57" t="s">
        <v>42</v>
      </c>
      <c r="E59" s="33" t="n">
        <f aca="false">IF(D59="totale",(C59/(A59*24))/F59,IF(D59="marché libre",(C59/(A59*24))/G59,"spécifier histo"))</f>
        <v>0.760522539055148</v>
      </c>
      <c r="F59" s="59" t="n">
        <v>1518</v>
      </c>
      <c r="G59" s="59" t="n">
        <f aca="false">F59-H59</f>
        <v>1518</v>
      </c>
      <c r="H59" s="58" t="n">
        <v>0</v>
      </c>
      <c r="I59" s="9"/>
      <c r="J59" s="30"/>
    </row>
    <row r="60" customFormat="false" ht="21.7" hidden="false" customHeight="true" outlineLevel="0" collapsed="false">
      <c r="A60" s="0" t="n">
        <v>31</v>
      </c>
      <c r="B60" s="31" t="n">
        <v>39142</v>
      </c>
      <c r="C60" s="56" t="n">
        <v>890291</v>
      </c>
      <c r="D60" s="57" t="s">
        <v>42</v>
      </c>
      <c r="E60" s="33" t="n">
        <f aca="false">IF(D60="totale",(C60/(A60*24))/F60,IF(D60="marché libre",(C60/(A60*24))/G60,"spécifier histo"))</f>
        <v>0.788292284698316</v>
      </c>
      <c r="F60" s="59" t="n">
        <v>1518</v>
      </c>
      <c r="G60" s="59" t="n">
        <f aca="false">F60-H60</f>
        <v>1518</v>
      </c>
      <c r="H60" s="58" t="n">
        <v>0</v>
      </c>
      <c r="I60" s="9"/>
      <c r="J60" s="30"/>
    </row>
    <row r="61" customFormat="false" ht="21.7" hidden="false" customHeight="true" outlineLevel="0" collapsed="false">
      <c r="A61" s="0" t="n">
        <v>30</v>
      </c>
      <c r="B61" s="34" t="n">
        <v>39173</v>
      </c>
      <c r="C61" s="56" t="n">
        <v>441236</v>
      </c>
      <c r="D61" s="57" t="s">
        <v>42</v>
      </c>
      <c r="E61" s="33" t="n">
        <f aca="false">IF(D61="totale",(C61/(A61*24))/F61,IF(D61="marché libre",(C61/(A61*24))/G61,"spécifier histo"))</f>
        <v>0.403707363489972</v>
      </c>
      <c r="F61" s="59" t="n">
        <v>1518</v>
      </c>
      <c r="G61" s="59" t="n">
        <f aca="false">F61-H61</f>
        <v>1518</v>
      </c>
      <c r="H61" s="58" t="n">
        <v>0</v>
      </c>
      <c r="I61" s="9"/>
      <c r="J61" s="30"/>
    </row>
    <row r="62" customFormat="false" ht="21.7" hidden="false" customHeight="true" outlineLevel="0" collapsed="false">
      <c r="A62" s="0" t="n">
        <v>31</v>
      </c>
      <c r="B62" s="31" t="n">
        <v>39203</v>
      </c>
      <c r="C62" s="56" t="n">
        <v>300562</v>
      </c>
      <c r="D62" s="57" t="s">
        <v>42</v>
      </c>
      <c r="E62" s="33" t="n">
        <f aca="false">IF(D62="totale",(C62/(A62*24))/F62,IF(D62="marché libre",(C62/(A62*24))/G62,"spécifier histo"))</f>
        <v>0.266127261393741</v>
      </c>
      <c r="F62" s="59" t="n">
        <v>1518</v>
      </c>
      <c r="G62" s="59" t="n">
        <f aca="false">F62-H62</f>
        <v>1518</v>
      </c>
      <c r="H62" s="58" t="n">
        <v>0</v>
      </c>
      <c r="I62" s="9"/>
      <c r="J62" s="30"/>
    </row>
    <row r="63" customFormat="false" ht="21.7" hidden="false" customHeight="true" outlineLevel="0" collapsed="false">
      <c r="A63" s="0" t="n">
        <v>30</v>
      </c>
      <c r="B63" s="34" t="n">
        <v>39234</v>
      </c>
      <c r="C63" s="56" t="n">
        <v>399634</v>
      </c>
      <c r="D63" s="57" t="s">
        <v>42</v>
      </c>
      <c r="E63" s="33" t="n">
        <f aca="false">IF(D63="totale",(C63/(A63*24))/F63,IF(D63="marché libre",(C63/(A63*24))/G63,"spécifier histo"))</f>
        <v>0.365643756404626</v>
      </c>
      <c r="F63" s="59" t="n">
        <v>1518</v>
      </c>
      <c r="G63" s="59" t="n">
        <f aca="false">F63-H63</f>
        <v>1518</v>
      </c>
      <c r="H63" s="58" t="n">
        <v>0</v>
      </c>
      <c r="I63" s="9"/>
      <c r="J63" s="30"/>
    </row>
    <row r="64" customFormat="false" ht="21.7" hidden="false" customHeight="true" outlineLevel="0" collapsed="false">
      <c r="A64" s="0" t="n">
        <v>31</v>
      </c>
      <c r="B64" s="31" t="n">
        <v>39264</v>
      </c>
      <c r="C64" s="56" t="n">
        <v>12226</v>
      </c>
      <c r="D64" s="57" t="s">
        <v>42</v>
      </c>
      <c r="E64" s="33" t="n">
        <f aca="false">IF(D64="totale",(C64/(A64*24))/F64,IF(D64="marché libre",(C64/(A64*24))/G64,"spécifier histo"))</f>
        <v>0.0108252936093048</v>
      </c>
      <c r="F64" s="59" t="n">
        <v>1518</v>
      </c>
      <c r="G64" s="59" t="n">
        <f aca="false">F64-H64</f>
        <v>1518</v>
      </c>
      <c r="H64" s="58" t="n">
        <v>0</v>
      </c>
      <c r="I64" s="9"/>
      <c r="J64" s="30"/>
    </row>
    <row r="65" customFormat="false" ht="21.7" hidden="false" customHeight="true" outlineLevel="0" collapsed="false">
      <c r="A65" s="0" t="n">
        <v>31</v>
      </c>
      <c r="B65" s="34" t="n">
        <v>39295</v>
      </c>
      <c r="C65" s="56" t="n">
        <v>30772</v>
      </c>
      <c r="D65" s="57" t="s">
        <v>42</v>
      </c>
      <c r="E65" s="33" t="n">
        <f aca="false">IF(D65="totale",(C65/(A65*24))/F65,IF(D65="marché libre",(C65/(A65*24))/G65,"spécifier histo"))</f>
        <v>0.0272465184807401</v>
      </c>
      <c r="F65" s="59" t="n">
        <v>1518</v>
      </c>
      <c r="G65" s="59" t="n">
        <f aca="false">F65-H65</f>
        <v>1518</v>
      </c>
      <c r="H65" s="58" t="n">
        <v>0</v>
      </c>
      <c r="I65" s="9"/>
      <c r="J65" s="30"/>
    </row>
    <row r="66" customFormat="false" ht="21.7" hidden="false" customHeight="true" outlineLevel="0" collapsed="false">
      <c r="A66" s="0" t="n">
        <v>30</v>
      </c>
      <c r="B66" s="31" t="n">
        <v>39326</v>
      </c>
      <c r="C66" s="56" t="n">
        <v>0</v>
      </c>
      <c r="D66" s="57" t="s">
        <v>42</v>
      </c>
      <c r="E66" s="33" t="n">
        <f aca="false">IF(D66="totale",(C66/(A66*24))/F66,IF(D66="marché libre",(C66/(A66*24))/G66,"spécifier histo"))</f>
        <v>0</v>
      </c>
      <c r="F66" s="59" t="n">
        <v>1518</v>
      </c>
      <c r="G66" s="59" t="n">
        <f aca="false">F66-H66</f>
        <v>1518</v>
      </c>
      <c r="H66" s="58" t="n">
        <v>0</v>
      </c>
      <c r="I66" s="9"/>
      <c r="J66" s="30"/>
    </row>
    <row r="67" customFormat="false" ht="21.7" hidden="false" customHeight="true" outlineLevel="0" collapsed="false">
      <c r="A67" s="0" t="n">
        <v>31</v>
      </c>
      <c r="B67" s="34" t="n">
        <v>39356</v>
      </c>
      <c r="C67" s="56" t="n">
        <v>0</v>
      </c>
      <c r="D67" s="57" t="s">
        <v>42</v>
      </c>
      <c r="E67" s="33" t="n">
        <f aca="false">IF(D67="totale",(C67/(A67*24))/F67,IF(D67="marché libre",(C67/(A67*24))/G67,"spécifier histo"))</f>
        <v>0</v>
      </c>
      <c r="F67" s="59" t="n">
        <v>1518</v>
      </c>
      <c r="G67" s="59" t="n">
        <f aca="false">F67-H67</f>
        <v>1518</v>
      </c>
      <c r="H67" s="58" t="n">
        <v>0</v>
      </c>
      <c r="I67" s="9"/>
      <c r="J67" s="30"/>
    </row>
    <row r="68" customFormat="false" ht="21.7" hidden="false" customHeight="true" outlineLevel="0" collapsed="false">
      <c r="A68" s="0" t="n">
        <v>30</v>
      </c>
      <c r="B68" s="31" t="n">
        <v>39387</v>
      </c>
      <c r="C68" s="56" t="n">
        <v>24120</v>
      </c>
      <c r="D68" s="57" t="s">
        <v>42</v>
      </c>
      <c r="E68" s="33" t="n">
        <f aca="false">IF(D68="totale",(C68/(A68*24))/F68,IF(D68="marché libre",(C68/(A68*24))/G68,"spécifier histo"))</f>
        <v>0.022068511198946</v>
      </c>
      <c r="F68" s="59" t="n">
        <v>1518</v>
      </c>
      <c r="G68" s="59" t="n">
        <f aca="false">F68-H68</f>
        <v>1518</v>
      </c>
      <c r="H68" s="58" t="n">
        <v>0</v>
      </c>
      <c r="I68" s="9"/>
      <c r="J68" s="30"/>
    </row>
    <row r="69" customFormat="false" ht="21.7" hidden="false" customHeight="true" outlineLevel="0" collapsed="false">
      <c r="A69" s="0" t="n">
        <v>31</v>
      </c>
      <c r="B69" s="34" t="n">
        <v>39417</v>
      </c>
      <c r="C69" s="56" t="n">
        <v>281200</v>
      </c>
      <c r="D69" s="57" t="s">
        <v>42</v>
      </c>
      <c r="E69" s="33" t="n">
        <f aca="false">IF(D69="totale",(C69/(A69*24))/F69,IF(D69="marché libre",(C69/(A69*24))/G69,"spécifier histo"))</f>
        <v>0.248983523878335</v>
      </c>
      <c r="F69" s="59" t="n">
        <v>1518</v>
      </c>
      <c r="G69" s="59" t="n">
        <f aca="false">F69-H69</f>
        <v>1518</v>
      </c>
      <c r="H69" s="58" t="n">
        <v>0</v>
      </c>
      <c r="I69" s="9"/>
      <c r="J69" s="30"/>
    </row>
    <row r="70" customFormat="false" ht="21.7" hidden="false" customHeight="true" outlineLevel="0" collapsed="false">
      <c r="A70" s="0" t="n">
        <v>31</v>
      </c>
      <c r="B70" s="31" t="n">
        <v>39448</v>
      </c>
      <c r="C70" s="56" t="n">
        <v>662452</v>
      </c>
      <c r="D70" s="57" t="s">
        <v>42</v>
      </c>
      <c r="E70" s="33" t="n">
        <f aca="false">IF(D70="totale",(C70/(A70*24))/F70,IF(D70="marché libre",(C70/(A70*24))/G70,"spécifier histo"))</f>
        <v>0.586556306402029</v>
      </c>
      <c r="F70" s="59" t="n">
        <v>1518</v>
      </c>
      <c r="G70" s="59" t="n">
        <f aca="false">F70-H70</f>
        <v>1518</v>
      </c>
      <c r="H70" s="58" t="n">
        <v>0</v>
      </c>
      <c r="I70" s="9"/>
      <c r="J70" s="30"/>
    </row>
    <row r="71" customFormat="false" ht="21.7" hidden="false" customHeight="true" outlineLevel="0" collapsed="false">
      <c r="A71" s="0" t="n">
        <v>28</v>
      </c>
      <c r="B71" s="34" t="n">
        <v>39479</v>
      </c>
      <c r="C71" s="56" t="n">
        <v>569894</v>
      </c>
      <c r="D71" s="57" t="s">
        <v>42</v>
      </c>
      <c r="E71" s="33" t="n">
        <f aca="false">IF(D71="totale",(C71/(A71*24))/F71,IF(D71="marché libre",(C71/(A71*24))/G71,"spécifier histo"))</f>
        <v>0.558667027417027</v>
      </c>
      <c r="F71" s="59" t="n">
        <v>1518</v>
      </c>
      <c r="G71" s="59" t="n">
        <f aca="false">F71-H71</f>
        <v>1518</v>
      </c>
      <c r="H71" s="58" t="n">
        <v>0</v>
      </c>
      <c r="I71" s="9"/>
      <c r="J71" s="30"/>
    </row>
    <row r="72" customFormat="false" ht="21.7" hidden="false" customHeight="true" outlineLevel="0" collapsed="false">
      <c r="A72" s="0" t="n">
        <v>31</v>
      </c>
      <c r="B72" s="31" t="n">
        <v>39508</v>
      </c>
      <c r="C72" s="56" t="n">
        <v>731720</v>
      </c>
      <c r="D72" s="57" t="s">
        <v>42</v>
      </c>
      <c r="E72" s="33" t="n">
        <f aca="false">IF(D72="totale",(C72/(A72*24))/F72,IF(D72="marché libre",(C72/(A72*24))/G72,"spécifier histo"))</f>
        <v>0.647888421380707</v>
      </c>
      <c r="F72" s="59" t="n">
        <v>1518</v>
      </c>
      <c r="G72" s="59" t="n">
        <f aca="false">F72-H72</f>
        <v>1518</v>
      </c>
      <c r="H72" s="58" t="n">
        <v>0</v>
      </c>
      <c r="I72" s="9"/>
      <c r="J72" s="30"/>
    </row>
    <row r="73" customFormat="false" ht="21.7" hidden="false" customHeight="true" outlineLevel="0" collapsed="false">
      <c r="A73" s="0" t="n">
        <v>30</v>
      </c>
      <c r="B73" s="34" t="n">
        <v>39539</v>
      </c>
      <c r="C73" s="56" t="n">
        <v>390854</v>
      </c>
      <c r="D73" s="57" t="s">
        <v>42</v>
      </c>
      <c r="E73" s="33" t="n">
        <f aca="false">IF(D73="totale",(C73/(A73*24))/F73,IF(D73="marché libre",(C73/(A73*24))/G73,"spécifier histo"))</f>
        <v>0.357610525545308</v>
      </c>
      <c r="F73" s="59" t="n">
        <v>1518</v>
      </c>
      <c r="G73" s="59" t="n">
        <f aca="false">F73-H73</f>
        <v>1518</v>
      </c>
      <c r="H73" s="58" t="n">
        <v>0</v>
      </c>
      <c r="I73" s="9"/>
      <c r="J73" s="30"/>
    </row>
    <row r="74" customFormat="false" ht="21.7" hidden="false" customHeight="true" outlineLevel="0" collapsed="false">
      <c r="A74" s="0" t="n">
        <v>31</v>
      </c>
      <c r="B74" s="31" t="n">
        <v>39569</v>
      </c>
      <c r="C74" s="56" t="n">
        <v>265097</v>
      </c>
      <c r="D74" s="57" t="s">
        <v>42</v>
      </c>
      <c r="E74" s="33" t="n">
        <f aca="false">IF(D74="totale",(C74/(A74*24))/F74,IF(D74="marché libre",(C74/(A74*24))/G74,"spécifier histo"))</f>
        <v>0.234725409778004</v>
      </c>
      <c r="F74" s="59" t="n">
        <v>1518</v>
      </c>
      <c r="G74" s="59" t="n">
        <f aca="false">F74-H74</f>
        <v>1518</v>
      </c>
      <c r="H74" s="58" t="n">
        <v>0</v>
      </c>
      <c r="I74" s="9"/>
      <c r="J74" s="30"/>
    </row>
    <row r="75" customFormat="false" ht="21.7" hidden="false" customHeight="true" outlineLevel="0" collapsed="false">
      <c r="A75" s="0" t="n">
        <v>30</v>
      </c>
      <c r="B75" s="34" t="n">
        <v>39600</v>
      </c>
      <c r="C75" s="56" t="n">
        <v>107097</v>
      </c>
      <c r="D75" s="57" t="s">
        <v>42</v>
      </c>
      <c r="E75" s="33" t="n">
        <f aca="false">IF(D75="totale",(C75/(A75*24))/F75,IF(D75="marché libre",(C75/(A75*24))/G75,"spécifier histo"))</f>
        <v>0.0979880324989021</v>
      </c>
      <c r="F75" s="59" t="n">
        <v>1518</v>
      </c>
      <c r="G75" s="59" t="n">
        <f aca="false">F75-H75</f>
        <v>1518</v>
      </c>
      <c r="H75" s="58" t="n">
        <v>0</v>
      </c>
      <c r="I75" s="9"/>
      <c r="J75" s="30"/>
    </row>
    <row r="76" customFormat="false" ht="21.7" hidden="false" customHeight="true" outlineLevel="0" collapsed="false">
      <c r="A76" s="0" t="n">
        <v>31</v>
      </c>
      <c r="B76" s="31" t="n">
        <v>39630</v>
      </c>
      <c r="C76" s="56" t="n">
        <v>0</v>
      </c>
      <c r="D76" s="57" t="s">
        <v>42</v>
      </c>
      <c r="E76" s="33" t="n">
        <f aca="false">IF(D76="totale",(C76/(A76*24))/F76,IF(D76="marché libre",(C76/(A76*24))/G76,"spécifier histo"))</f>
        <v>0</v>
      </c>
      <c r="F76" s="59" t="n">
        <v>1518</v>
      </c>
      <c r="G76" s="59" t="n">
        <f aca="false">F76-H76</f>
        <v>1518</v>
      </c>
      <c r="H76" s="58" t="n">
        <v>0</v>
      </c>
      <c r="I76" s="9"/>
      <c r="J76" s="30"/>
    </row>
    <row r="77" customFormat="false" ht="21.7" hidden="false" customHeight="true" outlineLevel="0" collapsed="false">
      <c r="A77" s="0" t="n">
        <v>31</v>
      </c>
      <c r="B77" s="34" t="n">
        <v>39661</v>
      </c>
      <c r="C77" s="56" t="n">
        <v>0</v>
      </c>
      <c r="D77" s="57" t="s">
        <v>42</v>
      </c>
      <c r="E77" s="33" t="n">
        <f aca="false">IF(D77="totale",(C77/(A77*24))/F77,IF(D77="marché libre",(C77/(A77*24))/G77,"spécifier histo"))</f>
        <v>0</v>
      </c>
      <c r="F77" s="59" t="n">
        <v>1518</v>
      </c>
      <c r="G77" s="59" t="n">
        <f aca="false">F77-H77</f>
        <v>1518</v>
      </c>
      <c r="H77" s="58" t="n">
        <v>0</v>
      </c>
      <c r="I77" s="9"/>
      <c r="J77" s="30"/>
    </row>
    <row r="78" customFormat="false" ht="21.7" hidden="false" customHeight="true" outlineLevel="0" collapsed="false">
      <c r="A78" s="0" t="n">
        <v>30</v>
      </c>
      <c r="B78" s="31" t="n">
        <v>39692</v>
      </c>
      <c r="C78" s="56" t="n">
        <v>2732</v>
      </c>
      <c r="D78" s="57" t="s">
        <v>42</v>
      </c>
      <c r="E78" s="33" t="n">
        <f aca="false">IF(D78="totale",(C78/(A78*24))/F78,IF(D78="marché libre",(C78/(A78*24))/G78,"spécifier histo"))</f>
        <v>0.00249963402137315</v>
      </c>
      <c r="F78" s="59" t="n">
        <v>1518</v>
      </c>
      <c r="G78" s="59" t="n">
        <f aca="false">F78-H78</f>
        <v>1518</v>
      </c>
      <c r="H78" s="58" t="n">
        <v>0</v>
      </c>
      <c r="I78" s="9"/>
      <c r="J78" s="30"/>
    </row>
    <row r="79" customFormat="false" ht="21.7" hidden="false" customHeight="true" outlineLevel="0" collapsed="false">
      <c r="A79" s="0" t="n">
        <v>31</v>
      </c>
      <c r="B79" s="34" t="n">
        <v>39722</v>
      </c>
      <c r="C79" s="56" t="n">
        <v>117511</v>
      </c>
      <c r="D79" s="57" t="s">
        <v>42</v>
      </c>
      <c r="E79" s="33" t="n">
        <f aca="false">IF(D79="totale",(C79/(A79*24))/F79,IF(D79="marché libre",(C79/(A79*24))/G79,"spécifier histo"))</f>
        <v>0.104048018756995</v>
      </c>
      <c r="F79" s="59" t="n">
        <v>1518</v>
      </c>
      <c r="G79" s="59" t="n">
        <f aca="false">F79-H79</f>
        <v>1518</v>
      </c>
      <c r="H79" s="58" t="n">
        <v>0</v>
      </c>
      <c r="I79" s="9"/>
      <c r="J79" s="30"/>
    </row>
    <row r="80" customFormat="false" ht="21.7" hidden="false" customHeight="true" outlineLevel="0" collapsed="false">
      <c r="A80" s="0" t="n">
        <v>30</v>
      </c>
      <c r="B80" s="31" t="n">
        <v>39753</v>
      </c>
      <c r="C80" s="56" t="n">
        <v>224684</v>
      </c>
      <c r="D80" s="57" t="s">
        <v>42</v>
      </c>
      <c r="E80" s="33" t="n">
        <f aca="false">IF(D80="totale",(C80/(A80*24))/F80,IF(D80="marché libre",(C80/(A80*24))/G80,"spécifier histo"))</f>
        <v>0.205573854486898</v>
      </c>
      <c r="F80" s="59" t="n">
        <v>1518</v>
      </c>
      <c r="G80" s="59" t="n">
        <f aca="false">F80-H80</f>
        <v>1518</v>
      </c>
      <c r="H80" s="58" t="n">
        <v>0</v>
      </c>
      <c r="I80" s="9"/>
      <c r="J80" s="30"/>
    </row>
    <row r="81" customFormat="false" ht="21.7" hidden="false" customHeight="true" outlineLevel="0" collapsed="false">
      <c r="A81" s="0" t="n">
        <v>31</v>
      </c>
      <c r="B81" s="34" t="n">
        <v>39783</v>
      </c>
      <c r="C81" s="56" t="n">
        <v>739881</v>
      </c>
      <c r="D81" s="57" t="s">
        <v>42</v>
      </c>
      <c r="E81" s="33" t="n">
        <f aca="false">IF(D81="totale",(C81/(A81*24))/F81,IF(D81="marché libre",(C81/(A81*24))/G81,"spécifier histo"))</f>
        <v>0.655114433252582</v>
      </c>
      <c r="F81" s="59" t="n">
        <v>1518</v>
      </c>
      <c r="G81" s="59" t="n">
        <f aca="false">F81-H81</f>
        <v>1518</v>
      </c>
      <c r="H81" s="58" t="n">
        <v>0</v>
      </c>
      <c r="I81" s="9"/>
      <c r="J81" s="30"/>
    </row>
    <row r="82" customFormat="false" ht="21.7" hidden="false" customHeight="true" outlineLevel="0" collapsed="false">
      <c r="A82" s="0" t="n">
        <v>31</v>
      </c>
      <c r="B82" s="31" t="n">
        <v>39814</v>
      </c>
      <c r="C82" s="56" t="n">
        <v>593136</v>
      </c>
      <c r="D82" s="57" t="s">
        <v>42</v>
      </c>
      <c r="E82" s="33" t="n">
        <f aca="false">IF(D82="totale",(C82/(A82*24))/F82,IF(D82="marché libre",(C82/(A82*24))/G82,"spécifier histo"))</f>
        <v>0.525181690679587</v>
      </c>
      <c r="F82" s="59" t="n">
        <v>1518</v>
      </c>
      <c r="G82" s="59" t="n">
        <f aca="false">F82-H82</f>
        <v>1518</v>
      </c>
      <c r="H82" s="58" t="n">
        <v>0</v>
      </c>
      <c r="I82" s="9"/>
      <c r="J82" s="30"/>
    </row>
    <row r="83" customFormat="false" ht="21.7" hidden="false" customHeight="true" outlineLevel="0" collapsed="false">
      <c r="A83" s="0" t="n">
        <v>28</v>
      </c>
      <c r="B83" s="34" t="n">
        <v>39845</v>
      </c>
      <c r="C83" s="56" t="n">
        <v>695650</v>
      </c>
      <c r="D83" s="57" t="s">
        <v>42</v>
      </c>
      <c r="E83" s="33" t="n">
        <f aca="false">IF(D83="totale",(C83/(A83*24))/F83,IF(D83="marché libre",(C83/(A83*24))/G83,"spécifier histo"))</f>
        <v>0.681945620804316</v>
      </c>
      <c r="F83" s="59" t="n">
        <v>1518</v>
      </c>
      <c r="G83" s="59" t="n">
        <f aca="false">F83-H83</f>
        <v>1518</v>
      </c>
      <c r="H83" s="58" t="n">
        <v>0</v>
      </c>
      <c r="I83" s="9"/>
      <c r="J83" s="30"/>
    </row>
    <row r="84" customFormat="false" ht="21.7" hidden="false" customHeight="true" outlineLevel="0" collapsed="false">
      <c r="A84" s="0" t="n">
        <v>31</v>
      </c>
      <c r="B84" s="31" t="n">
        <v>39873</v>
      </c>
      <c r="C84" s="56" t="n">
        <v>451764</v>
      </c>
      <c r="D84" s="57" t="s">
        <v>42</v>
      </c>
      <c r="E84" s="33" t="n">
        <f aca="false">IF(D84="totale",(C84/(A84*24))/F84,IF(D84="marché libre",(C84/(A84*24))/G84,"spécifier histo"))</f>
        <v>0.400006375111564</v>
      </c>
      <c r="F84" s="59" t="n">
        <v>1518</v>
      </c>
      <c r="G84" s="59" t="n">
        <f aca="false">F84-H84</f>
        <v>1518</v>
      </c>
      <c r="H84" s="58" t="n">
        <v>0</v>
      </c>
      <c r="I84" s="9"/>
      <c r="J84" s="30"/>
    </row>
    <row r="85" customFormat="false" ht="21.7" hidden="false" customHeight="true" outlineLevel="0" collapsed="false">
      <c r="A85" s="0" t="n">
        <v>30</v>
      </c>
      <c r="B85" s="34" t="n">
        <v>39904</v>
      </c>
      <c r="C85" s="56" t="n">
        <v>204568</v>
      </c>
      <c r="D85" s="57" t="s">
        <v>42</v>
      </c>
      <c r="E85" s="33" t="n">
        <f aca="false">IF(D85="totale",(C85/(A85*24))/F85,IF(D85="marché libre",(C85/(A85*24))/G85,"spécifier histo"))</f>
        <v>0.187168789342702</v>
      </c>
      <c r="F85" s="59" t="n">
        <v>1518</v>
      </c>
      <c r="G85" s="59" t="n">
        <f aca="false">F85-H85</f>
        <v>1518</v>
      </c>
      <c r="H85" s="58" t="n">
        <v>0</v>
      </c>
      <c r="I85" s="9"/>
      <c r="J85" s="30"/>
    </row>
    <row r="86" customFormat="false" ht="21.7" hidden="false" customHeight="true" outlineLevel="0" collapsed="false">
      <c r="A86" s="0" t="n">
        <v>31</v>
      </c>
      <c r="B86" s="31" t="n">
        <v>39934</v>
      </c>
      <c r="C86" s="56" t="n">
        <v>0</v>
      </c>
      <c r="D86" s="57" t="s">
        <v>42</v>
      </c>
      <c r="E86" s="33" t="n">
        <f aca="false">IF(D86="totale",(C86/(A86*24))/F86,IF(D86="marché libre",(C86/(A86*24))/G86,"spécifier histo"))</f>
        <v>0</v>
      </c>
      <c r="F86" s="59" t="n">
        <v>1518</v>
      </c>
      <c r="G86" s="59" t="n">
        <f aca="false">F86-H86</f>
        <v>1518</v>
      </c>
      <c r="H86" s="58" t="n">
        <v>0</v>
      </c>
      <c r="I86" s="9"/>
      <c r="J86" s="30"/>
    </row>
    <row r="87" customFormat="false" ht="21.7" hidden="false" customHeight="true" outlineLevel="0" collapsed="false">
      <c r="A87" s="0" t="n">
        <v>30</v>
      </c>
      <c r="B87" s="34" t="n">
        <v>39965</v>
      </c>
      <c r="C87" s="56" t="n">
        <v>0</v>
      </c>
      <c r="D87" s="57" t="s">
        <v>42</v>
      </c>
      <c r="E87" s="33" t="n">
        <f aca="false">IF(D87="totale",(C87/(A87*24))/F87,IF(D87="marché libre",(C87/(A87*24))/G87,"spécifier histo"))</f>
        <v>0</v>
      </c>
      <c r="F87" s="59" t="n">
        <v>1518</v>
      </c>
      <c r="G87" s="59" t="n">
        <f aca="false">F87-H87</f>
        <v>1518</v>
      </c>
      <c r="H87" s="58" t="n">
        <v>0</v>
      </c>
      <c r="I87" s="9"/>
      <c r="J87" s="30"/>
    </row>
    <row r="88" customFormat="false" ht="21.7" hidden="false" customHeight="true" outlineLevel="0" collapsed="false">
      <c r="A88" s="0" t="n">
        <v>31</v>
      </c>
      <c r="B88" s="31" t="n">
        <v>39995</v>
      </c>
      <c r="C88" s="56" t="n">
        <v>0</v>
      </c>
      <c r="D88" s="57" t="s">
        <v>42</v>
      </c>
      <c r="E88" s="33" t="n">
        <f aca="false">IF(D88="totale",(C88/(A88*24))/F88,IF(D88="marché libre",(C88/(A88*24))/G88,"spécifier histo"))</f>
        <v>0</v>
      </c>
      <c r="F88" s="59" t="n">
        <v>1518</v>
      </c>
      <c r="G88" s="59" t="n">
        <f aca="false">F88-H88</f>
        <v>1518</v>
      </c>
      <c r="H88" s="58" t="n">
        <v>0</v>
      </c>
      <c r="I88" s="9"/>
      <c r="J88" s="30"/>
    </row>
    <row r="89" customFormat="false" ht="21.7" hidden="false" customHeight="true" outlineLevel="0" collapsed="false">
      <c r="A89" s="0" t="n">
        <v>31</v>
      </c>
      <c r="B89" s="34" t="n">
        <v>40026</v>
      </c>
      <c r="C89" s="56" t="n">
        <v>0</v>
      </c>
      <c r="D89" s="57" t="s">
        <v>42</v>
      </c>
      <c r="E89" s="33" t="n">
        <f aca="false">IF(D89="totale",(C89/(A89*24))/F89,IF(D89="marché libre",(C89/(A89*24))/G89,"spécifier histo"))</f>
        <v>0</v>
      </c>
      <c r="F89" s="59" t="n">
        <v>1518</v>
      </c>
      <c r="G89" s="59" t="n">
        <f aca="false">F89-H89</f>
        <v>1518</v>
      </c>
      <c r="H89" s="58" t="n">
        <v>0</v>
      </c>
      <c r="I89" s="9"/>
      <c r="J89" s="30"/>
    </row>
    <row r="90" customFormat="false" ht="21.7" hidden="false" customHeight="true" outlineLevel="0" collapsed="false">
      <c r="A90" s="0" t="n">
        <v>30</v>
      </c>
      <c r="B90" s="31" t="n">
        <v>40057</v>
      </c>
      <c r="C90" s="56" t="n">
        <v>0</v>
      </c>
      <c r="D90" s="57" t="s">
        <v>42</v>
      </c>
      <c r="E90" s="33" t="n">
        <f aca="false">IF(D90="totale",(C90/(A90*24))/F90,IF(D90="marché libre",(C90/(A90*24))/G90,"spécifier histo"))</f>
        <v>0</v>
      </c>
      <c r="F90" s="59" t="n">
        <v>1518</v>
      </c>
      <c r="G90" s="59" t="n">
        <f aca="false">F90-H90</f>
        <v>1518</v>
      </c>
      <c r="H90" s="58" t="n">
        <v>0</v>
      </c>
      <c r="I90" s="9"/>
      <c r="J90" s="30"/>
    </row>
    <row r="91" customFormat="false" ht="21.7" hidden="false" customHeight="true" outlineLevel="0" collapsed="false">
      <c r="A91" s="0" t="n">
        <v>31</v>
      </c>
      <c r="B91" s="34" t="n">
        <v>40087</v>
      </c>
      <c r="C91" s="56" t="n">
        <v>0</v>
      </c>
      <c r="D91" s="57" t="s">
        <v>42</v>
      </c>
      <c r="E91" s="33" t="n">
        <f aca="false">IF(D91="totale",(C91/(A91*24))/F91,IF(D91="marché libre",(C91/(A91*24))/G91,"spécifier histo"))</f>
        <v>0</v>
      </c>
      <c r="F91" s="59" t="n">
        <v>1518</v>
      </c>
      <c r="G91" s="59" t="n">
        <f aca="false">F91-H91</f>
        <v>1518</v>
      </c>
      <c r="H91" s="58" t="n">
        <v>0</v>
      </c>
      <c r="I91" s="9"/>
      <c r="J91" s="30"/>
    </row>
    <row r="92" customFormat="false" ht="21.7" hidden="false" customHeight="true" outlineLevel="0" collapsed="false">
      <c r="A92" s="0" t="n">
        <v>30</v>
      </c>
      <c r="B92" s="31" t="n">
        <v>40118</v>
      </c>
      <c r="C92" s="56" t="n">
        <v>305219</v>
      </c>
      <c r="D92" s="57" t="s">
        <v>42</v>
      </c>
      <c r="E92" s="33" t="n">
        <f aca="false">IF(D92="totale",(C92/(A92*24))/F92,IF(D92="marché libre",(C92/(A92*24))/G92,"spécifier histo"))</f>
        <v>0.279259076269946</v>
      </c>
      <c r="F92" s="59" t="n">
        <v>1518</v>
      </c>
      <c r="G92" s="59" t="n">
        <f aca="false">F92-H92</f>
        <v>1518</v>
      </c>
      <c r="H92" s="58" t="n">
        <v>0</v>
      </c>
      <c r="I92" s="9"/>
      <c r="J92" s="30"/>
    </row>
    <row r="93" customFormat="false" ht="21.7" hidden="false" customHeight="true" outlineLevel="0" collapsed="false">
      <c r="A93" s="0" t="n">
        <v>31</v>
      </c>
      <c r="B93" s="34" t="n">
        <v>40148</v>
      </c>
      <c r="C93" s="56" t="n">
        <v>831739</v>
      </c>
      <c r="D93" s="57" t="s">
        <v>42</v>
      </c>
      <c r="E93" s="33" t="n">
        <f aca="false">IF(D93="totale",(C93/(A93*24))/F93,IF(D93="marché libre",(C93/(A93*24))/G93,"spécifier histo"))</f>
        <v>0.73644846076473</v>
      </c>
      <c r="F93" s="59" t="n">
        <v>1518</v>
      </c>
      <c r="G93" s="59" t="n">
        <f aca="false">F93-H93</f>
        <v>1518</v>
      </c>
      <c r="H93" s="58" t="n">
        <v>0</v>
      </c>
      <c r="I93" s="9"/>
      <c r="J93" s="30"/>
    </row>
    <row r="94" customFormat="false" ht="19.45" hidden="false" customHeight="true" outlineLevel="0" collapsed="false">
      <c r="A94" s="0" t="n">
        <v>31</v>
      </c>
      <c r="B94" s="31" t="n">
        <v>40179</v>
      </c>
      <c r="C94" s="56" t="n">
        <v>897166</v>
      </c>
      <c r="D94" s="57" t="s">
        <v>42</v>
      </c>
      <c r="E94" s="33" t="n">
        <f aca="false">IF(D94="totale",(C94/(A94*24))/F94,IF(D94="marché libre",(C94/(A94*24))/G94,"spécifier histo"))</f>
        <v>0.794379630810206</v>
      </c>
      <c r="F94" s="59" t="n">
        <v>1518</v>
      </c>
      <c r="G94" s="59" t="n">
        <f aca="false">F94-H94</f>
        <v>1518</v>
      </c>
      <c r="H94" s="58" t="n">
        <v>0</v>
      </c>
      <c r="I94" s="9"/>
      <c r="J94" s="30"/>
    </row>
    <row r="95" customFormat="false" ht="19.45" hidden="false" customHeight="true" outlineLevel="0" collapsed="false">
      <c r="A95" s="0" t="n">
        <v>28</v>
      </c>
      <c r="B95" s="34" t="n">
        <v>40210</v>
      </c>
      <c r="C95" s="56" t="n">
        <v>641874</v>
      </c>
      <c r="D95" s="57" t="s">
        <v>42</v>
      </c>
      <c r="E95" s="33" t="n">
        <f aca="false">IF(D95="totale",(C95/(A95*24))/F95,IF(D95="marché libre",(C95/(A95*24))/G95,"spécifier histo"))</f>
        <v>0.629229013739883</v>
      </c>
      <c r="F95" s="59" t="n">
        <v>1518</v>
      </c>
      <c r="G95" s="59" t="n">
        <f aca="false">F95-H95</f>
        <v>1518</v>
      </c>
      <c r="H95" s="58" t="n">
        <v>0</v>
      </c>
      <c r="I95" s="9"/>
      <c r="J95" s="30"/>
    </row>
    <row r="96" customFormat="false" ht="19.45" hidden="false" customHeight="true" outlineLevel="0" collapsed="false">
      <c r="A96" s="0" t="n">
        <v>31</v>
      </c>
      <c r="B96" s="31" t="n">
        <v>40238</v>
      </c>
      <c r="C96" s="56" t="n">
        <v>785643</v>
      </c>
      <c r="D96" s="57" t="s">
        <v>42</v>
      </c>
      <c r="E96" s="33" t="n">
        <f aca="false">IF(D96="totale",(C96/(A96*24))/F96,IF(D96="marché libre",(C96/(A96*24))/G96,"spécifier histo"))</f>
        <v>0.695633579837647</v>
      </c>
      <c r="F96" s="59" t="n">
        <v>1518</v>
      </c>
      <c r="G96" s="59" t="n">
        <f aca="false">F96-H96</f>
        <v>1518</v>
      </c>
      <c r="H96" s="58" t="n">
        <v>0</v>
      </c>
      <c r="I96" s="9"/>
      <c r="J96" s="30"/>
    </row>
    <row r="97" customFormat="false" ht="19.45" hidden="false" customHeight="true" outlineLevel="0" collapsed="false">
      <c r="A97" s="0" t="n">
        <v>30</v>
      </c>
      <c r="B97" s="34" t="n">
        <v>40269</v>
      </c>
      <c r="C97" s="56" t="n">
        <v>204560</v>
      </c>
      <c r="D97" s="57" t="s">
        <v>42</v>
      </c>
      <c r="E97" s="33" t="n">
        <f aca="false">IF(D97="totale",(C97/(A97*24))/F97,IF(D97="marché libre",(C97/(A97*24))/G97,"spécifier histo"))</f>
        <v>0.187161469770165</v>
      </c>
      <c r="F97" s="59" t="n">
        <v>1518</v>
      </c>
      <c r="G97" s="59" t="n">
        <f aca="false">F97-H97</f>
        <v>1518</v>
      </c>
      <c r="H97" s="58" t="n">
        <v>0</v>
      </c>
      <c r="I97" s="9"/>
      <c r="J97" s="30"/>
    </row>
    <row r="98" customFormat="false" ht="19.45" hidden="false" customHeight="true" outlineLevel="0" collapsed="false">
      <c r="A98" s="0" t="n">
        <v>31</v>
      </c>
      <c r="B98" s="31" t="n">
        <v>40299</v>
      </c>
      <c r="C98" s="56" t="n">
        <v>50834</v>
      </c>
      <c r="D98" s="57" t="s">
        <v>42</v>
      </c>
      <c r="E98" s="33" t="n">
        <f aca="false">IF(D98="totale",(C98/(A98*24))/F98,IF(D98="marché libre",(C98/(A98*24))/G98,"spécifier histo"))</f>
        <v>0.0450100585093573</v>
      </c>
      <c r="F98" s="59" t="n">
        <v>1518</v>
      </c>
      <c r="G98" s="59" t="n">
        <f aca="false">F98-H98</f>
        <v>1518</v>
      </c>
      <c r="H98" s="58" t="n">
        <v>0</v>
      </c>
      <c r="I98" s="9"/>
      <c r="J98" s="30"/>
    </row>
    <row r="99" customFormat="false" ht="19.45" hidden="false" customHeight="true" outlineLevel="0" collapsed="false">
      <c r="A99" s="0" t="n">
        <v>30</v>
      </c>
      <c r="B99" s="34" t="n">
        <v>40330</v>
      </c>
      <c r="C99" s="56" t="n">
        <v>510</v>
      </c>
      <c r="D99" s="57" t="s">
        <v>42</v>
      </c>
      <c r="E99" s="33" t="n">
        <f aca="false">IF(D99="totale",(C99/(A99*24))/F99,IF(D99="marché libre",(C99/(A99*24))/G99,"spécifier histo"))</f>
        <v>0.000466622749231445</v>
      </c>
      <c r="F99" s="59" t="n">
        <v>1518</v>
      </c>
      <c r="G99" s="59" t="n">
        <f aca="false">F99-H99</f>
        <v>1518</v>
      </c>
      <c r="H99" s="58" t="n">
        <v>0</v>
      </c>
      <c r="I99" s="9"/>
      <c r="J99" s="30"/>
    </row>
    <row r="100" customFormat="false" ht="19.45" hidden="false" customHeight="true" outlineLevel="0" collapsed="false">
      <c r="A100" s="0" t="n">
        <v>31</v>
      </c>
      <c r="B100" s="31" t="n">
        <v>40360</v>
      </c>
      <c r="C100" s="56" t="n">
        <v>85</v>
      </c>
      <c r="D100" s="57" t="s">
        <v>42</v>
      </c>
      <c r="E100" s="33" t="n">
        <f aca="false">IF(D100="totale",(C100/(A100*24))/F100,IF(D100="marché libre",(C100/(A100*24))/G100,"spécifier histo"))</f>
        <v>7.52617337470072E-005</v>
      </c>
      <c r="F100" s="59" t="n">
        <v>1518</v>
      </c>
      <c r="G100" s="59" t="n">
        <f aca="false">F100-H100</f>
        <v>1518</v>
      </c>
      <c r="H100" s="58" t="n">
        <v>0</v>
      </c>
      <c r="I100" s="9"/>
      <c r="J100" s="30"/>
    </row>
    <row r="101" customFormat="false" ht="19.45" hidden="false" customHeight="true" outlineLevel="0" collapsed="false">
      <c r="A101" s="0" t="n">
        <v>31</v>
      </c>
      <c r="B101" s="34" t="n">
        <v>40391</v>
      </c>
      <c r="C101" s="56" t="n">
        <v>0</v>
      </c>
      <c r="D101" s="57" t="s">
        <v>42</v>
      </c>
      <c r="E101" s="33" t="n">
        <f aca="false">IF(D101="totale",(C101/(A101*24))/F101,IF(D101="marché libre",(C101/(A101*24))/G101,"spécifier histo"))</f>
        <v>0</v>
      </c>
      <c r="F101" s="59" t="n">
        <v>1518</v>
      </c>
      <c r="G101" s="59" t="n">
        <f aca="false">F101-H101</f>
        <v>1518</v>
      </c>
      <c r="H101" s="58" t="n">
        <v>0</v>
      </c>
      <c r="I101" s="9"/>
      <c r="J101" s="30"/>
    </row>
    <row r="102" customFormat="false" ht="19.45" hidden="false" customHeight="true" outlineLevel="0" collapsed="false">
      <c r="A102" s="0" t="n">
        <v>30</v>
      </c>
      <c r="B102" s="31" t="n">
        <v>40422</v>
      </c>
      <c r="C102" s="56" t="n">
        <v>0</v>
      </c>
      <c r="D102" s="57" t="s">
        <v>42</v>
      </c>
      <c r="E102" s="33" t="n">
        <f aca="false">IF(D102="totale",(C102/(A102*24))/F102,IF(D102="marché libre",(C102/(A102*24))/G102,"spécifier histo"))</f>
        <v>0</v>
      </c>
      <c r="F102" s="59" t="n">
        <v>1518</v>
      </c>
      <c r="G102" s="59" t="n">
        <f aca="false">F102-H102</f>
        <v>1518</v>
      </c>
      <c r="H102" s="58" t="n">
        <v>0</v>
      </c>
      <c r="I102" s="9"/>
      <c r="J102" s="30"/>
    </row>
    <row r="103" customFormat="false" ht="19.45" hidden="false" customHeight="true" outlineLevel="0" collapsed="false">
      <c r="A103" s="0" t="n">
        <v>31</v>
      </c>
      <c r="B103" s="34" t="n">
        <v>40452</v>
      </c>
      <c r="C103" s="56" t="n">
        <v>88550</v>
      </c>
      <c r="D103" s="57" t="s">
        <v>42</v>
      </c>
      <c r="E103" s="33" t="n">
        <f aca="false">IF(D103="totale",(C103/(A103*24))/F103,IF(D103="marché libre",(C103/(A103*24))/G103,"spécifier histo"))</f>
        <v>0.078405017921147</v>
      </c>
      <c r="F103" s="59" t="n">
        <v>1518</v>
      </c>
      <c r="G103" s="59" t="n">
        <f aca="false">F103-H103</f>
        <v>1518</v>
      </c>
      <c r="H103" s="58" t="n">
        <v>0</v>
      </c>
      <c r="I103" s="9"/>
      <c r="J103" s="30"/>
    </row>
    <row r="104" customFormat="false" ht="19.45" hidden="false" customHeight="true" outlineLevel="0" collapsed="false">
      <c r="A104" s="0" t="n">
        <v>30</v>
      </c>
      <c r="B104" s="31" t="n">
        <v>40483</v>
      </c>
      <c r="C104" s="56" t="n">
        <v>285627</v>
      </c>
      <c r="D104" s="57" t="s">
        <v>42</v>
      </c>
      <c r="E104" s="33" t="n">
        <f aca="false">IF(D104="totale",(C104/(A104*24))/F104,IF(D104="marché libre",(C104/(A104*24))/G104,"spécifier histo"))</f>
        <v>0.261333443126921</v>
      </c>
      <c r="F104" s="59" t="n">
        <v>1518</v>
      </c>
      <c r="G104" s="59" t="n">
        <f aca="false">F104-H104</f>
        <v>1518</v>
      </c>
      <c r="H104" s="58" t="n">
        <v>0</v>
      </c>
      <c r="I104" s="9"/>
      <c r="J104" s="30"/>
    </row>
    <row r="105" customFormat="false" ht="19.45" hidden="false" customHeight="true" outlineLevel="0" collapsed="false">
      <c r="A105" s="0" t="n">
        <v>31</v>
      </c>
      <c r="B105" s="34" t="n">
        <v>40513</v>
      </c>
      <c r="C105" s="56" t="n">
        <v>680678</v>
      </c>
      <c r="D105" s="57" t="s">
        <v>42</v>
      </c>
      <c r="E105" s="33" t="n">
        <f aca="false">IF(D105="totale",(C105/(A105*24))/F105,IF(D105="marché libre",(C105/(A105*24))/G105,"spécifier histo"))</f>
        <v>0.60269419298171</v>
      </c>
      <c r="F105" s="59" t="n">
        <v>1518</v>
      </c>
      <c r="G105" s="59" t="n">
        <f aca="false">F105-H105</f>
        <v>1518</v>
      </c>
      <c r="H105" s="58" t="n">
        <v>0</v>
      </c>
      <c r="I105" s="9"/>
      <c r="J105" s="30"/>
    </row>
    <row r="106" customFormat="false" ht="19.45" hidden="false" customHeight="true" outlineLevel="0" collapsed="false">
      <c r="A106" s="0" t="n">
        <v>31</v>
      </c>
      <c r="B106" s="31" t="n">
        <v>40544</v>
      </c>
      <c r="C106" s="56" t="n">
        <v>463978</v>
      </c>
      <c r="D106" s="57" t="s">
        <v>42</v>
      </c>
      <c r="E106" s="33" t="n">
        <f aca="false">IF(D106="totale",(C106/(A106*24))/F106,IF(D106="marché libre",(C106/(A106*24))/G106,"spécifier histo"))</f>
        <v>0.410821043534929</v>
      </c>
      <c r="F106" s="59" t="n">
        <v>1518</v>
      </c>
      <c r="G106" s="59" t="n">
        <f aca="false">F106-H106</f>
        <v>1518</v>
      </c>
      <c r="H106" s="58" t="n">
        <v>0</v>
      </c>
      <c r="I106" s="9"/>
      <c r="J106" s="30"/>
    </row>
    <row r="107" customFormat="false" ht="19.45" hidden="false" customHeight="true" outlineLevel="0" collapsed="false">
      <c r="A107" s="0" t="n">
        <v>28</v>
      </c>
      <c r="B107" s="34" t="n">
        <v>40575</v>
      </c>
      <c r="C107" s="56" t="n">
        <v>307322</v>
      </c>
      <c r="D107" s="57" t="s">
        <v>42</v>
      </c>
      <c r="E107" s="33" t="n">
        <f aca="false">IF(D107="totale",(C107/(A107*24))/F107,IF(D107="marché libre",(C107/(A107*24))/G107,"spécifier histo"))</f>
        <v>0.301267723822072</v>
      </c>
      <c r="F107" s="59" t="n">
        <v>1518</v>
      </c>
      <c r="G107" s="59" t="n">
        <f aca="false">F107-H107</f>
        <v>1518</v>
      </c>
      <c r="H107" s="58" t="n">
        <v>0</v>
      </c>
      <c r="I107" s="9"/>
      <c r="J107" s="30"/>
    </row>
    <row r="108" customFormat="false" ht="19.45" hidden="false" customHeight="true" outlineLevel="0" collapsed="false">
      <c r="A108" s="0" t="n">
        <v>31</v>
      </c>
      <c r="B108" s="31" t="n">
        <v>40603</v>
      </c>
      <c r="C108" s="56" t="n">
        <v>280303</v>
      </c>
      <c r="D108" s="57" t="s">
        <v>42</v>
      </c>
      <c r="E108" s="33" t="n">
        <f aca="false">IF(D108="totale",(C108/(A108*24))/F108,IF(D108="marché libre",(C108/(A108*24))/G108,"spécifier histo"))</f>
        <v>0.248189291229263</v>
      </c>
      <c r="F108" s="59" t="n">
        <v>1518</v>
      </c>
      <c r="G108" s="59" t="n">
        <f aca="false">F108-H108</f>
        <v>1518</v>
      </c>
      <c r="H108" s="58" t="n">
        <v>0</v>
      </c>
      <c r="I108" s="9"/>
      <c r="J108" s="30"/>
    </row>
    <row r="109" customFormat="false" ht="19.45" hidden="false" customHeight="true" outlineLevel="0" collapsed="false">
      <c r="A109" s="0" t="n">
        <v>30</v>
      </c>
      <c r="B109" s="34" t="n">
        <v>40634</v>
      </c>
      <c r="C109" s="56" t="n">
        <v>7204</v>
      </c>
      <c r="D109" s="57" t="s">
        <v>42</v>
      </c>
      <c r="E109" s="33" t="n">
        <f aca="false">IF(D109="totale",(C109/(A109*24))/F109,IF(D109="marché libre",(C109/(A109*24))/G109,"spécifier histo"))</f>
        <v>0.00659127506953594</v>
      </c>
      <c r="F109" s="59" t="n">
        <v>1518</v>
      </c>
      <c r="G109" s="59" t="n">
        <f aca="false">F109-H109</f>
        <v>1518</v>
      </c>
      <c r="H109" s="58" t="n">
        <v>0</v>
      </c>
      <c r="I109" s="9"/>
      <c r="J109" s="30"/>
    </row>
    <row r="110" customFormat="false" ht="19.45" hidden="false" customHeight="true" outlineLevel="0" collapsed="false">
      <c r="A110" s="0" t="n">
        <v>31</v>
      </c>
      <c r="B110" s="31" t="n">
        <v>40664</v>
      </c>
      <c r="C110" s="56" t="n">
        <v>0</v>
      </c>
      <c r="D110" s="57" t="s">
        <v>42</v>
      </c>
      <c r="E110" s="33" t="n">
        <f aca="false">IF(D110="totale",(C110/(A110*24))/F110,IF(D110="marché libre",(C110/(A110*24))/G110,"spécifier histo"))</f>
        <v>0</v>
      </c>
      <c r="F110" s="59" t="n">
        <v>1518</v>
      </c>
      <c r="G110" s="59" t="n">
        <f aca="false">F110-H110</f>
        <v>1518</v>
      </c>
      <c r="H110" s="58" t="n">
        <v>0</v>
      </c>
      <c r="I110" s="9"/>
      <c r="J110" s="30"/>
    </row>
    <row r="111" customFormat="false" ht="19.45" hidden="false" customHeight="true" outlineLevel="0" collapsed="false">
      <c r="A111" s="0" t="n">
        <v>30</v>
      </c>
      <c r="B111" s="34" t="n">
        <v>40695</v>
      </c>
      <c r="C111" s="56" t="n">
        <v>0</v>
      </c>
      <c r="D111" s="57" t="s">
        <v>42</v>
      </c>
      <c r="E111" s="33" t="n">
        <f aca="false">IF(D111="totale",(C111/(A111*24))/F111,IF(D111="marché libre",(C111/(A111*24))/G111,"spécifier histo"))</f>
        <v>0</v>
      </c>
      <c r="F111" s="59" t="n">
        <v>1518</v>
      </c>
      <c r="G111" s="59" t="n">
        <f aca="false">F111-H111</f>
        <v>1518</v>
      </c>
      <c r="H111" s="58" t="n">
        <v>0</v>
      </c>
      <c r="I111" s="9"/>
      <c r="J111" s="30"/>
    </row>
    <row r="112" customFormat="false" ht="19.45" hidden="false" customHeight="true" outlineLevel="0" collapsed="false">
      <c r="A112" s="0" t="n">
        <v>31</v>
      </c>
      <c r="B112" s="31" t="n">
        <v>40725</v>
      </c>
      <c r="C112" s="56" t="n">
        <v>0</v>
      </c>
      <c r="D112" s="57" t="s">
        <v>42</v>
      </c>
      <c r="E112" s="33" t="n">
        <f aca="false">IF(D112="totale",(C112/(A112*24))/F112,IF(D112="marché libre",(C112/(A112*24))/G112,"spécifier histo"))</f>
        <v>0</v>
      </c>
      <c r="F112" s="59" t="n">
        <v>1518</v>
      </c>
      <c r="G112" s="59" t="n">
        <f aca="false">F112-H112</f>
        <v>1518</v>
      </c>
      <c r="H112" s="58" t="n">
        <v>0</v>
      </c>
      <c r="I112" s="9"/>
      <c r="J112" s="30"/>
    </row>
    <row r="113" customFormat="false" ht="19.45" hidden="false" customHeight="true" outlineLevel="0" collapsed="false">
      <c r="A113" s="0" t="n">
        <v>31</v>
      </c>
      <c r="B113" s="34" t="n">
        <v>40756</v>
      </c>
      <c r="C113" s="56" t="n">
        <v>0</v>
      </c>
      <c r="D113" s="57" t="s">
        <v>42</v>
      </c>
      <c r="E113" s="33" t="n">
        <f aca="false">IF(D113="totale",(C113/(A113*24))/F113,IF(D113="marché libre",(C113/(A113*24))/G113,"spécifier histo"))</f>
        <v>0</v>
      </c>
      <c r="F113" s="59" t="n">
        <v>1518</v>
      </c>
      <c r="G113" s="59" t="n">
        <f aca="false">F113-H113</f>
        <v>1518</v>
      </c>
      <c r="H113" s="58" t="n">
        <v>0</v>
      </c>
      <c r="I113" s="9"/>
      <c r="J113" s="30"/>
    </row>
    <row r="114" customFormat="false" ht="19.45" hidden="false" customHeight="true" outlineLevel="0" collapsed="false">
      <c r="A114" s="0" t="n">
        <v>30</v>
      </c>
      <c r="B114" s="31" t="n">
        <v>40787</v>
      </c>
      <c r="C114" s="56" t="n">
        <v>0</v>
      </c>
      <c r="D114" s="57" t="s">
        <v>42</v>
      </c>
      <c r="E114" s="33" t="n">
        <f aca="false">IF(D114="totale",(C114/(A114*24))/F114,IF(D114="marché libre",(C114/(A114*24))/G114,"spécifier histo"))</f>
        <v>0</v>
      </c>
      <c r="F114" s="59" t="n">
        <v>1518</v>
      </c>
      <c r="G114" s="59" t="n">
        <f aca="false">F114-H114</f>
        <v>1518</v>
      </c>
      <c r="H114" s="58" t="n">
        <v>0</v>
      </c>
      <c r="I114" s="9"/>
      <c r="J114" s="30"/>
    </row>
    <row r="115" customFormat="false" ht="19.45" hidden="false" customHeight="true" outlineLevel="0" collapsed="false">
      <c r="A115" s="0" t="n">
        <v>31</v>
      </c>
      <c r="B115" s="34" t="n">
        <v>40817</v>
      </c>
      <c r="C115" s="56" t="n">
        <v>0</v>
      </c>
      <c r="D115" s="57" t="s">
        <v>42</v>
      </c>
      <c r="E115" s="33" t="n">
        <f aca="false">IF(D115="totale",(C115/(A115*24))/F115,IF(D115="marché libre",(C115/(A115*24))/G115,"spécifier histo"))</f>
        <v>0</v>
      </c>
      <c r="F115" s="59" t="n">
        <v>1518</v>
      </c>
      <c r="G115" s="59" t="n">
        <f aca="false">F115-H115</f>
        <v>1518</v>
      </c>
      <c r="H115" s="58" t="n">
        <v>0</v>
      </c>
      <c r="I115" s="9"/>
      <c r="J115" s="30"/>
    </row>
    <row r="116" customFormat="false" ht="19.45" hidden="false" customHeight="true" outlineLevel="0" collapsed="false">
      <c r="A116" s="0" t="n">
        <v>30</v>
      </c>
      <c r="B116" s="31" t="n">
        <v>40848</v>
      </c>
      <c r="C116" s="56" t="n">
        <v>0</v>
      </c>
      <c r="D116" s="57" t="s">
        <v>42</v>
      </c>
      <c r="E116" s="33" t="n">
        <f aca="false">IF(D116="totale",(C116/(A116*24))/F116,IF(D116="marché libre",(C116/(A116*24))/G116,"spécifier histo"))</f>
        <v>0</v>
      </c>
      <c r="F116" s="59" t="n">
        <v>1518</v>
      </c>
      <c r="G116" s="59" t="n">
        <f aca="false">F116-H116</f>
        <v>1518</v>
      </c>
      <c r="H116" s="58" t="n">
        <v>0</v>
      </c>
      <c r="I116" s="9"/>
      <c r="J116" s="30"/>
    </row>
    <row r="117" customFormat="false" ht="19.45" hidden="false" customHeight="true" outlineLevel="0" collapsed="false">
      <c r="A117" s="0" t="n">
        <v>31</v>
      </c>
      <c r="B117" s="34" t="n">
        <v>40878</v>
      </c>
      <c r="C117" s="56" t="n">
        <v>10271</v>
      </c>
      <c r="D117" s="57" t="s">
        <v>42</v>
      </c>
      <c r="E117" s="33" t="n">
        <f aca="false">IF(D117="totale",(C117/(A117*24))/F117,IF(D117="marché libre",(C117/(A117*24))/G117,"spécifier histo"))</f>
        <v>0.00909427373312366</v>
      </c>
      <c r="F117" s="59" t="n">
        <v>1518</v>
      </c>
      <c r="G117" s="59" t="n">
        <f aca="false">F117-H117</f>
        <v>1518</v>
      </c>
      <c r="H117" s="58" t="n">
        <v>0</v>
      </c>
      <c r="I117" s="9"/>
      <c r="J117" s="30"/>
    </row>
    <row r="118" customFormat="false" ht="19.45" hidden="false" customHeight="true" outlineLevel="0" collapsed="false">
      <c r="A118" s="0" t="n">
        <v>31</v>
      </c>
      <c r="B118" s="31" t="n">
        <v>40909</v>
      </c>
      <c r="C118" s="56" t="n">
        <v>90675</v>
      </c>
      <c r="D118" s="57" t="s">
        <v>42</v>
      </c>
      <c r="E118" s="33" t="n">
        <f aca="false">IF(D118="totale",(C118/(A118*24))/F118,IF(D118="marché libre",(C118/(A118*24))/G118,"spécifier histo"))</f>
        <v>0.0802865612648221</v>
      </c>
      <c r="F118" s="59" t="n">
        <v>1518</v>
      </c>
      <c r="G118" s="59" t="n">
        <f aca="false">F118-H118</f>
        <v>1518</v>
      </c>
      <c r="H118" s="58" t="n">
        <v>0</v>
      </c>
      <c r="I118" s="9"/>
      <c r="J118" s="30"/>
    </row>
    <row r="119" customFormat="false" ht="19.45" hidden="false" customHeight="true" outlineLevel="0" collapsed="false">
      <c r="A119" s="0" t="n">
        <v>28</v>
      </c>
      <c r="B119" s="34" t="n">
        <v>40940</v>
      </c>
      <c r="C119" s="56" t="n">
        <v>178887</v>
      </c>
      <c r="D119" s="57" t="s">
        <v>42</v>
      </c>
      <c r="E119" s="33" t="n">
        <f aca="false">IF(D119="totale",(C119/(A119*24))/F119,IF(D119="marché libre",(C119/(A119*24))/G119,"spécifier histo"))</f>
        <v>0.175362907020516</v>
      </c>
      <c r="F119" s="59" t="n">
        <v>1518</v>
      </c>
      <c r="G119" s="59" t="n">
        <f aca="false">F119-H119</f>
        <v>1518</v>
      </c>
      <c r="H119" s="58" t="n">
        <v>0</v>
      </c>
      <c r="I119" s="9"/>
      <c r="J119" s="30"/>
    </row>
    <row r="120" customFormat="false" ht="19.45" hidden="false" customHeight="true" outlineLevel="0" collapsed="false">
      <c r="A120" s="0" t="n">
        <v>31</v>
      </c>
      <c r="B120" s="31" t="n">
        <v>40969</v>
      </c>
      <c r="C120" s="56" t="n">
        <v>0</v>
      </c>
      <c r="D120" s="57" t="s">
        <v>42</v>
      </c>
      <c r="E120" s="33" t="n">
        <f aca="false">IF(D120="totale",(C120/(A120*24))/F120,IF(D120="marché libre",(C120/(A120*24))/G120,"spécifier histo"))</f>
        <v>0</v>
      </c>
      <c r="F120" s="59" t="n">
        <v>1518</v>
      </c>
      <c r="G120" s="59" t="n">
        <f aca="false">F120-H120</f>
        <v>1518</v>
      </c>
      <c r="H120" s="58" t="n">
        <v>0</v>
      </c>
      <c r="I120" s="9"/>
      <c r="J120" s="30"/>
    </row>
    <row r="121" customFormat="false" ht="19.45" hidden="false" customHeight="true" outlineLevel="0" collapsed="false">
      <c r="A121" s="0" t="n">
        <v>30</v>
      </c>
      <c r="B121" s="34" t="n">
        <v>41000</v>
      </c>
      <c r="C121" s="56" t="n">
        <v>55523</v>
      </c>
      <c r="D121" s="57" t="s">
        <v>42</v>
      </c>
      <c r="E121" s="33" t="n">
        <f aca="false">IF(D121="totale",(C121/(A121*24))/F121,IF(D121="marché libre",(C121/(A121*24))/G121,"spécifier histo"))</f>
        <v>0.0508005782462304</v>
      </c>
      <c r="F121" s="59" t="n">
        <v>1518</v>
      </c>
      <c r="G121" s="59" t="n">
        <f aca="false">F121-H121</f>
        <v>1518</v>
      </c>
      <c r="H121" s="58" t="n">
        <v>0</v>
      </c>
      <c r="I121" s="9"/>
      <c r="J121" s="30"/>
    </row>
    <row r="122" customFormat="false" ht="19.45" hidden="false" customHeight="true" outlineLevel="0" collapsed="false">
      <c r="A122" s="0" t="n">
        <v>31</v>
      </c>
      <c r="B122" s="31" t="n">
        <v>41030</v>
      </c>
      <c r="C122" s="56" t="n">
        <v>249110</v>
      </c>
      <c r="D122" s="57" t="s">
        <v>42</v>
      </c>
      <c r="E122" s="33" t="n">
        <f aca="false">IF(D122="totale",(C122/(A122*24))/F122,IF(D122="marché libre",(C122/(A122*24))/G122,"spécifier histo"))</f>
        <v>0.220570005808435</v>
      </c>
      <c r="F122" s="59" t="n">
        <v>1518</v>
      </c>
      <c r="G122" s="59" t="n">
        <f aca="false">F122-H122</f>
        <v>1518</v>
      </c>
      <c r="H122" s="58" t="n">
        <v>0</v>
      </c>
      <c r="I122" s="9"/>
      <c r="J122" s="30"/>
    </row>
    <row r="123" customFormat="false" ht="19.45" hidden="false" customHeight="true" outlineLevel="0" collapsed="false">
      <c r="A123" s="0" t="n">
        <v>30</v>
      </c>
      <c r="B123" s="34" t="n">
        <v>41061</v>
      </c>
      <c r="C123" s="56" t="n">
        <v>148853</v>
      </c>
      <c r="D123" s="57" t="s">
        <v>42</v>
      </c>
      <c r="E123" s="33" t="n">
        <f aca="false">IF(D123="totale",(C123/(A123*24))/F123,IF(D123="marché libre",(C123/(A123*24))/G123,"spécifier histo"))</f>
        <v>0.136192541355585</v>
      </c>
      <c r="F123" s="59" t="n">
        <v>1518</v>
      </c>
      <c r="G123" s="59" t="n">
        <f aca="false">F123-H123</f>
        <v>1518</v>
      </c>
      <c r="H123" s="58" t="n">
        <v>0</v>
      </c>
      <c r="I123" s="9"/>
      <c r="J123" s="30"/>
    </row>
    <row r="124" customFormat="false" ht="19.45" hidden="false" customHeight="true" outlineLevel="0" collapsed="false">
      <c r="A124" s="0" t="n">
        <v>31</v>
      </c>
      <c r="B124" s="31" t="n">
        <v>41091</v>
      </c>
      <c r="C124" s="56" t="n">
        <v>33623</v>
      </c>
      <c r="D124" s="57" t="s">
        <v>42</v>
      </c>
      <c r="E124" s="33" t="n">
        <f aca="false">IF(D124="totale",(C124/(A124*24))/F124,IF(D124="marché libre",(C124/(A124*24))/G124,"spécifier histo"))</f>
        <v>0.0297708855738309</v>
      </c>
      <c r="F124" s="59" t="n">
        <v>1518</v>
      </c>
      <c r="G124" s="59" t="n">
        <f aca="false">F124-H124</f>
        <v>1518</v>
      </c>
      <c r="H124" s="58" t="n">
        <v>0</v>
      </c>
      <c r="I124" s="9"/>
      <c r="J124" s="30"/>
    </row>
    <row r="125" customFormat="false" ht="19.45" hidden="false" customHeight="true" outlineLevel="0" collapsed="false">
      <c r="A125" s="0" t="n">
        <v>31</v>
      </c>
      <c r="B125" s="34" t="n">
        <v>41122</v>
      </c>
      <c r="C125" s="56" t="n">
        <v>31634</v>
      </c>
      <c r="D125" s="57" t="s">
        <v>42</v>
      </c>
      <c r="E125" s="33" t="n">
        <f aca="false">IF(D125="totale",(C125/(A125*24))/F125,IF(D125="marché libre",(C125/(A125*24))/G125,"spécifier histo"))</f>
        <v>0.0280097610041509</v>
      </c>
      <c r="F125" s="59" t="n">
        <v>1518</v>
      </c>
      <c r="G125" s="59" t="n">
        <f aca="false">F125-H125</f>
        <v>1518</v>
      </c>
      <c r="H125" s="58" t="n">
        <v>0</v>
      </c>
      <c r="I125" s="9"/>
      <c r="J125" s="30"/>
    </row>
    <row r="126" customFormat="false" ht="19.45" hidden="false" customHeight="true" outlineLevel="0" collapsed="false">
      <c r="A126" s="0" t="n">
        <v>30</v>
      </c>
      <c r="B126" s="31" t="n">
        <v>41153</v>
      </c>
      <c r="C126" s="56" t="n">
        <v>0</v>
      </c>
      <c r="D126" s="57" t="s">
        <v>42</v>
      </c>
      <c r="E126" s="33" t="n">
        <f aca="false">IF(D126="totale",(C126/(A126*24))/F126,IF(D126="marché libre",(C126/(A126*24))/G126,"spécifier histo"))</f>
        <v>0</v>
      </c>
      <c r="F126" s="59" t="n">
        <v>1518</v>
      </c>
      <c r="G126" s="59" t="n">
        <f aca="false">F126-H126</f>
        <v>1518</v>
      </c>
      <c r="H126" s="58" t="n">
        <v>0</v>
      </c>
      <c r="I126" s="9"/>
      <c r="J126" s="30"/>
    </row>
    <row r="127" customFormat="false" ht="19.45" hidden="false" customHeight="true" outlineLevel="0" collapsed="false">
      <c r="A127" s="0" t="n">
        <v>31</v>
      </c>
      <c r="B127" s="34" t="n">
        <v>41183</v>
      </c>
      <c r="C127" s="56" t="n">
        <v>0</v>
      </c>
      <c r="D127" s="57" t="s">
        <v>42</v>
      </c>
      <c r="E127" s="33" t="n">
        <f aca="false">IF(D127="totale",(C127/(A127*24))/F127,IF(D127="marché libre",(C127/(A127*24))/G127,"spécifier histo"))</f>
        <v>0</v>
      </c>
      <c r="F127" s="59" t="n">
        <v>1518</v>
      </c>
      <c r="G127" s="59" t="n">
        <f aca="false">F127-H127</f>
        <v>1518</v>
      </c>
      <c r="H127" s="58" t="n">
        <v>0</v>
      </c>
      <c r="I127" s="9"/>
      <c r="J127" s="30"/>
    </row>
    <row r="128" customFormat="false" ht="19.45" hidden="false" customHeight="true" outlineLevel="0" collapsed="false">
      <c r="A128" s="0" t="n">
        <v>30</v>
      </c>
      <c r="B128" s="31" t="n">
        <v>41214</v>
      </c>
      <c r="C128" s="56" t="n">
        <v>38765</v>
      </c>
      <c r="D128" s="57" t="s">
        <v>42</v>
      </c>
      <c r="E128" s="33" t="n">
        <f aca="false">IF(D128="totale",(C128/(A128*24))/F128,IF(D128="marché libre",(C128/(A128*24))/G128,"spécifier histo"))</f>
        <v>0.0354679036744254</v>
      </c>
      <c r="F128" s="59" t="n">
        <v>1518</v>
      </c>
      <c r="G128" s="59" t="n">
        <f aca="false">F128-H128</f>
        <v>1518</v>
      </c>
      <c r="H128" s="58" t="n">
        <v>0</v>
      </c>
      <c r="I128" s="9"/>
      <c r="J128" s="30"/>
    </row>
    <row r="129" customFormat="false" ht="19.45" hidden="false" customHeight="true" outlineLevel="0" collapsed="false">
      <c r="A129" s="0" t="n">
        <v>31</v>
      </c>
      <c r="B129" s="34" t="n">
        <v>41244</v>
      </c>
      <c r="C129" s="56" t="n">
        <v>410055</v>
      </c>
      <c r="D129" s="57" t="s">
        <v>42</v>
      </c>
      <c r="E129" s="33" t="n">
        <f aca="false">IF(D129="totale",(C129/(A129*24))/F129,IF(D129="marché libre",(C129/(A129*24))/G129,"spécifier histo"))</f>
        <v>0.363075885077989</v>
      </c>
      <c r="F129" s="59" t="n">
        <v>1518</v>
      </c>
      <c r="G129" s="59" t="n">
        <f aca="false">F129-H129</f>
        <v>1518</v>
      </c>
      <c r="H129" s="58" t="n">
        <v>0</v>
      </c>
      <c r="I129" s="9"/>
      <c r="J129" s="30"/>
    </row>
    <row r="130" customFormat="false" ht="19.45" hidden="false" customHeight="true" outlineLevel="0" collapsed="false">
      <c r="A130" s="0" t="n">
        <v>31</v>
      </c>
      <c r="B130" s="31" t="n">
        <v>41275</v>
      </c>
      <c r="C130" s="56" t="n">
        <v>953718</v>
      </c>
      <c r="D130" s="57" t="s">
        <v>42</v>
      </c>
      <c r="E130" s="33" t="n">
        <f aca="false">IF(D130="totale",(C130/(A130*24))/F130,IF(D130="marché libre",(C130/(A130*24))/G130,"spécifier histo"))</f>
        <v>0.844452590420332</v>
      </c>
      <c r="F130" s="59" t="n">
        <v>1518</v>
      </c>
      <c r="G130" s="59" t="n">
        <f aca="false">F130-H130</f>
        <v>1518</v>
      </c>
      <c r="H130" s="58" t="n">
        <v>0</v>
      </c>
      <c r="I130" s="9"/>
      <c r="J130" s="30"/>
    </row>
    <row r="131" customFormat="false" ht="19.45" hidden="false" customHeight="true" outlineLevel="0" collapsed="false">
      <c r="A131" s="0" t="n">
        <v>28</v>
      </c>
      <c r="B131" s="34" t="n">
        <v>41306</v>
      </c>
      <c r="C131" s="56" t="n">
        <v>749284</v>
      </c>
      <c r="D131" s="57" t="s">
        <v>42</v>
      </c>
      <c r="E131" s="33" t="n">
        <f aca="false">IF(D131="totale",(C131/(A131*24))/F131,IF(D131="marché libre",(C131/(A131*24))/G131,"spécifier histo"))</f>
        <v>0.734523025283895</v>
      </c>
      <c r="F131" s="59" t="n">
        <v>1518</v>
      </c>
      <c r="G131" s="59" t="n">
        <f aca="false">F131-H131</f>
        <v>1518</v>
      </c>
      <c r="H131" s="58" t="n">
        <v>0</v>
      </c>
      <c r="I131" s="9"/>
      <c r="J131" s="30"/>
    </row>
    <row r="132" customFormat="false" ht="19.45" hidden="false" customHeight="true" outlineLevel="0" collapsed="false">
      <c r="A132" s="0" t="n">
        <v>31</v>
      </c>
      <c r="B132" s="31" t="n">
        <v>41334</v>
      </c>
      <c r="C132" s="56" t="n">
        <v>739804</v>
      </c>
      <c r="D132" s="57" t="s">
        <v>42</v>
      </c>
      <c r="E132" s="33" t="n">
        <f aca="false">IF(D132="totale",(C132/(A132*24))/F132,IF(D132="marché libre",(C132/(A132*24))/G132,"spécifier histo"))</f>
        <v>0.655046254976129</v>
      </c>
      <c r="F132" s="59" t="n">
        <v>1518</v>
      </c>
      <c r="G132" s="59" t="n">
        <f aca="false">F132-H132</f>
        <v>1518</v>
      </c>
      <c r="H132" s="58" t="n">
        <v>0</v>
      </c>
      <c r="I132" s="9"/>
      <c r="J132" s="30"/>
    </row>
    <row r="133" customFormat="false" ht="19.45" hidden="false" customHeight="true" outlineLevel="0" collapsed="false">
      <c r="A133" s="0" t="n">
        <v>30</v>
      </c>
      <c r="B133" s="34" t="n">
        <v>41365</v>
      </c>
      <c r="C133" s="56" t="n">
        <v>582401</v>
      </c>
      <c r="D133" s="57" t="s">
        <v>42</v>
      </c>
      <c r="E133" s="33" t="n">
        <f aca="false">IF(D133="totale",(C133/(A133*24))/F133,IF(D133="marché libre",(C133/(A133*24))/G133,"spécifier histo"))</f>
        <v>0.532865795637535</v>
      </c>
      <c r="F133" s="59" t="n">
        <v>1518</v>
      </c>
      <c r="G133" s="59" t="n">
        <f aca="false">F133-H133</f>
        <v>1518</v>
      </c>
      <c r="H133" s="58" t="n">
        <v>0</v>
      </c>
      <c r="I133" s="9"/>
      <c r="J133" s="30"/>
    </row>
    <row r="134" customFormat="false" ht="19.45" hidden="false" customHeight="true" outlineLevel="0" collapsed="false">
      <c r="A134" s="0" t="n">
        <v>31</v>
      </c>
      <c r="B134" s="31" t="n">
        <v>41395</v>
      </c>
      <c r="C134" s="56" t="n">
        <v>131758</v>
      </c>
      <c r="D134" s="57" t="s">
        <v>42</v>
      </c>
      <c r="E134" s="33" t="n">
        <f aca="false">IF(D134="totale",(C134/(A134*24))/F134,IF(D134="marché libre",(C134/(A134*24))/G134,"spécifier histo"))</f>
        <v>0.116662770765155</v>
      </c>
      <c r="F134" s="59" t="n">
        <v>1518</v>
      </c>
      <c r="G134" s="59" t="n">
        <f aca="false">F134-H134</f>
        <v>1518</v>
      </c>
      <c r="H134" s="58" t="n">
        <v>0</v>
      </c>
      <c r="I134" s="9"/>
      <c r="J134" s="30"/>
    </row>
    <row r="135" customFormat="false" ht="19.45" hidden="false" customHeight="true" outlineLevel="0" collapsed="false">
      <c r="A135" s="0" t="n">
        <v>30</v>
      </c>
      <c r="B135" s="34" t="n">
        <v>41426</v>
      </c>
      <c r="C135" s="56" t="n">
        <v>52991</v>
      </c>
      <c r="D135" s="57" t="s">
        <v>42</v>
      </c>
      <c r="E135" s="33" t="n">
        <f aca="false">IF(D135="totale",(C135/(A135*24))/F135,IF(D135="marché libre",(C135/(A135*24))/G135,"spécifier histo"))</f>
        <v>0.0484839335382814</v>
      </c>
      <c r="F135" s="59" t="n">
        <v>1518</v>
      </c>
      <c r="G135" s="59" t="n">
        <f aca="false">F135-H135</f>
        <v>1518</v>
      </c>
      <c r="H135" s="58" t="n">
        <v>0</v>
      </c>
      <c r="I135" s="9"/>
      <c r="J135" s="30"/>
    </row>
    <row r="136" customFormat="false" ht="19.45" hidden="false" customHeight="true" outlineLevel="0" collapsed="false">
      <c r="A136" s="0" t="n">
        <v>31</v>
      </c>
      <c r="B136" s="31" t="n">
        <v>41456</v>
      </c>
      <c r="C136" s="56" t="n">
        <v>0</v>
      </c>
      <c r="D136" s="57" t="s">
        <v>42</v>
      </c>
      <c r="E136" s="33" t="n">
        <f aca="false">IF(D136="totale",(C136/(A136*24))/F136,IF(D136="marché libre",(C136/(A136*24))/G136,"spécifier histo"))</f>
        <v>0</v>
      </c>
      <c r="F136" s="59" t="n">
        <v>1518</v>
      </c>
      <c r="G136" s="59" t="n">
        <f aca="false">F136-H136</f>
        <v>1518</v>
      </c>
      <c r="H136" s="58" t="n">
        <v>0</v>
      </c>
      <c r="I136" s="9"/>
      <c r="J136" s="30"/>
    </row>
    <row r="137" customFormat="false" ht="19.45" hidden="false" customHeight="true" outlineLevel="0" collapsed="false">
      <c r="A137" s="0" t="n">
        <v>31</v>
      </c>
      <c r="B137" s="34" t="n">
        <v>41487</v>
      </c>
      <c r="C137" s="56" t="n">
        <v>0</v>
      </c>
      <c r="D137" s="57" t="s">
        <v>42</v>
      </c>
      <c r="E137" s="33" t="n">
        <f aca="false">IF(D137="totale",(C137/(A137*24))/F137,IF(D137="marché libre",(C137/(A137*24))/G137,"spécifier histo"))</f>
        <v>0</v>
      </c>
      <c r="F137" s="59" t="n">
        <v>1518</v>
      </c>
      <c r="G137" s="59" t="n">
        <f aca="false">F137-H137</f>
        <v>1518</v>
      </c>
      <c r="H137" s="58" t="n">
        <v>0</v>
      </c>
      <c r="I137" s="9"/>
      <c r="J137" s="30"/>
    </row>
    <row r="138" customFormat="false" ht="19.45" hidden="false" customHeight="true" outlineLevel="0" collapsed="false">
      <c r="A138" s="0" t="n">
        <v>30</v>
      </c>
      <c r="B138" s="31" t="n">
        <v>41518</v>
      </c>
      <c r="C138" s="56" t="n">
        <v>0</v>
      </c>
      <c r="D138" s="57" t="s">
        <v>42</v>
      </c>
      <c r="E138" s="33" t="n">
        <f aca="false">IF(D138="totale",(C138/(A138*24))/F138,IF(D138="marché libre",(C138/(A138*24))/G138,"spécifier histo"))</f>
        <v>0</v>
      </c>
      <c r="F138" s="59" t="n">
        <v>1518</v>
      </c>
      <c r="G138" s="59" t="n">
        <f aca="false">F138-H138</f>
        <v>1518</v>
      </c>
      <c r="H138" s="58" t="n">
        <v>0</v>
      </c>
      <c r="I138" s="9"/>
      <c r="J138" s="30"/>
    </row>
    <row r="139" customFormat="false" ht="19.45" hidden="false" customHeight="true" outlineLevel="0" collapsed="false">
      <c r="A139" s="0" t="n">
        <v>31</v>
      </c>
      <c r="B139" s="34" t="n">
        <v>41548</v>
      </c>
      <c r="C139" s="56" t="n">
        <v>6096</v>
      </c>
      <c r="D139" s="57" t="s">
        <v>42</v>
      </c>
      <c r="E139" s="33" t="n">
        <f aca="false">IF(D139="totale",(C139/(A139*24))/F139,IF(D139="marché libre",(C139/(A139*24))/G139,"spécifier histo"))</f>
        <v>0.00539759445790301</v>
      </c>
      <c r="F139" s="59" t="n">
        <v>1518</v>
      </c>
      <c r="G139" s="59" t="n">
        <f aca="false">F139-H139</f>
        <v>1518</v>
      </c>
      <c r="H139" s="58" t="n">
        <v>0</v>
      </c>
      <c r="I139" s="9"/>
      <c r="J139" s="30"/>
    </row>
    <row r="140" customFormat="false" ht="19.45" hidden="false" customHeight="true" outlineLevel="0" collapsed="false">
      <c r="A140" s="0" t="n">
        <v>30</v>
      </c>
      <c r="B140" s="31" t="n">
        <v>41579</v>
      </c>
      <c r="C140" s="56" t="n">
        <v>14362</v>
      </c>
      <c r="D140" s="57" t="s">
        <v>42</v>
      </c>
      <c r="E140" s="33" t="n">
        <f aca="false">IF(D140="totale",(C140/(A140*24))/F140,IF(D140="marché libre",(C140/(A140*24))/G140,"spécifier histo"))</f>
        <v>0.0131404625969843</v>
      </c>
      <c r="F140" s="59" t="n">
        <v>1518</v>
      </c>
      <c r="G140" s="59" t="n">
        <f aca="false">F140-H140</f>
        <v>1518</v>
      </c>
      <c r="H140" s="58" t="n">
        <v>0</v>
      </c>
      <c r="I140" s="9"/>
      <c r="J140" s="30"/>
    </row>
    <row r="141" customFormat="false" ht="19.45" hidden="false" customHeight="true" outlineLevel="0" collapsed="false">
      <c r="A141" s="0" t="n">
        <v>31</v>
      </c>
      <c r="B141" s="34" t="n">
        <v>41609</v>
      </c>
      <c r="C141" s="56" t="n">
        <v>235267</v>
      </c>
      <c r="D141" s="57" t="s">
        <v>42</v>
      </c>
      <c r="E141" s="33" t="n">
        <f aca="false">IF(D141="totale",(C141/(A141*24))/F141,IF(D141="marché libre",(C141/(A141*24))/G141,"spécifier histo"))</f>
        <v>0.208312968393614</v>
      </c>
      <c r="F141" s="59" t="n">
        <v>1518</v>
      </c>
      <c r="G141" s="59" t="n">
        <f aca="false">F141-H141</f>
        <v>1518</v>
      </c>
      <c r="H141" s="58" t="n">
        <v>0</v>
      </c>
      <c r="I141" s="9"/>
      <c r="J141" s="30"/>
    </row>
    <row r="142" customFormat="false" ht="19.45" hidden="false" customHeight="true" outlineLevel="0" collapsed="false">
      <c r="A142" s="0" t="n">
        <v>31</v>
      </c>
      <c r="B142" s="31" t="n">
        <v>41640</v>
      </c>
      <c r="C142" s="346" t="n">
        <v>926992</v>
      </c>
      <c r="D142" s="57" t="s">
        <v>42</v>
      </c>
      <c r="E142" s="33" t="n">
        <f aca="false">IF(D142="totale",(C142/(A142*24))/F142,IF(D142="marché libre",(C142/(A142*24))/G142,"spécifier histo"))</f>
        <v>0.82078853046595</v>
      </c>
      <c r="F142" s="59" t="n">
        <v>1518</v>
      </c>
      <c r="G142" s="59" t="n">
        <f aca="false">F142-H142</f>
        <v>1518</v>
      </c>
      <c r="H142" s="58" t="n">
        <v>0</v>
      </c>
      <c r="I142" s="9"/>
      <c r="J142" s="30"/>
    </row>
    <row r="143" customFormat="false" ht="19.45" hidden="false" customHeight="true" outlineLevel="0" collapsed="false">
      <c r="A143" s="0" t="n">
        <v>28</v>
      </c>
      <c r="B143" s="34" t="n">
        <v>41671</v>
      </c>
      <c r="C143" s="28" t="n">
        <v>792706</v>
      </c>
      <c r="D143" s="57" t="s">
        <v>42</v>
      </c>
      <c r="E143" s="33" t="n">
        <f aca="false">IF(D143="totale",(C143/(A143*24))/F143,IF(D143="marché libre",(C143/(A143*24))/G143,"spécifier histo"))</f>
        <v>0.777089607252651</v>
      </c>
      <c r="F143" s="59" t="n">
        <v>1518</v>
      </c>
      <c r="G143" s="59" t="n">
        <f aca="false">F143-H143</f>
        <v>1518</v>
      </c>
      <c r="H143" s="58" t="n">
        <v>0</v>
      </c>
      <c r="I143" s="9"/>
      <c r="J143" s="30"/>
    </row>
    <row r="144" customFormat="false" ht="19.45" hidden="false" customHeight="true" outlineLevel="0" collapsed="false">
      <c r="A144" s="0" t="n">
        <v>31</v>
      </c>
      <c r="B144" s="31" t="n">
        <v>41699</v>
      </c>
      <c r="C144" s="28" t="n">
        <v>852119</v>
      </c>
      <c r="D144" s="57" t="s">
        <v>42</v>
      </c>
      <c r="E144" s="33" t="n">
        <f aca="false">IF(D144="totale",(C144/(A144*24))/F144,IF(D144="marché libre",(C144/(A144*24))/G144,"spécifier histo"))</f>
        <v>0.754493568220777</v>
      </c>
      <c r="F144" s="59" t="n">
        <v>1518</v>
      </c>
      <c r="G144" s="59" t="n">
        <f aca="false">F144-H144</f>
        <v>1518</v>
      </c>
      <c r="H144" s="58" t="n">
        <v>0</v>
      </c>
      <c r="I144" s="9"/>
      <c r="J144" s="30"/>
    </row>
    <row r="145" customFormat="false" ht="19.45" hidden="false" customHeight="true" outlineLevel="0" collapsed="false">
      <c r="A145" s="0" t="n">
        <v>30</v>
      </c>
      <c r="B145" s="34" t="n">
        <v>41730</v>
      </c>
      <c r="C145" s="28" t="n">
        <v>287732</v>
      </c>
      <c r="D145" s="57" t="s">
        <v>42</v>
      </c>
      <c r="E145" s="33" t="n">
        <f aca="false">IF(D145="totale",(C145/(A145*24))/F145,IF(D145="marché libre",(C145/(A145*24))/G145,"spécifier histo"))</f>
        <v>0.26325940565071</v>
      </c>
      <c r="F145" s="59" t="n">
        <v>1518</v>
      </c>
      <c r="G145" s="59" t="n">
        <f aca="false">F145-H145</f>
        <v>1518</v>
      </c>
      <c r="H145" s="58" t="n">
        <v>0</v>
      </c>
      <c r="I145" s="9"/>
      <c r="J145" s="30"/>
    </row>
    <row r="146" customFormat="false" ht="19.45" hidden="false" customHeight="true" outlineLevel="0" collapsed="false">
      <c r="A146" s="0" t="n">
        <v>31</v>
      </c>
      <c r="B146" s="31" t="n">
        <v>41760</v>
      </c>
      <c r="C146" s="28" t="n">
        <v>0</v>
      </c>
      <c r="D146" s="57" t="s">
        <v>42</v>
      </c>
      <c r="E146" s="33" t="n">
        <f aca="false">IF(D146="totale",(C146/(A146*24))/F146,IF(D146="marché libre",(C146/(A146*24))/G146,"spécifier histo"))</f>
        <v>0</v>
      </c>
      <c r="F146" s="59" t="n">
        <v>1518</v>
      </c>
      <c r="G146" s="59" t="n">
        <f aca="false">F146-H146</f>
        <v>1518</v>
      </c>
      <c r="H146" s="58" t="n">
        <v>0</v>
      </c>
      <c r="I146" s="9"/>
      <c r="J146" s="30"/>
    </row>
    <row r="147" customFormat="false" ht="19.45" hidden="false" customHeight="true" outlineLevel="0" collapsed="false">
      <c r="A147" s="0" t="n">
        <v>30</v>
      </c>
      <c r="B147" s="34" t="n">
        <v>41791</v>
      </c>
      <c r="C147" s="28" t="n">
        <v>0</v>
      </c>
      <c r="D147" s="57" t="s">
        <v>42</v>
      </c>
      <c r="E147" s="33" t="n">
        <f aca="false">IF(D147="totale",(C147/(A147*24))/F147,IF(D147="marché libre",(C147/(A147*24))/G147,"spécifier histo"))</f>
        <v>0</v>
      </c>
      <c r="F147" s="59" t="n">
        <v>1518</v>
      </c>
      <c r="G147" s="59" t="n">
        <f aca="false">F147-H147</f>
        <v>1518</v>
      </c>
      <c r="H147" s="58" t="n">
        <v>0</v>
      </c>
      <c r="I147" s="9"/>
      <c r="J147" s="30"/>
    </row>
    <row r="148" customFormat="false" ht="19.45" hidden="false" customHeight="true" outlineLevel="0" collapsed="false">
      <c r="A148" s="0" t="n">
        <v>31</v>
      </c>
      <c r="B148" s="31" t="n">
        <v>41821</v>
      </c>
      <c r="C148" s="28" t="n">
        <v>0</v>
      </c>
      <c r="D148" s="57" t="s">
        <v>42</v>
      </c>
      <c r="E148" s="33" t="n">
        <f aca="false">IF(D148="totale",(C148/(A148*24))/F148,IF(D148="marché libre",(C148/(A148*24))/G148,"spécifier histo"))</f>
        <v>0</v>
      </c>
      <c r="F148" s="59" t="n">
        <v>1518</v>
      </c>
      <c r="G148" s="59" t="n">
        <f aca="false">F148-H148</f>
        <v>1518</v>
      </c>
      <c r="H148" s="58" t="n">
        <v>0</v>
      </c>
      <c r="I148" s="9"/>
      <c r="J148" s="30"/>
    </row>
    <row r="149" customFormat="false" ht="19.45" hidden="false" customHeight="true" outlineLevel="0" collapsed="false">
      <c r="A149" s="0" t="n">
        <v>31</v>
      </c>
      <c r="B149" s="34" t="n">
        <v>41852</v>
      </c>
      <c r="C149" s="28" t="n">
        <v>0</v>
      </c>
      <c r="D149" s="57" t="s">
        <v>42</v>
      </c>
      <c r="E149" s="33" t="n">
        <f aca="false">IF(D149="totale",(C149/(A149*24))/F149,IF(D149="marché libre",(C149/(A149*24))/G149,"spécifier histo"))</f>
        <v>0</v>
      </c>
      <c r="F149" s="59" t="n">
        <v>1518</v>
      </c>
      <c r="G149" s="59" t="n">
        <f aca="false">F149-H149</f>
        <v>1518</v>
      </c>
      <c r="H149" s="58" t="n">
        <v>0</v>
      </c>
      <c r="I149" s="9"/>
      <c r="J149" s="30"/>
    </row>
    <row r="150" customFormat="false" ht="19.45" hidden="false" customHeight="true" outlineLevel="0" collapsed="false">
      <c r="A150" s="0" t="n">
        <v>30</v>
      </c>
      <c r="B150" s="31" t="n">
        <v>41883</v>
      </c>
      <c r="C150" s="28" t="n">
        <v>16295</v>
      </c>
      <c r="D150" s="57" t="s">
        <v>42</v>
      </c>
      <c r="E150" s="33" t="n">
        <f aca="false">IF(D150="totale",(C150/(A150*24))/F150,IF(D150="marché libre",(C150/(A150*24))/G150,"spécifier histo"))</f>
        <v>0.0149090543112282</v>
      </c>
      <c r="F150" s="59" t="n">
        <v>1518</v>
      </c>
      <c r="G150" s="59" t="n">
        <f aca="false">F150-H150</f>
        <v>1518</v>
      </c>
      <c r="H150" s="58" t="n">
        <v>0</v>
      </c>
      <c r="I150" s="9"/>
      <c r="J150" s="30"/>
    </row>
    <row r="151" customFormat="false" ht="19.45" hidden="false" customHeight="true" outlineLevel="0" collapsed="false">
      <c r="A151" s="0" t="n">
        <v>31</v>
      </c>
      <c r="B151" s="34" t="n">
        <v>41913</v>
      </c>
      <c r="C151" s="28" t="n">
        <v>0</v>
      </c>
      <c r="D151" s="57" t="s">
        <v>42</v>
      </c>
      <c r="E151" s="33" t="n">
        <f aca="false">IF(D151="totale",(C151/(A151*24))/F151,IF(D151="marché libre",(C151/(A151*24))/G151,"spécifier histo"))</f>
        <v>0</v>
      </c>
      <c r="F151" s="59" t="n">
        <v>1518</v>
      </c>
      <c r="G151" s="59" t="n">
        <f aca="false">F151-H151</f>
        <v>1518</v>
      </c>
      <c r="H151" s="58" t="n">
        <v>0</v>
      </c>
      <c r="I151" s="9"/>
      <c r="J151" s="30"/>
    </row>
    <row r="152" customFormat="false" ht="19.45" hidden="false" customHeight="true" outlineLevel="0" collapsed="false">
      <c r="A152" s="0" t="n">
        <v>30</v>
      </c>
      <c r="B152" s="31" t="n">
        <v>41944</v>
      </c>
      <c r="C152" s="28" t="n">
        <v>299341</v>
      </c>
      <c r="D152" s="57" t="s">
        <v>42</v>
      </c>
      <c r="E152" s="33" t="n">
        <f aca="false">IF(D152="totale",(C152/(A152*24))/F152,IF(D152="marché libre",(C152/(A152*24))/G152,"spécifier histo"))</f>
        <v>0.273881020348412</v>
      </c>
      <c r="F152" s="59" t="n">
        <v>1518</v>
      </c>
      <c r="G152" s="59" t="n">
        <f aca="false">F152-H152</f>
        <v>1518</v>
      </c>
      <c r="H152" s="58" t="n">
        <v>0</v>
      </c>
      <c r="I152" s="9"/>
      <c r="J152" s="30"/>
    </row>
    <row r="153" customFormat="false" ht="19.45" hidden="false" customHeight="true" outlineLevel="0" collapsed="false">
      <c r="A153" s="0" t="n">
        <v>31</v>
      </c>
      <c r="B153" s="34" t="n">
        <v>41974</v>
      </c>
      <c r="C153" s="28" t="n">
        <v>624263</v>
      </c>
      <c r="D153" s="57" t="s">
        <v>42</v>
      </c>
      <c r="E153" s="33" t="n">
        <f aca="false">IF(D153="totale",(C153/(A153*24))/F153,IF(D153="marché libre",(C153/(A153*24))/G153,"spécifier histo"))</f>
        <v>0.552742537577741</v>
      </c>
      <c r="F153" s="59" t="n">
        <v>1518</v>
      </c>
      <c r="G153" s="59" t="n">
        <f aca="false">F153-H153</f>
        <v>1518</v>
      </c>
      <c r="H153" s="58" t="n">
        <v>0</v>
      </c>
      <c r="I153" s="9"/>
      <c r="J153" s="30"/>
    </row>
    <row r="154" customFormat="false" ht="19.85" hidden="false" customHeight="true" outlineLevel="0" collapsed="false">
      <c r="A154" s="0" t="n">
        <v>31</v>
      </c>
      <c r="B154" s="31" t="n">
        <v>42005</v>
      </c>
      <c r="C154" s="56" t="n">
        <v>0</v>
      </c>
      <c r="D154" s="57" t="s">
        <v>42</v>
      </c>
      <c r="E154" s="33" t="n">
        <f aca="false">IF(D154="totale",(C154/(A154*24))/F154,IF(D154="marché libre",(C154/(A154*24))/G154,"spécifier histo"))</f>
        <v>0</v>
      </c>
      <c r="F154" s="59" t="n">
        <v>1518</v>
      </c>
      <c r="G154" s="59" t="n">
        <f aca="false">F154-H154</f>
        <v>1518</v>
      </c>
      <c r="H154" s="58" t="n">
        <v>0</v>
      </c>
      <c r="J154" s="55"/>
      <c r="L154" s="0"/>
    </row>
    <row r="155" customFormat="false" ht="19.85" hidden="false" customHeight="true" outlineLevel="0" collapsed="false">
      <c r="A155" s="0" t="n">
        <v>28</v>
      </c>
      <c r="B155" s="34" t="n">
        <v>42036</v>
      </c>
      <c r="C155" s="56" t="n">
        <v>0</v>
      </c>
      <c r="D155" s="57" t="s">
        <v>42</v>
      </c>
      <c r="E155" s="33" t="n">
        <f aca="false">IF(D155="totale",(C155/(A155*24))/F155,IF(D155="marché libre",(C155/(A155*24))/G155,"spécifier histo"))</f>
        <v>0</v>
      </c>
      <c r="F155" s="59" t="n">
        <v>1518</v>
      </c>
      <c r="G155" s="59" t="n">
        <f aca="false">F155-H155</f>
        <v>1518</v>
      </c>
      <c r="H155" s="58" t="n">
        <v>0</v>
      </c>
      <c r="J155" s="277"/>
      <c r="K155" s="277"/>
      <c r="L155" s="277"/>
      <c r="M155" s="277"/>
      <c r="N155" s="277"/>
      <c r="O155" s="277"/>
      <c r="P155" s="277"/>
      <c r="Q155" s="277"/>
      <c r="R155" s="277"/>
      <c r="S155" s="277"/>
      <c r="T155" s="277" t="n">
        <v>2013</v>
      </c>
    </row>
    <row r="156" customFormat="false" ht="19.85" hidden="false" customHeight="true" outlineLevel="0" collapsed="false">
      <c r="A156" s="0" t="n">
        <v>31</v>
      </c>
      <c r="B156" s="31" t="n">
        <v>42064</v>
      </c>
      <c r="C156" s="508" t="n">
        <v>453110</v>
      </c>
      <c r="D156" s="509" t="s">
        <v>42</v>
      </c>
      <c r="E156" s="510" t="n">
        <f aca="false">IF(D156="totale",(C156/(A156*24))/F156,IF(D156="marché libre",(C156/(A156*24))/G156,"spécifier histo"))</f>
        <v>0.401198166801252</v>
      </c>
      <c r="F156" s="59" t="n">
        <v>1518</v>
      </c>
      <c r="G156" s="509" t="n">
        <f aca="false">F156-H156</f>
        <v>1518</v>
      </c>
      <c r="H156" s="511" t="n">
        <v>0</v>
      </c>
      <c r="I156" s="512"/>
      <c r="J156" s="56"/>
      <c r="K156" s="0"/>
      <c r="L156" s="0"/>
      <c r="M156" s="0"/>
      <c r="N156" s="0"/>
      <c r="O156" s="0"/>
      <c r="P156" s="0"/>
      <c r="Q156" s="0"/>
      <c r="R156" s="0"/>
      <c r="S156" s="0"/>
      <c r="T156" s="0"/>
    </row>
    <row r="157" customFormat="false" ht="19.85" hidden="false" customHeight="true" outlineLevel="0" collapsed="false">
      <c r="A157" s="0" t="n">
        <v>30</v>
      </c>
      <c r="B157" s="34" t="n">
        <v>42095</v>
      </c>
      <c r="C157" s="56" t="n">
        <v>137791</v>
      </c>
      <c r="D157" s="57" t="s">
        <v>42</v>
      </c>
      <c r="E157" s="33" t="n">
        <f aca="false">IF(D157="totale",(C157/(A157*24))/F157,IF(D157="marché libre",(C157/(A157*24))/G157,"spécifier histo"))</f>
        <v>0.126071402430098</v>
      </c>
      <c r="F157" s="59" t="n">
        <v>1518</v>
      </c>
      <c r="G157" s="59" t="n">
        <f aca="false">F157-H157</f>
        <v>1518</v>
      </c>
      <c r="H157" s="58" t="n">
        <v>0</v>
      </c>
      <c r="J157" s="56"/>
      <c r="K157" s="0"/>
      <c r="L157" s="0"/>
      <c r="M157" s="0"/>
      <c r="N157" s="0"/>
      <c r="O157" s="0"/>
      <c r="P157" s="0"/>
      <c r="Q157" s="0"/>
      <c r="R157" s="0"/>
      <c r="S157" s="0"/>
      <c r="T157" s="0"/>
    </row>
    <row r="158" customFormat="false" ht="19.85" hidden="false" customHeight="true" outlineLevel="0" collapsed="false">
      <c r="A158" s="0" t="n">
        <v>31</v>
      </c>
      <c r="B158" s="31" t="n">
        <v>42125</v>
      </c>
      <c r="C158" s="56" t="n">
        <v>287203</v>
      </c>
      <c r="D158" s="57" t="s">
        <v>42</v>
      </c>
      <c r="E158" s="33" t="n">
        <f aca="false">IF(D158="totale",(C158/(A158*24))/F158,IF(D158="marché libre",(C158/(A158*24))/G158,"spécifier histo"))</f>
        <v>0.254298773145197</v>
      </c>
      <c r="F158" s="59" t="n">
        <v>1518</v>
      </c>
      <c r="G158" s="59" t="n">
        <f aca="false">F158-H158</f>
        <v>1518</v>
      </c>
      <c r="H158" s="58" t="n">
        <v>0</v>
      </c>
      <c r="J158" s="56"/>
      <c r="K158" s="0"/>
      <c r="L158" s="0"/>
      <c r="M158" s="0"/>
      <c r="N158" s="0"/>
      <c r="O158" s="0"/>
      <c r="P158" s="0"/>
      <c r="Q158" s="0"/>
      <c r="R158" s="0"/>
      <c r="S158" s="0"/>
      <c r="T158" s="0"/>
    </row>
    <row r="159" customFormat="false" ht="19.85" hidden="false" customHeight="true" outlineLevel="0" collapsed="false">
      <c r="A159" s="0" t="n">
        <v>30</v>
      </c>
      <c r="B159" s="34" t="n">
        <v>42156</v>
      </c>
      <c r="C159" s="56" t="n">
        <v>0</v>
      </c>
      <c r="D159" s="57" t="s">
        <v>42</v>
      </c>
      <c r="E159" s="33" t="n">
        <f aca="false">IF(D159="totale",(C159/(A159*24))/F159,IF(D159="marché libre",(C159/(A159*24))/G159,"spécifier histo"))</f>
        <v>0</v>
      </c>
      <c r="F159" s="59" t="n">
        <v>1518</v>
      </c>
      <c r="G159" s="59" t="n">
        <f aca="false">F159-H159</f>
        <v>1518</v>
      </c>
      <c r="H159" s="58" t="n">
        <v>0</v>
      </c>
      <c r="J159" s="56"/>
      <c r="K159" s="0"/>
      <c r="L159" s="0"/>
      <c r="M159" s="0"/>
      <c r="N159" s="0"/>
      <c r="O159" s="0"/>
      <c r="P159" s="0"/>
      <c r="Q159" s="0"/>
      <c r="R159" s="0"/>
      <c r="S159" s="0"/>
      <c r="T159" s="0"/>
    </row>
    <row r="160" customFormat="false" ht="19.85" hidden="false" customHeight="true" outlineLevel="0" collapsed="false">
      <c r="A160" s="0" t="n">
        <v>31</v>
      </c>
      <c r="B160" s="31" t="n">
        <v>42186</v>
      </c>
      <c r="C160" s="56" t="n">
        <v>0</v>
      </c>
      <c r="D160" s="57" t="s">
        <v>42</v>
      </c>
      <c r="E160" s="33" t="n">
        <f aca="false">IF(D160="totale",(C160/(A160*24))/F160,IF(D160="marché libre",(C160/(A160*24))/G160,"spécifier histo"))</f>
        <v>0</v>
      </c>
      <c r="F160" s="59" t="n">
        <v>1518</v>
      </c>
      <c r="G160" s="59" t="n">
        <f aca="false">F160-H160</f>
        <v>1518</v>
      </c>
      <c r="H160" s="58" t="n">
        <v>0</v>
      </c>
      <c r="J160" s="56"/>
      <c r="K160" s="0"/>
      <c r="L160" s="0"/>
      <c r="M160" s="0"/>
      <c r="N160" s="0"/>
      <c r="O160" s="0"/>
      <c r="P160" s="0"/>
      <c r="Q160" s="0"/>
      <c r="R160" s="0"/>
      <c r="S160" s="0"/>
      <c r="T160" s="0"/>
    </row>
    <row r="161" customFormat="false" ht="19.85" hidden="false" customHeight="true" outlineLevel="0" collapsed="false">
      <c r="A161" s="0" t="n">
        <v>31</v>
      </c>
      <c r="B161" s="34" t="n">
        <v>42217</v>
      </c>
      <c r="C161" s="56" t="n">
        <v>0</v>
      </c>
      <c r="D161" s="57" t="s">
        <v>42</v>
      </c>
      <c r="E161" s="33" t="n">
        <f aca="false">IF(D161="totale",(C161/(A161*24))/F161,IF(D161="marché libre",(C161/(A161*24))/G161,"spécifier histo"))</f>
        <v>0</v>
      </c>
      <c r="F161" s="59" t="n">
        <v>1518</v>
      </c>
      <c r="G161" s="59" t="n">
        <f aca="false">F161-H161</f>
        <v>1518</v>
      </c>
      <c r="H161" s="58" t="n">
        <v>0</v>
      </c>
      <c r="J161" s="56"/>
      <c r="K161" s="0"/>
      <c r="L161" s="0"/>
      <c r="M161" s="0"/>
      <c r="N161" s="0"/>
      <c r="O161" s="0"/>
      <c r="P161" s="0"/>
      <c r="Q161" s="0"/>
      <c r="R161" s="0"/>
      <c r="S161" s="0"/>
      <c r="T161" s="0"/>
    </row>
    <row r="162" customFormat="false" ht="19.85" hidden="false" customHeight="true" outlineLevel="0" collapsed="false">
      <c r="A162" s="0" t="n">
        <v>30</v>
      </c>
      <c r="B162" s="31" t="n">
        <v>42248</v>
      </c>
      <c r="C162" s="56" t="n">
        <v>0</v>
      </c>
      <c r="D162" s="57" t="s">
        <v>42</v>
      </c>
      <c r="E162" s="33" t="n">
        <f aca="false">IF(D162="totale",(C162/(A162*24))/F162,IF(D162="marché libre",(C162/(A162*24))/G162,"spécifier histo"))</f>
        <v>0</v>
      </c>
      <c r="F162" s="59" t="n">
        <v>1518</v>
      </c>
      <c r="G162" s="59" t="n">
        <f aca="false">F162-H162</f>
        <v>1518</v>
      </c>
      <c r="H162" s="58" t="n">
        <v>0</v>
      </c>
      <c r="J162" s="56"/>
      <c r="K162" s="0"/>
      <c r="L162" s="0"/>
      <c r="M162" s="0"/>
      <c r="N162" s="0"/>
      <c r="O162" s="0"/>
      <c r="P162" s="0"/>
      <c r="Q162" s="0"/>
      <c r="R162" s="0"/>
      <c r="S162" s="0"/>
      <c r="T162" s="0"/>
    </row>
    <row r="163" customFormat="false" ht="19.85" hidden="false" customHeight="true" outlineLevel="0" collapsed="false">
      <c r="A163" s="0" t="n">
        <v>31</v>
      </c>
      <c r="B163" s="34" t="n">
        <v>42278</v>
      </c>
      <c r="C163" s="56" t="n">
        <v>0</v>
      </c>
      <c r="D163" s="57" t="s">
        <v>42</v>
      </c>
      <c r="E163" s="33" t="n">
        <f aca="false">IF(D163="totale",(C163/(A163*24))/F163,IF(D163="marché libre",(C163/(A163*24))/G163,"spécifier histo"))</f>
        <v>0</v>
      </c>
      <c r="F163" s="59" t="n">
        <v>1518</v>
      </c>
      <c r="G163" s="59" t="n">
        <f aca="false">F163-H163</f>
        <v>1518</v>
      </c>
      <c r="H163" s="58" t="n">
        <v>0</v>
      </c>
      <c r="J163" s="56"/>
      <c r="K163" s="0"/>
      <c r="L163" s="0"/>
      <c r="M163" s="0"/>
      <c r="N163" s="0"/>
      <c r="O163" s="0"/>
      <c r="P163" s="0"/>
      <c r="Q163" s="0"/>
      <c r="R163" s="0"/>
      <c r="S163" s="0"/>
      <c r="T163" s="0"/>
    </row>
    <row r="164" customFormat="false" ht="19.85" hidden="false" customHeight="true" outlineLevel="0" collapsed="false">
      <c r="A164" s="0" t="n">
        <v>30</v>
      </c>
      <c r="B164" s="31" t="n">
        <v>42309</v>
      </c>
      <c r="C164" s="56" t="n">
        <v>6434</v>
      </c>
      <c r="D164" s="57" t="s">
        <v>42</v>
      </c>
      <c r="E164" s="33" t="n">
        <f aca="false">IF(D164="totale",(C164/(A164*24))/F164,IF(D164="marché libre",(C164/(A164*24))/G164,"spécifier histo"))</f>
        <v>0.00588676621285317</v>
      </c>
      <c r="F164" s="59" t="n">
        <v>1518</v>
      </c>
      <c r="G164" s="59" t="n">
        <f aca="false">F164-H164</f>
        <v>1518</v>
      </c>
      <c r="H164" s="58" t="n">
        <v>0</v>
      </c>
      <c r="J164" s="56"/>
      <c r="K164" s="0"/>
      <c r="L164" s="0"/>
      <c r="M164" s="0"/>
      <c r="N164" s="0"/>
      <c r="O164" s="0"/>
      <c r="P164" s="0"/>
      <c r="Q164" s="0"/>
      <c r="R164" s="0"/>
      <c r="S164" s="0"/>
      <c r="T164" s="0"/>
    </row>
    <row r="165" customFormat="false" ht="19.85" hidden="false" customHeight="true" outlineLevel="0" collapsed="false">
      <c r="A165" s="0" t="n">
        <v>31</v>
      </c>
      <c r="B165" s="34" t="n">
        <v>42339</v>
      </c>
      <c r="C165" s="56" t="n">
        <v>0</v>
      </c>
      <c r="D165" s="57" t="s">
        <v>42</v>
      </c>
      <c r="E165" s="33" t="n">
        <f aca="false">IF(D165="totale",(C165/(A165*24))/F165,IF(D165="marché libre",(C165/(A165*24))/G165,"spécifier histo"))</f>
        <v>0</v>
      </c>
      <c r="F165" s="59" t="n">
        <v>1518</v>
      </c>
      <c r="G165" s="59" t="n">
        <f aca="false">F165-H165</f>
        <v>1518</v>
      </c>
      <c r="H165" s="58" t="n">
        <v>0</v>
      </c>
      <c r="J165" s="56"/>
      <c r="K165" s="0"/>
      <c r="L165" s="0"/>
      <c r="M165" s="0"/>
      <c r="N165" s="0"/>
      <c r="O165" s="0"/>
      <c r="P165" s="0"/>
      <c r="Q165" s="0"/>
      <c r="R165" s="0"/>
      <c r="S165" s="0"/>
      <c r="T165" s="0"/>
    </row>
    <row r="166" customFormat="false" ht="19.85" hidden="false" customHeight="true" outlineLevel="0" collapsed="false">
      <c r="A166" s="0" t="n">
        <v>31</v>
      </c>
      <c r="B166" s="31" t="n">
        <v>42370</v>
      </c>
      <c r="C166" s="56" t="n">
        <v>518029</v>
      </c>
      <c r="D166" s="57" t="s">
        <v>42</v>
      </c>
      <c r="E166" s="33" t="n">
        <f aca="false">IF(D166="totale",(C166/(A166*24))/F166,IF(D166="marché libre",(C166/(A166*24))/G166,"spécifier histo"))</f>
        <v>0.45867953730857</v>
      </c>
      <c r="F166" s="59" t="n">
        <v>1518</v>
      </c>
      <c r="G166" s="59" t="n">
        <f aca="false">F166-H166</f>
        <v>1518</v>
      </c>
      <c r="H166" s="58" t="n">
        <v>0</v>
      </c>
      <c r="J166" s="56"/>
      <c r="K166" s="0"/>
      <c r="L166" s="0"/>
      <c r="M166" s="0"/>
      <c r="N166" s="0"/>
      <c r="O166" s="0"/>
      <c r="P166" s="0"/>
      <c r="Q166" s="0"/>
      <c r="R166" s="0"/>
      <c r="S166" s="0"/>
      <c r="T166" s="0"/>
    </row>
    <row r="167" customFormat="false" ht="19.85" hidden="false" customHeight="true" outlineLevel="0" collapsed="false">
      <c r="A167" s="0" t="n">
        <v>28</v>
      </c>
      <c r="B167" s="34" t="n">
        <v>42401</v>
      </c>
      <c r="C167" s="56" t="n">
        <v>755142</v>
      </c>
      <c r="D167" s="57" t="s">
        <v>42</v>
      </c>
      <c r="E167" s="33" t="n">
        <f aca="false">IF(D167="totale",(C167/(A167*24))/F167,IF(D167="marché libre",(C167/(A167*24))/G167,"spécifier histo"))</f>
        <v>0.7402656220591</v>
      </c>
      <c r="F167" s="59" t="n">
        <v>1518</v>
      </c>
      <c r="G167" s="59" t="n">
        <f aca="false">F167-H167</f>
        <v>1518</v>
      </c>
      <c r="H167" s="58" t="n">
        <v>0</v>
      </c>
      <c r="J167" s="56"/>
      <c r="K167" s="0"/>
      <c r="L167" s="0"/>
      <c r="M167" s="0"/>
      <c r="N167" s="0"/>
      <c r="O167" s="0"/>
      <c r="P167" s="0"/>
      <c r="Q167" s="0"/>
      <c r="R167" s="0"/>
      <c r="S167" s="0"/>
      <c r="T167" s="0"/>
    </row>
    <row r="168" customFormat="false" ht="19.85" hidden="false" customHeight="true" outlineLevel="0" collapsed="false">
      <c r="A168" s="0" t="n">
        <v>31</v>
      </c>
      <c r="B168" s="31" t="n">
        <v>42430</v>
      </c>
      <c r="C168" s="56" t="n">
        <v>641413</v>
      </c>
      <c r="D168" s="57" t="s">
        <v>42</v>
      </c>
      <c r="E168" s="33" t="n">
        <f aca="false">IF(D168="totale",(C168/(A168*24))/F168,IF(D168="marché libre",(C168/(A168*24))/G168,"spécifier histo"))</f>
        <v>0.567927699151402</v>
      </c>
      <c r="F168" s="59" t="n">
        <v>1518</v>
      </c>
      <c r="G168" s="59" t="n">
        <f aca="false">F168-H168</f>
        <v>1518</v>
      </c>
      <c r="H168" s="58" t="n">
        <v>0</v>
      </c>
      <c r="J168" s="56"/>
      <c r="N168" s="0"/>
      <c r="P168" s="0"/>
      <c r="S168" s="0"/>
    </row>
    <row r="169" customFormat="false" ht="19.85" hidden="false" customHeight="true" outlineLevel="0" collapsed="false">
      <c r="A169" s="0" t="n">
        <v>30</v>
      </c>
      <c r="B169" s="34" t="n">
        <v>42461</v>
      </c>
      <c r="C169" s="56" t="n">
        <v>326700</v>
      </c>
      <c r="D169" s="57" t="s">
        <v>42</v>
      </c>
      <c r="E169" s="33" t="n">
        <f aca="false">IF(D169="totale",(C169/(A169*24))/F169,IF(D169="marché libre",(C169/(A169*24))/G169,"spécifier histo"))</f>
        <v>0.298913043478261</v>
      </c>
      <c r="F169" s="59" t="n">
        <v>1518</v>
      </c>
      <c r="G169" s="59" t="n">
        <f aca="false">F169-H169</f>
        <v>1518</v>
      </c>
      <c r="H169" s="58" t="n">
        <v>0</v>
      </c>
      <c r="J169" s="56"/>
      <c r="N169" s="0"/>
      <c r="P169" s="0"/>
      <c r="S169" s="0"/>
    </row>
    <row r="170" customFormat="false" ht="19.85" hidden="false" customHeight="true" outlineLevel="0" collapsed="false">
      <c r="A170" s="0" t="n">
        <v>31</v>
      </c>
      <c r="B170" s="31" t="n">
        <v>42491</v>
      </c>
      <c r="C170" s="56" t="n">
        <v>27613</v>
      </c>
      <c r="D170" s="57" t="s">
        <v>42</v>
      </c>
      <c r="E170" s="33" t="n">
        <f aca="false">IF(D170="totale",(C170/(A170*24))/F170,IF(D170="marché libre",(C170/(A170*24))/G170,"spécifier histo"))</f>
        <v>0.0244494382818366</v>
      </c>
      <c r="F170" s="59" t="n">
        <v>1518</v>
      </c>
      <c r="G170" s="59" t="n">
        <f aca="false">F170-H170</f>
        <v>1518</v>
      </c>
      <c r="H170" s="58" t="n">
        <v>0</v>
      </c>
      <c r="J170" s="56"/>
      <c r="K170" s="63"/>
      <c r="N170" s="0"/>
      <c r="P170" s="0"/>
      <c r="S170" s="0"/>
    </row>
    <row r="171" customFormat="false" ht="19.85" hidden="false" customHeight="true" outlineLevel="0" collapsed="false">
      <c r="A171" s="0" t="n">
        <v>30</v>
      </c>
      <c r="B171" s="34" t="n">
        <v>42522</v>
      </c>
      <c r="C171" s="56" t="n">
        <v>0</v>
      </c>
      <c r="D171" s="57" t="s">
        <v>42</v>
      </c>
      <c r="E171" s="33" t="n">
        <f aca="false">IF(D171="totale",(C171/(A171*24))/F171,IF(D171="marché libre",(C171/(A171*24))/G171,"spécifier histo"))</f>
        <v>0</v>
      </c>
      <c r="F171" s="59" t="n">
        <v>1518</v>
      </c>
      <c r="G171" s="58" t="n">
        <f aca="false">F171-H171</f>
        <v>1518</v>
      </c>
      <c r="H171" s="59" t="n">
        <v>0</v>
      </c>
      <c r="I171" s="58"/>
      <c r="J171" s="56"/>
      <c r="K171" s="63"/>
      <c r="N171" s="0"/>
      <c r="P171" s="0"/>
      <c r="S171" s="0"/>
    </row>
    <row r="172" customFormat="false" ht="19.85" hidden="false" customHeight="true" outlineLevel="0" collapsed="false">
      <c r="A172" s="0" t="n">
        <v>31</v>
      </c>
      <c r="B172" s="31" t="n">
        <v>42552</v>
      </c>
      <c r="C172" s="56" t="n">
        <v>0</v>
      </c>
      <c r="D172" s="57" t="s">
        <v>42</v>
      </c>
      <c r="E172" s="33" t="n">
        <f aca="false">IF(D172="totale",(C172/(A172*24))/F172,IF(D172="marché libre",(C172/(A172*24))/G172,"spécifier histo"))</f>
        <v>0</v>
      </c>
      <c r="F172" s="59" t="n">
        <v>1518</v>
      </c>
      <c r="G172" s="58" t="n">
        <f aca="false">F172-H172</f>
        <v>1518</v>
      </c>
      <c r="H172" s="59" t="n">
        <v>0</v>
      </c>
      <c r="I172" s="58"/>
      <c r="J172" s="56"/>
      <c r="K172" s="63"/>
      <c r="N172" s="0"/>
      <c r="P172" s="0"/>
      <c r="S172" s="0"/>
    </row>
    <row r="173" customFormat="false" ht="19.85" hidden="false" customHeight="true" outlineLevel="0" collapsed="false">
      <c r="A173" s="0" t="n">
        <v>31</v>
      </c>
      <c r="B173" s="34" t="n">
        <v>42583</v>
      </c>
      <c r="C173" s="56" t="n">
        <v>0</v>
      </c>
      <c r="D173" s="57" t="s">
        <v>42</v>
      </c>
      <c r="E173" s="33" t="n">
        <f aca="false">IF(D173="totale",(C173/(A173*24))/F173,IF(D173="marché libre",(C173/(A173*24))/G173,"spécifier histo"))</f>
        <v>0</v>
      </c>
      <c r="F173" s="59" t="n">
        <v>1518</v>
      </c>
      <c r="G173" s="58" t="n">
        <f aca="false">F173-H173</f>
        <v>1518</v>
      </c>
      <c r="H173" s="59" t="n">
        <v>0</v>
      </c>
      <c r="I173" s="58"/>
      <c r="J173" s="56"/>
      <c r="N173" s="0"/>
      <c r="P173" s="0"/>
      <c r="S173" s="0"/>
    </row>
    <row r="174" customFormat="false" ht="19.85" hidden="false" customHeight="true" outlineLevel="0" collapsed="false">
      <c r="A174" s="0" t="n">
        <v>30</v>
      </c>
      <c r="B174" s="31" t="n">
        <v>42614</v>
      </c>
      <c r="C174" s="56" t="n">
        <v>0</v>
      </c>
      <c r="D174" s="57" t="s">
        <v>42</v>
      </c>
      <c r="E174" s="33" t="n">
        <f aca="false">IF(D174="totale",(C174/(A174*24))/F174,IF(D174="marché libre",(C174/(A174*24))/G174,"spécifier histo"))</f>
        <v>0</v>
      </c>
      <c r="F174" s="59" t="n">
        <v>1518</v>
      </c>
      <c r="G174" s="58" t="n">
        <f aca="false">F174-H174</f>
        <v>1518</v>
      </c>
      <c r="H174" s="59" t="n">
        <v>0</v>
      </c>
      <c r="I174" s="58"/>
      <c r="J174" s="56"/>
      <c r="N174" s="0"/>
      <c r="P174" s="0"/>
      <c r="S174" s="0"/>
    </row>
    <row r="175" customFormat="false" ht="19.85" hidden="false" customHeight="true" outlineLevel="0" collapsed="false">
      <c r="A175" s="0" t="n">
        <v>31</v>
      </c>
      <c r="B175" s="34" t="n">
        <v>42644</v>
      </c>
      <c r="C175" s="56" t="n">
        <v>0</v>
      </c>
      <c r="D175" s="57" t="s">
        <v>42</v>
      </c>
      <c r="E175" s="33" t="n">
        <f aca="false">IF(D175="totale",(C175/(A175*24))/F175,IF(D175="marché libre",(C175/(A175*24))/G175,"spécifier histo"))</f>
        <v>0</v>
      </c>
      <c r="F175" s="59" t="n">
        <v>1518</v>
      </c>
      <c r="G175" s="58" t="n">
        <f aca="false">F175-H175</f>
        <v>1518</v>
      </c>
      <c r="H175" s="59" t="n">
        <v>0</v>
      </c>
      <c r="I175" s="58"/>
      <c r="J175" s="56"/>
      <c r="N175" s="0"/>
      <c r="P175" s="0"/>
      <c r="S175" s="0"/>
    </row>
    <row r="176" customFormat="false" ht="19.85" hidden="false" customHeight="true" outlineLevel="0" collapsed="false">
      <c r="A176" s="0" t="n">
        <v>30</v>
      </c>
      <c r="B176" s="31" t="n">
        <v>42675</v>
      </c>
      <c r="C176" s="59" t="n">
        <v>0</v>
      </c>
      <c r="D176" s="57" t="s">
        <v>42</v>
      </c>
      <c r="E176" s="33" t="n">
        <f aca="false">IF(D176="totale",(C176/(A176*24))/F176,IF(D176="marché libre",(C176/(A176*24))/G176,"spécifier histo"))</f>
        <v>0</v>
      </c>
      <c r="F176" s="59" t="n">
        <v>1518</v>
      </c>
      <c r="G176" s="58" t="n">
        <f aca="false">F176-H176</f>
        <v>1518</v>
      </c>
      <c r="H176" s="59" t="n">
        <v>0</v>
      </c>
      <c r="I176" s="58"/>
      <c r="J176" s="56"/>
      <c r="N176" s="0"/>
      <c r="P176" s="0"/>
      <c r="S176" s="0"/>
    </row>
    <row r="177" customFormat="false" ht="19.85" hidden="false" customHeight="true" outlineLevel="0" collapsed="false">
      <c r="A177" s="0" t="n">
        <v>31</v>
      </c>
      <c r="B177" s="34" t="n">
        <v>42705</v>
      </c>
      <c r="C177" s="60" t="n">
        <v>0</v>
      </c>
      <c r="D177" s="57" t="s">
        <v>42</v>
      </c>
      <c r="E177" s="33" t="n">
        <f aca="false">IF(D177="totale",(C177/(A177*24))/F177,IF(D177="marché libre",(C177/(A177*24))/G177,"spécifier histo"))</f>
        <v>0</v>
      </c>
      <c r="F177" s="59" t="n">
        <v>1518</v>
      </c>
      <c r="G177" s="58" t="n">
        <f aca="false">F177-H177</f>
        <v>1518</v>
      </c>
      <c r="H177" s="59" t="n">
        <v>0</v>
      </c>
      <c r="I177" s="58"/>
      <c r="J177" s="56"/>
      <c r="N177" s="0"/>
      <c r="P177" s="0"/>
      <c r="S177" s="0"/>
    </row>
    <row r="178" customFormat="false" ht="19.85" hidden="false" customHeight="true" outlineLevel="0" collapsed="false">
      <c r="A178" s="0" t="n">
        <v>31</v>
      </c>
      <c r="B178" s="31" t="n">
        <v>42736</v>
      </c>
      <c r="C178" s="60" t="n">
        <v>0</v>
      </c>
      <c r="D178" s="57" t="s">
        <v>42</v>
      </c>
      <c r="E178" s="33" t="n">
        <f aca="false">IF(D178="totale",(C178/(A178*24))/F178,IF(D178="marché libre",(C178/(A178*24))/G178,"spécifier histo"))</f>
        <v>0</v>
      </c>
      <c r="F178" s="59" t="n">
        <v>1518</v>
      </c>
      <c r="G178" s="58" t="n">
        <f aca="false">F178-H178</f>
        <v>1518</v>
      </c>
      <c r="H178" s="59" t="n">
        <v>0</v>
      </c>
      <c r="I178" s="58"/>
      <c r="J178" s="56"/>
      <c r="N178" s="0"/>
      <c r="P178" s="0"/>
      <c r="S178" s="0"/>
    </row>
    <row r="179" customFormat="false" ht="19.85" hidden="false" customHeight="true" outlineLevel="0" collapsed="false">
      <c r="A179" s="0" t="n">
        <v>28</v>
      </c>
      <c r="B179" s="34" t="n">
        <v>42767</v>
      </c>
      <c r="C179" s="60" t="n">
        <v>242182</v>
      </c>
      <c r="D179" s="57" t="s">
        <v>42</v>
      </c>
      <c r="E179" s="33" t="n">
        <f aca="false">IF(D179="totale",(C179/(A179*24))/F179,IF(D179="marché libre",(C179/(A179*24))/G179,"spécifier histo"))</f>
        <v>0.237410988769684</v>
      </c>
      <c r="F179" s="59" t="n">
        <v>1518</v>
      </c>
      <c r="G179" s="58" t="n">
        <f aca="false">F179-H179</f>
        <v>1518</v>
      </c>
      <c r="H179" s="59" t="n">
        <v>0</v>
      </c>
      <c r="I179" s="58"/>
      <c r="J179" s="56"/>
      <c r="N179" s="0"/>
      <c r="P179" s="0"/>
      <c r="S179" s="0"/>
    </row>
    <row r="180" customFormat="false" ht="19.85" hidden="false" customHeight="true" outlineLevel="0" collapsed="false">
      <c r="A180" s="0" t="n">
        <v>31</v>
      </c>
      <c r="B180" s="31" t="n">
        <v>42795</v>
      </c>
      <c r="C180" s="59" t="n">
        <v>285527</v>
      </c>
      <c r="D180" s="57" t="s">
        <v>42</v>
      </c>
      <c r="E180" s="33" t="n">
        <f aca="false">IF(D180="totale",(C180/(A180*24))/F180,IF(D180="marché libre",(C180/(A180*24))/G180,"spécifier histo"))</f>
        <v>0.252814788842138</v>
      </c>
      <c r="F180" s="59" t="n">
        <v>1518</v>
      </c>
      <c r="G180" s="58" t="n">
        <f aca="false">F180-H180</f>
        <v>1518</v>
      </c>
      <c r="H180" s="59" t="n">
        <v>0</v>
      </c>
      <c r="I180" s="58"/>
      <c r="J180" s="56"/>
      <c r="P180" s="0"/>
    </row>
    <row r="181" customFormat="false" ht="19.85" hidden="false" customHeight="true" outlineLevel="0" collapsed="false">
      <c r="A181" s="0" t="n">
        <v>30</v>
      </c>
      <c r="B181" s="34" t="n">
        <v>42826</v>
      </c>
      <c r="C181" s="59" t="n">
        <v>0</v>
      </c>
      <c r="D181" s="57" t="s">
        <v>42</v>
      </c>
      <c r="E181" s="33" t="n">
        <f aca="false">IF(D181="totale",(C181/(A181*24))/F181,IF(D181="marché libre",(C181/(A181*24))/G181,"spécifier histo"))</f>
        <v>0</v>
      </c>
      <c r="F181" s="59" t="n">
        <v>1518</v>
      </c>
      <c r="G181" s="58" t="n">
        <f aca="false">F181-H181</f>
        <v>1518</v>
      </c>
      <c r="H181" s="59" t="n">
        <v>0</v>
      </c>
      <c r="I181" s="58"/>
      <c r="J181" s="56"/>
      <c r="P181" s="0"/>
    </row>
    <row r="182" customFormat="false" ht="19.85" hidden="false" customHeight="true" outlineLevel="0" collapsed="false">
      <c r="A182" s="0" t="n">
        <v>31</v>
      </c>
      <c r="B182" s="31" t="n">
        <v>42856</v>
      </c>
      <c r="C182" s="9" t="n">
        <v>52738</v>
      </c>
      <c r="D182" s="57" t="s">
        <v>42</v>
      </c>
      <c r="E182" s="33" t="n">
        <f aca="false">IF(D182="totale",(C182/(A182*24))/F182,IF(D182="marché libre",(C182/(A182*24))/G182,"spécifier histo"))</f>
        <v>0.0466959213452902</v>
      </c>
      <c r="F182" s="59" t="n">
        <v>1518</v>
      </c>
      <c r="G182" s="58" t="n">
        <f aca="false">F182-H182</f>
        <v>1518</v>
      </c>
      <c r="H182" s="59" t="n">
        <v>0</v>
      </c>
      <c r="I182" s="58"/>
      <c r="J182" s="56"/>
      <c r="P182" s="0"/>
    </row>
    <row r="183" customFormat="false" ht="22.45" hidden="false" customHeight="true" outlineLevel="0" collapsed="false">
      <c r="A183" s="0" t="n">
        <v>30</v>
      </c>
      <c r="B183" s="34" t="n">
        <v>42887</v>
      </c>
      <c r="C183" s="9" t="n">
        <v>0</v>
      </c>
      <c r="D183" s="57" t="s">
        <v>42</v>
      </c>
      <c r="E183" s="33" t="n">
        <f aca="false">IF(D183="totale",(C183/(A183*24))/F183,IF(D183="marché libre",(C183/(A183*24))/G183,"spécifier histo"))</f>
        <v>0</v>
      </c>
      <c r="F183" s="59" t="n">
        <v>1518</v>
      </c>
      <c r="G183" s="58" t="n">
        <f aca="false">F183-H183</f>
        <v>1518</v>
      </c>
      <c r="H183" s="59" t="n">
        <v>0</v>
      </c>
      <c r="I183" s="58"/>
      <c r="J183" s="56"/>
      <c r="P183" s="0"/>
    </row>
    <row r="184" customFormat="false" ht="21.65" hidden="false" customHeight="true" outlineLevel="0" collapsed="false">
      <c r="A184" s="0" t="n">
        <v>31</v>
      </c>
      <c r="B184" s="31" t="n">
        <v>42917</v>
      </c>
      <c r="C184" s="9" t="n">
        <v>0</v>
      </c>
      <c r="D184" s="57" t="s">
        <v>42</v>
      </c>
      <c r="E184" s="33" t="n">
        <f aca="false">IF(D184="totale",(C184/(A184*24))/F184,IF(D184="marché libre",(C184/(A184*24))/G184,"spécifier histo"))</f>
        <v>0</v>
      </c>
      <c r="F184" s="59" t="n">
        <v>1518</v>
      </c>
      <c r="G184" s="58" t="n">
        <f aca="false">F184-H184</f>
        <v>1518</v>
      </c>
      <c r="H184" s="59" t="n">
        <v>0</v>
      </c>
      <c r="I184" s="58"/>
      <c r="J184" s="56"/>
      <c r="P184" s="0"/>
    </row>
    <row r="185" customFormat="false" ht="21.65" hidden="false" customHeight="true" outlineLevel="0" collapsed="false">
      <c r="A185" s="0" t="n">
        <v>31</v>
      </c>
      <c r="B185" s="34" t="n">
        <v>42948</v>
      </c>
      <c r="C185" s="9" t="n">
        <v>0</v>
      </c>
      <c r="D185" s="57" t="s">
        <v>42</v>
      </c>
      <c r="E185" s="33" t="n">
        <f aca="false">IF(D185="totale",(C185/(A185*24))/F185,IF(D185="marché libre",(C185/(A185*24))/G185,"spécifier histo"))</f>
        <v>0</v>
      </c>
      <c r="F185" s="59" t="n">
        <v>1518</v>
      </c>
      <c r="G185" s="58" t="n">
        <f aca="false">F185-H185</f>
        <v>1518</v>
      </c>
      <c r="H185" s="59" t="n">
        <v>0</v>
      </c>
      <c r="I185" s="58"/>
      <c r="J185" s="56"/>
      <c r="P185" s="0"/>
    </row>
    <row r="186" customFormat="false" ht="21.65" hidden="false" customHeight="true" outlineLevel="0" collapsed="false">
      <c r="A186" s="0" t="n">
        <v>30</v>
      </c>
      <c r="B186" s="31" t="n">
        <v>42979</v>
      </c>
      <c r="C186" s="9" t="n">
        <v>0</v>
      </c>
      <c r="D186" s="57" t="s">
        <v>42</v>
      </c>
      <c r="E186" s="33" t="n">
        <f aca="false">IF(D186="totale",(C186/(A186*24))/F186,IF(D186="marché libre",(C186/(A186*24))/G186,"spécifier histo"))</f>
        <v>0</v>
      </c>
      <c r="F186" s="59" t="n">
        <v>1518</v>
      </c>
      <c r="G186" s="59" t="n">
        <f aca="false">F186-H186</f>
        <v>1518</v>
      </c>
      <c r="H186" s="59" t="n">
        <v>0</v>
      </c>
      <c r="J186" s="56"/>
      <c r="P186" s="0"/>
    </row>
    <row r="187" customFormat="false" ht="21.65" hidden="false" customHeight="true" outlineLevel="0" collapsed="false">
      <c r="A187" s="0" t="n">
        <v>31</v>
      </c>
      <c r="B187" s="34" t="n">
        <v>43009</v>
      </c>
      <c r="C187" s="9" t="n">
        <v>0</v>
      </c>
      <c r="D187" s="57" t="s">
        <v>42</v>
      </c>
      <c r="E187" s="33" t="n">
        <f aca="false">IF(D187="totale",(C187/(A187*24))/F187,IF(D187="marché libre",(C187/(A187*24))/G187,"spécifier histo"))</f>
        <v>0</v>
      </c>
      <c r="F187" s="59" t="n">
        <v>1518</v>
      </c>
      <c r="G187" s="59" t="n">
        <f aca="false">F187-H187</f>
        <v>1518</v>
      </c>
      <c r="H187" s="59" t="n">
        <v>0</v>
      </c>
      <c r="J187" s="56"/>
      <c r="P187" s="0"/>
    </row>
    <row r="188" customFormat="false" ht="21.65" hidden="false" customHeight="true" outlineLevel="0" collapsed="false">
      <c r="A188" s="0" t="n">
        <v>30</v>
      </c>
      <c r="B188" s="31" t="n">
        <v>43040</v>
      </c>
      <c r="C188" s="9" t="n">
        <v>0</v>
      </c>
      <c r="D188" s="57" t="s">
        <v>42</v>
      </c>
      <c r="E188" s="33" t="n">
        <f aca="false">IF(D188="totale",(C188/(A188*24))/F188,IF(D188="marché libre",(C188/(A188*24))/G188,"spécifier histo"))</f>
        <v>0</v>
      </c>
      <c r="F188" s="59" t="n">
        <v>1518</v>
      </c>
      <c r="G188" s="59" t="n">
        <f aca="false">F188-H188</f>
        <v>1518</v>
      </c>
      <c r="H188" s="59" t="n">
        <v>0</v>
      </c>
      <c r="J188" s="56"/>
      <c r="P188" s="0"/>
    </row>
    <row r="189" customFormat="false" ht="21.65" hidden="false" customHeight="true" outlineLevel="0" collapsed="false">
      <c r="A189" s="0" t="n">
        <v>31</v>
      </c>
      <c r="B189" s="34" t="n">
        <v>43070</v>
      </c>
      <c r="C189" s="9" t="n">
        <v>333469</v>
      </c>
      <c r="D189" s="57" t="s">
        <v>42</v>
      </c>
      <c r="E189" s="33" t="n">
        <f aca="false">IF(D189="totale",(C189/(A189*24))/F189,IF(D189="marché libre",(C189/(A189*24))/G189,"spécifier histo"))</f>
        <v>0.295264177539774</v>
      </c>
      <c r="F189" s="59" t="n">
        <v>1518</v>
      </c>
      <c r="G189" s="59" t="n">
        <f aca="false">F189-H189</f>
        <v>1518</v>
      </c>
      <c r="H189" s="59" t="n">
        <v>0</v>
      </c>
      <c r="J189" s="56"/>
      <c r="P189" s="0"/>
    </row>
    <row r="190" customFormat="false" ht="28.35" hidden="false" customHeight="true" outlineLevel="0" collapsed="false">
      <c r="A190" s="0" t="n">
        <v>31</v>
      </c>
      <c r="B190" s="31" t="n">
        <v>43101</v>
      </c>
      <c r="C190" s="9" t="n">
        <v>674514</v>
      </c>
      <c r="D190" s="57" t="s">
        <v>42</v>
      </c>
      <c r="E190" s="33" t="n">
        <f aca="false">IF(D190="totale",(C190/(A190*24))/F190,IF(D190="marché libre",(C190/(A190*24))/G190,"spécifier histo"))</f>
        <v>0.59723638913681</v>
      </c>
      <c r="F190" s="59" t="n">
        <v>1518</v>
      </c>
      <c r="G190" s="59" t="n">
        <f aca="false">F190-H190</f>
        <v>1518</v>
      </c>
      <c r="H190" s="59" t="n">
        <v>0</v>
      </c>
      <c r="J190" s="56"/>
      <c r="P190" s="0"/>
    </row>
    <row r="191" customFormat="false" ht="28.35" hidden="false" customHeight="true" outlineLevel="0" collapsed="false">
      <c r="A191" s="0" t="n">
        <v>28</v>
      </c>
      <c r="B191" s="34" t="n">
        <v>43132</v>
      </c>
      <c r="C191" s="1" t="n">
        <v>713351</v>
      </c>
      <c r="D191" s="57" t="s">
        <v>42</v>
      </c>
      <c r="E191" s="33" t="n">
        <f aca="false">IF(D191="totale",(C191/(A191*24))/F191,IF(D191="marché libre",(C191/(A191*24))/G191,"spécifier histo"))</f>
        <v>0.699297909216387</v>
      </c>
      <c r="F191" s="59" t="n">
        <v>1518</v>
      </c>
      <c r="G191" s="59" t="n">
        <f aca="false">F191-H191</f>
        <v>1518</v>
      </c>
      <c r="H191" s="59" t="n">
        <v>0</v>
      </c>
      <c r="J191" s="56"/>
      <c r="P191" s="0"/>
    </row>
    <row r="192" customFormat="false" ht="28.35" hidden="false" customHeight="true" outlineLevel="0" collapsed="false">
      <c r="A192" s="0" t="n">
        <v>31</v>
      </c>
      <c r="B192" s="31" t="n">
        <v>43160</v>
      </c>
      <c r="C192" s="1" t="n">
        <v>804015</v>
      </c>
      <c r="D192" s="57" t="s">
        <v>42</v>
      </c>
      <c r="E192" s="33" t="n">
        <f aca="false">IF(D192="totale",(C192/(A192*24))/F192,IF(D192="marché libre",(C192/(A192*24))/G192,"spécifier histo"))</f>
        <v>0.711900739512941</v>
      </c>
      <c r="F192" s="59" t="n">
        <v>1518</v>
      </c>
      <c r="G192" s="59" t="n">
        <f aca="false">F192-H192</f>
        <v>1518</v>
      </c>
      <c r="H192" s="59" t="n">
        <v>0</v>
      </c>
      <c r="J192" s="56"/>
      <c r="P192" s="0"/>
    </row>
    <row r="193" customFormat="false" ht="28.35" hidden="false" customHeight="true" outlineLevel="0" collapsed="false">
      <c r="A193" s="0" t="n">
        <v>30</v>
      </c>
      <c r="B193" s="34" t="n">
        <v>43191</v>
      </c>
      <c r="C193" s="1" t="n">
        <v>591683</v>
      </c>
      <c r="D193" s="57" t="s">
        <v>42</v>
      </c>
      <c r="E193" s="33" t="n">
        <f aca="false">IF(D193="totale",(C193/(A193*24))/F193,IF(D193="marché libre",(C193/(A193*24))/G193,"spécifier histo"))</f>
        <v>0.541358329673547</v>
      </c>
      <c r="F193" s="59" t="n">
        <v>1518</v>
      </c>
      <c r="G193" s="59" t="n">
        <f aca="false">F193-H193</f>
        <v>1518</v>
      </c>
      <c r="H193" s="59" t="n">
        <v>0</v>
      </c>
      <c r="J193" s="56"/>
      <c r="P193" s="0"/>
    </row>
    <row r="194" customFormat="false" ht="12.8" hidden="false" customHeight="false" outlineLevel="0" collapsed="false">
      <c r="A194" s="0"/>
      <c r="J194" s="56"/>
      <c r="P194" s="0"/>
    </row>
    <row r="195" customFormat="false" ht="12.8" hidden="false" customHeight="false" outlineLevel="0" collapsed="false">
      <c r="A195" s="0"/>
      <c r="J195" s="56"/>
      <c r="P195" s="0"/>
    </row>
    <row r="196" customFormat="false" ht="12.8" hidden="false" customHeight="false" outlineLevel="0" collapsed="false">
      <c r="A196" s="0"/>
      <c r="J196" s="56"/>
      <c r="P196" s="0"/>
    </row>
    <row r="197" customFormat="false" ht="12.8" hidden="false" customHeight="false" outlineLevel="0" collapsed="false">
      <c r="A197" s="0"/>
      <c r="J197" s="56"/>
      <c r="P197" s="0"/>
    </row>
    <row r="198" customFormat="false" ht="12.8" hidden="false" customHeight="false" outlineLevel="0" collapsed="false">
      <c r="A198" s="0"/>
      <c r="J198" s="56"/>
      <c r="P198" s="0"/>
    </row>
    <row r="199" customFormat="false" ht="12.8" hidden="false" customHeight="false" outlineLevel="0" collapsed="false">
      <c r="A199" s="0"/>
      <c r="J199" s="56"/>
      <c r="P199" s="0"/>
    </row>
    <row r="200" customFormat="false" ht="12.8" hidden="false" customHeight="false" outlineLevel="0" collapsed="false">
      <c r="A200" s="0"/>
      <c r="J200" s="56"/>
    </row>
    <row r="201" customFormat="false" ht="12.8" hidden="false" customHeight="false" outlineLevel="0" collapsed="false">
      <c r="A201" s="0"/>
      <c r="J201" s="56"/>
    </row>
    <row r="202" customFormat="false" ht="12.8" hidden="false" customHeight="false" outlineLevel="0" collapsed="false">
      <c r="A202" s="0"/>
      <c r="J202" s="56"/>
    </row>
    <row r="203" customFormat="false" ht="12.8" hidden="false" customHeight="false" outlineLevel="0" collapsed="false">
      <c r="A203" s="0"/>
      <c r="J203" s="56"/>
    </row>
    <row r="204" customFormat="false" ht="12.8" hidden="false" customHeight="false" outlineLevel="0" collapsed="false">
      <c r="A204" s="0"/>
      <c r="J204" s="56"/>
    </row>
    <row r="205" customFormat="false" ht="12.8" hidden="false" customHeight="false" outlineLevel="0" collapsed="false">
      <c r="A205" s="0"/>
      <c r="J205" s="56"/>
    </row>
    <row r="206" customFormat="false" ht="12.8" hidden="false" customHeight="false" outlineLevel="0" collapsed="false">
      <c r="A206" s="0"/>
      <c r="J206" s="56"/>
    </row>
    <row r="207" customFormat="false" ht="12.8" hidden="false" customHeight="false" outlineLevel="0" collapsed="false">
      <c r="A207" s="0"/>
      <c r="J207" s="56"/>
    </row>
    <row r="208" customFormat="false" ht="12.8" hidden="false" customHeight="false" outlineLevel="0" collapsed="false">
      <c r="A208" s="0"/>
      <c r="J208" s="56"/>
    </row>
    <row r="209" customFormat="false" ht="12.8" hidden="false" customHeight="false" outlineLevel="0" collapsed="false">
      <c r="A209" s="0"/>
      <c r="J209" s="56"/>
    </row>
    <row r="210" customFormat="false" ht="12.8" hidden="false" customHeight="false" outlineLevel="0" collapsed="false">
      <c r="A210" s="0"/>
      <c r="J210" s="56"/>
    </row>
    <row r="211" customFormat="false" ht="12.8" hidden="false" customHeight="false" outlineLevel="0" collapsed="false">
      <c r="A211" s="0"/>
      <c r="J211" s="56"/>
    </row>
    <row r="212" customFormat="false" ht="12.8" hidden="false" customHeight="false" outlineLevel="0" collapsed="false">
      <c r="A212" s="0"/>
      <c r="J212" s="56"/>
    </row>
    <row r="213" customFormat="false" ht="12.8" hidden="false" customHeight="false" outlineLevel="0" collapsed="false">
      <c r="A213" s="0"/>
      <c r="J213" s="56"/>
    </row>
    <row r="214" customFormat="false" ht="12.8" hidden="false" customHeight="false" outlineLevel="0" collapsed="false">
      <c r="A214" s="0"/>
      <c r="J214" s="56"/>
    </row>
    <row r="215" customFormat="false" ht="12.8" hidden="false" customHeight="false" outlineLevel="0" collapsed="false">
      <c r="A215" s="0"/>
      <c r="J215" s="56"/>
    </row>
    <row r="216" customFormat="false" ht="12.8" hidden="false" customHeight="false" outlineLevel="0" collapsed="false">
      <c r="A216" s="0"/>
      <c r="J216" s="56"/>
    </row>
    <row r="217" customFormat="false" ht="12.8" hidden="false" customHeight="false" outlineLevel="0" collapsed="false">
      <c r="A217" s="0"/>
      <c r="J217" s="56"/>
    </row>
    <row r="218" customFormat="false" ht="12.8" hidden="false" customHeight="false" outlineLevel="0" collapsed="false">
      <c r="A218" s="0"/>
      <c r="J218" s="56"/>
    </row>
    <row r="219" customFormat="false" ht="12.8" hidden="false" customHeight="false" outlineLevel="0" collapsed="false">
      <c r="A219" s="0"/>
      <c r="J219" s="56"/>
    </row>
    <row r="220" customFormat="false" ht="12.8" hidden="false" customHeight="false" outlineLevel="0" collapsed="false">
      <c r="J220" s="56"/>
    </row>
    <row r="221" customFormat="false" ht="12.8" hidden="false" customHeight="false" outlineLevel="0" collapsed="false">
      <c r="J221" s="56"/>
    </row>
    <row r="222" customFormat="false" ht="12.8" hidden="false" customHeight="false" outlineLevel="0" collapsed="false">
      <c r="J222" s="56"/>
    </row>
    <row r="223" customFormat="false" ht="12.8" hidden="false" customHeight="false" outlineLevel="0" collapsed="false">
      <c r="J223" s="56"/>
    </row>
    <row r="224" customFormat="false" ht="12.8" hidden="false" customHeight="false" outlineLevel="0" collapsed="false">
      <c r="J224" s="56"/>
    </row>
    <row r="225" customFormat="false" ht="12.8" hidden="false" customHeight="false" outlineLevel="0" collapsed="false">
      <c r="J225" s="56"/>
    </row>
    <row r="226" customFormat="false" ht="12.8" hidden="false" customHeight="false" outlineLevel="0" collapsed="false">
      <c r="J226" s="56"/>
    </row>
    <row r="227" customFormat="false" ht="12.8" hidden="false" customHeight="false" outlineLevel="0" collapsed="false">
      <c r="J227" s="56"/>
    </row>
    <row r="228" customFormat="false" ht="12.8" hidden="false" customHeight="false" outlineLevel="0" collapsed="false">
      <c r="J228" s="56"/>
    </row>
    <row r="229" customFormat="false" ht="12.8" hidden="false" customHeight="false" outlineLevel="0" collapsed="false">
      <c r="J229" s="56"/>
    </row>
    <row r="230" customFormat="false" ht="12.8" hidden="false" customHeight="false" outlineLevel="0" collapsed="false">
      <c r="J230" s="56"/>
    </row>
    <row r="231" customFormat="false" ht="12.8" hidden="false" customHeight="false" outlineLevel="0" collapsed="false">
      <c r="J231" s="56"/>
    </row>
    <row r="232" customFormat="false" ht="12.8" hidden="false" customHeight="false" outlineLevel="0" collapsed="false">
      <c r="J232" s="56"/>
    </row>
    <row r="233" customFormat="false" ht="12.8" hidden="false" customHeight="false" outlineLevel="0" collapsed="false">
      <c r="J233" s="56"/>
    </row>
    <row r="234" customFormat="false" ht="12.8" hidden="false" customHeight="false" outlineLevel="0" collapsed="false">
      <c r="J234" s="56"/>
    </row>
    <row r="235" customFormat="false" ht="12.8" hidden="false" customHeight="false" outlineLevel="0" collapsed="false">
      <c r="J235" s="56"/>
    </row>
    <row r="236" customFormat="false" ht="12.8" hidden="false" customHeight="false" outlineLevel="0" collapsed="false">
      <c r="J236" s="56"/>
    </row>
    <row r="237" customFormat="false" ht="12.8" hidden="false" customHeight="false" outlineLevel="0" collapsed="false">
      <c r="J237" s="56"/>
    </row>
    <row r="238" customFormat="false" ht="12.8" hidden="false" customHeight="false" outlineLevel="0" collapsed="false">
      <c r="J238" s="56"/>
    </row>
    <row r="239" customFormat="false" ht="12.8" hidden="false" customHeight="false" outlineLevel="0" collapsed="false">
      <c r="J239" s="56"/>
    </row>
    <row r="240" customFormat="false" ht="12.8" hidden="false" customHeight="false" outlineLevel="0" collapsed="false">
      <c r="J240" s="56"/>
    </row>
    <row r="241" customFormat="false" ht="12.8" hidden="false" customHeight="false" outlineLevel="0" collapsed="false">
      <c r="J241" s="56"/>
    </row>
    <row r="242" customFormat="false" ht="12.8" hidden="false" customHeight="false" outlineLevel="0" collapsed="false">
      <c r="J242" s="56"/>
    </row>
    <row r="243" customFormat="false" ht="12.8" hidden="false" customHeight="false" outlineLevel="0" collapsed="false">
      <c r="J243" s="56"/>
    </row>
    <row r="244" customFormat="false" ht="12.8" hidden="false" customHeight="false" outlineLevel="0" collapsed="false">
      <c r="J244" s="56"/>
    </row>
    <row r="245" customFormat="false" ht="12.8" hidden="false" customHeight="false" outlineLevel="0" collapsed="false">
      <c r="J245" s="56"/>
    </row>
    <row r="246" customFormat="false" ht="12.8" hidden="false" customHeight="false" outlineLevel="0" collapsed="false">
      <c r="J246" s="56"/>
    </row>
    <row r="247" customFormat="false" ht="12.8" hidden="false" customHeight="false" outlineLevel="0" collapsed="false">
      <c r="J247" s="56"/>
    </row>
    <row r="248" customFormat="false" ht="12.8" hidden="false" customHeight="false" outlineLevel="0" collapsed="false">
      <c r="J248" s="56"/>
    </row>
    <row r="249" customFormat="false" ht="12.8" hidden="false" customHeight="false" outlineLevel="0" collapsed="false">
      <c r="J249" s="56"/>
    </row>
    <row r="250" customFormat="false" ht="12.8" hidden="false" customHeight="false" outlineLevel="0" collapsed="false">
      <c r="J250" s="56"/>
    </row>
    <row r="251" customFormat="false" ht="12.8" hidden="false" customHeight="false" outlineLevel="0" collapsed="false">
      <c r="J251" s="56"/>
    </row>
    <row r="252" customFormat="false" ht="12.8" hidden="false" customHeight="false" outlineLevel="0" collapsed="false">
      <c r="J252" s="56"/>
    </row>
    <row r="253" customFormat="false" ht="12.8" hidden="false" customHeight="false" outlineLevel="0" collapsed="false">
      <c r="J253" s="56"/>
    </row>
    <row r="254" customFormat="false" ht="12.8" hidden="false" customHeight="false" outlineLevel="0" collapsed="false">
      <c r="J254" s="56"/>
    </row>
    <row r="255" customFormat="false" ht="12.8" hidden="false" customHeight="false" outlineLevel="0" collapsed="false">
      <c r="J255" s="56"/>
    </row>
    <row r="256" customFormat="false" ht="12.8" hidden="false" customHeight="false" outlineLevel="0" collapsed="false">
      <c r="J256" s="56"/>
    </row>
    <row r="257" customFormat="false" ht="12.8" hidden="false" customHeight="false" outlineLevel="0" collapsed="false">
      <c r="J257" s="56"/>
    </row>
    <row r="258" customFormat="false" ht="12.8" hidden="false" customHeight="false" outlineLevel="0" collapsed="false">
      <c r="J258" s="56"/>
    </row>
    <row r="259" customFormat="false" ht="12.8" hidden="false" customHeight="false" outlineLevel="0" collapsed="false">
      <c r="J259" s="56"/>
    </row>
    <row r="260" customFormat="false" ht="12.8" hidden="false" customHeight="false" outlineLevel="0" collapsed="false">
      <c r="J260" s="56"/>
    </row>
    <row r="261" customFormat="false" ht="12.8" hidden="false" customHeight="false" outlineLevel="0" collapsed="false">
      <c r="J261" s="56"/>
    </row>
    <row r="262" customFormat="false" ht="12.8" hidden="false" customHeight="false" outlineLevel="0" collapsed="false">
      <c r="J262" s="56"/>
    </row>
    <row r="263" customFormat="false" ht="12.8" hidden="false" customHeight="false" outlineLevel="0" collapsed="false">
      <c r="J263" s="56"/>
    </row>
    <row r="264" customFormat="false" ht="12.8" hidden="false" customHeight="false" outlineLevel="0" collapsed="false">
      <c r="J264" s="56"/>
    </row>
    <row r="265" customFormat="false" ht="12.8" hidden="false" customHeight="false" outlineLevel="0" collapsed="false">
      <c r="J265" s="56"/>
    </row>
    <row r="266" customFormat="false" ht="12.8" hidden="false" customHeight="false" outlineLevel="0" collapsed="false">
      <c r="J266" s="56"/>
    </row>
    <row r="267" customFormat="false" ht="12.8" hidden="false" customHeight="false" outlineLevel="0" collapsed="false">
      <c r="J267" s="56"/>
    </row>
    <row r="268" customFormat="false" ht="12.8" hidden="false" customHeight="false" outlineLevel="0" collapsed="false">
      <c r="J268" s="56"/>
    </row>
    <row r="269" customFormat="false" ht="12.8" hidden="false" customHeight="false" outlineLevel="0" collapsed="false">
      <c r="J269" s="56"/>
    </row>
    <row r="270" customFormat="false" ht="12.8" hidden="false" customHeight="false" outlineLevel="0" collapsed="false">
      <c r="J270" s="56"/>
    </row>
    <row r="271" customFormat="false" ht="12.8" hidden="false" customHeight="false" outlineLevel="0" collapsed="false">
      <c r="J271" s="56"/>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57:E193 E10:E15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56">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2.xml><?xml version="1.0" encoding="utf-8"?>
<worksheet xmlns="http://schemas.openxmlformats.org/spreadsheetml/2006/main" xmlns:r="http://schemas.openxmlformats.org/officeDocument/2006/relationships">
  <sheetPr filterMode="false">
    <tabColor rgb="FF00CC33"/>
    <pageSetUpPr fitToPage="false"/>
  </sheetPr>
  <dimension ref="A1:V25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12" activePane="bottomRight" state="frozen"/>
      <selection pane="topLeft" activeCell="A1" activeCellId="0" sqref="A1"/>
      <selection pane="topRight" activeCell="B1" activeCellId="0" sqref="B1"/>
      <selection pane="bottomLeft" activeCell="A212" activeCellId="0" sqref="A212"/>
      <selection pane="bottomRight" activeCell="B195" activeCellId="0" sqref="B195"/>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966</v>
      </c>
      <c r="C4" s="5" t="n">
        <v>71718</v>
      </c>
      <c r="D4" s="5" t="s">
        <v>967</v>
      </c>
      <c r="E4" s="14" t="s">
        <v>962</v>
      </c>
      <c r="F4" s="19" t="n">
        <v>218</v>
      </c>
      <c r="G4" s="15"/>
      <c r="H4" s="19" t="n">
        <v>218</v>
      </c>
      <c r="I4" s="16"/>
      <c r="J4" s="15" t="n">
        <v>218</v>
      </c>
      <c r="K4" s="16"/>
      <c r="L4" s="16" t="s">
        <v>113</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c r="H6" s="20"/>
      <c r="I6" s="20"/>
      <c r="J6" s="20"/>
      <c r="K6" s="20"/>
      <c r="L6" s="20"/>
      <c r="M6" s="20"/>
      <c r="N6" s="20"/>
      <c r="P6" s="21" t="n">
        <v>42064</v>
      </c>
      <c r="Q6" s="19" t="s">
        <v>27</v>
      </c>
      <c r="R6" s="9"/>
      <c r="S6" s="22"/>
      <c r="T6" s="5" t="s">
        <v>28</v>
      </c>
    </row>
    <row r="7" customFormat="false" ht="41.65" hidden="false" customHeight="true" outlineLevel="0" collapsed="false">
      <c r="A7" s="0"/>
      <c r="B7" s="0"/>
      <c r="C7" s="23" t="s">
        <v>968</v>
      </c>
      <c r="D7" s="23"/>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3.95" hidden="false" customHeight="true" outlineLevel="0" collapsed="false">
      <c r="A10" s="0" t="n">
        <v>31</v>
      </c>
      <c r="B10" s="31" t="n">
        <v>37622</v>
      </c>
      <c r="C10" s="56" t="n">
        <v>115000</v>
      </c>
      <c r="D10" s="57" t="s">
        <v>42</v>
      </c>
      <c r="E10" s="33" t="n">
        <f aca="false">IF(D10="totale",(C10/(A10*24))/F10,IF(D10="marché libre",(C10/(A10*24))/G10,"spécifier histo"))</f>
        <v>0.70903620400513</v>
      </c>
      <c r="F10" s="15" t="n">
        <v>218</v>
      </c>
      <c r="G10" s="59" t="n">
        <f aca="false">F10-H10</f>
        <v>218</v>
      </c>
      <c r="H10" s="58" t="n">
        <v>0</v>
      </c>
      <c r="I10" s="9"/>
      <c r="J10" s="277"/>
      <c r="K10" s="277"/>
      <c r="L10" s="277"/>
      <c r="M10" s="277"/>
      <c r="N10" s="277"/>
      <c r="O10" s="277"/>
      <c r="P10" s="277"/>
      <c r="Q10" s="277"/>
      <c r="R10" s="277"/>
      <c r="S10" s="277"/>
      <c r="T10" s="277"/>
    </row>
    <row r="11" customFormat="false" ht="23.95" hidden="false" customHeight="true" outlineLevel="0" collapsed="false">
      <c r="A11" s="0" t="n">
        <v>28</v>
      </c>
      <c r="B11" s="34" t="n">
        <v>37653</v>
      </c>
      <c r="C11" s="56" t="n">
        <v>96400</v>
      </c>
      <c r="D11" s="57" t="s">
        <v>42</v>
      </c>
      <c r="E11" s="33" t="n">
        <f aca="false">IF(D11="totale",(C11/(A11*24))/F11,IF(D11="marché libre",(C11/(A11*24))/G11,"spécifier histo"))</f>
        <v>0.658038444735692</v>
      </c>
      <c r="F11" s="15" t="n">
        <v>218</v>
      </c>
      <c r="G11" s="59" t="n">
        <f aca="false">F11-H11</f>
        <v>218</v>
      </c>
      <c r="H11" s="58" t="n">
        <v>0</v>
      </c>
      <c r="I11" s="9"/>
      <c r="J11" s="0"/>
      <c r="K11" s="0"/>
      <c r="L11" s="0"/>
      <c r="M11" s="0"/>
      <c r="N11" s="0"/>
      <c r="O11" s="0"/>
      <c r="P11" s="0"/>
      <c r="Q11" s="0"/>
      <c r="R11" s="0"/>
      <c r="S11" s="0"/>
      <c r="T11" s="0"/>
    </row>
    <row r="12" customFormat="false" ht="23.95" hidden="false" customHeight="true" outlineLevel="0" collapsed="false">
      <c r="A12" s="0" t="n">
        <v>31</v>
      </c>
      <c r="B12" s="31" t="n">
        <v>37681</v>
      </c>
      <c r="C12" s="56" t="n">
        <v>52520</v>
      </c>
      <c r="D12" s="57" t="s">
        <v>42</v>
      </c>
      <c r="E12" s="33" t="n">
        <f aca="false">IF(D12="totale",(C12/(A12*24))/F12,IF(D12="marché libre",(C12/(A12*24))/G12,"spécifier histo"))</f>
        <v>0.323813751603038</v>
      </c>
      <c r="F12" s="15" t="n">
        <v>218</v>
      </c>
      <c r="G12" s="59" t="n">
        <f aca="false">F12-H12</f>
        <v>218</v>
      </c>
      <c r="H12" s="58" t="n">
        <v>0</v>
      </c>
      <c r="I12" s="9"/>
      <c r="J12" s="0"/>
      <c r="K12" s="0"/>
      <c r="L12" s="0"/>
      <c r="M12" s="0"/>
      <c r="N12" s="0"/>
      <c r="O12" s="0"/>
      <c r="P12" s="0"/>
      <c r="Q12" s="0"/>
      <c r="R12" s="0"/>
      <c r="S12" s="0"/>
      <c r="T12" s="0"/>
    </row>
    <row r="13" customFormat="false" ht="23.95" hidden="false" customHeight="true" outlineLevel="0" collapsed="false">
      <c r="A13" s="0" t="n">
        <v>30</v>
      </c>
      <c r="B13" s="34" t="n">
        <v>37712</v>
      </c>
      <c r="C13" s="56" t="n">
        <v>3560</v>
      </c>
      <c r="D13" s="57" t="s">
        <v>42</v>
      </c>
      <c r="E13" s="33" t="n">
        <f aca="false">IF(D13="totale",(C13/(A13*24))/F13,IF(D13="marché libre",(C13/(A13*24))/G13,"spécifier histo"))</f>
        <v>0.0226809378185525</v>
      </c>
      <c r="F13" s="15" t="n">
        <v>218</v>
      </c>
      <c r="G13" s="59" t="n">
        <f aca="false">F13-H13</f>
        <v>218</v>
      </c>
      <c r="H13" s="58" t="n">
        <v>0</v>
      </c>
      <c r="I13" s="9"/>
      <c r="J13" s="0"/>
      <c r="K13" s="0"/>
      <c r="L13" s="0"/>
      <c r="M13" s="0"/>
      <c r="N13" s="0"/>
      <c r="O13" s="0"/>
      <c r="P13" s="0"/>
      <c r="Q13" s="0"/>
      <c r="R13" s="0"/>
      <c r="S13" s="0"/>
      <c r="T13" s="0"/>
    </row>
    <row r="14" customFormat="false" ht="23.95" hidden="false" customHeight="true" outlineLevel="0" collapsed="false">
      <c r="A14" s="0" t="n">
        <v>31</v>
      </c>
      <c r="B14" s="31" t="n">
        <v>37742</v>
      </c>
      <c r="C14" s="56" t="n">
        <v>0</v>
      </c>
      <c r="D14" s="57" t="s">
        <v>42</v>
      </c>
      <c r="E14" s="33" t="n">
        <f aca="false">IF(D14="totale",(C14/(A14*24))/F14,IF(D14="marché libre",(C14/(A14*24))/G14,"spécifier histo"))</f>
        <v>0</v>
      </c>
      <c r="F14" s="15" t="n">
        <v>218</v>
      </c>
      <c r="G14" s="59" t="n">
        <f aca="false">F14-H14</f>
        <v>218</v>
      </c>
      <c r="H14" s="58" t="n">
        <v>0</v>
      </c>
      <c r="I14" s="9"/>
      <c r="J14" s="0"/>
      <c r="K14" s="0"/>
      <c r="L14" s="0"/>
      <c r="M14" s="0"/>
      <c r="N14" s="0"/>
      <c r="O14" s="0"/>
      <c r="P14" s="0"/>
      <c r="Q14" s="0"/>
      <c r="R14" s="0"/>
      <c r="S14" s="0"/>
      <c r="T14" s="0"/>
    </row>
    <row r="15" customFormat="false" ht="23.95" hidden="false" customHeight="true" outlineLevel="0" collapsed="false">
      <c r="A15" s="0" t="n">
        <v>30</v>
      </c>
      <c r="B15" s="34" t="n">
        <v>37773</v>
      </c>
      <c r="C15" s="56" t="n">
        <v>0</v>
      </c>
      <c r="D15" s="57" t="s">
        <v>42</v>
      </c>
      <c r="E15" s="33" t="n">
        <f aca="false">IF(D15="totale",(C15/(A15*24))/F15,IF(D15="marché libre",(C15/(A15*24))/G15,"spécifier histo"))</f>
        <v>0</v>
      </c>
      <c r="F15" s="15" t="n">
        <v>218</v>
      </c>
      <c r="G15" s="59" t="n">
        <f aca="false">F15-H15</f>
        <v>218</v>
      </c>
      <c r="H15" s="58" t="n">
        <v>0</v>
      </c>
      <c r="I15" s="9"/>
      <c r="J15" s="0"/>
      <c r="K15" s="0"/>
      <c r="L15" s="0"/>
      <c r="M15" s="0"/>
      <c r="N15" s="0"/>
      <c r="O15" s="0"/>
      <c r="P15" s="0"/>
      <c r="Q15" s="0"/>
      <c r="R15" s="0"/>
      <c r="S15" s="0"/>
      <c r="T15" s="0"/>
    </row>
    <row r="16" customFormat="false" ht="23.95" hidden="false" customHeight="true" outlineLevel="0" collapsed="false">
      <c r="A16" s="0" t="n">
        <v>31</v>
      </c>
      <c r="B16" s="31" t="n">
        <v>37803</v>
      </c>
      <c r="C16" s="56" t="n">
        <v>0</v>
      </c>
      <c r="D16" s="57" t="s">
        <v>42</v>
      </c>
      <c r="E16" s="33" t="n">
        <f aca="false">IF(D16="totale",(C16/(A16*24))/F16,IF(D16="marché libre",(C16/(A16*24))/G16,"spécifier histo"))</f>
        <v>0</v>
      </c>
      <c r="F16" s="15" t="n">
        <v>218</v>
      </c>
      <c r="G16" s="59" t="n">
        <f aca="false">F16-H16</f>
        <v>218</v>
      </c>
      <c r="H16" s="58" t="n">
        <v>0</v>
      </c>
      <c r="I16" s="9"/>
      <c r="J16" s="0"/>
      <c r="K16" s="0"/>
      <c r="L16" s="0"/>
      <c r="M16" s="0"/>
      <c r="N16" s="0"/>
      <c r="O16" s="0"/>
      <c r="P16" s="0"/>
      <c r="Q16" s="0"/>
      <c r="R16" s="0"/>
      <c r="S16" s="0"/>
      <c r="T16" s="0"/>
    </row>
    <row r="17" customFormat="false" ht="23.95" hidden="false" customHeight="true" outlineLevel="0" collapsed="false">
      <c r="A17" s="0" t="n">
        <v>31</v>
      </c>
      <c r="B17" s="34" t="n">
        <v>37834</v>
      </c>
      <c r="C17" s="56" t="n">
        <v>0</v>
      </c>
      <c r="D17" s="57" t="s">
        <v>42</v>
      </c>
      <c r="E17" s="33" t="n">
        <f aca="false">IF(D17="totale",(C17/(A17*24))/F17,IF(D17="marché libre",(C17/(A17*24))/G17,"spécifier histo"))</f>
        <v>0</v>
      </c>
      <c r="F17" s="15" t="n">
        <v>218</v>
      </c>
      <c r="G17" s="59" t="n">
        <f aca="false">F17-H17</f>
        <v>218</v>
      </c>
      <c r="H17" s="58" t="n">
        <v>0</v>
      </c>
      <c r="I17" s="9"/>
      <c r="J17" s="0"/>
      <c r="K17" s="0"/>
      <c r="L17" s="0"/>
      <c r="M17" s="0"/>
      <c r="N17" s="0"/>
      <c r="O17" s="0"/>
      <c r="P17" s="0"/>
      <c r="Q17" s="0"/>
      <c r="R17" s="0"/>
      <c r="S17" s="0"/>
      <c r="T17" s="0"/>
    </row>
    <row r="18" customFormat="false" ht="23.95" hidden="false" customHeight="true" outlineLevel="0" collapsed="false">
      <c r="A18" s="0" t="n">
        <v>30</v>
      </c>
      <c r="B18" s="31" t="n">
        <v>37865</v>
      </c>
      <c r="C18" s="56" t="n">
        <v>0</v>
      </c>
      <c r="D18" s="57" t="s">
        <v>42</v>
      </c>
      <c r="E18" s="33" t="n">
        <f aca="false">IF(D18="totale",(C18/(A18*24))/F18,IF(D18="marché libre",(C18/(A18*24))/G18,"spécifier histo"))</f>
        <v>0</v>
      </c>
      <c r="F18" s="15" t="n">
        <v>218</v>
      </c>
      <c r="G18" s="59" t="n">
        <f aca="false">F18-H18</f>
        <v>218</v>
      </c>
      <c r="H18" s="58" t="n">
        <v>0</v>
      </c>
      <c r="I18" s="9"/>
      <c r="J18" s="0"/>
      <c r="K18" s="0"/>
      <c r="L18" s="0"/>
      <c r="M18" s="0"/>
      <c r="N18" s="0"/>
      <c r="O18" s="0"/>
      <c r="P18" s="0"/>
      <c r="Q18" s="0"/>
      <c r="R18" s="0"/>
      <c r="S18" s="0"/>
      <c r="T18" s="0"/>
    </row>
    <row r="19" customFormat="false" ht="23.95" hidden="false" customHeight="true" outlineLevel="0" collapsed="false">
      <c r="A19" s="0" t="n">
        <v>31</v>
      </c>
      <c r="B19" s="34" t="n">
        <v>37895</v>
      </c>
      <c r="C19" s="56" t="n">
        <v>0</v>
      </c>
      <c r="D19" s="57" t="s">
        <v>42</v>
      </c>
      <c r="E19" s="33" t="n">
        <f aca="false">IF(D19="totale",(C19/(A19*24))/F19,IF(D19="marché libre",(C19/(A19*24))/G19,"spécifier histo"))</f>
        <v>0</v>
      </c>
      <c r="F19" s="15" t="n">
        <v>218</v>
      </c>
      <c r="G19" s="59" t="n">
        <f aca="false">F19-H19</f>
        <v>218</v>
      </c>
      <c r="H19" s="58" t="n">
        <v>0</v>
      </c>
      <c r="I19" s="9"/>
      <c r="J19" s="0"/>
      <c r="K19" s="0"/>
      <c r="L19" s="0"/>
      <c r="M19" s="0"/>
      <c r="N19" s="0"/>
      <c r="O19" s="0"/>
      <c r="P19" s="0"/>
      <c r="Q19" s="0"/>
      <c r="R19" s="0"/>
      <c r="S19" s="0"/>
      <c r="T19" s="0"/>
    </row>
    <row r="20" customFormat="false" ht="23.95" hidden="false" customHeight="true" outlineLevel="0" collapsed="false">
      <c r="A20" s="0" t="n">
        <v>30</v>
      </c>
      <c r="B20" s="31" t="n">
        <v>37926</v>
      </c>
      <c r="C20" s="56" t="n">
        <v>0</v>
      </c>
      <c r="D20" s="57" t="s">
        <v>42</v>
      </c>
      <c r="E20" s="33" t="n">
        <f aca="false">IF(D20="totale",(C20/(A20*24))/F20,IF(D20="marché libre",(C20/(A20*24))/G20,"spécifier histo"))</f>
        <v>0</v>
      </c>
      <c r="F20" s="15" t="n">
        <v>218</v>
      </c>
      <c r="G20" s="59" t="n">
        <f aca="false">F20-H20</f>
        <v>218</v>
      </c>
      <c r="H20" s="58" t="n">
        <v>0</v>
      </c>
      <c r="I20" s="9"/>
      <c r="J20" s="0"/>
      <c r="K20" s="0"/>
      <c r="L20" s="0"/>
      <c r="M20" s="0"/>
      <c r="N20" s="0"/>
      <c r="O20" s="0"/>
      <c r="P20" s="0"/>
      <c r="Q20" s="0"/>
      <c r="R20" s="0"/>
      <c r="S20" s="0"/>
      <c r="T20" s="0"/>
    </row>
    <row r="21" customFormat="false" ht="23.95" hidden="false" customHeight="true" outlineLevel="0" collapsed="false">
      <c r="A21" s="0" t="n">
        <v>31</v>
      </c>
      <c r="B21" s="34" t="n">
        <v>37956</v>
      </c>
      <c r="C21" s="56" t="n">
        <v>15400</v>
      </c>
      <c r="D21" s="57" t="s">
        <v>42</v>
      </c>
      <c r="E21" s="33" t="n">
        <f aca="false">IF(D21="totale",(C21/(A21*24))/F21,IF(D21="marché libre",(C21/(A21*24))/G21,"spécifier histo"))</f>
        <v>0.0949491960146</v>
      </c>
      <c r="F21" s="15" t="n">
        <v>218</v>
      </c>
      <c r="G21" s="59" t="n">
        <f aca="false">F21-H21</f>
        <v>218</v>
      </c>
      <c r="H21" s="58" t="n">
        <v>0</v>
      </c>
      <c r="I21" s="9"/>
      <c r="J21" s="0"/>
      <c r="K21" s="0"/>
      <c r="L21" s="0"/>
      <c r="M21" s="0"/>
      <c r="N21" s="0"/>
      <c r="O21" s="0"/>
      <c r="P21" s="0"/>
      <c r="Q21" s="0"/>
      <c r="R21" s="0"/>
      <c r="S21" s="0"/>
      <c r="T21" s="0"/>
    </row>
    <row r="22" customFormat="false" ht="23.95" hidden="false" customHeight="true" outlineLevel="0" collapsed="false">
      <c r="A22" s="0" t="n">
        <v>31</v>
      </c>
      <c r="B22" s="31" t="n">
        <v>37987</v>
      </c>
      <c r="C22" s="56" t="n">
        <v>103800</v>
      </c>
      <c r="D22" s="57" t="s">
        <v>42</v>
      </c>
      <c r="E22" s="33" t="n">
        <f aca="false">IF(D22="totale",(C22/(A22*24))/F22,IF(D22="marché libre",(C22/(A22*24))/G22,"spécifier histo"))</f>
        <v>0.639982243267239</v>
      </c>
      <c r="F22" s="15" t="n">
        <v>218</v>
      </c>
      <c r="G22" s="59" t="n">
        <f aca="false">F22-H22</f>
        <v>218</v>
      </c>
      <c r="H22" s="58" t="n">
        <v>0</v>
      </c>
      <c r="I22" s="9"/>
      <c r="J22" s="0"/>
      <c r="K22" s="0"/>
      <c r="L22" s="0"/>
      <c r="M22" s="0"/>
      <c r="N22" s="0"/>
      <c r="O22" s="0"/>
      <c r="P22" s="0"/>
      <c r="Q22" s="0"/>
      <c r="R22" s="0"/>
      <c r="S22" s="0"/>
      <c r="T22" s="0"/>
    </row>
    <row r="23" customFormat="false" ht="23.95" hidden="false" customHeight="true" outlineLevel="0" collapsed="false">
      <c r="A23" s="0" t="n">
        <v>28</v>
      </c>
      <c r="B23" s="34" t="n">
        <v>38018</v>
      </c>
      <c r="C23" s="56" t="n">
        <v>70400</v>
      </c>
      <c r="D23" s="57" t="s">
        <v>42</v>
      </c>
      <c r="E23" s="33" t="n">
        <f aca="false">IF(D23="totale",(C23/(A23*24))/F23,IF(D23="marché libre",(C23/(A23*24))/G23,"spécifier histo"))</f>
        <v>0.480559196155526</v>
      </c>
      <c r="F23" s="15" t="n">
        <v>218</v>
      </c>
      <c r="G23" s="59" t="n">
        <f aca="false">F23-H23</f>
        <v>218</v>
      </c>
      <c r="H23" s="58" t="n">
        <v>0</v>
      </c>
      <c r="I23" s="9"/>
      <c r="J23" s="0"/>
      <c r="K23" s="0"/>
      <c r="M23" s="0"/>
      <c r="N23" s="0"/>
      <c r="Q23" s="0"/>
    </row>
    <row r="24" customFormat="false" ht="23.95" hidden="false" customHeight="true" outlineLevel="0" collapsed="false">
      <c r="A24" s="0" t="n">
        <v>31</v>
      </c>
      <c r="B24" s="31" t="n">
        <v>38047</v>
      </c>
      <c r="C24" s="56" t="n">
        <v>74440</v>
      </c>
      <c r="D24" s="57" t="s">
        <v>42</v>
      </c>
      <c r="E24" s="33" t="n">
        <f aca="false">IF(D24="totale",(C24/(A24*24))/F24,IF(D24="marché libre",(C24/(A24*24))/G24,"spécifier histo"))</f>
        <v>0.458962217618625</v>
      </c>
      <c r="F24" s="15" t="n">
        <v>218</v>
      </c>
      <c r="G24" s="59" t="n">
        <f aca="false">F24-H24</f>
        <v>218</v>
      </c>
      <c r="H24" s="58" t="n">
        <v>0</v>
      </c>
      <c r="I24" s="9"/>
      <c r="J24" s="0"/>
      <c r="K24" s="0"/>
      <c r="M24" s="0"/>
      <c r="N24" s="0"/>
      <c r="Q24" s="0"/>
    </row>
    <row r="25" customFormat="false" ht="23.95" hidden="false" customHeight="true" outlineLevel="0" collapsed="false">
      <c r="A25" s="0" t="n">
        <v>30</v>
      </c>
      <c r="B25" s="34" t="n">
        <v>38078</v>
      </c>
      <c r="C25" s="56" t="n">
        <v>22920</v>
      </c>
      <c r="D25" s="57" t="s">
        <v>42</v>
      </c>
      <c r="E25" s="33" t="n">
        <f aca="false">IF(D25="totale",(C25/(A25*24))/F25,IF(D25="marché libre",(C25/(A25*24))/G25,"spécifier histo"))</f>
        <v>0.146024464831804</v>
      </c>
      <c r="F25" s="15" t="n">
        <v>218</v>
      </c>
      <c r="G25" s="59" t="n">
        <f aca="false">F25-H25</f>
        <v>218</v>
      </c>
      <c r="H25" s="58" t="n">
        <v>0</v>
      </c>
      <c r="I25" s="9"/>
      <c r="J25" s="0"/>
      <c r="K25" s="0"/>
      <c r="M25" s="0"/>
      <c r="N25" s="0"/>
      <c r="Q25" s="0"/>
    </row>
    <row r="26" customFormat="false" ht="23.95" hidden="false" customHeight="true" outlineLevel="0" collapsed="false">
      <c r="A26" s="0" t="n">
        <v>31</v>
      </c>
      <c r="B26" s="31" t="n">
        <v>38108</v>
      </c>
      <c r="C26" s="56" t="n">
        <v>28160</v>
      </c>
      <c r="D26" s="57" t="s">
        <v>42</v>
      </c>
      <c r="E26" s="33" t="n">
        <f aca="false">IF(D26="totale",(C26/(A26*24))/F26,IF(D26="marché libre",(C26/(A26*24))/G26,"spécifier histo"))</f>
        <v>0.173621386998126</v>
      </c>
      <c r="F26" s="15" t="n">
        <v>218</v>
      </c>
      <c r="G26" s="59" t="n">
        <f aca="false">F26-H26</f>
        <v>218</v>
      </c>
      <c r="H26" s="58" t="n">
        <v>0</v>
      </c>
      <c r="I26" s="9"/>
      <c r="J26" s="0"/>
      <c r="K26" s="0"/>
      <c r="M26" s="0"/>
      <c r="N26" s="0"/>
      <c r="Q26" s="0"/>
    </row>
    <row r="27" customFormat="false" ht="23.95" hidden="false" customHeight="true" outlineLevel="0" collapsed="false">
      <c r="A27" s="0" t="n">
        <v>30</v>
      </c>
      <c r="B27" s="34" t="n">
        <v>38139</v>
      </c>
      <c r="C27" s="56" t="n">
        <v>0</v>
      </c>
      <c r="D27" s="57" t="s">
        <v>42</v>
      </c>
      <c r="E27" s="33" t="n">
        <f aca="false">IF(D27="totale",(C27/(A27*24))/F27,IF(D27="marché libre",(C27/(A27*24))/G27,"spécifier histo"))</f>
        <v>0</v>
      </c>
      <c r="F27" s="15" t="n">
        <v>218</v>
      </c>
      <c r="G27" s="59" t="n">
        <f aca="false">F27-H27</f>
        <v>218</v>
      </c>
      <c r="H27" s="58" t="n">
        <v>0</v>
      </c>
      <c r="I27" s="9"/>
      <c r="J27" s="0"/>
      <c r="K27" s="0"/>
      <c r="M27" s="0"/>
      <c r="N27" s="0"/>
      <c r="Q27" s="0"/>
    </row>
    <row r="28" customFormat="false" ht="23.95" hidden="false" customHeight="true" outlineLevel="0" collapsed="false">
      <c r="A28" s="0" t="n">
        <v>31</v>
      </c>
      <c r="B28" s="31" t="n">
        <v>38169</v>
      </c>
      <c r="C28" s="56" t="n">
        <v>3560</v>
      </c>
      <c r="D28" s="57" t="s">
        <v>42</v>
      </c>
      <c r="E28" s="33" t="n">
        <f aca="false">IF(D28="totale",(C28/(A28*24))/F28,IF(D28="marché libre",(C28/(A28*24))/G28,"spécifier histo"))</f>
        <v>0.0219492946631153</v>
      </c>
      <c r="F28" s="15" t="n">
        <v>218</v>
      </c>
      <c r="G28" s="59" t="n">
        <f aca="false">F28-H28</f>
        <v>218</v>
      </c>
      <c r="H28" s="58" t="n">
        <v>0</v>
      </c>
      <c r="I28" s="9"/>
      <c r="J28" s="0"/>
      <c r="K28" s="0"/>
      <c r="M28" s="0"/>
      <c r="N28" s="0"/>
      <c r="Q28" s="0"/>
    </row>
    <row r="29" customFormat="false" ht="23.95" hidden="false" customHeight="true" outlineLevel="0" collapsed="false">
      <c r="A29" s="0" t="n">
        <v>31</v>
      </c>
      <c r="B29" s="34" t="n">
        <v>38200</v>
      </c>
      <c r="C29" s="56" t="n">
        <v>0</v>
      </c>
      <c r="D29" s="57" t="s">
        <v>42</v>
      </c>
      <c r="E29" s="33" t="n">
        <f aca="false">IF(D29="totale",(C29/(A29*24))/F29,IF(D29="marché libre",(C29/(A29*24))/G29,"spécifier histo"))</f>
        <v>0</v>
      </c>
      <c r="F29" s="15" t="n">
        <v>218</v>
      </c>
      <c r="G29" s="59" t="n">
        <f aca="false">F29-H29</f>
        <v>218</v>
      </c>
      <c r="H29" s="58" t="n">
        <v>0</v>
      </c>
      <c r="I29" s="9"/>
      <c r="J29" s="0"/>
      <c r="K29" s="0"/>
      <c r="M29" s="0"/>
      <c r="N29" s="0"/>
      <c r="Q29" s="0"/>
    </row>
    <row r="30" customFormat="false" ht="23.95" hidden="false" customHeight="true" outlineLevel="0" collapsed="false">
      <c r="A30" s="0" t="n">
        <v>30</v>
      </c>
      <c r="B30" s="31" t="n">
        <v>38231</v>
      </c>
      <c r="C30" s="56" t="n">
        <v>0</v>
      </c>
      <c r="D30" s="57" t="s">
        <v>42</v>
      </c>
      <c r="E30" s="33" t="n">
        <f aca="false">IF(D30="totale",(C30/(A30*24))/F30,IF(D30="marché libre",(C30/(A30*24))/G30,"spécifier histo"))</f>
        <v>0</v>
      </c>
      <c r="F30" s="15" t="n">
        <v>218</v>
      </c>
      <c r="G30" s="59" t="n">
        <f aca="false">F30-H30</f>
        <v>218</v>
      </c>
      <c r="H30" s="58" t="n">
        <v>0</v>
      </c>
      <c r="I30" s="9"/>
      <c r="J30" s="0"/>
      <c r="K30" s="0"/>
      <c r="M30" s="0"/>
      <c r="N30" s="0"/>
      <c r="Q30" s="0"/>
    </row>
    <row r="31" customFormat="false" ht="23.95" hidden="false" customHeight="true" outlineLevel="0" collapsed="false">
      <c r="A31" s="0" t="n">
        <v>31</v>
      </c>
      <c r="B31" s="34" t="n">
        <v>38261</v>
      </c>
      <c r="C31" s="56" t="n">
        <v>45320</v>
      </c>
      <c r="D31" s="57" t="s">
        <v>42</v>
      </c>
      <c r="E31" s="33" t="n">
        <f aca="false">IF(D31="totale",(C31/(A31*24))/F31,IF(D31="marché libre",(C31/(A31*24))/G31,"spécifier histo"))</f>
        <v>0.279421919700108</v>
      </c>
      <c r="F31" s="15" t="n">
        <v>218</v>
      </c>
      <c r="G31" s="59" t="n">
        <f aca="false">F31-H31</f>
        <v>218</v>
      </c>
      <c r="H31" s="58" t="n">
        <v>0</v>
      </c>
      <c r="I31" s="9"/>
      <c r="J31" s="0"/>
      <c r="K31" s="0"/>
      <c r="M31" s="0"/>
      <c r="N31" s="0"/>
      <c r="Q31" s="0"/>
    </row>
    <row r="32" customFormat="false" ht="23.95" hidden="false" customHeight="true" outlineLevel="0" collapsed="false">
      <c r="A32" s="0" t="n">
        <v>30</v>
      </c>
      <c r="B32" s="31" t="n">
        <v>38292</v>
      </c>
      <c r="C32" s="56" t="n">
        <v>39920</v>
      </c>
      <c r="D32" s="57" t="s">
        <v>42</v>
      </c>
      <c r="E32" s="33" t="n">
        <f aca="false">IF(D32="totale",(C32/(A32*24))/F32,IF(D32="marché libre",(C32/(A32*24))/G32,"spécifier histo"))</f>
        <v>0.254332313965341</v>
      </c>
      <c r="F32" s="15" t="n">
        <v>218</v>
      </c>
      <c r="G32" s="59" t="n">
        <f aca="false">F32-H32</f>
        <v>218</v>
      </c>
      <c r="H32" s="58" t="n">
        <v>0</v>
      </c>
      <c r="I32" s="9"/>
      <c r="J32" s="0"/>
      <c r="K32" s="0"/>
      <c r="M32" s="0"/>
      <c r="N32" s="0"/>
      <c r="Q32" s="0"/>
    </row>
    <row r="33" customFormat="false" ht="23.95" hidden="false" customHeight="true" outlineLevel="0" collapsed="false">
      <c r="A33" s="0" t="n">
        <v>31</v>
      </c>
      <c r="B33" s="34" t="n">
        <v>38322</v>
      </c>
      <c r="C33" s="56" t="n">
        <v>47640</v>
      </c>
      <c r="D33" s="57" t="s">
        <v>42</v>
      </c>
      <c r="E33" s="33" t="n">
        <f aca="false">IF(D33="totale",(C33/(A33*24))/F33,IF(D33="marché libre",(C33/(A33*24))/G33,"spécifier histo"))</f>
        <v>0.293725954424386</v>
      </c>
      <c r="F33" s="15" t="n">
        <v>218</v>
      </c>
      <c r="G33" s="59" t="n">
        <f aca="false">F33-H33</f>
        <v>218</v>
      </c>
      <c r="H33" s="58" t="n">
        <v>0</v>
      </c>
      <c r="I33" s="9"/>
      <c r="J33" s="0"/>
      <c r="K33" s="0"/>
      <c r="M33" s="0"/>
      <c r="N33" s="0"/>
      <c r="Q33" s="0"/>
    </row>
    <row r="34" customFormat="false" ht="21.7" hidden="false" customHeight="true" outlineLevel="0" collapsed="false">
      <c r="A34" s="0" t="n">
        <v>31</v>
      </c>
      <c r="B34" s="31" t="n">
        <v>38353</v>
      </c>
      <c r="C34" s="56" t="n">
        <v>77920</v>
      </c>
      <c r="D34" s="57" t="s">
        <v>42</v>
      </c>
      <c r="E34" s="33" t="n">
        <f aca="false">IF(D34="totale",(C34/(A34*24))/F34,IF(D34="marché libre",(C34/(A34*24))/G34,"spécifier histo"))</f>
        <v>0.480418269705041</v>
      </c>
      <c r="F34" s="15" t="n">
        <v>218</v>
      </c>
      <c r="G34" s="59" t="n">
        <f aca="false">F34-H34</f>
        <v>218</v>
      </c>
      <c r="H34" s="58" t="n">
        <v>0</v>
      </c>
      <c r="I34" s="9"/>
      <c r="J34" s="0"/>
      <c r="K34" s="0"/>
      <c r="M34" s="0"/>
      <c r="N34" s="0"/>
      <c r="Q34" s="0"/>
    </row>
    <row r="35" customFormat="false" ht="21.7" hidden="false" customHeight="true" outlineLevel="0" collapsed="false">
      <c r="A35" s="0" t="n">
        <v>28</v>
      </c>
      <c r="B35" s="34" t="n">
        <v>38384</v>
      </c>
      <c r="C35" s="56" t="n">
        <v>61760</v>
      </c>
      <c r="D35" s="57" t="s">
        <v>42</v>
      </c>
      <c r="E35" s="33" t="n">
        <f aca="false">IF(D35="totale",(C35/(A35*24))/F35,IF(D35="marché libre",(C35/(A35*24))/G35,"spécifier histo"))</f>
        <v>0.421581476627348</v>
      </c>
      <c r="F35" s="15" t="n">
        <v>218</v>
      </c>
      <c r="G35" s="59" t="n">
        <f aca="false">F35-H35</f>
        <v>218</v>
      </c>
      <c r="H35" s="58" t="n">
        <v>0</v>
      </c>
      <c r="I35" s="9"/>
      <c r="J35" s="0"/>
      <c r="M35" s="0"/>
      <c r="Q35" s="0"/>
    </row>
    <row r="36" customFormat="false" ht="21.7" hidden="false" customHeight="true" outlineLevel="0" collapsed="false">
      <c r="A36" s="0" t="n">
        <v>31</v>
      </c>
      <c r="B36" s="31" t="n">
        <v>38412</v>
      </c>
      <c r="C36" s="56" t="n">
        <v>36880</v>
      </c>
      <c r="D36" s="57" t="s">
        <v>42</v>
      </c>
      <c r="E36" s="33" t="n">
        <f aca="false">IF(D36="totale",(C36/(A36*24))/F36,IF(D36="marché libre",(C36/(A36*24))/G36,"spécifier histo"))</f>
        <v>0.227384827858341</v>
      </c>
      <c r="F36" s="15" t="n">
        <v>218</v>
      </c>
      <c r="G36" s="59" t="n">
        <f aca="false">F36-H36</f>
        <v>218</v>
      </c>
      <c r="H36" s="58" t="n">
        <v>0</v>
      </c>
      <c r="I36" s="9"/>
      <c r="J36" s="0"/>
      <c r="M36" s="0"/>
      <c r="Q36" s="0"/>
    </row>
    <row r="37" customFormat="false" ht="21.7" hidden="false" customHeight="true" outlineLevel="0" collapsed="false">
      <c r="A37" s="0" t="n">
        <v>30</v>
      </c>
      <c r="B37" s="34" t="n">
        <v>38443</v>
      </c>
      <c r="C37" s="56" t="n">
        <v>4560</v>
      </c>
      <c r="D37" s="57" t="s">
        <v>42</v>
      </c>
      <c r="E37" s="33" t="n">
        <f aca="false">IF(D37="totale",(C37/(A37*24))/F37,IF(D37="marché libre",(C37/(A37*24))/G37,"spécifier histo"))</f>
        <v>0.0290519877675841</v>
      </c>
      <c r="F37" s="15" t="n">
        <v>218</v>
      </c>
      <c r="G37" s="59" t="n">
        <f aca="false">F37-H37</f>
        <v>218</v>
      </c>
      <c r="H37" s="58" t="n">
        <v>0</v>
      </c>
      <c r="I37" s="9"/>
      <c r="J37" s="0"/>
      <c r="M37" s="0"/>
      <c r="Q37" s="0"/>
    </row>
    <row r="38" customFormat="false" ht="21.7" hidden="false" customHeight="true" outlineLevel="0" collapsed="false">
      <c r="A38" s="0" t="n">
        <v>31</v>
      </c>
      <c r="B38" s="31" t="n">
        <v>38473</v>
      </c>
      <c r="C38" s="56" t="n">
        <v>0</v>
      </c>
      <c r="D38" s="57" t="s">
        <v>42</v>
      </c>
      <c r="E38" s="33" t="n">
        <f aca="false">IF(D38="totale",(C38/(A38*24))/F38,IF(D38="marché libre",(C38/(A38*24))/G38,"spécifier histo"))</f>
        <v>0</v>
      </c>
      <c r="F38" s="15" t="n">
        <v>218</v>
      </c>
      <c r="G38" s="59" t="n">
        <f aca="false">F38-H38</f>
        <v>218</v>
      </c>
      <c r="H38" s="58" t="n">
        <v>0</v>
      </c>
      <c r="I38" s="9"/>
      <c r="J38" s="0"/>
      <c r="M38" s="0"/>
      <c r="Q38" s="0"/>
    </row>
    <row r="39" customFormat="false" ht="21.7" hidden="false" customHeight="true" outlineLevel="0" collapsed="false">
      <c r="A39" s="0" t="n">
        <v>30</v>
      </c>
      <c r="B39" s="34" t="n">
        <v>38504</v>
      </c>
      <c r="C39" s="56" t="n">
        <v>0</v>
      </c>
      <c r="D39" s="57" t="s">
        <v>42</v>
      </c>
      <c r="E39" s="33" t="n">
        <f aca="false">IF(D39="totale",(C39/(A39*24))/F39,IF(D39="marché libre",(C39/(A39*24))/G39,"spécifier histo"))</f>
        <v>0</v>
      </c>
      <c r="F39" s="15" t="n">
        <v>218</v>
      </c>
      <c r="G39" s="59" t="n">
        <f aca="false">F39-H39</f>
        <v>218</v>
      </c>
      <c r="H39" s="58" t="n">
        <v>0</v>
      </c>
      <c r="I39" s="9"/>
      <c r="J39" s="0"/>
      <c r="M39" s="0"/>
      <c r="Q39" s="0"/>
    </row>
    <row r="40" customFormat="false" ht="21.7" hidden="false" customHeight="true" outlineLevel="0" collapsed="false">
      <c r="A40" s="0" t="n">
        <v>31</v>
      </c>
      <c r="B40" s="31" t="n">
        <v>38534</v>
      </c>
      <c r="C40" s="56" t="n">
        <v>44</v>
      </c>
      <c r="D40" s="57" t="s">
        <v>42</v>
      </c>
      <c r="E40" s="33" t="n">
        <f aca="false">IF(D40="totale",(C40/(A40*24))/F40,IF(D40="marché libre",(C40/(A40*24))/G40,"spécifier histo"))</f>
        <v>0.000271283417184571</v>
      </c>
      <c r="F40" s="15" t="n">
        <v>218</v>
      </c>
      <c r="G40" s="59" t="n">
        <f aca="false">F40-H40</f>
        <v>218</v>
      </c>
      <c r="H40" s="58" t="n">
        <v>0</v>
      </c>
      <c r="I40" s="9"/>
      <c r="J40" s="0"/>
      <c r="M40" s="0"/>
      <c r="Q40" s="0"/>
    </row>
    <row r="41" customFormat="false" ht="21.7" hidden="false" customHeight="true" outlineLevel="0" collapsed="false">
      <c r="A41" s="0" t="n">
        <v>31</v>
      </c>
      <c r="B41" s="34" t="n">
        <v>38565</v>
      </c>
      <c r="C41" s="56" t="n">
        <v>0</v>
      </c>
      <c r="D41" s="57" t="s">
        <v>42</v>
      </c>
      <c r="E41" s="33" t="n">
        <f aca="false">IF(D41="totale",(C41/(A41*24))/F41,IF(D41="marché libre",(C41/(A41*24))/G41,"spécifier histo"))</f>
        <v>0</v>
      </c>
      <c r="F41" s="15" t="n">
        <v>218</v>
      </c>
      <c r="G41" s="59" t="n">
        <f aca="false">F41-H41</f>
        <v>218</v>
      </c>
      <c r="H41" s="58" t="n">
        <v>0</v>
      </c>
      <c r="I41" s="9"/>
      <c r="J41" s="0"/>
      <c r="M41" s="0"/>
      <c r="Q41" s="0"/>
    </row>
    <row r="42" customFormat="false" ht="21.7" hidden="false" customHeight="true" outlineLevel="0" collapsed="false">
      <c r="A42" s="0" t="n">
        <v>30</v>
      </c>
      <c r="B42" s="31" t="n">
        <v>38596</v>
      </c>
      <c r="C42" s="56" t="n">
        <v>0</v>
      </c>
      <c r="D42" s="57" t="s">
        <v>42</v>
      </c>
      <c r="E42" s="33" t="n">
        <f aca="false">IF(D42="totale",(C42/(A42*24))/F42,IF(D42="marché libre",(C42/(A42*24))/G42,"spécifier histo"))</f>
        <v>0</v>
      </c>
      <c r="F42" s="15" t="n">
        <v>218</v>
      </c>
      <c r="G42" s="59" t="n">
        <f aca="false">F42-H42</f>
        <v>218</v>
      </c>
      <c r="H42" s="58" t="n">
        <v>0</v>
      </c>
      <c r="I42" s="9"/>
      <c r="J42" s="0"/>
      <c r="M42" s="0"/>
      <c r="Q42" s="0"/>
    </row>
    <row r="43" customFormat="false" ht="21.7" hidden="false" customHeight="true" outlineLevel="0" collapsed="false">
      <c r="A43" s="0" t="n">
        <v>31</v>
      </c>
      <c r="B43" s="34" t="n">
        <v>38626</v>
      </c>
      <c r="C43" s="56" t="n">
        <v>0</v>
      </c>
      <c r="D43" s="57" t="s">
        <v>42</v>
      </c>
      <c r="E43" s="33" t="n">
        <f aca="false">IF(D43="totale",(C43/(A43*24))/F43,IF(D43="marché libre",(C43/(A43*24))/G43,"spécifier histo"))</f>
        <v>0</v>
      </c>
      <c r="F43" s="15" t="n">
        <v>218</v>
      </c>
      <c r="G43" s="59" t="n">
        <f aca="false">F43-H43</f>
        <v>218</v>
      </c>
      <c r="H43" s="58" t="n">
        <v>0</v>
      </c>
      <c r="I43" s="9"/>
      <c r="J43" s="0"/>
      <c r="M43" s="0"/>
      <c r="Q43" s="0"/>
    </row>
    <row r="44" customFormat="false" ht="21.7" hidden="false" customHeight="true" outlineLevel="0" collapsed="false">
      <c r="A44" s="0" t="n">
        <v>30</v>
      </c>
      <c r="B44" s="31" t="n">
        <v>38657</v>
      </c>
      <c r="C44" s="56" t="n">
        <v>18187</v>
      </c>
      <c r="D44" s="57" t="s">
        <v>42</v>
      </c>
      <c r="E44" s="33" t="n">
        <f aca="false">IF(D44="totale",(C44/(A44*24))/F44,IF(D44="marché libre",(C44/(A44*24))/G44,"spécifier histo"))</f>
        <v>0.115870285423038</v>
      </c>
      <c r="F44" s="15" t="n">
        <v>218</v>
      </c>
      <c r="G44" s="59" t="n">
        <f aca="false">F44-H44</f>
        <v>218</v>
      </c>
      <c r="H44" s="58" t="n">
        <v>0</v>
      </c>
      <c r="I44" s="9"/>
      <c r="J44" s="0"/>
      <c r="M44" s="0"/>
      <c r="Q44" s="0"/>
    </row>
    <row r="45" customFormat="false" ht="21.7" hidden="false" customHeight="true" outlineLevel="0" collapsed="false">
      <c r="A45" s="0" t="n">
        <v>31</v>
      </c>
      <c r="B45" s="34" t="n">
        <v>38687</v>
      </c>
      <c r="C45" s="56" t="n">
        <v>74069</v>
      </c>
      <c r="D45" s="57" t="s">
        <v>42</v>
      </c>
      <c r="E45" s="33" t="n">
        <f aca="false">IF(D45="totale",(C45/(A45*24))/F45,IF(D45="marché libre",(C45/(A45*24))/G45,"spécifier histo"))</f>
        <v>0.456674805169182</v>
      </c>
      <c r="F45" s="15" t="n">
        <v>218</v>
      </c>
      <c r="G45" s="59" t="n">
        <f aca="false">F45-H45</f>
        <v>218</v>
      </c>
      <c r="H45" s="58" t="n">
        <v>0</v>
      </c>
      <c r="I45" s="9"/>
      <c r="J45" s="0"/>
      <c r="M45" s="0"/>
      <c r="Q45" s="0"/>
    </row>
    <row r="46" customFormat="false" ht="21.7" hidden="false" customHeight="true" outlineLevel="0" collapsed="false">
      <c r="A46" s="0" t="n">
        <v>31</v>
      </c>
      <c r="B46" s="31" t="n">
        <v>38718</v>
      </c>
      <c r="C46" s="56" t="n">
        <v>60570</v>
      </c>
      <c r="D46" s="57" t="s">
        <v>42</v>
      </c>
      <c r="E46" s="33" t="n">
        <f aca="false">IF(D46="totale",(C46/(A46*24))/F46,IF(D46="marché libre",(C46/(A46*24))/G46,"spécifier histo"))</f>
        <v>0.373446285883397</v>
      </c>
      <c r="F46" s="15" t="n">
        <v>218</v>
      </c>
      <c r="G46" s="59" t="n">
        <f aca="false">F46-H46</f>
        <v>218</v>
      </c>
      <c r="H46" s="58" t="n">
        <v>0</v>
      </c>
      <c r="I46" s="9"/>
      <c r="J46" s="0"/>
      <c r="M46" s="0"/>
      <c r="Q46" s="0"/>
    </row>
    <row r="47" customFormat="false" ht="21.7" hidden="false" customHeight="true" outlineLevel="0" collapsed="false">
      <c r="A47" s="0" t="n">
        <v>28</v>
      </c>
      <c r="B47" s="34" t="n">
        <v>38749</v>
      </c>
      <c r="C47" s="56" t="n">
        <v>54760</v>
      </c>
      <c r="D47" s="57" t="s">
        <v>42</v>
      </c>
      <c r="E47" s="33" t="n">
        <f aca="false">IF(D47="totale",(C47/(A47*24))/F47,IF(D47="marché libre",(C47/(A47*24))/G47,"spécifier histo"))</f>
        <v>0.373798602009611</v>
      </c>
      <c r="F47" s="15" t="n">
        <v>218</v>
      </c>
      <c r="G47" s="59" t="n">
        <f aca="false">F47-H47</f>
        <v>218</v>
      </c>
      <c r="H47" s="58" t="n">
        <v>0</v>
      </c>
      <c r="I47" s="9"/>
      <c r="J47" s="30"/>
      <c r="M47" s="0"/>
      <c r="Q47" s="0"/>
    </row>
    <row r="48" customFormat="false" ht="21.7" hidden="false" customHeight="true" outlineLevel="0" collapsed="false">
      <c r="A48" s="0" t="n">
        <v>31</v>
      </c>
      <c r="B48" s="31" t="n">
        <v>38777</v>
      </c>
      <c r="C48" s="56" t="n">
        <v>105263</v>
      </c>
      <c r="D48" s="57" t="s">
        <v>42</v>
      </c>
      <c r="E48" s="33" t="n">
        <f aca="false">IF(D48="totale",(C48/(A48*24))/F48,IF(D48="marché libre",(C48/(A48*24))/G48,"spécifier histo"))</f>
        <v>0.649002416888626</v>
      </c>
      <c r="F48" s="15" t="n">
        <v>218</v>
      </c>
      <c r="G48" s="59" t="n">
        <f aca="false">F48-H48</f>
        <v>218</v>
      </c>
      <c r="H48" s="58" t="n">
        <v>0</v>
      </c>
      <c r="I48" s="9"/>
      <c r="J48" s="30"/>
      <c r="M48" s="0"/>
      <c r="Q48" s="0"/>
    </row>
    <row r="49" customFormat="false" ht="21.7" hidden="false" customHeight="true" outlineLevel="0" collapsed="false">
      <c r="A49" s="0" t="n">
        <v>30</v>
      </c>
      <c r="B49" s="34" t="n">
        <v>38808</v>
      </c>
      <c r="C49" s="56" t="n">
        <v>81803</v>
      </c>
      <c r="D49" s="57" t="s">
        <v>42</v>
      </c>
      <c r="E49" s="33" t="n">
        <f aca="false">IF(D49="totale",(C49/(A49*24))/F49,IF(D49="marché libre",(C49/(A49*24))/G49,"spécifier histo"))</f>
        <v>0.521170998980632</v>
      </c>
      <c r="F49" s="15" t="n">
        <v>218</v>
      </c>
      <c r="G49" s="59" t="n">
        <f aca="false">F49-H49</f>
        <v>218</v>
      </c>
      <c r="H49" s="58" t="n">
        <v>0</v>
      </c>
      <c r="I49" s="9"/>
      <c r="J49" s="30"/>
      <c r="M49" s="0"/>
      <c r="Q49" s="0"/>
    </row>
    <row r="50" customFormat="false" ht="21.7" hidden="false" customHeight="true" outlineLevel="0" collapsed="false">
      <c r="A50" s="0" t="n">
        <v>31</v>
      </c>
      <c r="B50" s="31" t="n">
        <v>38838</v>
      </c>
      <c r="C50" s="56" t="n">
        <v>6218</v>
      </c>
      <c r="D50" s="57" t="s">
        <v>42</v>
      </c>
      <c r="E50" s="33" t="n">
        <f aca="false">IF(D50="totale",(C50/(A50*24))/F50,IF(D50="marché libre",(C50/(A50*24))/G50,"spécifier histo"))</f>
        <v>0.0383372792739469</v>
      </c>
      <c r="F50" s="15" t="n">
        <v>218</v>
      </c>
      <c r="G50" s="59" t="n">
        <f aca="false">F50-H50</f>
        <v>218</v>
      </c>
      <c r="H50" s="58" t="n">
        <v>0</v>
      </c>
      <c r="I50" s="9"/>
      <c r="J50" s="30"/>
      <c r="M50" s="0"/>
      <c r="Q50" s="0"/>
    </row>
    <row r="51" customFormat="false" ht="21.7" hidden="false" customHeight="true" outlineLevel="0" collapsed="false">
      <c r="A51" s="0" t="n">
        <v>30</v>
      </c>
      <c r="B51" s="34" t="n">
        <v>38869</v>
      </c>
      <c r="C51" s="56" t="n">
        <v>0</v>
      </c>
      <c r="D51" s="57" t="s">
        <v>42</v>
      </c>
      <c r="E51" s="33" t="n">
        <f aca="false">IF(D51="totale",(C51/(A51*24))/F51,IF(D51="marché libre",(C51/(A51*24))/G51,"spécifier histo"))</f>
        <v>0</v>
      </c>
      <c r="F51" s="15" t="n">
        <v>218</v>
      </c>
      <c r="G51" s="59" t="n">
        <f aca="false">F51-H51</f>
        <v>218</v>
      </c>
      <c r="H51" s="58" t="n">
        <v>0</v>
      </c>
      <c r="I51" s="9"/>
      <c r="J51" s="30"/>
      <c r="M51" s="0"/>
      <c r="Q51" s="0"/>
    </row>
    <row r="52" customFormat="false" ht="21.7" hidden="false" customHeight="true" outlineLevel="0" collapsed="false">
      <c r="A52" s="0" t="n">
        <v>31</v>
      </c>
      <c r="B52" s="31" t="n">
        <v>38899</v>
      </c>
      <c r="C52" s="56" t="n">
        <v>0</v>
      </c>
      <c r="D52" s="57" t="s">
        <v>42</v>
      </c>
      <c r="E52" s="33" t="n">
        <f aca="false">IF(D52="totale",(C52/(A52*24))/F52,IF(D52="marché libre",(C52/(A52*24))/G52,"spécifier histo"))</f>
        <v>0</v>
      </c>
      <c r="F52" s="15" t="n">
        <v>218</v>
      </c>
      <c r="G52" s="59" t="n">
        <f aca="false">F52-H52</f>
        <v>218</v>
      </c>
      <c r="H52" s="58" t="n">
        <v>0</v>
      </c>
      <c r="I52" s="9"/>
      <c r="J52" s="30"/>
      <c r="M52" s="0"/>
      <c r="Q52" s="0"/>
    </row>
    <row r="53" customFormat="false" ht="21.7" hidden="false" customHeight="true" outlineLevel="0" collapsed="false">
      <c r="A53" s="0" t="n">
        <v>31</v>
      </c>
      <c r="B53" s="34" t="n">
        <v>38930</v>
      </c>
      <c r="C53" s="56" t="n">
        <v>0</v>
      </c>
      <c r="D53" s="57" t="s">
        <v>42</v>
      </c>
      <c r="E53" s="33" t="n">
        <f aca="false">IF(D53="totale",(C53/(A53*24))/F53,IF(D53="marché libre",(C53/(A53*24))/G53,"spécifier histo"))</f>
        <v>0</v>
      </c>
      <c r="F53" s="15" t="n">
        <v>218</v>
      </c>
      <c r="G53" s="59" t="n">
        <f aca="false">F53-H53</f>
        <v>218</v>
      </c>
      <c r="H53" s="58" t="n">
        <v>0</v>
      </c>
      <c r="I53" s="9"/>
      <c r="J53" s="30"/>
      <c r="M53" s="0"/>
      <c r="Q53" s="0"/>
    </row>
    <row r="54" customFormat="false" ht="21.7" hidden="false" customHeight="true" outlineLevel="0" collapsed="false">
      <c r="A54" s="0" t="n">
        <v>30</v>
      </c>
      <c r="B54" s="31" t="n">
        <v>38961</v>
      </c>
      <c r="C54" s="56" t="n">
        <v>0</v>
      </c>
      <c r="D54" s="57" t="s">
        <v>42</v>
      </c>
      <c r="E54" s="33" t="n">
        <f aca="false">IF(D54="totale",(C54/(A54*24))/F54,IF(D54="marché libre",(C54/(A54*24))/G54,"spécifier histo"))</f>
        <v>0</v>
      </c>
      <c r="F54" s="15" t="n">
        <v>218</v>
      </c>
      <c r="G54" s="59" t="n">
        <f aca="false">F54-H54</f>
        <v>218</v>
      </c>
      <c r="H54" s="58" t="n">
        <v>0</v>
      </c>
      <c r="I54" s="9"/>
      <c r="J54" s="30"/>
      <c r="M54" s="0"/>
      <c r="Q54" s="0"/>
    </row>
    <row r="55" customFormat="false" ht="21.7" hidden="false" customHeight="true" outlineLevel="0" collapsed="false">
      <c r="A55" s="0" t="n">
        <v>31</v>
      </c>
      <c r="B55" s="34" t="n">
        <v>38991</v>
      </c>
      <c r="C55" s="56" t="n">
        <v>0</v>
      </c>
      <c r="D55" s="57" t="s">
        <v>42</v>
      </c>
      <c r="E55" s="33" t="n">
        <f aca="false">IF(D55="totale",(C55/(A55*24))/F55,IF(D55="marché libre",(C55/(A55*24))/G55,"spécifier histo"))</f>
        <v>0</v>
      </c>
      <c r="F55" s="15" t="n">
        <v>218</v>
      </c>
      <c r="G55" s="59" t="n">
        <f aca="false">F55-H55</f>
        <v>218</v>
      </c>
      <c r="H55" s="58" t="n">
        <v>0</v>
      </c>
      <c r="I55" s="9"/>
      <c r="J55" s="30"/>
      <c r="M55" s="0"/>
      <c r="Q55" s="0"/>
    </row>
    <row r="56" customFormat="false" ht="21.7" hidden="false" customHeight="true" outlineLevel="0" collapsed="false">
      <c r="A56" s="0" t="n">
        <v>30</v>
      </c>
      <c r="B56" s="31" t="n">
        <v>39022</v>
      </c>
      <c r="C56" s="56" t="n">
        <v>18515</v>
      </c>
      <c r="D56" s="57" t="s">
        <v>42</v>
      </c>
      <c r="E56" s="33" t="n">
        <f aca="false">IF(D56="totale",(C56/(A56*24))/F56,IF(D56="marché libre",(C56/(A56*24))/G56,"spécifier histo"))</f>
        <v>0.11795998980632</v>
      </c>
      <c r="F56" s="15" t="n">
        <v>218</v>
      </c>
      <c r="G56" s="59" t="n">
        <f aca="false">F56-H56</f>
        <v>218</v>
      </c>
      <c r="H56" s="58" t="n">
        <v>0</v>
      </c>
      <c r="I56" s="9"/>
      <c r="J56" s="30"/>
      <c r="M56" s="0"/>
      <c r="Q56" s="0"/>
    </row>
    <row r="57" customFormat="false" ht="21.7" hidden="false" customHeight="true" outlineLevel="0" collapsed="false">
      <c r="A57" s="0" t="n">
        <v>31</v>
      </c>
      <c r="B57" s="34" t="n">
        <v>39052</v>
      </c>
      <c r="C57" s="56" t="n">
        <v>85121</v>
      </c>
      <c r="D57" s="57" t="s">
        <v>42</v>
      </c>
      <c r="E57" s="33" t="n">
        <f aca="false">IF(D57="totale",(C57/(A57*24))/F57,IF(D57="marché libre",(C57/(A57*24))/G57,"spécifier histo"))</f>
        <v>0.524816267140179</v>
      </c>
      <c r="F57" s="15" t="n">
        <v>218</v>
      </c>
      <c r="G57" s="59" t="n">
        <f aca="false">F57-H57</f>
        <v>218</v>
      </c>
      <c r="H57" s="58" t="n">
        <v>0</v>
      </c>
      <c r="I57" s="9"/>
      <c r="J57" s="30"/>
      <c r="M57" s="0"/>
      <c r="Q57" s="0"/>
    </row>
    <row r="58" customFormat="false" ht="21.7" hidden="false" customHeight="true" outlineLevel="0" collapsed="false">
      <c r="A58" s="0" t="n">
        <v>31</v>
      </c>
      <c r="B58" s="31" t="n">
        <v>39083</v>
      </c>
      <c r="C58" s="56" t="n">
        <v>110775</v>
      </c>
      <c r="D58" s="57" t="s">
        <v>42</v>
      </c>
      <c r="E58" s="33" t="n">
        <f aca="false">IF(D58="totale",(C58/(A58*24))/F58,IF(D58="marché libre",(C58/(A58*24))/G58,"spécifier histo"))</f>
        <v>0.682986830423202</v>
      </c>
      <c r="F58" s="15" t="n">
        <v>218</v>
      </c>
      <c r="G58" s="59" t="n">
        <f aca="false">F58-H58</f>
        <v>218</v>
      </c>
      <c r="H58" s="58" t="n">
        <v>0</v>
      </c>
      <c r="I58" s="9"/>
      <c r="J58" s="30"/>
      <c r="M58" s="0"/>
      <c r="Q58" s="0"/>
    </row>
    <row r="59" customFormat="false" ht="21.7" hidden="false" customHeight="true" outlineLevel="0" collapsed="false">
      <c r="A59" s="0" t="n">
        <v>28</v>
      </c>
      <c r="B59" s="34" t="n">
        <v>39114</v>
      </c>
      <c r="C59" s="56" t="n">
        <v>96010</v>
      </c>
      <c r="D59" s="57" t="s">
        <v>42</v>
      </c>
      <c r="E59" s="33" t="n">
        <f aca="false">IF(D59="totale",(C59/(A59*24))/F59,IF(D59="marché libre",(C59/(A59*24))/G59,"spécifier histo"))</f>
        <v>0.65537625600699</v>
      </c>
      <c r="F59" s="15" t="n">
        <v>218</v>
      </c>
      <c r="G59" s="59" t="n">
        <f aca="false">F59-H59</f>
        <v>218</v>
      </c>
      <c r="H59" s="58" t="n">
        <v>0</v>
      </c>
      <c r="I59" s="9"/>
      <c r="J59" s="30"/>
      <c r="M59" s="0"/>
    </row>
    <row r="60" customFormat="false" ht="21.7" hidden="false" customHeight="true" outlineLevel="0" collapsed="false">
      <c r="A60" s="0" t="n">
        <v>31</v>
      </c>
      <c r="B60" s="31" t="n">
        <v>39142</v>
      </c>
      <c r="C60" s="56" t="n">
        <v>108252</v>
      </c>
      <c r="D60" s="57" t="s">
        <v>42</v>
      </c>
      <c r="E60" s="33" t="n">
        <f aca="false">IF(D60="totale",(C60/(A60*24))/F60,IF(D60="marché libre",(C60/(A60*24))/G60,"spécifier histo"))</f>
        <v>0.66743119266055</v>
      </c>
      <c r="F60" s="15" t="n">
        <v>218</v>
      </c>
      <c r="G60" s="59" t="n">
        <f aca="false">F60-H60</f>
        <v>218</v>
      </c>
      <c r="H60" s="58" t="n">
        <v>0</v>
      </c>
      <c r="I60" s="9"/>
      <c r="J60" s="30"/>
      <c r="M60" s="0"/>
    </row>
    <row r="61" customFormat="false" ht="21.7" hidden="false" customHeight="true" outlineLevel="0" collapsed="false">
      <c r="A61" s="0" t="n">
        <v>30</v>
      </c>
      <c r="B61" s="34" t="n">
        <v>39173</v>
      </c>
      <c r="C61" s="56" t="n">
        <v>32175</v>
      </c>
      <c r="D61" s="57" t="s">
        <v>42</v>
      </c>
      <c r="E61" s="33" t="n">
        <f aca="false">IF(D61="totale",(C61/(A61*24))/F61,IF(D61="marché libre",(C61/(A61*24))/G61,"spécifier histo"))</f>
        <v>0.204988532110092</v>
      </c>
      <c r="F61" s="15" t="n">
        <v>218</v>
      </c>
      <c r="G61" s="59" t="n">
        <f aca="false">F61-H61</f>
        <v>218</v>
      </c>
      <c r="H61" s="58" t="n">
        <v>0</v>
      </c>
      <c r="I61" s="9"/>
      <c r="J61" s="30"/>
      <c r="M61" s="0"/>
    </row>
    <row r="62" customFormat="false" ht="21.7" hidden="false" customHeight="true" outlineLevel="0" collapsed="false">
      <c r="A62" s="0" t="n">
        <v>31</v>
      </c>
      <c r="B62" s="31" t="n">
        <v>39203</v>
      </c>
      <c r="C62" s="56" t="n">
        <v>0</v>
      </c>
      <c r="D62" s="57" t="s">
        <v>42</v>
      </c>
      <c r="E62" s="33" t="n">
        <f aca="false">IF(D62="totale",(C62/(A62*24))/F62,IF(D62="marché libre",(C62/(A62*24))/G62,"spécifier histo"))</f>
        <v>0</v>
      </c>
      <c r="F62" s="15" t="n">
        <v>218</v>
      </c>
      <c r="G62" s="59" t="n">
        <f aca="false">F62-H62</f>
        <v>218</v>
      </c>
      <c r="H62" s="58" t="n">
        <v>0</v>
      </c>
      <c r="I62" s="9"/>
      <c r="J62" s="30"/>
      <c r="M62" s="0"/>
    </row>
    <row r="63" customFormat="false" ht="21.7" hidden="false" customHeight="true" outlineLevel="0" collapsed="false">
      <c r="A63" s="0" t="n">
        <v>30</v>
      </c>
      <c r="B63" s="34" t="n">
        <v>39234</v>
      </c>
      <c r="C63" s="56" t="n">
        <v>0</v>
      </c>
      <c r="D63" s="57" t="s">
        <v>42</v>
      </c>
      <c r="E63" s="33" t="n">
        <f aca="false">IF(D63="totale",(C63/(A63*24))/F63,IF(D63="marché libre",(C63/(A63*24))/G63,"spécifier histo"))</f>
        <v>0</v>
      </c>
      <c r="F63" s="15" t="n">
        <v>218</v>
      </c>
      <c r="G63" s="59" t="n">
        <f aca="false">F63-H63</f>
        <v>218</v>
      </c>
      <c r="H63" s="58" t="n">
        <v>0</v>
      </c>
      <c r="I63" s="9"/>
      <c r="J63" s="30"/>
      <c r="M63" s="0"/>
    </row>
    <row r="64" customFormat="false" ht="21.7" hidden="false" customHeight="true" outlineLevel="0" collapsed="false">
      <c r="A64" s="0" t="n">
        <v>31</v>
      </c>
      <c r="B64" s="31" t="n">
        <v>39264</v>
      </c>
      <c r="C64" s="56" t="n">
        <v>0</v>
      </c>
      <c r="D64" s="57" t="s">
        <v>42</v>
      </c>
      <c r="E64" s="33" t="n">
        <f aca="false">IF(D64="totale",(C64/(A64*24))/F64,IF(D64="marché libre",(C64/(A64*24))/G64,"spécifier histo"))</f>
        <v>0</v>
      </c>
      <c r="F64" s="15" t="n">
        <v>218</v>
      </c>
      <c r="G64" s="59" t="n">
        <f aca="false">F64-H64</f>
        <v>218</v>
      </c>
      <c r="H64" s="58" t="n">
        <v>0</v>
      </c>
      <c r="I64" s="9"/>
      <c r="J64" s="30"/>
      <c r="M64" s="0"/>
    </row>
    <row r="65" customFormat="false" ht="21.7" hidden="false" customHeight="true" outlineLevel="0" collapsed="false">
      <c r="A65" s="0" t="n">
        <v>31</v>
      </c>
      <c r="B65" s="34" t="n">
        <v>39295</v>
      </c>
      <c r="C65" s="56" t="n">
        <v>0</v>
      </c>
      <c r="D65" s="57" t="s">
        <v>42</v>
      </c>
      <c r="E65" s="33" t="n">
        <f aca="false">IF(D65="totale",(C65/(A65*24))/F65,IF(D65="marché libre",(C65/(A65*24))/G65,"spécifier histo"))</f>
        <v>0</v>
      </c>
      <c r="F65" s="15" t="n">
        <v>218</v>
      </c>
      <c r="G65" s="59" t="n">
        <f aca="false">F65-H65</f>
        <v>218</v>
      </c>
      <c r="H65" s="58" t="n">
        <v>0</v>
      </c>
      <c r="I65" s="9"/>
      <c r="J65" s="30"/>
      <c r="M65" s="0"/>
    </row>
    <row r="66" customFormat="false" ht="21.7" hidden="false" customHeight="true" outlineLevel="0" collapsed="false">
      <c r="A66" s="0" t="n">
        <v>30</v>
      </c>
      <c r="B66" s="31" t="n">
        <v>39326</v>
      </c>
      <c r="C66" s="56" t="n">
        <v>0</v>
      </c>
      <c r="D66" s="57" t="s">
        <v>42</v>
      </c>
      <c r="E66" s="33" t="n">
        <f aca="false">IF(D66="totale",(C66/(A66*24))/F66,IF(D66="marché libre",(C66/(A66*24))/G66,"spécifier histo"))</f>
        <v>0</v>
      </c>
      <c r="F66" s="15" t="n">
        <v>218</v>
      </c>
      <c r="G66" s="59" t="n">
        <f aca="false">F66-H66</f>
        <v>218</v>
      </c>
      <c r="H66" s="58" t="n">
        <v>0</v>
      </c>
      <c r="I66" s="9"/>
      <c r="J66" s="30"/>
      <c r="M66" s="0"/>
    </row>
    <row r="67" customFormat="false" ht="21.7" hidden="false" customHeight="true" outlineLevel="0" collapsed="false">
      <c r="A67" s="0" t="n">
        <v>31</v>
      </c>
      <c r="B67" s="34" t="n">
        <v>39356</v>
      </c>
      <c r="C67" s="56" t="n">
        <v>0</v>
      </c>
      <c r="D67" s="57" t="s">
        <v>42</v>
      </c>
      <c r="E67" s="33" t="n">
        <f aca="false">IF(D67="totale",(C67/(A67*24))/F67,IF(D67="marché libre",(C67/(A67*24))/G67,"spécifier histo"))</f>
        <v>0</v>
      </c>
      <c r="F67" s="15" t="n">
        <v>218</v>
      </c>
      <c r="G67" s="59" t="n">
        <f aca="false">F67-H67</f>
        <v>218</v>
      </c>
      <c r="H67" s="58" t="n">
        <v>0</v>
      </c>
      <c r="I67" s="9"/>
      <c r="J67" s="30"/>
      <c r="M67" s="0"/>
    </row>
    <row r="68" customFormat="false" ht="21.7" hidden="false" customHeight="true" outlineLevel="0" collapsed="false">
      <c r="A68" s="0" t="n">
        <v>30</v>
      </c>
      <c r="B68" s="31" t="n">
        <v>39387</v>
      </c>
      <c r="C68" s="56" t="n">
        <v>5342</v>
      </c>
      <c r="D68" s="57" t="s">
        <v>42</v>
      </c>
      <c r="E68" s="33" t="n">
        <f aca="false">IF(D68="totale",(C68/(A68*24))/F68,IF(D68="marché libre",(C68/(A68*24))/G68,"spécifier histo"))</f>
        <v>0.0340341488277268</v>
      </c>
      <c r="F68" s="15" t="n">
        <v>218</v>
      </c>
      <c r="G68" s="59" t="n">
        <f aca="false">F68-H68</f>
        <v>218</v>
      </c>
      <c r="H68" s="58" t="n">
        <v>0</v>
      </c>
      <c r="I68" s="9"/>
      <c r="J68" s="30"/>
      <c r="M68" s="0"/>
    </row>
    <row r="69" customFormat="false" ht="21.7" hidden="false" customHeight="true" outlineLevel="0" collapsed="false">
      <c r="A69" s="0" t="n">
        <v>31</v>
      </c>
      <c r="B69" s="34" t="n">
        <v>39417</v>
      </c>
      <c r="C69" s="56" t="n">
        <v>45305</v>
      </c>
      <c r="D69" s="57" t="s">
        <v>42</v>
      </c>
      <c r="E69" s="33" t="n">
        <f aca="false">IF(D69="totale",(C69/(A69*24))/F69,IF(D69="marché libre",(C69/(A69*24))/G69,"spécifier histo"))</f>
        <v>0.279329436716977</v>
      </c>
      <c r="F69" s="15" t="n">
        <v>218</v>
      </c>
      <c r="G69" s="59" t="n">
        <f aca="false">F69-H69</f>
        <v>218</v>
      </c>
      <c r="H69" s="58" t="n">
        <v>0</v>
      </c>
      <c r="I69" s="9"/>
      <c r="J69" s="30"/>
      <c r="M69" s="0"/>
    </row>
    <row r="70" customFormat="false" ht="21.7" hidden="false" customHeight="true" outlineLevel="0" collapsed="false">
      <c r="A70" s="0" t="n">
        <v>31</v>
      </c>
      <c r="B70" s="31" t="n">
        <v>39448</v>
      </c>
      <c r="C70" s="56" t="n">
        <v>96907</v>
      </c>
      <c r="D70" s="57" t="s">
        <v>42</v>
      </c>
      <c r="E70" s="33" t="n">
        <f aca="false">IF(D70="totale",(C70/(A70*24))/F70,IF(D70="marché libre",(C70/(A70*24))/G70,"spécifier histo"))</f>
        <v>0.597483229752392</v>
      </c>
      <c r="F70" s="15" t="n">
        <v>218</v>
      </c>
      <c r="G70" s="59" t="n">
        <f aca="false">F70-H70</f>
        <v>218</v>
      </c>
      <c r="H70" s="58" t="n">
        <v>0</v>
      </c>
      <c r="I70" s="9"/>
      <c r="J70" s="30"/>
      <c r="M70" s="0"/>
    </row>
    <row r="71" customFormat="false" ht="21.7" hidden="false" customHeight="true" outlineLevel="0" collapsed="false">
      <c r="A71" s="0" t="n">
        <v>28</v>
      </c>
      <c r="B71" s="34" t="n">
        <v>39479</v>
      </c>
      <c r="C71" s="56" t="n">
        <v>86251</v>
      </c>
      <c r="D71" s="57" t="s">
        <v>42</v>
      </c>
      <c r="E71" s="33" t="n">
        <f aca="false">IF(D71="totale",(C71/(A71*24))/F71,IF(D71="marché libre",(C71/(A71*24))/G71,"spécifier histo"))</f>
        <v>0.588760102664919</v>
      </c>
      <c r="F71" s="15" t="n">
        <v>218</v>
      </c>
      <c r="G71" s="59" t="n">
        <f aca="false">F71-H71</f>
        <v>218</v>
      </c>
      <c r="H71" s="58" t="n">
        <v>0</v>
      </c>
      <c r="I71" s="9"/>
      <c r="J71" s="30"/>
      <c r="M71" s="0"/>
    </row>
    <row r="72" customFormat="false" ht="21.7" hidden="false" customHeight="true" outlineLevel="0" collapsed="false">
      <c r="A72" s="0" t="n">
        <v>31</v>
      </c>
      <c r="B72" s="31" t="n">
        <v>39508</v>
      </c>
      <c r="C72" s="56" t="n">
        <v>94755</v>
      </c>
      <c r="D72" s="57" t="s">
        <v>42</v>
      </c>
      <c r="E72" s="33" t="n">
        <f aca="false">IF(D72="totale",(C72/(A72*24))/F72,IF(D72="marché libre",(C72/(A72*24))/G72,"spécifier histo"))</f>
        <v>0.584215004439183</v>
      </c>
      <c r="F72" s="15" t="n">
        <v>218</v>
      </c>
      <c r="G72" s="59" t="n">
        <f aca="false">F72-H72</f>
        <v>218</v>
      </c>
      <c r="H72" s="58" t="n">
        <v>0</v>
      </c>
      <c r="I72" s="9"/>
      <c r="J72" s="30"/>
      <c r="M72" s="0"/>
    </row>
    <row r="73" customFormat="false" ht="21.7" hidden="false" customHeight="true" outlineLevel="0" collapsed="false">
      <c r="A73" s="0" t="n">
        <v>30</v>
      </c>
      <c r="B73" s="34" t="n">
        <v>39539</v>
      </c>
      <c r="C73" s="56" t="n">
        <v>56447</v>
      </c>
      <c r="D73" s="57" t="s">
        <v>42</v>
      </c>
      <c r="E73" s="33" t="n">
        <f aca="false">IF(D73="totale",(C73/(A73*24))/F73,IF(D73="marché libre",(C73/(A73*24))/G73,"spécifier histo"))</f>
        <v>0.359626656472987</v>
      </c>
      <c r="F73" s="15" t="n">
        <v>218</v>
      </c>
      <c r="G73" s="59" t="n">
        <f aca="false">F73-H73</f>
        <v>218</v>
      </c>
      <c r="H73" s="58" t="n">
        <v>0</v>
      </c>
      <c r="I73" s="9"/>
      <c r="J73" s="30"/>
      <c r="M73" s="0"/>
    </row>
    <row r="74" customFormat="false" ht="21.7" hidden="false" customHeight="true" outlineLevel="0" collapsed="false">
      <c r="A74" s="0" t="n">
        <v>31</v>
      </c>
      <c r="B74" s="31" t="n">
        <v>39569</v>
      </c>
      <c r="C74" s="56" t="n">
        <v>4931</v>
      </c>
      <c r="D74" s="57" t="s">
        <v>42</v>
      </c>
      <c r="E74" s="33" t="n">
        <f aca="false">IF(D74="totale",(C74/(A74*24))/F74,IF(D74="marché libre",(C74/(A74*24))/G74,"spécifier histo"))</f>
        <v>0.0304022393212982</v>
      </c>
      <c r="F74" s="15" t="n">
        <v>218</v>
      </c>
      <c r="G74" s="59" t="n">
        <f aca="false">F74-H74</f>
        <v>218</v>
      </c>
      <c r="H74" s="58" t="n">
        <v>0</v>
      </c>
      <c r="I74" s="9"/>
      <c r="J74" s="30"/>
      <c r="M74" s="0"/>
    </row>
    <row r="75" customFormat="false" ht="21.7" hidden="false" customHeight="true" outlineLevel="0" collapsed="false">
      <c r="A75" s="0" t="n">
        <v>30</v>
      </c>
      <c r="B75" s="34" t="n">
        <v>39600</v>
      </c>
      <c r="C75" s="56" t="n">
        <v>0</v>
      </c>
      <c r="D75" s="57" t="s">
        <v>42</v>
      </c>
      <c r="E75" s="33" t="n">
        <f aca="false">IF(D75="totale",(C75/(A75*24))/F75,IF(D75="marché libre",(C75/(A75*24))/G75,"spécifier histo"))</f>
        <v>0</v>
      </c>
      <c r="F75" s="15" t="n">
        <v>218</v>
      </c>
      <c r="G75" s="59" t="n">
        <f aca="false">F75-H75</f>
        <v>218</v>
      </c>
      <c r="H75" s="58" t="n">
        <v>0</v>
      </c>
      <c r="I75" s="9"/>
      <c r="J75" s="30"/>
      <c r="M75" s="0"/>
    </row>
    <row r="76" customFormat="false" ht="21.7" hidden="false" customHeight="true" outlineLevel="0" collapsed="false">
      <c r="A76" s="0" t="n">
        <v>31</v>
      </c>
      <c r="B76" s="31" t="n">
        <v>39630</v>
      </c>
      <c r="C76" s="56" t="n">
        <v>0</v>
      </c>
      <c r="D76" s="57" t="s">
        <v>42</v>
      </c>
      <c r="E76" s="33" t="n">
        <f aca="false">IF(D76="totale",(C76/(A76*24))/F76,IF(D76="marché libre",(C76/(A76*24))/G76,"spécifier histo"))</f>
        <v>0</v>
      </c>
      <c r="F76" s="15" t="n">
        <v>218</v>
      </c>
      <c r="G76" s="59" t="n">
        <f aca="false">F76-H76</f>
        <v>218</v>
      </c>
      <c r="H76" s="58" t="n">
        <v>0</v>
      </c>
      <c r="I76" s="9"/>
      <c r="J76" s="30"/>
      <c r="M76" s="0"/>
    </row>
    <row r="77" customFormat="false" ht="21.7" hidden="false" customHeight="true" outlineLevel="0" collapsed="false">
      <c r="A77" s="0" t="n">
        <v>31</v>
      </c>
      <c r="B77" s="34" t="n">
        <v>39661</v>
      </c>
      <c r="C77" s="56" t="n">
        <v>0</v>
      </c>
      <c r="D77" s="57" t="s">
        <v>42</v>
      </c>
      <c r="E77" s="33" t="n">
        <f aca="false">IF(D77="totale",(C77/(A77*24))/F77,IF(D77="marché libre",(C77/(A77*24))/G77,"spécifier histo"))</f>
        <v>0</v>
      </c>
      <c r="F77" s="15" t="n">
        <v>218</v>
      </c>
      <c r="G77" s="59" t="n">
        <f aca="false">F77-H77</f>
        <v>218</v>
      </c>
      <c r="H77" s="58" t="n">
        <v>0</v>
      </c>
      <c r="I77" s="9"/>
      <c r="J77" s="30"/>
      <c r="M77" s="0"/>
    </row>
    <row r="78" customFormat="false" ht="21.7" hidden="false" customHeight="true" outlineLevel="0" collapsed="false">
      <c r="A78" s="0" t="n">
        <v>30</v>
      </c>
      <c r="B78" s="31" t="n">
        <v>39692</v>
      </c>
      <c r="C78" s="56" t="n">
        <v>0</v>
      </c>
      <c r="D78" s="57" t="s">
        <v>42</v>
      </c>
      <c r="E78" s="33" t="n">
        <f aca="false">IF(D78="totale",(C78/(A78*24))/F78,IF(D78="marché libre",(C78/(A78*24))/G78,"spécifier histo"))</f>
        <v>0</v>
      </c>
      <c r="F78" s="15" t="n">
        <v>218</v>
      </c>
      <c r="G78" s="59" t="n">
        <f aca="false">F78-H78</f>
        <v>218</v>
      </c>
      <c r="H78" s="58" t="n">
        <v>0</v>
      </c>
      <c r="I78" s="9"/>
      <c r="J78" s="30"/>
      <c r="M78" s="0"/>
    </row>
    <row r="79" customFormat="false" ht="21.7" hidden="false" customHeight="true" outlineLevel="0" collapsed="false">
      <c r="A79" s="0" t="n">
        <v>31</v>
      </c>
      <c r="B79" s="34" t="n">
        <v>39722</v>
      </c>
      <c r="C79" s="56" t="n">
        <v>4204</v>
      </c>
      <c r="D79" s="57" t="s">
        <v>42</v>
      </c>
      <c r="E79" s="33" t="n">
        <f aca="false">IF(D79="totale",(C79/(A79*24))/F79,IF(D79="marché libre",(C79/(A79*24))/G79,"spécifier histo"))</f>
        <v>0.025919897405544</v>
      </c>
      <c r="F79" s="15" t="n">
        <v>218</v>
      </c>
      <c r="G79" s="59" t="n">
        <f aca="false">F79-H79</f>
        <v>218</v>
      </c>
      <c r="H79" s="58" t="n">
        <v>0</v>
      </c>
      <c r="I79" s="9"/>
      <c r="J79" s="30"/>
      <c r="M79" s="0"/>
    </row>
    <row r="80" customFormat="false" ht="21.7" hidden="false" customHeight="true" outlineLevel="0" collapsed="false">
      <c r="A80" s="0" t="n">
        <v>30</v>
      </c>
      <c r="B80" s="31" t="n">
        <v>39753</v>
      </c>
      <c r="C80" s="56" t="n">
        <v>39985</v>
      </c>
      <c r="D80" s="57" t="s">
        <v>42</v>
      </c>
      <c r="E80" s="33" t="n">
        <f aca="false">IF(D80="totale",(C80/(A80*24))/F80,IF(D80="marché libre",(C80/(A80*24))/G80,"spécifier histo"))</f>
        <v>0.254746432212029</v>
      </c>
      <c r="F80" s="15" t="n">
        <v>218</v>
      </c>
      <c r="G80" s="59" t="n">
        <f aca="false">F80-H80</f>
        <v>218</v>
      </c>
      <c r="H80" s="58" t="n">
        <v>0</v>
      </c>
      <c r="I80" s="9"/>
      <c r="J80" s="30"/>
      <c r="M80" s="0"/>
    </row>
    <row r="81" customFormat="false" ht="21.7" hidden="false" customHeight="true" outlineLevel="0" collapsed="false">
      <c r="A81" s="0" t="n">
        <v>31</v>
      </c>
      <c r="B81" s="34" t="n">
        <v>39783</v>
      </c>
      <c r="C81" s="56" t="n">
        <v>77004</v>
      </c>
      <c r="D81" s="57" t="s">
        <v>42</v>
      </c>
      <c r="E81" s="33" t="n">
        <f aca="false">IF(D81="totale",(C81/(A81*24))/F81,IF(D81="marché libre",(C81/(A81*24))/G81,"spécifier histo"))</f>
        <v>0.474770642201835</v>
      </c>
      <c r="F81" s="15" t="n">
        <v>218</v>
      </c>
      <c r="G81" s="59" t="n">
        <f aca="false">F81-H81</f>
        <v>218</v>
      </c>
      <c r="H81" s="58" t="n">
        <v>0</v>
      </c>
      <c r="I81" s="9"/>
      <c r="J81" s="30"/>
      <c r="M81" s="0"/>
    </row>
    <row r="82" customFormat="false" ht="21.7" hidden="false" customHeight="true" outlineLevel="0" collapsed="false">
      <c r="A82" s="0" t="n">
        <v>31</v>
      </c>
      <c r="B82" s="31" t="n">
        <v>39814</v>
      </c>
      <c r="C82" s="56" t="n">
        <v>64982</v>
      </c>
      <c r="D82" s="57" t="s">
        <v>42</v>
      </c>
      <c r="E82" s="33" t="n">
        <f aca="false">IF(D82="totale",(C82/(A82*24))/F82,IF(D82="marché libre",(C82/(A82*24))/G82,"spécifier histo"))</f>
        <v>0.400648613988359</v>
      </c>
      <c r="F82" s="15" t="n">
        <v>218</v>
      </c>
      <c r="G82" s="59" t="n">
        <f aca="false">F82-H82</f>
        <v>218</v>
      </c>
      <c r="H82" s="58" t="n">
        <v>0</v>
      </c>
      <c r="I82" s="9"/>
      <c r="J82" s="30"/>
      <c r="M82" s="0"/>
    </row>
    <row r="83" customFormat="false" ht="21.7" hidden="false" customHeight="true" outlineLevel="0" collapsed="false">
      <c r="A83" s="0" t="n">
        <v>28</v>
      </c>
      <c r="B83" s="34" t="n">
        <v>39845</v>
      </c>
      <c r="C83" s="56" t="n">
        <v>82310</v>
      </c>
      <c r="D83" s="57" t="s">
        <v>42</v>
      </c>
      <c r="E83" s="33" t="n">
        <f aca="false">IF(D83="totale",(C83/(A83*24))/F83,IF(D83="marché libre",(C83/(A83*24))/G83,"spécifier histo"))</f>
        <v>0.561858344255133</v>
      </c>
      <c r="F83" s="15" t="n">
        <v>218</v>
      </c>
      <c r="G83" s="59" t="n">
        <f aca="false">F83-H83</f>
        <v>218</v>
      </c>
      <c r="H83" s="58" t="n">
        <v>0</v>
      </c>
      <c r="I83" s="9"/>
      <c r="J83" s="30"/>
      <c r="M83" s="0"/>
    </row>
    <row r="84" customFormat="false" ht="21.7" hidden="false" customHeight="true" outlineLevel="0" collapsed="false">
      <c r="A84" s="0" t="n">
        <v>31</v>
      </c>
      <c r="B84" s="31" t="n">
        <v>39873</v>
      </c>
      <c r="C84" s="56" t="n">
        <v>65978</v>
      </c>
      <c r="D84" s="57" t="s">
        <v>42</v>
      </c>
      <c r="E84" s="33" t="n">
        <f aca="false">IF(D84="totale",(C84/(A84*24))/F84,IF(D84="marché libre",(C84/(A84*24))/G84,"spécifier histo"))</f>
        <v>0.406789484068265</v>
      </c>
      <c r="F84" s="15" t="n">
        <v>218</v>
      </c>
      <c r="G84" s="59" t="n">
        <f aca="false">F84-H84</f>
        <v>218</v>
      </c>
      <c r="H84" s="58" t="n">
        <v>0</v>
      </c>
      <c r="I84" s="9"/>
      <c r="J84" s="30"/>
      <c r="M84" s="0"/>
    </row>
    <row r="85" customFormat="false" ht="21.7" hidden="false" customHeight="true" outlineLevel="0" collapsed="false">
      <c r="A85" s="0" t="n">
        <v>30</v>
      </c>
      <c r="B85" s="34" t="n">
        <v>39904</v>
      </c>
      <c r="C85" s="56" t="n">
        <v>6447</v>
      </c>
      <c r="D85" s="57" t="s">
        <v>42</v>
      </c>
      <c r="E85" s="33" t="n">
        <f aca="false">IF(D85="totale",(C85/(A85*24))/F85,IF(D85="marché libre",(C85/(A85*24))/G85,"spécifier histo"))</f>
        <v>0.0410741590214067</v>
      </c>
      <c r="F85" s="15" t="n">
        <v>218</v>
      </c>
      <c r="G85" s="59" t="n">
        <f aca="false">F85-H85</f>
        <v>218</v>
      </c>
      <c r="H85" s="58" t="n">
        <v>0</v>
      </c>
      <c r="I85" s="9"/>
      <c r="J85" s="30"/>
      <c r="M85" s="0"/>
    </row>
    <row r="86" customFormat="false" ht="21.7" hidden="false" customHeight="true" outlineLevel="0" collapsed="false">
      <c r="A86" s="0" t="n">
        <v>31</v>
      </c>
      <c r="B86" s="31" t="n">
        <v>39934</v>
      </c>
      <c r="C86" s="56" t="n">
        <v>3501</v>
      </c>
      <c r="D86" s="57" t="s">
        <v>42</v>
      </c>
      <c r="E86" s="33" t="n">
        <f aca="false">IF(D86="totale",(C86/(A86*24))/F86,IF(D86="marché libre",(C86/(A86*24))/G86,"spécifier histo"))</f>
        <v>0.0215855282627996</v>
      </c>
      <c r="F86" s="15" t="n">
        <v>218</v>
      </c>
      <c r="G86" s="59" t="n">
        <f aca="false">F86-H86</f>
        <v>218</v>
      </c>
      <c r="H86" s="58" t="n">
        <v>0</v>
      </c>
      <c r="I86" s="9"/>
      <c r="J86" s="30"/>
      <c r="M86" s="0"/>
    </row>
    <row r="87" customFormat="false" ht="21.7" hidden="false" customHeight="true" outlineLevel="0" collapsed="false">
      <c r="A87" s="0" t="n">
        <v>30</v>
      </c>
      <c r="B87" s="34" t="n">
        <v>39965</v>
      </c>
      <c r="C87" s="56" t="n">
        <v>0</v>
      </c>
      <c r="D87" s="57" t="s">
        <v>42</v>
      </c>
      <c r="E87" s="33" t="n">
        <f aca="false">IF(D87="totale",(C87/(A87*24))/F87,IF(D87="marché libre",(C87/(A87*24))/G87,"spécifier histo"))</f>
        <v>0</v>
      </c>
      <c r="F87" s="15" t="n">
        <v>218</v>
      </c>
      <c r="G87" s="59" t="n">
        <f aca="false">F87-H87</f>
        <v>218</v>
      </c>
      <c r="H87" s="58" t="n">
        <v>0</v>
      </c>
      <c r="I87" s="9"/>
      <c r="J87" s="30"/>
      <c r="M87" s="0"/>
    </row>
    <row r="88" customFormat="false" ht="21.7" hidden="false" customHeight="true" outlineLevel="0" collapsed="false">
      <c r="A88" s="0" t="n">
        <v>31</v>
      </c>
      <c r="B88" s="31" t="n">
        <v>39995</v>
      </c>
      <c r="C88" s="56" t="n">
        <v>0</v>
      </c>
      <c r="D88" s="57" t="s">
        <v>42</v>
      </c>
      <c r="E88" s="33" t="n">
        <f aca="false">IF(D88="totale",(C88/(A88*24))/F88,IF(D88="marché libre",(C88/(A88*24))/G88,"spécifier histo"))</f>
        <v>0</v>
      </c>
      <c r="F88" s="15" t="n">
        <v>218</v>
      </c>
      <c r="G88" s="59" t="n">
        <f aca="false">F88-H88</f>
        <v>218</v>
      </c>
      <c r="H88" s="58" t="n">
        <v>0</v>
      </c>
      <c r="I88" s="9"/>
      <c r="J88" s="30"/>
      <c r="M88" s="0"/>
    </row>
    <row r="89" customFormat="false" ht="21.7" hidden="false" customHeight="true" outlineLevel="0" collapsed="false">
      <c r="A89" s="0" t="n">
        <v>31</v>
      </c>
      <c r="B89" s="34" t="n">
        <v>40026</v>
      </c>
      <c r="C89" s="56" t="n">
        <v>0</v>
      </c>
      <c r="D89" s="57" t="s">
        <v>42</v>
      </c>
      <c r="E89" s="33" t="n">
        <f aca="false">IF(D89="totale",(C89/(A89*24))/F89,IF(D89="marché libre",(C89/(A89*24))/G89,"spécifier histo"))</f>
        <v>0</v>
      </c>
      <c r="F89" s="15" t="n">
        <v>218</v>
      </c>
      <c r="G89" s="59" t="n">
        <f aca="false">F89-H89</f>
        <v>218</v>
      </c>
      <c r="H89" s="58" t="n">
        <v>0</v>
      </c>
      <c r="I89" s="9"/>
      <c r="J89" s="30"/>
      <c r="M89" s="0"/>
    </row>
    <row r="90" customFormat="false" ht="21.7" hidden="false" customHeight="true" outlineLevel="0" collapsed="false">
      <c r="A90" s="0" t="n">
        <v>30</v>
      </c>
      <c r="B90" s="31" t="n">
        <v>40057</v>
      </c>
      <c r="C90" s="56" t="n">
        <v>1</v>
      </c>
      <c r="D90" s="57" t="s">
        <v>42</v>
      </c>
      <c r="E90" s="33" t="n">
        <f aca="false">IF(D90="totale",(C90/(A90*24))/F90,IF(D90="marché libre",(C90/(A90*24))/G90,"spécifier histo"))</f>
        <v>6.3710499490316E-006</v>
      </c>
      <c r="F90" s="15" t="n">
        <v>218</v>
      </c>
      <c r="G90" s="59" t="n">
        <f aca="false">F90-H90</f>
        <v>218</v>
      </c>
      <c r="H90" s="58" t="n">
        <v>0</v>
      </c>
      <c r="I90" s="9"/>
      <c r="J90" s="30"/>
      <c r="M90" s="0"/>
    </row>
    <row r="91" customFormat="false" ht="21.7" hidden="false" customHeight="true" outlineLevel="0" collapsed="false">
      <c r="A91" s="0" t="n">
        <v>31</v>
      </c>
      <c r="B91" s="34" t="n">
        <v>40087</v>
      </c>
      <c r="C91" s="56" t="n">
        <v>0</v>
      </c>
      <c r="D91" s="57" t="s">
        <v>42</v>
      </c>
      <c r="E91" s="33" t="n">
        <f aca="false">IF(D91="totale",(C91/(A91*24))/F91,IF(D91="marché libre",(C91/(A91*24))/G91,"spécifier histo"))</f>
        <v>0</v>
      </c>
      <c r="F91" s="15" t="n">
        <v>218</v>
      </c>
      <c r="G91" s="59" t="n">
        <f aca="false">F91-H91</f>
        <v>218</v>
      </c>
      <c r="H91" s="58" t="n">
        <v>0</v>
      </c>
      <c r="I91" s="9"/>
      <c r="J91" s="30"/>
      <c r="M91" s="0"/>
    </row>
    <row r="92" customFormat="false" ht="21.7" hidden="false" customHeight="true" outlineLevel="0" collapsed="false">
      <c r="A92" s="0" t="n">
        <v>30</v>
      </c>
      <c r="B92" s="31" t="n">
        <v>40118</v>
      </c>
      <c r="C92" s="56" t="n">
        <v>47550</v>
      </c>
      <c r="D92" s="57" t="s">
        <v>42</v>
      </c>
      <c r="E92" s="33" t="n">
        <f aca="false">IF(D92="totale",(C92/(A92*24))/F92,IF(D92="marché libre",(C92/(A92*24))/G92,"spécifier histo"))</f>
        <v>0.302943425076453</v>
      </c>
      <c r="F92" s="15" t="n">
        <v>218</v>
      </c>
      <c r="G92" s="59" t="n">
        <f aca="false">F92-H92</f>
        <v>218</v>
      </c>
      <c r="H92" s="58" t="n">
        <v>0</v>
      </c>
      <c r="I92" s="9"/>
      <c r="J92" s="30"/>
      <c r="M92" s="0"/>
    </row>
    <row r="93" customFormat="false" ht="21.7" hidden="false" customHeight="true" outlineLevel="0" collapsed="false">
      <c r="A93" s="0" t="n">
        <v>31</v>
      </c>
      <c r="B93" s="34" t="n">
        <v>40148</v>
      </c>
      <c r="C93" s="56" t="n">
        <v>112051</v>
      </c>
      <c r="D93" s="57" t="s">
        <v>42</v>
      </c>
      <c r="E93" s="33" t="n">
        <f aca="false">IF(D93="totale",(C93/(A93*24))/F93,IF(D93="marché libre",(C93/(A93*24))/G93,"spécifier histo"))</f>
        <v>0.690854049521555</v>
      </c>
      <c r="F93" s="15" t="n">
        <v>218</v>
      </c>
      <c r="G93" s="59" t="n">
        <f aca="false">F93-H93</f>
        <v>218</v>
      </c>
      <c r="H93" s="58" t="n">
        <v>0</v>
      </c>
      <c r="I93" s="9"/>
      <c r="J93" s="30"/>
      <c r="M93" s="0"/>
    </row>
    <row r="94" customFormat="false" ht="19.45" hidden="false" customHeight="true" outlineLevel="0" collapsed="false">
      <c r="A94" s="0" t="n">
        <v>31</v>
      </c>
      <c r="B94" s="31" t="n">
        <v>40179</v>
      </c>
      <c r="C94" s="56" t="n">
        <v>108047</v>
      </c>
      <c r="D94" s="57" t="s">
        <v>42</v>
      </c>
      <c r="E94" s="33" t="n">
        <f aca="false">IF(D94="totale",(C94/(A94*24))/F94,IF(D94="marché libre",(C94/(A94*24))/G94,"spécifier histo"))</f>
        <v>0.666167258557759</v>
      </c>
      <c r="F94" s="15" t="n">
        <v>218</v>
      </c>
      <c r="G94" s="59" t="n">
        <f aca="false">F94-H94</f>
        <v>218</v>
      </c>
      <c r="H94" s="58" t="n">
        <v>0</v>
      </c>
      <c r="I94" s="9"/>
      <c r="J94" s="30"/>
      <c r="M94" s="0"/>
    </row>
    <row r="95" customFormat="false" ht="19.45" hidden="false" customHeight="true" outlineLevel="0" collapsed="false">
      <c r="A95" s="0" t="n">
        <v>28</v>
      </c>
      <c r="B95" s="34" t="n">
        <v>40210</v>
      </c>
      <c r="C95" s="56" t="n">
        <v>81782</v>
      </c>
      <c r="D95" s="57" t="s">
        <v>42</v>
      </c>
      <c r="E95" s="33" t="n">
        <f aca="false">IF(D95="totale",(C95/(A95*24))/F95,IF(D95="marché libre",(C95/(A95*24))/G95,"spécifier histo"))</f>
        <v>0.558254150283967</v>
      </c>
      <c r="F95" s="15" t="n">
        <v>218</v>
      </c>
      <c r="G95" s="59" t="n">
        <f aca="false">F95-H95</f>
        <v>218</v>
      </c>
      <c r="H95" s="58" t="n">
        <v>0</v>
      </c>
      <c r="I95" s="9"/>
      <c r="J95" s="30"/>
      <c r="M95" s="0"/>
    </row>
    <row r="96" customFormat="false" ht="19.45" hidden="false" customHeight="true" outlineLevel="0" collapsed="false">
      <c r="A96" s="0" t="n">
        <v>31</v>
      </c>
      <c r="B96" s="31" t="n">
        <v>40238</v>
      </c>
      <c r="C96" s="56" t="n">
        <v>101340</v>
      </c>
      <c r="D96" s="57" t="s">
        <v>42</v>
      </c>
      <c r="E96" s="33" t="n">
        <f aca="false">IF(D96="totale",(C96/(A96*24))/F96,IF(D96="marché libre",(C96/(A96*24))/G96,"spécifier histo"))</f>
        <v>0.624815034033738</v>
      </c>
      <c r="F96" s="15" t="n">
        <v>218</v>
      </c>
      <c r="G96" s="59" t="n">
        <f aca="false">F96-H96</f>
        <v>218</v>
      </c>
      <c r="H96" s="58" t="n">
        <v>0</v>
      </c>
      <c r="I96" s="9"/>
      <c r="J96" s="30"/>
      <c r="M96" s="0"/>
    </row>
    <row r="97" customFormat="false" ht="19.45" hidden="false" customHeight="true" outlineLevel="0" collapsed="false">
      <c r="A97" s="0" t="n">
        <v>30</v>
      </c>
      <c r="B97" s="34" t="n">
        <v>40269</v>
      </c>
      <c r="C97" s="56" t="n">
        <v>44707</v>
      </c>
      <c r="D97" s="57" t="s">
        <v>42</v>
      </c>
      <c r="E97" s="33" t="n">
        <f aca="false">IF(D97="totale",(C97/(A97*24))/F97,IF(D97="marché libre",(C97/(A97*24))/G97,"spécifier histo"))</f>
        <v>0.284830530071356</v>
      </c>
      <c r="F97" s="15" t="n">
        <v>218</v>
      </c>
      <c r="G97" s="59" t="n">
        <f aca="false">F97-H97</f>
        <v>218</v>
      </c>
      <c r="H97" s="58" t="n">
        <v>0</v>
      </c>
      <c r="I97" s="9"/>
      <c r="J97" s="30"/>
      <c r="M97" s="0"/>
    </row>
    <row r="98" customFormat="false" ht="19.45" hidden="false" customHeight="true" outlineLevel="0" collapsed="false">
      <c r="A98" s="0" t="n">
        <v>31</v>
      </c>
      <c r="B98" s="31" t="n">
        <v>40299</v>
      </c>
      <c r="C98" s="56" t="n">
        <v>3043</v>
      </c>
      <c r="D98" s="57" t="s">
        <v>42</v>
      </c>
      <c r="E98" s="33" t="n">
        <f aca="false">IF(D98="totale",(C98/(A98*24))/F98,IF(D98="marché libre",(C98/(A98*24))/G98,"spécifier histo"))</f>
        <v>0.0187617145111966</v>
      </c>
      <c r="F98" s="15" t="n">
        <v>218</v>
      </c>
      <c r="G98" s="59" t="n">
        <f aca="false">F98-H98</f>
        <v>218</v>
      </c>
      <c r="H98" s="58" t="n">
        <v>0</v>
      </c>
      <c r="I98" s="9"/>
      <c r="J98" s="30"/>
      <c r="M98" s="0"/>
    </row>
    <row r="99" customFormat="false" ht="19.45" hidden="false" customHeight="true" outlineLevel="0" collapsed="false">
      <c r="A99" s="0" t="n">
        <v>30</v>
      </c>
      <c r="B99" s="34" t="n">
        <v>40330</v>
      </c>
      <c r="C99" s="56" t="n">
        <v>1</v>
      </c>
      <c r="D99" s="57" t="s">
        <v>42</v>
      </c>
      <c r="E99" s="33" t="n">
        <f aca="false">IF(D99="totale",(C99/(A99*24))/F99,IF(D99="marché libre",(C99/(A99*24))/G99,"spécifier histo"))</f>
        <v>6.3710499490316E-006</v>
      </c>
      <c r="F99" s="15" t="n">
        <v>218</v>
      </c>
      <c r="G99" s="59" t="n">
        <f aca="false">F99-H99</f>
        <v>218</v>
      </c>
      <c r="H99" s="58" t="n">
        <v>0</v>
      </c>
      <c r="I99" s="9"/>
      <c r="J99" s="30"/>
      <c r="M99" s="0"/>
    </row>
    <row r="100" customFormat="false" ht="19.45" hidden="false" customHeight="true" outlineLevel="0" collapsed="false">
      <c r="A100" s="0" t="n">
        <v>31</v>
      </c>
      <c r="B100" s="31" t="n">
        <v>40360</v>
      </c>
      <c r="C100" s="56" t="n">
        <v>0</v>
      </c>
      <c r="D100" s="57" t="s">
        <v>42</v>
      </c>
      <c r="E100" s="33" t="n">
        <f aca="false">IF(D100="totale",(C100/(A100*24))/F100,IF(D100="marché libre",(C100/(A100*24))/G100,"spécifier histo"))</f>
        <v>0</v>
      </c>
      <c r="F100" s="15" t="n">
        <v>218</v>
      </c>
      <c r="G100" s="59" t="n">
        <f aca="false">F100-H100</f>
        <v>218</v>
      </c>
      <c r="H100" s="58" t="n">
        <v>0</v>
      </c>
      <c r="I100" s="9"/>
      <c r="J100" s="30"/>
      <c r="M100" s="0"/>
    </row>
    <row r="101" customFormat="false" ht="19.45" hidden="false" customHeight="true" outlineLevel="0" collapsed="false">
      <c r="A101" s="0" t="n">
        <v>31</v>
      </c>
      <c r="B101" s="34" t="n">
        <v>40391</v>
      </c>
      <c r="C101" s="56" t="n">
        <v>3</v>
      </c>
      <c r="D101" s="57" t="s">
        <v>42</v>
      </c>
      <c r="E101" s="33" t="n">
        <f aca="false">IF(D101="totale",(C101/(A101*24))/F101,IF(D101="marché libre",(C101/(A101*24))/G101,"spécifier histo"))</f>
        <v>1.84965966262208E-005</v>
      </c>
      <c r="F101" s="15" t="n">
        <v>218</v>
      </c>
      <c r="G101" s="59" t="n">
        <f aca="false">F101-H101</f>
        <v>218</v>
      </c>
      <c r="H101" s="58" t="n">
        <v>0</v>
      </c>
      <c r="I101" s="9"/>
      <c r="J101" s="30"/>
      <c r="M101" s="0"/>
    </row>
    <row r="102" customFormat="false" ht="19.45" hidden="false" customHeight="true" outlineLevel="0" collapsed="false">
      <c r="A102" s="0" t="n">
        <v>30</v>
      </c>
      <c r="B102" s="31" t="n">
        <v>40422</v>
      </c>
      <c r="C102" s="56" t="n">
        <v>17</v>
      </c>
      <c r="D102" s="57" t="s">
        <v>42</v>
      </c>
      <c r="E102" s="33" t="n">
        <f aca="false">IF(D102="totale",(C102/(A102*24))/F102,IF(D102="marché libre",(C102/(A102*24))/G102,"spécifier histo"))</f>
        <v>0.000108307849133537</v>
      </c>
      <c r="F102" s="15" t="n">
        <v>218</v>
      </c>
      <c r="G102" s="59" t="n">
        <f aca="false">F102-H102</f>
        <v>218</v>
      </c>
      <c r="H102" s="58" t="n">
        <v>0</v>
      </c>
      <c r="I102" s="9"/>
      <c r="J102" s="30"/>
      <c r="M102" s="0"/>
    </row>
    <row r="103" customFormat="false" ht="19.45" hidden="false" customHeight="true" outlineLevel="0" collapsed="false">
      <c r="A103" s="0" t="n">
        <v>31</v>
      </c>
      <c r="B103" s="34" t="n">
        <v>40452</v>
      </c>
      <c r="C103" s="56" t="n">
        <v>0</v>
      </c>
      <c r="D103" s="57" t="s">
        <v>42</v>
      </c>
      <c r="E103" s="33" t="n">
        <f aca="false">IF(D103="totale",(C103/(A103*24))/F103,IF(D103="marché libre",(C103/(A103*24))/G103,"spécifier histo"))</f>
        <v>0</v>
      </c>
      <c r="F103" s="15" t="n">
        <v>218</v>
      </c>
      <c r="G103" s="59" t="n">
        <f aca="false">F103-H103</f>
        <v>218</v>
      </c>
      <c r="H103" s="58" t="n">
        <v>0</v>
      </c>
      <c r="I103" s="9"/>
      <c r="J103" s="30"/>
      <c r="M103" s="0"/>
    </row>
    <row r="104" customFormat="false" ht="19.45" hidden="false" customHeight="true" outlineLevel="0" collapsed="false">
      <c r="A104" s="0" t="n">
        <v>30</v>
      </c>
      <c r="B104" s="31" t="n">
        <v>40483</v>
      </c>
      <c r="C104" s="56" t="n">
        <v>41450</v>
      </c>
      <c r="D104" s="57" t="s">
        <v>42</v>
      </c>
      <c r="E104" s="33" t="n">
        <f aca="false">IF(D104="totale",(C104/(A104*24))/F104,IF(D104="marché libre",(C104/(A104*24))/G104,"spécifier histo"))</f>
        <v>0.26408002038736</v>
      </c>
      <c r="F104" s="15" t="n">
        <v>218</v>
      </c>
      <c r="G104" s="59" t="n">
        <f aca="false">F104-H104</f>
        <v>218</v>
      </c>
      <c r="H104" s="58" t="n">
        <v>0</v>
      </c>
      <c r="I104" s="9"/>
      <c r="J104" s="30"/>
      <c r="M104" s="0"/>
    </row>
    <row r="105" customFormat="false" ht="19.45" hidden="false" customHeight="true" outlineLevel="0" collapsed="false">
      <c r="A105" s="0" t="n">
        <v>31</v>
      </c>
      <c r="B105" s="34" t="n">
        <v>40513</v>
      </c>
      <c r="C105" s="56" t="n">
        <v>55167</v>
      </c>
      <c r="D105" s="57" t="s">
        <v>42</v>
      </c>
      <c r="E105" s="33" t="n">
        <f aca="false">IF(D105="totale",(C105/(A105*24))/F105,IF(D105="marché libre",(C105/(A105*24))/G105,"spécifier histo"))</f>
        <v>0.340133915359574</v>
      </c>
      <c r="F105" s="15" t="n">
        <v>218</v>
      </c>
      <c r="G105" s="59" t="n">
        <f aca="false">F105-H105</f>
        <v>218</v>
      </c>
      <c r="H105" s="58" t="n">
        <v>0</v>
      </c>
      <c r="I105" s="9"/>
      <c r="J105" s="30"/>
      <c r="M105" s="0"/>
    </row>
    <row r="106" customFormat="false" ht="19.45" hidden="false" customHeight="true" outlineLevel="0" collapsed="false">
      <c r="A106" s="0" t="n">
        <v>31</v>
      </c>
      <c r="B106" s="31" t="n">
        <v>40544</v>
      </c>
      <c r="C106" s="56" t="n">
        <v>70927</v>
      </c>
      <c r="D106" s="57" t="s">
        <v>42</v>
      </c>
      <c r="E106" s="33" t="n">
        <f aca="false">IF(D106="totale",(C106/(A106*24))/F106,IF(D106="marché libre",(C106/(A106*24))/G106,"spécifier histo"))</f>
        <v>0.43730270296932</v>
      </c>
      <c r="F106" s="15" t="n">
        <v>218</v>
      </c>
      <c r="G106" s="59" t="n">
        <f aca="false">F106-H106</f>
        <v>218</v>
      </c>
      <c r="H106" s="58" t="n">
        <v>0</v>
      </c>
      <c r="I106" s="9"/>
      <c r="J106" s="30"/>
      <c r="M106" s="0"/>
    </row>
    <row r="107" customFormat="false" ht="19.45" hidden="false" customHeight="true" outlineLevel="0" collapsed="false">
      <c r="A107" s="0" t="n">
        <v>28</v>
      </c>
      <c r="B107" s="34" t="n">
        <v>40575</v>
      </c>
      <c r="C107" s="56" t="n">
        <v>50390</v>
      </c>
      <c r="D107" s="57" t="s">
        <v>42</v>
      </c>
      <c r="E107" s="33" t="n">
        <f aca="false">IF(D107="totale",(C107/(A107*24))/F107,IF(D107="marché libre",(C107/(A107*24))/G107,"spécifier histo"))</f>
        <v>0.343968435998253</v>
      </c>
      <c r="F107" s="15" t="n">
        <v>218</v>
      </c>
      <c r="G107" s="59" t="n">
        <f aca="false">F107-H107</f>
        <v>218</v>
      </c>
      <c r="H107" s="58" t="n">
        <v>0</v>
      </c>
      <c r="I107" s="9"/>
      <c r="J107" s="30"/>
    </row>
    <row r="108" customFormat="false" ht="19.45" hidden="false" customHeight="true" outlineLevel="0" collapsed="false">
      <c r="A108" s="0" t="n">
        <v>31</v>
      </c>
      <c r="B108" s="31" t="n">
        <v>40603</v>
      </c>
      <c r="C108" s="56" t="n">
        <v>28441</v>
      </c>
      <c r="D108" s="57" t="s">
        <v>42</v>
      </c>
      <c r="E108" s="33" t="n">
        <f aca="false">IF(D108="totale",(C108/(A108*24))/F108,IF(D108="marché libre",(C108/(A108*24))/G108,"spécifier histo"))</f>
        <v>0.175353901548782</v>
      </c>
      <c r="F108" s="15" t="n">
        <v>218</v>
      </c>
      <c r="G108" s="59" t="n">
        <f aca="false">F108-H108</f>
        <v>218</v>
      </c>
      <c r="H108" s="58" t="n">
        <v>0</v>
      </c>
      <c r="I108" s="9"/>
      <c r="J108" s="30"/>
    </row>
    <row r="109" customFormat="false" ht="19.45" hidden="false" customHeight="true" outlineLevel="0" collapsed="false">
      <c r="A109" s="0" t="n">
        <v>30</v>
      </c>
      <c r="B109" s="34" t="n">
        <v>40634</v>
      </c>
      <c r="C109" s="56" t="n">
        <v>2500</v>
      </c>
      <c r="D109" s="57" t="s">
        <v>42</v>
      </c>
      <c r="E109" s="33" t="n">
        <f aca="false">IF(D109="totale",(C109/(A109*24))/F109,IF(D109="marché libre",(C109/(A109*24))/G109,"spécifier histo"))</f>
        <v>0.015927624872579</v>
      </c>
      <c r="F109" s="15" t="n">
        <v>218</v>
      </c>
      <c r="G109" s="59" t="n">
        <f aca="false">F109-H109</f>
        <v>218</v>
      </c>
      <c r="H109" s="58" t="n">
        <v>0</v>
      </c>
      <c r="I109" s="9"/>
      <c r="J109" s="30"/>
    </row>
    <row r="110" customFormat="false" ht="19.45" hidden="false" customHeight="true" outlineLevel="0" collapsed="false">
      <c r="A110" s="0" t="n">
        <v>31</v>
      </c>
      <c r="B110" s="31" t="n">
        <v>40664</v>
      </c>
      <c r="C110" s="56" t="n">
        <v>0</v>
      </c>
      <c r="D110" s="57" t="s">
        <v>42</v>
      </c>
      <c r="E110" s="33" t="n">
        <f aca="false">IF(D110="totale",(C110/(A110*24))/F110,IF(D110="marché libre",(C110/(A110*24))/G110,"spécifier histo"))</f>
        <v>0</v>
      </c>
      <c r="F110" s="15" t="n">
        <v>218</v>
      </c>
      <c r="G110" s="59" t="n">
        <f aca="false">F110-H110</f>
        <v>218</v>
      </c>
      <c r="H110" s="58" t="n">
        <v>0</v>
      </c>
      <c r="I110" s="9"/>
      <c r="J110" s="30"/>
    </row>
    <row r="111" customFormat="false" ht="19.45" hidden="false" customHeight="true" outlineLevel="0" collapsed="false">
      <c r="A111" s="0" t="n">
        <v>30</v>
      </c>
      <c r="B111" s="34" t="n">
        <v>40695</v>
      </c>
      <c r="C111" s="56" t="n">
        <v>0</v>
      </c>
      <c r="D111" s="57" t="s">
        <v>42</v>
      </c>
      <c r="E111" s="33" t="n">
        <f aca="false">IF(D111="totale",(C111/(A111*24))/F111,IF(D111="marché libre",(C111/(A111*24))/G111,"spécifier histo"))</f>
        <v>0</v>
      </c>
      <c r="F111" s="15" t="n">
        <v>218</v>
      </c>
      <c r="G111" s="59" t="n">
        <f aca="false">F111-H111</f>
        <v>218</v>
      </c>
      <c r="H111" s="58" t="n">
        <v>0</v>
      </c>
      <c r="I111" s="9"/>
      <c r="J111" s="30"/>
    </row>
    <row r="112" customFormat="false" ht="19.45" hidden="false" customHeight="true" outlineLevel="0" collapsed="false">
      <c r="A112" s="0" t="n">
        <v>31</v>
      </c>
      <c r="B112" s="31" t="n">
        <v>40725</v>
      </c>
      <c r="C112" s="56" t="n">
        <v>0</v>
      </c>
      <c r="D112" s="57" t="s">
        <v>42</v>
      </c>
      <c r="E112" s="33" t="n">
        <f aca="false">IF(D112="totale",(C112/(A112*24))/F112,IF(D112="marché libre",(C112/(A112*24))/G112,"spécifier histo"))</f>
        <v>0</v>
      </c>
      <c r="F112" s="15" t="n">
        <v>218</v>
      </c>
      <c r="G112" s="59" t="n">
        <f aca="false">F112-H112</f>
        <v>218</v>
      </c>
      <c r="H112" s="58" t="n">
        <v>0</v>
      </c>
      <c r="I112" s="9"/>
      <c r="J112" s="30"/>
    </row>
    <row r="113" customFormat="false" ht="19.45" hidden="false" customHeight="true" outlineLevel="0" collapsed="false">
      <c r="A113" s="0" t="n">
        <v>31</v>
      </c>
      <c r="B113" s="34" t="n">
        <v>40756</v>
      </c>
      <c r="C113" s="56" t="n">
        <v>0</v>
      </c>
      <c r="D113" s="57" t="s">
        <v>42</v>
      </c>
      <c r="E113" s="33" t="n">
        <f aca="false">IF(D113="totale",(C113/(A113*24))/F113,IF(D113="marché libre",(C113/(A113*24))/G113,"spécifier histo"))</f>
        <v>0</v>
      </c>
      <c r="F113" s="15" t="n">
        <v>218</v>
      </c>
      <c r="G113" s="59" t="n">
        <f aca="false">F113-H113</f>
        <v>218</v>
      </c>
      <c r="H113" s="58" t="n">
        <v>0</v>
      </c>
      <c r="I113" s="9"/>
      <c r="J113" s="30"/>
    </row>
    <row r="114" customFormat="false" ht="19.45" hidden="false" customHeight="true" outlineLevel="0" collapsed="false">
      <c r="A114" s="0" t="n">
        <v>30</v>
      </c>
      <c r="B114" s="31" t="n">
        <v>40787</v>
      </c>
      <c r="C114" s="56" t="n">
        <v>0</v>
      </c>
      <c r="D114" s="57" t="s">
        <v>42</v>
      </c>
      <c r="E114" s="33" t="n">
        <f aca="false">IF(D114="totale",(C114/(A114*24))/F114,IF(D114="marché libre",(C114/(A114*24))/G114,"spécifier histo"))</f>
        <v>0</v>
      </c>
      <c r="F114" s="15" t="n">
        <v>218</v>
      </c>
      <c r="G114" s="59" t="n">
        <f aca="false">F114-H114</f>
        <v>218</v>
      </c>
      <c r="H114" s="58" t="n">
        <v>0</v>
      </c>
      <c r="I114" s="9"/>
      <c r="J114" s="30"/>
    </row>
    <row r="115" customFormat="false" ht="19.45" hidden="false" customHeight="true" outlineLevel="0" collapsed="false">
      <c r="A115" s="0" t="n">
        <v>31</v>
      </c>
      <c r="B115" s="34" t="n">
        <v>40817</v>
      </c>
      <c r="C115" s="56" t="n">
        <v>0</v>
      </c>
      <c r="D115" s="57" t="s">
        <v>42</v>
      </c>
      <c r="E115" s="33" t="n">
        <f aca="false">IF(D115="totale",(C115/(A115*24))/F115,IF(D115="marché libre",(C115/(A115*24))/G115,"spécifier histo"))</f>
        <v>0</v>
      </c>
      <c r="F115" s="15" t="n">
        <v>218</v>
      </c>
      <c r="G115" s="59" t="n">
        <f aca="false">F115-H115</f>
        <v>218</v>
      </c>
      <c r="H115" s="58" t="n">
        <v>0</v>
      </c>
      <c r="I115" s="9"/>
      <c r="J115" s="30"/>
    </row>
    <row r="116" customFormat="false" ht="19.45" hidden="false" customHeight="true" outlineLevel="0" collapsed="false">
      <c r="A116" s="0" t="n">
        <v>30</v>
      </c>
      <c r="B116" s="31" t="n">
        <v>40848</v>
      </c>
      <c r="C116" s="56" t="n">
        <v>0</v>
      </c>
      <c r="D116" s="57" t="s">
        <v>42</v>
      </c>
      <c r="E116" s="33" t="n">
        <f aca="false">IF(D116="totale",(C116/(A116*24))/F116,IF(D116="marché libre",(C116/(A116*24))/G116,"spécifier histo"))</f>
        <v>0</v>
      </c>
      <c r="F116" s="15" t="n">
        <v>218</v>
      </c>
      <c r="G116" s="59" t="n">
        <f aca="false">F116-H116</f>
        <v>218</v>
      </c>
      <c r="H116" s="58" t="n">
        <v>0</v>
      </c>
      <c r="I116" s="9"/>
      <c r="J116" s="30"/>
    </row>
    <row r="117" customFormat="false" ht="19.45" hidden="false" customHeight="true" outlineLevel="0" collapsed="false">
      <c r="A117" s="0" t="n">
        <v>31</v>
      </c>
      <c r="B117" s="34" t="n">
        <v>40878</v>
      </c>
      <c r="C117" s="56" t="n">
        <v>44942</v>
      </c>
      <c r="D117" s="57" t="s">
        <v>42</v>
      </c>
      <c r="E117" s="33" t="n">
        <f aca="false">IF(D117="totale",(C117/(A117*24))/F117,IF(D117="marché libre",(C117/(A117*24))/G117,"spécifier histo"))</f>
        <v>0.277091348525205</v>
      </c>
      <c r="F117" s="15" t="n">
        <v>218</v>
      </c>
      <c r="G117" s="59" t="n">
        <f aca="false">F117-H117</f>
        <v>218</v>
      </c>
      <c r="H117" s="58" t="n">
        <v>0</v>
      </c>
      <c r="I117" s="9"/>
      <c r="J117" s="30"/>
    </row>
    <row r="118" customFormat="false" ht="19.45" hidden="false" customHeight="true" outlineLevel="0" collapsed="false">
      <c r="A118" s="0" t="n">
        <v>31</v>
      </c>
      <c r="B118" s="31" t="n">
        <v>40909</v>
      </c>
      <c r="C118" s="56" t="n">
        <v>67003</v>
      </c>
      <c r="D118" s="57" t="s">
        <v>42</v>
      </c>
      <c r="E118" s="33" t="n">
        <f aca="false">IF(D118="totale",(C118/(A118*24))/F118,IF(D118="marché libre",(C118/(A118*24))/G118,"spécifier histo"))</f>
        <v>0.413109154582224</v>
      </c>
      <c r="F118" s="15" t="n">
        <v>218</v>
      </c>
      <c r="G118" s="59" t="n">
        <f aca="false">F118-H118</f>
        <v>218</v>
      </c>
      <c r="H118" s="58" t="n">
        <v>0</v>
      </c>
      <c r="I118" s="9"/>
      <c r="J118" s="30"/>
    </row>
    <row r="119" customFormat="false" ht="19.45" hidden="false" customHeight="true" outlineLevel="0" collapsed="false">
      <c r="A119" s="0" t="n">
        <v>28</v>
      </c>
      <c r="B119" s="34" t="n">
        <v>40940</v>
      </c>
      <c r="C119" s="56" t="n">
        <v>37725</v>
      </c>
      <c r="D119" s="57" t="s">
        <v>42</v>
      </c>
      <c r="E119" s="33" t="n">
        <f aca="false">IF(D119="totale",(C119/(A119*24))/F119,IF(D119="marché libre",(C119/(A119*24))/G119,"spécifier histo"))</f>
        <v>0.257515563564875</v>
      </c>
      <c r="F119" s="15" t="n">
        <v>218</v>
      </c>
      <c r="G119" s="59" t="n">
        <f aca="false">F119-H119</f>
        <v>218</v>
      </c>
      <c r="H119" s="58" t="n">
        <v>0</v>
      </c>
      <c r="I119" s="9"/>
      <c r="J119" s="30"/>
    </row>
    <row r="120" customFormat="false" ht="19.45" hidden="false" customHeight="true" outlineLevel="0" collapsed="false">
      <c r="A120" s="0" t="n">
        <v>31</v>
      </c>
      <c r="B120" s="31" t="n">
        <v>40969</v>
      </c>
      <c r="C120" s="56" t="n">
        <v>2179</v>
      </c>
      <c r="D120" s="57" t="s">
        <v>42</v>
      </c>
      <c r="E120" s="33" t="n">
        <f aca="false">IF(D120="totale",(C120/(A120*24))/F120,IF(D120="marché libre",(C120/(A120*24))/G120,"spécifier histo"))</f>
        <v>0.013434694682845</v>
      </c>
      <c r="F120" s="15" t="n">
        <v>218</v>
      </c>
      <c r="G120" s="59" t="n">
        <f aca="false">F120-H120</f>
        <v>218</v>
      </c>
      <c r="H120" s="58" t="n">
        <v>0</v>
      </c>
      <c r="I120" s="9"/>
      <c r="J120" s="30"/>
    </row>
    <row r="121" customFormat="false" ht="19.45" hidden="false" customHeight="true" outlineLevel="0" collapsed="false">
      <c r="A121" s="0" t="n">
        <v>30</v>
      </c>
      <c r="B121" s="34" t="n">
        <v>41000</v>
      </c>
      <c r="C121" s="56" t="n">
        <v>26456</v>
      </c>
      <c r="D121" s="57" t="s">
        <v>42</v>
      </c>
      <c r="E121" s="33" t="n">
        <f aca="false">IF(D121="totale",(C121/(A121*24))/F121,IF(D121="marché libre",(C121/(A121*24))/G121,"spécifier histo"))</f>
        <v>0.16855249745158</v>
      </c>
      <c r="F121" s="15" t="n">
        <v>218</v>
      </c>
      <c r="G121" s="59" t="n">
        <f aca="false">F121-H121</f>
        <v>218</v>
      </c>
      <c r="H121" s="58" t="n">
        <v>0</v>
      </c>
      <c r="I121" s="9"/>
      <c r="J121" s="30"/>
    </row>
    <row r="122" customFormat="false" ht="19.45" hidden="false" customHeight="true" outlineLevel="0" collapsed="false">
      <c r="A122" s="0" t="n">
        <v>31</v>
      </c>
      <c r="B122" s="31" t="n">
        <v>41030</v>
      </c>
      <c r="C122" s="56" t="n">
        <v>32292</v>
      </c>
      <c r="D122" s="57" t="s">
        <v>42</v>
      </c>
      <c r="E122" s="33" t="n">
        <f aca="false">IF(D122="totale",(C122/(A122*24))/F122,IF(D122="marché libre",(C122/(A122*24))/G122,"spécifier histo"))</f>
        <v>0.19909736608464</v>
      </c>
      <c r="F122" s="15" t="n">
        <v>218</v>
      </c>
      <c r="G122" s="59" t="n">
        <f aca="false">F122-H122</f>
        <v>218</v>
      </c>
      <c r="H122" s="58" t="n">
        <v>0</v>
      </c>
      <c r="I122" s="9"/>
      <c r="J122" s="30"/>
    </row>
    <row r="123" customFormat="false" ht="19.45" hidden="false" customHeight="true" outlineLevel="0" collapsed="false">
      <c r="A123" s="0" t="n">
        <v>30</v>
      </c>
      <c r="B123" s="34" t="n">
        <v>41061</v>
      </c>
      <c r="C123" s="56" t="n">
        <v>10598</v>
      </c>
      <c r="D123" s="57" t="s">
        <v>42</v>
      </c>
      <c r="E123" s="33" t="n">
        <f aca="false">IF(D123="totale",(C123/(A123*24))/F123,IF(D123="marché libre",(C123/(A123*24))/G123,"spécifier histo"))</f>
        <v>0.0675203873598369</v>
      </c>
      <c r="F123" s="15" t="n">
        <v>218</v>
      </c>
      <c r="G123" s="59" t="n">
        <f aca="false">F123-H123</f>
        <v>218</v>
      </c>
      <c r="H123" s="58" t="n">
        <v>0</v>
      </c>
      <c r="I123" s="9"/>
      <c r="J123" s="30"/>
    </row>
    <row r="124" customFormat="false" ht="19.45" hidden="false" customHeight="true" outlineLevel="0" collapsed="false">
      <c r="A124" s="0" t="n">
        <v>31</v>
      </c>
      <c r="B124" s="31" t="n">
        <v>41091</v>
      </c>
      <c r="C124" s="56" t="n">
        <v>0</v>
      </c>
      <c r="D124" s="57" t="s">
        <v>42</v>
      </c>
      <c r="E124" s="33" t="n">
        <f aca="false">IF(D124="totale",(C124/(A124*24))/F124,IF(D124="marché libre",(C124/(A124*24))/G124,"spécifier histo"))</f>
        <v>0</v>
      </c>
      <c r="F124" s="15" t="n">
        <v>218</v>
      </c>
      <c r="G124" s="59" t="n">
        <f aca="false">F124-H124</f>
        <v>218</v>
      </c>
      <c r="H124" s="58" t="n">
        <v>0</v>
      </c>
      <c r="I124" s="9"/>
      <c r="J124" s="30"/>
    </row>
    <row r="125" customFormat="false" ht="19.45" hidden="false" customHeight="true" outlineLevel="0" collapsed="false">
      <c r="A125" s="0" t="n">
        <v>31</v>
      </c>
      <c r="B125" s="34" t="n">
        <v>41122</v>
      </c>
      <c r="C125" s="56" t="n">
        <v>0</v>
      </c>
      <c r="D125" s="57" t="s">
        <v>42</v>
      </c>
      <c r="E125" s="33" t="n">
        <f aca="false">IF(D125="totale",(C125/(A125*24))/F125,IF(D125="marché libre",(C125/(A125*24))/G125,"spécifier histo"))</f>
        <v>0</v>
      </c>
      <c r="F125" s="15" t="n">
        <v>218</v>
      </c>
      <c r="G125" s="59" t="n">
        <f aca="false">F125-H125</f>
        <v>218</v>
      </c>
      <c r="H125" s="58" t="n">
        <v>0</v>
      </c>
      <c r="I125" s="9"/>
      <c r="J125" s="30"/>
    </row>
    <row r="126" customFormat="false" ht="19.45" hidden="false" customHeight="true" outlineLevel="0" collapsed="false">
      <c r="A126" s="0" t="n">
        <v>30</v>
      </c>
      <c r="B126" s="31" t="n">
        <v>41153</v>
      </c>
      <c r="C126" s="56" t="n">
        <v>4153</v>
      </c>
      <c r="D126" s="57" t="s">
        <v>42</v>
      </c>
      <c r="E126" s="33" t="n">
        <f aca="false">IF(D126="totale",(C126/(A126*24))/F126,IF(D126="marché libre",(C126/(A126*24))/G126,"spécifier histo"))</f>
        <v>0.0264589704383282</v>
      </c>
      <c r="F126" s="15" t="n">
        <v>218</v>
      </c>
      <c r="G126" s="59" t="n">
        <f aca="false">F126-H126</f>
        <v>218</v>
      </c>
      <c r="H126" s="58" t="n">
        <v>0</v>
      </c>
      <c r="I126" s="9"/>
      <c r="J126" s="30"/>
    </row>
    <row r="127" customFormat="false" ht="19.45" hidden="false" customHeight="true" outlineLevel="0" collapsed="false">
      <c r="A127" s="0" t="n">
        <v>31</v>
      </c>
      <c r="B127" s="34" t="n">
        <v>41183</v>
      </c>
      <c r="C127" s="56" t="n">
        <v>29788</v>
      </c>
      <c r="D127" s="57" t="s">
        <v>42</v>
      </c>
      <c r="E127" s="33" t="n">
        <f aca="false">IF(D127="totale",(C127/(A127*24))/F127,IF(D127="marché libre",(C127/(A127*24))/G127,"spécifier histo"))</f>
        <v>0.183658873433955</v>
      </c>
      <c r="F127" s="15" t="n">
        <v>218</v>
      </c>
      <c r="G127" s="59" t="n">
        <f aca="false">F127-H127</f>
        <v>218</v>
      </c>
      <c r="H127" s="58" t="n">
        <v>0</v>
      </c>
      <c r="I127" s="9"/>
      <c r="J127" s="30"/>
    </row>
    <row r="128" customFormat="false" ht="19.45" hidden="false" customHeight="true" outlineLevel="0" collapsed="false">
      <c r="A128" s="0" t="n">
        <v>30</v>
      </c>
      <c r="B128" s="31" t="n">
        <v>41214</v>
      </c>
      <c r="C128" s="56" t="n">
        <v>46025</v>
      </c>
      <c r="D128" s="57" t="s">
        <v>42</v>
      </c>
      <c r="E128" s="33" t="n">
        <f aca="false">IF(D128="totale",(C128/(A128*24))/F128,IF(D128="marché libre",(C128/(A128*24))/G128,"spécifier histo"))</f>
        <v>0.293227573904179</v>
      </c>
      <c r="F128" s="15" t="n">
        <v>218</v>
      </c>
      <c r="G128" s="59" t="n">
        <f aca="false">F128-H128</f>
        <v>218</v>
      </c>
      <c r="H128" s="58" t="n">
        <v>0</v>
      </c>
      <c r="I128" s="9"/>
      <c r="J128" s="30"/>
    </row>
    <row r="129" customFormat="false" ht="19.45" hidden="false" customHeight="true" outlineLevel="0" collapsed="false">
      <c r="A129" s="0" t="n">
        <v>31</v>
      </c>
      <c r="B129" s="34" t="n">
        <v>41244</v>
      </c>
      <c r="C129" s="56" t="n">
        <v>66699</v>
      </c>
      <c r="D129" s="57" t="s">
        <v>42</v>
      </c>
      <c r="E129" s="33" t="n">
        <f aca="false">IF(D129="totale",(C129/(A129*24))/F129,IF(D129="marché libre",(C129/(A129*24))/G129,"spécifier histo"))</f>
        <v>0.411234832790766</v>
      </c>
      <c r="F129" s="15" t="n">
        <v>218</v>
      </c>
      <c r="G129" s="59" t="n">
        <f aca="false">F129-H129</f>
        <v>218</v>
      </c>
      <c r="H129" s="58" t="n">
        <v>0</v>
      </c>
      <c r="I129" s="9"/>
      <c r="J129" s="30"/>
    </row>
    <row r="130" customFormat="false" ht="19.45" hidden="false" customHeight="true" outlineLevel="0" collapsed="false">
      <c r="A130" s="0" t="n">
        <v>31</v>
      </c>
      <c r="B130" s="31" t="n">
        <v>41275</v>
      </c>
      <c r="C130" s="56" t="n">
        <v>96288</v>
      </c>
      <c r="D130" s="57" t="s">
        <v>42</v>
      </c>
      <c r="E130" s="33" t="n">
        <f aca="false">IF(D130="totale",(C130/(A130*24))/F130,IF(D130="marché libre",(C130/(A130*24))/G130,"spécifier histo"))</f>
        <v>0.593666765315182</v>
      </c>
      <c r="F130" s="15" t="n">
        <v>218</v>
      </c>
      <c r="G130" s="59" t="n">
        <f aca="false">F130-H130</f>
        <v>218</v>
      </c>
      <c r="H130" s="58" t="n">
        <v>0</v>
      </c>
      <c r="I130" s="9"/>
      <c r="J130" s="30"/>
    </row>
    <row r="131" customFormat="false" ht="19.45" hidden="false" customHeight="true" outlineLevel="0" collapsed="false">
      <c r="A131" s="0" t="n">
        <v>28</v>
      </c>
      <c r="B131" s="34" t="n">
        <v>41306</v>
      </c>
      <c r="C131" s="56" t="n">
        <v>84538</v>
      </c>
      <c r="D131" s="57" t="s">
        <v>42</v>
      </c>
      <c r="E131" s="33" t="n">
        <f aca="false">IF(D131="totale",(C131/(A131*24))/F131,IF(D131="marché libre",(C131/(A131*24))/G131,"spécifier histo"))</f>
        <v>0.577066950633464</v>
      </c>
      <c r="F131" s="15" t="n">
        <v>218</v>
      </c>
      <c r="G131" s="59" t="n">
        <f aca="false">F131-H131</f>
        <v>218</v>
      </c>
      <c r="H131" s="58" t="n">
        <v>0</v>
      </c>
      <c r="I131" s="9"/>
      <c r="J131" s="30"/>
    </row>
    <row r="132" customFormat="false" ht="19.45" hidden="false" customHeight="true" outlineLevel="0" collapsed="false">
      <c r="A132" s="0" t="n">
        <v>31</v>
      </c>
      <c r="B132" s="31" t="n">
        <v>41334</v>
      </c>
      <c r="C132" s="56" t="n">
        <v>86772</v>
      </c>
      <c r="D132" s="57" t="s">
        <v>42</v>
      </c>
      <c r="E132" s="33" t="n">
        <f aca="false">IF(D132="totale",(C132/(A132*24))/F132,IF(D132="marché libre",(C132/(A132*24))/G132,"spécifier histo"))</f>
        <v>0.53499556081681</v>
      </c>
      <c r="F132" s="15" t="n">
        <v>218</v>
      </c>
      <c r="G132" s="59" t="n">
        <f aca="false">F132-H132</f>
        <v>218</v>
      </c>
      <c r="H132" s="58" t="n">
        <v>0</v>
      </c>
      <c r="I132" s="9"/>
      <c r="J132" s="30"/>
    </row>
    <row r="133" customFormat="false" ht="19.45" hidden="false" customHeight="true" outlineLevel="0" collapsed="false">
      <c r="A133" s="0" t="n">
        <v>30</v>
      </c>
      <c r="B133" s="34" t="n">
        <v>41365</v>
      </c>
      <c r="C133" s="56" t="n">
        <v>47897</v>
      </c>
      <c r="D133" s="57" t="s">
        <v>42</v>
      </c>
      <c r="E133" s="33" t="n">
        <f aca="false">IF(D133="totale",(C133/(A133*24))/F133,IF(D133="marché libre",(C133/(A133*24))/G133,"spécifier histo"))</f>
        <v>0.305154179408767</v>
      </c>
      <c r="F133" s="15" t="n">
        <v>218</v>
      </c>
      <c r="G133" s="59" t="n">
        <f aca="false">F133-H133</f>
        <v>218</v>
      </c>
      <c r="H133" s="58" t="n">
        <v>0</v>
      </c>
      <c r="I133" s="9"/>
      <c r="J133" s="30"/>
    </row>
    <row r="134" customFormat="false" ht="19.45" hidden="false" customHeight="true" outlineLevel="0" collapsed="false">
      <c r="A134" s="0" t="n">
        <v>31</v>
      </c>
      <c r="B134" s="31" t="n">
        <v>41395</v>
      </c>
      <c r="C134" s="56" t="n">
        <v>0</v>
      </c>
      <c r="D134" s="57" t="s">
        <v>42</v>
      </c>
      <c r="E134" s="33" t="n">
        <f aca="false">IF(D134="totale",(C134/(A134*24))/F134,IF(D134="marché libre",(C134/(A134*24))/G134,"spécifier histo"))</f>
        <v>0</v>
      </c>
      <c r="F134" s="15" t="n">
        <v>218</v>
      </c>
      <c r="G134" s="59" t="n">
        <f aca="false">F134-H134</f>
        <v>218</v>
      </c>
      <c r="H134" s="58" t="n">
        <v>0</v>
      </c>
      <c r="I134" s="9"/>
      <c r="J134" s="30"/>
    </row>
    <row r="135" customFormat="false" ht="19.45" hidden="false" customHeight="true" outlineLevel="0" collapsed="false">
      <c r="A135" s="0" t="n">
        <v>30</v>
      </c>
      <c r="B135" s="34" t="n">
        <v>41426</v>
      </c>
      <c r="C135" s="56" t="n">
        <v>0</v>
      </c>
      <c r="D135" s="57" t="s">
        <v>42</v>
      </c>
      <c r="E135" s="33" t="n">
        <f aca="false">IF(D135="totale",(C135/(A135*24))/F135,IF(D135="marché libre",(C135/(A135*24))/G135,"spécifier histo"))</f>
        <v>0</v>
      </c>
      <c r="F135" s="15" t="n">
        <v>218</v>
      </c>
      <c r="G135" s="59" t="n">
        <f aca="false">F135-H135</f>
        <v>218</v>
      </c>
      <c r="H135" s="58" t="n">
        <v>0</v>
      </c>
      <c r="I135" s="9"/>
      <c r="J135" s="30"/>
    </row>
    <row r="136" customFormat="false" ht="19.45" hidden="false" customHeight="true" outlineLevel="0" collapsed="false">
      <c r="A136" s="0" t="n">
        <v>31</v>
      </c>
      <c r="B136" s="31" t="n">
        <v>41456</v>
      </c>
      <c r="C136" s="56" t="n">
        <v>0</v>
      </c>
      <c r="D136" s="57" t="s">
        <v>42</v>
      </c>
      <c r="E136" s="33" t="n">
        <f aca="false">IF(D136="totale",(C136/(A136*24))/F136,IF(D136="marché libre",(C136/(A136*24))/G136,"spécifier histo"))</f>
        <v>0</v>
      </c>
      <c r="F136" s="15" t="n">
        <v>218</v>
      </c>
      <c r="G136" s="59" t="n">
        <f aca="false">F136-H136</f>
        <v>218</v>
      </c>
      <c r="H136" s="58" t="n">
        <v>0</v>
      </c>
      <c r="I136" s="9"/>
      <c r="J136" s="30"/>
    </row>
    <row r="137" customFormat="false" ht="19.45" hidden="false" customHeight="true" outlineLevel="0" collapsed="false">
      <c r="A137" s="0" t="n">
        <v>31</v>
      </c>
      <c r="B137" s="34" t="n">
        <v>41487</v>
      </c>
      <c r="C137" s="56" t="n">
        <v>0</v>
      </c>
      <c r="D137" s="57" t="s">
        <v>42</v>
      </c>
      <c r="E137" s="33" t="n">
        <f aca="false">IF(D137="totale",(C137/(A137*24))/F137,IF(D137="marché libre",(C137/(A137*24))/G137,"spécifier histo"))</f>
        <v>0</v>
      </c>
      <c r="F137" s="15" t="n">
        <v>218</v>
      </c>
      <c r="G137" s="59" t="n">
        <f aca="false">F137-H137</f>
        <v>218</v>
      </c>
      <c r="H137" s="58" t="n">
        <v>0</v>
      </c>
      <c r="I137" s="9"/>
      <c r="J137" s="30"/>
    </row>
    <row r="138" customFormat="false" ht="19.45" hidden="false" customHeight="true" outlineLevel="0" collapsed="false">
      <c r="A138" s="0" t="n">
        <v>30</v>
      </c>
      <c r="B138" s="31" t="n">
        <v>41518</v>
      </c>
      <c r="C138" s="56" t="n">
        <v>0</v>
      </c>
      <c r="D138" s="57" t="s">
        <v>42</v>
      </c>
      <c r="E138" s="33" t="n">
        <f aca="false">IF(D138="totale",(C138/(A138*24))/F138,IF(D138="marché libre",(C138/(A138*24))/G138,"spécifier histo"))</f>
        <v>0</v>
      </c>
      <c r="F138" s="15" t="n">
        <v>218</v>
      </c>
      <c r="G138" s="59" t="n">
        <f aca="false">F138-H138</f>
        <v>218</v>
      </c>
      <c r="H138" s="58" t="n">
        <v>0</v>
      </c>
      <c r="I138" s="9"/>
      <c r="J138" s="30"/>
    </row>
    <row r="139" customFormat="false" ht="19.45" hidden="false" customHeight="true" outlineLevel="0" collapsed="false">
      <c r="A139" s="0" t="n">
        <v>31</v>
      </c>
      <c r="B139" s="34" t="n">
        <v>41548</v>
      </c>
      <c r="C139" s="56" t="n">
        <v>0</v>
      </c>
      <c r="D139" s="57" t="s">
        <v>42</v>
      </c>
      <c r="E139" s="33" t="n">
        <f aca="false">IF(D139="totale",(C139/(A139*24))/F139,IF(D139="marché libre",(C139/(A139*24))/G139,"spécifier histo"))</f>
        <v>0</v>
      </c>
      <c r="F139" s="15" t="n">
        <v>218</v>
      </c>
      <c r="G139" s="59" t="n">
        <f aca="false">F139-H139</f>
        <v>218</v>
      </c>
      <c r="H139" s="58" t="n">
        <v>0</v>
      </c>
      <c r="I139" s="9"/>
      <c r="J139" s="30"/>
    </row>
    <row r="140" customFormat="false" ht="19.45" hidden="false" customHeight="true" outlineLevel="0" collapsed="false">
      <c r="A140" s="0" t="n">
        <v>30</v>
      </c>
      <c r="B140" s="31" t="n">
        <v>41579</v>
      </c>
      <c r="C140" s="56" t="n">
        <v>9349</v>
      </c>
      <c r="D140" s="57" t="s">
        <v>42</v>
      </c>
      <c r="E140" s="33" t="n">
        <f aca="false">IF(D140="totale",(C140/(A140*24))/F140,IF(D140="marché libre",(C140/(A140*24))/G140,"spécifier histo"))</f>
        <v>0.0595629459734964</v>
      </c>
      <c r="F140" s="15" t="n">
        <v>218</v>
      </c>
      <c r="G140" s="59" t="n">
        <f aca="false">F140-H140</f>
        <v>218</v>
      </c>
      <c r="H140" s="58" t="n">
        <v>0</v>
      </c>
      <c r="I140" s="9"/>
      <c r="J140" s="30"/>
      <c r="K140" s="505" t="n">
        <v>2014</v>
      </c>
      <c r="L140" s="202" t="s">
        <v>969</v>
      </c>
      <c r="M140" s="202" t="s">
        <v>632</v>
      </c>
      <c r="N140" s="202" t="s">
        <v>970</v>
      </c>
      <c r="O140" s="0"/>
    </row>
    <row r="141" customFormat="false" ht="19.45" hidden="false" customHeight="true" outlineLevel="0" collapsed="false">
      <c r="A141" s="0" t="n">
        <v>31</v>
      </c>
      <c r="B141" s="34" t="n">
        <v>41609</v>
      </c>
      <c r="C141" s="56" t="n">
        <v>22232</v>
      </c>
      <c r="D141" s="57" t="s">
        <v>42</v>
      </c>
      <c r="E141" s="33" t="n">
        <f aca="false">IF(D141="totale",(C141/(A141*24))/F141,IF(D141="marché libre",(C141/(A141*24))/G141,"spécifier histo"))</f>
        <v>0.137072112064713</v>
      </c>
      <c r="F141" s="15" t="n">
        <v>218</v>
      </c>
      <c r="G141" s="59" t="n">
        <f aca="false">F141-H141</f>
        <v>218</v>
      </c>
      <c r="H141" s="58" t="n">
        <v>0</v>
      </c>
      <c r="I141" s="9"/>
      <c r="J141" s="30"/>
      <c r="K141" s="505" t="n">
        <v>2014</v>
      </c>
      <c r="L141" s="202" t="s">
        <v>969</v>
      </c>
      <c r="M141" s="202" t="s">
        <v>633</v>
      </c>
      <c r="N141" s="202" t="s">
        <v>970</v>
      </c>
      <c r="O141" s="0"/>
    </row>
    <row r="142" customFormat="false" ht="19.45" hidden="false" customHeight="true" outlineLevel="0" collapsed="false">
      <c r="A142" s="0" t="n">
        <v>31</v>
      </c>
      <c r="B142" s="31" t="n">
        <v>41640</v>
      </c>
      <c r="C142" s="505" t="n">
        <v>62574</v>
      </c>
      <c r="D142" s="57" t="s">
        <v>42</v>
      </c>
      <c r="E142" s="33" t="n">
        <f aca="false">IF(D142="totale",(C142/(A142*24))/F142,IF(D142="marché libre",(C142/(A142*24))/G142,"spécifier histo"))</f>
        <v>0.385802012429713</v>
      </c>
      <c r="F142" s="15" t="n">
        <v>218</v>
      </c>
      <c r="G142" s="59" t="n">
        <f aca="false">F142-H142</f>
        <v>218</v>
      </c>
      <c r="H142" s="58" t="n">
        <v>0</v>
      </c>
      <c r="I142" s="9"/>
      <c r="J142" s="30"/>
      <c r="K142" s="505" t="n">
        <v>2014</v>
      </c>
      <c r="L142" s="202" t="s">
        <v>969</v>
      </c>
      <c r="M142" s="202" t="s">
        <v>634</v>
      </c>
      <c r="N142" s="202" t="s">
        <v>970</v>
      </c>
      <c r="O142" s="0"/>
    </row>
    <row r="143" customFormat="false" ht="19.45" hidden="false" customHeight="true" outlineLevel="0" collapsed="false">
      <c r="A143" s="0" t="n">
        <v>28</v>
      </c>
      <c r="B143" s="34" t="n">
        <v>41671</v>
      </c>
      <c r="C143" s="505" t="n">
        <v>77387</v>
      </c>
      <c r="D143" s="57" t="s">
        <v>42</v>
      </c>
      <c r="E143" s="33" t="n">
        <f aca="false">IF(D143="totale",(C143/(A143*24))/F143,IF(D143="marché libre",(C143/(A143*24))/G143,"spécifier histo"))</f>
        <v>0.528253331148973</v>
      </c>
      <c r="F143" s="15" t="n">
        <v>218</v>
      </c>
      <c r="G143" s="59" t="n">
        <f aca="false">F143-H143</f>
        <v>218</v>
      </c>
      <c r="H143" s="58" t="n">
        <v>0</v>
      </c>
      <c r="I143" s="9"/>
      <c r="J143" s="30"/>
      <c r="K143" s="505" t="n">
        <v>2014</v>
      </c>
      <c r="L143" s="202" t="s">
        <v>969</v>
      </c>
      <c r="M143" s="202" t="s">
        <v>635</v>
      </c>
      <c r="N143" s="202" t="s">
        <v>971</v>
      </c>
      <c r="O143" s="0"/>
    </row>
    <row r="144" customFormat="false" ht="19.45" hidden="false" customHeight="true" outlineLevel="0" collapsed="false">
      <c r="A144" s="0" t="n">
        <v>31</v>
      </c>
      <c r="B144" s="31" t="n">
        <v>41699</v>
      </c>
      <c r="C144" s="505" t="n">
        <v>95040</v>
      </c>
      <c r="D144" s="57" t="s">
        <v>42</v>
      </c>
      <c r="E144" s="33" t="n">
        <f aca="false">IF(D144="totale",(C144/(A144*24))/F144,IF(D144="marché libre",(C144/(A144*24))/G144,"spécifier histo"))</f>
        <v>0.585972181118674</v>
      </c>
      <c r="F144" s="15" t="n">
        <v>218</v>
      </c>
      <c r="G144" s="59" t="n">
        <f aca="false">F144-H144</f>
        <v>218</v>
      </c>
      <c r="H144" s="58" t="n">
        <v>0</v>
      </c>
      <c r="I144" s="9"/>
      <c r="J144" s="30"/>
      <c r="K144" s="505" t="n">
        <v>2014</v>
      </c>
      <c r="L144" s="202" t="s">
        <v>969</v>
      </c>
      <c r="M144" s="202" t="s">
        <v>636</v>
      </c>
      <c r="N144" s="202" t="s">
        <v>971</v>
      </c>
      <c r="O144" s="0"/>
    </row>
    <row r="145" customFormat="false" ht="19.45" hidden="false" customHeight="true" outlineLevel="0" collapsed="false">
      <c r="A145" s="0" t="n">
        <v>30</v>
      </c>
      <c r="B145" s="34" t="n">
        <v>41730</v>
      </c>
      <c r="C145" s="505" t="n">
        <v>24274</v>
      </c>
      <c r="D145" s="57" t="s">
        <v>42</v>
      </c>
      <c r="E145" s="33" t="n">
        <f aca="false">IF(D145="totale",(C145/(A145*24))/F145,IF(D145="marché libre",(C145/(A145*24))/G145,"spécifier histo"))</f>
        <v>0.154650866462793</v>
      </c>
      <c r="F145" s="15" t="n">
        <v>218</v>
      </c>
      <c r="G145" s="59" t="n">
        <f aca="false">F145-H145</f>
        <v>218</v>
      </c>
      <c r="H145" s="58" t="n">
        <v>0</v>
      </c>
      <c r="I145" s="9"/>
      <c r="J145" s="30"/>
      <c r="K145" s="505" t="n">
        <v>2014</v>
      </c>
      <c r="L145" s="202" t="s">
        <v>969</v>
      </c>
      <c r="M145" s="202" t="s">
        <v>637</v>
      </c>
      <c r="N145" s="202" t="s">
        <v>971</v>
      </c>
      <c r="O145" s="0"/>
    </row>
    <row r="146" customFormat="false" ht="19.45" hidden="false" customHeight="true" outlineLevel="0" collapsed="false">
      <c r="A146" s="0" t="n">
        <v>31</v>
      </c>
      <c r="B146" s="31" t="n">
        <v>41760</v>
      </c>
      <c r="C146" s="505" t="n">
        <v>0</v>
      </c>
      <c r="D146" s="57" t="s">
        <v>42</v>
      </c>
      <c r="E146" s="33" t="n">
        <f aca="false">IF(D146="totale",(C146/(A146*24))/F146,IF(D146="marché libre",(C146/(A146*24))/G146,"spécifier histo"))</f>
        <v>0</v>
      </c>
      <c r="F146" s="15" t="n">
        <v>218</v>
      </c>
      <c r="G146" s="59" t="n">
        <f aca="false">F146-H146</f>
        <v>218</v>
      </c>
      <c r="H146" s="58" t="n">
        <v>0</v>
      </c>
      <c r="I146" s="9"/>
      <c r="J146" s="30"/>
      <c r="K146" s="505" t="n">
        <v>2014</v>
      </c>
      <c r="L146" s="202" t="s">
        <v>969</v>
      </c>
      <c r="M146" s="202" t="s">
        <v>638</v>
      </c>
      <c r="N146" s="202" t="s">
        <v>971</v>
      </c>
      <c r="O146" s="0"/>
    </row>
    <row r="147" customFormat="false" ht="19.45" hidden="false" customHeight="true" outlineLevel="0" collapsed="false">
      <c r="A147" s="0" t="n">
        <v>30</v>
      </c>
      <c r="B147" s="34" t="n">
        <v>41791</v>
      </c>
      <c r="C147" s="505" t="n">
        <v>0</v>
      </c>
      <c r="D147" s="57" t="s">
        <v>42</v>
      </c>
      <c r="E147" s="33" t="n">
        <f aca="false">IF(D147="totale",(C147/(A147*24))/F147,IF(D147="marché libre",(C147/(A147*24))/G147,"spécifier histo"))</f>
        <v>0</v>
      </c>
      <c r="F147" s="15" t="n">
        <v>218</v>
      </c>
      <c r="G147" s="59" t="n">
        <f aca="false">F147-H147</f>
        <v>218</v>
      </c>
      <c r="H147" s="58" t="n">
        <v>0</v>
      </c>
      <c r="I147" s="9"/>
      <c r="J147" s="30"/>
      <c r="K147" s="505" t="n">
        <v>2014</v>
      </c>
      <c r="L147" s="202" t="s">
        <v>969</v>
      </c>
      <c r="M147" s="202" t="s">
        <v>639</v>
      </c>
      <c r="N147" s="202" t="s">
        <v>971</v>
      </c>
      <c r="O147" s="0"/>
    </row>
    <row r="148" customFormat="false" ht="19.45" hidden="false" customHeight="true" outlineLevel="0" collapsed="false">
      <c r="A148" s="0" t="n">
        <v>31</v>
      </c>
      <c r="B148" s="31" t="n">
        <v>41821</v>
      </c>
      <c r="C148" s="505" t="n">
        <v>0</v>
      </c>
      <c r="D148" s="57" t="s">
        <v>42</v>
      </c>
      <c r="E148" s="33" t="n">
        <f aca="false">IF(D148="totale",(C148/(A148*24))/F148,IF(D148="marché libre",(C148/(A148*24))/G148,"spécifier histo"))</f>
        <v>0</v>
      </c>
      <c r="F148" s="15" t="n">
        <v>218</v>
      </c>
      <c r="G148" s="59" t="n">
        <f aca="false">F148-H148</f>
        <v>218</v>
      </c>
      <c r="H148" s="58" t="n">
        <v>0</v>
      </c>
      <c r="I148" s="9"/>
      <c r="J148" s="30"/>
      <c r="K148" s="505" t="n">
        <v>2014</v>
      </c>
      <c r="L148" s="202" t="s">
        <v>969</v>
      </c>
      <c r="M148" s="202" t="s">
        <v>640</v>
      </c>
      <c r="N148" s="202" t="s">
        <v>971</v>
      </c>
      <c r="O148" s="0"/>
    </row>
    <row r="149" customFormat="false" ht="19.45" hidden="false" customHeight="true" outlineLevel="0" collapsed="false">
      <c r="A149" s="0" t="n">
        <v>31</v>
      </c>
      <c r="B149" s="34" t="n">
        <v>41852</v>
      </c>
      <c r="C149" s="505" t="n">
        <v>0</v>
      </c>
      <c r="D149" s="57" t="s">
        <v>42</v>
      </c>
      <c r="E149" s="33" t="n">
        <f aca="false">IF(D149="totale",(C149/(A149*24))/F149,IF(D149="marché libre",(C149/(A149*24))/G149,"spécifier histo"))</f>
        <v>0</v>
      </c>
      <c r="F149" s="15" t="n">
        <v>218</v>
      </c>
      <c r="G149" s="59" t="n">
        <f aca="false">F149-H149</f>
        <v>218</v>
      </c>
      <c r="H149" s="58" t="n">
        <v>0</v>
      </c>
      <c r="I149" s="9"/>
      <c r="J149" s="30"/>
      <c r="K149" s="505" t="n">
        <v>2014</v>
      </c>
      <c r="L149" s="202" t="s">
        <v>969</v>
      </c>
      <c r="M149" s="202" t="s">
        <v>641</v>
      </c>
      <c r="N149" s="202" t="s">
        <v>971</v>
      </c>
      <c r="O149" s="0"/>
    </row>
    <row r="150" customFormat="false" ht="19.45" hidden="false" customHeight="true" outlineLevel="0" collapsed="false">
      <c r="A150" s="0" t="n">
        <v>30</v>
      </c>
      <c r="B150" s="31" t="n">
        <v>41883</v>
      </c>
      <c r="C150" s="505" t="n">
        <v>0</v>
      </c>
      <c r="D150" s="57" t="s">
        <v>42</v>
      </c>
      <c r="E150" s="33" t="n">
        <f aca="false">IF(D150="totale",(C150/(A150*24))/F150,IF(D150="marché libre",(C150/(A150*24))/G150,"spécifier histo"))</f>
        <v>0</v>
      </c>
      <c r="F150" s="15" t="n">
        <v>218</v>
      </c>
      <c r="G150" s="59" t="n">
        <f aca="false">F150-H150</f>
        <v>218</v>
      </c>
      <c r="H150" s="58" t="n">
        <v>0</v>
      </c>
      <c r="I150" s="9"/>
      <c r="J150" s="30"/>
      <c r="K150" s="505" t="n">
        <v>2014</v>
      </c>
      <c r="L150" s="202" t="s">
        <v>969</v>
      </c>
      <c r="M150" s="202" t="s">
        <v>642</v>
      </c>
      <c r="N150" s="202" t="s">
        <v>970</v>
      </c>
      <c r="O150" s="0"/>
    </row>
    <row r="151" customFormat="false" ht="19.45" hidden="false" customHeight="true" outlineLevel="0" collapsed="false">
      <c r="A151" s="0" t="n">
        <v>31</v>
      </c>
      <c r="B151" s="34" t="n">
        <v>41913</v>
      </c>
      <c r="C151" s="505" t="n">
        <v>0</v>
      </c>
      <c r="D151" s="57" t="s">
        <v>42</v>
      </c>
      <c r="E151" s="33" t="n">
        <f aca="false">IF(D151="totale",(C151/(A151*24))/F151,IF(D151="marché libre",(C151/(A151*24))/G151,"spécifier histo"))</f>
        <v>0</v>
      </c>
      <c r="F151" s="15" t="n">
        <v>218</v>
      </c>
      <c r="G151" s="59" t="n">
        <f aca="false">F151-H151</f>
        <v>218</v>
      </c>
      <c r="H151" s="58" t="n">
        <v>0</v>
      </c>
      <c r="I151" s="9"/>
      <c r="J151" s="30"/>
      <c r="K151" s="505" t="n">
        <v>2014</v>
      </c>
      <c r="L151" s="202" t="s">
        <v>969</v>
      </c>
      <c r="M151" s="202" t="s">
        <v>643</v>
      </c>
      <c r="N151" s="202" t="s">
        <v>970</v>
      </c>
      <c r="O151" s="0"/>
    </row>
    <row r="152" customFormat="false" ht="19.45" hidden="false" customHeight="true" outlineLevel="0" collapsed="false">
      <c r="A152" s="0" t="n">
        <v>30</v>
      </c>
      <c r="B152" s="31" t="n">
        <v>41944</v>
      </c>
      <c r="C152" s="505" t="n">
        <v>35313</v>
      </c>
      <c r="D152" s="57" t="s">
        <v>42</v>
      </c>
      <c r="E152" s="33" t="n">
        <f aca="false">IF(D152="totale",(C152/(A152*24))/F152,IF(D152="marché libre",(C152/(A152*24))/G152,"spécifier histo"))</f>
        <v>0.224980886850153</v>
      </c>
      <c r="F152" s="15" t="n">
        <v>218</v>
      </c>
      <c r="G152" s="59" t="n">
        <f aca="false">F152-H152</f>
        <v>218</v>
      </c>
      <c r="H152" s="58" t="n">
        <v>0</v>
      </c>
      <c r="I152" s="9"/>
      <c r="J152" s="30"/>
      <c r="K152" s="513" t="s">
        <v>189</v>
      </c>
      <c r="L152" s="513"/>
      <c r="M152" s="513"/>
      <c r="N152" s="513"/>
      <c r="O152" s="513"/>
    </row>
    <row r="153" customFormat="false" ht="19.45" hidden="false" customHeight="true" outlineLevel="0" collapsed="false">
      <c r="A153" s="0" t="n">
        <v>31</v>
      </c>
      <c r="B153" s="34" t="n">
        <v>41974</v>
      </c>
      <c r="C153" s="505" t="n">
        <v>75723</v>
      </c>
      <c r="D153" s="57" t="s">
        <v>42</v>
      </c>
      <c r="E153" s="33" t="n">
        <f aca="false">IF(D153="totale",(C153/(A153*24))/F153,IF(D153="marché libre",(C153/(A153*24))/G153,"spécifier histo"))</f>
        <v>0.466872595442439</v>
      </c>
      <c r="F153" s="15" t="n">
        <v>218</v>
      </c>
      <c r="G153" s="59" t="n">
        <f aca="false">F153-H153</f>
        <v>218</v>
      </c>
      <c r="H153" s="58" t="n">
        <v>0</v>
      </c>
      <c r="I153" s="9"/>
      <c r="J153" s="30"/>
      <c r="K153" s="513" t="s">
        <v>189</v>
      </c>
      <c r="L153" s="513"/>
      <c r="M153" s="513"/>
      <c r="N153" s="513"/>
      <c r="O153" s="513"/>
    </row>
    <row r="154" customFormat="false" ht="19.85" hidden="false" customHeight="true" outlineLevel="0" collapsed="false">
      <c r="A154" s="0" t="n">
        <v>31</v>
      </c>
      <c r="B154" s="31" t="n">
        <v>42005</v>
      </c>
      <c r="C154" s="56" t="n">
        <v>0</v>
      </c>
      <c r="D154" s="57" t="s">
        <v>42</v>
      </c>
      <c r="E154" s="33" t="n">
        <f aca="false">IF(D154="totale",(C154/(A154*24))/F154,IF(D154="marché libre",(C154/(A154*24))/G154,"spécifier histo"))</f>
        <v>0</v>
      </c>
      <c r="F154" s="15" t="n">
        <v>218</v>
      </c>
      <c r="G154" s="59" t="n">
        <f aca="false">F154-H154</f>
        <v>218</v>
      </c>
      <c r="H154" s="58" t="n">
        <v>0</v>
      </c>
      <c r="J154" s="55"/>
      <c r="K154" s="505" t="n">
        <v>2014</v>
      </c>
      <c r="L154" s="202" t="s">
        <v>972</v>
      </c>
      <c r="M154" s="202" t="s">
        <v>632</v>
      </c>
      <c r="N154" s="202" t="s">
        <v>970</v>
      </c>
      <c r="O154" s="0"/>
    </row>
    <row r="155" customFormat="false" ht="19.85" hidden="false" customHeight="true" outlineLevel="0" collapsed="false">
      <c r="A155" s="0" t="n">
        <v>28</v>
      </c>
      <c r="B155" s="34" t="n">
        <v>42036</v>
      </c>
      <c r="C155" s="56" t="n">
        <v>0</v>
      </c>
      <c r="D155" s="57" t="s">
        <v>42</v>
      </c>
      <c r="E155" s="33" t="n">
        <f aca="false">IF(D155="totale",(C155/(A155*24))/F155,IF(D155="marché libre",(C155/(A155*24))/G155,"spécifier histo"))</f>
        <v>0</v>
      </c>
      <c r="F155" s="15" t="n">
        <v>218</v>
      </c>
      <c r="G155" s="59" t="n">
        <f aca="false">F155-H155</f>
        <v>218</v>
      </c>
      <c r="H155" s="58" t="n">
        <v>0</v>
      </c>
      <c r="J155" s="277"/>
      <c r="K155" s="505" t="n">
        <v>2014</v>
      </c>
      <c r="L155" s="202" t="s">
        <v>972</v>
      </c>
      <c r="M155" s="202" t="s">
        <v>633</v>
      </c>
      <c r="N155" s="202" t="s">
        <v>970</v>
      </c>
      <c r="O155" s="0"/>
      <c r="P155" s="277"/>
      <c r="Q155" s="277"/>
      <c r="R155" s="277"/>
      <c r="S155" s="277"/>
      <c r="T155" s="277"/>
    </row>
    <row r="156" customFormat="false" ht="19.85" hidden="false" customHeight="true" outlineLevel="0" collapsed="false">
      <c r="A156" s="0" t="n">
        <v>31</v>
      </c>
      <c r="B156" s="31" t="n">
        <v>42064</v>
      </c>
      <c r="C156" s="508" t="n">
        <v>52742</v>
      </c>
      <c r="D156" s="509" t="s">
        <v>42</v>
      </c>
      <c r="E156" s="510" t="n">
        <f aca="false">IF(D156="totale",(C156/(A156*24))/F156,IF(D156="marché libre",(C156/(A156*24))/G156,"spécifier histo"))</f>
        <v>0.325182499753379</v>
      </c>
      <c r="F156" s="15" t="n">
        <v>218</v>
      </c>
      <c r="G156" s="509" t="n">
        <f aca="false">F156-H156</f>
        <v>218</v>
      </c>
      <c r="H156" s="511" t="n">
        <v>0</v>
      </c>
      <c r="I156" s="512"/>
      <c r="J156" s="56"/>
      <c r="K156" s="505" t="n">
        <v>2014</v>
      </c>
      <c r="L156" s="202" t="s">
        <v>972</v>
      </c>
      <c r="M156" s="202" t="s">
        <v>634</v>
      </c>
      <c r="N156" s="202" t="s">
        <v>970</v>
      </c>
      <c r="O156" s="0"/>
      <c r="P156" s="0"/>
      <c r="Q156" s="0"/>
      <c r="R156" s="0"/>
      <c r="S156" s="0"/>
      <c r="T156" s="0"/>
    </row>
    <row r="157" customFormat="false" ht="19.85" hidden="false" customHeight="true" outlineLevel="0" collapsed="false">
      <c r="A157" s="0" t="n">
        <v>30</v>
      </c>
      <c r="B157" s="34" t="n">
        <v>42095</v>
      </c>
      <c r="C157" s="56" t="n">
        <v>7370</v>
      </c>
      <c r="D157" s="57" t="s">
        <v>42</v>
      </c>
      <c r="E157" s="33" t="n">
        <f aca="false">IF(D157="totale",(C157/(A157*24))/F157,IF(D157="marché libre",(C157/(A157*24))/G157,"spécifier histo"))</f>
        <v>0.0469546381243629</v>
      </c>
      <c r="F157" s="15" t="n">
        <v>218</v>
      </c>
      <c r="G157" s="59" t="n">
        <f aca="false">F157-H157</f>
        <v>218</v>
      </c>
      <c r="H157" s="58" t="n">
        <v>0</v>
      </c>
      <c r="J157" s="56"/>
      <c r="K157" s="505" t="n">
        <v>2014</v>
      </c>
      <c r="L157" s="202" t="s">
        <v>972</v>
      </c>
      <c r="M157" s="202" t="s">
        <v>635</v>
      </c>
      <c r="N157" s="202" t="s">
        <v>971</v>
      </c>
      <c r="O157" s="0"/>
      <c r="P157" s="0"/>
      <c r="Q157" s="0"/>
      <c r="R157" s="0"/>
      <c r="S157" s="0"/>
      <c r="T157" s="0"/>
    </row>
    <row r="158" customFormat="false" ht="19.85" hidden="false" customHeight="true" outlineLevel="0" collapsed="false">
      <c r="A158" s="0" t="n">
        <v>31</v>
      </c>
      <c r="B158" s="31" t="n">
        <v>42125</v>
      </c>
      <c r="C158" s="56" t="n">
        <v>0</v>
      </c>
      <c r="D158" s="57" t="s">
        <v>42</v>
      </c>
      <c r="E158" s="33" t="n">
        <f aca="false">IF(D158="totale",(C158/(A158*24))/F158,IF(D158="marché libre",(C158/(A158*24))/G158,"spécifier histo"))</f>
        <v>0</v>
      </c>
      <c r="F158" s="15" t="n">
        <v>218</v>
      </c>
      <c r="G158" s="59" t="n">
        <f aca="false">F158-H158</f>
        <v>218</v>
      </c>
      <c r="H158" s="58" t="n">
        <v>0</v>
      </c>
      <c r="J158" s="56"/>
      <c r="K158" s="505" t="n">
        <v>2014</v>
      </c>
      <c r="L158" s="202" t="s">
        <v>972</v>
      </c>
      <c r="M158" s="202" t="s">
        <v>636</v>
      </c>
      <c r="N158" s="202" t="s">
        <v>971</v>
      </c>
      <c r="O158" s="0"/>
      <c r="P158" s="0"/>
      <c r="Q158" s="0"/>
      <c r="R158" s="0"/>
      <c r="S158" s="0"/>
      <c r="T158" s="0"/>
    </row>
    <row r="159" customFormat="false" ht="19.85" hidden="false" customHeight="true" outlineLevel="0" collapsed="false">
      <c r="A159" s="0" t="n">
        <v>30</v>
      </c>
      <c r="B159" s="34" t="n">
        <v>42156</v>
      </c>
      <c r="C159" s="56" t="n">
        <v>0</v>
      </c>
      <c r="D159" s="57" t="s">
        <v>42</v>
      </c>
      <c r="E159" s="33" t="n">
        <f aca="false">IF(D159="totale",(C159/(A159*24))/F159,IF(D159="marché libre",(C159/(A159*24))/G159,"spécifier histo"))</f>
        <v>0</v>
      </c>
      <c r="F159" s="15" t="n">
        <v>218</v>
      </c>
      <c r="G159" s="59" t="n">
        <f aca="false">F159-H159</f>
        <v>218</v>
      </c>
      <c r="H159" s="58" t="n">
        <v>0</v>
      </c>
      <c r="J159" s="56"/>
      <c r="K159" s="505" t="n">
        <v>2014</v>
      </c>
      <c r="L159" s="202" t="s">
        <v>972</v>
      </c>
      <c r="M159" s="202" t="s">
        <v>637</v>
      </c>
      <c r="N159" s="202" t="s">
        <v>971</v>
      </c>
      <c r="O159" s="0"/>
      <c r="P159" s="0"/>
      <c r="Q159" s="0"/>
      <c r="R159" s="0"/>
      <c r="S159" s="0"/>
      <c r="T159" s="0"/>
    </row>
    <row r="160" customFormat="false" ht="19.85" hidden="false" customHeight="true" outlineLevel="0" collapsed="false">
      <c r="A160" s="0" t="n">
        <v>31</v>
      </c>
      <c r="B160" s="31" t="n">
        <v>42186</v>
      </c>
      <c r="C160" s="56" t="n">
        <v>0</v>
      </c>
      <c r="D160" s="57" t="s">
        <v>42</v>
      </c>
      <c r="E160" s="33" t="n">
        <f aca="false">IF(D160="totale",(C160/(A160*24))/F160,IF(D160="marché libre",(C160/(A160*24))/G160,"spécifier histo"))</f>
        <v>0</v>
      </c>
      <c r="F160" s="15" t="n">
        <v>218</v>
      </c>
      <c r="G160" s="59" t="n">
        <f aca="false">F160-H160</f>
        <v>218</v>
      </c>
      <c r="H160" s="58" t="n">
        <v>0</v>
      </c>
      <c r="J160" s="56"/>
      <c r="K160" s="505" t="n">
        <v>2014</v>
      </c>
      <c r="L160" s="202" t="s">
        <v>972</v>
      </c>
      <c r="M160" s="202" t="s">
        <v>638</v>
      </c>
      <c r="N160" s="202" t="s">
        <v>971</v>
      </c>
      <c r="O160" s="0"/>
      <c r="P160" s="0"/>
      <c r="Q160" s="0"/>
      <c r="R160" s="0"/>
      <c r="S160" s="0"/>
      <c r="T160" s="0"/>
    </row>
    <row r="161" customFormat="false" ht="19.85" hidden="false" customHeight="true" outlineLevel="0" collapsed="false">
      <c r="A161" s="0" t="n">
        <v>31</v>
      </c>
      <c r="B161" s="34" t="n">
        <v>42217</v>
      </c>
      <c r="C161" s="56" t="n">
        <v>0</v>
      </c>
      <c r="D161" s="57" t="s">
        <v>42</v>
      </c>
      <c r="E161" s="33" t="n">
        <f aca="false">IF(D161="totale",(C161/(A161*24))/F161,IF(D161="marché libre",(C161/(A161*24))/G161,"spécifier histo"))</f>
        <v>0</v>
      </c>
      <c r="F161" s="15" t="n">
        <v>218</v>
      </c>
      <c r="G161" s="59" t="n">
        <f aca="false">F161-H161</f>
        <v>218</v>
      </c>
      <c r="H161" s="58" t="n">
        <v>0</v>
      </c>
      <c r="J161" s="56"/>
      <c r="K161" s="505" t="n">
        <v>2014</v>
      </c>
      <c r="L161" s="202" t="s">
        <v>972</v>
      </c>
      <c r="M161" s="202" t="s">
        <v>639</v>
      </c>
      <c r="N161" s="202" t="s">
        <v>971</v>
      </c>
      <c r="O161" s="0"/>
      <c r="P161" s="0"/>
      <c r="Q161" s="0"/>
      <c r="R161" s="0"/>
      <c r="S161" s="0"/>
      <c r="T161" s="0"/>
    </row>
    <row r="162" customFormat="false" ht="19.85" hidden="false" customHeight="true" outlineLevel="0" collapsed="false">
      <c r="A162" s="0" t="n">
        <v>30</v>
      </c>
      <c r="B162" s="31" t="n">
        <v>42248</v>
      </c>
      <c r="C162" s="56" t="n">
        <v>0</v>
      </c>
      <c r="D162" s="57" t="s">
        <v>42</v>
      </c>
      <c r="E162" s="33" t="n">
        <f aca="false">IF(D162="totale",(C162/(A162*24))/F162,IF(D162="marché libre",(C162/(A162*24))/G162,"spécifier histo"))</f>
        <v>0</v>
      </c>
      <c r="F162" s="15" t="n">
        <v>218</v>
      </c>
      <c r="G162" s="59" t="n">
        <f aca="false">F162-H162</f>
        <v>218</v>
      </c>
      <c r="H162" s="58" t="n">
        <v>0</v>
      </c>
      <c r="J162" s="56"/>
      <c r="K162" s="505" t="n">
        <v>2014</v>
      </c>
      <c r="L162" s="202" t="s">
        <v>972</v>
      </c>
      <c r="M162" s="202" t="s">
        <v>640</v>
      </c>
      <c r="N162" s="202" t="s">
        <v>971</v>
      </c>
      <c r="O162" s="0"/>
      <c r="P162" s="0"/>
      <c r="Q162" s="0"/>
      <c r="R162" s="0"/>
      <c r="S162" s="0"/>
      <c r="T162" s="0"/>
    </row>
    <row r="163" customFormat="false" ht="19.85" hidden="false" customHeight="true" outlineLevel="0" collapsed="false">
      <c r="A163" s="0" t="n">
        <v>31</v>
      </c>
      <c r="B163" s="34" t="n">
        <v>42278</v>
      </c>
      <c r="C163" s="56" t="n">
        <v>0</v>
      </c>
      <c r="D163" s="57" t="s">
        <v>42</v>
      </c>
      <c r="E163" s="33" t="n">
        <f aca="false">IF(D163="totale",(C163/(A163*24))/F163,IF(D163="marché libre",(C163/(A163*24))/G163,"spécifier histo"))</f>
        <v>0</v>
      </c>
      <c r="F163" s="15" t="n">
        <v>218</v>
      </c>
      <c r="G163" s="59" t="n">
        <f aca="false">F163-H163</f>
        <v>218</v>
      </c>
      <c r="H163" s="58" t="n">
        <v>0</v>
      </c>
      <c r="J163" s="56"/>
      <c r="K163" s="505" t="n">
        <v>2014</v>
      </c>
      <c r="L163" s="202" t="s">
        <v>972</v>
      </c>
      <c r="M163" s="202" t="s">
        <v>641</v>
      </c>
      <c r="N163" s="202" t="s">
        <v>971</v>
      </c>
      <c r="O163" s="0"/>
      <c r="P163" s="0"/>
      <c r="Q163" s="0"/>
      <c r="R163" s="0"/>
      <c r="S163" s="0"/>
      <c r="T163" s="0"/>
    </row>
    <row r="164" customFormat="false" ht="19.85" hidden="false" customHeight="true" outlineLevel="0" collapsed="false">
      <c r="A164" s="0" t="n">
        <v>30</v>
      </c>
      <c r="B164" s="31" t="n">
        <v>42309</v>
      </c>
      <c r="C164" s="56" t="n">
        <v>0</v>
      </c>
      <c r="D164" s="57" t="s">
        <v>42</v>
      </c>
      <c r="E164" s="33" t="n">
        <f aca="false">IF(D164="totale",(C164/(A164*24))/F164,IF(D164="marché libre",(C164/(A164*24))/G164,"spécifier histo"))</f>
        <v>0</v>
      </c>
      <c r="F164" s="15" t="n">
        <v>218</v>
      </c>
      <c r="G164" s="59" t="n">
        <f aca="false">F164-H164</f>
        <v>218</v>
      </c>
      <c r="H164" s="58" t="n">
        <v>0</v>
      </c>
      <c r="J164" s="56"/>
      <c r="K164" s="505" t="n">
        <v>2014</v>
      </c>
      <c r="L164" s="202" t="s">
        <v>972</v>
      </c>
      <c r="M164" s="202" t="s">
        <v>642</v>
      </c>
      <c r="N164" s="202" t="s">
        <v>970</v>
      </c>
      <c r="O164" s="0"/>
      <c r="P164" s="0"/>
      <c r="Q164" s="0"/>
      <c r="R164" s="0"/>
      <c r="S164" s="0"/>
      <c r="T164" s="0"/>
    </row>
    <row r="165" customFormat="false" ht="19.85" hidden="false" customHeight="true" outlineLevel="0" collapsed="false">
      <c r="A165" s="0" t="n">
        <v>31</v>
      </c>
      <c r="B165" s="34" t="n">
        <v>42339</v>
      </c>
      <c r="C165" s="56" t="n">
        <v>0</v>
      </c>
      <c r="D165" s="57" t="s">
        <v>42</v>
      </c>
      <c r="E165" s="33" t="n">
        <f aca="false">IF(D165="totale",(C165/(A165*24))/F165,IF(D165="marché libre",(C165/(A165*24))/G165,"spécifier histo"))</f>
        <v>0</v>
      </c>
      <c r="F165" s="15" t="n">
        <v>218</v>
      </c>
      <c r="G165" s="59" t="n">
        <f aca="false">F165-H165</f>
        <v>218</v>
      </c>
      <c r="H165" s="58" t="n">
        <v>0</v>
      </c>
      <c r="J165" s="56"/>
      <c r="K165" s="505" t="n">
        <v>2014</v>
      </c>
      <c r="L165" s="202" t="s">
        <v>972</v>
      </c>
      <c r="M165" s="202" t="s">
        <v>643</v>
      </c>
      <c r="N165" s="202" t="s">
        <v>970</v>
      </c>
      <c r="O165" s="0"/>
      <c r="P165" s="0"/>
      <c r="Q165" s="0"/>
      <c r="R165" s="0"/>
      <c r="S165" s="0"/>
      <c r="T165" s="0"/>
    </row>
    <row r="166" customFormat="false" ht="19.85" hidden="false" customHeight="true" outlineLevel="0" collapsed="false">
      <c r="A166" s="0" t="n">
        <v>31</v>
      </c>
      <c r="B166" s="31" t="n">
        <v>42370</v>
      </c>
      <c r="C166" s="56" t="n">
        <v>89453</v>
      </c>
      <c r="D166" s="57" t="s">
        <v>42</v>
      </c>
      <c r="E166" s="33" t="n">
        <f aca="false">IF(D166="totale",(C166/(A166*24))/F166,IF(D166="marché libre",(C166/(A166*24))/G166,"spécifier histo"))</f>
        <v>0.551525352668442</v>
      </c>
      <c r="F166" s="15" t="n">
        <v>218</v>
      </c>
      <c r="G166" s="59" t="n">
        <f aca="false">F166-H166</f>
        <v>218</v>
      </c>
      <c r="H166" s="58" t="n">
        <v>0</v>
      </c>
      <c r="J166" s="56"/>
      <c r="K166" s="513" t="s">
        <v>189</v>
      </c>
      <c r="L166" s="513"/>
      <c r="M166" s="513"/>
      <c r="N166" s="513"/>
      <c r="O166" s="513"/>
      <c r="P166" s="0"/>
      <c r="Q166" s="0"/>
      <c r="R166" s="0"/>
      <c r="S166" s="0"/>
      <c r="T166" s="0"/>
    </row>
    <row r="167" customFormat="false" ht="19.85" hidden="false" customHeight="true" outlineLevel="0" collapsed="false">
      <c r="A167" s="0" t="n">
        <v>28</v>
      </c>
      <c r="B167" s="34" t="n">
        <v>42401</v>
      </c>
      <c r="C167" s="56" t="n">
        <v>98781</v>
      </c>
      <c r="D167" s="57" t="s">
        <v>42</v>
      </c>
      <c r="E167" s="33" t="n">
        <f aca="false">IF(D167="totale",(C167/(A167*24))/F167,IF(D167="marché libre",(C167/(A167*24))/G167,"spécifier histo"))</f>
        <v>0.674291448230668</v>
      </c>
      <c r="F167" s="15" t="n">
        <v>218</v>
      </c>
      <c r="G167" s="59" t="n">
        <f aca="false">F167-H167</f>
        <v>218</v>
      </c>
      <c r="H167" s="58" t="n">
        <v>0</v>
      </c>
      <c r="J167" s="56"/>
      <c r="K167" s="0"/>
      <c r="L167" s="0"/>
      <c r="M167" s="0"/>
      <c r="N167" s="0"/>
      <c r="O167" s="0"/>
      <c r="P167" s="0"/>
      <c r="Q167" s="0"/>
      <c r="R167" s="0"/>
      <c r="S167" s="0"/>
      <c r="T167" s="0"/>
    </row>
    <row r="168" customFormat="false" ht="19.85" hidden="false" customHeight="true" outlineLevel="0" collapsed="false">
      <c r="A168" s="0" t="n">
        <v>31</v>
      </c>
      <c r="B168" s="31" t="n">
        <v>42430</v>
      </c>
      <c r="C168" s="56" t="n">
        <v>98737</v>
      </c>
      <c r="D168" s="57" t="s">
        <v>42</v>
      </c>
      <c r="E168" s="33" t="n">
        <f aca="false">IF(D168="totale",(C168/(A168*24))/F168,IF(D168="marché libre",(C168/(A168*24))/G168,"spécifier histo"))</f>
        <v>0.608766153694387</v>
      </c>
      <c r="F168" s="15" t="n">
        <v>218</v>
      </c>
      <c r="G168" s="59" t="n">
        <f aca="false">F168-H168</f>
        <v>218</v>
      </c>
      <c r="H168" s="58" t="n">
        <v>0</v>
      </c>
      <c r="J168" s="56"/>
      <c r="N168" s="0"/>
      <c r="P168" s="0"/>
      <c r="S168" s="0"/>
    </row>
    <row r="169" customFormat="false" ht="19.85" hidden="false" customHeight="true" outlineLevel="0" collapsed="false">
      <c r="A169" s="0" t="n">
        <v>30</v>
      </c>
      <c r="B169" s="34" t="n">
        <v>42461</v>
      </c>
      <c r="C169" s="56" t="n">
        <v>39731</v>
      </c>
      <c r="D169" s="57" t="s">
        <v>42</v>
      </c>
      <c r="E169" s="33" t="n">
        <f aca="false">IF(D169="totale",(C169/(A169*24))/F169,IF(D169="marché libre",(C169/(A169*24))/G169,"spécifier histo"))</f>
        <v>0.253128185524975</v>
      </c>
      <c r="F169" s="15" t="n">
        <v>218</v>
      </c>
      <c r="G169" s="59" t="n">
        <f aca="false">F169-H169</f>
        <v>218</v>
      </c>
      <c r="H169" s="58" t="n">
        <v>0</v>
      </c>
      <c r="J169" s="56"/>
      <c r="N169" s="0"/>
      <c r="P169" s="0"/>
      <c r="S169" s="0"/>
    </row>
    <row r="170" customFormat="false" ht="19.85" hidden="false" customHeight="true" outlineLevel="0" collapsed="false">
      <c r="A170" s="0" t="n">
        <v>31</v>
      </c>
      <c r="B170" s="31" t="n">
        <v>42491</v>
      </c>
      <c r="C170" s="56" t="n">
        <v>0</v>
      </c>
      <c r="D170" s="57" t="s">
        <v>42</v>
      </c>
      <c r="E170" s="33" t="n">
        <f aca="false">IF(D170="totale",(C170/(A170*24))/F170,IF(D170="marché libre",(C170/(A170*24))/G170,"spécifier histo"))</f>
        <v>0</v>
      </c>
      <c r="F170" s="15" t="n">
        <v>218</v>
      </c>
      <c r="G170" s="59" t="n">
        <f aca="false">F170-H170</f>
        <v>218</v>
      </c>
      <c r="H170" s="58" t="n">
        <v>0</v>
      </c>
      <c r="J170" s="56"/>
      <c r="K170" s="63"/>
      <c r="N170" s="0"/>
      <c r="P170" s="0"/>
      <c r="S170" s="0"/>
    </row>
    <row r="171" customFormat="false" ht="19.85" hidden="false" customHeight="true" outlineLevel="0" collapsed="false">
      <c r="A171" s="0" t="n">
        <v>30</v>
      </c>
      <c r="B171" s="34" t="n">
        <v>42522</v>
      </c>
      <c r="C171" s="56" t="n">
        <v>0</v>
      </c>
      <c r="D171" s="57" t="s">
        <v>42</v>
      </c>
      <c r="E171" s="33" t="n">
        <f aca="false">IF(D171="totale",(C171/(A171*24))/F171,IF(D171="marché libre",(C171/(A171*24))/G171,"spécifier histo"))</f>
        <v>0</v>
      </c>
      <c r="F171" s="15" t="n">
        <v>218</v>
      </c>
      <c r="G171" s="59" t="n">
        <f aca="false">F171-H171</f>
        <v>218</v>
      </c>
      <c r="H171" s="59" t="n">
        <v>0</v>
      </c>
      <c r="I171" s="58"/>
      <c r="J171" s="56"/>
      <c r="K171" s="63"/>
      <c r="N171" s="0"/>
      <c r="P171" s="0"/>
      <c r="S171" s="0"/>
    </row>
    <row r="172" customFormat="false" ht="19.85" hidden="false" customHeight="true" outlineLevel="0" collapsed="false">
      <c r="A172" s="0" t="n">
        <v>31</v>
      </c>
      <c r="B172" s="31" t="n">
        <v>42552</v>
      </c>
      <c r="C172" s="56" t="n">
        <v>0</v>
      </c>
      <c r="D172" s="57" t="s">
        <v>42</v>
      </c>
      <c r="E172" s="33" t="n">
        <f aca="false">IF(D172="totale",(C172/(A172*24))/F172,IF(D172="marché libre",(C172/(A172*24))/G172,"spécifier histo"))</f>
        <v>0</v>
      </c>
      <c r="F172" s="15" t="n">
        <v>218</v>
      </c>
      <c r="G172" s="59" t="n">
        <f aca="false">F172-H172</f>
        <v>218</v>
      </c>
      <c r="H172" s="59" t="n">
        <v>0</v>
      </c>
      <c r="I172" s="58"/>
      <c r="J172" s="56"/>
      <c r="K172" s="63"/>
      <c r="N172" s="0"/>
      <c r="P172" s="0"/>
      <c r="S172" s="0"/>
    </row>
    <row r="173" customFormat="false" ht="19.85" hidden="false" customHeight="true" outlineLevel="0" collapsed="false">
      <c r="A173" s="0" t="n">
        <v>31</v>
      </c>
      <c r="B173" s="34" t="n">
        <v>42583</v>
      </c>
      <c r="C173" s="56" t="n">
        <v>0</v>
      </c>
      <c r="D173" s="57" t="s">
        <v>42</v>
      </c>
      <c r="E173" s="33" t="n">
        <f aca="false">IF(D173="totale",(C173/(A173*24))/F173,IF(D173="marché libre",(C173/(A173*24))/G173,"spécifier histo"))</f>
        <v>0</v>
      </c>
      <c r="F173" s="15" t="n">
        <v>218</v>
      </c>
      <c r="G173" s="59" t="n">
        <f aca="false">F173-H173</f>
        <v>218</v>
      </c>
      <c r="H173" s="59" t="n">
        <v>0</v>
      </c>
      <c r="I173" s="58"/>
      <c r="J173" s="56"/>
      <c r="N173" s="0"/>
      <c r="P173" s="0"/>
      <c r="S173" s="0"/>
    </row>
    <row r="174" customFormat="false" ht="19.85" hidden="false" customHeight="true" outlineLevel="0" collapsed="false">
      <c r="A174" s="0" t="n">
        <v>30</v>
      </c>
      <c r="B174" s="31" t="n">
        <v>42614</v>
      </c>
      <c r="C174" s="56" t="n">
        <v>0</v>
      </c>
      <c r="D174" s="57" t="s">
        <v>42</v>
      </c>
      <c r="E174" s="33" t="n">
        <f aca="false">IF(D174="totale",(C174/(A174*24))/F174,IF(D174="marché libre",(C174/(A174*24))/G174,"spécifier histo"))</f>
        <v>0</v>
      </c>
      <c r="F174" s="15" t="n">
        <v>218</v>
      </c>
      <c r="G174" s="59" t="n">
        <f aca="false">F174-H174</f>
        <v>218</v>
      </c>
      <c r="H174" s="59" t="n">
        <v>0</v>
      </c>
      <c r="I174" s="58"/>
      <c r="J174" s="56"/>
      <c r="N174" s="0"/>
      <c r="P174" s="0"/>
      <c r="S174" s="0"/>
    </row>
    <row r="175" customFormat="false" ht="19.85" hidden="false" customHeight="true" outlineLevel="0" collapsed="false">
      <c r="A175" s="0" t="n">
        <v>31</v>
      </c>
      <c r="B175" s="34" t="n">
        <v>42644</v>
      </c>
      <c r="C175" s="56" t="n">
        <v>0</v>
      </c>
      <c r="D175" s="57" t="s">
        <v>42</v>
      </c>
      <c r="E175" s="33" t="n">
        <f aca="false">IF(D175="totale",(C175/(A175*24))/F175,IF(D175="marché libre",(C175/(A175*24))/G175,"spécifier histo"))</f>
        <v>0</v>
      </c>
      <c r="F175" s="15" t="n">
        <v>218</v>
      </c>
      <c r="G175" s="59" t="n">
        <f aca="false">F175-H175</f>
        <v>218</v>
      </c>
      <c r="H175" s="59" t="n">
        <v>0</v>
      </c>
      <c r="I175" s="58"/>
      <c r="J175" s="56"/>
      <c r="N175" s="0"/>
      <c r="P175" s="0"/>
      <c r="S175" s="0"/>
    </row>
    <row r="176" customFormat="false" ht="19.85" hidden="false" customHeight="true" outlineLevel="0" collapsed="false">
      <c r="A176" s="0" t="n">
        <v>30</v>
      </c>
      <c r="B176" s="31" t="n">
        <v>42675</v>
      </c>
      <c r="C176" s="59" t="n">
        <v>0</v>
      </c>
      <c r="D176" s="57" t="s">
        <v>42</v>
      </c>
      <c r="E176" s="33" t="n">
        <f aca="false">IF(D176="totale",(C176/(A176*24))/F176,IF(D176="marché libre",(C176/(A176*24))/G176,"spécifier histo"))</f>
        <v>0</v>
      </c>
      <c r="F176" s="15" t="n">
        <v>218</v>
      </c>
      <c r="G176" s="59" t="n">
        <f aca="false">F176-H176</f>
        <v>218</v>
      </c>
      <c r="H176" s="59" t="n">
        <v>0</v>
      </c>
      <c r="I176" s="58"/>
      <c r="J176" s="56"/>
      <c r="N176" s="0"/>
      <c r="P176" s="0"/>
      <c r="S176" s="0"/>
    </row>
    <row r="177" customFormat="false" ht="19.85" hidden="false" customHeight="true" outlineLevel="0" collapsed="false">
      <c r="A177" s="0" t="n">
        <v>31</v>
      </c>
      <c r="B177" s="34" t="n">
        <v>42705</v>
      </c>
      <c r="C177" s="60" t="n">
        <v>0</v>
      </c>
      <c r="D177" s="57" t="s">
        <v>42</v>
      </c>
      <c r="E177" s="33" t="n">
        <f aca="false">IF(D177="totale",(C177/(A177*24))/F177,IF(D177="marché libre",(C177/(A177*24))/G177,"spécifier histo"))</f>
        <v>0</v>
      </c>
      <c r="F177" s="15" t="n">
        <v>218</v>
      </c>
      <c r="G177" s="59" t="n">
        <f aca="false">F177-H177</f>
        <v>218</v>
      </c>
      <c r="H177" s="59" t="n">
        <v>0</v>
      </c>
      <c r="I177" s="58"/>
      <c r="J177" s="56"/>
      <c r="N177" s="0"/>
      <c r="P177" s="0"/>
      <c r="S177" s="0"/>
    </row>
    <row r="178" customFormat="false" ht="19.85" hidden="false" customHeight="true" outlineLevel="0" collapsed="false">
      <c r="A178" s="0" t="n">
        <v>31</v>
      </c>
      <c r="B178" s="31" t="n">
        <v>42736</v>
      </c>
      <c r="C178" s="60" t="n">
        <v>0</v>
      </c>
      <c r="D178" s="57" t="s">
        <v>42</v>
      </c>
      <c r="E178" s="33" t="n">
        <f aca="false">IF(D178="totale",(C178/(A178*24))/F178,IF(D178="marché libre",(C178/(A178*24))/G178,"spécifier histo"))</f>
        <v>0</v>
      </c>
      <c r="F178" s="15" t="n">
        <v>218</v>
      </c>
      <c r="G178" s="59" t="n">
        <f aca="false">F178-H178</f>
        <v>218</v>
      </c>
      <c r="H178" s="59" t="n">
        <v>0</v>
      </c>
      <c r="I178" s="58"/>
      <c r="J178" s="56"/>
      <c r="N178" s="0"/>
      <c r="P178" s="0"/>
      <c r="S178" s="0"/>
    </row>
    <row r="179" customFormat="false" ht="19.85" hidden="false" customHeight="true" outlineLevel="0" collapsed="false">
      <c r="A179" s="0" t="n">
        <v>28</v>
      </c>
      <c r="B179" s="34" t="n">
        <v>42767</v>
      </c>
      <c r="C179" s="60" t="n">
        <v>27605</v>
      </c>
      <c r="D179" s="57" t="s">
        <v>42</v>
      </c>
      <c r="E179" s="33" t="n">
        <f aca="false">IF(D179="totale",(C179/(A179*24))/F179,IF(D179="marché libre",(C179/(A179*24))/G179,"spécifier histo"))</f>
        <v>0.188435179117519</v>
      </c>
      <c r="F179" s="15" t="n">
        <v>218</v>
      </c>
      <c r="G179" s="59" t="n">
        <f aca="false">F179-H179</f>
        <v>218</v>
      </c>
      <c r="H179" s="59" t="n">
        <v>0</v>
      </c>
      <c r="I179" s="58"/>
      <c r="J179" s="56"/>
      <c r="N179" s="0"/>
      <c r="P179" s="0"/>
      <c r="S179" s="0"/>
    </row>
    <row r="180" customFormat="false" ht="19.85" hidden="false" customHeight="true" outlineLevel="0" collapsed="false">
      <c r="A180" s="0" t="n">
        <v>31</v>
      </c>
      <c r="B180" s="31" t="n">
        <v>42795</v>
      </c>
      <c r="C180" s="59" t="n">
        <v>0</v>
      </c>
      <c r="D180" s="57" t="s">
        <v>42</v>
      </c>
      <c r="E180" s="33" t="n">
        <f aca="false">IF(D180="totale",(C180/(A180*24))/F180,IF(D180="marché libre",(C180/(A180*24))/G180,"spécifier histo"))</f>
        <v>0</v>
      </c>
      <c r="F180" s="15" t="n">
        <v>218</v>
      </c>
      <c r="G180" s="59" t="n">
        <f aca="false">F180-H180</f>
        <v>218</v>
      </c>
      <c r="H180" s="59" t="n">
        <v>0</v>
      </c>
      <c r="I180" s="58"/>
      <c r="J180" s="56"/>
      <c r="P180" s="0"/>
    </row>
    <row r="181" customFormat="false" ht="19.85" hidden="false" customHeight="true" outlineLevel="0" collapsed="false">
      <c r="A181" s="0" t="n">
        <v>30</v>
      </c>
      <c r="B181" s="34" t="n">
        <v>42826</v>
      </c>
      <c r="C181" s="59" t="n">
        <v>0</v>
      </c>
      <c r="D181" s="57" t="s">
        <v>42</v>
      </c>
      <c r="E181" s="33" t="n">
        <f aca="false">IF(D181="totale",(C181/(A181*24))/F181,IF(D181="marché libre",(C181/(A181*24))/G181,"spécifier histo"))</f>
        <v>0</v>
      </c>
      <c r="F181" s="15" t="n">
        <v>218</v>
      </c>
      <c r="G181" s="59" t="n">
        <f aca="false">F181-H181</f>
        <v>218</v>
      </c>
      <c r="H181" s="59" t="n">
        <v>0</v>
      </c>
      <c r="I181" s="58"/>
      <c r="J181" s="56"/>
      <c r="P181" s="0"/>
    </row>
    <row r="182" customFormat="false" ht="19.85" hidden="false" customHeight="true" outlineLevel="0" collapsed="false">
      <c r="A182" s="0" t="n">
        <v>31</v>
      </c>
      <c r="B182" s="31" t="n">
        <v>42856</v>
      </c>
      <c r="C182" s="9" t="n">
        <v>0</v>
      </c>
      <c r="D182" s="57" t="s">
        <v>42</v>
      </c>
      <c r="E182" s="33" t="n">
        <f aca="false">IF(D182="totale",(C182/(A182*24))/F182,IF(D182="marché libre",(C182/(A182*24))/G182,"spécifier histo"))</f>
        <v>0</v>
      </c>
      <c r="F182" s="15" t="n">
        <v>218</v>
      </c>
      <c r="G182" s="59" t="n">
        <f aca="false">F182-H182</f>
        <v>218</v>
      </c>
      <c r="H182" s="59" t="n">
        <v>0</v>
      </c>
      <c r="I182" s="58"/>
      <c r="J182" s="56"/>
      <c r="P182" s="0"/>
    </row>
    <row r="183" customFormat="false" ht="22.45" hidden="false" customHeight="true" outlineLevel="0" collapsed="false">
      <c r="A183" s="0" t="n">
        <v>30</v>
      </c>
      <c r="B183" s="34" t="n">
        <v>42887</v>
      </c>
      <c r="C183" s="9" t="n">
        <v>1</v>
      </c>
      <c r="D183" s="57" t="s">
        <v>42</v>
      </c>
      <c r="E183" s="33" t="n">
        <f aca="false">IF(D183="totale",(C183/(A183*24))/F183,IF(D183="marché libre",(C183/(A183*24))/G183,"spécifier histo"))</f>
        <v>6.3710499490316E-006</v>
      </c>
      <c r="F183" s="15" t="n">
        <v>218</v>
      </c>
      <c r="G183" s="59" t="n">
        <f aca="false">F183-H183</f>
        <v>218</v>
      </c>
      <c r="H183" s="59" t="n">
        <v>0</v>
      </c>
      <c r="I183" s="58"/>
      <c r="J183" s="56"/>
      <c r="P183" s="0"/>
    </row>
    <row r="184" customFormat="false" ht="21.65" hidden="false" customHeight="true" outlineLevel="0" collapsed="false">
      <c r="A184" s="0" t="n">
        <v>31</v>
      </c>
      <c r="B184" s="31" t="n">
        <v>42917</v>
      </c>
      <c r="C184" s="9" t="n">
        <v>0</v>
      </c>
      <c r="D184" s="57" t="s">
        <v>42</v>
      </c>
      <c r="E184" s="33" t="n">
        <f aca="false">IF(D184="totale",(C184/(A184*24))/F184,IF(D184="marché libre",(C184/(A184*24))/G184,"spécifier histo"))</f>
        <v>0</v>
      </c>
      <c r="F184" s="15" t="n">
        <v>218</v>
      </c>
      <c r="G184" s="59" t="n">
        <f aca="false">F184-H184</f>
        <v>218</v>
      </c>
      <c r="H184" s="59" t="n">
        <v>0</v>
      </c>
      <c r="I184" s="58"/>
      <c r="J184" s="56"/>
      <c r="P184" s="0"/>
    </row>
    <row r="185" customFormat="false" ht="21.65" hidden="false" customHeight="true" outlineLevel="0" collapsed="false">
      <c r="A185" s="0" t="n">
        <v>31</v>
      </c>
      <c r="B185" s="34" t="n">
        <v>42948</v>
      </c>
      <c r="C185" s="9" t="n">
        <v>0</v>
      </c>
      <c r="D185" s="57" t="s">
        <v>42</v>
      </c>
      <c r="E185" s="33" t="n">
        <f aca="false">IF(D185="totale",(C185/(A185*24))/F185,IF(D185="marché libre",(C185/(A185*24))/G185,"spécifier histo"))</f>
        <v>0</v>
      </c>
      <c r="F185" s="15" t="n">
        <v>218</v>
      </c>
      <c r="G185" s="59" t="n">
        <f aca="false">F185-H185</f>
        <v>218</v>
      </c>
      <c r="H185" s="59" t="n">
        <v>0</v>
      </c>
      <c r="I185" s="58"/>
      <c r="J185" s="56"/>
      <c r="P185" s="0"/>
    </row>
    <row r="186" customFormat="false" ht="21.65" hidden="false" customHeight="true" outlineLevel="0" collapsed="false">
      <c r="A186" s="0" t="n">
        <v>30</v>
      </c>
      <c r="B186" s="31" t="n">
        <v>42979</v>
      </c>
      <c r="C186" s="9" t="n">
        <v>0</v>
      </c>
      <c r="D186" s="57" t="s">
        <v>42</v>
      </c>
      <c r="E186" s="33" t="n">
        <f aca="false">IF(D186="totale",(C186/(A186*24))/F186,IF(D186="marché libre",(C186/(A186*24))/G186,"spécifier histo"))</f>
        <v>0</v>
      </c>
      <c r="F186" s="15" t="n">
        <v>218</v>
      </c>
      <c r="G186" s="59" t="n">
        <f aca="false">F186-H186</f>
        <v>218</v>
      </c>
      <c r="H186" s="59" t="n">
        <v>0</v>
      </c>
      <c r="J186" s="56"/>
      <c r="P186" s="0"/>
    </row>
    <row r="187" customFormat="false" ht="21.65" hidden="false" customHeight="true" outlineLevel="0" collapsed="false">
      <c r="A187" s="0" t="n">
        <v>31</v>
      </c>
      <c r="B187" s="34" t="n">
        <v>43009</v>
      </c>
      <c r="C187" s="9" t="n">
        <v>0</v>
      </c>
      <c r="D187" s="57" t="s">
        <v>42</v>
      </c>
      <c r="E187" s="33" t="n">
        <f aca="false">IF(D187="totale",(C187/(A187*24))/F187,IF(D187="marché libre",(C187/(A187*24))/G187,"spécifier histo"))</f>
        <v>0</v>
      </c>
      <c r="F187" s="15" t="n">
        <v>218</v>
      </c>
      <c r="G187" s="59" t="n">
        <f aca="false">F187-H187</f>
        <v>218</v>
      </c>
      <c r="H187" s="59" t="n">
        <v>0</v>
      </c>
      <c r="J187" s="56"/>
      <c r="P187" s="0"/>
    </row>
    <row r="188" customFormat="false" ht="21.65" hidden="false" customHeight="true" outlineLevel="0" collapsed="false">
      <c r="A188" s="0" t="n">
        <v>30</v>
      </c>
      <c r="B188" s="31" t="n">
        <v>43040</v>
      </c>
      <c r="C188" s="9" t="n">
        <v>0</v>
      </c>
      <c r="D188" s="57" t="s">
        <v>42</v>
      </c>
      <c r="E188" s="33" t="n">
        <f aca="false">IF(D188="totale",(C188/(A188*24))/F188,IF(D188="marché libre",(C188/(A188*24))/G188,"spécifier histo"))</f>
        <v>0</v>
      </c>
      <c r="F188" s="15" t="n">
        <v>218</v>
      </c>
      <c r="G188" s="59" t="n">
        <f aca="false">F188-H188</f>
        <v>218</v>
      </c>
      <c r="H188" s="59" t="n">
        <v>0</v>
      </c>
      <c r="J188" s="56"/>
      <c r="P188" s="0"/>
    </row>
    <row r="189" customFormat="false" ht="21.65" hidden="false" customHeight="true" outlineLevel="0" collapsed="false">
      <c r="A189" s="0" t="n">
        <v>31</v>
      </c>
      <c r="B189" s="34" t="n">
        <v>43070</v>
      </c>
      <c r="C189" s="9" t="n">
        <v>57668</v>
      </c>
      <c r="D189" s="57" t="s">
        <v>42</v>
      </c>
      <c r="E189" s="33" t="n">
        <f aca="false">IF(D189="totale",(C189/(A189*24))/F189,IF(D189="marché libre",(C189/(A189*24))/G189,"spécifier histo"))</f>
        <v>0.355553911413633</v>
      </c>
      <c r="F189" s="15" t="n">
        <v>218</v>
      </c>
      <c r="G189" s="59" t="n">
        <f aca="false">F189-H189</f>
        <v>218</v>
      </c>
      <c r="H189" s="59" t="n">
        <v>0</v>
      </c>
      <c r="J189" s="56"/>
      <c r="P189" s="0"/>
    </row>
    <row r="190" customFormat="false" ht="28.35" hidden="false" customHeight="true" outlineLevel="0" collapsed="false">
      <c r="A190" s="0" t="n">
        <v>31</v>
      </c>
      <c r="B190" s="31" t="n">
        <v>43101</v>
      </c>
      <c r="C190" s="9" t="n">
        <v>104204</v>
      </c>
      <c r="D190" s="57" t="s">
        <v>42</v>
      </c>
      <c r="E190" s="33" t="n">
        <f aca="false">IF(D190="totale",(C190/(A190*24))/F190,IF(D190="marché libre",(C190/(A190*24))/G190,"spécifier histo"))</f>
        <v>0.64247311827957</v>
      </c>
      <c r="F190" s="15" t="n">
        <v>218</v>
      </c>
      <c r="G190" s="59" t="n">
        <f aca="false">F190-H190</f>
        <v>218</v>
      </c>
      <c r="H190" s="59" t="n">
        <v>0</v>
      </c>
      <c r="J190" s="56"/>
      <c r="P190" s="0"/>
    </row>
    <row r="191" customFormat="false" ht="28.35" hidden="false" customHeight="true" outlineLevel="0" collapsed="false">
      <c r="A191" s="0" t="n">
        <v>28</v>
      </c>
      <c r="B191" s="34" t="n">
        <v>43132</v>
      </c>
      <c r="C191" s="1" t="n">
        <v>92687</v>
      </c>
      <c r="D191" s="57" t="s">
        <v>42</v>
      </c>
      <c r="E191" s="33" t="n">
        <f aca="false">IF(D191="totale",(C191/(A191*24))/F191,IF(D191="marché libre",(C191/(A191*24))/G191,"spécifier histo"))</f>
        <v>0.632693042813456</v>
      </c>
      <c r="F191" s="15" t="n">
        <v>218</v>
      </c>
      <c r="G191" s="59" t="n">
        <f aca="false">F191-H191</f>
        <v>218</v>
      </c>
      <c r="H191" s="59" t="n">
        <v>0</v>
      </c>
      <c r="J191" s="56"/>
      <c r="P191" s="0"/>
    </row>
    <row r="192" customFormat="false" ht="28.35" hidden="false" customHeight="true" outlineLevel="0" collapsed="false">
      <c r="A192" s="0" t="n">
        <v>31</v>
      </c>
      <c r="B192" s="31" t="n">
        <v>43160</v>
      </c>
      <c r="C192" s="1" t="n">
        <v>94693</v>
      </c>
      <c r="D192" s="57" t="s">
        <v>42</v>
      </c>
      <c r="E192" s="33" t="n">
        <f aca="false">IF(D192="totale",(C192/(A192*24))/F192,IF(D192="marché libre",(C192/(A192*24))/G192,"spécifier histo"))</f>
        <v>0.583832741442241</v>
      </c>
      <c r="F192" s="15" t="n">
        <v>218</v>
      </c>
      <c r="G192" s="59" t="n">
        <f aca="false">F192-H192</f>
        <v>218</v>
      </c>
      <c r="H192" s="59" t="n">
        <v>0</v>
      </c>
      <c r="J192" s="56"/>
      <c r="P192" s="0"/>
    </row>
    <row r="193" customFormat="false" ht="28.35" hidden="false" customHeight="true" outlineLevel="0" collapsed="false">
      <c r="A193" s="0" t="n">
        <v>30</v>
      </c>
      <c r="B193" s="34" t="n">
        <v>43191</v>
      </c>
      <c r="C193" s="1" t="n">
        <v>25580</v>
      </c>
      <c r="D193" s="57" t="s">
        <v>42</v>
      </c>
      <c r="E193" s="33" t="n">
        <f aca="false">IF(D193="totale",(C193/(A193*24))/F193,IF(D193="marché libre",(C193/(A193*24))/G193,"spécifier histo"))</f>
        <v>0.162971457696228</v>
      </c>
      <c r="F193" s="15" t="n">
        <v>218</v>
      </c>
      <c r="G193" s="59" t="n">
        <f aca="false">F193-H193</f>
        <v>218</v>
      </c>
      <c r="H193" s="59" t="n">
        <v>0</v>
      </c>
      <c r="J193" s="56"/>
      <c r="P193" s="0"/>
    </row>
    <row r="194" customFormat="false" ht="28.35" hidden="false" customHeight="true" outlineLevel="0" collapsed="false">
      <c r="A194" s="0" t="n">
        <v>31</v>
      </c>
      <c r="B194" s="31" t="n">
        <v>43221</v>
      </c>
      <c r="C194" s="1" t="n">
        <v>10</v>
      </c>
      <c r="D194" s="57" t="s">
        <v>42</v>
      </c>
      <c r="E194" s="33" t="n">
        <f aca="false">IF(D194="totale",(C194/(A194*24))/F194,IF(D194="marché libre",(C194/(A194*24))/G194,"spécifier histo"))</f>
        <v>6.16553220874026E-005</v>
      </c>
      <c r="F194" s="15" t="n">
        <v>218</v>
      </c>
      <c r="G194" s="59" t="n">
        <f aca="false">F194-H194</f>
        <v>218</v>
      </c>
      <c r="H194" s="59" t="n">
        <v>0</v>
      </c>
      <c r="J194" s="56"/>
      <c r="P194" s="0"/>
    </row>
    <row r="195" customFormat="false" ht="12.8" hidden="false" customHeight="false" outlineLevel="0" collapsed="false">
      <c r="A195" s="0"/>
      <c r="J195" s="56"/>
    </row>
    <row r="196" customFormat="false" ht="12.8" hidden="false" customHeight="false" outlineLevel="0" collapsed="false">
      <c r="A196" s="0"/>
      <c r="J196" s="56"/>
    </row>
    <row r="197" customFormat="false" ht="12.8" hidden="false" customHeight="false" outlineLevel="0" collapsed="false">
      <c r="A197" s="0"/>
      <c r="J197" s="56"/>
    </row>
    <row r="198" customFormat="false" ht="12.8" hidden="false" customHeight="false" outlineLevel="0" collapsed="false">
      <c r="A198" s="0"/>
      <c r="J198" s="56"/>
    </row>
    <row r="199" customFormat="false" ht="12.8" hidden="false" customHeight="false" outlineLevel="0" collapsed="false">
      <c r="A199" s="0"/>
      <c r="J199" s="56"/>
    </row>
    <row r="200" customFormat="false" ht="12.8" hidden="false" customHeight="false" outlineLevel="0" collapsed="false">
      <c r="A200" s="0"/>
      <c r="J200" s="56"/>
    </row>
    <row r="201" customFormat="false" ht="12.8" hidden="false" customHeight="false" outlineLevel="0" collapsed="false">
      <c r="A201" s="0"/>
      <c r="J201" s="56"/>
    </row>
    <row r="202" customFormat="false" ht="12.8" hidden="false" customHeight="false" outlineLevel="0" collapsed="false">
      <c r="J202" s="56"/>
    </row>
    <row r="203" customFormat="false" ht="12.8" hidden="false" customHeight="false" outlineLevel="0" collapsed="false">
      <c r="J203" s="56"/>
    </row>
    <row r="204" customFormat="false" ht="12.8" hidden="false" customHeight="false" outlineLevel="0" collapsed="false">
      <c r="J204" s="56"/>
    </row>
    <row r="205" customFormat="false" ht="12.8" hidden="false" customHeight="false" outlineLevel="0" collapsed="false">
      <c r="J205" s="56"/>
    </row>
    <row r="206" customFormat="false" ht="12.8" hidden="false" customHeight="false" outlineLevel="0" collapsed="false">
      <c r="J206" s="56"/>
    </row>
    <row r="207" customFormat="false" ht="12.8" hidden="false" customHeight="false" outlineLevel="0" collapsed="false">
      <c r="J207" s="56"/>
    </row>
    <row r="208" customFormat="false" ht="12.8" hidden="false" customHeight="false" outlineLevel="0" collapsed="false">
      <c r="J208" s="56"/>
    </row>
    <row r="209" customFormat="false" ht="12.8" hidden="false" customHeight="false" outlineLevel="0" collapsed="false">
      <c r="J209" s="56"/>
    </row>
    <row r="210" customFormat="false" ht="12.8" hidden="false" customHeight="false" outlineLevel="0" collapsed="false">
      <c r="J210" s="56"/>
    </row>
    <row r="211" customFormat="false" ht="12.8" hidden="false" customHeight="false" outlineLevel="0" collapsed="false">
      <c r="J211" s="56"/>
    </row>
    <row r="212" customFormat="false" ht="12.8" hidden="false" customHeight="false" outlineLevel="0" collapsed="false">
      <c r="J212" s="56"/>
    </row>
    <row r="213" customFormat="false" ht="12.8" hidden="false" customHeight="false" outlineLevel="0" collapsed="false">
      <c r="J213" s="56"/>
    </row>
    <row r="214" customFormat="false" ht="12.8" hidden="false" customHeight="false" outlineLevel="0" collapsed="false">
      <c r="J214" s="56"/>
    </row>
    <row r="215" customFormat="false" ht="12.8" hidden="false" customHeight="false" outlineLevel="0" collapsed="false">
      <c r="J215" s="56"/>
    </row>
    <row r="216" customFormat="false" ht="12.8" hidden="false" customHeight="false" outlineLevel="0" collapsed="false">
      <c r="J216" s="56"/>
    </row>
    <row r="217" customFormat="false" ht="12.8" hidden="false" customHeight="false" outlineLevel="0" collapsed="false">
      <c r="J217" s="56"/>
    </row>
    <row r="218" customFormat="false" ht="12.8" hidden="false" customHeight="false" outlineLevel="0" collapsed="false">
      <c r="J218" s="56"/>
    </row>
    <row r="219" customFormat="false" ht="12.8" hidden="false" customHeight="false" outlineLevel="0" collapsed="false">
      <c r="J219" s="56"/>
    </row>
    <row r="220" customFormat="false" ht="12.8" hidden="false" customHeight="false" outlineLevel="0" collapsed="false">
      <c r="J220" s="56"/>
    </row>
    <row r="221" customFormat="false" ht="12.8" hidden="false" customHeight="false" outlineLevel="0" collapsed="false">
      <c r="J221" s="56"/>
    </row>
    <row r="222" customFormat="false" ht="12.8" hidden="false" customHeight="false" outlineLevel="0" collapsed="false">
      <c r="J222" s="56"/>
    </row>
    <row r="223" customFormat="false" ht="12.8" hidden="false" customHeight="false" outlineLevel="0" collapsed="false">
      <c r="J223" s="56"/>
    </row>
    <row r="224" customFormat="false" ht="12.8" hidden="false" customHeight="false" outlineLevel="0" collapsed="false">
      <c r="J224" s="56"/>
    </row>
    <row r="225" customFormat="false" ht="12.8" hidden="false" customHeight="false" outlineLevel="0" collapsed="false">
      <c r="J225" s="56"/>
    </row>
    <row r="226" customFormat="false" ht="12.8" hidden="false" customHeight="false" outlineLevel="0" collapsed="false">
      <c r="J226" s="56"/>
    </row>
    <row r="227" customFormat="false" ht="12.8" hidden="false" customHeight="false" outlineLevel="0" collapsed="false">
      <c r="J227" s="56"/>
    </row>
    <row r="228" customFormat="false" ht="12.8" hidden="false" customHeight="false" outlineLevel="0" collapsed="false">
      <c r="J228" s="56"/>
    </row>
    <row r="229" customFormat="false" ht="12.8" hidden="false" customHeight="false" outlineLevel="0" collapsed="false">
      <c r="J229" s="56"/>
    </row>
    <row r="230" customFormat="false" ht="12.8" hidden="false" customHeight="false" outlineLevel="0" collapsed="false">
      <c r="J230" s="56"/>
    </row>
    <row r="231" customFormat="false" ht="12.8" hidden="false" customHeight="false" outlineLevel="0" collapsed="false">
      <c r="J231" s="56"/>
    </row>
    <row r="232" customFormat="false" ht="12.8" hidden="false" customHeight="false" outlineLevel="0" collapsed="false">
      <c r="J232" s="56"/>
    </row>
    <row r="233" customFormat="false" ht="12.8" hidden="false" customHeight="false" outlineLevel="0" collapsed="false">
      <c r="J233" s="56"/>
    </row>
    <row r="234" customFormat="false" ht="12.8" hidden="false" customHeight="false" outlineLevel="0" collapsed="false">
      <c r="J234" s="56"/>
    </row>
    <row r="235" customFormat="false" ht="12.8" hidden="false" customHeight="false" outlineLevel="0" collapsed="false">
      <c r="J235" s="56"/>
    </row>
    <row r="236" customFormat="false" ht="12.8" hidden="false" customHeight="false" outlineLevel="0" collapsed="false">
      <c r="J236" s="56"/>
    </row>
    <row r="237" customFormat="false" ht="12.8" hidden="false" customHeight="false" outlineLevel="0" collapsed="false">
      <c r="J237" s="56"/>
    </row>
    <row r="238" customFormat="false" ht="12.8" hidden="false" customHeight="false" outlineLevel="0" collapsed="false">
      <c r="J238" s="56"/>
    </row>
    <row r="239" customFormat="false" ht="12.8" hidden="false" customHeight="false" outlineLevel="0" collapsed="false">
      <c r="J239" s="56"/>
    </row>
    <row r="240" customFormat="false" ht="12.8" hidden="false" customHeight="false" outlineLevel="0" collapsed="false">
      <c r="J240" s="56"/>
    </row>
    <row r="241" customFormat="false" ht="12.8" hidden="false" customHeight="false" outlineLevel="0" collapsed="false">
      <c r="J241" s="56"/>
    </row>
    <row r="242" customFormat="false" ht="12.8" hidden="false" customHeight="false" outlineLevel="0" collapsed="false">
      <c r="J242" s="56"/>
    </row>
    <row r="243" customFormat="false" ht="12.8" hidden="false" customHeight="false" outlineLevel="0" collapsed="false">
      <c r="J243" s="56"/>
    </row>
    <row r="244" customFormat="false" ht="12.8" hidden="false" customHeight="false" outlineLevel="0" collapsed="false">
      <c r="J244" s="56"/>
    </row>
    <row r="245" customFormat="false" ht="12.8" hidden="false" customHeight="false" outlineLevel="0" collapsed="false">
      <c r="J245" s="56"/>
    </row>
    <row r="246" customFormat="false" ht="12.8" hidden="false" customHeight="false" outlineLevel="0" collapsed="false">
      <c r="J246" s="56"/>
    </row>
    <row r="247" customFormat="false" ht="12.8" hidden="false" customHeight="false" outlineLevel="0" collapsed="false">
      <c r="J247" s="56"/>
    </row>
    <row r="248" customFormat="false" ht="12.8" hidden="false" customHeight="false" outlineLevel="0" collapsed="false">
      <c r="J248" s="56"/>
    </row>
    <row r="249" customFormat="false" ht="12.8" hidden="false" customHeight="false" outlineLevel="0" collapsed="false">
      <c r="J249" s="56"/>
    </row>
    <row r="250" customFormat="false" ht="12.8" hidden="false" customHeight="false" outlineLevel="0" collapsed="false">
      <c r="J250" s="56"/>
    </row>
    <row r="251" customFormat="false" ht="12.8" hidden="false" customHeight="false" outlineLevel="0" collapsed="false">
      <c r="J251" s="56"/>
    </row>
    <row r="252" customFormat="false" ht="12.8" hidden="false" customHeight="false" outlineLevel="0" collapsed="false">
      <c r="J252" s="56"/>
    </row>
    <row r="253" customFormat="false" ht="12.8" hidden="false" customHeight="false" outlineLevel="0" collapsed="false">
      <c r="J253" s="56"/>
    </row>
  </sheetData>
  <mergeCells count="15">
    <mergeCell ref="B1:E2"/>
    <mergeCell ref="F1:N1"/>
    <mergeCell ref="F2:I2"/>
    <mergeCell ref="J2:K2"/>
    <mergeCell ref="L2:M2"/>
    <mergeCell ref="N2:N3"/>
    <mergeCell ref="U2:U3"/>
    <mergeCell ref="T4:V4"/>
    <mergeCell ref="C6:D6"/>
    <mergeCell ref="F6:F7"/>
    <mergeCell ref="G6:N7"/>
    <mergeCell ref="C7:D7"/>
    <mergeCell ref="K152:O152"/>
    <mergeCell ref="K153:O153"/>
    <mergeCell ref="K166:O166"/>
  </mergeCells>
  <conditionalFormatting sqref="E191:E194 E10:E18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90">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3.xml><?xml version="1.0" encoding="utf-8"?>
<worksheet xmlns="http://schemas.openxmlformats.org/spreadsheetml/2006/main" xmlns:r="http://schemas.openxmlformats.org/officeDocument/2006/relationships">
  <sheetPr filterMode="false">
    <tabColor rgb="FF00CC33"/>
    <pageSetUpPr fitToPage="false"/>
  </sheetPr>
  <dimension ref="A1:V270"/>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C203" activePane="bottomRight" state="frozen"/>
      <selection pane="topLeft" activeCell="A1" activeCellId="0" sqref="A1"/>
      <selection pane="topRight" activeCell="C1" activeCellId="0" sqref="C1"/>
      <selection pane="bottomLeft" activeCell="A203" activeCellId="0" sqref="A203"/>
      <selection pane="bottomRight" activeCell="C215" activeCellId="0" sqref="C215"/>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56" width="24.68"/>
    <col collapsed="false" customWidth="true" hidden="false" outlineLevel="0" max="11" min="11" style="256" width="19.45"/>
    <col collapsed="false" customWidth="true" hidden="false" outlineLevel="0" max="12" min="12" style="256" width="24.54"/>
    <col collapsed="false" customWidth="false" hidden="false" outlineLevel="0" max="13" min="13" style="256" width="11.52"/>
    <col collapsed="false" customWidth="true" hidden="false" outlineLevel="0" max="14" min="14" style="256" width="10.8"/>
    <col collapsed="false" customWidth="true" hidden="false" outlineLevel="0" max="15" min="15" style="256" width="4.02"/>
    <col collapsed="false" customWidth="false" hidden="false" outlineLevel="0" max="16" min="16" style="256" width="11.52"/>
    <col collapsed="false" customWidth="true" hidden="false" outlineLevel="0" max="17" min="17" style="256" width="15.28"/>
    <col collapsed="false" customWidth="true" hidden="false" outlineLevel="0" max="18" min="18" style="256" width="3.85"/>
    <col collapsed="false" customWidth="false" hidden="false" outlineLevel="0" max="20" min="19" style="256" width="11.52"/>
    <col collapsed="false" customWidth="false" hidden="false" outlineLevel="0" max="1025" min="21" style="1" width="11.52"/>
  </cols>
  <sheetData>
    <row r="1" s="1" customFormat="true" ht="30.8" hidden="false" customHeight="true" outlineLevel="0" collapsed="false">
      <c r="A1" s="122" t="s">
        <v>108</v>
      </c>
      <c r="B1" s="2" t="s">
        <v>0</v>
      </c>
      <c r="C1" s="2"/>
      <c r="D1" s="2"/>
      <c r="E1" s="2"/>
      <c r="F1" s="3" t="s">
        <v>1</v>
      </c>
      <c r="G1" s="3"/>
      <c r="H1" s="3"/>
      <c r="I1" s="3"/>
      <c r="J1" s="3"/>
      <c r="K1" s="3"/>
      <c r="L1" s="3"/>
      <c r="M1" s="3"/>
      <c r="N1" s="3"/>
    </row>
    <row r="2" s="1" customFormat="true" ht="30.8" hidden="false" customHeight="true" outlineLevel="0" collapsed="false">
      <c r="A2" s="0"/>
      <c r="B2" s="2"/>
      <c r="C2" s="2"/>
      <c r="D2" s="2"/>
      <c r="E2" s="2"/>
      <c r="F2" s="3" t="s">
        <v>305</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16" t="s">
        <v>973</v>
      </c>
      <c r="C4" s="5" t="n">
        <v>80744</v>
      </c>
      <c r="D4" s="5" t="s">
        <v>974</v>
      </c>
      <c r="E4" s="14" t="s">
        <v>975</v>
      </c>
      <c r="F4" s="16" t="n">
        <v>720</v>
      </c>
      <c r="G4" s="16" t="n">
        <v>820</v>
      </c>
      <c r="H4" s="5" t="n">
        <v>320</v>
      </c>
      <c r="I4" s="273" t="s">
        <v>976</v>
      </c>
      <c r="J4" s="16" t="n">
        <v>720</v>
      </c>
      <c r="K4" s="16" t="s">
        <v>977</v>
      </c>
      <c r="L4" s="5" t="s">
        <v>978</v>
      </c>
      <c r="M4" s="273" t="n">
        <v>320</v>
      </c>
      <c r="N4" s="16"/>
      <c r="P4" s="17"/>
      <c r="Q4" s="16" t="s">
        <v>23</v>
      </c>
      <c r="S4" s="18"/>
      <c r="T4" s="19" t="s">
        <v>24</v>
      </c>
      <c r="U4" s="19"/>
      <c r="V4" s="19"/>
    </row>
    <row r="5" s="1" customFormat="true" ht="28.35" hidden="false" customHeight="true" outlineLevel="0" collapsed="false">
      <c r="A5" s="0"/>
      <c r="F5" s="9"/>
      <c r="G5" s="9"/>
      <c r="H5" s="9"/>
      <c r="J5" s="9"/>
      <c r="P5" s="9"/>
      <c r="Q5" s="9"/>
    </row>
    <row r="6" s="1" customFormat="true" ht="28.35" hidden="false" customHeight="true" outlineLevel="0" collapsed="false">
      <c r="A6" s="0"/>
      <c r="B6" s="0"/>
      <c r="C6" s="10" t="s">
        <v>25</v>
      </c>
      <c r="D6" s="10"/>
      <c r="F6" s="20" t="s">
        <v>26</v>
      </c>
      <c r="G6" s="19" t="s">
        <v>979</v>
      </c>
      <c r="H6" s="19"/>
      <c r="I6" s="19"/>
      <c r="J6" s="19"/>
      <c r="K6" s="19"/>
      <c r="L6" s="19"/>
      <c r="M6" s="19"/>
      <c r="N6" s="19"/>
      <c r="P6" s="21" t="n">
        <v>43101</v>
      </c>
      <c r="Q6" s="19" t="s">
        <v>27</v>
      </c>
      <c r="R6" s="9"/>
      <c r="S6" s="22"/>
      <c r="T6" s="5" t="s">
        <v>28</v>
      </c>
    </row>
    <row r="7" s="1" customFormat="true" ht="66.9" hidden="false" customHeight="true" outlineLevel="0" collapsed="false">
      <c r="A7" s="0"/>
      <c r="B7" s="0"/>
      <c r="C7" s="23" t="s">
        <v>980</v>
      </c>
      <c r="D7" s="23"/>
      <c r="F7" s="20"/>
      <c r="G7" s="20"/>
      <c r="H7" s="19"/>
      <c r="I7" s="19"/>
      <c r="J7" s="19"/>
      <c r="K7" s="19"/>
      <c r="L7" s="19"/>
      <c r="M7" s="19"/>
      <c r="N7" s="19"/>
      <c r="P7" s="24"/>
      <c r="Q7" s="5" t="s">
        <v>29</v>
      </c>
      <c r="R7" s="9"/>
      <c r="S7" s="25"/>
      <c r="T7" s="5" t="s">
        <v>30</v>
      </c>
    </row>
    <row r="8" s="1" customFormat="true" ht="42.45" hidden="false" customHeight="true" outlineLevel="0" collapsed="false">
      <c r="A8" s="26"/>
      <c r="C8" s="0"/>
      <c r="F8" s="9"/>
      <c r="G8" s="9"/>
      <c r="H8" s="9"/>
      <c r="J8" s="9"/>
      <c r="R8" s="9"/>
      <c r="S8" s="27"/>
      <c r="T8" s="16" t="s">
        <v>31</v>
      </c>
    </row>
    <row r="9" s="1" customFormat="true" ht="36.65" hidden="false" customHeight="true" outlineLevel="0" collapsed="false">
      <c r="A9" s="26"/>
      <c r="B9" s="9" t="s">
        <v>32</v>
      </c>
      <c r="C9" s="1" t="s">
        <v>33</v>
      </c>
      <c r="D9" s="0"/>
      <c r="E9" s="1" t="s">
        <v>35</v>
      </c>
      <c r="F9" s="9" t="s">
        <v>36</v>
      </c>
      <c r="G9" s="9" t="s">
        <v>37</v>
      </c>
      <c r="H9" s="9" t="s">
        <v>38</v>
      </c>
      <c r="I9" s="9" t="s">
        <v>39</v>
      </c>
      <c r="J9" s="205" t="s">
        <v>40</v>
      </c>
    </row>
    <row r="10" customFormat="false" ht="19.85" hidden="false" customHeight="true" outlineLevel="0" collapsed="false">
      <c r="A10" s="0" t="n">
        <v>31</v>
      </c>
      <c r="B10" s="31" t="n">
        <v>36892</v>
      </c>
      <c r="C10" s="60" t="n">
        <v>437550</v>
      </c>
      <c r="D10" s="260" t="s">
        <v>41</v>
      </c>
      <c r="E10" s="33" t="n">
        <f aca="false">IF(D10="totale",(C10/(A10*24))/F10,IF(D10="marché libre",(C10/(A10*24))/G10,"spécifier histo"))</f>
        <v>0.816812275985663</v>
      </c>
      <c r="F10" s="59" t="n">
        <v>720</v>
      </c>
      <c r="G10" s="59" t="n">
        <f aca="false">F10-H10</f>
        <v>720</v>
      </c>
      <c r="H10" s="59" t="n">
        <f aca="false">0</f>
        <v>0</v>
      </c>
      <c r="J10" s="1"/>
      <c r="K10" s="1"/>
      <c r="L10" s="1"/>
      <c r="M10" s="1"/>
      <c r="N10" s="1"/>
    </row>
    <row r="11" customFormat="false" ht="19.85" hidden="false" customHeight="true" outlineLevel="0" collapsed="false">
      <c r="A11" s="0" t="n">
        <v>28</v>
      </c>
      <c r="B11" s="34" t="n">
        <v>36923</v>
      </c>
      <c r="C11" s="60" t="n">
        <v>399577</v>
      </c>
      <c r="D11" s="260" t="s">
        <v>41</v>
      </c>
      <c r="E11" s="33" t="n">
        <f aca="false">IF(D11="totale",(C11/(A11*24))/F11,IF(D11="marché libre",(C11/(A11*24))/G11,"spécifier histo"))</f>
        <v>0.825845320767196</v>
      </c>
      <c r="F11" s="59" t="n">
        <v>720</v>
      </c>
      <c r="G11" s="59" t="n">
        <f aca="false">F11-H11</f>
        <v>720</v>
      </c>
      <c r="H11" s="59" t="n">
        <f aca="false">0</f>
        <v>0</v>
      </c>
      <c r="J11" s="514" t="s">
        <v>981</v>
      </c>
      <c r="K11" s="1"/>
      <c r="L11" s="1"/>
      <c r="M11" s="1"/>
      <c r="N11" s="1"/>
    </row>
    <row r="12" customFormat="false" ht="19.85" hidden="false" customHeight="true" outlineLevel="0" collapsed="false">
      <c r="A12" s="0" t="n">
        <v>31</v>
      </c>
      <c r="B12" s="31" t="n">
        <v>36951</v>
      </c>
      <c r="C12" s="60" t="n">
        <v>514807</v>
      </c>
      <c r="D12" s="260" t="s">
        <v>41</v>
      </c>
      <c r="E12" s="33" t="n">
        <f aca="false">IF(D12="totale",(C12/(A12*24))/F12,IF(D12="marché libre",(C12/(A12*24))/G12,"spécifier histo"))</f>
        <v>0.961034572879331</v>
      </c>
      <c r="F12" s="59" t="n">
        <v>720</v>
      </c>
      <c r="G12" s="59" t="n">
        <f aca="false">F12-H12</f>
        <v>720</v>
      </c>
      <c r="H12" s="59" t="n">
        <f aca="false">0</f>
        <v>0</v>
      </c>
      <c r="J12" s="514" t="s">
        <v>982</v>
      </c>
      <c r="K12" s="1"/>
      <c r="L12" s="180" t="s">
        <v>983</v>
      </c>
      <c r="M12" s="1"/>
      <c r="N12" s="1"/>
    </row>
    <row r="13" customFormat="false" ht="19.85" hidden="false" customHeight="true" outlineLevel="0" collapsed="false">
      <c r="A13" s="0" t="n">
        <v>30</v>
      </c>
      <c r="B13" s="34" t="n">
        <v>36982</v>
      </c>
      <c r="C13" s="60" t="n">
        <v>490140</v>
      </c>
      <c r="D13" s="260" t="s">
        <v>41</v>
      </c>
      <c r="E13" s="33" t="n">
        <f aca="false">IF(D13="totale",(C13/(A13*24))/F13,IF(D13="marché libre",(C13/(A13*24))/G13,"spécifier histo"))</f>
        <v>0.945486111111111</v>
      </c>
      <c r="F13" s="59" t="n">
        <v>720</v>
      </c>
      <c r="G13" s="59" t="n">
        <f aca="false">F13-H13</f>
        <v>720</v>
      </c>
      <c r="H13" s="59" t="n">
        <f aca="false">0</f>
        <v>0</v>
      </c>
      <c r="J13" s="514" t="s">
        <v>984</v>
      </c>
      <c r="K13" s="1"/>
      <c r="L13" s="180"/>
      <c r="M13" s="1"/>
      <c r="N13" s="1"/>
    </row>
    <row r="14" customFormat="false" ht="19.85" hidden="false" customHeight="true" outlineLevel="0" collapsed="false">
      <c r="A14" s="0" t="n">
        <v>31</v>
      </c>
      <c r="B14" s="31" t="n">
        <v>37012</v>
      </c>
      <c r="C14" s="60" t="n">
        <v>470626</v>
      </c>
      <c r="D14" s="260" t="s">
        <v>41</v>
      </c>
      <c r="E14" s="33" t="n">
        <f aca="false">IF(D14="totale",(C14/(A14*24))/F14,IF(D14="marché libre",(C14/(A14*24))/G14,"spécifier histo"))</f>
        <v>0.878558094384707</v>
      </c>
      <c r="F14" s="59" t="n">
        <v>720</v>
      </c>
      <c r="G14" s="59" t="n">
        <f aca="false">F14-H14</f>
        <v>720</v>
      </c>
      <c r="H14" s="59" t="n">
        <f aca="false">0</f>
        <v>0</v>
      </c>
      <c r="J14" s="514" t="s">
        <v>985</v>
      </c>
      <c r="K14" s="1"/>
      <c r="L14" s="180" t="s">
        <v>986</v>
      </c>
      <c r="M14" s="1"/>
      <c r="N14" s="1"/>
    </row>
    <row r="15" customFormat="false" ht="19.85" hidden="false" customHeight="true" outlineLevel="0" collapsed="false">
      <c r="A15" s="0" t="n">
        <v>30</v>
      </c>
      <c r="B15" s="34" t="n">
        <v>37043</v>
      </c>
      <c r="C15" s="60" t="n">
        <v>79120</v>
      </c>
      <c r="D15" s="260" t="s">
        <v>41</v>
      </c>
      <c r="E15" s="33" t="n">
        <f aca="false">IF(D15="totale",(C15/(A15*24))/F15,IF(D15="marché libre",(C15/(A15*24))/G15,"spécifier histo"))</f>
        <v>0.152623456790123</v>
      </c>
      <c r="F15" s="59" t="n">
        <v>720</v>
      </c>
      <c r="G15" s="59" t="n">
        <f aca="false">F15-H15</f>
        <v>720</v>
      </c>
      <c r="H15" s="59" t="n">
        <f aca="false">0</f>
        <v>0</v>
      </c>
      <c r="J15" s="514" t="s">
        <v>987</v>
      </c>
      <c r="K15" s="1"/>
      <c r="L15" s="180" t="s">
        <v>988</v>
      </c>
      <c r="M15" s="1"/>
      <c r="N15" s="1"/>
    </row>
    <row r="16" customFormat="false" ht="19.85" hidden="false" customHeight="true" outlineLevel="0" collapsed="false">
      <c r="A16" s="0" t="n">
        <v>31</v>
      </c>
      <c r="B16" s="31" t="n">
        <v>37073</v>
      </c>
      <c r="C16" s="60" t="n">
        <v>0</v>
      </c>
      <c r="D16" s="260" t="s">
        <v>41</v>
      </c>
      <c r="E16" s="33" t="n">
        <f aca="false">IF(D16="totale",(C16/(A16*24))/F16,IF(D16="marché libre",(C16/(A16*24))/G16,"spécifier histo"))</f>
        <v>0</v>
      </c>
      <c r="F16" s="59" t="n">
        <v>720</v>
      </c>
      <c r="G16" s="59" t="n">
        <f aca="false">F16-H16</f>
        <v>720</v>
      </c>
      <c r="H16" s="59" t="n">
        <f aca="false">0</f>
        <v>0</v>
      </c>
      <c r="J16" s="515" t="s">
        <v>989</v>
      </c>
      <c r="K16" s="1"/>
      <c r="L16" s="180" t="s">
        <v>990</v>
      </c>
      <c r="M16" s="1"/>
      <c r="N16" s="1"/>
    </row>
    <row r="17" customFormat="false" ht="19.85" hidden="false" customHeight="true" outlineLevel="0" collapsed="false">
      <c r="A17" s="0" t="n">
        <v>31</v>
      </c>
      <c r="B17" s="34" t="n">
        <v>37104</v>
      </c>
      <c r="C17" s="60" t="n">
        <v>0</v>
      </c>
      <c r="D17" s="260" t="s">
        <v>41</v>
      </c>
      <c r="E17" s="33" t="n">
        <f aca="false">IF(D17="totale",(C17/(A17*24))/F17,IF(D17="marché libre",(C17/(A17*24))/G17,"spécifier histo"))</f>
        <v>0</v>
      </c>
      <c r="F17" s="59" t="n">
        <v>720</v>
      </c>
      <c r="G17" s="59" t="n">
        <f aca="false">F17-H17</f>
        <v>720</v>
      </c>
      <c r="H17" s="59" t="n">
        <f aca="false">0</f>
        <v>0</v>
      </c>
      <c r="J17" s="515" t="s">
        <v>991</v>
      </c>
      <c r="K17" s="1"/>
      <c r="L17" s="206" t="s">
        <v>992</v>
      </c>
      <c r="M17" s="1"/>
      <c r="N17" s="1"/>
    </row>
    <row r="18" customFormat="false" ht="19.85" hidden="false" customHeight="true" outlineLevel="0" collapsed="false">
      <c r="A18" s="0" t="n">
        <v>30</v>
      </c>
      <c r="B18" s="31" t="n">
        <v>37135</v>
      </c>
      <c r="C18" s="60" t="n">
        <v>0</v>
      </c>
      <c r="D18" s="260" t="s">
        <v>41</v>
      </c>
      <c r="E18" s="33" t="n">
        <f aca="false">IF(D18="totale",(C18/(A18*24))/F18,IF(D18="marché libre",(C18/(A18*24))/G18,"spécifier histo"))</f>
        <v>0</v>
      </c>
      <c r="F18" s="59" t="n">
        <v>720</v>
      </c>
      <c r="G18" s="59" t="n">
        <f aca="false">F18-H18</f>
        <v>720</v>
      </c>
      <c r="H18" s="59" t="n">
        <f aca="false">0</f>
        <v>0</v>
      </c>
      <c r="J18" s="1"/>
      <c r="K18" s="1"/>
      <c r="L18" s="0"/>
      <c r="M18" s="1"/>
      <c r="N18" s="1"/>
    </row>
    <row r="19" customFormat="false" ht="19.85" hidden="false" customHeight="true" outlineLevel="0" collapsed="false">
      <c r="A19" s="0" t="n">
        <v>31</v>
      </c>
      <c r="B19" s="34" t="n">
        <v>37165</v>
      </c>
      <c r="C19" s="60" t="n">
        <v>31367</v>
      </c>
      <c r="D19" s="260" t="s">
        <v>41</v>
      </c>
      <c r="E19" s="33" t="n">
        <f aca="false">IF(D19="totale",(C19/(A19*24))/F19,IF(D19="marché libre",(C19/(A19*24))/G19,"spécifier histo"))</f>
        <v>0.0585554808841099</v>
      </c>
      <c r="F19" s="59" t="n">
        <v>720</v>
      </c>
      <c r="G19" s="59" t="n">
        <f aca="false">F19-H19</f>
        <v>720</v>
      </c>
      <c r="H19" s="59" t="n">
        <f aca="false">0</f>
        <v>0</v>
      </c>
      <c r="J19" s="1"/>
      <c r="K19" s="1"/>
      <c r="L19" s="0"/>
      <c r="M19" s="1"/>
      <c r="N19" s="1"/>
    </row>
    <row r="20" customFormat="false" ht="19.85" hidden="false" customHeight="true" outlineLevel="0" collapsed="false">
      <c r="A20" s="0" t="n">
        <v>30</v>
      </c>
      <c r="B20" s="31" t="n">
        <v>37196</v>
      </c>
      <c r="C20" s="60" t="n">
        <v>100778</v>
      </c>
      <c r="D20" s="260" t="s">
        <v>41</v>
      </c>
      <c r="E20" s="33" t="n">
        <f aca="false">IF(D20="totale",(C20/(A20*24))/F20,IF(D20="marché libre",(C20/(A20*24))/G20,"spécifier histo"))</f>
        <v>0.194402006172839</v>
      </c>
      <c r="F20" s="59" t="n">
        <v>720</v>
      </c>
      <c r="G20" s="59" t="n">
        <f aca="false">F20-H20</f>
        <v>720</v>
      </c>
      <c r="H20" s="59" t="n">
        <f aca="false">0</f>
        <v>0</v>
      </c>
      <c r="J20" s="1"/>
      <c r="K20" s="1"/>
      <c r="L20" s="206"/>
      <c r="M20" s="1"/>
      <c r="N20" s="1"/>
    </row>
    <row r="21" customFormat="false" ht="19.85" hidden="false" customHeight="true" outlineLevel="0" collapsed="false">
      <c r="A21" s="0" t="n">
        <v>31</v>
      </c>
      <c r="B21" s="34" t="n">
        <v>37226</v>
      </c>
      <c r="C21" s="60" t="n">
        <v>138028</v>
      </c>
      <c r="D21" s="260" t="s">
        <v>41</v>
      </c>
      <c r="E21" s="33" t="n">
        <f aca="false">IF(D21="totale",(C21/(A21*24))/F21,IF(D21="marché libre",(C21/(A21*24))/G21,"spécifier histo"))</f>
        <v>0.257668757467145</v>
      </c>
      <c r="F21" s="59" t="n">
        <v>720</v>
      </c>
      <c r="G21" s="59" t="n">
        <f aca="false">F21-H21</f>
        <v>720</v>
      </c>
      <c r="H21" s="59" t="n">
        <f aca="false">0</f>
        <v>0</v>
      </c>
      <c r="J21" s="1"/>
      <c r="K21" s="1"/>
      <c r="L21" s="180"/>
      <c r="M21" s="1"/>
      <c r="N21" s="1"/>
    </row>
    <row r="22" customFormat="false" ht="19.85" hidden="false" customHeight="true" outlineLevel="0" collapsed="false">
      <c r="A22" s="0" t="n">
        <v>31</v>
      </c>
      <c r="B22" s="31" t="n">
        <v>37257</v>
      </c>
      <c r="C22" s="26" t="n">
        <v>155624</v>
      </c>
      <c r="D22" s="260" t="s">
        <v>41</v>
      </c>
      <c r="E22" s="33" t="n">
        <f aca="false">IF(D22="totale",(C22/(A22*24))/F22,IF(D22="marché libre",(C22/(A22*24))/G22,"spécifier histo"))</f>
        <v>0.290516726403823</v>
      </c>
      <c r="F22" s="59" t="n">
        <v>720</v>
      </c>
      <c r="G22" s="59" t="n">
        <f aca="false">F22-H22</f>
        <v>720</v>
      </c>
      <c r="H22" s="59" t="n">
        <f aca="false">0</f>
        <v>0</v>
      </c>
      <c r="J22" s="55"/>
      <c r="L22" s="0"/>
    </row>
    <row r="23" customFormat="false" ht="19.85" hidden="false" customHeight="true" outlineLevel="0" collapsed="false">
      <c r="A23" s="0" t="n">
        <v>28</v>
      </c>
      <c r="B23" s="34" t="n">
        <v>37288</v>
      </c>
      <c r="C23" s="26" t="n">
        <v>259822</v>
      </c>
      <c r="D23" s="260" t="s">
        <v>41</v>
      </c>
      <c r="E23" s="33" t="n">
        <f aca="false">IF(D23="totale",(C23/(A23*24))/F23,IF(D23="marché libre",(C23/(A23*24))/G23,"spécifier histo"))</f>
        <v>0.536999834656085</v>
      </c>
      <c r="F23" s="59" t="n">
        <v>720</v>
      </c>
      <c r="G23" s="59" t="n">
        <f aca="false">F23-H23</f>
        <v>720</v>
      </c>
      <c r="H23" s="59" t="n">
        <f aca="false">0</f>
        <v>0</v>
      </c>
      <c r="J23" s="55"/>
      <c r="L23" s="0"/>
    </row>
    <row r="24" customFormat="false" ht="19.85" hidden="false" customHeight="true" outlineLevel="0" collapsed="false">
      <c r="A24" s="0" t="n">
        <v>31</v>
      </c>
      <c r="B24" s="31" t="n">
        <v>37316</v>
      </c>
      <c r="C24" s="26" t="n">
        <v>326358</v>
      </c>
      <c r="D24" s="260" t="s">
        <v>41</v>
      </c>
      <c r="E24" s="33" t="n">
        <f aca="false">IF(D24="totale",(C24/(A24*24))/F24,IF(D24="marché libre",(C24/(A24*24))/G24,"spécifier histo"))</f>
        <v>0.609240591397849</v>
      </c>
      <c r="F24" s="59" t="n">
        <v>720</v>
      </c>
      <c r="G24" s="59" t="n">
        <f aca="false">F24-H24</f>
        <v>720</v>
      </c>
      <c r="H24" s="59" t="n">
        <f aca="false">0</f>
        <v>0</v>
      </c>
      <c r="J24" s="55"/>
    </row>
    <row r="25" customFormat="false" ht="19.85" hidden="false" customHeight="true" outlineLevel="0" collapsed="false">
      <c r="A25" s="0" t="n">
        <v>30</v>
      </c>
      <c r="B25" s="34" t="n">
        <v>37347</v>
      </c>
      <c r="C25" s="26" t="n">
        <v>108977</v>
      </c>
      <c r="D25" s="260" t="s">
        <v>41</v>
      </c>
      <c r="E25" s="33" t="n">
        <f aca="false">IF(D25="totale",(C25/(A25*24))/F25,IF(D25="marché libre",(C25/(A25*24))/G25,"spécifier histo"))</f>
        <v>0.210217978395062</v>
      </c>
      <c r="F25" s="59" t="n">
        <v>720</v>
      </c>
      <c r="G25" s="59" t="n">
        <f aca="false">F25-H25</f>
        <v>720</v>
      </c>
      <c r="H25" s="59" t="n">
        <f aca="false">0</f>
        <v>0</v>
      </c>
      <c r="J25" s="55"/>
    </row>
    <row r="26" customFormat="false" ht="19.85" hidden="false" customHeight="true" outlineLevel="0" collapsed="false">
      <c r="A26" s="0" t="n">
        <v>31</v>
      </c>
      <c r="B26" s="31" t="n">
        <v>37377</v>
      </c>
      <c r="C26" s="26" t="n">
        <v>78626</v>
      </c>
      <c r="D26" s="260" t="s">
        <v>41</v>
      </c>
      <c r="E26" s="33" t="n">
        <f aca="false">IF(D26="totale",(C26/(A26*24))/F26,IF(D26="marché libre",(C26/(A26*24))/G26,"spécifier histo"))</f>
        <v>0.146777927120669</v>
      </c>
      <c r="F26" s="59" t="n">
        <v>720</v>
      </c>
      <c r="G26" s="59" t="n">
        <f aca="false">F26-H26</f>
        <v>720</v>
      </c>
      <c r="H26" s="59" t="n">
        <f aca="false">0</f>
        <v>0</v>
      </c>
      <c r="J26" s="55"/>
    </row>
    <row r="27" customFormat="false" ht="19.85" hidden="false" customHeight="true" outlineLevel="0" collapsed="false">
      <c r="A27" s="0" t="n">
        <v>30</v>
      </c>
      <c r="B27" s="34" t="n">
        <v>37408</v>
      </c>
      <c r="C27" s="26" t="n">
        <v>32186</v>
      </c>
      <c r="D27" s="260" t="s">
        <v>41</v>
      </c>
      <c r="E27" s="33" t="n">
        <f aca="false">IF(D27="totale",(C27/(A27*24))/F27,IF(D27="marché libre",(C27/(A27*24))/G27,"spécifier histo"))</f>
        <v>0.0620871913580247</v>
      </c>
      <c r="F27" s="59" t="n">
        <v>720</v>
      </c>
      <c r="G27" s="59" t="n">
        <f aca="false">F27-H27</f>
        <v>720</v>
      </c>
      <c r="H27" s="59" t="n">
        <f aca="false">0</f>
        <v>0</v>
      </c>
      <c r="J27" s="55"/>
    </row>
    <row r="28" customFormat="false" ht="19.85" hidden="false" customHeight="true" outlineLevel="0" collapsed="false">
      <c r="A28" s="0" t="n">
        <v>31</v>
      </c>
      <c r="B28" s="31" t="n">
        <v>37438</v>
      </c>
      <c r="C28" s="60" t="n">
        <v>0</v>
      </c>
      <c r="D28" s="260" t="s">
        <v>41</v>
      </c>
      <c r="E28" s="33" t="n">
        <f aca="false">IF(D28="totale",(C28/(A28*24))/F28,IF(D28="marché libre",(C28/(A28*24))/G28,"spécifier histo"))</f>
        <v>0</v>
      </c>
      <c r="F28" s="59" t="n">
        <v>720</v>
      </c>
      <c r="G28" s="59" t="n">
        <f aca="false">F28-H28</f>
        <v>720</v>
      </c>
      <c r="H28" s="59" t="n">
        <f aca="false">0</f>
        <v>0</v>
      </c>
      <c r="J28" s="55"/>
    </row>
    <row r="29" customFormat="false" ht="19.85" hidden="false" customHeight="true" outlineLevel="0" collapsed="false">
      <c r="A29" s="0" t="n">
        <v>31</v>
      </c>
      <c r="B29" s="34" t="n">
        <v>37469</v>
      </c>
      <c r="C29" s="60" t="n">
        <v>0</v>
      </c>
      <c r="D29" s="260" t="s">
        <v>41</v>
      </c>
      <c r="E29" s="33" t="n">
        <f aca="false">IF(D29="totale",(C29/(A29*24))/F29,IF(D29="marché libre",(C29/(A29*24))/G29,"spécifier histo"))</f>
        <v>0</v>
      </c>
      <c r="F29" s="59" t="n">
        <v>720</v>
      </c>
      <c r="G29" s="59" t="n">
        <f aca="false">F29-H29</f>
        <v>720</v>
      </c>
      <c r="H29" s="59" t="n">
        <f aca="false">0</f>
        <v>0</v>
      </c>
      <c r="J29" s="55"/>
    </row>
    <row r="30" customFormat="false" ht="19.85" hidden="false" customHeight="true" outlineLevel="0" collapsed="false">
      <c r="A30" s="0" t="n">
        <v>30</v>
      </c>
      <c r="B30" s="31" t="n">
        <v>37500</v>
      </c>
      <c r="C30" s="26" t="n">
        <v>184521</v>
      </c>
      <c r="D30" s="260" t="s">
        <v>41</v>
      </c>
      <c r="E30" s="33" t="n">
        <f aca="false">IF(D30="totale",(C30/(A30*24))/F30,IF(D30="marché libre",(C30/(A30*24))/G30,"spécifier histo"))</f>
        <v>0.355943287037037</v>
      </c>
      <c r="F30" s="59" t="n">
        <v>720</v>
      </c>
      <c r="G30" s="59" t="n">
        <f aca="false">F30-H30</f>
        <v>720</v>
      </c>
      <c r="H30" s="59" t="n">
        <f aca="false">0</f>
        <v>0</v>
      </c>
      <c r="J30" s="55"/>
    </row>
    <row r="31" customFormat="false" ht="19.85" hidden="false" customHeight="true" outlineLevel="0" collapsed="false">
      <c r="A31" s="0" t="n">
        <v>31</v>
      </c>
      <c r="B31" s="34" t="n">
        <v>37530</v>
      </c>
      <c r="C31" s="26" t="n">
        <v>210799</v>
      </c>
      <c r="D31" s="260" t="s">
        <v>41</v>
      </c>
      <c r="E31" s="33" t="n">
        <f aca="false">IF(D31="totale",(C31/(A31*24))/F31,IF(D31="marché libre",(C31/(A31*24))/G31,"spécifier histo"))</f>
        <v>0.393516651732377</v>
      </c>
      <c r="F31" s="59" t="n">
        <v>720</v>
      </c>
      <c r="G31" s="59" t="n">
        <f aca="false">F31-H31</f>
        <v>720</v>
      </c>
      <c r="H31" s="59" t="n">
        <f aca="false">0</f>
        <v>0</v>
      </c>
      <c r="J31" s="55"/>
    </row>
    <row r="32" customFormat="false" ht="19.85" hidden="false" customHeight="true" outlineLevel="0" collapsed="false">
      <c r="A32" s="0" t="n">
        <v>30</v>
      </c>
      <c r="B32" s="31" t="n">
        <v>37561</v>
      </c>
      <c r="C32" s="26" t="n">
        <v>424207</v>
      </c>
      <c r="D32" s="260" t="s">
        <v>41</v>
      </c>
      <c r="E32" s="33" t="n">
        <f aca="false">IF(D32="totale",(C32/(A32*24))/F32,IF(D32="marché libre",(C32/(A32*24))/G32,"spécifier histo"))</f>
        <v>0.818300540123457</v>
      </c>
      <c r="F32" s="59" t="n">
        <v>720</v>
      </c>
      <c r="G32" s="59" t="n">
        <f aca="false">F32-H32</f>
        <v>720</v>
      </c>
      <c r="H32" s="59" t="n">
        <f aca="false">0</f>
        <v>0</v>
      </c>
      <c r="J32" s="55"/>
    </row>
    <row r="33" customFormat="false" ht="19.85" hidden="false" customHeight="true" outlineLevel="0" collapsed="false">
      <c r="A33" s="0" t="n">
        <v>31</v>
      </c>
      <c r="B33" s="34" t="n">
        <v>37591</v>
      </c>
      <c r="C33" s="26" t="n">
        <v>488747</v>
      </c>
      <c r="D33" s="260" t="s">
        <v>41</v>
      </c>
      <c r="E33" s="33" t="n">
        <f aca="false">IF(D33="totale",(C33/(A33*24))/F33,IF(D33="marché libre",(C33/(A33*24))/G33,"spécifier histo"))</f>
        <v>0.9123861260454</v>
      </c>
      <c r="F33" s="59" t="n">
        <v>720</v>
      </c>
      <c r="G33" s="59" t="n">
        <f aca="false">F33-H33</f>
        <v>720</v>
      </c>
      <c r="H33" s="59" t="n">
        <f aca="false">0</f>
        <v>0</v>
      </c>
      <c r="J33" s="55"/>
    </row>
    <row r="34" customFormat="false" ht="19.85" hidden="false" customHeight="true" outlineLevel="0" collapsed="false">
      <c r="A34" s="0" t="n">
        <v>31</v>
      </c>
      <c r="B34" s="31" t="n">
        <v>37622</v>
      </c>
      <c r="C34" s="26" t="n">
        <v>433077</v>
      </c>
      <c r="D34" s="260" t="s">
        <v>41</v>
      </c>
      <c r="E34" s="33" t="n">
        <f aca="false">IF(D34="totale",(C34/(A34*24))/F34,IF(D34="marché libre",(C34/(A34*24))/G34,"spécifier histo"))</f>
        <v>0.808462141577061</v>
      </c>
      <c r="F34" s="59" t="n">
        <v>720</v>
      </c>
      <c r="G34" s="59" t="n">
        <f aca="false">F34-H34</f>
        <v>720</v>
      </c>
      <c r="H34" s="59" t="n">
        <f aca="false">0</f>
        <v>0</v>
      </c>
      <c r="J34" s="55"/>
    </row>
    <row r="35" customFormat="false" ht="19.85" hidden="false" customHeight="true" outlineLevel="0" collapsed="false">
      <c r="A35" s="0" t="n">
        <v>28</v>
      </c>
      <c r="B35" s="34" t="n">
        <v>37653</v>
      </c>
      <c r="C35" s="26" t="n">
        <v>30558</v>
      </c>
      <c r="D35" s="260" t="s">
        <v>41</v>
      </c>
      <c r="E35" s="33" t="n">
        <f aca="false">IF(D35="totale",(C35/(A35*24))/F35,IF(D35="marché libre",(C35/(A35*24))/G35,"spécifier histo"))</f>
        <v>0.0631572420634921</v>
      </c>
      <c r="F35" s="59" t="n">
        <v>720</v>
      </c>
      <c r="G35" s="59" t="n">
        <f aca="false">F35-H35</f>
        <v>720</v>
      </c>
      <c r="H35" s="59" t="n">
        <f aca="false">0</f>
        <v>0</v>
      </c>
      <c r="J35" s="55"/>
    </row>
    <row r="36" customFormat="false" ht="19.85" hidden="false" customHeight="true" outlineLevel="0" collapsed="false">
      <c r="A36" s="0" t="n">
        <v>31</v>
      </c>
      <c r="B36" s="31" t="n">
        <v>37681</v>
      </c>
      <c r="C36" s="26" t="n">
        <v>322488</v>
      </c>
      <c r="D36" s="260" t="s">
        <v>41</v>
      </c>
      <c r="E36" s="33" t="n">
        <f aca="false">IF(D36="totale",(C36/(A36*24))/F36,IF(D36="marché libre",(C36/(A36*24))/G36,"spécifier histo"))</f>
        <v>0.602016129032258</v>
      </c>
      <c r="F36" s="59" t="n">
        <v>720</v>
      </c>
      <c r="G36" s="59" t="n">
        <f aca="false">F36-H36</f>
        <v>720</v>
      </c>
      <c r="H36" s="59" t="n">
        <f aca="false">0</f>
        <v>0</v>
      </c>
      <c r="J36" s="55"/>
    </row>
    <row r="37" customFormat="false" ht="19.85" hidden="false" customHeight="true" outlineLevel="0" collapsed="false">
      <c r="A37" s="0" t="n">
        <v>30</v>
      </c>
      <c r="B37" s="34" t="n">
        <v>37712</v>
      </c>
      <c r="C37" s="26" t="n">
        <v>65790</v>
      </c>
      <c r="D37" s="260" t="s">
        <v>41</v>
      </c>
      <c r="E37" s="33" t="n">
        <f aca="false">IF(D37="totale",(C37/(A37*24))/F37,IF(D37="marché libre",(C37/(A37*24))/G37,"spécifier histo"))</f>
        <v>0.126909722222222</v>
      </c>
      <c r="F37" s="59" t="n">
        <v>720</v>
      </c>
      <c r="G37" s="59" t="n">
        <f aca="false">F37-H37</f>
        <v>720</v>
      </c>
      <c r="H37" s="59" t="n">
        <f aca="false">0</f>
        <v>0</v>
      </c>
      <c r="J37" s="55"/>
    </row>
    <row r="38" customFormat="false" ht="19.85" hidden="false" customHeight="true" outlineLevel="0" collapsed="false">
      <c r="A38" s="0" t="n">
        <v>31</v>
      </c>
      <c r="B38" s="31" t="n">
        <v>37742</v>
      </c>
      <c r="C38" s="60" t="n">
        <v>0</v>
      </c>
      <c r="D38" s="260" t="s">
        <v>41</v>
      </c>
      <c r="E38" s="33" t="n">
        <f aca="false">IF(D38="totale",(C38/(A38*24))/F38,IF(D38="marché libre",(C38/(A38*24))/G38,"spécifier histo"))</f>
        <v>0</v>
      </c>
      <c r="F38" s="59" t="n">
        <v>720</v>
      </c>
      <c r="G38" s="59" t="n">
        <f aca="false">F38-H38</f>
        <v>720</v>
      </c>
      <c r="H38" s="59" t="n">
        <f aca="false">0</f>
        <v>0</v>
      </c>
      <c r="J38" s="55"/>
    </row>
    <row r="39" customFormat="false" ht="19.85" hidden="false" customHeight="true" outlineLevel="0" collapsed="false">
      <c r="A39" s="0" t="n">
        <v>30</v>
      </c>
      <c r="B39" s="34" t="n">
        <v>37773</v>
      </c>
      <c r="C39" s="60" t="n">
        <v>0</v>
      </c>
      <c r="D39" s="260" t="s">
        <v>41</v>
      </c>
      <c r="E39" s="33" t="n">
        <f aca="false">IF(D39="totale",(C39/(A39*24))/F39,IF(D39="marché libre",(C39/(A39*24))/G39,"spécifier histo"))</f>
        <v>0</v>
      </c>
      <c r="F39" s="59" t="n">
        <v>720</v>
      </c>
      <c r="G39" s="59" t="n">
        <f aca="false">F39-H39</f>
        <v>720</v>
      </c>
      <c r="H39" s="59" t="n">
        <f aca="false">0</f>
        <v>0</v>
      </c>
      <c r="J39" s="55"/>
    </row>
    <row r="40" customFormat="false" ht="19.85" hidden="false" customHeight="true" outlineLevel="0" collapsed="false">
      <c r="A40" s="0" t="n">
        <v>31</v>
      </c>
      <c r="B40" s="31" t="n">
        <v>37803</v>
      </c>
      <c r="C40" s="60" t="n">
        <v>0</v>
      </c>
      <c r="D40" s="260" t="s">
        <v>41</v>
      </c>
      <c r="E40" s="33" t="n">
        <f aca="false">IF(D40="totale",(C40/(A40*24))/F40,IF(D40="marché libre",(C40/(A40*24))/G40,"spécifier histo"))</f>
        <v>0</v>
      </c>
      <c r="F40" s="59" t="n">
        <v>720</v>
      </c>
      <c r="G40" s="59" t="n">
        <f aca="false">F40-H40</f>
        <v>720</v>
      </c>
      <c r="H40" s="59" t="n">
        <f aca="false">0</f>
        <v>0</v>
      </c>
      <c r="J40" s="55"/>
    </row>
    <row r="41" customFormat="false" ht="19.85" hidden="false" customHeight="true" outlineLevel="0" collapsed="false">
      <c r="A41" s="0" t="n">
        <v>31</v>
      </c>
      <c r="B41" s="34" t="n">
        <v>37834</v>
      </c>
      <c r="C41" s="60" t="n">
        <v>0</v>
      </c>
      <c r="D41" s="260" t="s">
        <v>41</v>
      </c>
      <c r="E41" s="33" t="n">
        <f aca="false">IF(D41="totale",(C41/(A41*24))/F41,IF(D41="marché libre",(C41/(A41*24))/G41,"spécifier histo"))</f>
        <v>0</v>
      </c>
      <c r="F41" s="59" t="n">
        <v>720</v>
      </c>
      <c r="G41" s="59" t="n">
        <f aca="false">F41-H41</f>
        <v>720</v>
      </c>
      <c r="H41" s="59" t="n">
        <f aca="false">0</f>
        <v>0</v>
      </c>
      <c r="J41" s="55"/>
    </row>
    <row r="42" customFormat="false" ht="19.85" hidden="false" customHeight="true" outlineLevel="0" collapsed="false">
      <c r="A42" s="0" t="n">
        <v>30</v>
      </c>
      <c r="B42" s="31" t="n">
        <v>37865</v>
      </c>
      <c r="C42" s="60" t="n">
        <v>0</v>
      </c>
      <c r="D42" s="260" t="s">
        <v>41</v>
      </c>
      <c r="E42" s="33" t="n">
        <f aca="false">IF(D42="totale",(C42/(A42*24))/F42,IF(D42="marché libre",(C42/(A42*24))/G42,"spécifier histo"))</f>
        <v>0</v>
      </c>
      <c r="F42" s="59" t="n">
        <v>720</v>
      </c>
      <c r="G42" s="59" t="n">
        <f aca="false">F42-H42</f>
        <v>720</v>
      </c>
      <c r="H42" s="59" t="n">
        <f aca="false">0</f>
        <v>0</v>
      </c>
      <c r="J42" s="55"/>
    </row>
    <row r="43" customFormat="false" ht="19.85" hidden="false" customHeight="true" outlineLevel="0" collapsed="false">
      <c r="A43" s="0" t="n">
        <v>31</v>
      </c>
      <c r="B43" s="34" t="n">
        <v>37895</v>
      </c>
      <c r="C43" s="26" t="n">
        <v>104467</v>
      </c>
      <c r="D43" s="260" t="s">
        <v>41</v>
      </c>
      <c r="E43" s="33" t="n">
        <f aca="false">IF(D43="totale",(C43/(A43*24))/F43,IF(D43="marché libre",(C43/(A43*24))/G43,"spécifier histo"))</f>
        <v>0.195017547789725</v>
      </c>
      <c r="F43" s="59" t="n">
        <v>720</v>
      </c>
      <c r="G43" s="59" t="n">
        <f aca="false">F43-H43</f>
        <v>720</v>
      </c>
      <c r="H43" s="59" t="n">
        <f aca="false">0</f>
        <v>0</v>
      </c>
      <c r="J43" s="55"/>
    </row>
    <row r="44" customFormat="false" ht="19.85" hidden="false" customHeight="true" outlineLevel="0" collapsed="false">
      <c r="A44" s="0" t="n">
        <v>30</v>
      </c>
      <c r="B44" s="31" t="n">
        <v>37926</v>
      </c>
      <c r="C44" s="26" t="n">
        <v>219566</v>
      </c>
      <c r="D44" s="260" t="s">
        <v>41</v>
      </c>
      <c r="E44" s="33" t="n">
        <f aca="false">IF(D44="totale",(C44/(A44*24))/F44,IF(D44="marché libre",(C44/(A44*24))/G44,"spécifier histo"))</f>
        <v>0.423545524691358</v>
      </c>
      <c r="F44" s="59" t="n">
        <v>720</v>
      </c>
      <c r="G44" s="59" t="n">
        <f aca="false">F44-H44</f>
        <v>720</v>
      </c>
      <c r="H44" s="59" t="n">
        <f aca="false">0</f>
        <v>0</v>
      </c>
      <c r="J44" s="55"/>
    </row>
    <row r="45" customFormat="false" ht="19.85" hidden="false" customHeight="true" outlineLevel="0" collapsed="false">
      <c r="A45" s="0" t="n">
        <v>31</v>
      </c>
      <c r="B45" s="34" t="n">
        <v>37956</v>
      </c>
      <c r="C45" s="26" t="n">
        <v>382058</v>
      </c>
      <c r="D45" s="260" t="s">
        <v>41</v>
      </c>
      <c r="E45" s="33" t="n">
        <f aca="false">IF(D45="totale",(C45/(A45*24))/F45,IF(D45="marché libre",(C45/(A45*24))/G45,"spécifier histo"))</f>
        <v>0.713220579450418</v>
      </c>
      <c r="F45" s="59" t="n">
        <v>720</v>
      </c>
      <c r="G45" s="59" t="n">
        <f aca="false">F45-H45</f>
        <v>720</v>
      </c>
      <c r="H45" s="59" t="n">
        <f aca="false">0</f>
        <v>0</v>
      </c>
      <c r="J45" s="55"/>
    </row>
    <row r="46" customFormat="false" ht="19.85" hidden="false" customHeight="true" outlineLevel="0" collapsed="false">
      <c r="A46" s="0" t="n">
        <v>31</v>
      </c>
      <c r="B46" s="31" t="n">
        <v>37987</v>
      </c>
      <c r="C46" s="26" t="n">
        <v>414451</v>
      </c>
      <c r="D46" s="260" t="s">
        <v>41</v>
      </c>
      <c r="E46" s="33" t="n">
        <f aca="false">IF(D46="totale",(C46/(A46*24))/F46,IF(D46="marché libre",(C46/(A46*24))/G46,"spécifier histo"))</f>
        <v>0.773691382915173</v>
      </c>
      <c r="F46" s="59" t="n">
        <v>720</v>
      </c>
      <c r="G46" s="59" t="n">
        <f aca="false">F46-H46</f>
        <v>720</v>
      </c>
      <c r="H46" s="59" t="n">
        <f aca="false">0</f>
        <v>0</v>
      </c>
      <c r="J46" s="55"/>
    </row>
    <row r="47" customFormat="false" ht="19.85" hidden="false" customHeight="true" outlineLevel="0" collapsed="false">
      <c r="A47" s="0" t="n">
        <v>28</v>
      </c>
      <c r="B47" s="34" t="n">
        <v>38018</v>
      </c>
      <c r="C47" s="26" t="n">
        <v>317099</v>
      </c>
      <c r="D47" s="260" t="s">
        <v>41</v>
      </c>
      <c r="E47" s="33" t="n">
        <f aca="false">IF(D47="totale",(C47/(A47*24))/F47,IF(D47="marché libre",(C47/(A47*24))/G47,"spécifier histo"))</f>
        <v>0.655379877645503</v>
      </c>
      <c r="F47" s="59" t="n">
        <v>720</v>
      </c>
      <c r="G47" s="59" t="n">
        <f aca="false">F47-H47</f>
        <v>720</v>
      </c>
      <c r="H47" s="59" t="n">
        <f aca="false">0</f>
        <v>0</v>
      </c>
      <c r="J47" s="55"/>
    </row>
    <row r="48" customFormat="false" ht="19.85" hidden="false" customHeight="true" outlineLevel="0" collapsed="false">
      <c r="A48" s="0" t="n">
        <v>31</v>
      </c>
      <c r="B48" s="31" t="n">
        <v>38047</v>
      </c>
      <c r="C48" s="26" t="n">
        <v>336947</v>
      </c>
      <c r="D48" s="260" t="s">
        <v>41</v>
      </c>
      <c r="E48" s="33" t="n">
        <f aca="false">IF(D48="totale",(C48/(A48*24))/F48,IF(D48="marché libre",(C48/(A48*24))/G48,"spécifier histo"))</f>
        <v>0.629007989844683</v>
      </c>
      <c r="F48" s="59" t="n">
        <v>720</v>
      </c>
      <c r="G48" s="59" t="n">
        <f aca="false">F48-H48</f>
        <v>720</v>
      </c>
      <c r="H48" s="59" t="n">
        <f aca="false">0</f>
        <v>0</v>
      </c>
      <c r="J48" s="55"/>
    </row>
    <row r="49" customFormat="false" ht="19.85" hidden="false" customHeight="true" outlineLevel="0" collapsed="false">
      <c r="A49" s="0" t="n">
        <v>30</v>
      </c>
      <c r="B49" s="34" t="n">
        <v>38078</v>
      </c>
      <c r="C49" s="26" t="n">
        <v>402661</v>
      </c>
      <c r="D49" s="260" t="s">
        <v>41</v>
      </c>
      <c r="E49" s="33" t="n">
        <f aca="false">IF(D49="totale",(C49/(A49*24))/F49,IF(D49="marché libre",(C49/(A49*24))/G49,"spécifier histo"))</f>
        <v>0.776738040123457</v>
      </c>
      <c r="F49" s="59" t="n">
        <v>720</v>
      </c>
      <c r="G49" s="59" t="n">
        <f aca="false">F49-H49</f>
        <v>720</v>
      </c>
      <c r="H49" s="59" t="n">
        <f aca="false">0</f>
        <v>0</v>
      </c>
      <c r="J49" s="55"/>
    </row>
    <row r="50" customFormat="false" ht="19.85" hidden="false" customHeight="true" outlineLevel="0" collapsed="false">
      <c r="A50" s="0" t="n">
        <v>31</v>
      </c>
      <c r="B50" s="31" t="n">
        <v>38108</v>
      </c>
      <c r="C50" s="26" t="n">
        <v>274418</v>
      </c>
      <c r="D50" s="260" t="s">
        <v>41</v>
      </c>
      <c r="E50" s="33" t="n">
        <f aca="false">IF(D50="totale",(C50/(A50*24))/F50,IF(D50="marché libre",(C50/(A50*24))/G50,"spécifier histo"))</f>
        <v>0.512279719235364</v>
      </c>
      <c r="F50" s="59" t="n">
        <v>720</v>
      </c>
      <c r="G50" s="59" t="n">
        <f aca="false">F50-H50</f>
        <v>720</v>
      </c>
      <c r="H50" s="59" t="n">
        <f aca="false">0</f>
        <v>0</v>
      </c>
      <c r="J50" s="55"/>
    </row>
    <row r="51" customFormat="false" ht="19.85" hidden="false" customHeight="true" outlineLevel="0" collapsed="false">
      <c r="A51" s="0" t="n">
        <v>30</v>
      </c>
      <c r="B51" s="34" t="n">
        <v>38139</v>
      </c>
      <c r="C51" s="26" t="n">
        <v>12804</v>
      </c>
      <c r="D51" s="260" t="s">
        <v>41</v>
      </c>
      <c r="E51" s="33" t="n">
        <f aca="false">IF(D51="totale",(C51/(A51*24))/F51,IF(D51="marché libre",(C51/(A51*24))/G51,"spécifier histo"))</f>
        <v>0.0246990740740741</v>
      </c>
      <c r="F51" s="59" t="n">
        <v>720</v>
      </c>
      <c r="G51" s="59" t="n">
        <f aca="false">F51-H51</f>
        <v>720</v>
      </c>
      <c r="H51" s="59" t="n">
        <f aca="false">0</f>
        <v>0</v>
      </c>
      <c r="J51" s="55"/>
    </row>
    <row r="52" customFormat="false" ht="19.85" hidden="false" customHeight="true" outlineLevel="0" collapsed="false">
      <c r="A52" s="0" t="n">
        <v>31</v>
      </c>
      <c r="B52" s="31" t="n">
        <v>38169</v>
      </c>
      <c r="C52" s="60" t="n">
        <v>0</v>
      </c>
      <c r="D52" s="260" t="s">
        <v>41</v>
      </c>
      <c r="E52" s="33" t="n">
        <f aca="false">IF(D52="totale",(C52/(A52*24))/F52,IF(D52="marché libre",(C52/(A52*24))/G52,"spécifier histo"))</f>
        <v>0</v>
      </c>
      <c r="F52" s="59" t="n">
        <v>720</v>
      </c>
      <c r="G52" s="59" t="n">
        <f aca="false">F52-H52</f>
        <v>720</v>
      </c>
      <c r="H52" s="59" t="n">
        <f aca="false">0</f>
        <v>0</v>
      </c>
      <c r="J52" s="55"/>
    </row>
    <row r="53" customFormat="false" ht="19.85" hidden="false" customHeight="true" outlineLevel="0" collapsed="false">
      <c r="A53" s="0" t="n">
        <v>31</v>
      </c>
      <c r="B53" s="34" t="n">
        <v>38200</v>
      </c>
      <c r="C53" s="60" t="n">
        <v>0</v>
      </c>
      <c r="D53" s="260" t="s">
        <v>41</v>
      </c>
      <c r="E53" s="33" t="n">
        <f aca="false">IF(D53="totale",(C53/(A53*24))/F53,IF(D53="marché libre",(C53/(A53*24))/G53,"spécifier histo"))</f>
        <v>0</v>
      </c>
      <c r="F53" s="59" t="n">
        <v>720</v>
      </c>
      <c r="G53" s="59" t="n">
        <f aca="false">F53-H53</f>
        <v>720</v>
      </c>
      <c r="H53" s="59" t="n">
        <f aca="false">0</f>
        <v>0</v>
      </c>
      <c r="J53" s="55"/>
    </row>
    <row r="54" customFormat="false" ht="19.85" hidden="false" customHeight="true" outlineLevel="0" collapsed="false">
      <c r="A54" s="0" t="n">
        <v>30</v>
      </c>
      <c r="B54" s="31" t="n">
        <v>38231</v>
      </c>
      <c r="C54" s="60" t="n">
        <v>0</v>
      </c>
      <c r="D54" s="260" t="s">
        <v>41</v>
      </c>
      <c r="E54" s="33" t="n">
        <f aca="false">IF(D54="totale",(C54/(A54*24))/F54,IF(D54="marché libre",(C54/(A54*24))/G54,"spécifier histo"))</f>
        <v>0</v>
      </c>
      <c r="F54" s="59" t="n">
        <v>720</v>
      </c>
      <c r="G54" s="59" t="n">
        <f aca="false">F54-H54</f>
        <v>720</v>
      </c>
      <c r="H54" s="59" t="n">
        <f aca="false">0</f>
        <v>0</v>
      </c>
      <c r="J54" s="55"/>
    </row>
    <row r="55" customFormat="false" ht="19.85" hidden="false" customHeight="true" outlineLevel="0" collapsed="false">
      <c r="A55" s="0" t="n">
        <v>31</v>
      </c>
      <c r="B55" s="34" t="n">
        <v>38261</v>
      </c>
      <c r="C55" s="26" t="n">
        <v>70371</v>
      </c>
      <c r="D55" s="260" t="s">
        <v>41</v>
      </c>
      <c r="E55" s="33" t="n">
        <f aca="false">IF(D55="totale",(C55/(A55*24))/F55,IF(D55="marché libre",(C55/(A55*24))/G55,"spécifier histo"))</f>
        <v>0.131367607526882</v>
      </c>
      <c r="F55" s="59" t="n">
        <v>720</v>
      </c>
      <c r="G55" s="59" t="n">
        <f aca="false">F55-H55</f>
        <v>720</v>
      </c>
      <c r="H55" s="59" t="n">
        <f aca="false">0</f>
        <v>0</v>
      </c>
      <c r="J55" s="55"/>
    </row>
    <row r="56" s="1" customFormat="true" ht="19.85" hidden="false" customHeight="true" outlineLevel="0" collapsed="false">
      <c r="A56" s="0" t="n">
        <v>30</v>
      </c>
      <c r="B56" s="31" t="n">
        <v>38292</v>
      </c>
      <c r="C56" s="26" t="n">
        <v>185026</v>
      </c>
      <c r="D56" s="260" t="s">
        <v>41</v>
      </c>
      <c r="E56" s="33" t="n">
        <f aca="false">IF(D56="totale",(C56/(A56*24))/F56,IF(D56="marché libre",(C56/(A56*24))/G56,"spécifier histo"))</f>
        <v>0.356917438271605</v>
      </c>
      <c r="F56" s="59" t="n">
        <v>720</v>
      </c>
      <c r="G56" s="59" t="n">
        <f aca="false">F56-H56</f>
        <v>720</v>
      </c>
      <c r="H56" s="59" t="n">
        <f aca="false">0</f>
        <v>0</v>
      </c>
    </row>
    <row r="57" s="1" customFormat="true" ht="19.85" hidden="false" customHeight="true" outlineLevel="0" collapsed="false">
      <c r="A57" s="0" t="n">
        <v>31</v>
      </c>
      <c r="B57" s="34" t="n">
        <v>38322</v>
      </c>
      <c r="C57" s="26" t="n">
        <v>263126</v>
      </c>
      <c r="D57" s="260" t="s">
        <v>41</v>
      </c>
      <c r="E57" s="33" t="n">
        <f aca="false">IF(D57="totale",(C57/(A57*24))/F57,IF(D57="marché libre",(C57/(A57*24))/G57,"spécifier histo"))</f>
        <v>0.491199970131422</v>
      </c>
      <c r="F57" s="59" t="n">
        <v>720</v>
      </c>
      <c r="G57" s="59" t="n">
        <f aca="false">F57-H57</f>
        <v>720</v>
      </c>
      <c r="H57" s="59" t="n">
        <f aca="false">0</f>
        <v>0</v>
      </c>
    </row>
    <row r="58" s="1" customFormat="true" ht="19.85" hidden="false" customHeight="true" outlineLevel="0" collapsed="false">
      <c r="A58" s="0" t="n">
        <v>31</v>
      </c>
      <c r="B58" s="31" t="n">
        <v>38353</v>
      </c>
      <c r="C58" s="26" t="n">
        <v>325378</v>
      </c>
      <c r="D58" s="260" t="s">
        <v>41</v>
      </c>
      <c r="E58" s="33" t="n">
        <f aca="false">IF(D58="totale",(C58/(A58*24))/F58,IF(D58="marché libre",(C58/(A58*24))/G58,"spécifier histo"))</f>
        <v>0.607411140979689</v>
      </c>
      <c r="F58" s="59" t="n">
        <v>720</v>
      </c>
      <c r="G58" s="59" t="n">
        <f aca="false">F58-H58</f>
        <v>720</v>
      </c>
      <c r="H58" s="59" t="n">
        <f aca="false">0</f>
        <v>0</v>
      </c>
    </row>
    <row r="59" s="1" customFormat="true" ht="19.85" hidden="false" customHeight="true" outlineLevel="0" collapsed="false">
      <c r="A59" s="0" t="n">
        <v>28</v>
      </c>
      <c r="B59" s="34" t="n">
        <v>38384</v>
      </c>
      <c r="C59" s="26" t="n">
        <v>285623</v>
      </c>
      <c r="D59" s="260" t="s">
        <v>41</v>
      </c>
      <c r="E59" s="33" t="n">
        <f aca="false">IF(D59="totale",(C59/(A59*24))/F59,IF(D59="marché libre",(C59/(A59*24))/G59,"spécifier histo"))</f>
        <v>0.590325314153439</v>
      </c>
      <c r="F59" s="59" t="n">
        <v>720</v>
      </c>
      <c r="G59" s="59" t="n">
        <f aca="false">F59-H59</f>
        <v>720</v>
      </c>
      <c r="H59" s="59" t="n">
        <f aca="false">0</f>
        <v>0</v>
      </c>
    </row>
    <row r="60" s="1" customFormat="true" ht="19.85" hidden="false" customHeight="true" outlineLevel="0" collapsed="false">
      <c r="A60" s="0" t="n">
        <v>31</v>
      </c>
      <c r="B60" s="31" t="n">
        <v>38412</v>
      </c>
      <c r="C60" s="26" t="n">
        <v>350348</v>
      </c>
      <c r="D60" s="260" t="s">
        <v>41</v>
      </c>
      <c r="E60" s="33" t="n">
        <f aca="false">IF(D60="totale",(C60/(A60*24))/F60,IF(D60="marché libre",(C60/(A60*24))/G60,"spécifier histo"))</f>
        <v>0.654024790919952</v>
      </c>
      <c r="F60" s="59" t="n">
        <v>720</v>
      </c>
      <c r="G60" s="59" t="n">
        <f aca="false">F60-H60</f>
        <v>720</v>
      </c>
      <c r="H60" s="59" t="n">
        <f aca="false">0</f>
        <v>0</v>
      </c>
    </row>
    <row r="61" s="1" customFormat="true" ht="19.85" hidden="false" customHeight="true" outlineLevel="0" collapsed="false">
      <c r="A61" s="0" t="n">
        <v>30</v>
      </c>
      <c r="B61" s="34" t="n">
        <v>38443</v>
      </c>
      <c r="C61" s="26" t="n">
        <v>418377</v>
      </c>
      <c r="D61" s="260" t="s">
        <v>41</v>
      </c>
      <c r="E61" s="33" t="n">
        <f aca="false">IF(D61="totale",(C61/(A61*24))/F61,IF(D61="marché libre",(C61/(A61*24))/G61,"spécifier histo"))</f>
        <v>0.807054398148148</v>
      </c>
      <c r="F61" s="59" t="n">
        <v>720</v>
      </c>
      <c r="G61" s="59" t="n">
        <f aca="false">F61-H61</f>
        <v>720</v>
      </c>
      <c r="H61" s="59" t="n">
        <f aca="false">0</f>
        <v>0</v>
      </c>
    </row>
    <row r="62" s="1" customFormat="true" ht="19.85" hidden="false" customHeight="true" outlineLevel="0" collapsed="false">
      <c r="A62" s="0" t="n">
        <v>31</v>
      </c>
      <c r="B62" s="31" t="n">
        <v>38473</v>
      </c>
      <c r="C62" s="26" t="n">
        <v>172964</v>
      </c>
      <c r="D62" s="260" t="s">
        <v>41</v>
      </c>
      <c r="E62" s="33" t="n">
        <f aca="false">IF(D62="totale",(C62/(A62*24))/F62,IF(D62="marché libre",(C62/(A62*24))/G62,"spécifier histo"))</f>
        <v>0.322886798088411</v>
      </c>
      <c r="F62" s="59" t="n">
        <v>720</v>
      </c>
      <c r="G62" s="59" t="n">
        <f aca="false">F62-H62</f>
        <v>720</v>
      </c>
      <c r="H62" s="59" t="n">
        <f aca="false">0</f>
        <v>0</v>
      </c>
    </row>
    <row r="63" s="1" customFormat="true" ht="19.85" hidden="false" customHeight="true" outlineLevel="0" collapsed="false">
      <c r="A63" s="0" t="n">
        <v>30</v>
      </c>
      <c r="B63" s="34" t="n">
        <v>38504</v>
      </c>
      <c r="C63" s="26" t="n">
        <v>5405</v>
      </c>
      <c r="D63" s="260" t="s">
        <v>41</v>
      </c>
      <c r="E63" s="33" t="n">
        <f aca="false">IF(D63="totale",(C63/(A63*24))/F63,IF(D63="marché libre",(C63/(A63*24))/G63,"spécifier histo"))</f>
        <v>0.0104263117283951</v>
      </c>
      <c r="F63" s="59" t="n">
        <v>720</v>
      </c>
      <c r="G63" s="59" t="n">
        <f aca="false">F63-H63</f>
        <v>720</v>
      </c>
      <c r="H63" s="59" t="n">
        <f aca="false">0</f>
        <v>0</v>
      </c>
    </row>
    <row r="64" s="1" customFormat="true" ht="19.85" hidden="false" customHeight="true" outlineLevel="0" collapsed="false">
      <c r="A64" s="0" t="n">
        <v>31</v>
      </c>
      <c r="B64" s="31" t="n">
        <v>38534</v>
      </c>
      <c r="C64" s="60" t="n">
        <v>0</v>
      </c>
      <c r="D64" s="260" t="s">
        <v>41</v>
      </c>
      <c r="E64" s="33" t="n">
        <f aca="false">IF(D64="totale",(C64/(A64*24))/F64,IF(D64="marché libre",(C64/(A64*24))/G64,"spécifier histo"))</f>
        <v>0</v>
      </c>
      <c r="F64" s="59" t="n">
        <v>720</v>
      </c>
      <c r="G64" s="59" t="n">
        <f aca="false">F64-H64</f>
        <v>720</v>
      </c>
      <c r="H64" s="59" t="n">
        <f aca="false">0</f>
        <v>0</v>
      </c>
    </row>
    <row r="65" s="1" customFormat="true" ht="19.85" hidden="false" customHeight="true" outlineLevel="0" collapsed="false">
      <c r="A65" s="0" t="n">
        <v>31</v>
      </c>
      <c r="B65" s="34" t="n">
        <v>38565</v>
      </c>
      <c r="C65" s="60" t="n">
        <v>0</v>
      </c>
      <c r="D65" s="260" t="s">
        <v>41</v>
      </c>
      <c r="E65" s="33" t="n">
        <f aca="false">IF(D65="totale",(C65/(A65*24))/F65,IF(D65="marché libre",(C65/(A65*24))/G65,"spécifier histo"))</f>
        <v>0</v>
      </c>
      <c r="F65" s="59" t="n">
        <v>720</v>
      </c>
      <c r="G65" s="59" t="n">
        <f aca="false">F65-H65</f>
        <v>720</v>
      </c>
      <c r="H65" s="59" t="n">
        <f aca="false">0</f>
        <v>0</v>
      </c>
    </row>
    <row r="66" s="1" customFormat="true" ht="19.85" hidden="false" customHeight="true" outlineLevel="0" collapsed="false">
      <c r="A66" s="0" t="n">
        <v>30</v>
      </c>
      <c r="B66" s="31" t="n">
        <v>38596</v>
      </c>
      <c r="C66" s="60" t="n">
        <v>0</v>
      </c>
      <c r="D66" s="260" t="s">
        <v>41</v>
      </c>
      <c r="E66" s="33" t="n">
        <f aca="false">IF(D66="totale",(C66/(A66*24))/F66,IF(D66="marché libre",(C66/(A66*24))/G66,"spécifier histo"))</f>
        <v>0</v>
      </c>
      <c r="F66" s="59" t="n">
        <v>720</v>
      </c>
      <c r="G66" s="59" t="n">
        <f aca="false">F66-H66</f>
        <v>720</v>
      </c>
      <c r="H66" s="59" t="n">
        <f aca="false">0</f>
        <v>0</v>
      </c>
    </row>
    <row r="67" s="1" customFormat="true" ht="19.85" hidden="false" customHeight="true" outlineLevel="0" collapsed="false">
      <c r="A67" s="0" t="n">
        <v>31</v>
      </c>
      <c r="B67" s="34" t="n">
        <v>38626</v>
      </c>
      <c r="C67" s="60" t="n">
        <v>0</v>
      </c>
      <c r="D67" s="260" t="s">
        <v>41</v>
      </c>
      <c r="E67" s="33" t="n">
        <f aca="false">IF(D67="totale",(C67/(A67*24))/F67,IF(D67="marché libre",(C67/(A67*24))/G67,"spécifier histo"))</f>
        <v>0</v>
      </c>
      <c r="F67" s="59" t="n">
        <v>720</v>
      </c>
      <c r="G67" s="59" t="n">
        <f aca="false">F67-H67</f>
        <v>720</v>
      </c>
      <c r="H67" s="59" t="n">
        <f aca="false">0</f>
        <v>0</v>
      </c>
    </row>
    <row r="68" s="1" customFormat="true" ht="19.85" hidden="false" customHeight="true" outlineLevel="0" collapsed="false">
      <c r="A68" s="0" t="n">
        <v>30</v>
      </c>
      <c r="B68" s="31" t="n">
        <v>38657</v>
      </c>
      <c r="C68" s="60" t="n">
        <v>0</v>
      </c>
      <c r="D68" s="260" t="s">
        <v>41</v>
      </c>
      <c r="E68" s="33" t="n">
        <f aca="false">IF(D68="totale",(C68/(A68*24))/F68,IF(D68="marché libre",(C68/(A68*24))/G68,"spécifier histo"))</f>
        <v>0</v>
      </c>
      <c r="F68" s="59" t="n">
        <v>720</v>
      </c>
      <c r="G68" s="59" t="n">
        <f aca="false">F68-H68</f>
        <v>720</v>
      </c>
      <c r="H68" s="59" t="n">
        <f aca="false">0</f>
        <v>0</v>
      </c>
    </row>
    <row r="69" s="1" customFormat="true" ht="19.85" hidden="false" customHeight="true" outlineLevel="0" collapsed="false">
      <c r="A69" s="0" t="n">
        <v>31</v>
      </c>
      <c r="B69" s="34" t="n">
        <v>38687</v>
      </c>
      <c r="C69" s="26" t="n">
        <v>44585</v>
      </c>
      <c r="D69" s="260" t="s">
        <v>41</v>
      </c>
      <c r="E69" s="33" t="n">
        <f aca="false">IF(D69="totale",(C69/(A69*24))/F69,IF(D69="marché libre",(C69/(A69*24))/G69,"spécifier histo"))</f>
        <v>0.0832306600955795</v>
      </c>
      <c r="F69" s="59" t="n">
        <v>720</v>
      </c>
      <c r="G69" s="59" t="n">
        <f aca="false">F69-H69</f>
        <v>720</v>
      </c>
      <c r="H69" s="59" t="n">
        <f aca="false">0</f>
        <v>0</v>
      </c>
    </row>
    <row r="70" s="1" customFormat="true" ht="19.85" hidden="false" customHeight="true" outlineLevel="0" collapsed="false">
      <c r="A70" s="0" t="n">
        <v>31</v>
      </c>
      <c r="B70" s="31" t="n">
        <v>38718</v>
      </c>
      <c r="C70" s="26" t="n">
        <v>226942</v>
      </c>
      <c r="D70" s="260" t="s">
        <v>41</v>
      </c>
      <c r="E70" s="33" t="n">
        <f aca="false">IF(D70="totale",(C70/(A70*24))/F70,IF(D70="marché libre",(C70/(A70*24))/G70,"spécifier histo"))</f>
        <v>0.423652180406213</v>
      </c>
      <c r="F70" s="59" t="n">
        <v>720</v>
      </c>
      <c r="G70" s="59" t="n">
        <f aca="false">F70-H70</f>
        <v>720</v>
      </c>
      <c r="H70" s="59" t="n">
        <f aca="false">0</f>
        <v>0</v>
      </c>
    </row>
    <row r="71" s="1" customFormat="true" ht="19.85" hidden="false" customHeight="true" outlineLevel="0" collapsed="false">
      <c r="A71" s="0" t="n">
        <v>28</v>
      </c>
      <c r="B71" s="34" t="n">
        <v>38749</v>
      </c>
      <c r="C71" s="26" t="n">
        <v>209991</v>
      </c>
      <c r="D71" s="260" t="s">
        <v>41</v>
      </c>
      <c r="E71" s="33" t="n">
        <f aca="false">IF(D71="totale",(C71/(A71*24))/F71,IF(D71="marché libre",(C71/(A71*24))/G71,"spécifier histo"))</f>
        <v>0.434009176587302</v>
      </c>
      <c r="F71" s="59" t="n">
        <v>720</v>
      </c>
      <c r="G71" s="59" t="n">
        <f aca="false">F71-H71</f>
        <v>720</v>
      </c>
      <c r="H71" s="59" t="n">
        <f aca="false">0</f>
        <v>0</v>
      </c>
    </row>
    <row r="72" s="1" customFormat="true" ht="19.85" hidden="false" customHeight="true" outlineLevel="0" collapsed="false">
      <c r="A72" s="0" t="n">
        <v>31</v>
      </c>
      <c r="B72" s="31" t="n">
        <v>38777</v>
      </c>
      <c r="C72" s="26" t="n">
        <v>401416</v>
      </c>
      <c r="D72" s="260" t="s">
        <v>41</v>
      </c>
      <c r="E72" s="33" t="n">
        <f aca="false">IF(D72="totale",(C72/(A72*24))/F72,IF(D72="marché libre",(C72/(A72*24))/G72,"spécifier histo"))</f>
        <v>0.749357825567503</v>
      </c>
      <c r="F72" s="59" t="n">
        <v>720</v>
      </c>
      <c r="G72" s="59" t="n">
        <f aca="false">F72-H72</f>
        <v>720</v>
      </c>
      <c r="H72" s="59" t="n">
        <f aca="false">0</f>
        <v>0</v>
      </c>
    </row>
    <row r="73" s="1" customFormat="true" ht="19.85" hidden="false" customHeight="true" outlineLevel="0" collapsed="false">
      <c r="A73" s="0" t="n">
        <v>30</v>
      </c>
      <c r="B73" s="34" t="n">
        <v>38808</v>
      </c>
      <c r="C73" s="26" t="n">
        <v>433342</v>
      </c>
      <c r="D73" s="260" t="s">
        <v>41</v>
      </c>
      <c r="E73" s="33" t="n">
        <f aca="false">IF(D73="totale",(C73/(A73*24))/F73,IF(D73="marché libre",(C73/(A73*24))/G73,"spécifier histo"))</f>
        <v>0.835922067901235</v>
      </c>
      <c r="F73" s="59" t="n">
        <v>720</v>
      </c>
      <c r="G73" s="59" t="n">
        <f aca="false">F73-H73</f>
        <v>720</v>
      </c>
      <c r="H73" s="59" t="n">
        <f aca="false">0</f>
        <v>0</v>
      </c>
    </row>
    <row r="74" s="1" customFormat="true" ht="19.85" hidden="false" customHeight="true" outlineLevel="0" collapsed="false">
      <c r="A74" s="0" t="n">
        <v>31</v>
      </c>
      <c r="B74" s="31" t="n">
        <v>38838</v>
      </c>
      <c r="C74" s="26" t="n">
        <v>147519</v>
      </c>
      <c r="D74" s="260" t="s">
        <v>41</v>
      </c>
      <c r="E74" s="33" t="n">
        <f aca="false">IF(D74="totale",(C74/(A74*24))/F74,IF(D74="marché libre",(C74/(A74*24))/G74,"spécifier histo"))</f>
        <v>0.275386424731183</v>
      </c>
      <c r="F74" s="59" t="n">
        <v>720</v>
      </c>
      <c r="G74" s="59" t="n">
        <f aca="false">F74-H74</f>
        <v>720</v>
      </c>
      <c r="H74" s="59" t="n">
        <f aca="false">0</f>
        <v>0</v>
      </c>
    </row>
    <row r="75" s="1" customFormat="true" ht="19.85" hidden="false" customHeight="true" outlineLevel="0" collapsed="false">
      <c r="A75" s="0" t="n">
        <v>30</v>
      </c>
      <c r="B75" s="34" t="n">
        <v>38869</v>
      </c>
      <c r="C75" s="26" t="n">
        <v>5282</v>
      </c>
      <c r="D75" s="260" t="s">
        <v>41</v>
      </c>
      <c r="E75" s="33" t="n">
        <f aca="false">IF(D75="totale",(C75/(A75*24))/F75,IF(D75="marché libre",(C75/(A75*24))/G75,"spécifier histo"))</f>
        <v>0.0101890432098765</v>
      </c>
      <c r="F75" s="59" t="n">
        <v>720</v>
      </c>
      <c r="G75" s="59" t="n">
        <f aca="false">F75-H75</f>
        <v>720</v>
      </c>
      <c r="H75" s="59" t="n">
        <f aca="false">0</f>
        <v>0</v>
      </c>
    </row>
    <row r="76" s="1" customFormat="true" ht="19.85" hidden="false" customHeight="true" outlineLevel="0" collapsed="false">
      <c r="A76" s="0" t="n">
        <v>31</v>
      </c>
      <c r="B76" s="31" t="n">
        <v>38899</v>
      </c>
      <c r="C76" s="60" t="n">
        <v>0</v>
      </c>
      <c r="D76" s="260" t="s">
        <v>41</v>
      </c>
      <c r="E76" s="33" t="n">
        <f aca="false">IF(D76="totale",(C76/(A76*24))/F76,IF(D76="marché libre",(C76/(A76*24))/G76,"spécifier histo"))</f>
        <v>0</v>
      </c>
      <c r="F76" s="59" t="n">
        <v>720</v>
      </c>
      <c r="G76" s="59" t="n">
        <f aca="false">F76-H76</f>
        <v>720</v>
      </c>
      <c r="H76" s="59" t="n">
        <f aca="false">0</f>
        <v>0</v>
      </c>
    </row>
    <row r="77" s="1" customFormat="true" ht="19.85" hidden="false" customHeight="true" outlineLevel="0" collapsed="false">
      <c r="A77" s="0" t="n">
        <v>31</v>
      </c>
      <c r="B77" s="34" t="n">
        <v>38930</v>
      </c>
      <c r="C77" s="60" t="n">
        <v>0</v>
      </c>
      <c r="D77" s="260" t="s">
        <v>41</v>
      </c>
      <c r="E77" s="33" t="n">
        <f aca="false">IF(D77="totale",(C77/(A77*24))/F77,IF(D77="marché libre",(C77/(A77*24))/G77,"spécifier histo"))</f>
        <v>0</v>
      </c>
      <c r="F77" s="59" t="n">
        <v>720</v>
      </c>
      <c r="G77" s="59" t="n">
        <f aca="false">F77-H77</f>
        <v>720</v>
      </c>
      <c r="H77" s="59" t="n">
        <f aca="false">0</f>
        <v>0</v>
      </c>
    </row>
    <row r="78" s="1" customFormat="true" ht="19.85" hidden="false" customHeight="true" outlineLevel="0" collapsed="false">
      <c r="A78" s="0" t="n">
        <v>30</v>
      </c>
      <c r="B78" s="31" t="n">
        <v>38961</v>
      </c>
      <c r="C78" s="60" t="n">
        <v>0</v>
      </c>
      <c r="D78" s="260" t="s">
        <v>41</v>
      </c>
      <c r="E78" s="33" t="n">
        <f aca="false">IF(D78="totale",(C78/(A78*24))/F78,IF(D78="marché libre",(C78/(A78*24))/G78,"spécifier histo"))</f>
        <v>0</v>
      </c>
      <c r="F78" s="59" t="n">
        <v>720</v>
      </c>
      <c r="G78" s="59" t="n">
        <f aca="false">F78-H78</f>
        <v>720</v>
      </c>
      <c r="H78" s="59" t="n">
        <f aca="false">0</f>
        <v>0</v>
      </c>
    </row>
    <row r="79" s="1" customFormat="true" ht="19.85" hidden="false" customHeight="true" outlineLevel="0" collapsed="false">
      <c r="A79" s="0" t="n">
        <v>31</v>
      </c>
      <c r="B79" s="34" t="n">
        <v>38991</v>
      </c>
      <c r="C79" s="26" t="n">
        <v>84111</v>
      </c>
      <c r="D79" s="260" t="s">
        <v>41</v>
      </c>
      <c r="E79" s="33" t="n">
        <f aca="false">IF(D79="totale",(C79/(A79*24))/F79,IF(D79="marché libre",(C79/(A79*24))/G79,"spécifier histo"))</f>
        <v>0.157017249103943</v>
      </c>
      <c r="F79" s="59" t="n">
        <v>720</v>
      </c>
      <c r="G79" s="59" t="n">
        <f aca="false">F79-H79</f>
        <v>720</v>
      </c>
      <c r="H79" s="59" t="n">
        <f aca="false">0</f>
        <v>0</v>
      </c>
    </row>
    <row r="80" s="1" customFormat="true" ht="19.85" hidden="false" customHeight="true" outlineLevel="0" collapsed="false">
      <c r="A80" s="0" t="n">
        <v>30</v>
      </c>
      <c r="B80" s="31" t="n">
        <v>39022</v>
      </c>
      <c r="C80" s="26" t="n">
        <v>86561</v>
      </c>
      <c r="D80" s="260" t="s">
        <v>41</v>
      </c>
      <c r="E80" s="33" t="n">
        <f aca="false">IF(D80="totale",(C80/(A80*24))/F80,IF(D80="marché libre",(C80/(A80*24))/G80,"spécifier histo"))</f>
        <v>0.166977237654321</v>
      </c>
      <c r="F80" s="59" t="n">
        <v>720</v>
      </c>
      <c r="G80" s="59" t="n">
        <f aca="false">F80-H80</f>
        <v>720</v>
      </c>
      <c r="H80" s="59" t="n">
        <f aca="false">0</f>
        <v>0</v>
      </c>
    </row>
    <row r="81" s="1" customFormat="true" ht="19.85" hidden="false" customHeight="true" outlineLevel="0" collapsed="false">
      <c r="A81" s="0" t="n">
        <v>31</v>
      </c>
      <c r="B81" s="34" t="n">
        <v>39052</v>
      </c>
      <c r="C81" s="26" t="n">
        <v>161335</v>
      </c>
      <c r="D81" s="260" t="s">
        <v>41</v>
      </c>
      <c r="E81" s="33" t="n">
        <f aca="false">IF(D81="totale",(C81/(A81*24))/F81,IF(D81="marché libre",(C81/(A81*24))/G81,"spécifier histo"))</f>
        <v>0.301177942054958</v>
      </c>
      <c r="F81" s="59" t="n">
        <v>720</v>
      </c>
      <c r="G81" s="59" t="n">
        <f aca="false">F81-H81</f>
        <v>720</v>
      </c>
      <c r="H81" s="59" t="n">
        <f aca="false">0</f>
        <v>0</v>
      </c>
    </row>
    <row r="82" s="1" customFormat="true" ht="19.85" hidden="false" customHeight="true" outlineLevel="0" collapsed="false">
      <c r="A82" s="0" t="n">
        <v>31</v>
      </c>
      <c r="B82" s="31" t="n">
        <v>39083</v>
      </c>
      <c r="C82" s="26" t="n">
        <v>278347</v>
      </c>
      <c r="D82" s="260" t="s">
        <v>41</v>
      </c>
      <c r="E82" s="33" t="n">
        <f aca="false">IF(D82="totale",(C82/(A82*24))/F82,IF(D82="marché libre",(C82/(A82*24))/G82,"spécifier histo"))</f>
        <v>0.519614321983274</v>
      </c>
      <c r="F82" s="59" t="n">
        <v>720</v>
      </c>
      <c r="G82" s="59" t="n">
        <f aca="false">F82-H82</f>
        <v>720</v>
      </c>
      <c r="H82" s="59" t="n">
        <f aca="false">0</f>
        <v>0</v>
      </c>
    </row>
    <row r="83" s="1" customFormat="true" ht="19.85" hidden="false" customHeight="true" outlineLevel="0" collapsed="false">
      <c r="A83" s="0" t="n">
        <v>28</v>
      </c>
      <c r="B83" s="34" t="n">
        <v>39114</v>
      </c>
      <c r="C83" s="26" t="n">
        <v>435573</v>
      </c>
      <c r="D83" s="260" t="s">
        <v>41</v>
      </c>
      <c r="E83" s="33" t="n">
        <f aca="false">IF(D83="totale",(C83/(A83*24))/F83,IF(D83="marché libre",(C83/(A83*24))/G83,"spécifier histo"))</f>
        <v>0.90024181547619</v>
      </c>
      <c r="F83" s="59" t="n">
        <v>720</v>
      </c>
      <c r="G83" s="59" t="n">
        <f aca="false">F83-H83</f>
        <v>720</v>
      </c>
      <c r="H83" s="59" t="n">
        <f aca="false">0</f>
        <v>0</v>
      </c>
    </row>
    <row r="84" s="1" customFormat="true" ht="19.85" hidden="false" customHeight="true" outlineLevel="0" collapsed="false">
      <c r="A84" s="0" t="n">
        <v>31</v>
      </c>
      <c r="B84" s="31" t="n">
        <v>39142</v>
      </c>
      <c r="C84" s="26" t="n">
        <v>464797</v>
      </c>
      <c r="D84" s="260" t="s">
        <v>41</v>
      </c>
      <c r="E84" s="33" t="n">
        <f aca="false">IF(D84="totale",(C84/(A84*24))/F84,IF(D84="marché libre",(C84/(A84*24))/G84,"spécifier histo"))</f>
        <v>0.867676597968937</v>
      </c>
      <c r="F84" s="59" t="n">
        <v>720</v>
      </c>
      <c r="G84" s="59" t="n">
        <f aca="false">F84-H84</f>
        <v>720</v>
      </c>
      <c r="H84" s="59" t="n">
        <f aca="false">0</f>
        <v>0</v>
      </c>
    </row>
    <row r="85" customFormat="false" ht="19.85" hidden="false" customHeight="true" outlineLevel="0" collapsed="false">
      <c r="A85" s="0" t="n">
        <v>30</v>
      </c>
      <c r="B85" s="34" t="n">
        <v>39173</v>
      </c>
      <c r="C85" s="26" t="n">
        <v>246506</v>
      </c>
      <c r="D85" s="260" t="s">
        <v>41</v>
      </c>
      <c r="E85" s="33" t="n">
        <f aca="false">IF(D85="totale",(C85/(A85*24))/F85,IF(D85="marché libre",(C85/(A85*24))/G85,"spécifier histo"))</f>
        <v>0.475513117283951</v>
      </c>
      <c r="F85" s="59" t="n">
        <v>720</v>
      </c>
      <c r="G85" s="59" t="n">
        <f aca="false">F85-H85</f>
        <v>720</v>
      </c>
      <c r="H85" s="59" t="n">
        <f aca="false">0</f>
        <v>0</v>
      </c>
      <c r="J85" s="55"/>
    </row>
    <row r="86" customFormat="false" ht="19.85" hidden="false" customHeight="true" outlineLevel="0" collapsed="false">
      <c r="A86" s="0" t="n">
        <v>31</v>
      </c>
      <c r="B86" s="31" t="n">
        <v>39203</v>
      </c>
      <c r="C86" s="26" t="n">
        <v>92135</v>
      </c>
      <c r="D86" s="260" t="s">
        <v>41</v>
      </c>
      <c r="E86" s="33" t="n">
        <f aca="false">IF(D86="totale",(C86/(A86*24))/F86,IF(D86="marché libre",(C86/(A86*24))/G86,"spécifier histo"))</f>
        <v>0.171996341099164</v>
      </c>
      <c r="F86" s="59" t="n">
        <v>720</v>
      </c>
      <c r="G86" s="59" t="n">
        <f aca="false">F86-H86</f>
        <v>720</v>
      </c>
      <c r="H86" s="59" t="n">
        <f aca="false">0</f>
        <v>0</v>
      </c>
      <c r="J86" s="55"/>
    </row>
    <row r="87" customFormat="false" ht="19.85" hidden="false" customHeight="true" outlineLevel="0" collapsed="false">
      <c r="A87" s="0" t="n">
        <v>30</v>
      </c>
      <c r="B87" s="34" t="n">
        <v>39234</v>
      </c>
      <c r="C87" s="26" t="n">
        <v>70532</v>
      </c>
      <c r="D87" s="260" t="s">
        <v>41</v>
      </c>
      <c r="E87" s="33" t="n">
        <f aca="false">IF(D87="totale",(C87/(A87*24))/F87,IF(D87="marché libre",(C87/(A87*24))/G87,"spécifier histo"))</f>
        <v>0.136057098765432</v>
      </c>
      <c r="F87" s="59" t="n">
        <v>720</v>
      </c>
      <c r="G87" s="59" t="n">
        <f aca="false">F87-H87</f>
        <v>720</v>
      </c>
      <c r="H87" s="59" t="n">
        <f aca="false">0</f>
        <v>0</v>
      </c>
      <c r="J87" s="55"/>
    </row>
    <row r="88" customFormat="false" ht="19.85" hidden="false" customHeight="true" outlineLevel="0" collapsed="false">
      <c r="A88" s="0" t="n">
        <v>31</v>
      </c>
      <c r="B88" s="31" t="n">
        <v>39264</v>
      </c>
      <c r="C88" s="26" t="n">
        <v>44793</v>
      </c>
      <c r="D88" s="260" t="s">
        <v>41</v>
      </c>
      <c r="E88" s="33" t="n">
        <f aca="false">IF(D88="totale",(C88/(A88*24))/F88,IF(D88="marché libre",(C88/(A88*24))/G88,"spécifier histo"))</f>
        <v>0.0836189516129032</v>
      </c>
      <c r="F88" s="59" t="n">
        <v>720</v>
      </c>
      <c r="G88" s="59" t="n">
        <f aca="false">F88-H88</f>
        <v>720</v>
      </c>
      <c r="H88" s="59" t="n">
        <f aca="false">0</f>
        <v>0</v>
      </c>
      <c r="J88" s="55"/>
    </row>
    <row r="89" customFormat="false" ht="19.85" hidden="false" customHeight="true" outlineLevel="0" collapsed="false">
      <c r="A89" s="0" t="n">
        <v>31</v>
      </c>
      <c r="B89" s="34" t="n">
        <v>39295</v>
      </c>
      <c r="C89" s="26" t="n">
        <v>4059</v>
      </c>
      <c r="D89" s="260" t="s">
        <v>41</v>
      </c>
      <c r="E89" s="33" t="n">
        <f aca="false">IF(D89="totale",(C89/(A89*24))/F89,IF(D89="marché libre",(C89/(A89*24))/G89,"spécifier histo"))</f>
        <v>0.00757728494623656</v>
      </c>
      <c r="F89" s="59" t="n">
        <v>720</v>
      </c>
      <c r="G89" s="59" t="n">
        <f aca="false">F89-H89</f>
        <v>720</v>
      </c>
      <c r="H89" s="59" t="n">
        <f aca="false">0</f>
        <v>0</v>
      </c>
      <c r="J89" s="55"/>
    </row>
    <row r="90" customFormat="false" ht="19.85" hidden="false" customHeight="true" outlineLevel="0" collapsed="false">
      <c r="A90" s="0" t="n">
        <v>30</v>
      </c>
      <c r="B90" s="31" t="n">
        <v>39326</v>
      </c>
      <c r="C90" s="26" t="n">
        <v>4891</v>
      </c>
      <c r="D90" s="260" t="s">
        <v>41</v>
      </c>
      <c r="E90" s="33" t="n">
        <f aca="false">IF(D90="totale",(C90/(A90*24))/F90,IF(D90="marché libre",(C90/(A90*24))/G90,"spécifier histo"))</f>
        <v>0.00943479938271605</v>
      </c>
      <c r="F90" s="59" t="n">
        <v>720</v>
      </c>
      <c r="G90" s="59" t="n">
        <f aca="false">F90-H90</f>
        <v>720</v>
      </c>
      <c r="H90" s="59" t="n">
        <f aca="false">0</f>
        <v>0</v>
      </c>
      <c r="J90" s="55"/>
    </row>
    <row r="91" customFormat="false" ht="19.85" hidden="false" customHeight="true" outlineLevel="0" collapsed="false">
      <c r="A91" s="0" t="n">
        <v>31</v>
      </c>
      <c r="B91" s="34" t="n">
        <v>39356</v>
      </c>
      <c r="C91" s="26" t="n">
        <v>24697</v>
      </c>
      <c r="D91" s="260" t="s">
        <v>41</v>
      </c>
      <c r="E91" s="33" t="n">
        <f aca="false">IF(D91="totale",(C91/(A91*24))/F91,IF(D91="marché libre",(C91/(A91*24))/G91,"spécifier histo"))</f>
        <v>0.0461040173237754</v>
      </c>
      <c r="F91" s="59" t="n">
        <v>720</v>
      </c>
      <c r="G91" s="59" t="n">
        <f aca="false">F91-H91</f>
        <v>720</v>
      </c>
      <c r="H91" s="59" t="n">
        <f aca="false">0</f>
        <v>0</v>
      </c>
      <c r="J91" s="55"/>
    </row>
    <row r="92" customFormat="false" ht="19.85" hidden="false" customHeight="true" outlineLevel="0" collapsed="false">
      <c r="A92" s="0" t="n">
        <v>30</v>
      </c>
      <c r="B92" s="31" t="n">
        <v>39387</v>
      </c>
      <c r="C92" s="26" t="n">
        <v>78014</v>
      </c>
      <c r="D92" s="260" t="s">
        <v>41</v>
      </c>
      <c r="E92" s="33" t="n">
        <f aca="false">IF(D92="totale",(C92/(A92*24))/F92,IF(D92="marché libre",(C92/(A92*24))/G92,"spécifier histo"))</f>
        <v>0.150489969135802</v>
      </c>
      <c r="F92" s="59" t="n">
        <v>720</v>
      </c>
      <c r="G92" s="59" t="n">
        <f aca="false">F92-H92</f>
        <v>720</v>
      </c>
      <c r="H92" s="59" t="n">
        <f aca="false">0</f>
        <v>0</v>
      </c>
      <c r="J92" s="55"/>
    </row>
    <row r="93" customFormat="false" ht="19.85" hidden="false" customHeight="true" outlineLevel="0" collapsed="false">
      <c r="A93" s="0" t="n">
        <v>31</v>
      </c>
      <c r="B93" s="34" t="n">
        <v>39417</v>
      </c>
      <c r="C93" s="26" t="n">
        <v>380502</v>
      </c>
      <c r="D93" s="260" t="s">
        <v>41</v>
      </c>
      <c r="E93" s="33" t="n">
        <f aca="false">IF(D93="totale",(C93/(A93*24))/F93,IF(D93="marché libre",(C93/(A93*24))/G93,"spécifier histo"))</f>
        <v>0.710315860215054</v>
      </c>
      <c r="F93" s="59" t="n">
        <v>720</v>
      </c>
      <c r="G93" s="59" t="n">
        <f aca="false">F93-H93</f>
        <v>720</v>
      </c>
      <c r="H93" s="59" t="n">
        <f aca="false">0</f>
        <v>0</v>
      </c>
      <c r="J93" s="55"/>
    </row>
    <row r="94" customFormat="false" ht="19.85" hidden="false" customHeight="true" outlineLevel="0" collapsed="false">
      <c r="A94" s="0" t="n">
        <v>31</v>
      </c>
      <c r="B94" s="31" t="n">
        <v>39448</v>
      </c>
      <c r="C94" s="26" t="n">
        <v>408468</v>
      </c>
      <c r="D94" s="260" t="s">
        <v>41</v>
      </c>
      <c r="E94" s="33" t="n">
        <f aca="false">IF(D94="totale",(C94/(A94*24))/F94,IF(D94="marché libre",(C94/(A94*24))/G94,"spécifier histo"))</f>
        <v>0.762522401433692</v>
      </c>
      <c r="F94" s="59" t="n">
        <v>720</v>
      </c>
      <c r="G94" s="59" t="n">
        <f aca="false">F94-H94</f>
        <v>720</v>
      </c>
      <c r="H94" s="59" t="n">
        <f aca="false">0</f>
        <v>0</v>
      </c>
      <c r="J94" s="55"/>
    </row>
    <row r="95" customFormat="false" ht="19.85" hidden="false" customHeight="true" outlineLevel="0" collapsed="false">
      <c r="A95" s="0" t="n">
        <v>28</v>
      </c>
      <c r="B95" s="34" t="n">
        <v>39479</v>
      </c>
      <c r="C95" s="26" t="n">
        <v>233098</v>
      </c>
      <c r="D95" s="260" t="s">
        <v>41</v>
      </c>
      <c r="E95" s="33" t="n">
        <f aca="false">IF(D95="totale",(C95/(A95*24))/F95,IF(D95="marché libre",(C95/(A95*24))/G95,"spécifier histo"))</f>
        <v>0.48176669973545</v>
      </c>
      <c r="F95" s="59" t="n">
        <v>720</v>
      </c>
      <c r="G95" s="59" t="n">
        <f aca="false">F95-H95</f>
        <v>720</v>
      </c>
      <c r="H95" s="59" t="n">
        <f aca="false">0</f>
        <v>0</v>
      </c>
      <c r="J95" s="55"/>
    </row>
    <row r="96" customFormat="false" ht="19.85" hidden="false" customHeight="true" outlineLevel="0" collapsed="false">
      <c r="A96" s="0" t="n">
        <v>31</v>
      </c>
      <c r="B96" s="31" t="n">
        <v>39508</v>
      </c>
      <c r="C96" s="26" t="n">
        <v>393157</v>
      </c>
      <c r="D96" s="260" t="s">
        <v>41</v>
      </c>
      <c r="E96" s="33" t="n">
        <f aca="false">IF(D96="totale",(C96/(A96*24))/F96,IF(D96="marché libre",(C96/(A96*24))/G96,"spécifier histo"))</f>
        <v>0.733940038829152</v>
      </c>
      <c r="F96" s="59" t="n">
        <v>720</v>
      </c>
      <c r="G96" s="59" t="n">
        <f aca="false">F96-H96</f>
        <v>720</v>
      </c>
      <c r="H96" s="59" t="n">
        <f aca="false">0</f>
        <v>0</v>
      </c>
      <c r="J96" s="55"/>
    </row>
    <row r="97" customFormat="false" ht="19.85" hidden="false" customHeight="true" outlineLevel="0" collapsed="false">
      <c r="A97" s="0" t="n">
        <v>30</v>
      </c>
      <c r="B97" s="34" t="n">
        <v>39539</v>
      </c>
      <c r="C97" s="26" t="n">
        <v>499523</v>
      </c>
      <c r="D97" s="260" t="s">
        <v>41</v>
      </c>
      <c r="E97" s="33" t="n">
        <f aca="false">IF(D97="totale",(C97/(A97*24))/F97,IF(D97="marché libre",(C97/(A97*24))/G97,"spécifier histo"))</f>
        <v>0.963586033950617</v>
      </c>
      <c r="F97" s="59" t="n">
        <v>720</v>
      </c>
      <c r="G97" s="59" t="n">
        <f aca="false">F97-H97</f>
        <v>720</v>
      </c>
      <c r="H97" s="59" t="n">
        <f aca="false">0</f>
        <v>0</v>
      </c>
      <c r="J97" s="55"/>
    </row>
    <row r="98" customFormat="false" ht="19.85" hidden="false" customHeight="true" outlineLevel="0" collapsed="false">
      <c r="A98" s="0" t="n">
        <v>31</v>
      </c>
      <c r="B98" s="31" t="n">
        <v>39569</v>
      </c>
      <c r="C98" s="26" t="n">
        <v>349316</v>
      </c>
      <c r="D98" s="260" t="s">
        <v>41</v>
      </c>
      <c r="E98" s="33" t="n">
        <f aca="false">IF(D98="totale",(C98/(A98*24))/F98,IF(D98="marché libre",(C98/(A98*24))/G98,"spécifier histo"))</f>
        <v>0.652098267622461</v>
      </c>
      <c r="F98" s="59" t="n">
        <v>720</v>
      </c>
      <c r="G98" s="59" t="n">
        <f aca="false">F98-H98</f>
        <v>720</v>
      </c>
      <c r="H98" s="59" t="n">
        <f aca="false">0</f>
        <v>0</v>
      </c>
      <c r="J98" s="55"/>
    </row>
    <row r="99" customFormat="false" ht="19.85" hidden="false" customHeight="true" outlineLevel="0" collapsed="false">
      <c r="A99" s="0" t="n">
        <v>30</v>
      </c>
      <c r="B99" s="34" t="n">
        <v>39600</v>
      </c>
      <c r="C99" s="26" t="n">
        <v>427604</v>
      </c>
      <c r="D99" s="260" t="s">
        <v>41</v>
      </c>
      <c r="E99" s="33" t="n">
        <f aca="false">IF(D99="totale",(C99/(A99*24))/F99,IF(D99="marché libre",(C99/(A99*24))/G99,"spécifier histo"))</f>
        <v>0.824853395061728</v>
      </c>
      <c r="F99" s="59" t="n">
        <v>720</v>
      </c>
      <c r="G99" s="59" t="n">
        <f aca="false">F99-H99</f>
        <v>720</v>
      </c>
      <c r="H99" s="59" t="n">
        <f aca="false">0</f>
        <v>0</v>
      </c>
      <c r="J99" s="55"/>
    </row>
    <row r="100" customFormat="false" ht="19.85" hidden="false" customHeight="true" outlineLevel="0" collapsed="false">
      <c r="A100" s="0" t="n">
        <v>31</v>
      </c>
      <c r="B100" s="31" t="n">
        <v>39630</v>
      </c>
      <c r="C100" s="26" t="n">
        <v>138307</v>
      </c>
      <c r="D100" s="260" t="s">
        <v>41</v>
      </c>
      <c r="E100" s="33" t="n">
        <f aca="false">IF(D100="totale",(C100/(A100*24))/F100,IF(D100="marché libre",(C100/(A100*24))/G100,"spécifier histo"))</f>
        <v>0.258189590800478</v>
      </c>
      <c r="F100" s="59" t="n">
        <v>720</v>
      </c>
      <c r="G100" s="59" t="n">
        <f aca="false">F100-H100</f>
        <v>720</v>
      </c>
      <c r="H100" s="59" t="n">
        <f aca="false">0</f>
        <v>0</v>
      </c>
      <c r="J100" s="55"/>
    </row>
    <row r="101" customFormat="false" ht="19.85" hidden="false" customHeight="true" outlineLevel="0" collapsed="false">
      <c r="A101" s="0" t="n">
        <v>31</v>
      </c>
      <c r="B101" s="34" t="n">
        <v>39661</v>
      </c>
      <c r="C101" s="26" t="n">
        <v>272</v>
      </c>
      <c r="D101" s="260" t="s">
        <v>41</v>
      </c>
      <c r="E101" s="33" t="n">
        <f aca="false">IF(D101="totale",(C101/(A101*24))/F101,IF(D101="marché libre",(C101/(A101*24))/G101,"spécifier histo"))</f>
        <v>0.000507765830346475</v>
      </c>
      <c r="F101" s="59" t="n">
        <v>720</v>
      </c>
      <c r="G101" s="59" t="n">
        <f aca="false">F101-H101</f>
        <v>720</v>
      </c>
      <c r="H101" s="59" t="n">
        <f aca="false">0</f>
        <v>0</v>
      </c>
      <c r="J101" s="55"/>
    </row>
    <row r="102" customFormat="false" ht="19.85" hidden="false" customHeight="true" outlineLevel="0" collapsed="false">
      <c r="A102" s="0" t="n">
        <v>30</v>
      </c>
      <c r="B102" s="31" t="n">
        <v>39692</v>
      </c>
      <c r="C102" s="60" t="n">
        <v>0</v>
      </c>
      <c r="D102" s="260" t="s">
        <v>41</v>
      </c>
      <c r="E102" s="33" t="n">
        <f aca="false">IF(D102="totale",(C102/(A102*24))/F102,IF(D102="marché libre",(C102/(A102*24))/G102,"spécifier histo"))</f>
        <v>0</v>
      </c>
      <c r="F102" s="59" t="n">
        <v>720</v>
      </c>
      <c r="G102" s="59" t="n">
        <f aca="false">F102-H102</f>
        <v>720</v>
      </c>
      <c r="H102" s="59" t="n">
        <f aca="false">0</f>
        <v>0</v>
      </c>
      <c r="J102" s="55"/>
    </row>
    <row r="103" customFormat="false" ht="19.85" hidden="false" customHeight="true" outlineLevel="0" collapsed="false">
      <c r="A103" s="0" t="n">
        <v>31</v>
      </c>
      <c r="B103" s="34" t="n">
        <v>39722</v>
      </c>
      <c r="C103" s="26" t="n">
        <v>23845</v>
      </c>
      <c r="D103" s="260" t="s">
        <v>41</v>
      </c>
      <c r="E103" s="33" t="n">
        <f aca="false">IF(D103="totale",(C103/(A103*24))/F103,IF(D103="marché libre",(C103/(A103*24))/G103,"spécifier histo"))</f>
        <v>0.0445135155316607</v>
      </c>
      <c r="F103" s="59" t="n">
        <v>720</v>
      </c>
      <c r="G103" s="59" t="n">
        <f aca="false">F103-H103</f>
        <v>720</v>
      </c>
      <c r="H103" s="59" t="n">
        <f aca="false">0</f>
        <v>0</v>
      </c>
      <c r="J103" s="55"/>
    </row>
    <row r="104" customFormat="false" ht="19.85" hidden="false" customHeight="true" outlineLevel="0" collapsed="false">
      <c r="A104" s="0" t="n">
        <v>30</v>
      </c>
      <c r="B104" s="31" t="n">
        <v>39753</v>
      </c>
      <c r="C104" s="26" t="n">
        <v>260639</v>
      </c>
      <c r="D104" s="260" t="s">
        <v>41</v>
      </c>
      <c r="E104" s="33" t="n">
        <f aca="false">IF(D104="totale",(C104/(A104*24))/F104,IF(D104="marché libre",(C104/(A104*24))/G104,"spécifier histo"))</f>
        <v>0.502775848765432</v>
      </c>
      <c r="F104" s="59" t="n">
        <v>720</v>
      </c>
      <c r="G104" s="59" t="n">
        <f aca="false">F104-H104</f>
        <v>720</v>
      </c>
      <c r="H104" s="59" t="n">
        <f aca="false">0</f>
        <v>0</v>
      </c>
      <c r="J104" s="55"/>
    </row>
    <row r="105" customFormat="false" ht="19.85" hidden="false" customHeight="true" outlineLevel="0" collapsed="false">
      <c r="A105" s="0" t="n">
        <v>31</v>
      </c>
      <c r="B105" s="34" t="n">
        <v>39783</v>
      </c>
      <c r="C105" s="26" t="n">
        <v>334802</v>
      </c>
      <c r="D105" s="260" t="s">
        <v>41</v>
      </c>
      <c r="E105" s="33" t="n">
        <f aca="false">IF(D105="totale",(C105/(A105*24))/F105,IF(D105="marché libre",(C105/(A105*24))/G105,"spécifier histo"))</f>
        <v>0.625003733572282</v>
      </c>
      <c r="F105" s="59" t="n">
        <v>720</v>
      </c>
      <c r="G105" s="59" t="n">
        <f aca="false">F105-H105</f>
        <v>720</v>
      </c>
      <c r="H105" s="59" t="n">
        <f aca="false">0</f>
        <v>0</v>
      </c>
      <c r="J105" s="55"/>
    </row>
    <row r="106" customFormat="false" ht="19.85" hidden="false" customHeight="true" outlineLevel="0" collapsed="false">
      <c r="A106" s="0" t="n">
        <v>31</v>
      </c>
      <c r="B106" s="31" t="n">
        <v>39814</v>
      </c>
      <c r="C106" s="26" t="n">
        <v>373789</v>
      </c>
      <c r="D106" s="260" t="s">
        <v>41</v>
      </c>
      <c r="E106" s="33" t="n">
        <f aca="false">IF(D106="totale",(C106/(A106*24))/F106,IF(D106="marché libre",(C106/(A106*24))/G106,"spécifier histo"))</f>
        <v>0.697784124850657</v>
      </c>
      <c r="F106" s="59" t="n">
        <v>720</v>
      </c>
      <c r="G106" s="59" t="n">
        <f aca="false">F106-H106</f>
        <v>720</v>
      </c>
      <c r="H106" s="59" t="n">
        <f aca="false">0</f>
        <v>0</v>
      </c>
      <c r="J106" s="55"/>
    </row>
    <row r="107" customFormat="false" ht="19.85" hidden="false" customHeight="true" outlineLevel="0" collapsed="false">
      <c r="A107" s="0" t="n">
        <v>28</v>
      </c>
      <c r="B107" s="34" t="n">
        <v>39845</v>
      </c>
      <c r="C107" s="26" t="n">
        <v>362970</v>
      </c>
      <c r="D107" s="260" t="s">
        <v>41</v>
      </c>
      <c r="E107" s="33" t="n">
        <f aca="false">IF(D107="totale",(C107/(A107*24))/F107,IF(D107="marché libre",(C107/(A107*24))/G107,"spécifier histo"))</f>
        <v>0.750186011904762</v>
      </c>
      <c r="F107" s="59" t="n">
        <v>720</v>
      </c>
      <c r="G107" s="59" t="n">
        <f aca="false">F107-H107</f>
        <v>720</v>
      </c>
      <c r="H107" s="59" t="n">
        <f aca="false">0</f>
        <v>0</v>
      </c>
      <c r="J107" s="55"/>
    </row>
    <row r="108" customFormat="false" ht="19.85" hidden="false" customHeight="true" outlineLevel="0" collapsed="false">
      <c r="A108" s="0" t="n">
        <v>31</v>
      </c>
      <c r="B108" s="31" t="n">
        <v>39873</v>
      </c>
      <c r="C108" s="26" t="n">
        <v>362117</v>
      </c>
      <c r="D108" s="260" t="s">
        <v>41</v>
      </c>
      <c r="E108" s="33" t="n">
        <f aca="false">IF(D108="totale",(C108/(A108*24))/F108,IF(D108="marché libre",(C108/(A108*24))/G108,"spécifier histo"))</f>
        <v>0.675994997013142</v>
      </c>
      <c r="F108" s="59" t="n">
        <v>720</v>
      </c>
      <c r="G108" s="59" t="n">
        <f aca="false">F108-H108</f>
        <v>720</v>
      </c>
      <c r="H108" s="59" t="n">
        <f aca="false">0</f>
        <v>0</v>
      </c>
      <c r="J108" s="55"/>
    </row>
    <row r="109" customFormat="false" ht="19.85" hidden="false" customHeight="true" outlineLevel="0" collapsed="false">
      <c r="A109" s="0" t="n">
        <v>30</v>
      </c>
      <c r="B109" s="34" t="n">
        <v>39904</v>
      </c>
      <c r="C109" s="26" t="n">
        <v>319089</v>
      </c>
      <c r="D109" s="260" t="s">
        <v>41</v>
      </c>
      <c r="E109" s="33" t="n">
        <f aca="false">IF(D109="totale",(C109/(A109*24))/F109,IF(D109="marché libre",(C109/(A109*24))/G109,"spécifier histo"))</f>
        <v>0.61552662037037</v>
      </c>
      <c r="F109" s="59" t="n">
        <v>720</v>
      </c>
      <c r="G109" s="59" t="n">
        <f aca="false">F109-H109</f>
        <v>720</v>
      </c>
      <c r="H109" s="59" t="n">
        <f aca="false">0</f>
        <v>0</v>
      </c>
      <c r="J109" s="55"/>
    </row>
    <row r="110" customFormat="false" ht="19.85" hidden="false" customHeight="true" outlineLevel="0" collapsed="false">
      <c r="A110" s="0" t="n">
        <v>31</v>
      </c>
      <c r="B110" s="31" t="n">
        <v>39934</v>
      </c>
      <c r="C110" s="26" t="n">
        <v>251930</v>
      </c>
      <c r="D110" s="260" t="s">
        <v>41</v>
      </c>
      <c r="E110" s="33" t="n">
        <f aca="false">IF(D110="totale",(C110/(A110*24))/F110,IF(D110="marché libre",(C110/(A110*24))/G110,"spécifier histo"))</f>
        <v>0.470299432497013</v>
      </c>
      <c r="F110" s="59" t="n">
        <v>720</v>
      </c>
      <c r="G110" s="59" t="n">
        <f aca="false">F110-H110</f>
        <v>720</v>
      </c>
      <c r="H110" s="59" t="n">
        <f aca="false">0</f>
        <v>0</v>
      </c>
      <c r="J110" s="55"/>
    </row>
    <row r="111" customFormat="false" ht="19.85" hidden="false" customHeight="true" outlineLevel="0" collapsed="false">
      <c r="A111" s="0" t="n">
        <v>30</v>
      </c>
      <c r="B111" s="34" t="n">
        <v>39965</v>
      </c>
      <c r="C111" s="26" t="n">
        <v>17535</v>
      </c>
      <c r="D111" s="260" t="s">
        <v>41</v>
      </c>
      <c r="E111" s="33" t="n">
        <f aca="false">IF(D111="totale",(C111/(A111*24))/F111,IF(D111="marché libre",(C111/(A111*24))/G111,"spécifier histo"))</f>
        <v>0.0338252314814815</v>
      </c>
      <c r="F111" s="59" t="n">
        <v>720</v>
      </c>
      <c r="G111" s="59" t="n">
        <f aca="false">F111-H111</f>
        <v>720</v>
      </c>
      <c r="H111" s="59" t="n">
        <f aca="false">0</f>
        <v>0</v>
      </c>
      <c r="J111" s="55"/>
    </row>
    <row r="112" customFormat="false" ht="19.85" hidden="false" customHeight="true" outlineLevel="0" collapsed="false">
      <c r="A112" s="0" t="n">
        <v>31</v>
      </c>
      <c r="B112" s="31" t="n">
        <v>39995</v>
      </c>
      <c r="C112" s="60" t="n">
        <v>0</v>
      </c>
      <c r="D112" s="260" t="s">
        <v>41</v>
      </c>
      <c r="E112" s="33" t="n">
        <f aca="false">IF(D112="totale",(C112/(A112*24))/F112,IF(D112="marché libre",(C112/(A112*24))/G112,"spécifier histo"))</f>
        <v>0</v>
      </c>
      <c r="F112" s="59" t="n">
        <v>720</v>
      </c>
      <c r="G112" s="59" t="n">
        <f aca="false">F112-H112</f>
        <v>720</v>
      </c>
      <c r="H112" s="59" t="n">
        <f aca="false">0</f>
        <v>0</v>
      </c>
      <c r="J112" s="55"/>
    </row>
    <row r="113" customFormat="false" ht="19.85" hidden="false" customHeight="true" outlineLevel="0" collapsed="false">
      <c r="A113" s="0" t="n">
        <v>31</v>
      </c>
      <c r="B113" s="34" t="n">
        <v>40026</v>
      </c>
      <c r="C113" s="60" t="n">
        <v>0</v>
      </c>
      <c r="D113" s="260" t="s">
        <v>41</v>
      </c>
      <c r="E113" s="33" t="n">
        <f aca="false">IF(D113="totale",(C113/(A113*24))/F113,IF(D113="marché libre",(C113/(A113*24))/G113,"spécifier histo"))</f>
        <v>0</v>
      </c>
      <c r="F113" s="59" t="n">
        <v>720</v>
      </c>
      <c r="G113" s="59" t="n">
        <f aca="false">F113-H113</f>
        <v>720</v>
      </c>
      <c r="H113" s="59" t="n">
        <f aca="false">0</f>
        <v>0</v>
      </c>
      <c r="J113" s="55"/>
    </row>
    <row r="114" customFormat="false" ht="19.85" hidden="false" customHeight="true" outlineLevel="0" collapsed="false">
      <c r="A114" s="0" t="n">
        <v>30</v>
      </c>
      <c r="B114" s="31" t="n">
        <v>40057</v>
      </c>
      <c r="C114" s="60" t="n">
        <v>0</v>
      </c>
      <c r="D114" s="260" t="s">
        <v>41</v>
      </c>
      <c r="E114" s="33" t="n">
        <f aca="false">IF(D114="totale",(C114/(A114*24))/F114,IF(D114="marché libre",(C114/(A114*24))/G114,"spécifier histo"))</f>
        <v>0</v>
      </c>
      <c r="F114" s="59" t="n">
        <v>720</v>
      </c>
      <c r="G114" s="59" t="n">
        <f aca="false">F114-H114</f>
        <v>720</v>
      </c>
      <c r="H114" s="59" t="n">
        <f aca="false">0</f>
        <v>0</v>
      </c>
      <c r="J114" s="55"/>
    </row>
    <row r="115" customFormat="false" ht="19.85" hidden="false" customHeight="true" outlineLevel="0" collapsed="false">
      <c r="A115" s="0" t="n">
        <v>31</v>
      </c>
      <c r="B115" s="34" t="n">
        <v>40087</v>
      </c>
      <c r="C115" s="26" t="n">
        <v>4593</v>
      </c>
      <c r="D115" s="260" t="s">
        <v>41</v>
      </c>
      <c r="E115" s="33" t="n">
        <f aca="false">IF(D115="totale",(C115/(A115*24))/F115,IF(D115="marché libre",(C115/(A115*24))/G115,"spécifier histo"))</f>
        <v>0.00857414874551971</v>
      </c>
      <c r="F115" s="59" t="n">
        <v>720</v>
      </c>
      <c r="G115" s="59" t="n">
        <f aca="false">F115-H115</f>
        <v>720</v>
      </c>
      <c r="H115" s="59" t="n">
        <f aca="false">0</f>
        <v>0</v>
      </c>
      <c r="J115" s="55"/>
    </row>
    <row r="116" customFormat="false" ht="19.85" hidden="false" customHeight="true" outlineLevel="0" collapsed="false">
      <c r="A116" s="0" t="n">
        <v>30</v>
      </c>
      <c r="B116" s="31" t="n">
        <v>40118</v>
      </c>
      <c r="C116" s="26" t="n">
        <v>120425</v>
      </c>
      <c r="D116" s="260" t="s">
        <v>41</v>
      </c>
      <c r="E116" s="33" t="n">
        <f aca="false">IF(D116="totale",(C116/(A116*24))/F116,IF(D116="marché libre",(C116/(A116*24))/G116,"spécifier histo"))</f>
        <v>0.232301311728395</v>
      </c>
      <c r="F116" s="59" t="n">
        <v>720</v>
      </c>
      <c r="G116" s="59" t="n">
        <f aca="false">F116-H116</f>
        <v>720</v>
      </c>
      <c r="H116" s="59" t="n">
        <f aca="false">0</f>
        <v>0</v>
      </c>
      <c r="J116" s="55"/>
    </row>
    <row r="117" customFormat="false" ht="19.95" hidden="false" customHeight="true" outlineLevel="0" collapsed="false">
      <c r="A117" s="0" t="n">
        <v>31</v>
      </c>
      <c r="B117" s="34" t="n">
        <v>40148</v>
      </c>
      <c r="C117" s="26" t="n">
        <v>256731</v>
      </c>
      <c r="D117" s="260" t="s">
        <v>41</v>
      </c>
      <c r="E117" s="33" t="n">
        <f aca="false">IF(D117="totale",(C117/(A117*24))/F117,IF(D117="marché libre",(C117/(A117*24))/G117,"spécifier histo"))</f>
        <v>0.479261872759857</v>
      </c>
      <c r="F117" s="59" t="n">
        <v>720</v>
      </c>
      <c r="G117" s="59" t="n">
        <f aca="false">F117-H117</f>
        <v>720</v>
      </c>
      <c r="H117" s="59" t="n">
        <f aca="false">0</f>
        <v>0</v>
      </c>
      <c r="J117" s="55"/>
    </row>
    <row r="118" customFormat="false" ht="19.85" hidden="false" customHeight="true" outlineLevel="0" collapsed="false">
      <c r="A118" s="0" t="n">
        <v>31</v>
      </c>
      <c r="B118" s="31" t="n">
        <v>40179</v>
      </c>
      <c r="C118" s="26" t="n">
        <v>265582</v>
      </c>
      <c r="D118" s="260" t="s">
        <v>41</v>
      </c>
      <c r="E118" s="33" t="n">
        <f aca="false">IF(D118="totale",(C118/(A118*24))/F118,IF(D118="marché libre",(C118/(A118*24))/G118,"spécifier histo"))</f>
        <v>0.495784796893668</v>
      </c>
      <c r="F118" s="59" t="n">
        <v>720</v>
      </c>
      <c r="G118" s="59" t="n">
        <f aca="false">F118-H118</f>
        <v>720</v>
      </c>
      <c r="H118" s="59" t="n">
        <f aca="false">0</f>
        <v>0</v>
      </c>
      <c r="J118" s="55"/>
    </row>
    <row r="119" customFormat="false" ht="19.85" hidden="false" customHeight="true" outlineLevel="0" collapsed="false">
      <c r="A119" s="0" t="n">
        <v>28</v>
      </c>
      <c r="B119" s="34" t="n">
        <v>40210</v>
      </c>
      <c r="C119" s="26" t="n">
        <v>263495</v>
      </c>
      <c r="D119" s="260" t="s">
        <v>41</v>
      </c>
      <c r="E119" s="33" t="n">
        <f aca="false">IF(D119="totale",(C119/(A119*24))/F119,IF(D119="marché libre",(C119/(A119*24))/G119,"spécifier histo"))</f>
        <v>0.544591187169312</v>
      </c>
      <c r="F119" s="59" t="n">
        <v>720</v>
      </c>
      <c r="G119" s="59" t="n">
        <f aca="false">F119-H119</f>
        <v>720</v>
      </c>
      <c r="H119" s="59" t="n">
        <f aca="false">0</f>
        <v>0</v>
      </c>
      <c r="J119" s="55"/>
    </row>
    <row r="120" customFormat="false" ht="19.85" hidden="false" customHeight="true" outlineLevel="0" collapsed="false">
      <c r="A120" s="0" t="n">
        <v>31</v>
      </c>
      <c r="B120" s="31" t="n">
        <v>40238</v>
      </c>
      <c r="C120" s="26" t="n">
        <v>466779</v>
      </c>
      <c r="D120" s="260" t="s">
        <v>41</v>
      </c>
      <c r="E120" s="33" t="n">
        <f aca="false">IF(D120="totale",(C120/(A120*24))/F120,IF(D120="marché libre",(C120/(A120*24))/G120,"spécifier histo"))</f>
        <v>0.871376568100358</v>
      </c>
      <c r="F120" s="59" t="n">
        <v>720</v>
      </c>
      <c r="G120" s="59" t="n">
        <f aca="false">F120-H120</f>
        <v>720</v>
      </c>
      <c r="H120" s="59" t="n">
        <f aca="false">0</f>
        <v>0</v>
      </c>
      <c r="J120" s="55"/>
    </row>
    <row r="121" customFormat="false" ht="19.85" hidden="false" customHeight="true" outlineLevel="0" collapsed="false">
      <c r="A121" s="0" t="n">
        <v>30</v>
      </c>
      <c r="B121" s="34" t="n">
        <v>40269</v>
      </c>
      <c r="C121" s="26" t="n">
        <v>353531</v>
      </c>
      <c r="D121" s="260" t="s">
        <v>41</v>
      </c>
      <c r="E121" s="33" t="n">
        <f aca="false">IF(D121="totale",(C121/(A121*24))/F121,IF(D121="marché libre",(C121/(A121*24))/G121,"spécifier histo"))</f>
        <v>0.681965663580247</v>
      </c>
      <c r="F121" s="59" t="n">
        <v>720</v>
      </c>
      <c r="G121" s="59" t="n">
        <f aca="false">F121-H121</f>
        <v>720</v>
      </c>
      <c r="H121" s="59" t="n">
        <f aca="false">0</f>
        <v>0</v>
      </c>
      <c r="J121" s="55"/>
    </row>
    <row r="122" customFormat="false" ht="19.85" hidden="false" customHeight="true" outlineLevel="0" collapsed="false">
      <c r="A122" s="0" t="n">
        <v>31</v>
      </c>
      <c r="B122" s="31" t="n">
        <v>40299</v>
      </c>
      <c r="C122" s="26" t="n">
        <v>344514</v>
      </c>
      <c r="D122" s="260" t="s">
        <v>41</v>
      </c>
      <c r="E122" s="33" t="n">
        <f aca="false">IF(D122="totale",(C122/(A122*24))/F122,IF(D122="marché libre",(C122/(A122*24))/G122,"spécifier histo"))</f>
        <v>0.643133960573477</v>
      </c>
      <c r="F122" s="59" t="n">
        <v>720</v>
      </c>
      <c r="G122" s="59" t="n">
        <f aca="false">F122-H122</f>
        <v>720</v>
      </c>
      <c r="H122" s="59" t="n">
        <f aca="false">0</f>
        <v>0</v>
      </c>
      <c r="J122" s="55"/>
    </row>
    <row r="123" customFormat="false" ht="19.85" hidden="false" customHeight="true" outlineLevel="0" collapsed="false">
      <c r="A123" s="0" t="n">
        <v>30</v>
      </c>
      <c r="B123" s="34" t="n">
        <v>40330</v>
      </c>
      <c r="C123" s="26" t="n">
        <v>266599</v>
      </c>
      <c r="D123" s="260" t="s">
        <v>41</v>
      </c>
      <c r="E123" s="33" t="n">
        <f aca="false">IF(D123="totale",(C123/(A123*24))/F123,IF(D123="marché libre",(C123/(A123*24))/G123,"spécifier histo"))</f>
        <v>0.514272762345679</v>
      </c>
      <c r="F123" s="59" t="n">
        <v>720</v>
      </c>
      <c r="G123" s="59" t="n">
        <f aca="false">F123-H123</f>
        <v>720</v>
      </c>
      <c r="H123" s="59" t="n">
        <f aca="false">0</f>
        <v>0</v>
      </c>
      <c r="J123" s="55"/>
    </row>
    <row r="124" customFormat="false" ht="19.85" hidden="false" customHeight="true" outlineLevel="0" collapsed="false">
      <c r="A124" s="0" t="n">
        <v>31</v>
      </c>
      <c r="B124" s="31" t="n">
        <v>40360</v>
      </c>
      <c r="C124" s="26" t="n">
        <v>44059</v>
      </c>
      <c r="D124" s="260" t="s">
        <v>41</v>
      </c>
      <c r="E124" s="33" t="n">
        <f aca="false">IF(D124="totale",(C124/(A124*24))/F124,IF(D124="marché libre",(C124/(A124*24))/G124,"spécifier histo"))</f>
        <v>0.0822487305854241</v>
      </c>
      <c r="F124" s="59" t="n">
        <v>720</v>
      </c>
      <c r="G124" s="59" t="n">
        <f aca="false">F124-H124</f>
        <v>720</v>
      </c>
      <c r="H124" s="59" t="n">
        <f aca="false">0</f>
        <v>0</v>
      </c>
      <c r="J124" s="55"/>
    </row>
    <row r="125" customFormat="false" ht="19.85" hidden="false" customHeight="true" outlineLevel="0" collapsed="false">
      <c r="A125" s="0" t="n">
        <v>31</v>
      </c>
      <c r="B125" s="34" t="n">
        <v>40391</v>
      </c>
      <c r="C125" s="26" t="n">
        <v>9231</v>
      </c>
      <c r="D125" s="260" t="s">
        <v>41</v>
      </c>
      <c r="E125" s="33" t="n">
        <f aca="false">IF(D125="totale",(C125/(A125*24))/F125,IF(D125="marché libre",(C125/(A125*24))/G125,"spécifier histo"))</f>
        <v>0.0172323028673835</v>
      </c>
      <c r="F125" s="59" t="n">
        <v>720</v>
      </c>
      <c r="G125" s="59" t="n">
        <f aca="false">F125-H125</f>
        <v>720</v>
      </c>
      <c r="H125" s="59" t="n">
        <f aca="false">0</f>
        <v>0</v>
      </c>
      <c r="J125" s="55"/>
    </row>
    <row r="126" customFormat="false" ht="19.85" hidden="false" customHeight="true" outlineLevel="0" collapsed="false">
      <c r="A126" s="0" t="n">
        <v>30</v>
      </c>
      <c r="B126" s="31" t="n">
        <v>40422</v>
      </c>
      <c r="C126" s="26" t="n">
        <v>10981</v>
      </c>
      <c r="D126" s="260" t="s">
        <v>41</v>
      </c>
      <c r="E126" s="33" t="n">
        <f aca="false">IF(D126="totale",(C126/(A126*24))/F126,IF(D126="marché libre",(C126/(A126*24))/G126,"spécifier histo"))</f>
        <v>0.0211824845679012</v>
      </c>
      <c r="F126" s="59" t="n">
        <v>720</v>
      </c>
      <c r="G126" s="59" t="n">
        <f aca="false">F126-H126</f>
        <v>720</v>
      </c>
      <c r="H126" s="59" t="n">
        <f aca="false">0</f>
        <v>0</v>
      </c>
      <c r="J126" s="55"/>
    </row>
    <row r="127" customFormat="false" ht="19.85" hidden="false" customHeight="true" outlineLevel="0" collapsed="false">
      <c r="A127" s="0" t="n">
        <v>31</v>
      </c>
      <c r="B127" s="34" t="n">
        <v>40452</v>
      </c>
      <c r="C127" s="26" t="n">
        <v>70888</v>
      </c>
      <c r="D127" s="260" t="s">
        <v>41</v>
      </c>
      <c r="E127" s="33" t="n">
        <f aca="false">IF(D127="totale",(C127/(A127*24))/F127,IF(D127="marché libre",(C127/(A127*24))/G127,"spécifier histo"))</f>
        <v>0.132332735961768</v>
      </c>
      <c r="F127" s="59" t="n">
        <v>720</v>
      </c>
      <c r="G127" s="59" t="n">
        <f aca="false">F127-H127</f>
        <v>720</v>
      </c>
      <c r="H127" s="59" t="n">
        <f aca="false">0</f>
        <v>0</v>
      </c>
      <c r="J127" s="55"/>
    </row>
    <row r="128" customFormat="false" ht="19.85" hidden="false" customHeight="true" outlineLevel="0" collapsed="false">
      <c r="A128" s="0" t="n">
        <v>30</v>
      </c>
      <c r="B128" s="31" t="n">
        <v>40483</v>
      </c>
      <c r="C128" s="26" t="n">
        <v>377528</v>
      </c>
      <c r="D128" s="260" t="s">
        <v>41</v>
      </c>
      <c r="E128" s="33" t="n">
        <f aca="false">IF(D128="totale",(C128/(A128*24))/F128,IF(D128="marché libre",(C128/(A128*24))/G128,"spécifier histo"))</f>
        <v>0.728256172839506</v>
      </c>
      <c r="F128" s="59" t="n">
        <v>720</v>
      </c>
      <c r="G128" s="59" t="n">
        <f aca="false">F128-H128</f>
        <v>720</v>
      </c>
      <c r="H128" s="59" t="n">
        <f aca="false">0</f>
        <v>0</v>
      </c>
      <c r="J128" s="55"/>
    </row>
    <row r="129" customFormat="false" ht="19.85" hidden="false" customHeight="true" outlineLevel="0" collapsed="false">
      <c r="A129" s="0" t="n">
        <v>31</v>
      </c>
      <c r="B129" s="34" t="n">
        <v>40513</v>
      </c>
      <c r="C129" s="26" t="n">
        <v>417745</v>
      </c>
      <c r="D129" s="260" t="s">
        <v>41</v>
      </c>
      <c r="E129" s="33" t="n">
        <f aca="false">IF(D129="totale",(C129/(A129*24))/F129,IF(D129="marché libre",(C129/(A129*24))/G129,"spécifier histo"))</f>
        <v>0.77984057646356</v>
      </c>
      <c r="F129" s="59" t="n">
        <v>720</v>
      </c>
      <c r="G129" s="59" t="n">
        <f aca="false">F129-H129</f>
        <v>720</v>
      </c>
      <c r="H129" s="59" t="n">
        <f aca="false">0</f>
        <v>0</v>
      </c>
      <c r="J129" s="55"/>
    </row>
    <row r="130" customFormat="false" ht="19.85" hidden="false" customHeight="true" outlineLevel="0" collapsed="false">
      <c r="A130" s="0" t="n">
        <v>31</v>
      </c>
      <c r="B130" s="31" t="n">
        <v>40544</v>
      </c>
      <c r="C130" s="200" t="n">
        <v>0</v>
      </c>
      <c r="D130" s="260" t="s">
        <v>41</v>
      </c>
      <c r="E130" s="33" t="e">
        <f aca="false">IF(D130="totale",(C130/(A130*24))/F130,IF(D130="marché libre",(C130/(A130*24))/G130,"spécifier histo"))</f>
        <v>#DIV/0!</v>
      </c>
      <c r="F130" s="59" t="n">
        <v>0</v>
      </c>
      <c r="G130" s="59" t="n">
        <f aca="false">F130-H130</f>
        <v>0</v>
      </c>
      <c r="H130" s="59" t="n">
        <f aca="false">0</f>
        <v>0</v>
      </c>
      <c r="I130" s="1" t="s">
        <v>993</v>
      </c>
      <c r="J130" s="55"/>
    </row>
    <row r="131" customFormat="false" ht="19.85" hidden="false" customHeight="true" outlineLevel="0" collapsed="false">
      <c r="A131" s="0" t="n">
        <v>28</v>
      </c>
      <c r="B131" s="34" t="n">
        <v>40575</v>
      </c>
      <c r="C131" s="200" t="n">
        <v>0</v>
      </c>
      <c r="D131" s="260" t="s">
        <v>41</v>
      </c>
      <c r="E131" s="33" t="e">
        <f aca="false">IF(D131="totale",(C131/(A131*24))/F131,IF(D131="marché libre",(C131/(A131*24))/G131,"spécifier histo"))</f>
        <v>#DIV/0!</v>
      </c>
      <c r="F131" s="59" t="n">
        <v>0</v>
      </c>
      <c r="G131" s="59" t="n">
        <f aca="false">F131-H131</f>
        <v>0</v>
      </c>
      <c r="H131" s="59" t="n">
        <f aca="false">0</f>
        <v>0</v>
      </c>
      <c r="I131" s="1" t="s">
        <v>993</v>
      </c>
      <c r="J131" s="55"/>
    </row>
    <row r="132" customFormat="false" ht="19.85" hidden="false" customHeight="true" outlineLevel="0" collapsed="false">
      <c r="A132" s="0" t="n">
        <v>31</v>
      </c>
      <c r="B132" s="31" t="n">
        <v>40603</v>
      </c>
      <c r="C132" s="200" t="n">
        <v>0</v>
      </c>
      <c r="D132" s="260" t="s">
        <v>41</v>
      </c>
      <c r="E132" s="33" t="e">
        <f aca="false">IF(D132="totale",(C132/(A132*24))/F132,IF(D132="marché libre",(C132/(A132*24))/G132,"spécifier histo"))</f>
        <v>#DIV/0!</v>
      </c>
      <c r="F132" s="59" t="n">
        <v>0</v>
      </c>
      <c r="G132" s="59" t="n">
        <f aca="false">F132-H132</f>
        <v>0</v>
      </c>
      <c r="H132" s="59" t="n">
        <f aca="false">0</f>
        <v>0</v>
      </c>
      <c r="I132" s="1" t="s">
        <v>993</v>
      </c>
      <c r="J132" s="55"/>
    </row>
    <row r="133" customFormat="false" ht="19.85" hidden="false" customHeight="true" outlineLevel="0" collapsed="false">
      <c r="A133" s="0" t="n">
        <v>30</v>
      </c>
      <c r="B133" s="34" t="n">
        <v>40634</v>
      </c>
      <c r="C133" s="200" t="n">
        <v>0</v>
      </c>
      <c r="D133" s="260" t="s">
        <v>41</v>
      </c>
      <c r="E133" s="33" t="e">
        <f aca="false">IF(D133="totale",(C133/(A133*24))/F133,IF(D133="marché libre",(C133/(A133*24))/G133,"spécifier histo"))</f>
        <v>#DIV/0!</v>
      </c>
      <c r="F133" s="59" t="n">
        <v>0</v>
      </c>
      <c r="G133" s="59" t="n">
        <f aca="false">F133-H133</f>
        <v>0</v>
      </c>
      <c r="H133" s="59" t="n">
        <f aca="false">0</f>
        <v>0</v>
      </c>
      <c r="I133" s="1" t="s">
        <v>993</v>
      </c>
      <c r="J133" s="55"/>
    </row>
    <row r="134" customFormat="false" ht="19.85" hidden="false" customHeight="true" outlineLevel="0" collapsed="false">
      <c r="A134" s="0" t="n">
        <v>31</v>
      </c>
      <c r="B134" s="31" t="n">
        <v>40664</v>
      </c>
      <c r="C134" s="200" t="n">
        <v>0</v>
      </c>
      <c r="D134" s="260" t="s">
        <v>41</v>
      </c>
      <c r="E134" s="33" t="e">
        <f aca="false">IF(D134="totale",(C134/(A134*24))/F134,IF(D134="marché libre",(C134/(A134*24))/G134,"spécifier histo"))</f>
        <v>#DIV/0!</v>
      </c>
      <c r="F134" s="59" t="n">
        <v>0</v>
      </c>
      <c r="G134" s="59" t="n">
        <f aca="false">F134-H134</f>
        <v>0</v>
      </c>
      <c r="H134" s="59" t="n">
        <f aca="false">0</f>
        <v>0</v>
      </c>
      <c r="I134" s="1" t="s">
        <v>993</v>
      </c>
      <c r="J134" s="55"/>
    </row>
    <row r="135" customFormat="false" ht="19.85" hidden="false" customHeight="true" outlineLevel="0" collapsed="false">
      <c r="A135" s="0" t="n">
        <v>30</v>
      </c>
      <c r="B135" s="34" t="n">
        <v>40695</v>
      </c>
      <c r="C135" s="200" t="n">
        <v>0</v>
      </c>
      <c r="D135" s="260" t="s">
        <v>41</v>
      </c>
      <c r="E135" s="33" t="e">
        <f aca="false">IF(D135="totale",(C135/(A135*24))/F135,IF(D135="marché libre",(C135/(A135*24))/G135,"spécifier histo"))</f>
        <v>#DIV/0!</v>
      </c>
      <c r="F135" s="59" t="n">
        <v>0</v>
      </c>
      <c r="G135" s="59" t="n">
        <f aca="false">F135-H135</f>
        <v>0</v>
      </c>
      <c r="H135" s="59" t="n">
        <f aca="false">0</f>
        <v>0</v>
      </c>
      <c r="I135" s="1" t="s">
        <v>993</v>
      </c>
      <c r="J135" s="55"/>
    </row>
    <row r="136" customFormat="false" ht="19.85" hidden="false" customHeight="true" outlineLevel="0" collapsed="false">
      <c r="A136" s="0" t="n">
        <v>31</v>
      </c>
      <c r="B136" s="31" t="n">
        <v>40725</v>
      </c>
      <c r="C136" s="200" t="n">
        <v>0</v>
      </c>
      <c r="D136" s="260" t="s">
        <v>41</v>
      </c>
      <c r="E136" s="33" t="e">
        <f aca="false">IF(D136="totale",(C136/(A136*24))/F136,IF(D136="marché libre",(C136/(A136*24))/G136,"spécifier histo"))</f>
        <v>#DIV/0!</v>
      </c>
      <c r="F136" s="59" t="n">
        <v>0</v>
      </c>
      <c r="G136" s="59" t="n">
        <f aca="false">F136-H136</f>
        <v>0</v>
      </c>
      <c r="H136" s="59" t="n">
        <f aca="false">0</f>
        <v>0</v>
      </c>
      <c r="I136" s="1" t="s">
        <v>993</v>
      </c>
      <c r="J136" s="55"/>
    </row>
    <row r="137" customFormat="false" ht="19.85" hidden="false" customHeight="true" outlineLevel="0" collapsed="false">
      <c r="A137" s="0" t="n">
        <v>31</v>
      </c>
      <c r="B137" s="34" t="n">
        <v>40756</v>
      </c>
      <c r="C137" s="200" t="n">
        <v>0</v>
      </c>
      <c r="D137" s="260" t="s">
        <v>41</v>
      </c>
      <c r="E137" s="33" t="e">
        <f aca="false">IF(D137="totale",(C137/(A137*24))/F137,IF(D137="marché libre",(C137/(A137*24))/G137,"spécifier histo"))</f>
        <v>#DIV/0!</v>
      </c>
      <c r="F137" s="59" t="n">
        <v>0</v>
      </c>
      <c r="G137" s="59" t="n">
        <f aca="false">F137-H137</f>
        <v>0</v>
      </c>
      <c r="H137" s="59" t="n">
        <f aca="false">0</f>
        <v>0</v>
      </c>
      <c r="I137" s="1" t="s">
        <v>993</v>
      </c>
      <c r="J137" s="55"/>
    </row>
    <row r="138" customFormat="false" ht="19.85" hidden="false" customHeight="true" outlineLevel="0" collapsed="false">
      <c r="A138" s="0" t="n">
        <v>30</v>
      </c>
      <c r="B138" s="31" t="n">
        <v>40787</v>
      </c>
      <c r="C138" s="200" t="n">
        <v>0</v>
      </c>
      <c r="D138" s="260" t="s">
        <v>41</v>
      </c>
      <c r="E138" s="33" t="e">
        <f aca="false">IF(D138="totale",(C138/(A138*24))/F138,IF(D138="marché libre",(C138/(A138*24))/G138,"spécifier histo"))</f>
        <v>#DIV/0!</v>
      </c>
      <c r="F138" s="59" t="n">
        <v>0</v>
      </c>
      <c r="G138" s="59" t="n">
        <f aca="false">F138-H138</f>
        <v>0</v>
      </c>
      <c r="H138" s="59" t="n">
        <f aca="false">0</f>
        <v>0</v>
      </c>
      <c r="I138" s="1" t="s">
        <v>993</v>
      </c>
      <c r="J138" s="55"/>
    </row>
    <row r="139" customFormat="false" ht="19.85" hidden="false" customHeight="true" outlineLevel="0" collapsed="false">
      <c r="A139" s="0" t="n">
        <v>31</v>
      </c>
      <c r="B139" s="34" t="n">
        <v>40817</v>
      </c>
      <c r="C139" s="200" t="n">
        <v>0</v>
      </c>
      <c r="D139" s="260" t="s">
        <v>41</v>
      </c>
      <c r="E139" s="33" t="e">
        <f aca="false">IF(D139="totale",(C139/(A139*24))/F139,IF(D139="marché libre",(C139/(A139*24))/G139,"spécifier histo"))</f>
        <v>#DIV/0!</v>
      </c>
      <c r="F139" s="59" t="n">
        <v>0</v>
      </c>
      <c r="G139" s="59" t="n">
        <f aca="false">F139-H139</f>
        <v>0</v>
      </c>
      <c r="H139" s="59" t="n">
        <f aca="false">0</f>
        <v>0</v>
      </c>
      <c r="I139" s="1" t="s">
        <v>993</v>
      </c>
      <c r="J139" s="55"/>
    </row>
    <row r="140" customFormat="false" ht="19.85" hidden="false" customHeight="true" outlineLevel="0" collapsed="false">
      <c r="A140" s="0" t="n">
        <v>30</v>
      </c>
      <c r="B140" s="31" t="n">
        <v>40848</v>
      </c>
      <c r="C140" s="200" t="n">
        <v>0</v>
      </c>
      <c r="D140" s="260" t="s">
        <v>41</v>
      </c>
      <c r="E140" s="33" t="e">
        <f aca="false">IF(D140="totale",(C140/(A140*24))/F140,IF(D140="marché libre",(C140/(A140*24))/G140,"spécifier histo"))</f>
        <v>#DIV/0!</v>
      </c>
      <c r="F140" s="59" t="n">
        <v>0</v>
      </c>
      <c r="G140" s="59" t="n">
        <f aca="false">F140-H140</f>
        <v>0</v>
      </c>
      <c r="H140" s="59" t="n">
        <f aca="false">0</f>
        <v>0</v>
      </c>
      <c r="I140" s="1" t="s">
        <v>993</v>
      </c>
      <c r="J140" s="55"/>
    </row>
    <row r="141" customFormat="false" ht="19.85" hidden="false" customHeight="true" outlineLevel="0" collapsed="false">
      <c r="A141" s="0" t="n">
        <v>31</v>
      </c>
      <c r="B141" s="34" t="n">
        <v>40878</v>
      </c>
      <c r="C141" s="200" t="n">
        <v>0</v>
      </c>
      <c r="D141" s="260" t="s">
        <v>41</v>
      </c>
      <c r="E141" s="33" t="e">
        <f aca="false">IF(D141="totale",(C141/(A141*24))/F141,IF(D141="marché libre",(C141/(A141*24))/G141,"spécifier histo"))</f>
        <v>#DIV/0!</v>
      </c>
      <c r="F141" s="59" t="n">
        <v>0</v>
      </c>
      <c r="G141" s="59" t="n">
        <f aca="false">F141-H141</f>
        <v>0</v>
      </c>
      <c r="H141" s="59" t="n">
        <f aca="false">0</f>
        <v>0</v>
      </c>
      <c r="I141" s="1" t="s">
        <v>993</v>
      </c>
      <c r="J141" s="55"/>
    </row>
    <row r="142" customFormat="false" ht="19.85" hidden="false" customHeight="true" outlineLevel="0" collapsed="false">
      <c r="A142" s="0" t="n">
        <v>31</v>
      </c>
      <c r="B142" s="31" t="n">
        <v>40909</v>
      </c>
      <c r="C142" s="56" t="n">
        <f aca="false">405479+0</f>
        <v>405479</v>
      </c>
      <c r="D142" s="260" t="s">
        <v>41</v>
      </c>
      <c r="E142" s="33" t="n">
        <f aca="false">IF(D142="totale",(C142/(A142*24))/F142,IF(D142="marché libre",(C142/(A142*24))/G142,"spécifier histo"))</f>
        <v>0.756942577658303</v>
      </c>
      <c r="F142" s="59" t="n">
        <v>720</v>
      </c>
      <c r="G142" s="59" t="n">
        <f aca="false">F142-H142</f>
        <v>720</v>
      </c>
      <c r="H142" s="59" t="n">
        <f aca="false">0</f>
        <v>0</v>
      </c>
      <c r="J142" s="55"/>
    </row>
    <row r="143" customFormat="false" ht="19.85" hidden="false" customHeight="true" outlineLevel="0" collapsed="false">
      <c r="A143" s="0" t="n">
        <v>28</v>
      </c>
      <c r="B143" s="34" t="n">
        <v>40940</v>
      </c>
      <c r="C143" s="56" t="n">
        <v>175028</v>
      </c>
      <c r="D143" s="260" t="s">
        <v>41</v>
      </c>
      <c r="E143" s="33" t="n">
        <f aca="false">IF(D143="totale",(C143/(A143*24))/F143,IF(D143="marché libre",(C143/(A143*24))/G143,"spécifier histo"))</f>
        <v>0.361747685185185</v>
      </c>
      <c r="F143" s="59" t="n">
        <v>720</v>
      </c>
      <c r="G143" s="59" t="n">
        <f aca="false">F143-H143</f>
        <v>720</v>
      </c>
      <c r="H143" s="59" t="n">
        <f aca="false">0</f>
        <v>0</v>
      </c>
      <c r="J143" s="55"/>
    </row>
    <row r="144" customFormat="false" ht="19.85" hidden="false" customHeight="true" outlineLevel="0" collapsed="false">
      <c r="A144" s="0" t="n">
        <v>31</v>
      </c>
      <c r="B144" s="31" t="n">
        <v>40969</v>
      </c>
      <c r="C144" s="56" t="n">
        <v>202771</v>
      </c>
      <c r="D144" s="260" t="s">
        <v>41</v>
      </c>
      <c r="E144" s="33" t="n">
        <f aca="false">IF(D144="totale",(C144/(A144*24))/F144,IF(D144="marché libre",(C144/(A144*24))/G144,"spécifier histo"))</f>
        <v>0.378530092592593</v>
      </c>
      <c r="F144" s="59" t="n">
        <v>720</v>
      </c>
      <c r="G144" s="59" t="n">
        <f aca="false">F144-H144</f>
        <v>720</v>
      </c>
      <c r="H144" s="59" t="n">
        <f aca="false">0</f>
        <v>0</v>
      </c>
      <c r="J144" s="55"/>
    </row>
    <row r="145" customFormat="false" ht="19.85" hidden="false" customHeight="true" outlineLevel="0" collapsed="false">
      <c r="A145" s="0" t="n">
        <v>30</v>
      </c>
      <c r="B145" s="34" t="n">
        <v>41000</v>
      </c>
      <c r="C145" s="56" t="n">
        <v>290514</v>
      </c>
      <c r="D145" s="260" t="s">
        <v>41</v>
      </c>
      <c r="E145" s="33" t="n">
        <f aca="false">IF(D145="totale",(C145/(A145*24))/F145,IF(D145="marché libre",(C145/(A145*24))/G145,"spécifier histo"))</f>
        <v>0.560405092592593</v>
      </c>
      <c r="F145" s="59" t="n">
        <v>720</v>
      </c>
      <c r="G145" s="59" t="n">
        <f aca="false">F145-H145</f>
        <v>720</v>
      </c>
      <c r="H145" s="59" t="n">
        <f aca="false">0</f>
        <v>0</v>
      </c>
      <c r="J145" s="55"/>
    </row>
    <row r="146" customFormat="false" ht="19.85" hidden="false" customHeight="true" outlineLevel="0" collapsed="false">
      <c r="A146" s="0" t="n">
        <v>31</v>
      </c>
      <c r="B146" s="31" t="n">
        <v>41030</v>
      </c>
      <c r="C146" s="56" t="n">
        <v>374749</v>
      </c>
      <c r="D146" s="260" t="s">
        <v>41</v>
      </c>
      <c r="E146" s="33" t="n">
        <f aca="false">IF(D146="totale",(C146/(A146*24))/F146,IF(D146="marché libre",(C146/(A146*24))/G146,"spécifier histo"))</f>
        <v>0.699576239545998</v>
      </c>
      <c r="F146" s="59" t="n">
        <v>720</v>
      </c>
      <c r="G146" s="59" t="n">
        <f aca="false">F146-H146</f>
        <v>720</v>
      </c>
      <c r="H146" s="59" t="n">
        <f aca="false">0</f>
        <v>0</v>
      </c>
      <c r="J146" s="55"/>
    </row>
    <row r="147" customFormat="false" ht="22.45" hidden="false" customHeight="true" outlineLevel="0" collapsed="false">
      <c r="A147" s="0" t="n">
        <v>30</v>
      </c>
      <c r="B147" s="34" t="n">
        <v>41061</v>
      </c>
      <c r="C147" s="56" t="n">
        <v>125024</v>
      </c>
      <c r="D147" s="260" t="s">
        <v>41</v>
      </c>
      <c r="E147" s="33" t="n">
        <f aca="false">IF(D147="totale",(C147/(A147*24))/F147,IF(D147="marché libre",(C147/(A147*24))/G147,"spécifier histo"))</f>
        <v>0.241172839506173</v>
      </c>
      <c r="F147" s="59" t="n">
        <v>720</v>
      </c>
      <c r="G147" s="59" t="n">
        <f aca="false">F147-H147</f>
        <v>720</v>
      </c>
      <c r="H147" s="59" t="n">
        <f aca="false">0</f>
        <v>0</v>
      </c>
      <c r="J147" s="55"/>
    </row>
    <row r="148" customFormat="false" ht="21.65" hidden="false" customHeight="true" outlineLevel="0" collapsed="false">
      <c r="A148" s="0" t="n">
        <v>31</v>
      </c>
      <c r="B148" s="31" t="n">
        <v>41091</v>
      </c>
      <c r="C148" s="56" t="n">
        <v>29361.69</v>
      </c>
      <c r="D148" s="260" t="s">
        <v>41</v>
      </c>
      <c r="E148" s="33" t="n">
        <f aca="false">IF(D148="totale",(C148/(A148*24))/F148,IF(D148="marché libre",(C148/(A148*24))/G148,"spécifier histo"))</f>
        <v>0.0548119959677419</v>
      </c>
      <c r="F148" s="59" t="n">
        <v>720</v>
      </c>
      <c r="G148" s="59" t="n">
        <f aca="false">F148-H148</f>
        <v>720</v>
      </c>
      <c r="H148" s="59" t="n">
        <f aca="false">0</f>
        <v>0</v>
      </c>
      <c r="J148" s="55"/>
    </row>
    <row r="149" customFormat="false" ht="21.65" hidden="false" customHeight="true" outlineLevel="0" collapsed="false">
      <c r="A149" s="0" t="n">
        <v>31</v>
      </c>
      <c r="B149" s="34" t="n">
        <v>41122</v>
      </c>
      <c r="C149" s="56" t="n">
        <v>0</v>
      </c>
      <c r="D149" s="516" t="s">
        <v>41</v>
      </c>
      <c r="E149" s="372" t="n">
        <f aca="false">IF(D149="totale",(C149/(A149*24))/F149,IF(D149="marché libre",(C149/(A149*24))/G149,"spécifier histo"))</f>
        <v>0</v>
      </c>
      <c r="F149" s="239" t="n">
        <v>720</v>
      </c>
      <c r="G149" s="239" t="n">
        <f aca="false">F149-H149</f>
        <v>720</v>
      </c>
      <c r="H149" s="59" t="n">
        <f aca="false">0</f>
        <v>0</v>
      </c>
      <c r="J149" s="55"/>
    </row>
    <row r="150" customFormat="false" ht="21.65" hidden="false" customHeight="true" outlineLevel="0" collapsed="false">
      <c r="A150" s="0" t="n">
        <v>30</v>
      </c>
      <c r="B150" s="31" t="n">
        <v>41153</v>
      </c>
      <c r="C150" s="56" t="n">
        <v>0</v>
      </c>
      <c r="D150" s="516" t="s">
        <v>41</v>
      </c>
      <c r="E150" s="372" t="n">
        <f aca="false">IF(D150="totale",(C150/(A150*24))/F150,IF(D150="marché libre",(C150/(A150*24))/G150,"spécifier histo"))</f>
        <v>0</v>
      </c>
      <c r="F150" s="239" t="n">
        <v>720</v>
      </c>
      <c r="G150" s="239" t="n">
        <f aca="false">F150-H150</f>
        <v>720</v>
      </c>
      <c r="H150" s="59" t="n">
        <f aca="false">0</f>
        <v>0</v>
      </c>
      <c r="J150" s="55"/>
    </row>
    <row r="151" customFormat="false" ht="21.65" hidden="false" customHeight="true" outlineLevel="0" collapsed="false">
      <c r="A151" s="0" t="n">
        <v>31</v>
      </c>
      <c r="B151" s="34" t="n">
        <v>41183</v>
      </c>
      <c r="C151" s="56" t="n">
        <v>0</v>
      </c>
      <c r="D151" s="516" t="s">
        <v>41</v>
      </c>
      <c r="E151" s="372" t="n">
        <f aca="false">IF(D151="totale",(C151/(A151*24))/F151,IF(D151="marché libre",(C151/(A151*24))/G151,"spécifier histo"))</f>
        <v>0</v>
      </c>
      <c r="F151" s="239" t="n">
        <v>720</v>
      </c>
      <c r="G151" s="239" t="n">
        <f aca="false">F151-H151</f>
        <v>720</v>
      </c>
      <c r="H151" s="59" t="n">
        <f aca="false">0</f>
        <v>0</v>
      </c>
      <c r="J151" s="55"/>
    </row>
    <row r="152" customFormat="false" ht="21.65" hidden="false" customHeight="true" outlineLevel="0" collapsed="false">
      <c r="A152" s="0" t="n">
        <v>30</v>
      </c>
      <c r="B152" s="31" t="n">
        <v>41214</v>
      </c>
      <c r="C152" s="56" t="n">
        <f aca="false">5785+7951</f>
        <v>13736</v>
      </c>
      <c r="D152" s="260" t="s">
        <v>41</v>
      </c>
      <c r="E152" s="33" t="n">
        <f aca="false">IF(D152="totale",(C152/(A152*24))/F152,IF(D152="marché libre",(C152/(A152*24))/G152,"spécifier histo"))</f>
        <v>0.0264969135802469</v>
      </c>
      <c r="F152" s="59" t="n">
        <v>720</v>
      </c>
      <c r="G152" s="59" t="n">
        <f aca="false">F152-H152</f>
        <v>320</v>
      </c>
      <c r="H152" s="58" t="n">
        <v>400</v>
      </c>
      <c r="I152" s="1" t="s">
        <v>425</v>
      </c>
      <c r="J152" s="55"/>
    </row>
    <row r="153" customFormat="false" ht="21.65" hidden="false" customHeight="true" outlineLevel="0" collapsed="false">
      <c r="A153" s="0" t="n">
        <v>31</v>
      </c>
      <c r="B153" s="34" t="n">
        <v>41244</v>
      </c>
      <c r="C153" s="56" t="n">
        <f aca="false">188468+117673</f>
        <v>306141</v>
      </c>
      <c r="D153" s="260" t="s">
        <v>41</v>
      </c>
      <c r="E153" s="33" t="n">
        <f aca="false">IF(D153="totale",(C153/(A153*24))/F153,IF(D153="marché libre",(C153/(A153*24))/G153,"spécifier histo"))</f>
        <v>0.571499775985663</v>
      </c>
      <c r="F153" s="59" t="n">
        <v>720</v>
      </c>
      <c r="G153" s="59" t="n">
        <f aca="false">F153-H153</f>
        <v>320</v>
      </c>
      <c r="H153" s="58" t="n">
        <v>400</v>
      </c>
      <c r="J153" s="55"/>
    </row>
    <row r="154" customFormat="false" ht="28.35" hidden="false" customHeight="true" outlineLevel="0" collapsed="false">
      <c r="A154" s="0" t="n">
        <v>31</v>
      </c>
      <c r="B154" s="31" t="n">
        <v>41275</v>
      </c>
      <c r="C154" s="1" t="n">
        <f aca="false">260494+40813</f>
        <v>301307</v>
      </c>
      <c r="D154" s="260" t="s">
        <v>41</v>
      </c>
      <c r="E154" s="33" t="n">
        <f aca="false">IF(D154="totale",(C154/(A154*24))/F154,IF(D154="marché libre",(C154/(A154*24))/G154,"spécifier histo"))</f>
        <v>0.562475731780167</v>
      </c>
      <c r="F154" s="59" t="n">
        <v>720</v>
      </c>
      <c r="G154" s="59" t="n">
        <f aca="false">F154-H154</f>
        <v>320</v>
      </c>
      <c r="H154" s="58" t="n">
        <v>400</v>
      </c>
      <c r="J154" s="55"/>
    </row>
    <row r="155" customFormat="false" ht="28.35" hidden="false" customHeight="true" outlineLevel="0" collapsed="false">
      <c r="A155" s="0" t="n">
        <v>28</v>
      </c>
      <c r="B155" s="34" t="n">
        <v>41306</v>
      </c>
      <c r="C155" s="1" t="n">
        <f aca="false">239471+106407</f>
        <v>345878</v>
      </c>
      <c r="D155" s="260" t="s">
        <v>41</v>
      </c>
      <c r="E155" s="33" t="n">
        <f aca="false">IF(D155="totale",(C155/(A155*24))/F155,IF(D155="marché libre",(C155/(A155*24))/G155,"spécifier histo"))</f>
        <v>0.714860284391534</v>
      </c>
      <c r="F155" s="59" t="n">
        <v>720</v>
      </c>
      <c r="G155" s="59" t="n">
        <f aca="false">F155-H155</f>
        <v>320</v>
      </c>
      <c r="H155" s="58" t="n">
        <v>400</v>
      </c>
    </row>
    <row r="156" customFormat="false" ht="28.35" hidden="false" customHeight="true" outlineLevel="0" collapsed="false">
      <c r="A156" s="0" t="n">
        <v>31</v>
      </c>
      <c r="B156" s="31" t="n">
        <v>41334</v>
      </c>
      <c r="C156" s="1" t="n">
        <f aca="false">254103+162000</f>
        <v>416103</v>
      </c>
      <c r="D156" s="260" t="s">
        <v>41</v>
      </c>
      <c r="E156" s="33" t="n">
        <f aca="false">IF(D156="totale",(C156/(A156*24))/F156,IF(D156="marché libre",(C156/(A156*24))/G156,"spécifier histo"))</f>
        <v>0.776775313620072</v>
      </c>
      <c r="F156" s="59" t="n">
        <v>720</v>
      </c>
      <c r="G156" s="59" t="n">
        <f aca="false">F156-H156</f>
        <v>320</v>
      </c>
      <c r="H156" s="58" t="n">
        <v>400</v>
      </c>
    </row>
    <row r="157" customFormat="false" ht="28.35" hidden="false" customHeight="true" outlineLevel="0" collapsed="false">
      <c r="A157" s="0" t="n">
        <v>30</v>
      </c>
      <c r="B157" s="34" t="n">
        <v>41365</v>
      </c>
      <c r="C157" s="1" t="n">
        <f aca="false">263275+116528</f>
        <v>379803</v>
      </c>
      <c r="D157" s="260" t="s">
        <v>41</v>
      </c>
      <c r="E157" s="33" t="n">
        <f aca="false">IF(D157="totale",(C157/(A157*24))/F157,IF(D157="marché libre",(C157/(A157*24))/G157,"spécifier histo"))</f>
        <v>0.732644675925926</v>
      </c>
      <c r="F157" s="59" t="n">
        <v>720</v>
      </c>
      <c r="G157" s="59" t="n">
        <f aca="false">F157-H157</f>
        <v>320</v>
      </c>
      <c r="H157" s="58" t="n">
        <v>400</v>
      </c>
    </row>
    <row r="158" customFormat="false" ht="28.35" hidden="false" customHeight="true" outlineLevel="0" collapsed="false">
      <c r="A158" s="0" t="n">
        <v>31</v>
      </c>
      <c r="B158" s="31" t="n">
        <v>41395</v>
      </c>
      <c r="C158" s="1" t="n">
        <f aca="false">273354+186390</f>
        <v>459744</v>
      </c>
      <c r="D158" s="260" t="s">
        <v>41</v>
      </c>
      <c r="E158" s="33" t="n">
        <f aca="false">IF(D158="totale",(C158/(A158*24))/F158,IF(D158="marché libre",(C158/(A158*24))/G158,"spécifier histo"))</f>
        <v>0.858243727598566</v>
      </c>
      <c r="F158" s="59" t="n">
        <v>720</v>
      </c>
      <c r="G158" s="59" t="n">
        <f aca="false">F158-H158</f>
        <v>320</v>
      </c>
      <c r="H158" s="58" t="n">
        <v>400</v>
      </c>
    </row>
    <row r="159" customFormat="false" ht="28.35" hidden="false" customHeight="true" outlineLevel="0" collapsed="false">
      <c r="A159" s="0" t="n">
        <v>30</v>
      </c>
      <c r="B159" s="34" t="n">
        <v>41426</v>
      </c>
      <c r="C159" s="1" t="n">
        <f aca="false">176450+2815</f>
        <v>179265</v>
      </c>
      <c r="D159" s="260" t="s">
        <v>41</v>
      </c>
      <c r="E159" s="33" t="n">
        <f aca="false">IF(D159="totale",(C159/(A159*24))/F159,IF(D159="marché libre",(C159/(A159*24))/G159,"spécifier histo"))</f>
        <v>0.345804398148148</v>
      </c>
      <c r="F159" s="59" t="n">
        <v>720</v>
      </c>
      <c r="G159" s="59" t="n">
        <f aca="false">F159-H159</f>
        <v>320</v>
      </c>
      <c r="H159" s="58" t="n">
        <v>400</v>
      </c>
    </row>
    <row r="160" customFormat="false" ht="28.35" hidden="false" customHeight="true" outlineLevel="0" collapsed="false">
      <c r="A160" s="0" t="n">
        <v>31</v>
      </c>
      <c r="B160" s="31" t="n">
        <v>41456</v>
      </c>
      <c r="C160" s="1" t="n">
        <f aca="false">34009+41</f>
        <v>34050</v>
      </c>
      <c r="D160" s="260" t="s">
        <v>41</v>
      </c>
      <c r="E160" s="33" t="n">
        <f aca="false">IF(D160="totale",(C160/(A160*24))/F160,IF(D160="marché libre",(C160/(A160*24))/G160,"spécifier histo"))</f>
        <v>0.0635640681003584</v>
      </c>
      <c r="F160" s="59" t="n">
        <v>720</v>
      </c>
      <c r="G160" s="59" t="n">
        <f aca="false">F160-H160</f>
        <v>320</v>
      </c>
      <c r="H160" s="58" t="n">
        <v>400</v>
      </c>
    </row>
    <row r="161" customFormat="false" ht="28.35" hidden="false" customHeight="true" outlineLevel="0" collapsed="false">
      <c r="A161" s="0" t="n">
        <v>31</v>
      </c>
      <c r="B161" s="34" t="n">
        <v>41487</v>
      </c>
      <c r="C161" s="1" t="n">
        <f aca="false">0+7</f>
        <v>7</v>
      </c>
      <c r="D161" s="260" t="s">
        <v>41</v>
      </c>
      <c r="E161" s="33" t="n">
        <f aca="false">IF(D161="totale",(C161/(A161*24))/F161,IF(D161="marché libre",(C161/(A161*24))/G161,"spécifier histo"))</f>
        <v>1.30675029868578E-005</v>
      </c>
      <c r="F161" s="59" t="n">
        <v>720</v>
      </c>
      <c r="G161" s="59" t="n">
        <f aca="false">F161-H161</f>
        <v>320</v>
      </c>
      <c r="H161" s="58" t="n">
        <v>400</v>
      </c>
    </row>
    <row r="162" customFormat="false" ht="28.35" hidden="false" customHeight="true" outlineLevel="0" collapsed="false">
      <c r="A162" s="0" t="n">
        <v>30</v>
      </c>
      <c r="B162" s="31" t="n">
        <v>41518</v>
      </c>
      <c r="C162" s="1" t="n">
        <f aca="false">97+8</f>
        <v>105</v>
      </c>
      <c r="D162" s="260" t="s">
        <v>41</v>
      </c>
      <c r="E162" s="33" t="n">
        <f aca="false">IF(D162="totale",(C162/(A162*24))/F162,IF(D162="marché libre",(C162/(A162*24))/G162,"spécifier histo"))</f>
        <v>0.000202546296296296</v>
      </c>
      <c r="F162" s="59" t="n">
        <v>720</v>
      </c>
      <c r="G162" s="59" t="n">
        <f aca="false">F162-H162</f>
        <v>320</v>
      </c>
      <c r="H162" s="58" t="n">
        <v>400</v>
      </c>
    </row>
    <row r="163" customFormat="false" ht="28.35" hidden="false" customHeight="true" outlineLevel="0" collapsed="false">
      <c r="A163" s="0" t="n">
        <v>31</v>
      </c>
      <c r="B163" s="34" t="n">
        <v>41548</v>
      </c>
      <c r="C163" s="1" t="n">
        <f aca="false">117834+2100</f>
        <v>119934</v>
      </c>
      <c r="D163" s="260" t="s">
        <v>41</v>
      </c>
      <c r="E163" s="33" t="n">
        <f aca="false">IF(D163="totale",(C163/(A163*24))/F163,IF(D163="marché libre",(C163/(A163*24))/G163,"spécifier histo"))</f>
        <v>0.223891129032258</v>
      </c>
      <c r="F163" s="59" t="n">
        <v>720</v>
      </c>
      <c r="G163" s="59" t="n">
        <f aca="false">F163-H163</f>
        <v>320</v>
      </c>
      <c r="H163" s="58" t="n">
        <v>400</v>
      </c>
    </row>
    <row r="164" customFormat="false" ht="28.35" hidden="false" customHeight="true" outlineLevel="0" collapsed="false">
      <c r="A164" s="0" t="n">
        <v>30</v>
      </c>
      <c r="B164" s="31" t="n">
        <v>41579</v>
      </c>
      <c r="C164" s="1" t="n">
        <f aca="false">237373+123276</f>
        <v>360649</v>
      </c>
      <c r="D164" s="260" t="s">
        <v>41</v>
      </c>
      <c r="E164" s="33" t="n">
        <f aca="false">IF(D164="totale",(C164/(A164*24))/F164,IF(D164="marché libre",(C164/(A164*24))/G164,"spécifier histo"))</f>
        <v>0.69569637345679</v>
      </c>
      <c r="F164" s="59" t="n">
        <v>720</v>
      </c>
      <c r="G164" s="59" t="n">
        <f aca="false">F164-H164</f>
        <v>320</v>
      </c>
      <c r="H164" s="58" t="n">
        <v>400</v>
      </c>
    </row>
    <row r="165" customFormat="false" ht="28.35" hidden="false" customHeight="true" outlineLevel="0" collapsed="false">
      <c r="A165" s="0" t="n">
        <v>31</v>
      </c>
      <c r="B165" s="34" t="n">
        <v>41609</v>
      </c>
      <c r="C165" s="1" t="n">
        <f aca="false">237879+52428</f>
        <v>290307</v>
      </c>
      <c r="D165" s="260" t="s">
        <v>41</v>
      </c>
      <c r="E165" s="33" t="n">
        <f aca="false">IF(D165="totale",(C165/(A165*24))/F165,IF(D165="marché libre",(C165/(A165*24))/G165,"spécifier histo"))</f>
        <v>0.541941084229391</v>
      </c>
      <c r="F165" s="59" t="n">
        <v>720</v>
      </c>
      <c r="G165" s="59" t="n">
        <f aca="false">F165-H165</f>
        <v>320</v>
      </c>
      <c r="H165" s="58" t="n">
        <v>400</v>
      </c>
    </row>
    <row r="166" customFormat="false" ht="28.35" hidden="false" customHeight="true" outlineLevel="0" collapsed="false">
      <c r="A166" s="0" t="n">
        <v>31</v>
      </c>
      <c r="B166" s="31" t="n">
        <v>41640</v>
      </c>
      <c r="C166" s="1" t="n">
        <f aca="false">292127+120138</f>
        <v>412265</v>
      </c>
      <c r="D166" s="260" t="s">
        <v>41</v>
      </c>
      <c r="E166" s="33" t="n">
        <f aca="false">IF(D166="totale",(C166/(A166*24))/F166,IF(D166="marché libre",(C166/(A166*24))/G166,"spécifier histo"))</f>
        <v>0.769610588410992</v>
      </c>
      <c r="F166" s="59" t="n">
        <v>720</v>
      </c>
      <c r="G166" s="59" t="n">
        <f aca="false">F166-H166</f>
        <v>320</v>
      </c>
      <c r="H166" s="58" t="n">
        <v>400</v>
      </c>
    </row>
    <row r="167" customFormat="false" ht="28.35" hidden="false" customHeight="true" outlineLevel="0" collapsed="false">
      <c r="A167" s="0" t="n">
        <v>28</v>
      </c>
      <c r="B167" s="34" t="n">
        <v>41671</v>
      </c>
      <c r="C167" s="1" t="n">
        <f aca="false">246313+151624</f>
        <v>397937</v>
      </c>
      <c r="D167" s="260" t="s">
        <v>41</v>
      </c>
      <c r="E167" s="33" t="n">
        <f aca="false">IF(D167="totale",(C167/(A167*24))/F167,IF(D167="marché libre",(C167/(A167*24))/G167,"spécifier histo"))</f>
        <v>0.822455770502646</v>
      </c>
      <c r="F167" s="59" t="n">
        <v>720</v>
      </c>
      <c r="G167" s="59" t="n">
        <f aca="false">F167-H167</f>
        <v>320</v>
      </c>
      <c r="H167" s="58" t="n">
        <v>400</v>
      </c>
    </row>
    <row r="168" customFormat="false" ht="28.35" hidden="false" customHeight="true" outlineLevel="0" collapsed="false">
      <c r="A168" s="0" t="n">
        <v>31</v>
      </c>
      <c r="B168" s="31" t="n">
        <v>41699</v>
      </c>
      <c r="C168" s="1" t="n">
        <f aca="false">289630+99988</f>
        <v>389618</v>
      </c>
      <c r="D168" s="260" t="s">
        <v>41</v>
      </c>
      <c r="E168" s="33" t="n">
        <f aca="false">IF(D168="totale",(C168/(A168*24))/F168,IF(D168="marché libre",(C168/(A168*24))/G168,"spécifier histo"))</f>
        <v>0.727333482676225</v>
      </c>
      <c r="F168" s="59" t="n">
        <v>720</v>
      </c>
      <c r="G168" s="59" t="n">
        <f aca="false">F168-H168</f>
        <v>320</v>
      </c>
      <c r="H168" s="58" t="n">
        <v>400</v>
      </c>
    </row>
    <row r="169" customFormat="false" ht="28.35" hidden="false" customHeight="true" outlineLevel="0" collapsed="false">
      <c r="A169" s="0" t="n">
        <v>30</v>
      </c>
      <c r="B169" s="34" t="n">
        <v>41730</v>
      </c>
      <c r="C169" s="1" t="n">
        <f aca="false">127296+16</f>
        <v>127312</v>
      </c>
      <c r="D169" s="260" t="s">
        <v>41</v>
      </c>
      <c r="E169" s="33" t="n">
        <f aca="false">IF(D169="totale",(C169/(A169*24))/F169,IF(D169="marché libre",(C169/(A169*24))/G169,"spécifier histo"))</f>
        <v>0.245586419753086</v>
      </c>
      <c r="F169" s="59" t="n">
        <v>720</v>
      </c>
      <c r="G169" s="59" t="n">
        <f aca="false">F169-H169</f>
        <v>320</v>
      </c>
      <c r="H169" s="58" t="n">
        <v>400</v>
      </c>
    </row>
    <row r="170" customFormat="false" ht="28.35" hidden="false" customHeight="true" outlineLevel="0" collapsed="false">
      <c r="A170" s="0" t="n">
        <v>31</v>
      </c>
      <c r="B170" s="31" t="n">
        <v>41760</v>
      </c>
      <c r="C170" s="1" t="n">
        <f aca="false">78174+1048</f>
        <v>79222</v>
      </c>
      <c r="D170" s="260" t="s">
        <v>41</v>
      </c>
      <c r="E170" s="33" t="n">
        <f aca="false">IF(D170="totale",(C170/(A170*24))/F170,IF(D170="marché libre",(C170/(A170*24))/G170,"spécifier histo"))</f>
        <v>0.147890531660693</v>
      </c>
      <c r="F170" s="59" t="n">
        <v>720</v>
      </c>
      <c r="G170" s="59" t="n">
        <f aca="false">F170-H170</f>
        <v>320</v>
      </c>
      <c r="H170" s="58" t="n">
        <v>400</v>
      </c>
    </row>
    <row r="171" customFormat="false" ht="28.35" hidden="false" customHeight="true" outlineLevel="0" collapsed="false">
      <c r="A171" s="0" t="n">
        <v>30</v>
      </c>
      <c r="B171" s="34" t="n">
        <v>41791</v>
      </c>
      <c r="C171" s="1" t="n">
        <f aca="false">5612+32</f>
        <v>5644</v>
      </c>
      <c r="D171" s="260" t="s">
        <v>41</v>
      </c>
      <c r="E171" s="33" t="n">
        <f aca="false">IF(D171="totale",(C171/(A171*24))/F171,IF(D171="marché libre",(C171/(A171*24))/G171,"spécifier histo"))</f>
        <v>0.0108873456790123</v>
      </c>
      <c r="F171" s="59" t="n">
        <v>720</v>
      </c>
      <c r="G171" s="59" t="n">
        <f aca="false">F171-H171</f>
        <v>320</v>
      </c>
      <c r="H171" s="58" t="n">
        <v>400</v>
      </c>
    </row>
    <row r="172" customFormat="false" ht="12.8" hidden="false" customHeight="false" outlineLevel="0" collapsed="false">
      <c r="A172" s="0" t="n">
        <v>31</v>
      </c>
      <c r="B172" s="31" t="n">
        <v>41821</v>
      </c>
      <c r="C172" s="1" t="n">
        <f aca="false">42810+125</f>
        <v>42935</v>
      </c>
      <c r="D172" s="260" t="s">
        <v>41</v>
      </c>
      <c r="E172" s="33" t="n">
        <f aca="false">IF(D172="totale",(C172/(A172*24))/F172,IF(D172="marché libre",(C172/(A172*24))/G172,"spécifier histo"))</f>
        <v>0.080150462962963</v>
      </c>
      <c r="F172" s="59" t="n">
        <v>720</v>
      </c>
      <c r="G172" s="59" t="n">
        <f aca="false">F172-H172</f>
        <v>320</v>
      </c>
      <c r="H172" s="58" t="n">
        <v>400</v>
      </c>
    </row>
    <row r="173" customFormat="false" ht="12.8" hidden="false" customHeight="false" outlineLevel="0" collapsed="false">
      <c r="A173" s="0" t="n">
        <v>31</v>
      </c>
      <c r="B173" s="34" t="n">
        <v>41852</v>
      </c>
      <c r="C173" s="1" t="n">
        <f aca="false">20738+83</f>
        <v>20821</v>
      </c>
      <c r="D173" s="260" t="s">
        <v>41</v>
      </c>
      <c r="E173" s="33" t="n">
        <f aca="false">IF(D173="totale",(C173/(A173*24))/F173,IF(D173="marché libre",(C173/(A173*24))/G173,"spécifier histo"))</f>
        <v>0.0388683542413381</v>
      </c>
      <c r="F173" s="59" t="n">
        <v>720</v>
      </c>
      <c r="G173" s="59" t="n">
        <f aca="false">F173-H173</f>
        <v>320</v>
      </c>
      <c r="H173" s="58" t="n">
        <v>400</v>
      </c>
    </row>
    <row r="174" customFormat="false" ht="12.8" hidden="false" customHeight="false" outlineLevel="0" collapsed="false">
      <c r="A174" s="0" t="n">
        <v>30</v>
      </c>
      <c r="B174" s="31" t="n">
        <v>41883</v>
      </c>
      <c r="C174" s="1" t="n">
        <f aca="false">735+0</f>
        <v>735</v>
      </c>
      <c r="D174" s="260" t="s">
        <v>41</v>
      </c>
      <c r="E174" s="33" t="n">
        <f aca="false">IF(D174="totale",(C174/(A174*24))/F174,IF(D174="marché libre",(C174/(A174*24))/G174,"spécifier histo"))</f>
        <v>0.00141782407407407</v>
      </c>
      <c r="F174" s="59" t="n">
        <v>720</v>
      </c>
      <c r="G174" s="59" t="n">
        <f aca="false">F174-H174</f>
        <v>320</v>
      </c>
      <c r="H174" s="58" t="n">
        <v>400</v>
      </c>
    </row>
    <row r="175" customFormat="false" ht="12.8" hidden="false" customHeight="false" outlineLevel="0" collapsed="false">
      <c r="A175" s="0" t="n">
        <v>31</v>
      </c>
      <c r="B175" s="34" t="n">
        <v>41913</v>
      </c>
      <c r="C175" s="1" t="n">
        <f aca="false">49849+33</f>
        <v>49882</v>
      </c>
      <c r="D175" s="260" t="s">
        <v>41</v>
      </c>
      <c r="E175" s="33" t="n">
        <f aca="false">IF(D175="totale",(C175/(A175*24))/F175,IF(D175="marché libre",(C175/(A175*24))/G175,"spécifier histo"))</f>
        <v>0.0931190262843489</v>
      </c>
      <c r="F175" s="59" t="n">
        <v>720</v>
      </c>
      <c r="G175" s="59" t="n">
        <f aca="false">F175-H175</f>
        <v>320</v>
      </c>
      <c r="H175" s="58" t="n">
        <v>400</v>
      </c>
    </row>
    <row r="176" customFormat="false" ht="12.8" hidden="false" customHeight="false" outlineLevel="0" collapsed="false">
      <c r="A176" s="0" t="n">
        <v>30</v>
      </c>
      <c r="B176" s="31" t="n">
        <v>41944</v>
      </c>
      <c r="C176" s="1" t="n">
        <f aca="false">153832+15005</f>
        <v>168837</v>
      </c>
      <c r="D176" s="260" t="s">
        <v>41</v>
      </c>
      <c r="E176" s="33" t="n">
        <f aca="false">IF(D176="totale",(C176/(A176*24))/F176,IF(D176="marché libre",(C176/(A176*24))/G176,"spécifier histo"))</f>
        <v>0.325688657407407</v>
      </c>
      <c r="F176" s="59" t="n">
        <v>720</v>
      </c>
      <c r="G176" s="59" t="n">
        <f aca="false">F176-H176</f>
        <v>320</v>
      </c>
      <c r="H176" s="58" t="n">
        <v>400</v>
      </c>
    </row>
    <row r="177" customFormat="false" ht="12.8" hidden="false" customHeight="false" outlineLevel="0" collapsed="false">
      <c r="A177" s="0" t="n">
        <v>31</v>
      </c>
      <c r="B177" s="34" t="n">
        <v>41974</v>
      </c>
      <c r="C177" s="1" t="n">
        <f aca="false">278920+29722</f>
        <v>308642</v>
      </c>
      <c r="D177" s="260" t="s">
        <v>41</v>
      </c>
      <c r="E177" s="33" t="n">
        <f aca="false">IF(D177="totale",(C177/(A177*24))/F177,IF(D177="marché libre",(C177/(A177*24))/G177,"spécifier histo"))</f>
        <v>0.576168608124253</v>
      </c>
      <c r="F177" s="59" t="n">
        <v>720</v>
      </c>
      <c r="G177" s="59" t="n">
        <f aca="false">F177-H177</f>
        <v>320</v>
      </c>
      <c r="H177" s="58" t="n">
        <v>400</v>
      </c>
    </row>
    <row r="178" customFormat="false" ht="12.8" hidden="false" customHeight="false" outlineLevel="0" collapsed="false">
      <c r="A178" s="0" t="n">
        <v>31</v>
      </c>
      <c r="B178" s="31" t="n">
        <v>42005</v>
      </c>
      <c r="C178" s="1" t="n">
        <f aca="false">233854+9163</f>
        <v>243017</v>
      </c>
      <c r="D178" s="260" t="s">
        <v>41</v>
      </c>
      <c r="E178" s="33" t="n">
        <f aca="false">IF(D178="totale",(C178/(A178*24))/F178,IF(D178="marché libre",(C178/(A178*24))/G178,"spécifier histo"))</f>
        <v>0.453660767622461</v>
      </c>
      <c r="F178" s="59" t="n">
        <v>720</v>
      </c>
      <c r="G178" s="59" t="n">
        <f aca="false">F178-H178</f>
        <v>320</v>
      </c>
      <c r="H178" s="58" t="n">
        <v>400</v>
      </c>
    </row>
    <row r="179" customFormat="false" ht="12.8" hidden="false" customHeight="false" outlineLevel="0" collapsed="false">
      <c r="A179" s="0" t="n">
        <v>28</v>
      </c>
      <c r="B179" s="34" t="n">
        <v>42036</v>
      </c>
      <c r="C179" s="1" t="n">
        <f aca="false">197710+29682</f>
        <v>227392</v>
      </c>
      <c r="D179" s="260" t="s">
        <v>41</v>
      </c>
      <c r="E179" s="33" t="n">
        <f aca="false">IF(D179="totale",(C179/(A179*24))/F179,IF(D179="marché libre",(C179/(A179*24))/G179,"spécifier histo"))</f>
        <v>0.469973544973545</v>
      </c>
      <c r="F179" s="59" t="n">
        <v>720</v>
      </c>
      <c r="G179" s="59" t="n">
        <f aca="false">F179-H179</f>
        <v>320</v>
      </c>
      <c r="H179" s="58" t="n">
        <v>400</v>
      </c>
    </row>
    <row r="180" customFormat="false" ht="12.8" hidden="false" customHeight="false" outlineLevel="0" collapsed="false">
      <c r="A180" s="0" t="n">
        <v>31</v>
      </c>
      <c r="B180" s="31" t="n">
        <v>42064</v>
      </c>
      <c r="C180" s="1" t="n">
        <f aca="false">292125+138594</f>
        <v>430719</v>
      </c>
      <c r="D180" s="260" t="s">
        <v>41</v>
      </c>
      <c r="E180" s="33" t="n">
        <f aca="false">IF(D180="totale",(C180/(A180*24))/F180,IF(D180="marché libre",(C180/(A180*24))/G180,"spécifier histo"))</f>
        <v>0.804060259856631</v>
      </c>
      <c r="F180" s="59" t="n">
        <v>720</v>
      </c>
      <c r="G180" s="59" t="n">
        <f aca="false">F180-H180</f>
        <v>320</v>
      </c>
      <c r="H180" s="58" t="n">
        <v>400</v>
      </c>
    </row>
    <row r="181" customFormat="false" ht="12.8" hidden="false" customHeight="false" outlineLevel="0" collapsed="false">
      <c r="A181" s="0" t="n">
        <v>30</v>
      </c>
      <c r="B181" s="34" t="n">
        <v>42095</v>
      </c>
      <c r="C181" s="1" t="n">
        <f aca="false">180755+20414</f>
        <v>201169</v>
      </c>
      <c r="D181" s="260" t="s">
        <v>41</v>
      </c>
      <c r="E181" s="33" t="n">
        <f aca="false">IF(D181="totale",(C181/(A181*24))/F181,IF(D181="marché libre",(C181/(A181*24))/G181,"spécifier histo"))</f>
        <v>0.388057484567901</v>
      </c>
      <c r="F181" s="59" t="n">
        <v>720</v>
      </c>
      <c r="G181" s="59" t="n">
        <f aca="false">F181-H181</f>
        <v>320</v>
      </c>
      <c r="H181" s="58" t="n">
        <v>400</v>
      </c>
    </row>
    <row r="182" customFormat="false" ht="12.8" hidden="false" customHeight="false" outlineLevel="0" collapsed="false">
      <c r="A182" s="0" t="n">
        <v>31</v>
      </c>
      <c r="B182" s="31" t="n">
        <v>42125</v>
      </c>
      <c r="C182" s="1" t="n">
        <f aca="false">112056</f>
        <v>112056</v>
      </c>
      <c r="D182" s="260" t="s">
        <v>41</v>
      </c>
      <c r="E182" s="33" t="n">
        <f aca="false">IF(D182="totale",(C182/(A182*24))/F182,IF(D182="marché libre",(C182/(A182*24))/G182,"spécifier histo"))</f>
        <v>0.20918458781362</v>
      </c>
      <c r="F182" s="59" t="n">
        <v>720</v>
      </c>
      <c r="G182" s="59" t="n">
        <f aca="false">F182-H182</f>
        <v>320</v>
      </c>
      <c r="H182" s="58" t="n">
        <v>400</v>
      </c>
    </row>
    <row r="183" customFormat="false" ht="12.8" hidden="false" customHeight="false" outlineLevel="0" collapsed="false">
      <c r="A183" s="0" t="n">
        <v>30</v>
      </c>
      <c r="B183" s="34" t="n">
        <v>42156</v>
      </c>
      <c r="C183" s="1" t="n">
        <v>2867</v>
      </c>
      <c r="D183" s="260" t="s">
        <v>41</v>
      </c>
      <c r="E183" s="33" t="n">
        <f aca="false">IF(D183="totale",(C183/(A183*24))/F183,IF(D183="marché libre",(C183/(A183*24))/G183,"spécifier histo"))</f>
        <v>0.00553047839506173</v>
      </c>
      <c r="F183" s="59" t="n">
        <v>720</v>
      </c>
      <c r="G183" s="59" t="n">
        <f aca="false">F183-H183</f>
        <v>320</v>
      </c>
      <c r="H183" s="58" t="n">
        <v>400</v>
      </c>
    </row>
    <row r="184" customFormat="false" ht="12.8" hidden="false" customHeight="false" outlineLevel="0" collapsed="false">
      <c r="A184" s="0" t="n">
        <v>31</v>
      </c>
      <c r="B184" s="31" t="n">
        <v>42186</v>
      </c>
      <c r="C184" s="1" t="n">
        <v>0</v>
      </c>
      <c r="D184" s="260" t="s">
        <v>41</v>
      </c>
      <c r="E184" s="33" t="n">
        <f aca="false">IF(D184="totale",(C184/(A184*24))/F184,IF(D184="marché libre",(C184/(A184*24))/G184,"spécifier histo"))</f>
        <v>0</v>
      </c>
      <c r="F184" s="59" t="n">
        <v>720</v>
      </c>
      <c r="G184" s="59" t="n">
        <f aca="false">F184-H184</f>
        <v>320</v>
      </c>
      <c r="H184" s="58" t="n">
        <v>400</v>
      </c>
    </row>
    <row r="185" customFormat="false" ht="12.8" hidden="false" customHeight="false" outlineLevel="0" collapsed="false">
      <c r="A185" s="0" t="n">
        <v>31</v>
      </c>
      <c r="B185" s="34" t="n">
        <v>42217</v>
      </c>
      <c r="C185" s="1" t="n">
        <v>6821</v>
      </c>
      <c r="D185" s="260" t="s">
        <v>41</v>
      </c>
      <c r="E185" s="33" t="n">
        <f aca="false">IF(D185="totale",(C185/(A185*24))/F185,IF(D185="marché libre",(C185/(A185*24))/G185,"spécifier histo"))</f>
        <v>0.0127333482676225</v>
      </c>
      <c r="F185" s="59" t="n">
        <v>720</v>
      </c>
      <c r="G185" s="59" t="n">
        <f aca="false">F185-H185</f>
        <v>320</v>
      </c>
      <c r="H185" s="58" t="n">
        <v>400</v>
      </c>
    </row>
    <row r="186" customFormat="false" ht="12.8" hidden="false" customHeight="false" outlineLevel="0" collapsed="false">
      <c r="A186" s="0" t="n">
        <v>30</v>
      </c>
      <c r="B186" s="31" t="n">
        <v>42248</v>
      </c>
      <c r="C186" s="1" t="n">
        <f aca="false">18052+108</f>
        <v>18160</v>
      </c>
      <c r="D186" s="260" t="s">
        <v>41</v>
      </c>
      <c r="E186" s="33" t="n">
        <f aca="false">IF(D186="totale",(C186/(A186*24))/F186,IF(D186="marché libre",(C186/(A186*24))/G186,"spécifier histo"))</f>
        <v>0.0350308641975309</v>
      </c>
      <c r="F186" s="59" t="n">
        <v>720</v>
      </c>
      <c r="G186" s="59" t="n">
        <f aca="false">F186-H186</f>
        <v>320</v>
      </c>
      <c r="H186" s="58" t="n">
        <v>400</v>
      </c>
    </row>
    <row r="187" customFormat="false" ht="12.8" hidden="false" customHeight="false" outlineLevel="0" collapsed="false">
      <c r="A187" s="0" t="n">
        <v>31</v>
      </c>
      <c r="B187" s="34" t="n">
        <v>42278</v>
      </c>
      <c r="C187" s="1" t="n">
        <f aca="false">13215+8</f>
        <v>13223</v>
      </c>
      <c r="D187" s="260" t="s">
        <v>41</v>
      </c>
      <c r="E187" s="33" t="n">
        <f aca="false">IF(D187="totale",(C187/(A187*24))/F187,IF(D187="marché libre",(C187/(A187*24))/G187,"spécifier histo"))</f>
        <v>0.0246845131421744</v>
      </c>
      <c r="F187" s="59" t="n">
        <v>720</v>
      </c>
      <c r="G187" s="59" t="n">
        <f aca="false">F187-H187</f>
        <v>320</v>
      </c>
      <c r="H187" s="58" t="n">
        <v>400</v>
      </c>
    </row>
    <row r="188" customFormat="false" ht="12.8" hidden="false" customHeight="false" outlineLevel="0" collapsed="false">
      <c r="A188" s="0" t="n">
        <v>30</v>
      </c>
      <c r="B188" s="31" t="n">
        <v>42309</v>
      </c>
      <c r="C188" s="1" t="n">
        <f aca="false">33420+2</f>
        <v>33422</v>
      </c>
      <c r="D188" s="260" t="s">
        <v>41</v>
      </c>
      <c r="E188" s="33" t="n">
        <f aca="false">IF(D188="totale",(C188/(A188*24))/F188,IF(D188="marché libre",(C188/(A188*24))/G188,"spécifier histo"))</f>
        <v>0.064471450617284</v>
      </c>
      <c r="F188" s="59" t="n">
        <v>720</v>
      </c>
      <c r="G188" s="59" t="n">
        <f aca="false">F188-H188</f>
        <v>320</v>
      </c>
      <c r="H188" s="58" t="n">
        <v>400</v>
      </c>
    </row>
    <row r="189" customFormat="false" ht="12.8" hidden="false" customHeight="false" outlineLevel="0" collapsed="false">
      <c r="A189" s="0" t="n">
        <v>31</v>
      </c>
      <c r="B189" s="34" t="n">
        <v>42339</v>
      </c>
      <c r="C189" s="1" t="n">
        <f aca="false">44967+9</f>
        <v>44976</v>
      </c>
      <c r="D189" s="260" t="s">
        <v>41</v>
      </c>
      <c r="E189" s="33" t="n">
        <f aca="false">IF(D189="totale",(C189/(A189*24))/F189,IF(D189="marché libre",(C189/(A189*24))/G189,"spécifier histo"))</f>
        <v>0.0839605734767025</v>
      </c>
      <c r="F189" s="59" t="n">
        <v>720</v>
      </c>
      <c r="G189" s="59" t="n">
        <f aca="false">F189-H189</f>
        <v>320</v>
      </c>
      <c r="H189" s="58" t="n">
        <v>400</v>
      </c>
    </row>
    <row r="190" customFormat="false" ht="12.8" hidden="false" customHeight="false" outlineLevel="0" collapsed="false">
      <c r="A190" s="0" t="n">
        <v>31</v>
      </c>
      <c r="B190" s="31" t="n">
        <v>42370</v>
      </c>
      <c r="C190" s="1" t="n">
        <f aca="false">259270+131991</f>
        <v>391261</v>
      </c>
      <c r="D190" s="260" t="s">
        <v>41</v>
      </c>
      <c r="E190" s="33" t="n">
        <f aca="false">IF(D190="totale",(C190/(A190*24))/F190,IF(D190="marché libre",(C190/(A190*24))/G190,"spécifier histo"))</f>
        <v>0.730400612305854</v>
      </c>
      <c r="F190" s="59" t="n">
        <v>720</v>
      </c>
      <c r="G190" s="59" t="n">
        <f aca="false">F190-H190</f>
        <v>320</v>
      </c>
      <c r="H190" s="58" t="n">
        <v>400</v>
      </c>
    </row>
    <row r="191" customFormat="false" ht="12.8" hidden="false" customHeight="false" outlineLevel="0" collapsed="false">
      <c r="A191" s="0" t="n">
        <v>28</v>
      </c>
      <c r="B191" s="34" t="n">
        <v>42401</v>
      </c>
      <c r="C191" s="1" t="n">
        <f aca="false">271676+183414</f>
        <v>455090</v>
      </c>
      <c r="D191" s="260" t="s">
        <v>41</v>
      </c>
      <c r="E191" s="33" t="n">
        <f aca="false">IF(D191="totale",(C191/(A191*24))/F191,IF(D191="marché libre",(C191/(A191*24))/G191,"spécifier histo"))</f>
        <v>0.94057953042328</v>
      </c>
      <c r="F191" s="59" t="n">
        <v>720</v>
      </c>
      <c r="G191" s="59" t="n">
        <f aca="false">F191-H191</f>
        <v>320</v>
      </c>
      <c r="H191" s="58" t="n">
        <v>400</v>
      </c>
    </row>
    <row r="192" customFormat="false" ht="12.8" hidden="false" customHeight="false" outlineLevel="0" collapsed="false">
      <c r="A192" s="0" t="n">
        <v>31</v>
      </c>
      <c r="B192" s="31" t="n">
        <v>42430</v>
      </c>
      <c r="C192" s="1" t="n">
        <f aca="false">290148+137859</f>
        <v>428007</v>
      </c>
      <c r="D192" s="260" t="s">
        <v>41</v>
      </c>
      <c r="E192" s="33" t="n">
        <f aca="false">IF(D192="totale",(C192/(A192*24))/F192,IF(D192="marché libre",(C192/(A192*24))/G192,"spécifier histo"))</f>
        <v>0.798997535842294</v>
      </c>
      <c r="F192" s="59" t="n">
        <v>720</v>
      </c>
      <c r="G192" s="59" t="n">
        <f aca="false">F192-H192</f>
        <v>320</v>
      </c>
      <c r="H192" s="58" t="n">
        <v>400</v>
      </c>
    </row>
    <row r="193" customFormat="false" ht="12.8" hidden="false" customHeight="false" outlineLevel="0" collapsed="false">
      <c r="A193" s="0" t="n">
        <v>30</v>
      </c>
      <c r="B193" s="34" t="n">
        <v>42461</v>
      </c>
      <c r="C193" s="1" t="n">
        <f aca="false">259093+77966</f>
        <v>337059</v>
      </c>
      <c r="D193" s="260" t="s">
        <v>41</v>
      </c>
      <c r="E193" s="33" t="n">
        <f aca="false">IF(D193="totale",(C193/(A193*24))/F193,IF(D193="marché libre",(C193/(A193*24))/G193,"spécifier histo"))</f>
        <v>0.650190972222222</v>
      </c>
      <c r="F193" s="59" t="n">
        <v>720</v>
      </c>
      <c r="G193" s="59" t="n">
        <f aca="false">F193-H193</f>
        <v>320</v>
      </c>
      <c r="H193" s="58" t="n">
        <v>400</v>
      </c>
    </row>
    <row r="194" customFormat="false" ht="12.8" hidden="false" customHeight="false" outlineLevel="0" collapsed="false">
      <c r="A194" s="0" t="n">
        <v>31</v>
      </c>
      <c r="B194" s="31" t="n">
        <v>42491</v>
      </c>
      <c r="C194" s="1" t="n">
        <f aca="false">178191+177283</f>
        <v>355474</v>
      </c>
      <c r="D194" s="260" t="s">
        <v>41</v>
      </c>
      <c r="E194" s="33" t="n">
        <f aca="false">IF(D194="totale",(C194/(A194*24))/F194,IF(D194="marché libre",(C194/(A194*24))/G194,"spécifier histo"))</f>
        <v>0.663593936678614</v>
      </c>
      <c r="F194" s="59" t="n">
        <v>720</v>
      </c>
      <c r="G194" s="59" t="n">
        <f aca="false">F194-H194</f>
        <v>320</v>
      </c>
      <c r="H194" s="58" t="n">
        <v>400</v>
      </c>
    </row>
    <row r="195" customFormat="false" ht="12.8" hidden="false" customHeight="false" outlineLevel="0" collapsed="false">
      <c r="A195" s="0" t="n">
        <v>30</v>
      </c>
      <c r="B195" s="34" t="n">
        <v>42522</v>
      </c>
      <c r="C195" s="1" t="n">
        <f aca="false">195411+27623</f>
        <v>223034</v>
      </c>
      <c r="D195" s="260" t="s">
        <v>41</v>
      </c>
      <c r="E195" s="33" t="n">
        <f aca="false">IF(D195="totale",(C195/(A195*24))/F195,IF(D195="marché libre",(C195/(A195*24))/G195,"spécifier histo"))</f>
        <v>0.430235339506173</v>
      </c>
      <c r="F195" s="59" t="n">
        <v>720</v>
      </c>
      <c r="G195" s="59" t="n">
        <f aca="false">F195-H195</f>
        <v>320</v>
      </c>
      <c r="H195" s="58" t="n">
        <v>400</v>
      </c>
    </row>
    <row r="196" customFormat="false" ht="12.8" hidden="false" customHeight="false" outlineLevel="0" collapsed="false">
      <c r="A196" s="0" t="n">
        <v>31</v>
      </c>
      <c r="B196" s="31" t="n">
        <v>42552</v>
      </c>
      <c r="C196" s="1" t="n">
        <f aca="false">10904+3</f>
        <v>10907</v>
      </c>
      <c r="D196" s="260" t="s">
        <v>41</v>
      </c>
      <c r="E196" s="33" t="n">
        <f aca="false">IF(D196="totale",(C196/(A196*24))/F196,IF(D196="marché libre",(C196/(A196*24))/G196,"spécifier histo"))</f>
        <v>0.0203610364396655</v>
      </c>
      <c r="F196" s="59" t="n">
        <v>720</v>
      </c>
      <c r="G196" s="59" t="n">
        <f aca="false">F196-H196</f>
        <v>320</v>
      </c>
      <c r="H196" s="58" t="n">
        <v>400</v>
      </c>
    </row>
    <row r="197" customFormat="false" ht="12.8" hidden="false" customHeight="false" outlineLevel="0" collapsed="false">
      <c r="A197" s="0" t="n">
        <v>31</v>
      </c>
      <c r="B197" s="34" t="n">
        <v>42583</v>
      </c>
      <c r="C197" s="1" t="n">
        <v>0</v>
      </c>
      <c r="D197" s="260" t="s">
        <v>41</v>
      </c>
      <c r="E197" s="33" t="n">
        <f aca="false">IF(D197="totale",(C197/(A197*24))/F197,IF(D197="marché libre",(C197/(A197*24))/G197,"spécifier histo"))</f>
        <v>0</v>
      </c>
      <c r="F197" s="59" t="n">
        <v>720</v>
      </c>
      <c r="G197" s="59" t="n">
        <f aca="false">F197-H197</f>
        <v>320</v>
      </c>
      <c r="H197" s="58" t="n">
        <v>400</v>
      </c>
    </row>
    <row r="198" customFormat="false" ht="12.8" hidden="false" customHeight="false" outlineLevel="0" collapsed="false">
      <c r="A198" s="0" t="n">
        <v>30</v>
      </c>
      <c r="B198" s="31" t="n">
        <v>42614</v>
      </c>
      <c r="C198" s="1" t="n">
        <v>0</v>
      </c>
      <c r="D198" s="260" t="s">
        <v>41</v>
      </c>
      <c r="E198" s="33" t="n">
        <f aca="false">IF(D198="totale",(C198/(A198*24))/F198,IF(D198="marché libre",(C198/(A198*24))/G198,"spécifier histo"))</f>
        <v>0</v>
      </c>
      <c r="F198" s="59" t="n">
        <v>720</v>
      </c>
      <c r="G198" s="59" t="n">
        <f aca="false">F198-H198</f>
        <v>320</v>
      </c>
      <c r="H198" s="58" t="n">
        <v>400</v>
      </c>
    </row>
    <row r="199" customFormat="false" ht="12.8" hidden="false" customHeight="false" outlineLevel="0" collapsed="false">
      <c r="A199" s="0" t="n">
        <v>31</v>
      </c>
      <c r="B199" s="34" t="n">
        <v>42644</v>
      </c>
      <c r="C199" s="1" t="n">
        <f aca="false">3+3545</f>
        <v>3548</v>
      </c>
      <c r="D199" s="260" t="s">
        <v>41</v>
      </c>
      <c r="E199" s="33" t="n">
        <f aca="false">IF(D199="totale",(C199/(A199*24))/F199,IF(D199="marché libre",(C199/(A199*24))/G199,"spécifier histo"))</f>
        <v>0.00662335722819594</v>
      </c>
      <c r="F199" s="59" t="n">
        <v>720</v>
      </c>
      <c r="G199" s="59" t="n">
        <f aca="false">F199-H199</f>
        <v>320</v>
      </c>
      <c r="H199" s="58" t="n">
        <v>400</v>
      </c>
    </row>
    <row r="200" customFormat="false" ht="12.8" hidden="false" customHeight="false" outlineLevel="0" collapsed="false">
      <c r="A200" s="0" t="n">
        <v>30</v>
      </c>
      <c r="B200" s="31" t="n">
        <v>42675</v>
      </c>
      <c r="C200" s="1" t="n">
        <f aca="false">108544+39211</f>
        <v>147755</v>
      </c>
      <c r="D200" s="260" t="s">
        <v>41</v>
      </c>
      <c r="E200" s="33" t="n">
        <f aca="false">IF(D200="totale",(C200/(A200*24))/F200,IF(D200="marché libre",(C200/(A200*24))/G200,"spécifier histo"))</f>
        <v>0.285021219135802</v>
      </c>
      <c r="F200" s="59" t="n">
        <v>720</v>
      </c>
      <c r="G200" s="59" t="n">
        <f aca="false">F200-H200</f>
        <v>320</v>
      </c>
      <c r="H200" s="58" t="n">
        <v>400</v>
      </c>
    </row>
    <row r="201" customFormat="false" ht="12.8" hidden="false" customHeight="false" outlineLevel="0" collapsed="false">
      <c r="A201" s="0" t="n">
        <v>31</v>
      </c>
      <c r="B201" s="34" t="n">
        <v>42705</v>
      </c>
      <c r="C201" s="1" t="n">
        <f aca="false">1428+123324</f>
        <v>124752</v>
      </c>
      <c r="D201" s="260" t="s">
        <v>41</v>
      </c>
      <c r="E201" s="33" t="n">
        <f aca="false">IF(D201="totale",(C201/(A201*24))/F201,IF(D201="marché libre",(C201/(A201*24))/G201,"spécifier histo"))</f>
        <v>0.232885304659498</v>
      </c>
      <c r="F201" s="59" t="n">
        <v>720</v>
      </c>
      <c r="G201" s="59" t="n">
        <f aca="false">F201-H201</f>
        <v>320</v>
      </c>
      <c r="H201" s="58" t="n">
        <v>400</v>
      </c>
    </row>
    <row r="202" customFormat="false" ht="12.8" hidden="false" customHeight="false" outlineLevel="0" collapsed="false">
      <c r="A202" s="0" t="n">
        <v>31</v>
      </c>
      <c r="B202" s="31" t="n">
        <v>42736</v>
      </c>
      <c r="C202" s="1" t="n">
        <f aca="false">78610+3019</f>
        <v>81629</v>
      </c>
      <c r="D202" s="260" t="s">
        <v>41</v>
      </c>
      <c r="E202" s="33" t="n">
        <f aca="false">IF(D202="totale",(C202/(A202*24))/F202,IF(D202="marché libre",(C202/(A202*24))/G202,"spécifier histo"))</f>
        <v>0.152383885902031</v>
      </c>
      <c r="F202" s="59" t="n">
        <v>720</v>
      </c>
      <c r="G202" s="59" t="n">
        <f aca="false">F202-H202</f>
        <v>320</v>
      </c>
      <c r="H202" s="58" t="n">
        <v>400</v>
      </c>
    </row>
    <row r="203" customFormat="false" ht="12.8" hidden="false" customHeight="false" outlineLevel="0" collapsed="false">
      <c r="A203" s="0" t="n">
        <v>28</v>
      </c>
      <c r="B203" s="34" t="n">
        <v>42767</v>
      </c>
      <c r="C203" s="1" t="n">
        <f aca="false">76917+246861</f>
        <v>323778</v>
      </c>
      <c r="D203" s="260" t="s">
        <v>41</v>
      </c>
      <c r="E203" s="33" t="n">
        <f aca="false">IF(D203="totale",(C203/(A203*24))/F203,IF(D203="marché libre",(C203/(A203*24))/G203,"spécifier histo"))</f>
        <v>0.669184027777778</v>
      </c>
      <c r="F203" s="59" t="n">
        <v>720</v>
      </c>
      <c r="G203" s="59" t="n">
        <f aca="false">F203-H203</f>
        <v>320</v>
      </c>
      <c r="H203" s="58" t="n">
        <v>400</v>
      </c>
    </row>
    <row r="204" customFormat="false" ht="12.8" hidden="false" customHeight="false" outlineLevel="0" collapsed="false">
      <c r="A204" s="0" t="n">
        <v>31</v>
      </c>
      <c r="B204" s="31" t="n">
        <v>42795</v>
      </c>
      <c r="C204" s="1" t="n">
        <f aca="false">282137+111043</f>
        <v>393180</v>
      </c>
      <c r="D204" s="260" t="s">
        <v>41</v>
      </c>
      <c r="E204" s="33" t="n">
        <f aca="false">IF(D204="totale",(C204/(A204*24))/F204,IF(D204="marché libre",(C204/(A204*24))/G204,"spécifier histo"))</f>
        <v>0.733982974910394</v>
      </c>
      <c r="F204" s="59" t="n">
        <v>720</v>
      </c>
      <c r="G204" s="59" t="n">
        <f aca="false">F204-H204</f>
        <v>320</v>
      </c>
      <c r="H204" s="58" t="n">
        <v>400</v>
      </c>
    </row>
    <row r="205" customFormat="false" ht="12.8" hidden="false" customHeight="false" outlineLevel="0" collapsed="false">
      <c r="A205" s="0" t="n">
        <v>30</v>
      </c>
      <c r="B205" s="34" t="n">
        <v>42826</v>
      </c>
      <c r="C205" s="1" t="n">
        <f aca="false">98914+34</f>
        <v>98948</v>
      </c>
      <c r="D205" s="260" t="s">
        <v>41</v>
      </c>
      <c r="E205" s="33" t="n">
        <f aca="false">IF(D205="totale",(C205/(A205*24))/F205,IF(D205="marché libre",(C205/(A205*24))/G205,"spécifier histo"))</f>
        <v>0.190871913580247</v>
      </c>
      <c r="F205" s="59" t="n">
        <v>720</v>
      </c>
      <c r="G205" s="59" t="n">
        <f aca="false">F205-H205</f>
        <v>320</v>
      </c>
      <c r="H205" s="58" t="n">
        <v>400</v>
      </c>
    </row>
    <row r="206" customFormat="false" ht="12.8" hidden="false" customHeight="false" outlineLevel="0" collapsed="false">
      <c r="A206" s="0" t="n">
        <v>31</v>
      </c>
      <c r="B206" s="31" t="n">
        <v>42856</v>
      </c>
      <c r="C206" s="1" t="n">
        <f aca="false">83+120344</f>
        <v>120427</v>
      </c>
      <c r="D206" s="260" t="s">
        <v>41</v>
      </c>
      <c r="E206" s="33" t="n">
        <f aca="false">IF(D206="totale",(C206/(A206*24))/F206,IF(D206="marché libre",(C206/(A206*24))/G206,"spécifier histo"))</f>
        <v>0.224811454599761</v>
      </c>
      <c r="F206" s="59" t="n">
        <v>720</v>
      </c>
      <c r="G206" s="59" t="n">
        <f aca="false">F206-H206</f>
        <v>320</v>
      </c>
      <c r="H206" s="58" t="n">
        <v>400</v>
      </c>
    </row>
    <row r="207" customFormat="false" ht="12.8" hidden="false" customHeight="false" outlineLevel="0" collapsed="false">
      <c r="A207" s="0" t="n">
        <v>30</v>
      </c>
      <c r="B207" s="34" t="n">
        <v>42887</v>
      </c>
      <c r="C207" s="1" t="n">
        <f aca="false">51753+377</f>
        <v>52130</v>
      </c>
      <c r="D207" s="260" t="s">
        <v>41</v>
      </c>
      <c r="E207" s="33" t="n">
        <f aca="false">IF(D207="totale",(C207/(A207*24))/F207,IF(D207="marché libre",(C207/(A207*24))/G207,"spécifier histo"))</f>
        <v>0.100559413580247</v>
      </c>
      <c r="F207" s="59" t="n">
        <v>720</v>
      </c>
      <c r="G207" s="59" t="n">
        <f aca="false">F207-H207</f>
        <v>320</v>
      </c>
      <c r="H207" s="58" t="n">
        <v>400</v>
      </c>
    </row>
    <row r="208" customFormat="false" ht="12.8" hidden="false" customHeight="false" outlineLevel="0" collapsed="false">
      <c r="A208" s="0" t="n">
        <v>31</v>
      </c>
      <c r="B208" s="31" t="n">
        <v>42917</v>
      </c>
      <c r="C208" s="1" t="n">
        <f aca="false">21+30201</f>
        <v>30222</v>
      </c>
      <c r="D208" s="260" t="s">
        <v>41</v>
      </c>
      <c r="E208" s="33" t="n">
        <f aca="false">IF(D208="totale",(C208/(A208*24))/F208,IF(D208="marché libre",(C208/(A208*24))/G208,"spécifier histo"))</f>
        <v>0.0564180107526882</v>
      </c>
      <c r="F208" s="59" t="n">
        <v>720</v>
      </c>
      <c r="G208" s="59" t="n">
        <f aca="false">F208-H208</f>
        <v>320</v>
      </c>
      <c r="H208" s="58" t="n">
        <v>400</v>
      </c>
    </row>
    <row r="209" customFormat="false" ht="12.8" hidden="false" customHeight="false" outlineLevel="0" collapsed="false">
      <c r="A209" s="0" t="n">
        <v>31</v>
      </c>
      <c r="B209" s="34" t="n">
        <v>42948</v>
      </c>
      <c r="C209" s="1" t="n">
        <f aca="false">0+3</f>
        <v>3</v>
      </c>
      <c r="D209" s="260" t="s">
        <v>41</v>
      </c>
      <c r="E209" s="33" t="n">
        <f aca="false">IF(D209="totale",(C209/(A209*24))/F209,IF(D209="marché libre",(C209/(A209*24))/G209,"spécifier histo"))</f>
        <v>5.60035842293907E-006</v>
      </c>
      <c r="F209" s="59" t="n">
        <v>720</v>
      </c>
      <c r="G209" s="59" t="n">
        <f aca="false">F209-H209</f>
        <v>320</v>
      </c>
      <c r="H209" s="58" t="n">
        <v>400</v>
      </c>
    </row>
    <row r="210" customFormat="false" ht="12.8" hidden="false" customHeight="false" outlineLevel="0" collapsed="false">
      <c r="A210" s="0" t="n">
        <v>30</v>
      </c>
      <c r="B210" s="31" t="n">
        <v>42979</v>
      </c>
      <c r="C210" s="1" t="n">
        <f aca="false">5+383</f>
        <v>388</v>
      </c>
      <c r="D210" s="260" t="s">
        <v>41</v>
      </c>
      <c r="E210" s="33" t="n">
        <f aca="false">IF(D210="totale",(C210/(A210*24))/F210,IF(D210="marché libre",(C210/(A210*24))/G210,"spécifier histo"))</f>
        <v>0.000748456790123457</v>
      </c>
      <c r="F210" s="59" t="n">
        <v>720</v>
      </c>
      <c r="G210" s="59" t="n">
        <f aca="false">F210-H210</f>
        <v>320</v>
      </c>
      <c r="H210" s="58" t="n">
        <v>400</v>
      </c>
    </row>
    <row r="211" customFormat="false" ht="12.8" hidden="false" customHeight="false" outlineLevel="0" collapsed="false">
      <c r="A211" s="0" t="n">
        <v>31</v>
      </c>
      <c r="B211" s="34" t="n">
        <v>43009</v>
      </c>
      <c r="C211" s="1" t="n">
        <f aca="false">0+4</f>
        <v>4</v>
      </c>
      <c r="D211" s="260" t="s">
        <v>41</v>
      </c>
      <c r="E211" s="33" t="n">
        <f aca="false">IF(D211="totale",(C211/(A211*24))/F211,IF(D211="marché libre",(C211/(A211*24))/G211,"spécifier histo"))</f>
        <v>7.46714456391876E-006</v>
      </c>
      <c r="F211" s="59" t="n">
        <v>720</v>
      </c>
      <c r="G211" s="59" t="n">
        <f aca="false">F211-H211</f>
        <v>320</v>
      </c>
      <c r="H211" s="58" t="n">
        <v>400</v>
      </c>
    </row>
    <row r="212" customFormat="false" ht="12.8" hidden="false" customHeight="false" outlineLevel="0" collapsed="false">
      <c r="A212" s="0" t="n">
        <v>30</v>
      </c>
      <c r="B212" s="31" t="n">
        <v>43040</v>
      </c>
      <c r="C212" s="1" t="n">
        <f aca="false">18+12064</f>
        <v>12082</v>
      </c>
      <c r="D212" s="260" t="s">
        <v>41</v>
      </c>
      <c r="E212" s="33" t="n">
        <f aca="false">IF(D212="totale",(C212/(A212*24))/F212,IF(D212="marché libre",(C212/(A212*24))/G212,"spécifier histo"))</f>
        <v>0.0233063271604938</v>
      </c>
      <c r="F212" s="59" t="n">
        <v>720</v>
      </c>
      <c r="G212" s="59" t="n">
        <f aca="false">F212-H212</f>
        <v>320</v>
      </c>
      <c r="H212" s="58" t="n">
        <v>400</v>
      </c>
    </row>
    <row r="213" customFormat="false" ht="12.8" hidden="false" customHeight="false" outlineLevel="0" collapsed="false">
      <c r="A213" s="0" t="n">
        <v>31</v>
      </c>
      <c r="B213" s="34" t="n">
        <v>43070</v>
      </c>
      <c r="C213" s="56" t="n">
        <f aca="false">197862+127365</f>
        <v>325227</v>
      </c>
      <c r="D213" s="260" t="s">
        <v>41</v>
      </c>
      <c r="E213" s="33" t="n">
        <f aca="false">IF(D213="totale",(C213/(A213*24))/F213,IF(D213="marché libre",(C213/(A213*24))/G213,"spécifier histo"))</f>
        <v>0.607129256272401</v>
      </c>
      <c r="F213" s="59" t="n">
        <v>720</v>
      </c>
      <c r="G213" s="59" t="n">
        <f aca="false">F213-H213</f>
        <v>320</v>
      </c>
      <c r="H213" s="58" t="n">
        <v>400</v>
      </c>
    </row>
    <row r="214" customFormat="false" ht="12.8" hidden="false" customHeight="false" outlineLevel="0" collapsed="false">
      <c r="A214" s="517" t="n">
        <v>31</v>
      </c>
      <c r="B214" s="31" t="n">
        <v>43101</v>
      </c>
      <c r="C214" s="75" t="n">
        <v>198921</v>
      </c>
      <c r="D214" s="517" t="s">
        <v>42</v>
      </c>
      <c r="E214" s="33" t="n">
        <f aca="false">IF(D214="totale",(C214/(A214*24))/F214,IF(D214="marché libre",(C214/(A214*24))/G214,"spécifier histo"))</f>
        <v>0.835521673387097</v>
      </c>
      <c r="F214" s="59" t="n">
        <v>720</v>
      </c>
      <c r="G214" s="59" t="n">
        <f aca="false">F214-H214</f>
        <v>320</v>
      </c>
      <c r="H214" s="58" t="n">
        <v>400</v>
      </c>
    </row>
    <row r="215" customFormat="false" ht="12.8" hidden="false" customHeight="false" outlineLevel="0" collapsed="false">
      <c r="B215" s="0"/>
      <c r="C215" s="56"/>
    </row>
    <row r="216" customFormat="false" ht="12.8" hidden="false" customHeight="false" outlineLevel="0" collapsed="false">
      <c r="B216" s="0"/>
    </row>
    <row r="217" customFormat="false" ht="12.8" hidden="false" customHeight="false" outlineLevel="0" collapsed="false">
      <c r="B217" s="0"/>
    </row>
    <row r="218" customFormat="false" ht="12.8" hidden="false" customHeight="false" outlineLevel="0" collapsed="false">
      <c r="B218" s="0"/>
    </row>
    <row r="219" customFormat="false" ht="12.8" hidden="false" customHeight="false" outlineLevel="0" collapsed="false">
      <c r="B219" s="0"/>
    </row>
    <row r="220" customFormat="false" ht="12.8" hidden="false" customHeight="false" outlineLevel="0" collapsed="false">
      <c r="B220" s="0"/>
    </row>
    <row r="221" customFormat="false" ht="12.8" hidden="false" customHeight="false" outlineLevel="0" collapsed="false">
      <c r="B221" s="0"/>
    </row>
    <row r="222" customFormat="false" ht="12.8" hidden="false" customHeight="false" outlineLevel="0" collapsed="false">
      <c r="B222" s="0"/>
    </row>
    <row r="223" customFormat="false" ht="12.8" hidden="false" customHeight="false" outlineLevel="0" collapsed="false">
      <c r="B223" s="0"/>
    </row>
    <row r="224" customFormat="false" ht="12.8" hidden="false" customHeight="false" outlineLevel="0" collapsed="false">
      <c r="B224" s="0"/>
    </row>
    <row r="225" customFormat="false" ht="12.8" hidden="false" customHeight="false" outlineLevel="0" collapsed="false">
      <c r="B225" s="0"/>
    </row>
    <row r="226" customFormat="false" ht="12.8" hidden="false" customHeight="false" outlineLevel="0" collapsed="false">
      <c r="B226" s="0"/>
    </row>
    <row r="227" customFormat="false" ht="12.8" hidden="false" customHeight="false" outlineLevel="0" collapsed="false">
      <c r="B227" s="0"/>
    </row>
    <row r="228" customFormat="false" ht="12.8" hidden="false" customHeight="false" outlineLevel="0" collapsed="false">
      <c r="B228" s="0"/>
    </row>
    <row r="229" customFormat="false" ht="12.8" hidden="false" customHeight="false" outlineLevel="0" collapsed="false">
      <c r="B229" s="0"/>
    </row>
    <row r="230" customFormat="false" ht="12.8" hidden="false" customHeight="false" outlineLevel="0" collapsed="false">
      <c r="B230" s="0"/>
    </row>
    <row r="231" customFormat="false" ht="12.8" hidden="false" customHeight="false" outlineLevel="0" collapsed="false">
      <c r="B231" s="0"/>
    </row>
    <row r="232" customFormat="false" ht="12.8" hidden="false" customHeight="false" outlineLevel="0" collapsed="false">
      <c r="B232" s="0"/>
    </row>
    <row r="233" customFormat="false" ht="12.8" hidden="false" customHeight="false" outlineLevel="0" collapsed="false">
      <c r="B233" s="0"/>
    </row>
    <row r="234" customFormat="false" ht="12.8" hidden="false" customHeight="false" outlineLevel="0" collapsed="false">
      <c r="B234" s="0"/>
    </row>
    <row r="235" customFormat="false" ht="12.8" hidden="false" customHeight="false" outlineLevel="0" collapsed="false">
      <c r="B235" s="0"/>
    </row>
    <row r="236" customFormat="false" ht="12.8" hidden="false" customHeight="false" outlineLevel="0" collapsed="false">
      <c r="B236" s="0"/>
    </row>
    <row r="237" customFormat="false" ht="12.8" hidden="false" customHeight="false" outlineLevel="0" collapsed="false">
      <c r="B237" s="0"/>
    </row>
    <row r="238" customFormat="false" ht="12.8" hidden="false" customHeight="false" outlineLevel="0" collapsed="false">
      <c r="B238" s="0"/>
    </row>
    <row r="239" customFormat="false" ht="12.8" hidden="false" customHeight="false" outlineLevel="0" collapsed="false">
      <c r="B239" s="0"/>
    </row>
    <row r="240" customFormat="false" ht="12.8" hidden="false" customHeight="false" outlineLevel="0" collapsed="false">
      <c r="B240" s="0"/>
    </row>
    <row r="241" customFormat="false" ht="12.8" hidden="false" customHeight="false" outlineLevel="0" collapsed="false">
      <c r="B241" s="0"/>
    </row>
    <row r="242" customFormat="false" ht="12.8" hidden="false" customHeight="false" outlineLevel="0" collapsed="false">
      <c r="B242" s="0"/>
    </row>
    <row r="243" customFormat="false" ht="12.8" hidden="false" customHeight="false" outlineLevel="0" collapsed="false">
      <c r="B243" s="0"/>
    </row>
    <row r="244" customFormat="false" ht="12.8" hidden="false" customHeight="false" outlineLevel="0" collapsed="false">
      <c r="B244" s="0"/>
    </row>
    <row r="245" customFormat="false" ht="12.8" hidden="false" customHeight="false" outlineLevel="0" collapsed="false">
      <c r="B245" s="0"/>
    </row>
    <row r="246" customFormat="false" ht="12.8" hidden="false" customHeight="false" outlineLevel="0" collapsed="false">
      <c r="B246" s="0"/>
    </row>
    <row r="247" customFormat="false" ht="12.8" hidden="false" customHeight="false" outlineLevel="0" collapsed="false">
      <c r="B247" s="0"/>
    </row>
    <row r="248" customFormat="false" ht="12.8" hidden="false" customHeight="false" outlineLevel="0" collapsed="false">
      <c r="B248" s="0"/>
    </row>
    <row r="249" customFormat="false" ht="12.8" hidden="false" customHeight="false" outlineLevel="0" collapsed="false">
      <c r="B249" s="0"/>
    </row>
    <row r="250" customFormat="false" ht="12.8" hidden="false" customHeight="false" outlineLevel="0" collapsed="false">
      <c r="B250" s="0"/>
    </row>
    <row r="251" customFormat="false" ht="12.8" hidden="false" customHeight="false" outlineLevel="0" collapsed="false">
      <c r="B251" s="0"/>
    </row>
    <row r="252" customFormat="false" ht="12.8" hidden="false" customHeight="false" outlineLevel="0" collapsed="false">
      <c r="B252" s="0"/>
    </row>
    <row r="253" customFormat="false" ht="12.8" hidden="false" customHeight="false" outlineLevel="0" collapsed="false">
      <c r="B253" s="0"/>
    </row>
    <row r="254" customFormat="false" ht="12.8" hidden="false" customHeight="false" outlineLevel="0" collapsed="false">
      <c r="B254" s="0"/>
    </row>
    <row r="255" customFormat="false" ht="12.8" hidden="false" customHeight="false" outlineLevel="0" collapsed="false">
      <c r="B255" s="0"/>
    </row>
    <row r="256" customFormat="false" ht="12.8" hidden="false" customHeight="false" outlineLevel="0" collapsed="false">
      <c r="B256" s="0"/>
    </row>
    <row r="257" customFormat="false" ht="12.8" hidden="false" customHeight="false" outlineLevel="0" collapsed="false">
      <c r="B257" s="0"/>
    </row>
    <row r="258" customFormat="false" ht="12.8" hidden="false" customHeight="false" outlineLevel="0" collapsed="false">
      <c r="B258" s="0"/>
    </row>
    <row r="259" customFormat="false" ht="12.8" hidden="false" customHeight="false" outlineLevel="0" collapsed="false">
      <c r="B259" s="0"/>
    </row>
    <row r="260" customFormat="false" ht="12.8" hidden="false" customHeight="false" outlineLevel="0" collapsed="false">
      <c r="B260" s="0"/>
    </row>
    <row r="261" customFormat="false" ht="12.8" hidden="false" customHeight="false" outlineLevel="0" collapsed="false">
      <c r="B261" s="0"/>
    </row>
    <row r="262" customFormat="false" ht="12.8" hidden="false" customHeight="false" outlineLevel="0" collapsed="false">
      <c r="B262" s="0"/>
    </row>
    <row r="263" customFormat="false" ht="12.8" hidden="false" customHeight="false" outlineLevel="0" collapsed="false">
      <c r="B263" s="0"/>
    </row>
    <row r="264" customFormat="false" ht="12.8" hidden="false" customHeight="false" outlineLevel="0" collapsed="false">
      <c r="B264" s="0"/>
    </row>
    <row r="265" customFormat="false" ht="12.8" hidden="false" customHeight="false" outlineLevel="0" collapsed="false">
      <c r="B265" s="0"/>
    </row>
    <row r="266" customFormat="false" ht="12.8" hidden="false" customHeight="false" outlineLevel="0" collapsed="false">
      <c r="B266" s="0"/>
    </row>
    <row r="267" customFormat="false" ht="12.8" hidden="false" customHeight="false" outlineLevel="0" collapsed="false">
      <c r="B267" s="0"/>
    </row>
    <row r="268" customFormat="false" ht="12.8" hidden="false" customHeight="false" outlineLevel="0" collapsed="false">
      <c r="B268" s="0"/>
    </row>
    <row r="269" customFormat="false" ht="12.8" hidden="false" customHeight="false" outlineLevel="0" collapsed="false">
      <c r="B269" s="0"/>
    </row>
    <row r="270" customFormat="false" ht="12.8" hidden="false" customHeight="false" outlineLevel="0" collapsed="false">
      <c r="B270"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1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64.xml><?xml version="1.0" encoding="utf-8"?>
<worksheet xmlns="http://schemas.openxmlformats.org/spreadsheetml/2006/main" xmlns:r="http://schemas.openxmlformats.org/officeDocument/2006/relationships">
  <sheetPr filterMode="false">
    <tabColor rgb="FF009933"/>
    <pageSetUpPr fitToPage="false"/>
  </sheetPr>
  <dimension ref="A1:AD23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87" activePane="bottomRight" state="frozen"/>
      <selection pane="topLeft" activeCell="A1" activeCellId="0" sqref="A1"/>
      <selection pane="topRight" activeCell="B1" activeCellId="0" sqref="B1"/>
      <selection pane="bottomLeft" activeCell="A187" activeCellId="0" sqref="A187"/>
      <selection pane="bottomRight" activeCell="I131" activeCellId="0" sqref="I131"/>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22.88"/>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289"/>
      <c r="B4" s="5" t="s">
        <v>994</v>
      </c>
      <c r="C4" s="5" t="n">
        <v>80759</v>
      </c>
      <c r="D4" s="5" t="s">
        <v>995</v>
      </c>
      <c r="E4" s="14" t="s">
        <v>975</v>
      </c>
      <c r="F4" s="15" t="n">
        <v>730</v>
      </c>
      <c r="G4" s="15" t="n">
        <v>730</v>
      </c>
      <c r="H4" s="15" t="n">
        <v>330</v>
      </c>
      <c r="I4" s="16" t="s">
        <v>996</v>
      </c>
      <c r="J4" s="15" t="n">
        <v>730</v>
      </c>
      <c r="K4" s="5" t="s">
        <v>997</v>
      </c>
      <c r="L4" s="16" t="s">
        <v>998</v>
      </c>
      <c r="M4" s="16" t="n">
        <v>730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t="s">
        <v>999</v>
      </c>
      <c r="H6" s="20"/>
      <c r="I6" s="20"/>
      <c r="J6" s="20"/>
      <c r="K6" s="20"/>
      <c r="L6" s="20"/>
      <c r="M6" s="20"/>
      <c r="N6" s="20"/>
      <c r="P6" s="21" t="n">
        <v>42736</v>
      </c>
      <c r="Q6" s="19" t="s">
        <v>27</v>
      </c>
      <c r="R6" s="9"/>
      <c r="S6" s="22"/>
      <c r="T6" s="5" t="s">
        <v>28</v>
      </c>
    </row>
    <row r="7" customFormat="false" ht="41.65" hidden="false" customHeight="true" outlineLevel="0" collapsed="false">
      <c r="A7" s="0"/>
      <c r="B7" s="0"/>
      <c r="C7" s="518" t="s">
        <v>1000</v>
      </c>
      <c r="D7" s="518"/>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0.5" hidden="false" customHeight="true" outlineLevel="0" collapsed="false">
      <c r="A10" s="0" t="n">
        <v>30</v>
      </c>
      <c r="B10" s="31" t="n">
        <v>37500</v>
      </c>
      <c r="C10" s="56" t="n">
        <v>207149</v>
      </c>
      <c r="D10" s="29" t="s">
        <v>41</v>
      </c>
      <c r="E10" s="33" t="n">
        <f aca="false">IF(D10="totale",(C10/(A10*24))/F10,IF(D10="marché libre",(C10/(A10*24))/G10,"spécifier histo"))</f>
        <v>0.405221048513302</v>
      </c>
      <c r="F10" s="59" t="n">
        <v>710</v>
      </c>
      <c r="G10" s="59" t="n">
        <f aca="false">F10-H10</f>
        <v>710</v>
      </c>
      <c r="H10" s="58" t="n">
        <f aca="false">0</f>
        <v>0</v>
      </c>
      <c r="I10" s="9"/>
      <c r="J10" s="202" t="s">
        <v>986</v>
      </c>
      <c r="K10" s="0"/>
      <c r="L10" s="0"/>
      <c r="M10" s="0"/>
      <c r="N10" s="0"/>
      <c r="O10" s="0"/>
      <c r="P10" s="0"/>
      <c r="Q10" s="0"/>
      <c r="R10" s="0"/>
      <c r="S10" s="0"/>
      <c r="T10" s="0"/>
      <c r="U10" s="0"/>
      <c r="V10" s="0"/>
      <c r="W10" s="0"/>
      <c r="X10" s="0"/>
    </row>
    <row r="11" customFormat="false" ht="20.5" hidden="false" customHeight="true" outlineLevel="0" collapsed="false">
      <c r="A11" s="0" t="n">
        <v>31</v>
      </c>
      <c r="B11" s="34" t="n">
        <v>37530</v>
      </c>
      <c r="C11" s="56" t="n">
        <v>175613</v>
      </c>
      <c r="D11" s="29" t="s">
        <v>41</v>
      </c>
      <c r="E11" s="33" t="n">
        <f aca="false">IF(D11="totale",(C11/(A11*24))/F11,IF(D11="marché libre",(C11/(A11*24))/G11,"spécifier histo"))</f>
        <v>0.332449265485385</v>
      </c>
      <c r="F11" s="59" t="n">
        <v>710</v>
      </c>
      <c r="G11" s="59" t="n">
        <f aca="false">F11-H11</f>
        <v>710</v>
      </c>
      <c r="H11" s="58" t="n">
        <f aca="false">0</f>
        <v>0</v>
      </c>
      <c r="I11" s="9"/>
      <c r="J11" s="202" t="s">
        <v>1001</v>
      </c>
      <c r="K11" s="519" t="s">
        <v>1002</v>
      </c>
      <c r="L11" s="519"/>
      <c r="M11" s="520" t="s">
        <v>1003</v>
      </c>
      <c r="N11" s="520"/>
      <c r="O11" s="520"/>
      <c r="P11" s="520"/>
      <c r="Q11" s="520"/>
      <c r="R11" s="520"/>
      <c r="S11" s="520"/>
      <c r="T11" s="520"/>
      <c r="U11" s="520"/>
      <c r="V11" s="520"/>
      <c r="W11" s="520"/>
      <c r="X11" s="520"/>
      <c r="Y11" s="520"/>
    </row>
    <row r="12" customFormat="false" ht="20.5" hidden="false" customHeight="true" outlineLevel="0" collapsed="false">
      <c r="A12" s="0" t="n">
        <v>30</v>
      </c>
      <c r="B12" s="31" t="n">
        <v>37561</v>
      </c>
      <c r="C12" s="56" t="n">
        <v>353286</v>
      </c>
      <c r="D12" s="29" t="s">
        <v>41</v>
      </c>
      <c r="E12" s="33" t="n">
        <f aca="false">IF(D12="totale",(C12/(A12*24))/F12,IF(D12="marché libre",(C12/(A12*24))/G12,"spécifier histo"))</f>
        <v>0.691091549295775</v>
      </c>
      <c r="F12" s="59" t="n">
        <v>710</v>
      </c>
      <c r="G12" s="59" t="n">
        <f aca="false">F12-H12</f>
        <v>710</v>
      </c>
      <c r="H12" s="58" t="n">
        <f aca="false">0</f>
        <v>0</v>
      </c>
      <c r="I12" s="9"/>
      <c r="J12" s="202" t="s">
        <v>1004</v>
      </c>
      <c r="K12" s="519"/>
      <c r="L12" s="519"/>
      <c r="M12" s="521" t="s">
        <v>1005</v>
      </c>
      <c r="N12" s="522" t="s">
        <v>1006</v>
      </c>
      <c r="O12" s="522" t="s">
        <v>1007</v>
      </c>
      <c r="P12" s="522" t="s">
        <v>1008</v>
      </c>
      <c r="Q12" s="522" t="s">
        <v>1009</v>
      </c>
      <c r="R12" s="522" t="s">
        <v>1010</v>
      </c>
      <c r="S12" s="522" t="s">
        <v>882</v>
      </c>
      <c r="T12" s="522" t="s">
        <v>1011</v>
      </c>
      <c r="U12" s="522" t="s">
        <v>884</v>
      </c>
      <c r="V12" s="522" t="s">
        <v>885</v>
      </c>
      <c r="W12" s="522" t="s">
        <v>1012</v>
      </c>
      <c r="X12" s="522" t="s">
        <v>887</v>
      </c>
    </row>
    <row r="13" customFormat="false" ht="20.5" hidden="false" customHeight="true" outlineLevel="0" collapsed="false">
      <c r="A13" s="0" t="n">
        <v>31</v>
      </c>
      <c r="B13" s="34" t="n">
        <v>37591</v>
      </c>
      <c r="C13" s="56" t="n">
        <v>445026</v>
      </c>
      <c r="D13" s="29" t="s">
        <v>41</v>
      </c>
      <c r="E13" s="33" t="n">
        <f aca="false">IF(D13="totale",(C13/(A13*24))/F13,IF(D13="marché libre",(C13/(A13*24))/G13,"spécifier histo"))</f>
        <v>0.842469332121763</v>
      </c>
      <c r="F13" s="59" t="n">
        <v>710</v>
      </c>
      <c r="G13" s="59" t="n">
        <f aca="false">F13-H13</f>
        <v>710</v>
      </c>
      <c r="H13" s="58" t="n">
        <f aca="false">0</f>
        <v>0</v>
      </c>
      <c r="I13" s="9"/>
      <c r="J13" s="202" t="s">
        <v>1013</v>
      </c>
      <c r="K13" s="523" t="n">
        <v>2002</v>
      </c>
      <c r="L13" s="524" t="n">
        <v>2003</v>
      </c>
      <c r="M13" s="525" t="n">
        <v>207149</v>
      </c>
      <c r="N13" s="526" t="n">
        <v>175613</v>
      </c>
      <c r="O13" s="526" t="n">
        <v>353286</v>
      </c>
      <c r="P13" s="526" t="n">
        <v>445026</v>
      </c>
      <c r="Q13" s="526" t="n">
        <v>436800</v>
      </c>
      <c r="R13" s="526" t="n">
        <v>367440</v>
      </c>
      <c r="S13" s="526" t="n">
        <v>383990</v>
      </c>
      <c r="T13" s="526" t="n">
        <v>189970</v>
      </c>
      <c r="U13" s="526" t="n">
        <v>0</v>
      </c>
      <c r="V13" s="526" t="n">
        <v>0</v>
      </c>
      <c r="W13" s="526" t="n">
        <v>0</v>
      </c>
      <c r="X13" s="526" t="n">
        <v>0</v>
      </c>
    </row>
    <row r="14" customFormat="false" ht="20.5" hidden="false" customHeight="true" outlineLevel="0" collapsed="false">
      <c r="A14" s="0" t="n">
        <v>31</v>
      </c>
      <c r="B14" s="31" t="n">
        <v>37622</v>
      </c>
      <c r="C14" s="56" t="n">
        <v>436800</v>
      </c>
      <c r="D14" s="29" t="s">
        <v>41</v>
      </c>
      <c r="E14" s="33" t="n">
        <f aca="false">IF(D14="totale",(C14/(A14*24))/F14,IF(D14="marché libre",(C14/(A14*24))/G14,"spécifier histo"))</f>
        <v>0.826896865061336</v>
      </c>
      <c r="F14" s="59" t="n">
        <v>710</v>
      </c>
      <c r="G14" s="59" t="n">
        <f aca="false">F14-H14</f>
        <v>710</v>
      </c>
      <c r="H14" s="58" t="n">
        <f aca="false">0</f>
        <v>0</v>
      </c>
      <c r="I14" s="9"/>
      <c r="J14" s="202" t="s">
        <v>1014</v>
      </c>
      <c r="K14" s="527" t="n">
        <f aca="false">+K13+1</f>
        <v>2003</v>
      </c>
      <c r="L14" s="528" t="n">
        <f aca="false">+L13+1</f>
        <v>2004</v>
      </c>
      <c r="M14" s="529" t="n">
        <v>0</v>
      </c>
      <c r="N14" s="321" t="n">
        <v>203573</v>
      </c>
      <c r="O14" s="321" t="n">
        <v>310210</v>
      </c>
      <c r="P14" s="321" t="n">
        <v>433450</v>
      </c>
      <c r="Q14" s="321" t="n">
        <v>345113</v>
      </c>
      <c r="R14" s="321" t="n">
        <v>364814</v>
      </c>
      <c r="S14" s="321" t="n">
        <v>409060</v>
      </c>
      <c r="T14" s="321" t="n">
        <v>480590</v>
      </c>
      <c r="U14" s="321" t="n">
        <v>321585</v>
      </c>
      <c r="V14" s="321" t="n">
        <v>0</v>
      </c>
      <c r="W14" s="321" t="n">
        <v>0</v>
      </c>
      <c r="X14" s="321" t="n">
        <v>0</v>
      </c>
    </row>
    <row r="15" customFormat="false" ht="20.5" hidden="false" customHeight="true" outlineLevel="0" collapsed="false">
      <c r="A15" s="0" t="n">
        <v>28</v>
      </c>
      <c r="B15" s="34" t="n">
        <v>37653</v>
      </c>
      <c r="C15" s="56" t="n">
        <v>367440</v>
      </c>
      <c r="D15" s="29" t="s">
        <v>41</v>
      </c>
      <c r="E15" s="33" t="n">
        <f aca="false">IF(D15="totale",(C15/(A15*24))/F15,IF(D15="marché libre",(C15/(A15*24))/G15,"spécifier histo"))</f>
        <v>0.770120724346076</v>
      </c>
      <c r="F15" s="59" t="n">
        <v>710</v>
      </c>
      <c r="G15" s="59" t="n">
        <f aca="false">F15-H15</f>
        <v>710</v>
      </c>
      <c r="H15" s="58" t="n">
        <f aca="false">0</f>
        <v>0</v>
      </c>
      <c r="I15" s="9"/>
      <c r="J15" s="530"/>
      <c r="K15" s="527" t="n">
        <f aca="false">+K14+1</f>
        <v>2004</v>
      </c>
      <c r="L15" s="528" t="n">
        <f aca="false">+L14+1</f>
        <v>2005</v>
      </c>
      <c r="M15" s="529" t="n">
        <v>0</v>
      </c>
      <c r="N15" s="321" t="n">
        <v>200271</v>
      </c>
      <c r="O15" s="321" t="n">
        <v>212990</v>
      </c>
      <c r="P15" s="321" t="n">
        <v>309772</v>
      </c>
      <c r="Q15" s="321" t="n">
        <v>322260</v>
      </c>
      <c r="R15" s="321" t="n">
        <v>270674</v>
      </c>
      <c r="S15" s="321" t="n">
        <v>347620</v>
      </c>
      <c r="T15" s="321" t="n">
        <v>342635</v>
      </c>
      <c r="U15" s="321" t="n">
        <v>178132</v>
      </c>
      <c r="V15" s="321" t="n">
        <v>0</v>
      </c>
      <c r="W15" s="321" t="n">
        <v>0</v>
      </c>
      <c r="X15" s="321" t="n">
        <v>0</v>
      </c>
    </row>
    <row r="16" customFormat="false" ht="20.5" hidden="false" customHeight="true" outlineLevel="0" collapsed="false">
      <c r="A16" s="0" t="n">
        <v>31</v>
      </c>
      <c r="B16" s="31" t="n">
        <v>37681</v>
      </c>
      <c r="C16" s="56" t="n">
        <v>383990</v>
      </c>
      <c r="D16" s="29" t="s">
        <v>41</v>
      </c>
      <c r="E16" s="33" t="n">
        <f aca="false">IF(D16="totale",(C16/(A16*24))/F16,IF(D16="marché libre",(C16/(A16*24))/G16,"spécifier histo"))</f>
        <v>0.726923368165985</v>
      </c>
      <c r="F16" s="59" t="n">
        <v>710</v>
      </c>
      <c r="G16" s="59" t="n">
        <f aca="false">F16-H16</f>
        <v>710</v>
      </c>
      <c r="H16" s="58" t="n">
        <f aca="false">0</f>
        <v>0</v>
      </c>
      <c r="I16" s="9"/>
      <c r="J16" s="530"/>
      <c r="K16" s="527" t="n">
        <f aca="false">+K15+1</f>
        <v>2005</v>
      </c>
      <c r="L16" s="528" t="n">
        <f aca="false">+L15+1</f>
        <v>2006</v>
      </c>
      <c r="M16" s="529" t="n">
        <v>0</v>
      </c>
      <c r="N16" s="321" t="n">
        <v>63218</v>
      </c>
      <c r="O16" s="321" t="n">
        <v>41910</v>
      </c>
      <c r="P16" s="321" t="n">
        <v>43150</v>
      </c>
      <c r="Q16" s="321" t="n">
        <v>273761</v>
      </c>
      <c r="R16" s="321" t="n">
        <v>236913</v>
      </c>
      <c r="S16" s="321" t="n">
        <v>398270</v>
      </c>
      <c r="T16" s="321" t="n">
        <v>447201</v>
      </c>
      <c r="U16" s="321" t="n">
        <v>224839</v>
      </c>
      <c r="V16" s="321" t="n">
        <v>0</v>
      </c>
      <c r="W16" s="321" t="n">
        <v>0</v>
      </c>
      <c r="X16" s="321" t="n">
        <v>0</v>
      </c>
    </row>
    <row r="17" customFormat="false" ht="20.5" hidden="false" customHeight="true" outlineLevel="0" collapsed="false">
      <c r="A17" s="0" t="n">
        <v>30</v>
      </c>
      <c r="B17" s="34" t="n">
        <v>37712</v>
      </c>
      <c r="C17" s="56" t="n">
        <v>189970</v>
      </c>
      <c r="D17" s="29" t="s">
        <v>41</v>
      </c>
      <c r="E17" s="33" t="n">
        <f aca="false">IF(D17="totale",(C17/(A17*24))/F17,IF(D17="marché libre",(C17/(A17*24))/G17,"spécifier histo"))</f>
        <v>0.371615805946792</v>
      </c>
      <c r="F17" s="59" t="n">
        <v>710</v>
      </c>
      <c r="G17" s="59" t="n">
        <f aca="false">F17-H17</f>
        <v>710</v>
      </c>
      <c r="H17" s="58" t="n">
        <f aca="false">0</f>
        <v>0</v>
      </c>
      <c r="I17" s="9"/>
      <c r="J17" s="30"/>
      <c r="K17" s="527" t="n">
        <f aca="false">+K16+1</f>
        <v>2006</v>
      </c>
      <c r="L17" s="528" t="n">
        <f aca="false">+L16+1</f>
        <v>2007</v>
      </c>
      <c r="M17" s="529" t="n">
        <v>0</v>
      </c>
      <c r="N17" s="321" t="n">
        <v>301263</v>
      </c>
      <c r="O17" s="321" t="n">
        <v>172711</v>
      </c>
      <c r="P17" s="321" t="n">
        <v>250637</v>
      </c>
      <c r="Q17" s="321" t="n">
        <v>363940</v>
      </c>
      <c r="R17" s="321" t="n">
        <v>387784</v>
      </c>
      <c r="S17" s="321" t="n">
        <v>431404</v>
      </c>
      <c r="T17" s="321" t="n">
        <v>245498</v>
      </c>
      <c r="U17" s="321" t="n">
        <v>158856</v>
      </c>
      <c r="V17" s="321" t="n">
        <v>177241</v>
      </c>
      <c r="W17" s="321" t="n">
        <v>147164</v>
      </c>
      <c r="X17" s="321" t="n">
        <v>62012</v>
      </c>
    </row>
    <row r="18" customFormat="false" ht="20.5" hidden="false" customHeight="true" outlineLevel="0" collapsed="false">
      <c r="A18" s="0" t="n">
        <v>31</v>
      </c>
      <c r="B18" s="31" t="n">
        <v>37742</v>
      </c>
      <c r="C18" s="56" t="n">
        <v>0</v>
      </c>
      <c r="D18" s="29" t="s">
        <v>41</v>
      </c>
      <c r="E18" s="33" t="n">
        <f aca="false">IF(D18="totale",(C18/(A18*24))/F18,IF(D18="marché libre",(C18/(A18*24))/G18,"spécifier histo"))</f>
        <v>0</v>
      </c>
      <c r="F18" s="59" t="n">
        <v>710</v>
      </c>
      <c r="G18" s="59" t="n">
        <f aca="false">F18-H18</f>
        <v>710</v>
      </c>
      <c r="H18" s="58" t="n">
        <f aca="false">0</f>
        <v>0</v>
      </c>
      <c r="I18" s="9"/>
      <c r="J18" s="30"/>
      <c r="K18" s="527" t="n">
        <f aca="false">+K17+1</f>
        <v>2007</v>
      </c>
      <c r="L18" s="528" t="n">
        <f aca="false">+L17+1</f>
        <v>2008</v>
      </c>
      <c r="M18" s="529" t="n">
        <v>63732</v>
      </c>
      <c r="N18" s="321" t="n">
        <v>104564</v>
      </c>
      <c r="O18" s="321" t="n">
        <v>111933</v>
      </c>
      <c r="P18" s="321" t="n">
        <v>353719</v>
      </c>
      <c r="Q18" s="321" t="n">
        <v>381497</v>
      </c>
      <c r="R18" s="321" t="n">
        <v>240343</v>
      </c>
      <c r="S18" s="321" t="n">
        <v>347330</v>
      </c>
      <c r="T18" s="321" t="n">
        <v>476121</v>
      </c>
      <c r="U18" s="321" t="n">
        <v>370605</v>
      </c>
      <c r="V18" s="321" t="n">
        <v>354836</v>
      </c>
      <c r="W18" s="321" t="n">
        <v>81740</v>
      </c>
      <c r="X18" s="321" t="n">
        <v>0</v>
      </c>
    </row>
    <row r="19" customFormat="false" ht="20.5" hidden="false" customHeight="true" outlineLevel="0" collapsed="false">
      <c r="A19" s="0" t="n">
        <v>30</v>
      </c>
      <c r="B19" s="34" t="n">
        <v>37773</v>
      </c>
      <c r="C19" s="56" t="n">
        <v>0</v>
      </c>
      <c r="D19" s="29" t="s">
        <v>41</v>
      </c>
      <c r="E19" s="33" t="n">
        <f aca="false">IF(D19="totale",(C19/(A19*24))/F19,IF(D19="marché libre",(C19/(A19*24))/G19,"spécifier histo"))</f>
        <v>0</v>
      </c>
      <c r="F19" s="59" t="n">
        <v>710</v>
      </c>
      <c r="G19" s="59" t="n">
        <f aca="false">F19-H19</f>
        <v>710</v>
      </c>
      <c r="H19" s="58" t="n">
        <f aca="false">0</f>
        <v>0</v>
      </c>
      <c r="I19" s="9"/>
      <c r="J19" s="30"/>
      <c r="K19" s="527" t="n">
        <f aca="false">+K18+1</f>
        <v>2008</v>
      </c>
      <c r="L19" s="528" t="n">
        <f aca="false">+L18+1</f>
        <v>2009</v>
      </c>
      <c r="M19" s="529" t="n">
        <v>0</v>
      </c>
      <c r="N19" s="321" t="n">
        <v>20676</v>
      </c>
      <c r="O19" s="321" t="n">
        <v>284335</v>
      </c>
      <c r="P19" s="321" t="n">
        <v>276113</v>
      </c>
      <c r="Q19" s="321" t="n">
        <v>286746</v>
      </c>
      <c r="R19" s="321" t="n">
        <v>257669</v>
      </c>
      <c r="S19" s="321" t="n">
        <v>365837</v>
      </c>
      <c r="T19" s="321" t="n">
        <v>434614</v>
      </c>
      <c r="U19" s="321" t="n">
        <v>260187</v>
      </c>
      <c r="V19" s="321" t="n">
        <v>20786</v>
      </c>
      <c r="W19" s="321" t="n">
        <v>0</v>
      </c>
      <c r="X19" s="321" t="n">
        <v>0</v>
      </c>
    </row>
    <row r="20" customFormat="false" ht="20.5" hidden="false" customHeight="true" outlineLevel="0" collapsed="false">
      <c r="A20" s="0" t="n">
        <v>31</v>
      </c>
      <c r="B20" s="31" t="n">
        <v>37803</v>
      </c>
      <c r="C20" s="56" t="n">
        <v>0</v>
      </c>
      <c r="D20" s="29" t="s">
        <v>41</v>
      </c>
      <c r="E20" s="33" t="n">
        <f aca="false">IF(D20="totale",(C20/(A20*24))/F20,IF(D20="marché libre",(C20/(A20*24))/G20,"spécifier histo"))</f>
        <v>0</v>
      </c>
      <c r="F20" s="59" t="n">
        <v>710</v>
      </c>
      <c r="G20" s="59" t="n">
        <f aca="false">F20-H20</f>
        <v>710</v>
      </c>
      <c r="H20" s="58" t="n">
        <f aca="false">0</f>
        <v>0</v>
      </c>
      <c r="I20" s="9"/>
      <c r="J20" s="30"/>
      <c r="K20" s="527" t="n">
        <f aca="false">+K19+1</f>
        <v>2009</v>
      </c>
      <c r="L20" s="528" t="n">
        <f aca="false">+L19+1</f>
        <v>2010</v>
      </c>
      <c r="M20" s="529" t="n">
        <v>0</v>
      </c>
      <c r="N20" s="321" t="n">
        <v>0</v>
      </c>
      <c r="O20" s="321" t="n">
        <v>269252</v>
      </c>
      <c r="P20" s="321" t="n">
        <v>366733</v>
      </c>
      <c r="Q20" s="321" t="n">
        <v>319887</v>
      </c>
      <c r="R20" s="321" t="n">
        <v>265735</v>
      </c>
      <c r="S20" s="321" t="n">
        <v>441423</v>
      </c>
      <c r="T20" s="321" t="n">
        <v>349220</v>
      </c>
      <c r="U20" s="321" t="n">
        <v>306195</v>
      </c>
      <c r="V20" s="321" t="n">
        <v>278482</v>
      </c>
      <c r="W20" s="321" t="n">
        <v>72206</v>
      </c>
      <c r="X20" s="321" t="n">
        <v>4163</v>
      </c>
    </row>
    <row r="21" customFormat="false" ht="20.5" hidden="false" customHeight="true" outlineLevel="0" collapsed="false">
      <c r="A21" s="0" t="n">
        <v>31</v>
      </c>
      <c r="B21" s="34" t="n">
        <v>37834</v>
      </c>
      <c r="C21" s="56" t="n">
        <v>0</v>
      </c>
      <c r="D21" s="29" t="s">
        <v>41</v>
      </c>
      <c r="E21" s="33" t="n">
        <f aca="false">IF(D21="totale",(C21/(A21*24))/F21,IF(D21="marché libre",(C21/(A21*24))/G21,"spécifier histo"))</f>
        <v>0</v>
      </c>
      <c r="F21" s="59" t="n">
        <v>710</v>
      </c>
      <c r="G21" s="59" t="n">
        <f aca="false">F21-H21</f>
        <v>710</v>
      </c>
      <c r="H21" s="58" t="n">
        <f aca="false">0</f>
        <v>0</v>
      </c>
      <c r="I21" s="9"/>
      <c r="J21" s="30"/>
      <c r="K21" s="521" t="n">
        <f aca="false">+K20+1</f>
        <v>2010</v>
      </c>
      <c r="L21" s="531" t="n">
        <f aca="false">+L20+1</f>
        <v>2011</v>
      </c>
      <c r="M21" s="532" t="n">
        <v>37128</v>
      </c>
      <c r="N21" s="533" t="n">
        <v>94968</v>
      </c>
      <c r="O21" s="533" t="n">
        <v>370758</v>
      </c>
      <c r="P21" s="533" t="n">
        <v>403305</v>
      </c>
      <c r="Q21" s="533"/>
      <c r="R21" s="533"/>
      <c r="S21" s="533"/>
      <c r="T21" s="533"/>
      <c r="U21" s="533"/>
      <c r="V21" s="533"/>
      <c r="W21" s="533"/>
      <c r="X21" s="533"/>
    </row>
    <row r="22" customFormat="false" ht="20.5" hidden="false" customHeight="true" outlineLevel="0" collapsed="false">
      <c r="A22" s="0" t="n">
        <v>30</v>
      </c>
      <c r="B22" s="31" t="n">
        <v>37865</v>
      </c>
      <c r="C22" s="56" t="n">
        <v>0</v>
      </c>
      <c r="D22" s="29" t="s">
        <v>41</v>
      </c>
      <c r="E22" s="33" t="n">
        <f aca="false">IF(D22="totale",(C22/(A22*24))/F22,IF(D22="marché libre",(C22/(A22*24))/G22,"spécifier histo"))</f>
        <v>0</v>
      </c>
      <c r="F22" s="59" t="n">
        <v>710</v>
      </c>
      <c r="G22" s="59" t="n">
        <f aca="false">F22-H22</f>
        <v>710</v>
      </c>
      <c r="H22" s="58" t="n">
        <f aca="false">0</f>
        <v>0</v>
      </c>
      <c r="I22" s="9"/>
      <c r="J22" s="30"/>
      <c r="K22" s="534" t="s">
        <v>1015</v>
      </c>
      <c r="L22" s="534"/>
      <c r="M22" s="535"/>
      <c r="N22" s="536"/>
      <c r="O22" s="536"/>
      <c r="P22" s="536"/>
      <c r="Q22" s="536"/>
      <c r="R22" s="536"/>
      <c r="S22" s="536"/>
      <c r="T22" s="536"/>
      <c r="U22" s="536"/>
      <c r="V22" s="536"/>
      <c r="W22" s="536"/>
      <c r="X22" s="537"/>
    </row>
    <row r="23" customFormat="false" ht="20.5" hidden="false" customHeight="true" outlineLevel="0" collapsed="false">
      <c r="A23" s="0" t="n">
        <v>31</v>
      </c>
      <c r="B23" s="34" t="n">
        <v>37895</v>
      </c>
      <c r="C23" s="56" t="n">
        <v>203573</v>
      </c>
      <c r="D23" s="29" t="s">
        <v>41</v>
      </c>
      <c r="E23" s="33" t="n">
        <f aca="false">IF(D23="totale",(C23/(A23*24))/F23,IF(D23="marché libre",(C23/(A23*24))/G23,"spécifier histo"))</f>
        <v>0.385379751628048</v>
      </c>
      <c r="F23" s="59" t="n">
        <v>710</v>
      </c>
      <c r="G23" s="59" t="n">
        <f aca="false">F23-H23</f>
        <v>710</v>
      </c>
      <c r="H23" s="58" t="n">
        <f aca="false">0</f>
        <v>0</v>
      </c>
      <c r="I23" s="9"/>
      <c r="J23" s="30"/>
      <c r="K23" s="0"/>
      <c r="L23" s="0"/>
      <c r="M23" s="0"/>
      <c r="N23" s="0"/>
      <c r="O23" s="0"/>
      <c r="P23" s="0"/>
      <c r="Q23" s="0"/>
      <c r="R23" s="0"/>
      <c r="S23" s="0"/>
      <c r="T23" s="0"/>
      <c r="U23" s="0"/>
      <c r="V23" s="0"/>
      <c r="W23" s="0"/>
      <c r="X23" s="0"/>
    </row>
    <row r="24" customFormat="false" ht="20.5" hidden="false" customHeight="true" outlineLevel="0" collapsed="false">
      <c r="A24" s="0" t="n">
        <v>30</v>
      </c>
      <c r="B24" s="31" t="n">
        <v>37926</v>
      </c>
      <c r="C24" s="56" t="n">
        <v>310210</v>
      </c>
      <c r="D24" s="29" t="s">
        <v>41</v>
      </c>
      <c r="E24" s="33" t="n">
        <f aca="false">IF(D24="totale",(C24/(A24*24))/F24,IF(D24="marché libre",(C24/(A24*24))/G24,"spécifier histo"))</f>
        <v>0.606827073552426</v>
      </c>
      <c r="F24" s="59" t="n">
        <v>710</v>
      </c>
      <c r="G24" s="59" t="n">
        <f aca="false">F24-H24</f>
        <v>710</v>
      </c>
      <c r="H24" s="58" t="n">
        <f aca="false">0</f>
        <v>0</v>
      </c>
      <c r="I24" s="9"/>
      <c r="J24" s="30"/>
      <c r="K24" s="0"/>
      <c r="L24" s="0"/>
      <c r="M24" s="0"/>
      <c r="N24" s="0"/>
      <c r="O24" s="0"/>
      <c r="P24" s="0"/>
      <c r="Q24" s="0"/>
      <c r="R24" s="0"/>
      <c r="S24" s="0"/>
      <c r="T24" s="0"/>
      <c r="U24" s="0"/>
      <c r="V24" s="0"/>
      <c r="W24" s="0"/>
      <c r="X24" s="0"/>
    </row>
    <row r="25" customFormat="false" ht="20.5" hidden="false" customHeight="true" outlineLevel="0" collapsed="false">
      <c r="A25" s="0" t="n">
        <v>31</v>
      </c>
      <c r="B25" s="34" t="n">
        <v>37956</v>
      </c>
      <c r="C25" s="56" t="n">
        <v>433450</v>
      </c>
      <c r="D25" s="29" t="s">
        <v>41</v>
      </c>
      <c r="E25" s="33" t="n">
        <f aca="false">IF(D25="totale",(C25/(A25*24))/F25,IF(D25="marché libre",(C25/(A25*24))/G25,"spécifier histo"))</f>
        <v>0.820555050734515</v>
      </c>
      <c r="F25" s="59" t="n">
        <v>710</v>
      </c>
      <c r="G25" s="59" t="n">
        <f aca="false">F25-H25</f>
        <v>710</v>
      </c>
      <c r="H25" s="58" t="n">
        <f aca="false">0</f>
        <v>0</v>
      </c>
      <c r="I25" s="9"/>
      <c r="J25" s="30"/>
      <c r="K25" s="538"/>
      <c r="L25" s="539"/>
      <c r="M25" s="522" t="s">
        <v>1009</v>
      </c>
      <c r="N25" s="522" t="s">
        <v>1010</v>
      </c>
      <c r="O25" s="522" t="s">
        <v>882</v>
      </c>
      <c r="P25" s="522" t="s">
        <v>1011</v>
      </c>
      <c r="Q25" s="522" t="s">
        <v>884</v>
      </c>
      <c r="R25" s="522" t="s">
        <v>885</v>
      </c>
      <c r="S25" s="522" t="s">
        <v>1012</v>
      </c>
      <c r="T25" s="522" t="s">
        <v>887</v>
      </c>
      <c r="U25" s="521" t="s">
        <v>1005</v>
      </c>
      <c r="V25" s="522" t="s">
        <v>1006</v>
      </c>
      <c r="W25" s="522" t="s">
        <v>1007</v>
      </c>
      <c r="X25" s="522" t="s">
        <v>1008</v>
      </c>
    </row>
    <row r="26" customFormat="false" ht="20.5" hidden="false" customHeight="true" outlineLevel="0" collapsed="false">
      <c r="A26" s="0" t="n">
        <v>31</v>
      </c>
      <c r="B26" s="31" t="n">
        <v>37987</v>
      </c>
      <c r="C26" s="56" t="n">
        <v>345113</v>
      </c>
      <c r="D26" s="29" t="s">
        <v>41</v>
      </c>
      <c r="E26" s="33" t="n">
        <f aca="false">IF(D26="totale",(C26/(A26*24))/F26,IF(D26="marché libre",(C26/(A26*24))/G26,"spécifier histo"))</f>
        <v>0.6533261396335</v>
      </c>
      <c r="F26" s="59" t="n">
        <v>710</v>
      </c>
      <c r="G26" s="59" t="n">
        <f aca="false">F26-H26</f>
        <v>710</v>
      </c>
      <c r="H26" s="58" t="n">
        <f aca="false">0</f>
        <v>0</v>
      </c>
      <c r="I26" s="9"/>
      <c r="J26" s="0"/>
      <c r="K26" s="523" t="n">
        <v>2002</v>
      </c>
      <c r="L26" s="524" t="n">
        <v>2003</v>
      </c>
      <c r="M26" s="526" t="n">
        <v>436800</v>
      </c>
      <c r="N26" s="526" t="n">
        <v>367440</v>
      </c>
      <c r="O26" s="526" t="n">
        <v>383990</v>
      </c>
      <c r="P26" s="526" t="n">
        <v>189970</v>
      </c>
      <c r="Q26" s="526" t="n">
        <v>0</v>
      </c>
      <c r="R26" s="526" t="n">
        <v>0</v>
      </c>
      <c r="S26" s="526" t="n">
        <v>0</v>
      </c>
      <c r="T26" s="526" t="n">
        <v>0</v>
      </c>
      <c r="U26" s="525" t="n">
        <v>207149</v>
      </c>
      <c r="V26" s="526" t="n">
        <v>175613</v>
      </c>
      <c r="W26" s="526" t="n">
        <v>353286</v>
      </c>
      <c r="X26" s="526" t="n">
        <v>445026</v>
      </c>
    </row>
    <row r="27" customFormat="false" ht="20.5" hidden="false" customHeight="true" outlineLevel="0" collapsed="false">
      <c r="A27" s="0" t="n">
        <v>28</v>
      </c>
      <c r="B27" s="34" t="n">
        <v>38018</v>
      </c>
      <c r="C27" s="56" t="n">
        <v>364814</v>
      </c>
      <c r="D27" s="29" t="s">
        <v>41</v>
      </c>
      <c r="E27" s="33" t="n">
        <f aca="false">IF(D27="totale",(C27/(A27*24))/F27,IF(D27="marché libre",(C27/(A27*24))/G27,"spécifier histo"))</f>
        <v>0.76461686787391</v>
      </c>
      <c r="F27" s="59" t="n">
        <v>710</v>
      </c>
      <c r="G27" s="59" t="n">
        <f aca="false">F27-H27</f>
        <v>710</v>
      </c>
      <c r="H27" s="58" t="n">
        <f aca="false">0</f>
        <v>0</v>
      </c>
      <c r="I27" s="9"/>
      <c r="J27" s="0"/>
      <c r="K27" s="527" t="n">
        <f aca="false">+K26+1</f>
        <v>2003</v>
      </c>
      <c r="L27" s="528" t="n">
        <f aca="false">+L26+1</f>
        <v>2004</v>
      </c>
      <c r="M27" s="321" t="n">
        <v>345113</v>
      </c>
      <c r="N27" s="321" t="n">
        <v>364814</v>
      </c>
      <c r="O27" s="321" t="n">
        <v>409060</v>
      </c>
      <c r="P27" s="321" t="n">
        <v>480590</v>
      </c>
      <c r="Q27" s="321" t="n">
        <v>321585</v>
      </c>
      <c r="R27" s="321" t="n">
        <v>0</v>
      </c>
      <c r="S27" s="321" t="n">
        <v>0</v>
      </c>
      <c r="T27" s="321" t="n">
        <v>0</v>
      </c>
      <c r="U27" s="529" t="n">
        <v>0</v>
      </c>
      <c r="V27" s="321" t="n">
        <v>203573</v>
      </c>
      <c r="W27" s="321" t="n">
        <v>310210</v>
      </c>
      <c r="X27" s="321" t="n">
        <v>433450</v>
      </c>
    </row>
    <row r="28" customFormat="false" ht="20.5" hidden="false" customHeight="true" outlineLevel="0" collapsed="false">
      <c r="A28" s="0" t="n">
        <v>31</v>
      </c>
      <c r="B28" s="31" t="n">
        <v>38047</v>
      </c>
      <c r="C28" s="56" t="n">
        <v>409060</v>
      </c>
      <c r="D28" s="29" t="s">
        <v>41</v>
      </c>
      <c r="E28" s="33" t="n">
        <f aca="false">IF(D28="totale",(C28/(A28*24))/F28,IF(D28="marché libre",(C28/(A28*24))/G28,"spécifier histo"))</f>
        <v>0.77438285627745</v>
      </c>
      <c r="F28" s="59" t="n">
        <v>710</v>
      </c>
      <c r="G28" s="59" t="n">
        <f aca="false">F28-H28</f>
        <v>710</v>
      </c>
      <c r="H28" s="58" t="n">
        <f aca="false">0</f>
        <v>0</v>
      </c>
      <c r="I28" s="9"/>
      <c r="J28" s="0"/>
      <c r="K28" s="527" t="n">
        <f aca="false">+K27+1</f>
        <v>2004</v>
      </c>
      <c r="L28" s="528" t="n">
        <f aca="false">+L27+1</f>
        <v>2005</v>
      </c>
      <c r="M28" s="321" t="n">
        <v>322260</v>
      </c>
      <c r="N28" s="321" t="n">
        <v>270674</v>
      </c>
      <c r="O28" s="321" t="n">
        <v>347620</v>
      </c>
      <c r="P28" s="321" t="n">
        <v>342635</v>
      </c>
      <c r="Q28" s="321" t="n">
        <v>178132</v>
      </c>
      <c r="R28" s="321" t="n">
        <v>0</v>
      </c>
      <c r="S28" s="321" t="n">
        <v>0</v>
      </c>
      <c r="T28" s="321" t="n">
        <v>0</v>
      </c>
      <c r="U28" s="529" t="n">
        <v>0</v>
      </c>
      <c r="V28" s="321" t="n">
        <v>200271</v>
      </c>
      <c r="W28" s="321" t="n">
        <v>212990</v>
      </c>
      <c r="X28" s="321" t="n">
        <v>309772</v>
      </c>
    </row>
    <row r="29" customFormat="false" ht="20.5" hidden="false" customHeight="true" outlineLevel="0" collapsed="false">
      <c r="A29" s="0" t="n">
        <v>30</v>
      </c>
      <c r="B29" s="34" t="n">
        <v>38078</v>
      </c>
      <c r="C29" s="56" t="n">
        <v>480590</v>
      </c>
      <c r="D29" s="29" t="s">
        <v>41</v>
      </c>
      <c r="E29" s="33" t="n">
        <f aca="false">IF(D29="totale",(C29/(A29*24))/F29,IF(D29="marché libre",(C29/(A29*24))/G29,"spécifier histo"))</f>
        <v>0.940121283255086</v>
      </c>
      <c r="F29" s="59" t="n">
        <v>710</v>
      </c>
      <c r="G29" s="59" t="n">
        <f aca="false">F29-H29</f>
        <v>710</v>
      </c>
      <c r="H29" s="58" t="n">
        <f aca="false">0</f>
        <v>0</v>
      </c>
      <c r="I29" s="9"/>
      <c r="J29" s="0"/>
      <c r="K29" s="527" t="n">
        <f aca="false">+K28+1</f>
        <v>2005</v>
      </c>
      <c r="L29" s="528" t="n">
        <f aca="false">+L28+1</f>
        <v>2006</v>
      </c>
      <c r="M29" s="321" t="n">
        <v>273761</v>
      </c>
      <c r="N29" s="321" t="n">
        <v>236913</v>
      </c>
      <c r="O29" s="321" t="n">
        <v>398270</v>
      </c>
      <c r="P29" s="321" t="n">
        <v>447201</v>
      </c>
      <c r="Q29" s="321" t="n">
        <v>224839</v>
      </c>
      <c r="R29" s="321" t="n">
        <v>0</v>
      </c>
      <c r="S29" s="321" t="n">
        <v>0</v>
      </c>
      <c r="T29" s="321" t="n">
        <v>0</v>
      </c>
      <c r="U29" s="529" t="n">
        <v>0</v>
      </c>
      <c r="V29" s="321" t="n">
        <v>63218</v>
      </c>
      <c r="W29" s="321" t="n">
        <v>41910</v>
      </c>
      <c r="X29" s="321" t="n">
        <v>43150</v>
      </c>
    </row>
    <row r="30" customFormat="false" ht="20.5" hidden="false" customHeight="true" outlineLevel="0" collapsed="false">
      <c r="A30" s="0" t="n">
        <v>31</v>
      </c>
      <c r="B30" s="31" t="n">
        <v>38108</v>
      </c>
      <c r="C30" s="56" t="n">
        <v>321585</v>
      </c>
      <c r="D30" s="29" t="s">
        <v>41</v>
      </c>
      <c r="E30" s="33" t="n">
        <f aca="false">IF(D30="totale",(C30/(A30*24))/F30,IF(D30="marché libre",(C30/(A30*24))/G30,"spécifier histo"))</f>
        <v>0.608785779191277</v>
      </c>
      <c r="F30" s="59" t="n">
        <v>710</v>
      </c>
      <c r="G30" s="59" t="n">
        <f aca="false">F30-H30</f>
        <v>710</v>
      </c>
      <c r="H30" s="58" t="n">
        <f aca="false">0</f>
        <v>0</v>
      </c>
      <c r="I30" s="9"/>
      <c r="J30" s="0"/>
      <c r="K30" s="527" t="n">
        <f aca="false">+K29+1</f>
        <v>2006</v>
      </c>
      <c r="L30" s="528" t="n">
        <f aca="false">+L29+1</f>
        <v>2007</v>
      </c>
      <c r="M30" s="321" t="n">
        <v>363940</v>
      </c>
      <c r="N30" s="321" t="n">
        <v>387784</v>
      </c>
      <c r="O30" s="321" t="n">
        <v>431404</v>
      </c>
      <c r="P30" s="321" t="n">
        <v>245498</v>
      </c>
      <c r="Q30" s="321" t="n">
        <v>158856</v>
      </c>
      <c r="R30" s="321" t="n">
        <v>177241</v>
      </c>
      <c r="S30" s="321" t="n">
        <v>147164</v>
      </c>
      <c r="T30" s="321" t="n">
        <v>62012</v>
      </c>
      <c r="U30" s="529" t="n">
        <v>0</v>
      </c>
      <c r="V30" s="321" t="n">
        <v>301263</v>
      </c>
      <c r="W30" s="321" t="n">
        <v>172711</v>
      </c>
      <c r="X30" s="321" t="n">
        <v>250637</v>
      </c>
    </row>
    <row r="31" customFormat="false" ht="20.5" hidden="false" customHeight="true" outlineLevel="0" collapsed="false">
      <c r="A31" s="0" t="n">
        <v>30</v>
      </c>
      <c r="B31" s="34" t="n">
        <v>38139</v>
      </c>
      <c r="C31" s="56" t="n">
        <v>0</v>
      </c>
      <c r="D31" s="29" t="s">
        <v>41</v>
      </c>
      <c r="E31" s="33" t="n">
        <f aca="false">IF(D31="totale",(C31/(A31*24))/F31,IF(D31="marché libre",(C31/(A31*24))/G31,"spécifier histo"))</f>
        <v>0</v>
      </c>
      <c r="F31" s="59" t="n">
        <v>710</v>
      </c>
      <c r="G31" s="59" t="n">
        <f aca="false">F31-H31</f>
        <v>710</v>
      </c>
      <c r="H31" s="58" t="n">
        <f aca="false">0</f>
        <v>0</v>
      </c>
      <c r="I31" s="9"/>
      <c r="J31" s="30"/>
      <c r="K31" s="527" t="n">
        <f aca="false">+K30+1</f>
        <v>2007</v>
      </c>
      <c r="L31" s="528" t="n">
        <f aca="false">+L30+1</f>
        <v>2008</v>
      </c>
      <c r="M31" s="321" t="n">
        <v>381497</v>
      </c>
      <c r="N31" s="321" t="n">
        <v>240343</v>
      </c>
      <c r="O31" s="321" t="n">
        <v>347330</v>
      </c>
      <c r="P31" s="321" t="n">
        <v>476121</v>
      </c>
      <c r="Q31" s="321" t="n">
        <v>370605</v>
      </c>
      <c r="R31" s="321" t="n">
        <v>354836</v>
      </c>
      <c r="S31" s="321" t="n">
        <v>81740</v>
      </c>
      <c r="T31" s="321" t="n">
        <v>0</v>
      </c>
      <c r="U31" s="529" t="n">
        <v>63732</v>
      </c>
      <c r="V31" s="321" t="n">
        <v>104564</v>
      </c>
      <c r="W31" s="321" t="n">
        <v>111933</v>
      </c>
      <c r="X31" s="321" t="n">
        <v>353719</v>
      </c>
    </row>
    <row r="32" customFormat="false" ht="20.5" hidden="false" customHeight="true" outlineLevel="0" collapsed="false">
      <c r="A32" s="0" t="n">
        <v>31</v>
      </c>
      <c r="B32" s="31" t="n">
        <v>38169</v>
      </c>
      <c r="C32" s="56" t="n">
        <v>0</v>
      </c>
      <c r="D32" s="29" t="s">
        <v>41</v>
      </c>
      <c r="E32" s="33" t="n">
        <f aca="false">IF(D32="totale",(C32/(A32*24))/F32,IF(D32="marché libre",(C32/(A32*24))/G32,"spécifier histo"))</f>
        <v>0</v>
      </c>
      <c r="F32" s="59" t="n">
        <v>710</v>
      </c>
      <c r="G32" s="59" t="n">
        <f aca="false">F32-H32</f>
        <v>710</v>
      </c>
      <c r="H32" s="58" t="n">
        <f aca="false">0</f>
        <v>0</v>
      </c>
      <c r="I32" s="9"/>
      <c r="J32" s="30"/>
      <c r="K32" s="527" t="n">
        <f aca="false">+K31+1</f>
        <v>2008</v>
      </c>
      <c r="L32" s="528" t="n">
        <f aca="false">+L31+1</f>
        <v>2009</v>
      </c>
      <c r="M32" s="321" t="n">
        <v>286746</v>
      </c>
      <c r="N32" s="321" t="n">
        <v>257669</v>
      </c>
      <c r="O32" s="321" t="n">
        <v>365837</v>
      </c>
      <c r="P32" s="321" t="n">
        <v>434614</v>
      </c>
      <c r="Q32" s="321" t="n">
        <v>260187</v>
      </c>
      <c r="R32" s="321" t="n">
        <v>20786</v>
      </c>
      <c r="S32" s="321" t="n">
        <v>0</v>
      </c>
      <c r="T32" s="321" t="n">
        <v>0</v>
      </c>
      <c r="U32" s="529" t="n">
        <v>0</v>
      </c>
      <c r="V32" s="321" t="n">
        <v>20676</v>
      </c>
      <c r="W32" s="321" t="n">
        <v>284335</v>
      </c>
      <c r="X32" s="321" t="n">
        <v>276113</v>
      </c>
    </row>
    <row r="33" customFormat="false" ht="20.5" hidden="false" customHeight="true" outlineLevel="0" collapsed="false">
      <c r="A33" s="0" t="n">
        <v>31</v>
      </c>
      <c r="B33" s="34" t="n">
        <v>38200</v>
      </c>
      <c r="C33" s="56" t="n">
        <v>0</v>
      </c>
      <c r="D33" s="29" t="s">
        <v>41</v>
      </c>
      <c r="E33" s="33" t="n">
        <f aca="false">IF(D33="totale",(C33/(A33*24))/F33,IF(D33="marché libre",(C33/(A33*24))/G33,"spécifier histo"))</f>
        <v>0</v>
      </c>
      <c r="F33" s="59" t="n">
        <v>710</v>
      </c>
      <c r="G33" s="59" t="n">
        <f aca="false">F33-H33</f>
        <v>710</v>
      </c>
      <c r="H33" s="58" t="n">
        <f aca="false">0</f>
        <v>0</v>
      </c>
      <c r="I33" s="9"/>
      <c r="J33" s="30"/>
      <c r="K33" s="527" t="n">
        <f aca="false">+K32+1</f>
        <v>2009</v>
      </c>
      <c r="L33" s="528" t="n">
        <f aca="false">+L32+1</f>
        <v>2010</v>
      </c>
      <c r="M33" s="321" t="n">
        <v>319887</v>
      </c>
      <c r="N33" s="321" t="n">
        <v>265735</v>
      </c>
      <c r="O33" s="321" t="n">
        <v>441423</v>
      </c>
      <c r="P33" s="321" t="n">
        <v>349220</v>
      </c>
      <c r="Q33" s="321" t="n">
        <v>306195</v>
      </c>
      <c r="R33" s="321" t="n">
        <v>278482</v>
      </c>
      <c r="S33" s="321" t="n">
        <v>72206</v>
      </c>
      <c r="T33" s="321" t="n">
        <v>4163</v>
      </c>
      <c r="U33" s="529" t="n">
        <v>0</v>
      </c>
      <c r="V33" s="321" t="n">
        <v>0</v>
      </c>
      <c r="W33" s="321" t="n">
        <v>269252</v>
      </c>
      <c r="X33" s="321" t="n">
        <v>366733</v>
      </c>
    </row>
    <row r="34" customFormat="false" ht="20.5" hidden="false" customHeight="true" outlineLevel="0" collapsed="false">
      <c r="A34" s="0" t="n">
        <v>30</v>
      </c>
      <c r="B34" s="31" t="n">
        <v>38231</v>
      </c>
      <c r="C34" s="56" t="n">
        <v>0</v>
      </c>
      <c r="D34" s="29" t="s">
        <v>41</v>
      </c>
      <c r="E34" s="33" t="n">
        <f aca="false">IF(D34="totale",(C34/(A34*24))/F34,IF(D34="marché libre",(C34/(A34*24))/G34,"spécifier histo"))</f>
        <v>0</v>
      </c>
      <c r="F34" s="59" t="n">
        <v>710</v>
      </c>
      <c r="G34" s="59" t="n">
        <f aca="false">F34-H34</f>
        <v>710</v>
      </c>
      <c r="H34" s="58" t="n">
        <f aca="false">0</f>
        <v>0</v>
      </c>
      <c r="I34" s="9"/>
      <c r="J34" s="30"/>
      <c r="K34" s="521" t="n">
        <f aca="false">+K33+1</f>
        <v>2010</v>
      </c>
      <c r="L34" s="531" t="n">
        <f aca="false">+L33+1</f>
        <v>2011</v>
      </c>
      <c r="M34" s="533"/>
      <c r="N34" s="533"/>
      <c r="O34" s="533"/>
      <c r="P34" s="533"/>
      <c r="Q34" s="533"/>
      <c r="R34" s="533"/>
      <c r="S34" s="533"/>
      <c r="T34" s="533"/>
      <c r="U34" s="532" t="n">
        <v>37128</v>
      </c>
      <c r="V34" s="533" t="n">
        <v>94968</v>
      </c>
      <c r="W34" s="533" t="n">
        <v>370758</v>
      </c>
      <c r="X34" s="533" t="n">
        <v>403305</v>
      </c>
    </row>
    <row r="35" customFormat="false" ht="20.5" hidden="false" customHeight="true" outlineLevel="0" collapsed="false">
      <c r="A35" s="0" t="n">
        <v>31</v>
      </c>
      <c r="B35" s="34" t="n">
        <v>38261</v>
      </c>
      <c r="C35" s="56" t="n">
        <v>200271</v>
      </c>
      <c r="D35" s="29" t="s">
        <v>41</v>
      </c>
      <c r="E35" s="33" t="n">
        <f aca="false">IF(D35="totale",(C35/(A35*24))/F35,IF(D35="marché libre",(C35/(A35*24))/G35,"spécifier histo"))</f>
        <v>0.379128805088596</v>
      </c>
      <c r="F35" s="59" t="n">
        <v>710</v>
      </c>
      <c r="G35" s="59" t="n">
        <f aca="false">F35-H35</f>
        <v>710</v>
      </c>
      <c r="H35" s="58" t="n">
        <f aca="false">0</f>
        <v>0</v>
      </c>
      <c r="I35" s="9"/>
      <c r="J35" s="30"/>
      <c r="K35" s="521"/>
      <c r="L35" s="531"/>
      <c r="M35" s="533"/>
      <c r="N35" s="533"/>
      <c r="O35" s="533"/>
      <c r="P35" s="533"/>
      <c r="Q35" s="533"/>
      <c r="R35" s="533"/>
      <c r="S35" s="533"/>
      <c r="T35" s="533"/>
      <c r="U35" s="532"/>
      <c r="V35" s="533"/>
      <c r="W35" s="533"/>
      <c r="X35" s="533"/>
    </row>
    <row r="36" customFormat="false" ht="20.5" hidden="false" customHeight="true" outlineLevel="0" collapsed="false">
      <c r="A36" s="0" t="n">
        <v>30</v>
      </c>
      <c r="B36" s="31" t="n">
        <v>38292</v>
      </c>
      <c r="C36" s="56" t="n">
        <v>212990</v>
      </c>
      <c r="D36" s="29" t="s">
        <v>41</v>
      </c>
      <c r="E36" s="33" t="n">
        <f aca="false">IF(D36="totale",(C36/(A36*24))/F36,IF(D36="marché libre",(C36/(A36*24))/G36,"spécifier histo"))</f>
        <v>0.41664710485133</v>
      </c>
      <c r="F36" s="59" t="n">
        <v>710</v>
      </c>
      <c r="G36" s="59" t="n">
        <f aca="false">F36-H36</f>
        <v>710</v>
      </c>
      <c r="H36" s="58" t="n">
        <f aca="false">0</f>
        <v>0</v>
      </c>
      <c r="I36" s="9"/>
      <c r="J36" s="30"/>
      <c r="K36" s="521"/>
      <c r="L36" s="531" t="n">
        <v>2017</v>
      </c>
      <c r="M36" s="533" t="n">
        <v>772</v>
      </c>
      <c r="N36" s="533" t="n">
        <v>798</v>
      </c>
      <c r="O36" s="533" t="n">
        <v>14989</v>
      </c>
      <c r="P36" s="533" t="n">
        <v>2515</v>
      </c>
      <c r="Q36" s="533"/>
      <c r="R36" s="533"/>
      <c r="S36" s="533"/>
      <c r="T36" s="533"/>
      <c r="U36" s="532"/>
      <c r="V36" s="533"/>
      <c r="W36" s="533"/>
      <c r="X36" s="533"/>
    </row>
    <row r="37" customFormat="false" ht="20.5" hidden="false" customHeight="true" outlineLevel="0" collapsed="false">
      <c r="A37" s="0" t="n">
        <v>31</v>
      </c>
      <c r="B37" s="34" t="n">
        <v>38322</v>
      </c>
      <c r="C37" s="56" t="n">
        <v>309772</v>
      </c>
      <c r="D37" s="29" t="s">
        <v>41</v>
      </c>
      <c r="E37" s="33" t="n">
        <f aca="false">IF(D37="totale",(C37/(A37*24))/F37,IF(D37="marché libre",(C37/(A37*24))/G37,"spécifier histo"))</f>
        <v>0.586422838103892</v>
      </c>
      <c r="F37" s="59" t="n">
        <v>710</v>
      </c>
      <c r="G37" s="59" t="n">
        <f aca="false">F37-H37</f>
        <v>710</v>
      </c>
      <c r="H37" s="58" t="n">
        <f aca="false">0</f>
        <v>0</v>
      </c>
      <c r="I37" s="9"/>
      <c r="J37" s="30"/>
    </row>
    <row r="38" customFormat="false" ht="19.85" hidden="false" customHeight="true" outlineLevel="0" collapsed="false">
      <c r="A38" s="0" t="n">
        <v>31</v>
      </c>
      <c r="B38" s="31" t="n">
        <v>38353</v>
      </c>
      <c r="C38" s="56" t="n">
        <v>322260</v>
      </c>
      <c r="D38" s="29" t="s">
        <v>41</v>
      </c>
      <c r="E38" s="33" t="n">
        <f aca="false">IF(D38="totale",(C38/(A38*24))/F38,IF(D38="marché libre",(C38/(A38*24))/G38,"spécifier histo"))</f>
        <v>0.610063607451159</v>
      </c>
      <c r="F38" s="59" t="n">
        <v>710</v>
      </c>
      <c r="G38" s="59" t="n">
        <f aca="false">F38-H38</f>
        <v>710</v>
      </c>
      <c r="H38" s="58" t="n">
        <f aca="false">0</f>
        <v>0</v>
      </c>
      <c r="J38" s="70"/>
    </row>
    <row r="39" customFormat="false" ht="19.85" hidden="false" customHeight="true" outlineLevel="0" collapsed="false">
      <c r="A39" s="0" t="n">
        <v>28</v>
      </c>
      <c r="B39" s="34" t="n">
        <v>38384</v>
      </c>
      <c r="C39" s="56" t="n">
        <v>270674</v>
      </c>
      <c r="D39" s="29" t="s">
        <v>41</v>
      </c>
      <c r="E39" s="33" t="n">
        <f aca="false">IF(D39="totale",(C39/(A39*24))/F39,IF(D39="marché libre",(C39/(A39*24))/G39,"spécifier histo"))</f>
        <v>0.567308014755198</v>
      </c>
      <c r="F39" s="59" t="n">
        <v>710</v>
      </c>
      <c r="G39" s="59" t="n">
        <f aca="false">F39-H39</f>
        <v>710</v>
      </c>
      <c r="H39" s="58" t="n">
        <f aca="false">0</f>
        <v>0</v>
      </c>
      <c r="J39" s="237"/>
      <c r="L39" s="0"/>
      <c r="M39" s="0"/>
    </row>
    <row r="40" customFormat="false" ht="19.85" hidden="false" customHeight="true" outlineLevel="0" collapsed="false">
      <c r="A40" s="0" t="n">
        <v>31</v>
      </c>
      <c r="B40" s="31" t="n">
        <v>38412</v>
      </c>
      <c r="C40" s="56" t="n">
        <v>347620</v>
      </c>
      <c r="D40" s="29" t="s">
        <v>41</v>
      </c>
      <c r="E40" s="33" t="n">
        <f aca="false">IF(D40="totale",(C40/(A40*24))/F40,IF(D40="marché libre",(C40/(A40*24))/G40,"spécifier histo"))</f>
        <v>0.658072088444646</v>
      </c>
      <c r="F40" s="59" t="n">
        <v>710</v>
      </c>
      <c r="G40" s="59" t="n">
        <f aca="false">F40-H40</f>
        <v>710</v>
      </c>
      <c r="H40" s="58" t="n">
        <f aca="false">0</f>
        <v>0</v>
      </c>
      <c r="J40" s="0"/>
      <c r="K40" s="0"/>
      <c r="L40" s="0"/>
      <c r="M40" s="0"/>
      <c r="N40" s="0"/>
      <c r="O40" s="0"/>
      <c r="P40" s="0"/>
      <c r="Q40" s="0"/>
      <c r="R40" s="0"/>
    </row>
    <row r="41" customFormat="false" ht="19.85" hidden="false" customHeight="true" outlineLevel="0" collapsed="false">
      <c r="A41" s="0" t="n">
        <v>30</v>
      </c>
      <c r="B41" s="34" t="n">
        <v>38443</v>
      </c>
      <c r="C41" s="56" t="n">
        <v>342635</v>
      </c>
      <c r="D41" s="29" t="s">
        <v>41</v>
      </c>
      <c r="E41" s="33" t="n">
        <f aca="false">IF(D41="totale",(C41/(A41*24))/F41,IF(D41="marché libre",(C41/(A41*24))/G41,"spécifier histo"))</f>
        <v>0.670256259780908</v>
      </c>
      <c r="F41" s="59" t="n">
        <v>710</v>
      </c>
      <c r="G41" s="59" t="n">
        <f aca="false">F41-H41</f>
        <v>710</v>
      </c>
      <c r="H41" s="58" t="n">
        <f aca="false">0</f>
        <v>0</v>
      </c>
      <c r="J41" s="0"/>
      <c r="K41" s="0"/>
      <c r="L41" s="0"/>
      <c r="M41" s="0"/>
      <c r="N41" s="0"/>
      <c r="O41" s="0"/>
      <c r="P41" s="0"/>
      <c r="Q41" s="0"/>
      <c r="R41" s="0"/>
    </row>
    <row r="42" customFormat="false" ht="19.85" hidden="false" customHeight="true" outlineLevel="0" collapsed="false">
      <c r="A42" s="0" t="n">
        <v>31</v>
      </c>
      <c r="B42" s="31" t="n">
        <v>38473</v>
      </c>
      <c r="C42" s="56" t="n">
        <v>178132</v>
      </c>
      <c r="D42" s="29" t="s">
        <v>41</v>
      </c>
      <c r="E42" s="33" t="n">
        <f aca="false">IF(D42="totale",(C42/(A42*24))/F42,IF(D42="marché libre",(C42/(A42*24))/G42,"spécifier histo"))</f>
        <v>0.337217931243374</v>
      </c>
      <c r="F42" s="59" t="n">
        <v>710</v>
      </c>
      <c r="G42" s="59" t="n">
        <f aca="false">F42-H42</f>
        <v>710</v>
      </c>
      <c r="H42" s="58" t="n">
        <f aca="false">0</f>
        <v>0</v>
      </c>
      <c r="J42" s="0"/>
      <c r="K42" s="0"/>
      <c r="L42" s="0"/>
      <c r="M42" s="0"/>
      <c r="N42" s="0"/>
      <c r="O42" s="0"/>
      <c r="P42" s="0"/>
      <c r="Q42" s="0"/>
      <c r="R42" s="0"/>
    </row>
    <row r="43" customFormat="false" ht="19.85" hidden="false" customHeight="true" outlineLevel="0" collapsed="false">
      <c r="A43" s="0" t="n">
        <v>30</v>
      </c>
      <c r="B43" s="34" t="n">
        <v>38504</v>
      </c>
      <c r="C43" s="56" t="n">
        <v>0</v>
      </c>
      <c r="D43" s="29" t="s">
        <v>41</v>
      </c>
      <c r="E43" s="33" t="n">
        <f aca="false">IF(D43="totale",(C43/(A43*24))/F43,IF(D43="marché libre",(C43/(A43*24))/G43,"spécifier histo"))</f>
        <v>0</v>
      </c>
      <c r="F43" s="59" t="n">
        <v>710</v>
      </c>
      <c r="G43" s="59" t="n">
        <f aca="false">F43-H43</f>
        <v>710</v>
      </c>
      <c r="H43" s="58" t="n">
        <f aca="false">0</f>
        <v>0</v>
      </c>
      <c r="J43" s="0"/>
      <c r="K43" s="0"/>
      <c r="L43" s="0"/>
      <c r="M43" s="0"/>
      <c r="N43" s="0"/>
      <c r="O43" s="0"/>
      <c r="P43" s="0"/>
      <c r="Q43" s="0"/>
      <c r="R43" s="0"/>
    </row>
    <row r="44" customFormat="false" ht="19.85" hidden="false" customHeight="true" outlineLevel="0" collapsed="false">
      <c r="A44" s="0" t="n">
        <v>31</v>
      </c>
      <c r="B44" s="31" t="n">
        <v>38534</v>
      </c>
      <c r="C44" s="56" t="n">
        <v>0</v>
      </c>
      <c r="D44" s="29" t="s">
        <v>41</v>
      </c>
      <c r="E44" s="33" t="n">
        <f aca="false">IF(D44="totale",(C44/(A44*24))/F44,IF(D44="marché libre",(C44/(A44*24))/G44,"spécifier histo"))</f>
        <v>0</v>
      </c>
      <c r="F44" s="59" t="n">
        <v>710</v>
      </c>
      <c r="G44" s="59" t="n">
        <f aca="false">F44-H44</f>
        <v>710</v>
      </c>
      <c r="H44" s="58" t="n">
        <f aca="false">0</f>
        <v>0</v>
      </c>
      <c r="J44" s="0"/>
      <c r="K44" s="0"/>
      <c r="L44" s="0"/>
      <c r="M44" s="0"/>
      <c r="N44" s="0"/>
      <c r="O44" s="0"/>
      <c r="P44" s="0"/>
      <c r="Q44" s="0"/>
      <c r="R44" s="0"/>
    </row>
    <row r="45" customFormat="false" ht="19.85" hidden="false" customHeight="true" outlineLevel="0" collapsed="false">
      <c r="A45" s="0" t="n">
        <v>31</v>
      </c>
      <c r="B45" s="34" t="n">
        <v>38565</v>
      </c>
      <c r="C45" s="56" t="n">
        <v>0</v>
      </c>
      <c r="D45" s="29" t="s">
        <v>41</v>
      </c>
      <c r="E45" s="33" t="n">
        <f aca="false">IF(D45="totale",(C45/(A45*24))/F45,IF(D45="marché libre",(C45/(A45*24))/G45,"spécifier histo"))</f>
        <v>0</v>
      </c>
      <c r="F45" s="59" t="n">
        <v>710</v>
      </c>
      <c r="G45" s="59" t="n">
        <f aca="false">F45-H45</f>
        <v>710</v>
      </c>
      <c r="H45" s="58" t="n">
        <f aca="false">0</f>
        <v>0</v>
      </c>
      <c r="J45" s="70"/>
    </row>
    <row r="46" customFormat="false" ht="19.85" hidden="false" customHeight="true" outlineLevel="0" collapsed="false">
      <c r="A46" s="0" t="n">
        <v>30</v>
      </c>
      <c r="B46" s="31" t="n">
        <v>38596</v>
      </c>
      <c r="C46" s="56" t="n">
        <v>0</v>
      </c>
      <c r="D46" s="29" t="s">
        <v>41</v>
      </c>
      <c r="E46" s="33" t="n">
        <f aca="false">IF(D46="totale",(C46/(A46*24))/F46,IF(D46="marché libre",(C46/(A46*24))/G46,"spécifier histo"))</f>
        <v>0</v>
      </c>
      <c r="F46" s="59" t="n">
        <v>710</v>
      </c>
      <c r="G46" s="59" t="n">
        <f aca="false">F46-H46</f>
        <v>710</v>
      </c>
      <c r="H46" s="58" t="n">
        <f aca="false">0</f>
        <v>0</v>
      </c>
      <c r="J46" s="70"/>
    </row>
    <row r="47" customFormat="false" ht="19.85" hidden="false" customHeight="true" outlineLevel="0" collapsed="false">
      <c r="A47" s="0" t="n">
        <v>31</v>
      </c>
      <c r="B47" s="34" t="n">
        <v>38626</v>
      </c>
      <c r="C47" s="56" t="n">
        <v>63218</v>
      </c>
      <c r="D47" s="29" t="s">
        <v>41</v>
      </c>
      <c r="E47" s="33" t="n">
        <f aca="false">IF(D47="totale",(C47/(A47*24))/F47,IF(D47="marché libre",(C47/(A47*24))/G47,"spécifier histo"))</f>
        <v>0.119676662123277</v>
      </c>
      <c r="F47" s="59" t="n">
        <v>710</v>
      </c>
      <c r="G47" s="59" t="n">
        <f aca="false">F47-H47</f>
        <v>710</v>
      </c>
      <c r="H47" s="58" t="n">
        <f aca="false">0</f>
        <v>0</v>
      </c>
      <c r="J47" s="70"/>
      <c r="L47" s="38"/>
      <c r="M47" s="38"/>
      <c r="N47" s="38"/>
      <c r="O47" s="38"/>
      <c r="P47" s="38"/>
      <c r="Q47" s="38"/>
      <c r="R47" s="38"/>
      <c r="S47" s="38"/>
      <c r="T47" s="38"/>
      <c r="U47" s="38"/>
      <c r="V47" s="38"/>
      <c r="W47" s="38"/>
      <c r="X47" s="38"/>
      <c r="Y47" s="38"/>
      <c r="Z47" s="38"/>
      <c r="AA47" s="38"/>
      <c r="AB47" s="38"/>
      <c r="AC47" s="38"/>
      <c r="AD47" s="38"/>
    </row>
    <row r="48" customFormat="false" ht="19.85" hidden="false" customHeight="true" outlineLevel="0" collapsed="false">
      <c r="A48" s="0" t="n">
        <v>30</v>
      </c>
      <c r="B48" s="31" t="n">
        <v>38657</v>
      </c>
      <c r="C48" s="56" t="n">
        <v>41910</v>
      </c>
      <c r="D48" s="29" t="s">
        <v>41</v>
      </c>
      <c r="E48" s="33" t="n">
        <f aca="false">IF(D48="totale",(C48/(A48*24))/F48,IF(D48="marché libre",(C48/(A48*24))/G48,"spécifier histo"))</f>
        <v>0.0819835680751174</v>
      </c>
      <c r="F48" s="59" t="n">
        <v>710</v>
      </c>
      <c r="G48" s="59" t="n">
        <f aca="false">F48-H48</f>
        <v>710</v>
      </c>
      <c r="H48" s="58" t="n">
        <f aca="false">0</f>
        <v>0</v>
      </c>
      <c r="J48" s="70"/>
      <c r="L48" s="0"/>
      <c r="M48" s="0"/>
      <c r="N48" s="0"/>
      <c r="O48" s="0"/>
      <c r="P48" s="0"/>
      <c r="Q48" s="0"/>
      <c r="R48" s="0"/>
      <c r="S48" s="0"/>
      <c r="T48" s="0"/>
      <c r="U48" s="0"/>
    </row>
    <row r="49" customFormat="false" ht="19.85" hidden="false" customHeight="true" outlineLevel="0" collapsed="false">
      <c r="A49" s="0" t="n">
        <v>31</v>
      </c>
      <c r="B49" s="34" t="n">
        <v>38687</v>
      </c>
      <c r="C49" s="56" t="n">
        <v>43150</v>
      </c>
      <c r="D49" s="29" t="s">
        <v>41</v>
      </c>
      <c r="E49" s="33" t="n">
        <f aca="false">IF(D49="totale",(C49/(A49*24))/F49,IF(D49="marché libre",(C49/(A49*24))/G49,"spécifier histo"))</f>
        <v>0.0816863546872634</v>
      </c>
      <c r="F49" s="59" t="n">
        <v>710</v>
      </c>
      <c r="G49" s="59" t="n">
        <f aca="false">F49-H49</f>
        <v>710</v>
      </c>
      <c r="H49" s="58" t="n">
        <f aca="false">0</f>
        <v>0</v>
      </c>
      <c r="J49" s="70"/>
      <c r="L49" s="0"/>
      <c r="M49" s="0"/>
      <c r="N49" s="0"/>
      <c r="O49" s="0"/>
      <c r="P49" s="0"/>
      <c r="Q49" s="0"/>
      <c r="R49" s="0"/>
      <c r="S49" s="0"/>
      <c r="T49" s="0"/>
      <c r="U49" s="0"/>
    </row>
    <row r="50" customFormat="false" ht="19.85" hidden="false" customHeight="true" outlineLevel="0" collapsed="false">
      <c r="A50" s="0" t="n">
        <v>31</v>
      </c>
      <c r="B50" s="31" t="n">
        <v>38718</v>
      </c>
      <c r="C50" s="56" t="n">
        <v>273761</v>
      </c>
      <c r="D50" s="29" t="s">
        <v>41</v>
      </c>
      <c r="E50" s="33" t="n">
        <f aca="false">IF(D50="totale",(C50/(A50*24))/F50,IF(D50="marché libre",(C50/(A50*24))/G50,"spécifier histo"))</f>
        <v>0.51825117370892</v>
      </c>
      <c r="F50" s="59" t="n">
        <v>710</v>
      </c>
      <c r="G50" s="59" t="n">
        <f aca="false">F50-H50</f>
        <v>710</v>
      </c>
      <c r="H50" s="58" t="n">
        <f aca="false">0</f>
        <v>0</v>
      </c>
      <c r="J50" s="55"/>
      <c r="L50" s="0"/>
      <c r="M50" s="0"/>
      <c r="N50" s="0"/>
      <c r="O50" s="0"/>
      <c r="P50" s="0"/>
      <c r="Q50" s="0"/>
      <c r="R50" s="0"/>
      <c r="S50" s="0"/>
      <c r="T50" s="0"/>
      <c r="U50" s="0"/>
    </row>
    <row r="51" customFormat="false" ht="19.85" hidden="false" customHeight="true" outlineLevel="0" collapsed="false">
      <c r="A51" s="0" t="n">
        <v>28</v>
      </c>
      <c r="B51" s="34" t="n">
        <v>38749</v>
      </c>
      <c r="C51" s="56" t="n">
        <v>236913</v>
      </c>
      <c r="D51" s="29" t="s">
        <v>41</v>
      </c>
      <c r="E51" s="33" t="n">
        <f aca="false">IF(D51="totale",(C51/(A51*24))/F51,IF(D51="marché libre",(C51/(A51*24))/G51,"spécifier histo"))</f>
        <v>0.496548038229376</v>
      </c>
      <c r="F51" s="59" t="n">
        <v>710</v>
      </c>
      <c r="G51" s="59" t="n">
        <f aca="false">F51-H51</f>
        <v>710</v>
      </c>
      <c r="H51" s="58" t="n">
        <f aca="false">0</f>
        <v>0</v>
      </c>
      <c r="J51" s="55"/>
      <c r="K51" s="299" t="s">
        <v>417</v>
      </c>
      <c r="L51" s="0"/>
      <c r="M51" s="0"/>
      <c r="N51" s="0"/>
      <c r="O51" s="0"/>
      <c r="P51" s="0"/>
      <c r="Q51" s="0"/>
      <c r="R51" s="0"/>
      <c r="S51" s="0"/>
      <c r="T51" s="0"/>
      <c r="U51" s="0"/>
    </row>
    <row r="52" customFormat="false" ht="19.85" hidden="false" customHeight="true" outlineLevel="0" collapsed="false">
      <c r="A52" s="0" t="n">
        <v>31</v>
      </c>
      <c r="B52" s="31" t="n">
        <v>38777</v>
      </c>
      <c r="C52" s="56" t="n">
        <v>398270</v>
      </c>
      <c r="D52" s="29" t="s">
        <v>41</v>
      </c>
      <c r="E52" s="33" t="n">
        <f aca="false">IF(D52="totale",(C52/(A52*24))/F52,IF(D52="marché libre",(C52/(A52*24))/G52,"spécifier histo"))</f>
        <v>0.753956534908375</v>
      </c>
      <c r="F52" s="59" t="n">
        <v>710</v>
      </c>
      <c r="G52" s="59" t="n">
        <f aca="false">F52-H52</f>
        <v>710</v>
      </c>
      <c r="H52" s="58" t="n">
        <f aca="false">0</f>
        <v>0</v>
      </c>
      <c r="J52" s="55"/>
      <c r="K52" s="299" t="s">
        <v>1016</v>
      </c>
      <c r="L52" s="0"/>
      <c r="M52" s="0"/>
      <c r="N52" s="0"/>
      <c r="O52" s="0"/>
      <c r="P52" s="0"/>
      <c r="Q52" s="0"/>
      <c r="R52" s="0"/>
      <c r="S52" s="0"/>
      <c r="T52" s="0"/>
      <c r="U52" s="0"/>
    </row>
    <row r="53" customFormat="false" ht="19.85" hidden="false" customHeight="true" outlineLevel="0" collapsed="false">
      <c r="A53" s="0" t="n">
        <v>30</v>
      </c>
      <c r="B53" s="34" t="n">
        <v>38808</v>
      </c>
      <c r="C53" s="56" t="n">
        <v>447201</v>
      </c>
      <c r="D53" s="29" t="s">
        <v>41</v>
      </c>
      <c r="E53" s="33" t="n">
        <f aca="false">IF(D53="totale",(C53/(A53*24))/F53,IF(D53="marché libre",(C53/(A53*24))/G53,"spécifier histo"))</f>
        <v>0.874806338028169</v>
      </c>
      <c r="F53" s="59" t="n">
        <v>710</v>
      </c>
      <c r="G53" s="59" t="n">
        <f aca="false">F53-H53</f>
        <v>710</v>
      </c>
      <c r="H53" s="58" t="n">
        <f aca="false">0</f>
        <v>0</v>
      </c>
      <c r="J53" s="55"/>
      <c r="K53" s="299" t="s">
        <v>1017</v>
      </c>
      <c r="L53" s="0"/>
      <c r="M53" s="0"/>
      <c r="N53" s="0"/>
      <c r="O53" s="0"/>
      <c r="P53" s="0"/>
      <c r="Q53" s="0"/>
      <c r="R53" s="0"/>
      <c r="S53" s="0"/>
      <c r="T53" s="0"/>
      <c r="U53" s="0"/>
    </row>
    <row r="54" customFormat="false" ht="19.85" hidden="false" customHeight="true" outlineLevel="0" collapsed="false">
      <c r="A54" s="0" t="n">
        <v>31</v>
      </c>
      <c r="B54" s="31" t="n">
        <v>38838</v>
      </c>
      <c r="C54" s="56" t="n">
        <v>224839</v>
      </c>
      <c r="D54" s="29" t="s">
        <v>41</v>
      </c>
      <c r="E54" s="33" t="n">
        <f aca="false">IF(D54="totale",(C54/(A54*24))/F54,IF(D54="marché libre",(C54/(A54*24))/G54,"spécifier histo"))</f>
        <v>0.425637967590489</v>
      </c>
      <c r="F54" s="59" t="n">
        <v>710</v>
      </c>
      <c r="G54" s="59" t="n">
        <f aca="false">F54-H54</f>
        <v>710</v>
      </c>
      <c r="H54" s="58" t="n">
        <f aca="false">0</f>
        <v>0</v>
      </c>
      <c r="J54" s="55"/>
      <c r="K54" s="299" t="s">
        <v>1018</v>
      </c>
      <c r="L54" s="0"/>
      <c r="M54" s="0"/>
      <c r="N54" s="0"/>
      <c r="O54" s="0"/>
      <c r="P54" s="0"/>
      <c r="Q54" s="0"/>
      <c r="R54" s="0"/>
      <c r="S54" s="0"/>
      <c r="T54" s="0"/>
      <c r="U54" s="0"/>
    </row>
    <row r="55" customFormat="false" ht="19.85" hidden="false" customHeight="true" outlineLevel="0" collapsed="false">
      <c r="A55" s="0" t="n">
        <v>30</v>
      </c>
      <c r="B55" s="34" t="n">
        <v>38869</v>
      </c>
      <c r="C55" s="56" t="n">
        <v>0</v>
      </c>
      <c r="D55" s="29" t="s">
        <v>41</v>
      </c>
      <c r="E55" s="33" t="n">
        <f aca="false">IF(D55="totale",(C55/(A55*24))/F55,IF(D55="marché libre",(C55/(A55*24))/G55,"spécifier histo"))</f>
        <v>0</v>
      </c>
      <c r="F55" s="59" t="n">
        <v>710</v>
      </c>
      <c r="G55" s="59" t="n">
        <f aca="false">F55-H55</f>
        <v>710</v>
      </c>
      <c r="H55" s="58" t="n">
        <f aca="false">0</f>
        <v>0</v>
      </c>
      <c r="J55" s="55"/>
      <c r="L55" s="0"/>
      <c r="M55" s="0"/>
      <c r="N55" s="0"/>
      <c r="O55" s="0"/>
      <c r="P55" s="0"/>
      <c r="Q55" s="0"/>
      <c r="R55" s="0"/>
      <c r="S55" s="0"/>
      <c r="T55" s="0"/>
      <c r="U55" s="0"/>
    </row>
    <row r="56" customFormat="false" ht="19.85" hidden="false" customHeight="true" outlineLevel="0" collapsed="false">
      <c r="A56" s="0" t="n">
        <v>31</v>
      </c>
      <c r="B56" s="31" t="n">
        <v>38899</v>
      </c>
      <c r="C56" s="56" t="n">
        <v>0</v>
      </c>
      <c r="D56" s="29" t="s">
        <v>41</v>
      </c>
      <c r="E56" s="33" t="n">
        <f aca="false">IF(D56="totale",(C56/(A56*24))/F56,IF(D56="marché libre",(C56/(A56*24))/G56,"spécifier histo"))</f>
        <v>0</v>
      </c>
      <c r="F56" s="59" t="n">
        <v>710</v>
      </c>
      <c r="G56" s="59" t="n">
        <f aca="false">F56-H56</f>
        <v>710</v>
      </c>
      <c r="H56" s="58" t="n">
        <f aca="false">0</f>
        <v>0</v>
      </c>
      <c r="J56" s="55"/>
      <c r="L56" s="0"/>
      <c r="M56" s="0"/>
      <c r="N56" s="0"/>
      <c r="O56" s="0"/>
      <c r="P56" s="0"/>
      <c r="Q56" s="0"/>
      <c r="R56" s="0"/>
      <c r="S56" s="0"/>
      <c r="T56" s="0"/>
      <c r="U56" s="0"/>
    </row>
    <row r="57" customFormat="false" ht="19.85" hidden="false" customHeight="true" outlineLevel="0" collapsed="false">
      <c r="A57" s="0" t="n">
        <v>31</v>
      </c>
      <c r="B57" s="34" t="n">
        <v>38930</v>
      </c>
      <c r="C57" s="56" t="n">
        <v>0</v>
      </c>
      <c r="D57" s="29" t="s">
        <v>41</v>
      </c>
      <c r="E57" s="33" t="n">
        <f aca="false">IF(D57="totale",(C57/(A57*24))/F57,IF(D57="marché libre",(C57/(A57*24))/G57,"spécifier histo"))</f>
        <v>0</v>
      </c>
      <c r="F57" s="59" t="n">
        <v>710</v>
      </c>
      <c r="G57" s="59" t="n">
        <f aca="false">F57-H57</f>
        <v>710</v>
      </c>
      <c r="H57" s="58" t="n">
        <f aca="false">0</f>
        <v>0</v>
      </c>
      <c r="J57" s="55"/>
      <c r="L57" s="0"/>
      <c r="M57" s="0"/>
      <c r="N57" s="0"/>
      <c r="O57" s="0"/>
      <c r="P57" s="0"/>
      <c r="Q57" s="0"/>
      <c r="R57" s="0"/>
      <c r="S57" s="0"/>
      <c r="T57" s="0"/>
      <c r="U57" s="0"/>
    </row>
    <row r="58" customFormat="false" ht="19.85" hidden="false" customHeight="true" outlineLevel="0" collapsed="false">
      <c r="A58" s="0" t="n">
        <v>30</v>
      </c>
      <c r="B58" s="31" t="n">
        <v>38961</v>
      </c>
      <c r="C58" s="56" t="n">
        <v>0</v>
      </c>
      <c r="D58" s="29" t="s">
        <v>41</v>
      </c>
      <c r="E58" s="33" t="n">
        <f aca="false">IF(D58="totale",(C58/(A58*24))/F58,IF(D58="marché libre",(C58/(A58*24))/G58,"spécifier histo"))</f>
        <v>0</v>
      </c>
      <c r="F58" s="59" t="n">
        <v>710</v>
      </c>
      <c r="G58" s="59" t="n">
        <f aca="false">F58-H58</f>
        <v>710</v>
      </c>
      <c r="H58" s="58" t="n">
        <f aca="false">0</f>
        <v>0</v>
      </c>
      <c r="J58" s="55"/>
      <c r="L58" s="0"/>
      <c r="M58" s="0"/>
      <c r="N58" s="0"/>
      <c r="O58" s="0"/>
      <c r="P58" s="0"/>
      <c r="Q58" s="0"/>
      <c r="R58" s="0"/>
      <c r="S58" s="0"/>
      <c r="T58" s="0"/>
      <c r="U58" s="0"/>
    </row>
    <row r="59" customFormat="false" ht="19.85" hidden="false" customHeight="true" outlineLevel="0" collapsed="false">
      <c r="A59" s="0" t="n">
        <v>31</v>
      </c>
      <c r="B59" s="34" t="n">
        <v>38991</v>
      </c>
      <c r="C59" s="56" t="n">
        <v>301263</v>
      </c>
      <c r="D59" s="29" t="s">
        <v>41</v>
      </c>
      <c r="E59" s="33" t="n">
        <f aca="false">IF(D59="totale",(C59/(A59*24))/F59,IF(D59="marché libre",(C59/(A59*24))/G59,"spécifier histo"))</f>
        <v>0.570314629713766</v>
      </c>
      <c r="F59" s="59" t="n">
        <v>710</v>
      </c>
      <c r="G59" s="59" t="n">
        <f aca="false">F59-H59</f>
        <v>710</v>
      </c>
      <c r="H59" s="58" t="n">
        <f aca="false">0</f>
        <v>0</v>
      </c>
      <c r="J59" s="55"/>
      <c r="L59" s="0"/>
      <c r="M59" s="0"/>
      <c r="N59" s="0"/>
      <c r="O59" s="0"/>
      <c r="P59" s="0"/>
      <c r="Q59" s="0"/>
      <c r="R59" s="0"/>
      <c r="S59" s="0"/>
      <c r="T59" s="0"/>
      <c r="U59" s="0"/>
    </row>
    <row r="60" customFormat="false" ht="19.85" hidden="false" customHeight="true" outlineLevel="0" collapsed="false">
      <c r="A60" s="0" t="n">
        <v>30</v>
      </c>
      <c r="B60" s="31" t="n">
        <v>39022</v>
      </c>
      <c r="C60" s="56" t="n">
        <v>172711</v>
      </c>
      <c r="D60" s="29" t="s">
        <v>41</v>
      </c>
      <c r="E60" s="33" t="n">
        <f aca="false">IF(D60="totale",(C60/(A60*24))/F60,IF(D60="marché libre",(C60/(A60*24))/G60,"spécifier histo"))</f>
        <v>0.33785406885759</v>
      </c>
      <c r="F60" s="59" t="n">
        <v>710</v>
      </c>
      <c r="G60" s="59" t="n">
        <f aca="false">F60-H60</f>
        <v>710</v>
      </c>
      <c r="H60" s="58" t="n">
        <f aca="false">0</f>
        <v>0</v>
      </c>
      <c r="J60" s="55"/>
      <c r="L60" s="0"/>
      <c r="P60" s="0"/>
      <c r="T60" s="0"/>
    </row>
    <row r="61" customFormat="false" ht="19.85" hidden="false" customHeight="true" outlineLevel="0" collapsed="false">
      <c r="A61" s="0" t="n">
        <v>31</v>
      </c>
      <c r="B61" s="34" t="n">
        <v>39052</v>
      </c>
      <c r="C61" s="56" t="n">
        <v>250637</v>
      </c>
      <c r="D61" s="29" t="s">
        <v>41</v>
      </c>
      <c r="E61" s="33" t="n">
        <f aca="false">IF(D61="totale",(C61/(A61*24))/F61,IF(D61="marché libre",(C61/(A61*24))/G61,"spécifier histo"))</f>
        <v>0.474475617143723</v>
      </c>
      <c r="F61" s="59" t="n">
        <v>710</v>
      </c>
      <c r="G61" s="59" t="n">
        <f aca="false">F61-H61</f>
        <v>710</v>
      </c>
      <c r="H61" s="58" t="n">
        <f aca="false">0</f>
        <v>0</v>
      </c>
      <c r="J61" s="55"/>
      <c r="L61" s="0"/>
      <c r="P61" s="0"/>
      <c r="T61" s="0"/>
    </row>
    <row r="62" customFormat="false" ht="19.85" hidden="false" customHeight="true" outlineLevel="0" collapsed="false">
      <c r="A62" s="0" t="n">
        <v>31</v>
      </c>
      <c r="B62" s="31" t="n">
        <v>39083</v>
      </c>
      <c r="C62" s="56" t="n">
        <v>363940</v>
      </c>
      <c r="D62" s="29" t="s">
        <v>41</v>
      </c>
      <c r="E62" s="33" t="n">
        <f aca="false">IF(D62="totale",(C62/(A62*24))/F62,IF(D62="marché libre",(C62/(A62*24))/G62,"spécifier histo"))</f>
        <v>0.688967136150235</v>
      </c>
      <c r="F62" s="59" t="n">
        <v>710</v>
      </c>
      <c r="G62" s="59" t="n">
        <f aca="false">F62-H62</f>
        <v>710</v>
      </c>
      <c r="H62" s="58" t="n">
        <f aca="false">0</f>
        <v>0</v>
      </c>
      <c r="J62" s="55"/>
      <c r="L62" s="0"/>
      <c r="P62" s="0"/>
      <c r="T62" s="0"/>
    </row>
    <row r="63" customFormat="false" ht="19.85" hidden="false" customHeight="true" outlineLevel="0" collapsed="false">
      <c r="A63" s="0" t="n">
        <v>28</v>
      </c>
      <c r="B63" s="34" t="n">
        <v>39114</v>
      </c>
      <c r="C63" s="56" t="n">
        <v>387784</v>
      </c>
      <c r="D63" s="29" t="s">
        <v>41</v>
      </c>
      <c r="E63" s="33" t="n">
        <f aca="false">IF(D63="totale",(C63/(A63*24))/F63,IF(D63="marché libre",(C63/(A63*24))/G63,"spécifier histo"))</f>
        <v>0.81275989268947</v>
      </c>
      <c r="F63" s="59" t="n">
        <v>710</v>
      </c>
      <c r="G63" s="59" t="n">
        <f aca="false">F63-H63</f>
        <v>710</v>
      </c>
      <c r="H63" s="58" t="n">
        <f aca="false">0</f>
        <v>0</v>
      </c>
      <c r="J63" s="55"/>
      <c r="L63" s="0"/>
      <c r="P63" s="0"/>
      <c r="T63" s="0"/>
    </row>
    <row r="64" customFormat="false" ht="19.85" hidden="false" customHeight="true" outlineLevel="0" collapsed="false">
      <c r="A64" s="0" t="n">
        <v>31</v>
      </c>
      <c r="B64" s="31" t="n">
        <v>39142</v>
      </c>
      <c r="C64" s="56" t="n">
        <v>431404</v>
      </c>
      <c r="D64" s="29" t="s">
        <v>41</v>
      </c>
      <c r="E64" s="33" t="n">
        <f aca="false">IF(D64="totale",(C64/(A64*24))/F64,IF(D64="marché libre",(C64/(A64*24))/G64,"spécifier histo"))</f>
        <v>0.816681811297895</v>
      </c>
      <c r="F64" s="59" t="n">
        <v>710</v>
      </c>
      <c r="G64" s="59" t="n">
        <f aca="false">F64-H64</f>
        <v>710</v>
      </c>
      <c r="H64" s="58" t="n">
        <f aca="false">0</f>
        <v>0</v>
      </c>
      <c r="J64" s="55"/>
      <c r="L64" s="0"/>
      <c r="P64" s="0"/>
      <c r="T64" s="0"/>
    </row>
    <row r="65" customFormat="false" ht="19.85" hidden="false" customHeight="true" outlineLevel="0" collapsed="false">
      <c r="A65" s="0" t="n">
        <v>30</v>
      </c>
      <c r="B65" s="34" t="n">
        <v>39173</v>
      </c>
      <c r="C65" s="56" t="n">
        <v>245498</v>
      </c>
      <c r="D65" s="29" t="s">
        <v>41</v>
      </c>
      <c r="E65" s="33" t="n">
        <f aca="false">IF(D65="totale",(C65/(A65*24))/F65,IF(D65="marché libre",(C65/(A65*24))/G65,"spécifier histo"))</f>
        <v>0.480238654147105</v>
      </c>
      <c r="F65" s="59" t="n">
        <v>710</v>
      </c>
      <c r="G65" s="59" t="n">
        <f aca="false">F65-H65</f>
        <v>710</v>
      </c>
      <c r="H65" s="58" t="n">
        <f aca="false">0</f>
        <v>0</v>
      </c>
      <c r="J65" s="55"/>
      <c r="L65" s="0"/>
      <c r="P65" s="0"/>
      <c r="T65" s="0"/>
    </row>
    <row r="66" customFormat="false" ht="19.85" hidden="false" customHeight="true" outlineLevel="0" collapsed="false">
      <c r="A66" s="0" t="n">
        <v>31</v>
      </c>
      <c r="B66" s="31" t="n">
        <v>39203</v>
      </c>
      <c r="C66" s="56" t="n">
        <v>158856</v>
      </c>
      <c r="D66" s="29" t="s">
        <v>41</v>
      </c>
      <c r="E66" s="33" t="n">
        <f aca="false">IF(D66="totale",(C66/(A66*24))/F66,IF(D66="marché libre",(C66/(A66*24))/G66,"spécifier histo"))</f>
        <v>0.300726942298955</v>
      </c>
      <c r="F66" s="59" t="n">
        <v>710</v>
      </c>
      <c r="G66" s="59" t="n">
        <f aca="false">F66-H66</f>
        <v>710</v>
      </c>
      <c r="H66" s="58" t="n">
        <f aca="false">0</f>
        <v>0</v>
      </c>
      <c r="J66" s="55"/>
      <c r="L66" s="0"/>
      <c r="P66" s="0"/>
      <c r="T66" s="0"/>
    </row>
    <row r="67" customFormat="false" ht="19.85" hidden="false" customHeight="true" outlineLevel="0" collapsed="false">
      <c r="A67" s="0" t="n">
        <v>30</v>
      </c>
      <c r="B67" s="34" t="n">
        <v>39234</v>
      </c>
      <c r="C67" s="56" t="n">
        <v>177241</v>
      </c>
      <c r="D67" s="29" t="s">
        <v>41</v>
      </c>
      <c r="E67" s="33" t="n">
        <f aca="false">IF(D67="totale",(C67/(A67*24))/F67,IF(D67="marché libre",(C67/(A67*24))/G67,"spécifier histo"))</f>
        <v>0.346715571205008</v>
      </c>
      <c r="F67" s="59" t="n">
        <v>710</v>
      </c>
      <c r="G67" s="59" t="n">
        <f aca="false">F67-H67</f>
        <v>710</v>
      </c>
      <c r="H67" s="58" t="n">
        <f aca="false">0</f>
        <v>0</v>
      </c>
      <c r="J67" s="55"/>
      <c r="L67" s="0"/>
      <c r="P67" s="0"/>
      <c r="T67" s="0"/>
    </row>
    <row r="68" customFormat="false" ht="19.85" hidden="false" customHeight="true" outlineLevel="0" collapsed="false">
      <c r="A68" s="0" t="n">
        <v>31</v>
      </c>
      <c r="B68" s="31" t="n">
        <v>39264</v>
      </c>
      <c r="C68" s="56" t="n">
        <v>147164</v>
      </c>
      <c r="D68" s="29" t="s">
        <v>41</v>
      </c>
      <c r="E68" s="33" t="n">
        <f aca="false">IF(D68="totale",(C68/(A68*24))/F68,IF(D68="marché libre",(C68/(A68*24))/G68,"spécifier histo"))</f>
        <v>0.278593063758897</v>
      </c>
      <c r="F68" s="59" t="n">
        <v>710</v>
      </c>
      <c r="G68" s="59" t="n">
        <f aca="false">F68-H68</f>
        <v>710</v>
      </c>
      <c r="H68" s="58" t="n">
        <f aca="false">0</f>
        <v>0</v>
      </c>
      <c r="J68" s="55"/>
      <c r="L68" s="0"/>
      <c r="P68" s="0"/>
      <c r="T68" s="0"/>
    </row>
    <row r="69" customFormat="false" ht="19.85" hidden="false" customHeight="true" outlineLevel="0" collapsed="false">
      <c r="A69" s="0" t="n">
        <v>31</v>
      </c>
      <c r="B69" s="34" t="n">
        <v>39295</v>
      </c>
      <c r="C69" s="56" t="n">
        <v>62012</v>
      </c>
      <c r="D69" s="29" t="s">
        <v>41</v>
      </c>
      <c r="E69" s="33" t="n">
        <f aca="false">IF(D69="totale",(C69/(A69*24))/F69,IF(D69="marché libre",(C69/(A69*24))/G69,"spécifier histo"))</f>
        <v>0.117393608965622</v>
      </c>
      <c r="F69" s="59" t="n">
        <v>710</v>
      </c>
      <c r="G69" s="59" t="n">
        <f aca="false">F69-H69</f>
        <v>710</v>
      </c>
      <c r="H69" s="58" t="n">
        <f aca="false">0</f>
        <v>0</v>
      </c>
      <c r="J69" s="55"/>
      <c r="L69" s="0"/>
      <c r="P69" s="0"/>
      <c r="T69" s="0"/>
    </row>
    <row r="70" customFormat="false" ht="19.85" hidden="false" customHeight="true" outlineLevel="0" collapsed="false">
      <c r="A70" s="0" t="n">
        <v>30</v>
      </c>
      <c r="B70" s="31" t="n">
        <v>39326</v>
      </c>
      <c r="C70" s="56" t="n">
        <v>63732</v>
      </c>
      <c r="D70" s="29" t="s">
        <v>41</v>
      </c>
      <c r="E70" s="33" t="n">
        <f aca="false">IF(D70="totale",(C70/(A70*24))/F70,IF(D70="marché libre",(C70/(A70*24))/G70,"spécifier histo"))</f>
        <v>0.124671361502347</v>
      </c>
      <c r="F70" s="59" t="n">
        <v>710</v>
      </c>
      <c r="G70" s="59" t="n">
        <f aca="false">F70-H70</f>
        <v>710</v>
      </c>
      <c r="H70" s="58" t="n">
        <f aca="false">0</f>
        <v>0</v>
      </c>
      <c r="J70" s="55"/>
      <c r="L70" s="0"/>
      <c r="P70" s="0"/>
      <c r="T70" s="0"/>
    </row>
    <row r="71" customFormat="false" ht="19.85" hidden="false" customHeight="true" outlineLevel="0" collapsed="false">
      <c r="A71" s="0" t="n">
        <v>31</v>
      </c>
      <c r="B71" s="34" t="n">
        <v>39356</v>
      </c>
      <c r="C71" s="56" t="n">
        <v>104564</v>
      </c>
      <c r="D71" s="29" t="s">
        <v>41</v>
      </c>
      <c r="E71" s="33" t="n">
        <f aca="false">IF(D71="totale",(C71/(A71*24))/F71,IF(D71="marché libre",(C71/(A71*24))/G71,"spécifier histo"))</f>
        <v>0.197947902468575</v>
      </c>
      <c r="F71" s="59" t="n">
        <v>710</v>
      </c>
      <c r="G71" s="59" t="n">
        <f aca="false">F71-H71</f>
        <v>710</v>
      </c>
      <c r="H71" s="58" t="n">
        <f aca="false">0</f>
        <v>0</v>
      </c>
      <c r="J71" s="55"/>
      <c r="L71" s="0"/>
      <c r="P71" s="0"/>
      <c r="T71" s="0"/>
    </row>
    <row r="72" customFormat="false" ht="19.85" hidden="false" customHeight="true" outlineLevel="0" collapsed="false">
      <c r="A72" s="0" t="n">
        <v>30</v>
      </c>
      <c r="B72" s="31" t="n">
        <v>39387</v>
      </c>
      <c r="C72" s="56" t="n">
        <v>111933</v>
      </c>
      <c r="D72" s="29" t="s">
        <v>41</v>
      </c>
      <c r="E72" s="33" t="n">
        <f aca="false">IF(D72="totale",(C72/(A72*24))/F72,IF(D72="marché libre",(C72/(A72*24))/G72,"spécifier histo"))</f>
        <v>0.218961267605634</v>
      </c>
      <c r="F72" s="59" t="n">
        <v>710</v>
      </c>
      <c r="G72" s="59" t="n">
        <f aca="false">F72-H72</f>
        <v>710</v>
      </c>
      <c r="H72" s="58" t="n">
        <f aca="false">0</f>
        <v>0</v>
      </c>
      <c r="J72" s="55"/>
      <c r="L72" s="0"/>
      <c r="P72" s="0"/>
    </row>
    <row r="73" customFormat="false" ht="19.85" hidden="false" customHeight="true" outlineLevel="0" collapsed="false">
      <c r="A73" s="0" t="n">
        <v>31</v>
      </c>
      <c r="B73" s="34" t="n">
        <v>39417</v>
      </c>
      <c r="C73" s="56" t="n">
        <v>353719</v>
      </c>
      <c r="D73" s="29" t="s">
        <v>41</v>
      </c>
      <c r="E73" s="33" t="n">
        <f aca="false">IF(D73="totale",(C73/(A73*24))/F73,IF(D73="marché libre",(C73/(A73*24))/G73,"spécifier histo"))</f>
        <v>0.669617976677268</v>
      </c>
      <c r="F73" s="59" t="n">
        <v>710</v>
      </c>
      <c r="G73" s="59" t="n">
        <f aca="false">F73-H73</f>
        <v>710</v>
      </c>
      <c r="H73" s="58" t="n">
        <f aca="false">0</f>
        <v>0</v>
      </c>
      <c r="J73" s="55"/>
      <c r="L73" s="0"/>
      <c r="P73" s="0"/>
    </row>
    <row r="74" customFormat="false" ht="19.85" hidden="false" customHeight="true" outlineLevel="0" collapsed="false">
      <c r="A74" s="0" t="n">
        <v>31</v>
      </c>
      <c r="B74" s="31" t="n">
        <v>39448</v>
      </c>
      <c r="C74" s="56" t="n">
        <v>381497</v>
      </c>
      <c r="D74" s="29" t="s">
        <v>41</v>
      </c>
      <c r="E74" s="33" t="n">
        <f aca="false">IF(D74="totale",(C74/(A74*24))/F74,IF(D74="marché libre",(C74/(A74*24))/G74,"spécifier histo"))</f>
        <v>0.722203922459488</v>
      </c>
      <c r="F74" s="59" t="n">
        <v>710</v>
      </c>
      <c r="G74" s="59" t="n">
        <f aca="false">F74-H74</f>
        <v>710</v>
      </c>
      <c r="H74" s="58" t="n">
        <f aca="false">0</f>
        <v>0</v>
      </c>
      <c r="J74" s="55"/>
      <c r="L74" s="0"/>
      <c r="P74" s="0"/>
    </row>
    <row r="75" customFormat="false" ht="19.85" hidden="false" customHeight="true" outlineLevel="0" collapsed="false">
      <c r="A75" s="0" t="n">
        <v>28</v>
      </c>
      <c r="B75" s="34" t="n">
        <v>39479</v>
      </c>
      <c r="C75" s="56" t="n">
        <v>240343</v>
      </c>
      <c r="D75" s="29" t="s">
        <v>41</v>
      </c>
      <c r="E75" s="33" t="n">
        <f aca="false">IF(D75="totale",(C75/(A75*24))/F75,IF(D75="marché libre",(C75/(A75*24))/G75,"spécifier histo"))</f>
        <v>0.503737005365526</v>
      </c>
      <c r="F75" s="59" t="n">
        <v>710</v>
      </c>
      <c r="G75" s="59" t="n">
        <f aca="false">F75-H75</f>
        <v>710</v>
      </c>
      <c r="H75" s="58" t="n">
        <f aca="false">0</f>
        <v>0</v>
      </c>
      <c r="J75" s="55"/>
      <c r="L75" s="0"/>
      <c r="P75" s="0"/>
    </row>
    <row r="76" customFormat="false" ht="19.85" hidden="false" customHeight="true" outlineLevel="0" collapsed="false">
      <c r="A76" s="0" t="n">
        <v>31</v>
      </c>
      <c r="B76" s="31" t="n">
        <v>39508</v>
      </c>
      <c r="C76" s="56" t="n">
        <v>347330</v>
      </c>
      <c r="D76" s="29" t="s">
        <v>41</v>
      </c>
      <c r="E76" s="33" t="n">
        <f aca="false">IF(D76="totale",(C76/(A76*24))/F76,IF(D76="marché libre",(C76/(A76*24))/G76,"spécifier histo"))</f>
        <v>0.657523095562623</v>
      </c>
      <c r="F76" s="59" t="n">
        <v>710</v>
      </c>
      <c r="G76" s="59" t="n">
        <f aca="false">F76-H76</f>
        <v>710</v>
      </c>
      <c r="H76" s="58" t="n">
        <f aca="false">0</f>
        <v>0</v>
      </c>
      <c r="J76" s="55"/>
      <c r="L76" s="0"/>
      <c r="P76" s="0"/>
    </row>
    <row r="77" customFormat="false" ht="19.85" hidden="false" customHeight="true" outlineLevel="0" collapsed="false">
      <c r="A77" s="0" t="n">
        <v>30</v>
      </c>
      <c r="B77" s="34" t="n">
        <v>39539</v>
      </c>
      <c r="C77" s="56" t="n">
        <v>476121</v>
      </c>
      <c r="D77" s="29" t="s">
        <v>41</v>
      </c>
      <c r="E77" s="33" t="n">
        <f aca="false">IF(D77="totale",(C77/(A77*24))/F77,IF(D77="marché libre",(C77/(A77*24))/G77,"spécifier histo"))</f>
        <v>0.931379107981221</v>
      </c>
      <c r="F77" s="59" t="n">
        <v>710</v>
      </c>
      <c r="G77" s="59" t="n">
        <f aca="false">F77-H77</f>
        <v>710</v>
      </c>
      <c r="H77" s="58" t="n">
        <f aca="false">0</f>
        <v>0</v>
      </c>
      <c r="J77" s="55"/>
      <c r="L77" s="0"/>
      <c r="P77" s="0"/>
    </row>
    <row r="78" customFormat="false" ht="19.85" hidden="false" customHeight="true" outlineLevel="0" collapsed="false">
      <c r="A78" s="0" t="n">
        <v>31</v>
      </c>
      <c r="B78" s="31" t="n">
        <v>39569</v>
      </c>
      <c r="C78" s="56" t="n">
        <v>370605</v>
      </c>
      <c r="D78" s="29" t="s">
        <v>41</v>
      </c>
      <c r="E78" s="33" t="n">
        <f aca="false">IF(D78="totale",(C78/(A78*24))/F78,IF(D78="marché libre",(C78/(A78*24))/G78,"spécifier histo"))</f>
        <v>0.701584507042254</v>
      </c>
      <c r="F78" s="59" t="n">
        <v>710</v>
      </c>
      <c r="G78" s="59" t="n">
        <f aca="false">F78-H78</f>
        <v>710</v>
      </c>
      <c r="H78" s="58" t="n">
        <f aca="false">0</f>
        <v>0</v>
      </c>
      <c r="J78" s="55"/>
      <c r="L78" s="0"/>
      <c r="P78" s="0"/>
    </row>
    <row r="79" customFormat="false" ht="19.85" hidden="false" customHeight="true" outlineLevel="0" collapsed="false">
      <c r="A79" s="0" t="n">
        <v>30</v>
      </c>
      <c r="B79" s="34" t="n">
        <v>39600</v>
      </c>
      <c r="C79" s="56" t="n">
        <v>354836</v>
      </c>
      <c r="D79" s="29" t="s">
        <v>41</v>
      </c>
      <c r="E79" s="33" t="n">
        <f aca="false">IF(D79="totale",(C79/(A79*24))/F79,IF(D79="marché libre",(C79/(A79*24))/G79,"spécifier histo"))</f>
        <v>0.694123630672926</v>
      </c>
      <c r="F79" s="59" t="n">
        <v>710</v>
      </c>
      <c r="G79" s="59" t="n">
        <f aca="false">F79-H79</f>
        <v>710</v>
      </c>
      <c r="H79" s="58" t="n">
        <f aca="false">0</f>
        <v>0</v>
      </c>
      <c r="J79" s="55"/>
      <c r="L79" s="0"/>
      <c r="P79" s="0"/>
    </row>
    <row r="80" customFormat="false" ht="19.85" hidden="false" customHeight="true" outlineLevel="0" collapsed="false">
      <c r="A80" s="0" t="n">
        <v>31</v>
      </c>
      <c r="B80" s="31" t="n">
        <v>39630</v>
      </c>
      <c r="C80" s="56" t="n">
        <v>81740</v>
      </c>
      <c r="D80" s="29" t="s">
        <v>41</v>
      </c>
      <c r="E80" s="33" t="n">
        <f aca="false">IF(D80="totale",(C80/(A80*24))/F80,IF(D80="marché libre",(C80/(A80*24))/G80,"spécifier histo"))</f>
        <v>0.154740269574436</v>
      </c>
      <c r="F80" s="59" t="n">
        <v>710</v>
      </c>
      <c r="G80" s="59" t="n">
        <f aca="false">F80-H80</f>
        <v>710</v>
      </c>
      <c r="H80" s="58" t="n">
        <f aca="false">0</f>
        <v>0</v>
      </c>
      <c r="J80" s="55"/>
      <c r="L80" s="0"/>
      <c r="P80" s="0"/>
    </row>
    <row r="81" customFormat="false" ht="19.85" hidden="false" customHeight="true" outlineLevel="0" collapsed="false">
      <c r="A81" s="0" t="n">
        <v>31</v>
      </c>
      <c r="B81" s="34" t="n">
        <v>39661</v>
      </c>
      <c r="C81" s="56" t="n">
        <v>0</v>
      </c>
      <c r="D81" s="29" t="s">
        <v>41</v>
      </c>
      <c r="E81" s="33" t="n">
        <f aca="false">IF(D81="totale",(C81/(A81*24))/F81,IF(D81="marché libre",(C81/(A81*24))/G81,"spécifier histo"))</f>
        <v>0</v>
      </c>
      <c r="F81" s="59" t="n">
        <v>710</v>
      </c>
      <c r="G81" s="59" t="n">
        <f aca="false">F81-H81</f>
        <v>710</v>
      </c>
      <c r="H81" s="58" t="n">
        <f aca="false">0</f>
        <v>0</v>
      </c>
      <c r="J81" s="55"/>
      <c r="L81" s="0"/>
      <c r="P81" s="0"/>
    </row>
    <row r="82" customFormat="false" ht="19.85" hidden="false" customHeight="true" outlineLevel="0" collapsed="false">
      <c r="A82" s="0" t="n">
        <v>30</v>
      </c>
      <c r="B82" s="31" t="n">
        <v>39692</v>
      </c>
      <c r="C82" s="56" t="n">
        <v>0</v>
      </c>
      <c r="D82" s="29" t="s">
        <v>41</v>
      </c>
      <c r="E82" s="33" t="n">
        <f aca="false">IF(D82="totale",(C82/(A82*24))/F82,IF(D82="marché libre",(C82/(A82*24))/G82,"spécifier histo"))</f>
        <v>0</v>
      </c>
      <c r="F82" s="59" t="n">
        <v>710</v>
      </c>
      <c r="G82" s="59" t="n">
        <f aca="false">F82-H82</f>
        <v>710</v>
      </c>
      <c r="H82" s="58" t="n">
        <f aca="false">0</f>
        <v>0</v>
      </c>
      <c r="J82" s="55"/>
      <c r="L82" s="0"/>
      <c r="P82" s="0"/>
    </row>
    <row r="83" customFormat="false" ht="19.85" hidden="false" customHeight="true" outlineLevel="0" collapsed="false">
      <c r="A83" s="0" t="n">
        <v>31</v>
      </c>
      <c r="B83" s="34" t="n">
        <v>39722</v>
      </c>
      <c r="C83" s="56" t="n">
        <v>20676</v>
      </c>
      <c r="D83" s="29" t="s">
        <v>41</v>
      </c>
      <c r="E83" s="33" t="n">
        <f aca="false">IF(D83="totale",(C83/(A83*24))/F83,IF(D83="marché libre",(C83/(A83*24))/G83,"spécifier histo"))</f>
        <v>0.0391412994093594</v>
      </c>
      <c r="F83" s="59" t="n">
        <v>710</v>
      </c>
      <c r="G83" s="59" t="n">
        <f aca="false">F83-H83</f>
        <v>710</v>
      </c>
      <c r="H83" s="58" t="n">
        <f aca="false">0</f>
        <v>0</v>
      </c>
      <c r="J83" s="55"/>
      <c r="L83" s="0"/>
      <c r="P83" s="0"/>
    </row>
    <row r="84" customFormat="false" ht="19.85" hidden="false" customHeight="true" outlineLevel="0" collapsed="false">
      <c r="A84" s="0" t="n">
        <v>30</v>
      </c>
      <c r="B84" s="31" t="n">
        <v>39753</v>
      </c>
      <c r="C84" s="56" t="n">
        <v>284335</v>
      </c>
      <c r="D84" s="29" t="s">
        <v>41</v>
      </c>
      <c r="E84" s="33" t="n">
        <f aca="false">IF(D84="totale",(C84/(A84*24))/F84,IF(D84="marché libre",(C84/(A84*24))/G84,"spécifier histo"))</f>
        <v>0.556210876369327</v>
      </c>
      <c r="F84" s="59" t="n">
        <v>710</v>
      </c>
      <c r="G84" s="59" t="n">
        <f aca="false">F84-H84</f>
        <v>710</v>
      </c>
      <c r="H84" s="58" t="n">
        <f aca="false">0</f>
        <v>0</v>
      </c>
      <c r="J84" s="55"/>
      <c r="L84" s="0"/>
      <c r="P84" s="0"/>
    </row>
    <row r="85" customFormat="false" ht="19.85" hidden="false" customHeight="true" outlineLevel="0" collapsed="false">
      <c r="A85" s="0" t="n">
        <v>31</v>
      </c>
      <c r="B85" s="34" t="n">
        <v>39783</v>
      </c>
      <c r="C85" s="56" t="n">
        <v>276113</v>
      </c>
      <c r="D85" s="29" t="s">
        <v>41</v>
      </c>
      <c r="E85" s="33" t="n">
        <f aca="false">IF(D85="totale",(C85/(A85*24))/F85,IF(D85="marché libre",(C85/(A85*24))/G85,"spécifier histo"))</f>
        <v>0.52270369529002</v>
      </c>
      <c r="F85" s="59" t="n">
        <v>710</v>
      </c>
      <c r="G85" s="59" t="n">
        <f aca="false">F85-H85</f>
        <v>710</v>
      </c>
      <c r="H85" s="58" t="n">
        <f aca="false">0</f>
        <v>0</v>
      </c>
      <c r="J85" s="55"/>
      <c r="L85" s="0"/>
      <c r="P85" s="0"/>
    </row>
    <row r="86" customFormat="false" ht="19.85" hidden="false" customHeight="true" outlineLevel="0" collapsed="false">
      <c r="A86" s="0" t="n">
        <v>31</v>
      </c>
      <c r="B86" s="31" t="n">
        <v>39814</v>
      </c>
      <c r="C86" s="56" t="n">
        <v>286746</v>
      </c>
      <c r="D86" s="29" t="s">
        <v>41</v>
      </c>
      <c r="E86" s="33" t="n">
        <f aca="false">IF(D86="totale",(C86/(A86*24))/F86,IF(D86="marché libre",(C86/(A86*24))/G86,"spécifier histo"))</f>
        <v>0.54283280327124</v>
      </c>
      <c r="F86" s="59" t="n">
        <v>710</v>
      </c>
      <c r="G86" s="59" t="n">
        <f aca="false">F86-H86</f>
        <v>710</v>
      </c>
      <c r="H86" s="58" t="n">
        <f aca="false">0</f>
        <v>0</v>
      </c>
      <c r="J86" s="55"/>
      <c r="L86" s="0"/>
      <c r="P86" s="0"/>
    </row>
    <row r="87" customFormat="false" ht="19.85" hidden="false" customHeight="true" outlineLevel="0" collapsed="false">
      <c r="A87" s="0" t="n">
        <v>28</v>
      </c>
      <c r="B87" s="34" t="n">
        <v>39845</v>
      </c>
      <c r="C87" s="56" t="n">
        <v>257669</v>
      </c>
      <c r="D87" s="29" t="s">
        <v>41</v>
      </c>
      <c r="E87" s="33" t="n">
        <f aca="false">IF(D87="totale",(C87/(A87*24))/F87,IF(D87="marché libre",(C87/(A87*24))/G87,"spécifier histo"))</f>
        <v>0.540050720992622</v>
      </c>
      <c r="F87" s="59" t="n">
        <v>710</v>
      </c>
      <c r="G87" s="59" t="n">
        <f aca="false">F87-H87</f>
        <v>710</v>
      </c>
      <c r="H87" s="58" t="n">
        <f aca="false">0</f>
        <v>0</v>
      </c>
      <c r="J87" s="55"/>
      <c r="L87" s="0"/>
      <c r="P87" s="0"/>
    </row>
    <row r="88" customFormat="false" ht="19.85" hidden="false" customHeight="true" outlineLevel="0" collapsed="false">
      <c r="A88" s="0" t="n">
        <v>31</v>
      </c>
      <c r="B88" s="31" t="n">
        <v>39873</v>
      </c>
      <c r="C88" s="56" t="n">
        <v>365837</v>
      </c>
      <c r="D88" s="29" t="s">
        <v>41</v>
      </c>
      <c r="E88" s="33" t="n">
        <f aca="false">IF(D88="totale",(C88/(A88*24))/F88,IF(D88="marché libre",(C88/(A88*24))/G88,"spécifier histo"))</f>
        <v>0.692558306830229</v>
      </c>
      <c r="F88" s="59" t="n">
        <v>710</v>
      </c>
      <c r="G88" s="59" t="n">
        <f aca="false">F88-H88</f>
        <v>710</v>
      </c>
      <c r="H88" s="58" t="n">
        <f aca="false">0</f>
        <v>0</v>
      </c>
      <c r="J88" s="55"/>
      <c r="L88" s="0"/>
      <c r="P88" s="0"/>
    </row>
    <row r="89" customFormat="false" ht="19.85" hidden="false" customHeight="true" outlineLevel="0" collapsed="false">
      <c r="A89" s="0" t="n">
        <v>30</v>
      </c>
      <c r="B89" s="34" t="n">
        <v>39904</v>
      </c>
      <c r="C89" s="56" t="n">
        <v>434614</v>
      </c>
      <c r="D89" s="29" t="s">
        <v>41</v>
      </c>
      <c r="E89" s="33" t="n">
        <f aca="false">IF(D89="totale",(C89/(A89*24))/F89,IF(D89="marché libre",(C89/(A89*24))/G89,"spécifier histo"))</f>
        <v>0.850183881064163</v>
      </c>
      <c r="F89" s="59" t="n">
        <v>710</v>
      </c>
      <c r="G89" s="59" t="n">
        <f aca="false">F89-H89</f>
        <v>710</v>
      </c>
      <c r="H89" s="58" t="n">
        <f aca="false">0</f>
        <v>0</v>
      </c>
      <c r="J89" s="55"/>
      <c r="L89" s="0"/>
      <c r="P89" s="0"/>
    </row>
    <row r="90" customFormat="false" ht="19.85" hidden="false" customHeight="true" outlineLevel="0" collapsed="false">
      <c r="A90" s="0" t="n">
        <v>31</v>
      </c>
      <c r="B90" s="31" t="n">
        <v>39934</v>
      </c>
      <c r="C90" s="56" t="n">
        <v>260187</v>
      </c>
      <c r="D90" s="29" t="s">
        <v>41</v>
      </c>
      <c r="E90" s="33" t="n">
        <f aca="false">IF(D90="totale",(C90/(A90*24))/F90,IF(D90="marché libre",(C90/(A90*24))/G90,"spécifier histo"))</f>
        <v>0.492554520672422</v>
      </c>
      <c r="F90" s="59" t="n">
        <v>710</v>
      </c>
      <c r="G90" s="59" t="n">
        <f aca="false">F90-H90</f>
        <v>710</v>
      </c>
      <c r="H90" s="58" t="n">
        <f aca="false">0</f>
        <v>0</v>
      </c>
      <c r="J90" s="55"/>
      <c r="L90" s="0"/>
      <c r="P90" s="0"/>
    </row>
    <row r="91" customFormat="false" ht="19.85" hidden="false" customHeight="true" outlineLevel="0" collapsed="false">
      <c r="A91" s="0" t="n">
        <v>30</v>
      </c>
      <c r="B91" s="34" t="n">
        <v>39965</v>
      </c>
      <c r="C91" s="56" t="n">
        <v>20786</v>
      </c>
      <c r="D91" s="29" t="s">
        <v>41</v>
      </c>
      <c r="E91" s="33" t="n">
        <f aca="false">IF(D91="totale",(C91/(A91*24))/F91,IF(D91="marché libre",(C91/(A91*24))/G91,"spécifier histo"))</f>
        <v>0.0406611893583725</v>
      </c>
      <c r="F91" s="59" t="n">
        <v>710</v>
      </c>
      <c r="G91" s="59" t="n">
        <f aca="false">F91-H91</f>
        <v>710</v>
      </c>
      <c r="H91" s="58" t="n">
        <f aca="false">0</f>
        <v>0</v>
      </c>
      <c r="J91" s="55"/>
      <c r="L91" s="0"/>
      <c r="P91" s="0"/>
    </row>
    <row r="92" customFormat="false" ht="19.85" hidden="false" customHeight="true" outlineLevel="0" collapsed="false">
      <c r="A92" s="0" t="n">
        <v>31</v>
      </c>
      <c r="B92" s="31" t="n">
        <v>39995</v>
      </c>
      <c r="C92" s="56" t="n">
        <v>0</v>
      </c>
      <c r="D92" s="29" t="s">
        <v>41</v>
      </c>
      <c r="E92" s="33" t="n">
        <f aca="false">IF(D92="totale",(C92/(A92*24))/F92,IF(D92="marché libre",(C92/(A92*24))/G92,"spécifier histo"))</f>
        <v>0</v>
      </c>
      <c r="F92" s="59" t="n">
        <v>710</v>
      </c>
      <c r="G92" s="59" t="n">
        <f aca="false">F92-H92</f>
        <v>710</v>
      </c>
      <c r="H92" s="58" t="n">
        <f aca="false">0</f>
        <v>0</v>
      </c>
      <c r="J92" s="55"/>
      <c r="L92" s="0"/>
      <c r="P92" s="0"/>
    </row>
    <row r="93" customFormat="false" ht="19.85" hidden="false" customHeight="true" outlineLevel="0" collapsed="false">
      <c r="A93" s="0" t="n">
        <v>31</v>
      </c>
      <c r="B93" s="34" t="n">
        <v>40026</v>
      </c>
      <c r="C93" s="56" t="n">
        <v>0</v>
      </c>
      <c r="D93" s="29" t="s">
        <v>41</v>
      </c>
      <c r="E93" s="33" t="n">
        <f aca="false">IF(D93="totale",(C93/(A93*24))/F93,IF(D93="marché libre",(C93/(A93*24))/G93,"spécifier histo"))</f>
        <v>0</v>
      </c>
      <c r="F93" s="59" t="n">
        <v>710</v>
      </c>
      <c r="G93" s="59" t="n">
        <f aca="false">F93-H93</f>
        <v>710</v>
      </c>
      <c r="H93" s="58" t="n">
        <f aca="false">0</f>
        <v>0</v>
      </c>
      <c r="J93" s="55"/>
      <c r="L93" s="0"/>
      <c r="P93" s="0"/>
    </row>
    <row r="94" customFormat="false" ht="19.85" hidden="false" customHeight="true" outlineLevel="0" collapsed="false">
      <c r="A94" s="0" t="n">
        <v>30</v>
      </c>
      <c r="B94" s="31" t="n">
        <v>40057</v>
      </c>
      <c r="C94" s="56" t="n">
        <v>0</v>
      </c>
      <c r="D94" s="29" t="s">
        <v>41</v>
      </c>
      <c r="E94" s="33" t="n">
        <f aca="false">IF(D94="totale",(C94/(A94*24))/F94,IF(D94="marché libre",(C94/(A94*24))/G94,"spécifier histo"))</f>
        <v>0</v>
      </c>
      <c r="F94" s="59" t="n">
        <v>710</v>
      </c>
      <c r="G94" s="59" t="n">
        <f aca="false">F94-H94</f>
        <v>710</v>
      </c>
      <c r="H94" s="58" t="n">
        <f aca="false">0</f>
        <v>0</v>
      </c>
      <c r="J94" s="55"/>
      <c r="L94" s="0"/>
      <c r="P94" s="0"/>
    </row>
    <row r="95" customFormat="false" ht="19.85" hidden="false" customHeight="true" outlineLevel="0" collapsed="false">
      <c r="A95" s="0" t="n">
        <v>31</v>
      </c>
      <c r="B95" s="34" t="n">
        <v>40087</v>
      </c>
      <c r="C95" s="56" t="n">
        <v>0</v>
      </c>
      <c r="D95" s="29" t="s">
        <v>41</v>
      </c>
      <c r="E95" s="33" t="n">
        <f aca="false">IF(D95="totale",(C95/(A95*24))/F95,IF(D95="marché libre",(C95/(A95*24))/G95,"spécifier histo"))</f>
        <v>0</v>
      </c>
      <c r="F95" s="59" t="n">
        <v>710</v>
      </c>
      <c r="G95" s="59" t="n">
        <f aca="false">F95-H95</f>
        <v>710</v>
      </c>
      <c r="H95" s="58" t="n">
        <f aca="false">0</f>
        <v>0</v>
      </c>
      <c r="J95" s="55"/>
      <c r="L95" s="0"/>
      <c r="P95" s="0"/>
    </row>
    <row r="96" customFormat="false" ht="19.85" hidden="false" customHeight="true" outlineLevel="0" collapsed="false">
      <c r="A96" s="0" t="n">
        <v>30</v>
      </c>
      <c r="B96" s="31" t="n">
        <v>40118</v>
      </c>
      <c r="C96" s="56" t="n">
        <v>269252</v>
      </c>
      <c r="D96" s="29" t="s">
        <v>41</v>
      </c>
      <c r="E96" s="33" t="n">
        <f aca="false">IF(D96="totale",(C96/(A96*24))/F96,IF(D96="marché libre",(C96/(A96*24))/G96,"spécifier histo"))</f>
        <v>0.52670579029734</v>
      </c>
      <c r="F96" s="59" t="n">
        <v>710</v>
      </c>
      <c r="G96" s="59" t="n">
        <f aca="false">F96-H96</f>
        <v>710</v>
      </c>
      <c r="H96" s="58" t="n">
        <f aca="false">0</f>
        <v>0</v>
      </c>
      <c r="J96" s="55"/>
      <c r="L96" s="0"/>
      <c r="P96" s="0"/>
    </row>
    <row r="97" customFormat="false" ht="19.85" hidden="false" customHeight="true" outlineLevel="0" collapsed="false">
      <c r="A97" s="0" t="n">
        <v>31</v>
      </c>
      <c r="B97" s="34" t="n">
        <v>40148</v>
      </c>
      <c r="C97" s="56" t="n">
        <v>366733</v>
      </c>
      <c r="D97" s="29" t="s">
        <v>41</v>
      </c>
      <c r="E97" s="33" t="n">
        <f aca="false">IF(D97="totale",(C97/(A97*24))/F97,IF(D97="marché libre",(C97/(A97*24))/G97,"spécifier histo"))</f>
        <v>0.69425450552779</v>
      </c>
      <c r="F97" s="59" t="n">
        <v>710</v>
      </c>
      <c r="G97" s="59" t="n">
        <f aca="false">F97-H97</f>
        <v>710</v>
      </c>
      <c r="H97" s="58" t="n">
        <f aca="false">0</f>
        <v>0</v>
      </c>
      <c r="J97" s="55"/>
      <c r="L97" s="0"/>
      <c r="P97" s="0"/>
    </row>
    <row r="98" customFormat="false" ht="19.85" hidden="false" customHeight="true" outlineLevel="0" collapsed="false">
      <c r="A98" s="0" t="n">
        <v>31</v>
      </c>
      <c r="B98" s="31" t="n">
        <v>40179</v>
      </c>
      <c r="C98" s="56" t="n">
        <v>319887</v>
      </c>
      <c r="D98" s="29" t="s">
        <v>41</v>
      </c>
      <c r="E98" s="33" t="n">
        <f aca="false">IF(D98="totale",(C98/(A98*24))/F98,IF(D98="marché libre",(C98/(A98*24))/G98,"spécifier histo"))</f>
        <v>0.605571331213085</v>
      </c>
      <c r="F98" s="59" t="n">
        <v>710</v>
      </c>
      <c r="G98" s="59" t="n">
        <f aca="false">F98-H98</f>
        <v>710</v>
      </c>
      <c r="H98" s="58" t="n">
        <f aca="false">0</f>
        <v>0</v>
      </c>
      <c r="J98" s="55"/>
      <c r="L98" s="0"/>
      <c r="P98" s="0"/>
    </row>
    <row r="99" customFormat="false" ht="19.85" hidden="false" customHeight="true" outlineLevel="0" collapsed="false">
      <c r="A99" s="0" t="n">
        <v>28</v>
      </c>
      <c r="B99" s="34" t="n">
        <v>40210</v>
      </c>
      <c r="C99" s="56" t="n">
        <v>265735</v>
      </c>
      <c r="D99" s="29" t="s">
        <v>41</v>
      </c>
      <c r="E99" s="33" t="n">
        <f aca="false">IF(D99="totale",(C99/(A99*24))/F99,IF(D99="marché libre",(C99/(A99*24))/G99,"spécifier histo"))</f>
        <v>0.556956321260899</v>
      </c>
      <c r="F99" s="59" t="n">
        <v>710</v>
      </c>
      <c r="G99" s="59" t="n">
        <f aca="false">F99-H99</f>
        <v>710</v>
      </c>
      <c r="H99" s="58" t="n">
        <f aca="false">0</f>
        <v>0</v>
      </c>
      <c r="J99" s="55"/>
      <c r="L99" s="0"/>
      <c r="P99" s="0"/>
    </row>
    <row r="100" customFormat="false" ht="19.85" hidden="false" customHeight="true" outlineLevel="0" collapsed="false">
      <c r="A100" s="0" t="n">
        <v>31</v>
      </c>
      <c r="B100" s="31" t="n">
        <v>40238</v>
      </c>
      <c r="C100" s="56" t="n">
        <v>441423</v>
      </c>
      <c r="D100" s="29" t="s">
        <v>41</v>
      </c>
      <c r="E100" s="33" t="n">
        <f aca="false">IF(D100="totale",(C100/(A100*24))/F100,IF(D100="marché libre",(C100/(A100*24))/G100,"spécifier histo"))</f>
        <v>0.835648568832349</v>
      </c>
      <c r="F100" s="59" t="n">
        <v>710</v>
      </c>
      <c r="G100" s="59" t="n">
        <f aca="false">F100-H100</f>
        <v>710</v>
      </c>
      <c r="H100" s="58" t="n">
        <f aca="false">0</f>
        <v>0</v>
      </c>
      <c r="J100" s="55"/>
      <c r="L100" s="0"/>
      <c r="P100" s="0"/>
    </row>
    <row r="101" customFormat="false" ht="19.85" hidden="false" customHeight="true" outlineLevel="0" collapsed="false">
      <c r="A101" s="0" t="n">
        <v>30</v>
      </c>
      <c r="B101" s="34" t="n">
        <v>40269</v>
      </c>
      <c r="C101" s="56" t="n">
        <v>349220</v>
      </c>
      <c r="D101" s="29" t="s">
        <v>41</v>
      </c>
      <c r="E101" s="33" t="n">
        <f aca="false">IF(D101="totale",(C101/(A101*24))/F101,IF(D101="marché libre",(C101/(A101*24))/G101,"spécifier histo"))</f>
        <v>0.683137715179969</v>
      </c>
      <c r="F101" s="59" t="n">
        <v>710</v>
      </c>
      <c r="G101" s="59" t="n">
        <f aca="false">F101-H101</f>
        <v>710</v>
      </c>
      <c r="H101" s="58" t="n">
        <f aca="false">0</f>
        <v>0</v>
      </c>
      <c r="J101" s="55"/>
      <c r="L101" s="0"/>
      <c r="P101" s="0"/>
    </row>
    <row r="102" customFormat="false" ht="19.85" hidden="false" customHeight="true" outlineLevel="0" collapsed="false">
      <c r="A102" s="0" t="n">
        <v>31</v>
      </c>
      <c r="B102" s="31" t="n">
        <v>40299</v>
      </c>
      <c r="C102" s="56" t="n">
        <v>306195</v>
      </c>
      <c r="D102" s="29" t="s">
        <v>41</v>
      </c>
      <c r="E102" s="33" t="n">
        <f aca="false">IF(D102="totale",(C102/(A102*24))/F102,IF(D102="marché libre",(C102/(A102*24))/G102,"spécifier histo"))</f>
        <v>0.57965129486597</v>
      </c>
      <c r="F102" s="59" t="n">
        <v>710</v>
      </c>
      <c r="G102" s="59" t="n">
        <f aca="false">F102-H102</f>
        <v>710</v>
      </c>
      <c r="H102" s="58" t="n">
        <f aca="false">0</f>
        <v>0</v>
      </c>
      <c r="J102" s="55"/>
      <c r="L102" s="0"/>
      <c r="P102" s="0"/>
    </row>
    <row r="103" customFormat="false" ht="19.85" hidden="false" customHeight="true" outlineLevel="0" collapsed="false">
      <c r="A103" s="0" t="n">
        <v>30</v>
      </c>
      <c r="B103" s="34" t="n">
        <v>40330</v>
      </c>
      <c r="C103" s="56" t="n">
        <v>278482</v>
      </c>
      <c r="D103" s="29" t="s">
        <v>41</v>
      </c>
      <c r="E103" s="33" t="n">
        <f aca="false">IF(D103="totale",(C103/(A103*24))/F103,IF(D103="marché libre",(C103/(A103*24))/G103,"spécifier histo"))</f>
        <v>0.544761345852895</v>
      </c>
      <c r="F103" s="59" t="n">
        <v>710</v>
      </c>
      <c r="G103" s="59" t="n">
        <f aca="false">F103-H103</f>
        <v>710</v>
      </c>
      <c r="H103" s="58" t="n">
        <f aca="false">0</f>
        <v>0</v>
      </c>
      <c r="J103" s="55"/>
      <c r="L103" s="0"/>
      <c r="P103" s="0"/>
    </row>
    <row r="104" customFormat="false" ht="19.85" hidden="false" customHeight="true" outlineLevel="0" collapsed="false">
      <c r="A104" s="0" t="n">
        <v>31</v>
      </c>
      <c r="B104" s="31" t="n">
        <v>40360</v>
      </c>
      <c r="C104" s="56" t="n">
        <v>72206</v>
      </c>
      <c r="D104" s="29" t="s">
        <v>41</v>
      </c>
      <c r="E104" s="33" t="n">
        <f aca="false">IF(D104="totale",(C104/(A104*24))/F104,IF(D104="marché libre",(C104/(A104*24))/G104,"spécifier histo"))</f>
        <v>0.136691655308193</v>
      </c>
      <c r="F104" s="59" t="n">
        <v>710</v>
      </c>
      <c r="G104" s="59" t="n">
        <f aca="false">F104-H104</f>
        <v>710</v>
      </c>
      <c r="H104" s="58" t="n">
        <f aca="false">0</f>
        <v>0</v>
      </c>
      <c r="J104" s="55"/>
      <c r="L104" s="0"/>
      <c r="P104" s="0"/>
    </row>
    <row r="105" customFormat="false" ht="19.85" hidden="false" customHeight="true" outlineLevel="0" collapsed="false">
      <c r="A105" s="0" t="n">
        <v>31</v>
      </c>
      <c r="B105" s="34" t="n">
        <v>40391</v>
      </c>
      <c r="C105" s="56" t="n">
        <v>4163</v>
      </c>
      <c r="D105" s="29" t="s">
        <v>41</v>
      </c>
      <c r="E105" s="33" t="n">
        <f aca="false">IF(D105="totale",(C105/(A105*24))/F105,IF(D105="marché libre",(C105/(A105*24))/G105,"spécifier histo"))</f>
        <v>0.00788088747538998</v>
      </c>
      <c r="F105" s="59" t="n">
        <v>710</v>
      </c>
      <c r="G105" s="59" t="n">
        <f aca="false">F105-H105</f>
        <v>710</v>
      </c>
      <c r="H105" s="58" t="n">
        <f aca="false">0</f>
        <v>0</v>
      </c>
      <c r="J105" s="55"/>
      <c r="L105" s="0"/>
      <c r="P105" s="0"/>
    </row>
    <row r="106" customFormat="false" ht="19.85" hidden="false" customHeight="true" outlineLevel="0" collapsed="false">
      <c r="A106" s="0" t="n">
        <v>30</v>
      </c>
      <c r="B106" s="31" t="n">
        <v>40422</v>
      </c>
      <c r="C106" s="56" t="n">
        <v>37128</v>
      </c>
      <c r="D106" s="29" t="s">
        <v>41</v>
      </c>
      <c r="E106" s="33" t="n">
        <f aca="false">IF(D106="totale",(C106/(A106*24))/F106,IF(D106="marché libre",(C106/(A106*24))/G106,"spécifier histo"))</f>
        <v>0.0726291079812207</v>
      </c>
      <c r="F106" s="59" t="n">
        <v>710</v>
      </c>
      <c r="G106" s="59" t="n">
        <f aca="false">F106-H106</f>
        <v>710</v>
      </c>
      <c r="H106" s="58" t="n">
        <f aca="false">0</f>
        <v>0</v>
      </c>
      <c r="J106" s="55"/>
      <c r="L106" s="0"/>
      <c r="P106" s="0"/>
    </row>
    <row r="107" customFormat="false" ht="19.85" hidden="false" customHeight="true" outlineLevel="0" collapsed="false">
      <c r="A107" s="0" t="n">
        <v>31</v>
      </c>
      <c r="B107" s="34" t="n">
        <v>40452</v>
      </c>
      <c r="C107" s="56" t="n">
        <v>94968</v>
      </c>
      <c r="D107" s="29" t="s">
        <v>41</v>
      </c>
      <c r="E107" s="33" t="n">
        <f aca="false">IF(D107="totale",(C107/(A107*24))/F107,IF(D107="marché libre",(C107/(A107*24))/G107,"spécifier histo"))</f>
        <v>0.179781917310313</v>
      </c>
      <c r="F107" s="59" t="n">
        <v>710</v>
      </c>
      <c r="G107" s="59" t="n">
        <f aca="false">F107-H107</f>
        <v>710</v>
      </c>
      <c r="H107" s="58" t="n">
        <f aca="false">0</f>
        <v>0</v>
      </c>
      <c r="J107" s="55"/>
      <c r="L107" s="0"/>
      <c r="P107" s="0"/>
    </row>
    <row r="108" customFormat="false" ht="19.85" hidden="false" customHeight="true" outlineLevel="0" collapsed="false">
      <c r="A108" s="0" t="n">
        <v>30</v>
      </c>
      <c r="B108" s="31" t="n">
        <v>40483</v>
      </c>
      <c r="C108" s="56" t="n">
        <v>370758</v>
      </c>
      <c r="D108" s="29" t="s">
        <v>41</v>
      </c>
      <c r="E108" s="33" t="n">
        <f aca="false">IF(D108="totale",(C108/(A108*24))/F108,IF(D108="marché libre",(C108/(A108*24))/G108,"spécifier histo"))</f>
        <v>0.725269953051643</v>
      </c>
      <c r="F108" s="59" t="n">
        <v>710</v>
      </c>
      <c r="G108" s="59" t="n">
        <f aca="false">F108-H108</f>
        <v>710</v>
      </c>
      <c r="H108" s="58" t="n">
        <f aca="false">0</f>
        <v>0</v>
      </c>
      <c r="J108" s="55"/>
      <c r="L108" s="0"/>
      <c r="P108" s="0"/>
    </row>
    <row r="109" customFormat="false" ht="19.85" hidden="false" customHeight="true" outlineLevel="0" collapsed="false">
      <c r="A109" s="0" t="n">
        <v>31</v>
      </c>
      <c r="B109" s="34" t="n">
        <v>40513</v>
      </c>
      <c r="C109" s="56" t="n">
        <v>403305</v>
      </c>
      <c r="D109" s="29" t="s">
        <v>41</v>
      </c>
      <c r="E109" s="33" t="n">
        <f aca="false">IF(D109="totale",(C109/(A109*24))/F109,IF(D109="marché libre",(C109/(A109*24))/G109,"spécifier histo"))</f>
        <v>0.763488187187642</v>
      </c>
      <c r="F109" s="59" t="n">
        <v>710</v>
      </c>
      <c r="G109" s="59" t="n">
        <f aca="false">F109-H109</f>
        <v>710</v>
      </c>
      <c r="H109" s="58" t="n">
        <f aca="false">0</f>
        <v>0</v>
      </c>
      <c r="J109" s="55"/>
      <c r="L109" s="0"/>
      <c r="P109" s="0"/>
    </row>
    <row r="110" customFormat="false" ht="19.85" hidden="false" customHeight="true" outlineLevel="0" collapsed="false">
      <c r="A110" s="0" t="n">
        <v>31</v>
      </c>
      <c r="B110" s="31" t="n">
        <v>40544</v>
      </c>
      <c r="C110" s="540"/>
      <c r="D110" s="29" t="s">
        <v>41</v>
      </c>
      <c r="E110" s="33" t="e">
        <f aca="false">IF(D110="totale",(C110/(A110*24))/F110,IF(D110="marché libre",(C110/(A110*24))/G110,"spécifier histo"))</f>
        <v>#DIV/0!</v>
      </c>
      <c r="F110" s="59" t="n">
        <v>0</v>
      </c>
      <c r="G110" s="59" t="n">
        <v>0</v>
      </c>
      <c r="H110" s="58" t="n">
        <f aca="false">0</f>
        <v>0</v>
      </c>
      <c r="I110" s="1" t="s">
        <v>1019</v>
      </c>
      <c r="J110" s="55"/>
      <c r="L110" s="0"/>
      <c r="P110" s="0"/>
    </row>
    <row r="111" customFormat="false" ht="19.85" hidden="false" customHeight="true" outlineLevel="0" collapsed="false">
      <c r="A111" s="0" t="n">
        <v>28</v>
      </c>
      <c r="B111" s="34" t="n">
        <v>40575</v>
      </c>
      <c r="C111" s="540"/>
      <c r="D111" s="29" t="s">
        <v>41</v>
      </c>
      <c r="E111" s="33" t="e">
        <f aca="false">IF(D111="totale",(C111/(A111*24))/F111,IF(D111="marché libre",(C111/(A111*24))/G111,"spécifier histo"))</f>
        <v>#DIV/0!</v>
      </c>
      <c r="F111" s="59" t="n">
        <v>0</v>
      </c>
      <c r="G111" s="59" t="n">
        <v>0</v>
      </c>
      <c r="H111" s="58" t="n">
        <f aca="false">0</f>
        <v>0</v>
      </c>
      <c r="I111" s="1" t="s">
        <v>1019</v>
      </c>
      <c r="J111" s="55"/>
      <c r="L111" s="0"/>
      <c r="P111" s="0"/>
    </row>
    <row r="112" customFormat="false" ht="19.85" hidden="false" customHeight="true" outlineLevel="0" collapsed="false">
      <c r="A112" s="0" t="n">
        <v>31</v>
      </c>
      <c r="B112" s="31" t="n">
        <v>40603</v>
      </c>
      <c r="C112" s="540"/>
      <c r="D112" s="29" t="s">
        <v>41</v>
      </c>
      <c r="E112" s="33" t="e">
        <f aca="false">IF(D112="totale",(C112/(A112*24))/F112,IF(D112="marché libre",(C112/(A112*24))/G112,"spécifier histo"))</f>
        <v>#DIV/0!</v>
      </c>
      <c r="F112" s="59" t="n">
        <v>0</v>
      </c>
      <c r="G112" s="59" t="n">
        <v>0</v>
      </c>
      <c r="H112" s="58" t="n">
        <f aca="false">0</f>
        <v>0</v>
      </c>
      <c r="I112" s="1" t="s">
        <v>1020</v>
      </c>
      <c r="J112" s="55"/>
      <c r="L112" s="0"/>
      <c r="P112" s="0"/>
    </row>
    <row r="113" customFormat="false" ht="19.85" hidden="false" customHeight="true" outlineLevel="0" collapsed="false">
      <c r="A113" s="0" t="n">
        <v>30</v>
      </c>
      <c r="B113" s="34" t="n">
        <v>40634</v>
      </c>
      <c r="C113" s="540"/>
      <c r="D113" s="29" t="s">
        <v>41</v>
      </c>
      <c r="E113" s="33" t="e">
        <f aca="false">IF(D113="totale",(C113/(A113*24))/F113,IF(D113="marché libre",(C113/(A113*24))/G113,"spécifier histo"))</f>
        <v>#DIV/0!</v>
      </c>
      <c r="F113" s="59" t="n">
        <v>0</v>
      </c>
      <c r="G113" s="59" t="n">
        <v>0</v>
      </c>
      <c r="H113" s="58" t="n">
        <f aca="false">0</f>
        <v>0</v>
      </c>
      <c r="I113" s="1" t="s">
        <v>1020</v>
      </c>
      <c r="J113" s="55"/>
      <c r="L113" s="0"/>
      <c r="P113" s="0"/>
    </row>
    <row r="114" customFormat="false" ht="19.85" hidden="false" customHeight="true" outlineLevel="0" collapsed="false">
      <c r="A114" s="0" t="n">
        <v>31</v>
      </c>
      <c r="B114" s="31" t="n">
        <v>40664</v>
      </c>
      <c r="C114" s="540"/>
      <c r="D114" s="29" t="s">
        <v>41</v>
      </c>
      <c r="E114" s="33" t="e">
        <f aca="false">IF(D114="totale",(C114/(A114*24))/F114,IF(D114="marché libre",(C114/(A114*24))/G114,"spécifier histo"))</f>
        <v>#DIV/0!</v>
      </c>
      <c r="F114" s="59" t="n">
        <v>0</v>
      </c>
      <c r="G114" s="59" t="n">
        <v>0</v>
      </c>
      <c r="H114" s="58" t="n">
        <f aca="false">0</f>
        <v>0</v>
      </c>
      <c r="I114" s="1" t="s">
        <v>1021</v>
      </c>
      <c r="J114" s="55"/>
      <c r="L114" s="0"/>
      <c r="P114" s="0"/>
    </row>
    <row r="115" customFormat="false" ht="19.85" hidden="false" customHeight="true" outlineLevel="0" collapsed="false">
      <c r="A115" s="0" t="n">
        <v>30</v>
      </c>
      <c r="B115" s="34" t="n">
        <v>40695</v>
      </c>
      <c r="C115" s="540"/>
      <c r="D115" s="29" t="s">
        <v>41</v>
      </c>
      <c r="E115" s="33" t="e">
        <f aca="false">IF(D115="totale",(C115/(A115*24))/F115,IF(D115="marché libre",(C115/(A115*24))/G115,"spécifier histo"))</f>
        <v>#DIV/0!</v>
      </c>
      <c r="F115" s="59" t="n">
        <v>0</v>
      </c>
      <c r="G115" s="59" t="n">
        <v>0</v>
      </c>
      <c r="H115" s="58" t="n">
        <f aca="false">0</f>
        <v>0</v>
      </c>
      <c r="I115" s="1" t="s">
        <v>1021</v>
      </c>
      <c r="J115" s="55"/>
      <c r="L115" s="0"/>
      <c r="P115" s="0"/>
    </row>
    <row r="116" customFormat="false" ht="19.85" hidden="false" customHeight="true" outlineLevel="0" collapsed="false">
      <c r="A116" s="0" t="n">
        <v>31</v>
      </c>
      <c r="B116" s="31" t="n">
        <v>40725</v>
      </c>
      <c r="C116" s="540"/>
      <c r="D116" s="29" t="s">
        <v>41</v>
      </c>
      <c r="E116" s="33" t="e">
        <f aca="false">IF(D116="totale",(C116/(A116*24))/F116,IF(D116="marché libre",(C116/(A116*24))/G116,"spécifier histo"))</f>
        <v>#DIV/0!</v>
      </c>
      <c r="F116" s="59" t="n">
        <v>0</v>
      </c>
      <c r="G116" s="59" t="n">
        <v>0</v>
      </c>
      <c r="H116" s="58" t="n">
        <f aca="false">0</f>
        <v>0</v>
      </c>
      <c r="I116" s="1" t="s">
        <v>1022</v>
      </c>
      <c r="J116" s="55"/>
      <c r="L116" s="0"/>
      <c r="P116" s="0"/>
    </row>
    <row r="117" customFormat="false" ht="19.85" hidden="false" customHeight="true" outlineLevel="0" collapsed="false">
      <c r="A117" s="0" t="n">
        <v>31</v>
      </c>
      <c r="B117" s="34" t="n">
        <v>40756</v>
      </c>
      <c r="C117" s="540"/>
      <c r="D117" s="29" t="s">
        <v>41</v>
      </c>
      <c r="E117" s="33" t="e">
        <f aca="false">IF(D117="totale",(C117/(A117*24))/F117,IF(D117="marché libre",(C117/(A117*24))/G117,"spécifier histo"))</f>
        <v>#DIV/0!</v>
      </c>
      <c r="F117" s="59" t="n">
        <v>0</v>
      </c>
      <c r="G117" s="59" t="n">
        <v>0</v>
      </c>
      <c r="H117" s="58" t="n">
        <f aca="false">0</f>
        <v>0</v>
      </c>
      <c r="I117" s="1" t="s">
        <v>1022</v>
      </c>
      <c r="J117" s="55"/>
      <c r="L117" s="0"/>
      <c r="P117" s="0"/>
    </row>
    <row r="118" customFormat="false" ht="19.85" hidden="false" customHeight="true" outlineLevel="0" collapsed="false">
      <c r="A118" s="0" t="n">
        <v>30</v>
      </c>
      <c r="B118" s="31" t="n">
        <v>40787</v>
      </c>
      <c r="C118" s="540"/>
      <c r="D118" s="29" t="s">
        <v>41</v>
      </c>
      <c r="E118" s="33" t="e">
        <f aca="false">IF(D118="totale",(C118/(A118*24))/F118,IF(D118="marché libre",(C118/(A118*24))/G118,"spécifier histo"))</f>
        <v>#DIV/0!</v>
      </c>
      <c r="F118" s="59" t="n">
        <v>0</v>
      </c>
      <c r="G118" s="59" t="n">
        <v>0</v>
      </c>
      <c r="H118" s="58" t="n">
        <f aca="false">0</f>
        <v>0</v>
      </c>
      <c r="I118" s="1" t="s">
        <v>1023</v>
      </c>
      <c r="J118" s="55"/>
      <c r="L118" s="0"/>
      <c r="P118" s="0"/>
    </row>
    <row r="119" customFormat="false" ht="19.85" hidden="false" customHeight="true" outlineLevel="0" collapsed="false">
      <c r="A119" s="0" t="n">
        <v>31</v>
      </c>
      <c r="B119" s="34" t="n">
        <v>40817</v>
      </c>
      <c r="C119" s="540"/>
      <c r="D119" s="29" t="s">
        <v>41</v>
      </c>
      <c r="E119" s="33" t="e">
        <f aca="false">IF(D119="totale",(C119/(A119*24))/F119,IF(D119="marché libre",(C119/(A119*24))/G119,"spécifier histo"))</f>
        <v>#DIV/0!</v>
      </c>
      <c r="F119" s="59" t="n">
        <v>0</v>
      </c>
      <c r="G119" s="59" t="n">
        <v>0</v>
      </c>
      <c r="H119" s="58" t="n">
        <f aca="false">0</f>
        <v>0</v>
      </c>
      <c r="I119" s="1" t="s">
        <v>1023</v>
      </c>
      <c r="J119" s="55"/>
      <c r="L119" s="0"/>
      <c r="P119" s="0"/>
    </row>
    <row r="120" customFormat="false" ht="19.85" hidden="false" customHeight="true" outlineLevel="0" collapsed="false">
      <c r="A120" s="0" t="n">
        <v>30</v>
      </c>
      <c r="B120" s="31" t="n">
        <v>40848</v>
      </c>
      <c r="C120" s="56" t="n">
        <v>63699</v>
      </c>
      <c r="D120" s="29" t="s">
        <v>41</v>
      </c>
      <c r="E120" s="33" t="n">
        <f aca="false">IF(D120="totale",(C120/(A120*24))/F120,IF(D120="marché libre",(C120/(A120*24))/G120,"spécifier histo"))</f>
        <v>0.124606807511737</v>
      </c>
      <c r="F120" s="59" t="n">
        <v>710</v>
      </c>
      <c r="G120" s="59" t="n">
        <f aca="false">F120-H120</f>
        <v>710</v>
      </c>
      <c r="H120" s="58" t="n">
        <f aca="false">0</f>
        <v>0</v>
      </c>
      <c r="J120" s="55"/>
      <c r="L120" s="0"/>
    </row>
    <row r="121" customFormat="false" ht="19.85" hidden="false" customHeight="true" outlineLevel="0" collapsed="false">
      <c r="A121" s="0" t="n">
        <v>31</v>
      </c>
      <c r="B121" s="34" t="n">
        <v>40878</v>
      </c>
      <c r="C121" s="56" t="n">
        <v>384911</v>
      </c>
      <c r="D121" s="29" t="s">
        <v>41</v>
      </c>
      <c r="E121" s="33" t="n">
        <f aca="false">IF(D121="totale",(C121/(A121*24))/F121,IF(D121="marché libre",(C121/(A121*24))/G121,"spécifier histo"))</f>
        <v>0.728666893836135</v>
      </c>
      <c r="F121" s="59" t="n">
        <v>710</v>
      </c>
      <c r="G121" s="59" t="n">
        <f aca="false">F121-H121</f>
        <v>710</v>
      </c>
      <c r="H121" s="58" t="n">
        <f aca="false">0</f>
        <v>0</v>
      </c>
      <c r="J121" s="55"/>
      <c r="L121" s="0"/>
    </row>
    <row r="122" customFormat="false" ht="19.85" hidden="false" customHeight="true" outlineLevel="0" collapsed="false">
      <c r="A122" s="0" t="n">
        <v>31</v>
      </c>
      <c r="B122" s="31" t="n">
        <v>40909</v>
      </c>
      <c r="C122" s="56" t="n">
        <v>407183</v>
      </c>
      <c r="D122" s="29" t="s">
        <v>41</v>
      </c>
      <c r="E122" s="33" t="n">
        <f aca="false">IF(D122="totale",(C122/(A122*24))/F122,IF(D122="marché libre",(C122/(A122*24))/G122,"spécifier histo"))</f>
        <v>0.770829547175526</v>
      </c>
      <c r="F122" s="59" t="n">
        <v>710</v>
      </c>
      <c r="G122" s="59" t="n">
        <f aca="false">F122-H122</f>
        <v>710</v>
      </c>
      <c r="H122" s="58" t="n">
        <f aca="false">0</f>
        <v>0</v>
      </c>
      <c r="J122" s="55"/>
      <c r="L122" s="0"/>
    </row>
    <row r="123" customFormat="false" ht="19.85" hidden="false" customHeight="true" outlineLevel="0" collapsed="false">
      <c r="A123" s="0" t="n">
        <v>28</v>
      </c>
      <c r="B123" s="34" t="n">
        <v>40940</v>
      </c>
      <c r="C123" s="56" t="n">
        <v>172597</v>
      </c>
      <c r="D123" s="29" t="s">
        <v>41</v>
      </c>
      <c r="E123" s="33" t="n">
        <f aca="false">IF(D123="totale",(C123/(A123*24))/F123,IF(D123="marché libre",(C123/(A123*24))/G123,"spécifier histo"))</f>
        <v>0.361747568745808</v>
      </c>
      <c r="F123" s="59" t="n">
        <v>710</v>
      </c>
      <c r="G123" s="59" t="n">
        <f aca="false">F123-H123</f>
        <v>710</v>
      </c>
      <c r="H123" s="58" t="n">
        <f aca="false">0</f>
        <v>0</v>
      </c>
      <c r="J123" s="55"/>
      <c r="L123" s="0"/>
    </row>
    <row r="124" customFormat="false" ht="19.85" hidden="false" customHeight="true" outlineLevel="0" collapsed="false">
      <c r="A124" s="0" t="n">
        <v>31</v>
      </c>
      <c r="B124" s="31" t="n">
        <v>40969</v>
      </c>
      <c r="C124" s="56" t="n">
        <v>207961</v>
      </c>
      <c r="D124" s="29" t="s">
        <v>41</v>
      </c>
      <c r="E124" s="33" t="n">
        <f aca="false">IF(D124="totale",(C124/(A124*24))/F124,IF(D124="marché libre",(C124/(A124*24))/G124,"spécifier histo"))</f>
        <v>0.393686581856732</v>
      </c>
      <c r="F124" s="59" t="n">
        <v>710</v>
      </c>
      <c r="G124" s="59" t="n">
        <f aca="false">F124-H124</f>
        <v>710</v>
      </c>
      <c r="H124" s="58" t="n">
        <f aca="false">0</f>
        <v>0</v>
      </c>
      <c r="J124" s="55"/>
      <c r="L124" s="0"/>
    </row>
    <row r="125" customFormat="false" ht="19.85" hidden="false" customHeight="true" outlineLevel="0" collapsed="false">
      <c r="A125" s="0" t="n">
        <v>30</v>
      </c>
      <c r="B125" s="34" t="n">
        <v>41000</v>
      </c>
      <c r="C125" s="56" t="n">
        <v>277285</v>
      </c>
      <c r="D125" s="29" t="s">
        <v>41</v>
      </c>
      <c r="E125" s="33" t="n">
        <f aca="false">IF(D125="totale",(C125/(A125*24))/F125,IF(D125="marché libre",(C125/(A125*24))/G125,"spécifier histo"))</f>
        <v>0.542419796557121</v>
      </c>
      <c r="F125" s="59" t="n">
        <v>710</v>
      </c>
      <c r="G125" s="59" t="n">
        <f aca="false">F125-H125</f>
        <v>710</v>
      </c>
      <c r="H125" s="58" t="n">
        <f aca="false">0</f>
        <v>0</v>
      </c>
      <c r="J125" s="55"/>
      <c r="L125" s="0"/>
    </row>
    <row r="126" customFormat="false" ht="19.85" hidden="false" customHeight="true" outlineLevel="0" collapsed="false">
      <c r="A126" s="0" t="n">
        <v>31</v>
      </c>
      <c r="B126" s="31" t="n">
        <v>41030</v>
      </c>
      <c r="C126" s="56" t="n">
        <v>343121</v>
      </c>
      <c r="D126" s="29" t="s">
        <v>41</v>
      </c>
      <c r="E126" s="33" t="n">
        <f aca="false">IF(D126="totale",(C126/(A126*24))/F126,IF(D126="marché libre",(C126/(A126*24))/G126,"spécifier histo"))</f>
        <v>0.649555126457671</v>
      </c>
      <c r="F126" s="59" t="n">
        <v>710</v>
      </c>
      <c r="G126" s="59" t="n">
        <f aca="false">F126-H126</f>
        <v>710</v>
      </c>
      <c r="H126" s="58" t="n">
        <f aca="false">0</f>
        <v>0</v>
      </c>
      <c r="J126" s="55"/>
      <c r="L126" s="0"/>
    </row>
    <row r="127" customFormat="false" ht="19.85" hidden="false" customHeight="true" outlineLevel="0" collapsed="false">
      <c r="A127" s="0" t="n">
        <v>30</v>
      </c>
      <c r="B127" s="34" t="n">
        <v>41061</v>
      </c>
      <c r="C127" s="56" t="n">
        <v>102343</v>
      </c>
      <c r="D127" s="29" t="s">
        <v>41</v>
      </c>
      <c r="E127" s="33" t="n">
        <f aca="false">IF(D127="totale",(C127/(A127*24))/F127,IF(D127="marché libre",(C127/(A127*24))/G127,"spécifier histo"))</f>
        <v>0.200201486697966</v>
      </c>
      <c r="F127" s="59" t="n">
        <v>710</v>
      </c>
      <c r="G127" s="59" t="n">
        <f aca="false">F127-H127</f>
        <v>710</v>
      </c>
      <c r="H127" s="58" t="n">
        <f aca="false">0</f>
        <v>0</v>
      </c>
      <c r="J127" s="55"/>
      <c r="L127" s="0"/>
    </row>
    <row r="128" customFormat="false" ht="19.85" hidden="false" customHeight="true" outlineLevel="0" collapsed="false">
      <c r="A128" s="0" t="n">
        <v>31</v>
      </c>
      <c r="B128" s="31" t="n">
        <v>41091</v>
      </c>
      <c r="C128" s="56" t="n">
        <v>8030</v>
      </c>
      <c r="D128" s="29" t="s">
        <v>41</v>
      </c>
      <c r="E128" s="33" t="n">
        <f aca="false">IF(D128="totale",(C128/(A128*24))/F128,IF(D128="marché libre",(C128/(A128*24))/G128,"spécifier histo"))</f>
        <v>0.0152014235953355</v>
      </c>
      <c r="F128" s="59" t="n">
        <v>710</v>
      </c>
      <c r="G128" s="59" t="n">
        <f aca="false">F128-H128</f>
        <v>710</v>
      </c>
      <c r="H128" s="58" t="n">
        <f aca="false">0</f>
        <v>0</v>
      </c>
      <c r="J128" s="55"/>
      <c r="L128" s="0"/>
    </row>
    <row r="129" customFormat="false" ht="19.85" hidden="false" customHeight="true" outlineLevel="0" collapsed="false">
      <c r="A129" s="0" t="n">
        <v>31</v>
      </c>
      <c r="B129" s="34" t="n">
        <v>41122</v>
      </c>
      <c r="C129" s="56" t="n">
        <v>0</v>
      </c>
      <c r="D129" s="29" t="s">
        <v>41</v>
      </c>
      <c r="E129" s="33" t="n">
        <f aca="false">IF(D129="totale",(C129/(A129*24))/F129,IF(D129="marché libre",(C129/(A129*24))/G129,"spécifier histo"))</f>
        <v>0</v>
      </c>
      <c r="F129" s="59" t="n">
        <v>710</v>
      </c>
      <c r="G129" s="59" t="n">
        <f aca="false">F129-H129</f>
        <v>710</v>
      </c>
      <c r="H129" s="58" t="n">
        <f aca="false">0</f>
        <v>0</v>
      </c>
      <c r="J129" s="55"/>
      <c r="L129" s="0"/>
    </row>
    <row r="130" customFormat="false" ht="19.85" hidden="false" customHeight="true" outlineLevel="0" collapsed="false">
      <c r="A130" s="0" t="n">
        <v>30</v>
      </c>
      <c r="B130" s="31" t="n">
        <v>41153</v>
      </c>
      <c r="C130" s="56" t="n">
        <v>0</v>
      </c>
      <c r="D130" s="29" t="s">
        <v>41</v>
      </c>
      <c r="E130" s="33" t="n">
        <f aca="false">IF(D130="totale",(C130/(A130*24))/F130,IF(D130="marché libre",(C130/(A130*24))/G130,"spécifier histo"))</f>
        <v>0</v>
      </c>
      <c r="F130" s="59" t="n">
        <v>710</v>
      </c>
      <c r="G130" s="59" t="n">
        <f aca="false">F130-H130</f>
        <v>710</v>
      </c>
      <c r="H130" s="58" t="n">
        <f aca="false">0</f>
        <v>0</v>
      </c>
      <c r="J130" s="55"/>
      <c r="L130" s="0"/>
    </row>
    <row r="131" customFormat="false" ht="19.85" hidden="false" customHeight="true" outlineLevel="0" collapsed="false">
      <c r="A131" s="0" t="n">
        <v>31</v>
      </c>
      <c r="B131" s="34" t="n">
        <v>41183</v>
      </c>
      <c r="C131" s="56" t="n">
        <v>0</v>
      </c>
      <c r="D131" s="29" t="s">
        <v>41</v>
      </c>
      <c r="E131" s="33" t="n">
        <f aca="false">IF(D131="totale",(C131/(A131*24))/F131,IF(D131="marché libre",(C131/(A131*24))/G131,"spécifier histo"))</f>
        <v>0</v>
      </c>
      <c r="F131" s="59" t="n">
        <v>710</v>
      </c>
      <c r="G131" s="59" t="n">
        <f aca="false">F131-H131</f>
        <v>710</v>
      </c>
      <c r="H131" s="58" t="n">
        <f aca="false">0</f>
        <v>0</v>
      </c>
      <c r="J131" s="55"/>
      <c r="L131" s="0"/>
    </row>
    <row r="132" customFormat="false" ht="19.85" hidden="false" customHeight="true" outlineLevel="0" collapsed="false">
      <c r="A132" s="0" t="n">
        <v>30</v>
      </c>
      <c r="B132" s="31" t="n">
        <v>41214</v>
      </c>
      <c r="C132" s="56" t="n">
        <f aca="false">6872+73521</f>
        <v>80393</v>
      </c>
      <c r="D132" s="29" t="s">
        <v>41</v>
      </c>
      <c r="E132" s="33" t="n">
        <f aca="false">IF(D132="totale",(C132/(A132*24))/F132,IF(D132="marché libre",(C132/(A132*24))/G132,"spécifier histo"))</f>
        <v>0.157263302034429</v>
      </c>
      <c r="F132" s="59" t="n">
        <v>710</v>
      </c>
      <c r="G132" s="59" t="n">
        <f aca="false">F132-H132</f>
        <v>310</v>
      </c>
      <c r="H132" s="58" t="n">
        <v>400</v>
      </c>
      <c r="I132" s="55" t="s">
        <v>333</v>
      </c>
      <c r="J132" s="541" t="s">
        <v>1024</v>
      </c>
      <c r="K132" s="276" t="s">
        <v>1025</v>
      </c>
      <c r="L132" s="0"/>
    </row>
    <row r="133" customFormat="false" ht="19.85" hidden="false" customHeight="true" outlineLevel="0" collapsed="false">
      <c r="A133" s="0" t="n">
        <v>31</v>
      </c>
      <c r="B133" s="34" t="n">
        <v>41244</v>
      </c>
      <c r="C133" s="56" t="n">
        <f aca="false">158568+116660</f>
        <v>275228</v>
      </c>
      <c r="D133" s="29" t="s">
        <v>41</v>
      </c>
      <c r="E133" s="33" t="n">
        <f aca="false">IF(D133="totale",(C133/(A133*24))/F133,IF(D133="marché libre",(C133/(A133*24))/G133,"spécifier histo"))</f>
        <v>0.521028320460397</v>
      </c>
      <c r="F133" s="59" t="n">
        <v>710</v>
      </c>
      <c r="G133" s="59" t="n">
        <f aca="false">F133-H133</f>
        <v>310</v>
      </c>
      <c r="H133" s="58" t="n">
        <v>400</v>
      </c>
      <c r="J133" s="55"/>
      <c r="L133" s="0"/>
    </row>
    <row r="134" customFormat="false" ht="19.85" hidden="false" customHeight="true" outlineLevel="0" collapsed="false">
      <c r="A134" s="0" t="n">
        <v>31</v>
      </c>
      <c r="B134" s="31" t="n">
        <v>41275</v>
      </c>
      <c r="C134" s="56" t="n">
        <f aca="false">289349+74102</f>
        <v>363451</v>
      </c>
      <c r="D134" s="29" t="s">
        <v>41</v>
      </c>
      <c r="E134" s="33" t="n">
        <f aca="false">IF(D134="totale",(C134/(A134*24))/F134,IF(D134="marché libre",(C134/(A134*24))/G134,"spécifier histo"))</f>
        <v>0.688041420566409</v>
      </c>
      <c r="F134" s="59" t="n">
        <v>710</v>
      </c>
      <c r="G134" s="59" t="n">
        <f aca="false">F134-H134</f>
        <v>310</v>
      </c>
      <c r="H134" s="58" t="n">
        <v>400</v>
      </c>
      <c r="J134" s="55"/>
      <c r="L134" s="0"/>
    </row>
    <row r="135" customFormat="false" ht="19.85" hidden="false" customHeight="true" outlineLevel="0" collapsed="false">
      <c r="A135" s="0" t="n">
        <v>28</v>
      </c>
      <c r="B135" s="34" t="n">
        <v>41306</v>
      </c>
      <c r="C135" s="56" t="n">
        <f aca="false">250491+96915</f>
        <v>347406</v>
      </c>
      <c r="D135" s="29" t="s">
        <v>41</v>
      </c>
      <c r="E135" s="33" t="n">
        <f aca="false">IF(D135="totale",(C135/(A135*24))/F135,IF(D135="marché libre",(C135/(A135*24))/G135,"spécifier histo"))</f>
        <v>0.728131287726358</v>
      </c>
      <c r="F135" s="59" t="n">
        <v>710</v>
      </c>
      <c r="G135" s="59" t="n">
        <f aca="false">F135-H135</f>
        <v>310</v>
      </c>
      <c r="H135" s="58" t="n">
        <v>400</v>
      </c>
      <c r="J135" s="55"/>
      <c r="L135" s="0"/>
    </row>
    <row r="136" customFormat="false" ht="19.85" hidden="false" customHeight="true" outlineLevel="0" collapsed="false">
      <c r="A136" s="0" t="n">
        <v>31</v>
      </c>
      <c r="B136" s="31" t="n">
        <v>41334</v>
      </c>
      <c r="C136" s="56" t="n">
        <f aca="false">152016+274022</f>
        <v>426038</v>
      </c>
      <c r="D136" s="29" t="s">
        <v>41</v>
      </c>
      <c r="E136" s="33" t="n">
        <f aca="false">IF(D136="totale",(C136/(A136*24))/F136,IF(D136="marché libre",(C136/(A136*24))/G136,"spécifier histo"))</f>
        <v>0.80652354990156</v>
      </c>
      <c r="F136" s="59" t="n">
        <v>710</v>
      </c>
      <c r="G136" s="59" t="n">
        <f aca="false">F136-H136</f>
        <v>310</v>
      </c>
      <c r="H136" s="58" t="n">
        <v>400</v>
      </c>
      <c r="J136" s="55"/>
      <c r="L136" s="0"/>
    </row>
    <row r="137" customFormat="false" ht="19.85" hidden="false" customHeight="true" outlineLevel="0" collapsed="false">
      <c r="A137" s="0" t="n">
        <v>30</v>
      </c>
      <c r="B137" s="34" t="n">
        <v>41365</v>
      </c>
      <c r="C137" s="56" t="n">
        <f aca="false">274096+145084</f>
        <v>419180</v>
      </c>
      <c r="D137" s="29" t="s">
        <v>41</v>
      </c>
      <c r="E137" s="33" t="n">
        <f aca="false">IF(D137="totale",(C137/(A137*24))/F137,IF(D137="marché libre",(C137/(A137*24))/G137,"spécifier histo"))</f>
        <v>0.819992175273865</v>
      </c>
      <c r="F137" s="59" t="n">
        <v>710</v>
      </c>
      <c r="G137" s="59" t="n">
        <f aca="false">F137-H137</f>
        <v>310</v>
      </c>
      <c r="H137" s="58" t="n">
        <v>400</v>
      </c>
      <c r="J137" s="55"/>
      <c r="L137" s="0"/>
    </row>
    <row r="138" customFormat="false" ht="19.85" hidden="false" customHeight="true" outlineLevel="0" collapsed="false">
      <c r="A138" s="0" t="n">
        <v>31</v>
      </c>
      <c r="B138" s="31" t="n">
        <v>41395</v>
      </c>
      <c r="C138" s="56" t="n">
        <f aca="false">158887+286983</f>
        <v>445870</v>
      </c>
      <c r="D138" s="29" t="s">
        <v>41</v>
      </c>
      <c r="E138" s="33" t="n">
        <f aca="false">IF(D138="totale",(C138/(A138*24))/F138,IF(D138="marché libre",(C138/(A138*24))/G138,"spécifier histo"))</f>
        <v>0.844067090716341</v>
      </c>
      <c r="F138" s="59" t="n">
        <v>710</v>
      </c>
      <c r="G138" s="59" t="n">
        <f aca="false">F138-H138</f>
        <v>310</v>
      </c>
      <c r="H138" s="58" t="n">
        <v>400</v>
      </c>
      <c r="J138" s="55"/>
      <c r="L138" s="0"/>
    </row>
    <row r="139" customFormat="false" ht="19.85" hidden="false" customHeight="true" outlineLevel="0" collapsed="false">
      <c r="A139" s="0" t="n">
        <v>30</v>
      </c>
      <c r="B139" s="34" t="n">
        <v>41426</v>
      </c>
      <c r="C139" s="56" t="n">
        <f aca="false">182018+39348</f>
        <v>221366</v>
      </c>
      <c r="D139" s="29" t="s">
        <v>41</v>
      </c>
      <c r="E139" s="33" t="n">
        <f aca="false">IF(D139="totale",(C139/(A139*24))/F139,IF(D139="marché libre",(C139/(A139*24))/G139,"spécifier histo"))</f>
        <v>0.433032081377152</v>
      </c>
      <c r="F139" s="59" t="n">
        <v>710</v>
      </c>
      <c r="G139" s="59" t="n">
        <f aca="false">F139-H139</f>
        <v>310</v>
      </c>
      <c r="H139" s="58" t="n">
        <v>400</v>
      </c>
      <c r="J139" s="55"/>
      <c r="L139" s="0"/>
    </row>
    <row r="140" customFormat="false" ht="19.85" hidden="false" customHeight="true" outlineLevel="0" collapsed="false">
      <c r="A140" s="0" t="n">
        <v>31</v>
      </c>
      <c r="B140" s="31" t="n">
        <v>41456</v>
      </c>
      <c r="C140" s="56" t="n">
        <f aca="false">688+61196</f>
        <v>61884</v>
      </c>
      <c r="D140" s="29" t="s">
        <v>41</v>
      </c>
      <c r="E140" s="33" t="n">
        <f aca="false">IF(D140="totale",(C140/(A140*24))/F140,IF(D140="marché libre",(C140/(A140*24))/G140,"spécifier histo"))</f>
        <v>0.11715129486597</v>
      </c>
      <c r="F140" s="59" t="n">
        <v>710</v>
      </c>
      <c r="G140" s="59" t="n">
        <f aca="false">F140-H140</f>
        <v>310</v>
      </c>
      <c r="H140" s="58" t="n">
        <v>400</v>
      </c>
      <c r="J140" s="55"/>
      <c r="L140" s="0"/>
    </row>
    <row r="141" customFormat="false" ht="19.85" hidden="false" customHeight="true" outlineLevel="0" collapsed="false">
      <c r="A141" s="0" t="n">
        <v>31</v>
      </c>
      <c r="B141" s="34" t="n">
        <v>41487</v>
      </c>
      <c r="C141" s="56" t="n">
        <f aca="false">101531+22927</f>
        <v>124458</v>
      </c>
      <c r="D141" s="29" t="s">
        <v>41</v>
      </c>
      <c r="E141" s="33" t="n">
        <f aca="false">IF(D141="totale",(C141/(A141*24))/F141,IF(D141="marché libre",(C141/(A141*24))/G141,"spécifier histo"))</f>
        <v>0.235608814175375</v>
      </c>
      <c r="F141" s="59" t="n">
        <v>710</v>
      </c>
      <c r="G141" s="59" t="n">
        <f aca="false">F141-H141</f>
        <v>310</v>
      </c>
      <c r="H141" s="58" t="n">
        <v>400</v>
      </c>
      <c r="J141" s="55"/>
      <c r="L141" s="0"/>
    </row>
    <row r="142" customFormat="false" ht="19.85" hidden="false" customHeight="true" outlineLevel="0" collapsed="false">
      <c r="A142" s="0" t="n">
        <v>30</v>
      </c>
      <c r="B142" s="31" t="n">
        <v>41518</v>
      </c>
      <c r="C142" s="56" t="n">
        <f aca="false">1451+58146</f>
        <v>59597</v>
      </c>
      <c r="D142" s="29" t="s">
        <v>41</v>
      </c>
      <c r="E142" s="33" t="n">
        <f aca="false">IF(D142="totale",(C142/(A142*24))/F142,IF(D142="marché libre",(C142/(A142*24))/G142,"spécifier histo"))</f>
        <v>0.11658255086072</v>
      </c>
      <c r="F142" s="59" t="n">
        <v>710</v>
      </c>
      <c r="G142" s="59" t="n">
        <f aca="false">F142-H142</f>
        <v>310</v>
      </c>
      <c r="H142" s="58" t="n">
        <v>400</v>
      </c>
      <c r="J142" s="55"/>
      <c r="L142" s="0"/>
    </row>
    <row r="143" customFormat="false" ht="19.85" hidden="false" customHeight="true" outlineLevel="0" collapsed="false">
      <c r="A143" s="0" t="n">
        <v>31</v>
      </c>
      <c r="B143" s="34" t="n">
        <v>41548</v>
      </c>
      <c r="C143" s="56" t="n">
        <f aca="false">223000+3532</f>
        <v>226532</v>
      </c>
      <c r="D143" s="29" t="s">
        <v>41</v>
      </c>
      <c r="E143" s="33" t="n">
        <f aca="false">IF(D143="totale",(C143/(A143*24))/F143,IF(D143="marché libre",(C143/(A143*24))/G143,"spécifier histo"))</f>
        <v>0.428842950174163</v>
      </c>
      <c r="F143" s="59" t="n">
        <v>710</v>
      </c>
      <c r="G143" s="59" t="n">
        <f aca="false">F143-H143</f>
        <v>310</v>
      </c>
      <c r="H143" s="58" t="n">
        <v>400</v>
      </c>
      <c r="J143" s="55"/>
      <c r="L143" s="0"/>
    </row>
    <row r="144" customFormat="false" ht="19.85" hidden="false" customHeight="true" outlineLevel="0" collapsed="false">
      <c r="A144" s="0" t="n">
        <v>30</v>
      </c>
      <c r="B144" s="31" t="n">
        <v>41579</v>
      </c>
      <c r="C144" s="56" t="n">
        <f aca="false">245883+122907</f>
        <v>368790</v>
      </c>
      <c r="D144" s="29" t="s">
        <v>41</v>
      </c>
      <c r="E144" s="33" t="n">
        <f aca="false">IF(D144="totale",(C144/(A144*24))/F144,IF(D144="marché libre",(C144/(A144*24))/G144,"spécifier histo"))</f>
        <v>0.721420187793427</v>
      </c>
      <c r="F144" s="59" t="n">
        <v>710</v>
      </c>
      <c r="G144" s="59" t="n">
        <f aca="false">F144-H144</f>
        <v>310</v>
      </c>
      <c r="H144" s="58" t="n">
        <v>400</v>
      </c>
      <c r="J144" s="55"/>
      <c r="L144" s="0"/>
    </row>
    <row r="145" customFormat="false" ht="19.85" hidden="false" customHeight="true" outlineLevel="0" collapsed="false">
      <c r="A145" s="0" t="n">
        <v>31</v>
      </c>
      <c r="B145" s="34" t="n">
        <v>41609</v>
      </c>
      <c r="C145" s="56" t="n">
        <f aca="false">259804+69091</f>
        <v>328895</v>
      </c>
      <c r="D145" s="29" t="s">
        <v>41</v>
      </c>
      <c r="E145" s="33" t="n">
        <f aca="false">IF(D145="totale",(C145/(A145*24))/F145,IF(D145="marché libre",(C145/(A145*24))/G145,"spécifier histo"))</f>
        <v>0.622624185976072</v>
      </c>
      <c r="F145" s="59" t="n">
        <v>710</v>
      </c>
      <c r="G145" s="59" t="n">
        <f aca="false">F145-H145</f>
        <v>310</v>
      </c>
      <c r="H145" s="58" t="n">
        <v>400</v>
      </c>
      <c r="J145" s="55"/>
      <c r="L145" s="0"/>
    </row>
    <row r="146" customFormat="false" ht="19.85" hidden="false" customHeight="true" outlineLevel="0" collapsed="false">
      <c r="A146" s="0" t="n">
        <v>31</v>
      </c>
      <c r="B146" s="31" t="n">
        <v>41640</v>
      </c>
      <c r="C146" s="56" t="n">
        <f aca="false">288651+140040</f>
        <v>428691</v>
      </c>
      <c r="D146" s="29" t="s">
        <v>41</v>
      </c>
      <c r="E146" s="33" t="n">
        <f aca="false">IF(D146="totale",(C146/(A146*24))/F146,IF(D146="marché libre",(C146/(A146*24))/G146,"spécifier histo"))</f>
        <v>0.811545888232622</v>
      </c>
      <c r="F146" s="59" t="n">
        <v>710</v>
      </c>
      <c r="G146" s="59" t="n">
        <f aca="false">F146-H146</f>
        <v>310</v>
      </c>
      <c r="H146" s="58" t="n">
        <v>400</v>
      </c>
      <c r="J146" s="55"/>
      <c r="L146" s="0"/>
    </row>
    <row r="147" customFormat="false" ht="19.85" hidden="false" customHeight="true" outlineLevel="0" collapsed="false">
      <c r="A147" s="0" t="n">
        <v>28</v>
      </c>
      <c r="B147" s="34" t="n">
        <v>41671</v>
      </c>
      <c r="C147" s="56" t="n">
        <f aca="false">240028+132415</f>
        <v>372443</v>
      </c>
      <c r="D147" s="29" t="s">
        <v>41</v>
      </c>
      <c r="E147" s="33" t="n">
        <f aca="false">IF(D147="totale",(C147/(A147*24))/F147,IF(D147="marché libre",(C147/(A147*24))/G147,"spécifier histo"))</f>
        <v>0.780606556002683</v>
      </c>
      <c r="F147" s="59" t="n">
        <v>710</v>
      </c>
      <c r="G147" s="59" t="n">
        <f aca="false">F147-H147</f>
        <v>310</v>
      </c>
      <c r="H147" s="58" t="n">
        <v>400</v>
      </c>
      <c r="J147" s="55"/>
      <c r="L147" s="0"/>
    </row>
    <row r="148" customFormat="false" ht="19.85" hidden="false" customHeight="true" outlineLevel="0" collapsed="false">
      <c r="A148" s="0" t="n">
        <v>31</v>
      </c>
      <c r="B148" s="31" t="n">
        <v>41699</v>
      </c>
      <c r="C148" s="56" t="n">
        <f aca="false">163848+283312</f>
        <v>447160</v>
      </c>
      <c r="D148" s="29" t="s">
        <v>41</v>
      </c>
      <c r="E148" s="33" t="n">
        <f aca="false">IF(D148="totale",(C148/(A148*24))/F148,IF(D148="marché libre",(C148/(A148*24))/G148,"spécifier histo"))</f>
        <v>0.846509162501893</v>
      </c>
      <c r="F148" s="59" t="n">
        <v>710</v>
      </c>
      <c r="G148" s="59" t="n">
        <f aca="false">F148-H148</f>
        <v>310</v>
      </c>
      <c r="H148" s="58" t="n">
        <v>400</v>
      </c>
      <c r="J148" s="55"/>
      <c r="L148" s="0"/>
    </row>
    <row r="149" customFormat="false" ht="19.85" hidden="false" customHeight="true" outlineLevel="0" collapsed="false">
      <c r="A149" s="0" t="n">
        <v>30</v>
      </c>
      <c r="B149" s="34" t="n">
        <v>41730</v>
      </c>
      <c r="C149" s="56" t="n">
        <f aca="false">202876+27801</f>
        <v>230677</v>
      </c>
      <c r="D149" s="29" t="s">
        <v>41</v>
      </c>
      <c r="E149" s="33" t="n">
        <f aca="false">IF(D149="totale",(C149/(A149*24))/F149,IF(D149="marché libre",(C149/(A149*24))/G149,"spécifier histo"))</f>
        <v>0.451246087636933</v>
      </c>
      <c r="F149" s="59" t="n">
        <v>710</v>
      </c>
      <c r="G149" s="59" t="n">
        <f aca="false">F149-H149</f>
        <v>310</v>
      </c>
      <c r="H149" s="58" t="n">
        <v>400</v>
      </c>
      <c r="J149" s="55"/>
      <c r="L149" s="0"/>
    </row>
    <row r="150" customFormat="false" ht="19.85" hidden="false" customHeight="true" outlineLevel="0" collapsed="false">
      <c r="A150" s="0" t="n">
        <v>31</v>
      </c>
      <c r="B150" s="31" t="n">
        <v>41760</v>
      </c>
      <c r="C150" s="56" t="n">
        <f aca="false">145988+188</f>
        <v>146176</v>
      </c>
      <c r="D150" s="29" t="s">
        <v>41</v>
      </c>
      <c r="E150" s="33" t="n">
        <f aca="false">IF(D150="totale",(C150/(A150*24))/F150,IF(D150="marché libre",(C150/(A150*24))/G150,"spécifier histo"))</f>
        <v>0.276722701802211</v>
      </c>
      <c r="F150" s="59" t="n">
        <v>710</v>
      </c>
      <c r="G150" s="59" t="n">
        <f aca="false">F150-H150</f>
        <v>310</v>
      </c>
      <c r="H150" s="58" t="n">
        <v>400</v>
      </c>
      <c r="J150" s="55"/>
      <c r="L150" s="0"/>
    </row>
    <row r="151" customFormat="false" ht="19.85" hidden="false" customHeight="true" outlineLevel="0" collapsed="false">
      <c r="A151" s="0" t="n">
        <v>30</v>
      </c>
      <c r="B151" s="34" t="n">
        <v>41791</v>
      </c>
      <c r="C151" s="56" t="n">
        <f aca="false">11076+35</f>
        <v>11111</v>
      </c>
      <c r="D151" s="29" t="s">
        <v>41</v>
      </c>
      <c r="E151" s="33" t="n">
        <f aca="false">IF(D151="totale",(C151/(A151*24))/F151,IF(D151="marché libre",(C151/(A151*24))/G151,"spécifier histo"))</f>
        <v>0.0217351330203443</v>
      </c>
      <c r="F151" s="59" t="n">
        <v>710</v>
      </c>
      <c r="G151" s="59" t="n">
        <f aca="false">F151-H151</f>
        <v>310</v>
      </c>
      <c r="H151" s="58" t="n">
        <v>400</v>
      </c>
      <c r="J151" s="55"/>
      <c r="L151" s="0"/>
    </row>
    <row r="152" customFormat="false" ht="19.85" hidden="false" customHeight="true" outlineLevel="0" collapsed="false">
      <c r="A152" s="0" t="n">
        <v>31</v>
      </c>
      <c r="B152" s="31" t="n">
        <v>41821</v>
      </c>
      <c r="C152" s="56" t="n">
        <f aca="false">0</f>
        <v>0</v>
      </c>
      <c r="D152" s="29" t="s">
        <v>41</v>
      </c>
      <c r="E152" s="33" t="n">
        <f aca="false">IF(D152="totale",(C152/(A152*24))/F152,IF(D152="marché libre",(C152/(A152*24))/G152,"spécifier histo"))</f>
        <v>0</v>
      </c>
      <c r="F152" s="59" t="n">
        <v>710</v>
      </c>
      <c r="G152" s="59" t="n">
        <f aca="false">F152-H152</f>
        <v>310</v>
      </c>
      <c r="H152" s="58" t="n">
        <v>400</v>
      </c>
      <c r="J152" s="55"/>
      <c r="L152" s="0"/>
    </row>
    <row r="153" customFormat="false" ht="19.85" hidden="false" customHeight="true" outlineLevel="0" collapsed="false">
      <c r="A153" s="0" t="n">
        <v>31</v>
      </c>
      <c r="B153" s="34" t="n">
        <v>41852</v>
      </c>
      <c r="C153" s="56" t="n">
        <v>0</v>
      </c>
      <c r="D153" s="29" t="s">
        <v>41</v>
      </c>
      <c r="E153" s="33" t="n">
        <f aca="false">IF(D153="totale",(C153/(A153*24))/F153,IF(D153="marché libre",(C153/(A153*24))/G153,"spécifier histo"))</f>
        <v>0</v>
      </c>
      <c r="F153" s="59" t="n">
        <v>710</v>
      </c>
      <c r="G153" s="59" t="n">
        <f aca="false">F153-H153</f>
        <v>310</v>
      </c>
      <c r="H153" s="58" t="n">
        <v>400</v>
      </c>
      <c r="J153" s="55"/>
      <c r="L153" s="0"/>
    </row>
    <row r="154" customFormat="false" ht="19.85" hidden="false" customHeight="true" outlineLevel="0" collapsed="false">
      <c r="A154" s="0" t="n">
        <v>30</v>
      </c>
      <c r="B154" s="31" t="n">
        <v>41883</v>
      </c>
      <c r="C154" s="56" t="n">
        <f aca="false">0</f>
        <v>0</v>
      </c>
      <c r="D154" s="29" t="s">
        <v>41</v>
      </c>
      <c r="E154" s="33" t="n">
        <f aca="false">IF(D154="totale",(C154/(A154*24))/F154,IF(D154="marché libre",(C154/(A154*24))/G154,"spécifier histo"))</f>
        <v>0</v>
      </c>
      <c r="F154" s="59" t="n">
        <v>710</v>
      </c>
      <c r="G154" s="59" t="n">
        <f aca="false">F154-H154</f>
        <v>310</v>
      </c>
      <c r="H154" s="58" t="n">
        <v>400</v>
      </c>
      <c r="J154" s="55"/>
      <c r="L154" s="0"/>
    </row>
    <row r="155" customFormat="false" ht="19.85" hidden="false" customHeight="true" outlineLevel="0" collapsed="false">
      <c r="A155" s="0" t="n">
        <v>31</v>
      </c>
      <c r="B155" s="34" t="n">
        <v>41913</v>
      </c>
      <c r="C155" s="56" t="n">
        <v>0</v>
      </c>
      <c r="D155" s="29" t="s">
        <v>41</v>
      </c>
      <c r="E155" s="33" t="n">
        <f aca="false">IF(D155="totale",(C155/(A155*24))/F155,IF(D155="marché libre",(C155/(A155*24))/G155,"spécifier histo"))</f>
        <v>0</v>
      </c>
      <c r="F155" s="59" t="n">
        <v>710</v>
      </c>
      <c r="G155" s="59" t="n">
        <f aca="false">F155-H155</f>
        <v>310</v>
      </c>
      <c r="H155" s="58" t="n">
        <v>400</v>
      </c>
      <c r="J155" s="55"/>
      <c r="L155" s="0"/>
    </row>
    <row r="156" customFormat="false" ht="19.85" hidden="false" customHeight="true" outlineLevel="0" collapsed="false">
      <c r="A156" s="0" t="n">
        <v>30</v>
      </c>
      <c r="B156" s="31" t="n">
        <v>41944</v>
      </c>
      <c r="C156" s="56" t="n">
        <f aca="false">167633+16492</f>
        <v>184125</v>
      </c>
      <c r="D156" s="29" t="s">
        <v>41</v>
      </c>
      <c r="E156" s="33" t="n">
        <f aca="false">IF(D156="totale",(C156/(A156*24))/F156,IF(D156="marché libre",(C156/(A156*24))/G156,"spécifier histo"))</f>
        <v>0.360181924882629</v>
      </c>
      <c r="F156" s="59" t="n">
        <v>710</v>
      </c>
      <c r="G156" s="59" t="n">
        <f aca="false">F156-H156</f>
        <v>310</v>
      </c>
      <c r="H156" s="58" t="n">
        <v>400</v>
      </c>
      <c r="J156" s="55"/>
      <c r="L156" s="0"/>
    </row>
    <row r="157" customFormat="false" ht="19.95" hidden="false" customHeight="true" outlineLevel="0" collapsed="false">
      <c r="A157" s="0" t="n">
        <v>31</v>
      </c>
      <c r="B157" s="34" t="n">
        <v>41974</v>
      </c>
      <c r="C157" s="56" t="n">
        <f aca="false">284558+77269</f>
        <v>361827</v>
      </c>
      <c r="D157" s="29" t="s">
        <v>41</v>
      </c>
      <c r="E157" s="33" t="n">
        <f aca="false">IF(D157="totale",(C157/(A157*24))/F157,IF(D157="marché libre",(C157/(A157*24))/G157,"spécifier histo"))</f>
        <v>0.684967060427079</v>
      </c>
      <c r="F157" s="59" t="n">
        <v>710</v>
      </c>
      <c r="G157" s="59" t="n">
        <f aca="false">F157-H157</f>
        <v>310</v>
      </c>
      <c r="H157" s="58" t="n">
        <v>400</v>
      </c>
      <c r="J157" s="55"/>
      <c r="L157" s="0"/>
    </row>
    <row r="158" customFormat="false" ht="19.85" hidden="false" customHeight="true" outlineLevel="0" collapsed="false">
      <c r="A158" s="0" t="n">
        <v>31</v>
      </c>
      <c r="B158" s="31" t="n">
        <v>42005</v>
      </c>
      <c r="C158" s="56" t="n">
        <f aca="false">262008+52056</f>
        <v>314064</v>
      </c>
      <c r="D158" s="29" t="s">
        <v>41</v>
      </c>
      <c r="E158" s="33" t="n">
        <f aca="false">IF(D158="totale",(C158/(A158*24))/F158,IF(D158="marché libre",(C158/(A158*24))/G158,"spécifier histo"))</f>
        <v>0.594547932757837</v>
      </c>
      <c r="F158" s="59" t="n">
        <v>710</v>
      </c>
      <c r="G158" s="59" t="n">
        <f aca="false">F158-H158</f>
        <v>310</v>
      </c>
      <c r="H158" s="58" t="n">
        <v>400</v>
      </c>
      <c r="J158" s="55"/>
      <c r="L158" s="0"/>
    </row>
    <row r="159" customFormat="false" ht="19.85" hidden="false" customHeight="true" outlineLevel="0" collapsed="false">
      <c r="A159" s="0" t="n">
        <v>28</v>
      </c>
      <c r="B159" s="34" t="n">
        <v>42036</v>
      </c>
      <c r="C159" s="56" t="n">
        <f aca="false">166446+9312</f>
        <v>175758</v>
      </c>
      <c r="D159" s="29" t="s">
        <v>41</v>
      </c>
      <c r="E159" s="33" t="n">
        <f aca="false">IF(D159="totale",(C159/(A159*24))/F159,IF(D159="marché libre",(C159/(A159*24))/G159,"spécifier histo"))</f>
        <v>0.368372736418511</v>
      </c>
      <c r="F159" s="59" t="n">
        <v>710</v>
      </c>
      <c r="G159" s="59" t="n">
        <f aca="false">F159-H159</f>
        <v>310</v>
      </c>
      <c r="H159" s="58" t="n">
        <v>400</v>
      </c>
      <c r="J159" s="55"/>
      <c r="L159" s="0"/>
    </row>
    <row r="160" customFormat="false" ht="19.85" hidden="false" customHeight="true" outlineLevel="0" collapsed="false">
      <c r="A160" s="0" t="n">
        <v>31</v>
      </c>
      <c r="B160" s="31" t="n">
        <v>42064</v>
      </c>
      <c r="C160" s="56" t="n">
        <f aca="false">279354+168344</f>
        <v>447698</v>
      </c>
      <c r="D160" s="29" t="s">
        <v>41</v>
      </c>
      <c r="E160" s="33" t="n">
        <f aca="false">IF(D160="totale",(C160/(A160*24))/F160,IF(D160="marché libre",(C160/(A160*24))/G160,"spécifier histo"))</f>
        <v>0.847527638951992</v>
      </c>
      <c r="F160" s="59" t="n">
        <v>710</v>
      </c>
      <c r="G160" s="59" t="n">
        <f aca="false">F160-H160</f>
        <v>310</v>
      </c>
      <c r="H160" s="58" t="n">
        <v>400</v>
      </c>
      <c r="J160" s="55"/>
      <c r="L160" s="0"/>
    </row>
    <row r="161" customFormat="false" ht="19.85" hidden="false" customHeight="true" outlineLevel="0" collapsed="false">
      <c r="A161" s="0" t="n">
        <v>30</v>
      </c>
      <c r="B161" s="34" t="n">
        <v>42095</v>
      </c>
      <c r="C161" s="56" t="n">
        <f aca="false">241931+41564</f>
        <v>283495</v>
      </c>
      <c r="D161" s="29" t="s">
        <v>41</v>
      </c>
      <c r="E161" s="33" t="n">
        <f aca="false">IF(D161="totale",(C161/(A161*24))/F161,IF(D161="marché libre",(C161/(A161*24))/G161,"spécifier histo"))</f>
        <v>0.554567683881064</v>
      </c>
      <c r="F161" s="59" t="n">
        <v>710</v>
      </c>
      <c r="G161" s="59" t="n">
        <f aca="false">F161-H161</f>
        <v>310</v>
      </c>
      <c r="H161" s="58" t="n">
        <v>400</v>
      </c>
      <c r="J161" s="55"/>
      <c r="L161" s="0"/>
    </row>
    <row r="162" customFormat="false" ht="19.85" hidden="false" customHeight="true" outlineLevel="0" collapsed="false">
      <c r="A162" s="0" t="n">
        <v>31</v>
      </c>
      <c r="B162" s="31" t="n">
        <v>42125</v>
      </c>
      <c r="C162" s="56" t="n">
        <f aca="false">166767</f>
        <v>166767</v>
      </c>
      <c r="D162" s="29" t="s">
        <v>41</v>
      </c>
      <c r="E162" s="33" t="n">
        <f aca="false">IF(D162="totale",(C162/(A162*24))/F162,IF(D162="marché libre",(C162/(A162*24))/G162,"spécifier histo"))</f>
        <v>0.315703089504771</v>
      </c>
      <c r="F162" s="59" t="n">
        <v>710</v>
      </c>
      <c r="G162" s="59" t="n">
        <f aca="false">F162-H162</f>
        <v>310</v>
      </c>
      <c r="H162" s="58" t="n">
        <v>400</v>
      </c>
      <c r="J162" s="55"/>
      <c r="L162" s="0"/>
    </row>
    <row r="163" customFormat="false" ht="19.85" hidden="false" customHeight="true" outlineLevel="0" collapsed="false">
      <c r="A163" s="0" t="n">
        <v>30</v>
      </c>
      <c r="B163" s="34" t="n">
        <v>42156</v>
      </c>
      <c r="C163" s="56" t="n">
        <f aca="false">12293</f>
        <v>12293</v>
      </c>
      <c r="D163" s="29" t="s">
        <v>41</v>
      </c>
      <c r="E163" s="33" t="n">
        <f aca="false">IF(D163="totale",(C163/(A163*24))/F163,IF(D163="marché libre",(C163/(A163*24))/G163,"spécifier histo"))</f>
        <v>0.0240473395931142</v>
      </c>
      <c r="F163" s="59" t="n">
        <v>710</v>
      </c>
      <c r="G163" s="59" t="n">
        <f aca="false">F163-H163</f>
        <v>310</v>
      </c>
      <c r="H163" s="58" t="n">
        <v>400</v>
      </c>
      <c r="J163" s="55"/>
      <c r="L163" s="0"/>
    </row>
    <row r="164" customFormat="false" ht="19.85" hidden="false" customHeight="true" outlineLevel="0" collapsed="false">
      <c r="A164" s="0" t="n">
        <v>31</v>
      </c>
      <c r="B164" s="31" t="n">
        <v>42186</v>
      </c>
      <c r="C164" s="56" t="n">
        <v>0</v>
      </c>
      <c r="D164" s="29" t="s">
        <v>41</v>
      </c>
      <c r="E164" s="33" t="n">
        <f aca="false">IF(D164="totale",(C164/(A164*24))/F164,IF(D164="marché libre",(C164/(A164*24))/G164,"spécifier histo"))</f>
        <v>0</v>
      </c>
      <c r="F164" s="59" t="n">
        <v>710</v>
      </c>
      <c r="G164" s="59" t="n">
        <f aca="false">F164-H164</f>
        <v>310</v>
      </c>
      <c r="H164" s="58" t="n">
        <v>400</v>
      </c>
      <c r="J164" s="55"/>
      <c r="L164" s="0"/>
    </row>
    <row r="165" customFormat="false" ht="19.85" hidden="false" customHeight="true" outlineLevel="0" collapsed="false">
      <c r="A165" s="0" t="n">
        <v>31</v>
      </c>
      <c r="B165" s="34" t="n">
        <v>42217</v>
      </c>
      <c r="C165" s="56" t="n">
        <v>0</v>
      </c>
      <c r="D165" s="29" t="s">
        <v>41</v>
      </c>
      <c r="E165" s="33" t="n">
        <f aca="false">IF(D165="totale",(C165/(A165*24))/F165,IF(D165="marché libre",(C165/(A165*24))/G165,"spécifier histo"))</f>
        <v>0</v>
      </c>
      <c r="F165" s="59" t="n">
        <v>710</v>
      </c>
      <c r="G165" s="59" t="n">
        <f aca="false">F165-H165</f>
        <v>310</v>
      </c>
      <c r="H165" s="58" t="n">
        <v>400</v>
      </c>
      <c r="J165" s="55"/>
      <c r="L165" s="0"/>
    </row>
    <row r="166" customFormat="false" ht="19.85" hidden="false" customHeight="true" outlineLevel="0" collapsed="false">
      <c r="A166" s="0" t="n">
        <v>30</v>
      </c>
      <c r="B166" s="31" t="n">
        <v>42248</v>
      </c>
      <c r="C166" s="56" t="n">
        <v>17490</v>
      </c>
      <c r="D166" s="29" t="s">
        <v>41</v>
      </c>
      <c r="E166" s="33" t="n">
        <f aca="false">IF(D166="totale",(C166/(A166*24))/F166,IF(D166="marché libre",(C166/(A166*24))/G166,"spécifier histo"))</f>
        <v>0.0342136150234742</v>
      </c>
      <c r="F166" s="59" t="n">
        <v>710</v>
      </c>
      <c r="G166" s="59" t="n">
        <f aca="false">F166-H166</f>
        <v>310</v>
      </c>
      <c r="H166" s="58" t="n">
        <v>400</v>
      </c>
      <c r="J166" s="55"/>
      <c r="L166" s="0"/>
    </row>
    <row r="167" customFormat="false" ht="19.85" hidden="false" customHeight="true" outlineLevel="0" collapsed="false">
      <c r="A167" s="0" t="n">
        <v>31</v>
      </c>
      <c r="B167" s="34" t="n">
        <v>42278</v>
      </c>
      <c r="C167" s="56" t="n">
        <f aca="false">50112+108</f>
        <v>50220</v>
      </c>
      <c r="D167" s="29" t="s">
        <v>41</v>
      </c>
      <c r="E167" s="33" t="n">
        <f aca="false">IF(D167="totale",(C167/(A167*24))/F167,IF(D167="marché libre",(C167/(A167*24))/G167,"spécifier histo"))</f>
        <v>0.0950704225352113</v>
      </c>
      <c r="F167" s="59" t="n">
        <v>710</v>
      </c>
      <c r="G167" s="59" t="n">
        <f aca="false">F167-H167</f>
        <v>310</v>
      </c>
      <c r="H167" s="58" t="n">
        <v>400</v>
      </c>
      <c r="J167" s="55"/>
      <c r="L167" s="0"/>
    </row>
    <row r="168" customFormat="false" ht="19.85" hidden="false" customHeight="true" outlineLevel="0" collapsed="false">
      <c r="A168" s="0" t="n">
        <v>30</v>
      </c>
      <c r="B168" s="31" t="n">
        <v>42309</v>
      </c>
      <c r="C168" s="56" t="n">
        <f aca="false">88953+93</f>
        <v>89046</v>
      </c>
      <c r="D168" s="29" t="s">
        <v>41</v>
      </c>
      <c r="E168" s="33" t="n">
        <f aca="false">IF(D168="totale",(C168/(A168*24))/F168,IF(D168="marché libre",(C168/(A168*24))/G168,"spécifier histo"))</f>
        <v>0.17419014084507</v>
      </c>
      <c r="F168" s="59" t="n">
        <v>710</v>
      </c>
      <c r="G168" s="59" t="n">
        <f aca="false">F168-H168</f>
        <v>310</v>
      </c>
      <c r="H168" s="58" t="n">
        <v>400</v>
      </c>
      <c r="J168" s="55"/>
    </row>
    <row r="169" customFormat="false" ht="19.85" hidden="false" customHeight="true" outlineLevel="0" collapsed="false">
      <c r="A169" s="0" t="n">
        <v>31</v>
      </c>
      <c r="B169" s="34" t="n">
        <v>42339</v>
      </c>
      <c r="C169" s="56" t="n">
        <f aca="false">145455+115</f>
        <v>145570</v>
      </c>
      <c r="D169" s="29" t="s">
        <v>41</v>
      </c>
      <c r="E169" s="33" t="n">
        <f aca="false">IF(D169="totale",(C169/(A169*24))/F169,IF(D169="marché libre",(C169/(A169*24))/G169,"spécifier histo"))</f>
        <v>0.275575495986673</v>
      </c>
      <c r="F169" s="59" t="n">
        <v>710</v>
      </c>
      <c r="G169" s="59" t="n">
        <f aca="false">F169-H169</f>
        <v>310</v>
      </c>
      <c r="H169" s="58" t="n">
        <v>400</v>
      </c>
      <c r="J169" s="55"/>
    </row>
    <row r="170" customFormat="false" ht="19.85" hidden="false" customHeight="true" outlineLevel="0" collapsed="false">
      <c r="A170" s="0" t="n">
        <v>31</v>
      </c>
      <c r="B170" s="31" t="n">
        <v>42370</v>
      </c>
      <c r="C170" s="56" t="n">
        <f aca="false">254189+20264</f>
        <v>274453</v>
      </c>
      <c r="D170" s="29" t="s">
        <v>41</v>
      </c>
      <c r="E170" s="33" t="n">
        <f aca="false">IF(D170="totale",(C170/(A170*24))/F170,IF(D170="marché libre",(C170/(A170*24))/G170,"spécifier histo"))</f>
        <v>0.519561184310162</v>
      </c>
      <c r="F170" s="59" t="n">
        <v>710</v>
      </c>
      <c r="G170" s="59" t="n">
        <f aca="false">F170-H170</f>
        <v>310</v>
      </c>
      <c r="H170" s="58" t="n">
        <v>400</v>
      </c>
      <c r="J170" s="55"/>
    </row>
    <row r="171" customFormat="false" ht="19.85" hidden="false" customHeight="true" outlineLevel="0" collapsed="false">
      <c r="A171" s="0" t="n">
        <v>28</v>
      </c>
      <c r="B171" s="34" t="n">
        <v>42401</v>
      </c>
      <c r="C171" s="56" t="n">
        <f aca="false">263183+107485</f>
        <v>370668</v>
      </c>
      <c r="D171" s="29" t="s">
        <v>41</v>
      </c>
      <c r="E171" s="33" t="n">
        <f aca="false">IF(D171="totale",(C171/(A171*24))/F171,IF(D171="marché libre",(C171/(A171*24))/G171,"spécifier histo"))</f>
        <v>0.776886317907445</v>
      </c>
      <c r="F171" s="59" t="n">
        <v>710</v>
      </c>
      <c r="G171" s="59" t="n">
        <f aca="false">F171-H171</f>
        <v>310</v>
      </c>
      <c r="H171" s="58" t="n">
        <v>400</v>
      </c>
      <c r="J171" s="55"/>
    </row>
    <row r="172" customFormat="false" ht="19.85" hidden="false" customHeight="true" outlineLevel="0" collapsed="false">
      <c r="A172" s="0" t="n">
        <v>31</v>
      </c>
      <c r="B172" s="31" t="n">
        <v>42430</v>
      </c>
      <c r="C172" s="56" t="n">
        <f aca="false">291236+160428</f>
        <v>451664</v>
      </c>
      <c r="D172" s="29" t="s">
        <v>41</v>
      </c>
      <c r="E172" s="33" t="n">
        <f aca="false">IF(D172="totale",(C172/(A172*24))/F172,IF(D172="marché libre",(C172/(A172*24))/G172,"spécifier histo"))</f>
        <v>0.855035589883386</v>
      </c>
      <c r="F172" s="59" t="n">
        <v>710</v>
      </c>
      <c r="G172" s="59" t="n">
        <f aca="false">F172-H172</f>
        <v>310</v>
      </c>
      <c r="H172" s="58" t="n">
        <v>400</v>
      </c>
      <c r="J172" s="55"/>
    </row>
    <row r="173" customFormat="false" ht="19.85" hidden="false" customHeight="true" outlineLevel="0" collapsed="false">
      <c r="A173" s="0" t="n">
        <v>30</v>
      </c>
      <c r="B173" s="34" t="n">
        <v>42461</v>
      </c>
      <c r="C173" s="9" t="n">
        <f aca="false">271307+146863</f>
        <v>418170</v>
      </c>
      <c r="D173" s="29" t="s">
        <v>41</v>
      </c>
      <c r="E173" s="33" t="n">
        <f aca="false">IF(D173="totale",(C173/(A173*24))/F173,IF(D173="marché libre",(C173/(A173*24))/G173,"spécifier histo"))</f>
        <v>0.818016431924883</v>
      </c>
      <c r="F173" s="59" t="n">
        <v>710</v>
      </c>
      <c r="G173" s="59" t="n">
        <f aca="false">F173-H173</f>
        <v>310</v>
      </c>
      <c r="H173" s="58" t="n">
        <v>400</v>
      </c>
      <c r="J173" s="55"/>
    </row>
    <row r="174" customFormat="false" ht="19.85" hidden="false" customHeight="true" outlineLevel="0" collapsed="false">
      <c r="A174" s="0" t="n">
        <v>31</v>
      </c>
      <c r="B174" s="31" t="n">
        <v>42491</v>
      </c>
      <c r="C174" s="9" t="n">
        <f aca="false">246546+246993</f>
        <v>493539</v>
      </c>
      <c r="D174" s="29" t="s">
        <v>41</v>
      </c>
      <c r="E174" s="33" t="n">
        <f aca="false">IF(D174="totale",(C174/(A174*24))/F174,IF(D174="marché libre",(C174/(A174*24))/G174,"spécifier histo"))</f>
        <v>0.934308268968651</v>
      </c>
      <c r="F174" s="59" t="n">
        <v>710</v>
      </c>
      <c r="G174" s="59" t="n">
        <f aca="false">F174-H174</f>
        <v>310</v>
      </c>
      <c r="H174" s="58" t="n">
        <v>400</v>
      </c>
      <c r="J174" s="55"/>
      <c r="K174" s="63"/>
    </row>
    <row r="175" customFormat="false" ht="19.85" hidden="false" customHeight="true" outlineLevel="0" collapsed="false">
      <c r="A175" s="0" t="n">
        <v>30</v>
      </c>
      <c r="B175" s="34" t="n">
        <v>42522</v>
      </c>
      <c r="C175" s="56" t="n">
        <f aca="false">217+226974</f>
        <v>227191</v>
      </c>
      <c r="D175" s="29" t="s">
        <v>41</v>
      </c>
      <c r="E175" s="33" t="n">
        <f aca="false">IF(D175="totale",(C175/(A175*24))/F175,IF(D175="marché libre",(C175/(A175*24))/G175,"spécifier histo"))</f>
        <v>0.444426838810642</v>
      </c>
      <c r="F175" s="59" t="n">
        <v>710</v>
      </c>
      <c r="G175" s="59" t="n">
        <f aca="false">F175-H175</f>
        <v>310</v>
      </c>
      <c r="H175" s="58" t="n">
        <v>400</v>
      </c>
      <c r="I175" s="58"/>
      <c r="J175" s="55"/>
      <c r="K175" s="63"/>
    </row>
    <row r="176" customFormat="false" ht="19.85" hidden="false" customHeight="true" outlineLevel="0" collapsed="false">
      <c r="A176" s="0" t="n">
        <v>31</v>
      </c>
      <c r="B176" s="31" t="n">
        <v>42552</v>
      </c>
      <c r="C176" s="56" t="n">
        <f aca="false">11640+29</f>
        <v>11669</v>
      </c>
      <c r="D176" s="29" t="s">
        <v>41</v>
      </c>
      <c r="E176" s="33" t="n">
        <f aca="false">IF(D176="totale",(C176/(A176*24))/F176,IF(D176="marché libre",(C176/(A176*24))/G176,"spécifier histo"))</f>
        <v>0.0220903377252764</v>
      </c>
      <c r="F176" s="59" t="n">
        <v>710</v>
      </c>
      <c r="G176" s="59" t="n">
        <f aca="false">F176-H176</f>
        <v>310</v>
      </c>
      <c r="H176" s="58" t="n">
        <v>400</v>
      </c>
      <c r="I176" s="58"/>
      <c r="J176" s="55"/>
      <c r="K176" s="63"/>
    </row>
    <row r="177" customFormat="false" ht="19.85" hidden="false" customHeight="true" outlineLevel="0" collapsed="false">
      <c r="A177" s="0" t="n">
        <v>31</v>
      </c>
      <c r="B177" s="34" t="n">
        <v>42583</v>
      </c>
      <c r="C177" s="56" t="n">
        <f aca="false">0</f>
        <v>0</v>
      </c>
      <c r="D177" s="29" t="s">
        <v>41</v>
      </c>
      <c r="E177" s="33" t="n">
        <f aca="false">IF(D177="totale",(C177/(A177*24))/F177,IF(D177="marché libre",(C177/(A177*24))/G177,"spécifier histo"))</f>
        <v>0</v>
      </c>
      <c r="F177" s="59" t="n">
        <v>710</v>
      </c>
      <c r="G177" s="59" t="n">
        <f aca="false">F177-H177</f>
        <v>310</v>
      </c>
      <c r="H177" s="58" t="n">
        <v>400</v>
      </c>
      <c r="I177" s="58"/>
      <c r="J177" s="55"/>
    </row>
    <row r="178" customFormat="false" ht="19.85" hidden="false" customHeight="true" outlineLevel="0" collapsed="false">
      <c r="A178" s="0" t="n">
        <v>30</v>
      </c>
      <c r="B178" s="31" t="n">
        <v>42614</v>
      </c>
      <c r="C178" s="56" t="n">
        <f aca="false">56+0</f>
        <v>56</v>
      </c>
      <c r="D178" s="29" t="s">
        <v>41</v>
      </c>
      <c r="E178" s="33" t="n">
        <f aca="false">IF(D178="totale",(C178/(A178*24))/F178,IF(D178="marché libre",(C178/(A178*24))/G178,"spécifier histo"))</f>
        <v>0.000109546165884194</v>
      </c>
      <c r="F178" s="59" t="n">
        <v>710</v>
      </c>
      <c r="G178" s="59" t="n">
        <f aca="false">F178-H178</f>
        <v>310</v>
      </c>
      <c r="H178" s="58" t="n">
        <v>400</v>
      </c>
      <c r="I178" s="58"/>
      <c r="J178" s="55"/>
    </row>
    <row r="179" customFormat="false" ht="19.85" hidden="false" customHeight="true" outlineLevel="0" collapsed="false">
      <c r="A179" s="0" t="n">
        <v>31</v>
      </c>
      <c r="B179" s="34" t="n">
        <v>42644</v>
      </c>
      <c r="C179" s="56" t="n">
        <f aca="false">15051+46</f>
        <v>15097</v>
      </c>
      <c r="D179" s="29" t="s">
        <v>41</v>
      </c>
      <c r="E179" s="33" t="n">
        <f aca="false">IF(D179="totale",(C179/(A179*24))/F179,IF(D179="marché libre",(C179/(A179*24))/G179,"spécifier histo"))</f>
        <v>0.0285798122065728</v>
      </c>
      <c r="F179" s="59" t="n">
        <v>710</v>
      </c>
      <c r="G179" s="59" t="n">
        <f aca="false">F179-H179</f>
        <v>310</v>
      </c>
      <c r="H179" s="58" t="n">
        <v>400</v>
      </c>
      <c r="I179" s="58"/>
      <c r="J179" s="55"/>
    </row>
    <row r="180" customFormat="false" ht="19.85" hidden="false" customHeight="true" outlineLevel="0" collapsed="false">
      <c r="A180" s="0" t="n">
        <v>30</v>
      </c>
      <c r="B180" s="31" t="n">
        <v>42675</v>
      </c>
      <c r="C180" s="59" t="n">
        <f aca="false">131879+432</f>
        <v>132311</v>
      </c>
      <c r="D180" s="29" t="s">
        <v>41</v>
      </c>
      <c r="E180" s="33" t="n">
        <f aca="false">IF(D180="totale",(C180/(A180*24))/F180,IF(D180="marché libre",(C180/(A180*24))/G180,"spécifier histo"))</f>
        <v>0.258824334898279</v>
      </c>
      <c r="F180" s="59" t="n">
        <v>710</v>
      </c>
      <c r="G180" s="59" t="n">
        <f aca="false">F180-H180</f>
        <v>310</v>
      </c>
      <c r="H180" s="58" t="n">
        <v>400</v>
      </c>
      <c r="I180" s="58"/>
      <c r="J180" s="55"/>
    </row>
    <row r="181" customFormat="false" ht="19.85" hidden="false" customHeight="true" outlineLevel="0" collapsed="false">
      <c r="A181" s="0" t="n">
        <v>31</v>
      </c>
      <c r="B181" s="34" t="n">
        <v>42705</v>
      </c>
      <c r="C181" s="60" t="n">
        <f aca="false">218+152593</f>
        <v>152811</v>
      </c>
      <c r="D181" s="29" t="s">
        <v>41</v>
      </c>
      <c r="E181" s="33" t="n">
        <f aca="false">IF(D181="totale",(C181/(A181*24))/F181,IF(D181="marché libre",(C181/(A181*24))/G181,"spécifier histo"))</f>
        <v>0.289283280327124</v>
      </c>
      <c r="F181" s="59" t="n">
        <v>710</v>
      </c>
      <c r="G181" s="59" t="n">
        <f aca="false">F181-H181</f>
        <v>310</v>
      </c>
      <c r="H181" s="58" t="n">
        <v>400</v>
      </c>
      <c r="I181" s="58"/>
      <c r="J181" s="55"/>
    </row>
    <row r="182" customFormat="false" ht="19.85" hidden="false" customHeight="true" outlineLevel="0" collapsed="false">
      <c r="A182" s="0" t="n">
        <v>31</v>
      </c>
      <c r="B182" s="31" t="n">
        <v>42736</v>
      </c>
      <c r="C182" s="542" t="n">
        <v>0</v>
      </c>
      <c r="D182" s="542" t="s">
        <v>42</v>
      </c>
      <c r="E182" s="33" t="n">
        <f aca="false">IF(D182="totale",(C182/(A182*24))/F182,IF(D182="marché libre",(C182/(A182*24))/G182,"spécifier histo"))</f>
        <v>0</v>
      </c>
      <c r="F182" s="189" t="n">
        <v>710</v>
      </c>
      <c r="G182" s="189" t="n">
        <v>310</v>
      </c>
      <c r="H182" s="543" t="n">
        <v>400</v>
      </c>
      <c r="I182" s="58"/>
      <c r="J182" s="30"/>
    </row>
    <row r="183" customFormat="false" ht="19.85" hidden="false" customHeight="true" outlineLevel="0" collapsed="false">
      <c r="A183" s="0" t="n">
        <v>28</v>
      </c>
      <c r="B183" s="34" t="n">
        <v>42767</v>
      </c>
      <c r="C183" s="60" t="n">
        <v>8</v>
      </c>
      <c r="D183" s="542" t="s">
        <v>42</v>
      </c>
      <c r="E183" s="33" t="n">
        <f aca="false">IF(D183="totale",(C183/(A183*24))/F183,IF(D183="marché libre",(C183/(A183*24))/G183,"spécifier histo"))</f>
        <v>3.84024577572965E-005</v>
      </c>
      <c r="F183" s="59" t="n">
        <v>710</v>
      </c>
      <c r="G183" s="59" t="n">
        <f aca="false">F183-H183</f>
        <v>310</v>
      </c>
      <c r="H183" s="58" t="n">
        <v>400</v>
      </c>
      <c r="I183" s="58"/>
      <c r="J183" s="55"/>
    </row>
    <row r="184" customFormat="false" ht="19.85" hidden="false" customHeight="true" outlineLevel="0" collapsed="false">
      <c r="A184" s="0" t="n">
        <v>31</v>
      </c>
      <c r="B184" s="31" t="n">
        <v>42795</v>
      </c>
      <c r="C184" s="59" t="n">
        <v>7332</v>
      </c>
      <c r="D184" s="542" t="s">
        <v>42</v>
      </c>
      <c r="E184" s="33" t="n">
        <f aca="false">IF(D184="totale",(C184/(A184*24))/F184,IF(D184="marché libre",(C184/(A184*24))/G184,"spécifier histo"))</f>
        <v>0.031789802289282</v>
      </c>
      <c r="F184" s="59" t="n">
        <v>710</v>
      </c>
      <c r="G184" s="59" t="n">
        <f aca="false">F184-H184</f>
        <v>310</v>
      </c>
      <c r="H184" s="58" t="n">
        <v>400</v>
      </c>
      <c r="I184" s="58"/>
      <c r="J184" s="55"/>
    </row>
    <row r="185" customFormat="false" ht="19.85" hidden="false" customHeight="true" outlineLevel="0" collapsed="false">
      <c r="A185" s="0" t="n">
        <v>30</v>
      </c>
      <c r="B185" s="34" t="n">
        <v>42826</v>
      </c>
      <c r="C185" s="59" t="n">
        <v>1064</v>
      </c>
      <c r="D185" s="542" t="s">
        <v>42</v>
      </c>
      <c r="E185" s="33" t="n">
        <f aca="false">IF(D185="totale",(C185/(A185*24))/F185,IF(D185="marché libre",(C185/(A185*24))/G185,"spécifier histo"))</f>
        <v>0.00476702508960574</v>
      </c>
      <c r="F185" s="59" t="n">
        <v>710</v>
      </c>
      <c r="G185" s="59" t="n">
        <f aca="false">F185-H185</f>
        <v>310</v>
      </c>
      <c r="H185" s="58" t="n">
        <v>400</v>
      </c>
      <c r="I185" s="58"/>
      <c r="J185" s="55"/>
    </row>
    <row r="186" customFormat="false" ht="19.85" hidden="false" customHeight="true" outlineLevel="0" collapsed="false">
      <c r="A186" s="0" t="n">
        <v>31</v>
      </c>
      <c r="B186" s="31" t="n">
        <v>42856</v>
      </c>
      <c r="C186" s="9" t="n">
        <v>0</v>
      </c>
      <c r="D186" s="542" t="s">
        <v>42</v>
      </c>
      <c r="E186" s="33" t="n">
        <f aca="false">IF(D186="totale",(C186/(A186*24))/F186,IF(D186="marché libre",(C186/(A186*24))/G186,"spécifier histo"))</f>
        <v>0</v>
      </c>
      <c r="F186" s="59" t="n">
        <v>710</v>
      </c>
      <c r="G186" s="59" t="n">
        <f aca="false">F186-H186</f>
        <v>310</v>
      </c>
      <c r="H186" s="58" t="n">
        <v>400</v>
      </c>
      <c r="I186" s="58"/>
      <c r="J186" s="55"/>
    </row>
    <row r="187" customFormat="false" ht="22.45" hidden="false" customHeight="true" outlineLevel="0" collapsed="false">
      <c r="A187" s="0" t="n">
        <v>30</v>
      </c>
      <c r="B187" s="34" t="n">
        <v>42887</v>
      </c>
      <c r="C187" s="9" t="n">
        <v>0</v>
      </c>
      <c r="D187" s="542" t="s">
        <v>42</v>
      </c>
      <c r="E187" s="33" t="n">
        <f aca="false">IF(D187="totale",(C187/(A187*24))/F187,IF(D187="marché libre",(C187/(A187*24))/G187,"spécifier histo"))</f>
        <v>0</v>
      </c>
      <c r="F187" s="59" t="n">
        <v>710</v>
      </c>
      <c r="G187" s="59" t="n">
        <f aca="false">F187-H187</f>
        <v>310</v>
      </c>
      <c r="H187" s="58" t="n">
        <v>400</v>
      </c>
      <c r="I187" s="58"/>
      <c r="J187" s="55"/>
    </row>
    <row r="188" customFormat="false" ht="21.65" hidden="false" customHeight="true" outlineLevel="0" collapsed="false">
      <c r="A188" s="0" t="n">
        <v>31</v>
      </c>
      <c r="B188" s="31" t="n">
        <v>42917</v>
      </c>
      <c r="C188" s="9" t="n">
        <v>2270</v>
      </c>
      <c r="D188" s="542" t="s">
        <v>42</v>
      </c>
      <c r="E188" s="33" t="n">
        <f aca="false">IF(D188="totale",(C188/(A188*24))/F188,IF(D188="marché libre",(C188/(A188*24))/G188,"spécifier histo"))</f>
        <v>0.00984217828650711</v>
      </c>
      <c r="F188" s="59" t="n">
        <v>710</v>
      </c>
      <c r="G188" s="59" t="n">
        <f aca="false">F188-H188</f>
        <v>310</v>
      </c>
      <c r="H188" s="58" t="n">
        <v>400</v>
      </c>
      <c r="I188" s="58"/>
      <c r="J188" s="55"/>
    </row>
    <row r="189" customFormat="false" ht="21.65" hidden="false" customHeight="true" outlineLevel="0" collapsed="false">
      <c r="A189" s="0" t="n">
        <v>31</v>
      </c>
      <c r="B189" s="34" t="n">
        <v>42948</v>
      </c>
      <c r="C189" s="26" t="n">
        <v>0</v>
      </c>
      <c r="D189" s="542" t="s">
        <v>42</v>
      </c>
      <c r="E189" s="33" t="n">
        <f aca="false">IF(D189="totale",(C189/(A189*24))/F189,IF(D189="marché libre",(C189/(A189*24))/G189,"spécifier histo"))</f>
        <v>0</v>
      </c>
      <c r="F189" s="59" t="n">
        <v>710</v>
      </c>
      <c r="G189" s="59" t="n">
        <f aca="false">F189-H189</f>
        <v>310</v>
      </c>
      <c r="H189" s="58" t="n">
        <v>400</v>
      </c>
      <c r="I189" s="58"/>
      <c r="J189" s="55"/>
    </row>
    <row r="190" customFormat="false" ht="21.65" hidden="false" customHeight="true" outlineLevel="0" collapsed="false">
      <c r="A190" s="0" t="n">
        <v>30</v>
      </c>
      <c r="B190" s="31" t="n">
        <v>42979</v>
      </c>
      <c r="C190" s="26" t="n">
        <v>0</v>
      </c>
      <c r="D190" s="542" t="s">
        <v>42</v>
      </c>
      <c r="E190" s="33" t="n">
        <f aca="false">IF(D190="totale",(C190/(A190*24))/F190,IF(D190="marché libre",(C190/(A190*24))/G190,"spécifier histo"))</f>
        <v>0</v>
      </c>
      <c r="F190" s="59" t="n">
        <v>710</v>
      </c>
      <c r="G190" s="59" t="n">
        <f aca="false">F190-H190</f>
        <v>310</v>
      </c>
      <c r="H190" s="58" t="n">
        <v>400</v>
      </c>
      <c r="J190" s="55"/>
    </row>
    <row r="191" customFormat="false" ht="21.65" hidden="false" customHeight="true" outlineLevel="0" collapsed="false">
      <c r="A191" s="0" t="n">
        <v>31</v>
      </c>
      <c r="B191" s="34" t="n">
        <v>43009</v>
      </c>
      <c r="C191" s="9" t="n">
        <v>0</v>
      </c>
      <c r="D191" s="542" t="s">
        <v>42</v>
      </c>
      <c r="E191" s="33" t="n">
        <f aca="false">IF(D191="totale",(C191/(A191*24))/F191,IF(D191="marché libre",(C191/(A191*24))/G191,"spécifier histo"))</f>
        <v>0</v>
      </c>
      <c r="F191" s="59" t="n">
        <v>710</v>
      </c>
      <c r="G191" s="59" t="n">
        <f aca="false">F191-H191</f>
        <v>310</v>
      </c>
      <c r="H191" s="58" t="n">
        <v>400</v>
      </c>
      <c r="J191" s="55"/>
    </row>
    <row r="192" customFormat="false" ht="21.65" hidden="false" customHeight="true" outlineLevel="0" collapsed="false">
      <c r="A192" s="0" t="n">
        <v>30</v>
      </c>
      <c r="B192" s="31" t="n">
        <v>43040</v>
      </c>
      <c r="C192" s="9" t="n">
        <v>0</v>
      </c>
      <c r="D192" s="542" t="s">
        <v>42</v>
      </c>
      <c r="E192" s="33" t="n">
        <f aca="false">IF(D192="totale",(C192/(A192*24))/F192,IF(D192="marché libre",(C192/(A192*24))/G192,"spécifier histo"))</f>
        <v>0</v>
      </c>
      <c r="F192" s="59" t="n">
        <v>710</v>
      </c>
      <c r="G192" s="59" t="n">
        <f aca="false">F192-H192</f>
        <v>310</v>
      </c>
      <c r="H192" s="58" t="n">
        <v>400</v>
      </c>
      <c r="J192" s="55"/>
    </row>
    <row r="193" customFormat="false" ht="21.65" hidden="false" customHeight="true" outlineLevel="0" collapsed="false">
      <c r="A193" s="0" t="n">
        <v>31</v>
      </c>
      <c r="B193" s="34" t="n">
        <v>43070</v>
      </c>
      <c r="C193" s="9" t="n">
        <v>86442</v>
      </c>
      <c r="D193" s="542" t="s">
        <v>42</v>
      </c>
      <c r="E193" s="33" t="n">
        <f aca="false">IF(D193="totale",(C193/(A193*24))/F193,IF(D193="marché libre",(C193/(A193*24))/G193,"spécifier histo"))</f>
        <v>0.374791883454735</v>
      </c>
      <c r="F193" s="59" t="n">
        <v>710</v>
      </c>
      <c r="G193" s="59" t="n">
        <f aca="false">F193-H193</f>
        <v>310</v>
      </c>
      <c r="H193" s="58" t="n">
        <v>400</v>
      </c>
      <c r="J193" s="55"/>
    </row>
    <row r="194" customFormat="false" ht="28.35" hidden="false" customHeight="true" outlineLevel="0" collapsed="false">
      <c r="A194" s="0"/>
      <c r="H194" s="59"/>
    </row>
    <row r="195" customFormat="false" ht="28.35" hidden="false" customHeight="true" outlineLevel="0" collapsed="false">
      <c r="A195" s="0"/>
    </row>
    <row r="196" customFormat="false" ht="28.35" hidden="false" customHeight="true" outlineLevel="0" collapsed="false">
      <c r="A196" s="0"/>
    </row>
    <row r="197" customFormat="false" ht="28.35" hidden="false" customHeight="true" outlineLevel="0" collapsed="false">
      <c r="A197" s="0"/>
    </row>
    <row r="198" customFormat="false" ht="28.35" hidden="false" customHeight="true" outlineLevel="0" collapsed="false">
      <c r="A198" s="0"/>
    </row>
    <row r="199" customFormat="false" ht="28.35" hidden="false" customHeight="true" outlineLevel="0" collapsed="false">
      <c r="A199" s="0"/>
    </row>
    <row r="200" customFormat="false" ht="28.35" hidden="false" customHeight="true" outlineLevel="0" collapsed="false">
      <c r="A200" s="0"/>
    </row>
    <row r="201" customFormat="false" ht="28.35" hidden="false" customHeight="true" outlineLevel="0" collapsed="false">
      <c r="A201" s="0"/>
    </row>
    <row r="202" customFormat="false" ht="28.35" hidden="false" customHeight="true" outlineLevel="0" collapsed="false">
      <c r="A202" s="0"/>
    </row>
    <row r="203" customFormat="false" ht="28.35" hidden="false" customHeight="true" outlineLevel="0" collapsed="false">
      <c r="A203" s="0"/>
    </row>
    <row r="204" customFormat="false" ht="28.35" hidden="false" customHeight="true" outlineLevel="0" collapsed="false">
      <c r="A204" s="0"/>
    </row>
    <row r="205" customFormat="false" ht="28.35" hidden="false" customHeight="true" outlineLevel="0" collapsed="false">
      <c r="A205" s="0"/>
    </row>
    <row r="206" customFormat="false" ht="28.35" hidden="false" customHeight="true" outlineLevel="0" collapsed="false">
      <c r="A206" s="0"/>
    </row>
    <row r="207" customFormat="false" ht="28.35" hidden="false" customHeight="true" outlineLevel="0" collapsed="false">
      <c r="A207" s="0"/>
    </row>
    <row r="208" customFormat="false" ht="28.35" hidden="false" customHeight="true" outlineLevel="0" collapsed="false">
      <c r="A208" s="0"/>
    </row>
    <row r="209" customFormat="false" ht="28.35" hidden="false" customHeight="true" outlineLevel="0" collapsed="false">
      <c r="A209" s="0"/>
    </row>
    <row r="210" customFormat="false" ht="28.35" hidden="false" customHeight="true" outlineLevel="0" collapsed="false">
      <c r="A210" s="0"/>
    </row>
    <row r="211" customFormat="false" ht="12.8" hidden="false" customHeight="false" outlineLevel="0" collapsed="false">
      <c r="A211" s="0"/>
    </row>
    <row r="212" customFormat="false" ht="12.8" hidden="false" customHeight="false" outlineLevel="0" collapsed="false">
      <c r="A212" s="0"/>
    </row>
    <row r="213" customFormat="false" ht="12.8" hidden="false" customHeight="fals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row r="224" customFormat="false" ht="12.8" hidden="false" customHeight="false" outlineLevel="0" collapsed="false">
      <c r="A224" s="0"/>
    </row>
    <row r="225" customFormat="false" ht="12.8" hidden="false" customHeight="false" outlineLevel="0" collapsed="false">
      <c r="A225" s="0"/>
    </row>
    <row r="226" customFormat="false" ht="12.8" hidden="false" customHeight="false" outlineLevel="0" collapsed="false">
      <c r="A226" s="0"/>
    </row>
    <row r="227" customFormat="false" ht="12.8" hidden="false" customHeight="false" outlineLevel="0" collapsed="false">
      <c r="A227" s="0"/>
    </row>
    <row r="228" customFormat="false" ht="12.8" hidden="false" customHeight="false" outlineLevel="0" collapsed="false">
      <c r="A228" s="0"/>
    </row>
    <row r="229" customFormat="false" ht="12.8" hidden="false" customHeight="false" outlineLevel="0" collapsed="false">
      <c r="A229" s="0"/>
    </row>
    <row r="230" customFormat="false" ht="12.8" hidden="false" customHeight="false" outlineLevel="0" collapsed="false">
      <c r="A230" s="0"/>
    </row>
    <row r="231" customFormat="false" ht="12.8" hidden="false" customHeight="fals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sheetData>
  <mergeCells count="15">
    <mergeCell ref="B1:E2"/>
    <mergeCell ref="F1:N1"/>
    <mergeCell ref="F2:I2"/>
    <mergeCell ref="J2:K2"/>
    <mergeCell ref="L2:M2"/>
    <mergeCell ref="N2:N3"/>
    <mergeCell ref="U2:U3"/>
    <mergeCell ref="T4:V4"/>
    <mergeCell ref="C6:D6"/>
    <mergeCell ref="F6:F7"/>
    <mergeCell ref="G6:N7"/>
    <mergeCell ref="C7:D7"/>
    <mergeCell ref="K11:L12"/>
    <mergeCell ref="M11:Y11"/>
    <mergeCell ref="K22:L22"/>
  </mergeCells>
  <conditionalFormatting sqref="E10:E19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xl/worksheets/sheet65.xml><?xml version="1.0" encoding="utf-8"?>
<worksheet xmlns="http://schemas.openxmlformats.org/spreadsheetml/2006/main" xmlns:r="http://schemas.openxmlformats.org/officeDocument/2006/relationships">
  <sheetPr filterMode="false">
    <tabColor rgb="FF00CC33"/>
    <pageSetUpPr fitToPage="false"/>
  </sheetPr>
  <dimension ref="A1:V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42" activePane="bottomRight" state="frozen"/>
      <selection pane="topLeft" activeCell="A1" activeCellId="0" sqref="A1"/>
      <selection pane="topRight" activeCell="B1" activeCellId="0" sqref="B1"/>
      <selection pane="bottomLeft" activeCell="A142" activeCellId="0" sqref="A142"/>
      <selection pane="bottomRight" activeCell="B150" activeCellId="0" sqref="B150"/>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22" t="s">
        <v>108</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1.65" hidden="false" customHeight="true" outlineLevel="0" collapsed="false">
      <c r="A4" s="0"/>
      <c r="B4" s="16" t="s">
        <v>1026</v>
      </c>
      <c r="C4" s="16" t="n">
        <v>80774</v>
      </c>
      <c r="D4" s="5" t="s">
        <v>1027</v>
      </c>
      <c r="E4" s="14" t="s">
        <v>1028</v>
      </c>
      <c r="F4" s="15" t="n">
        <v>1280</v>
      </c>
      <c r="G4" s="15" t="n">
        <v>1280</v>
      </c>
      <c r="H4" s="15" t="n">
        <v>685</v>
      </c>
      <c r="I4" s="16" t="s">
        <v>1029</v>
      </c>
      <c r="J4" s="15" t="s">
        <v>1030</v>
      </c>
      <c r="K4" s="16" t="s">
        <v>1031</v>
      </c>
      <c r="L4" s="16" t="s">
        <v>145</v>
      </c>
      <c r="M4" s="16" t="s">
        <v>145</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1032</v>
      </c>
      <c r="H6" s="19"/>
      <c r="I6" s="19"/>
      <c r="J6" s="19"/>
      <c r="K6" s="19"/>
      <c r="L6" s="19"/>
      <c r="M6" s="19"/>
      <c r="N6" s="19"/>
      <c r="P6" s="21" t="n">
        <v>41640</v>
      </c>
      <c r="Q6" s="19" t="s">
        <v>27</v>
      </c>
      <c r="R6" s="9"/>
      <c r="S6" s="22"/>
      <c r="T6" s="5" t="s">
        <v>28</v>
      </c>
    </row>
    <row r="7" customFormat="false" ht="66.9" hidden="false" customHeight="true" outlineLevel="0" collapsed="false">
      <c r="A7" s="0"/>
      <c r="B7" s="0"/>
      <c r="C7" s="126" t="s">
        <v>1033</v>
      </c>
      <c r="D7" s="126"/>
      <c r="F7" s="20"/>
      <c r="G7" s="20"/>
      <c r="H7" s="19"/>
      <c r="I7" s="19"/>
      <c r="J7" s="19"/>
      <c r="K7" s="19"/>
      <c r="L7" s="19"/>
      <c r="M7" s="19"/>
      <c r="N7" s="19"/>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19.85" hidden="false" customHeight="true" outlineLevel="0" collapsed="false">
      <c r="A10" s="0" t="n">
        <v>31</v>
      </c>
      <c r="B10" s="31" t="n">
        <v>39083</v>
      </c>
      <c r="C10" s="56" t="n">
        <v>480800</v>
      </c>
      <c r="D10" s="26" t="s">
        <v>41</v>
      </c>
      <c r="E10" s="33" t="n">
        <f aca="false">IF(D10="totale",(C10/(A10*24))/F10,IF(D10="marché libre",(C10/(A10*24))/G10,"spécifier histo"))</f>
        <v>0.504872311827957</v>
      </c>
      <c r="F10" s="59" t="n">
        <v>1280</v>
      </c>
      <c r="G10" s="59" t="n">
        <f aca="false">F10-H10</f>
        <v>1280</v>
      </c>
      <c r="H10" s="59" t="n">
        <v>0</v>
      </c>
      <c r="J10" s="55"/>
      <c r="K10" s="38"/>
      <c r="L10" s="234" t="s">
        <v>1034</v>
      </c>
      <c r="M10" s="235"/>
      <c r="N10" s="235"/>
    </row>
    <row r="11" customFormat="false" ht="19.85" hidden="false" customHeight="true" outlineLevel="0" collapsed="false">
      <c r="A11" s="0" t="n">
        <v>28</v>
      </c>
      <c r="B11" s="34" t="n">
        <v>39114</v>
      </c>
      <c r="C11" s="56" t="n">
        <v>705600</v>
      </c>
      <c r="D11" s="26" t="s">
        <v>41</v>
      </c>
      <c r="E11" s="33" t="n">
        <f aca="false">IF(D11="totale",(C11/(A11*24))/F11,IF(D11="marché libre",(C11/(A11*24))/G11,"spécifier histo"))</f>
        <v>0.8203125</v>
      </c>
      <c r="F11" s="59" t="n">
        <v>1280</v>
      </c>
      <c r="G11" s="59" t="n">
        <f aca="false">F11-H11</f>
        <v>1280</v>
      </c>
      <c r="H11" s="59" t="n">
        <v>0</v>
      </c>
      <c r="J11" s="55"/>
      <c r="K11" s="38"/>
      <c r="L11" s="234" t="s">
        <v>1035</v>
      </c>
      <c r="M11" s="235"/>
      <c r="N11" s="235"/>
    </row>
    <row r="12" customFormat="false" ht="19.85" hidden="false" customHeight="true" outlineLevel="0" collapsed="false">
      <c r="A12" s="0" t="n">
        <v>31</v>
      </c>
      <c r="B12" s="31" t="n">
        <v>39142</v>
      </c>
      <c r="C12" s="56" t="n">
        <v>701200</v>
      </c>
      <c r="D12" s="26" t="s">
        <v>41</v>
      </c>
      <c r="E12" s="33" t="n">
        <f aca="false">IF(D12="totale",(C12/(A12*24))/F12,IF(D12="marché libre",(C12/(A12*24))/G12,"spécifier histo"))</f>
        <v>0.736307123655914</v>
      </c>
      <c r="F12" s="59" t="n">
        <v>1280</v>
      </c>
      <c r="G12" s="59" t="n">
        <f aca="false">F12-H12</f>
        <v>1280</v>
      </c>
      <c r="H12" s="59" t="n">
        <v>0</v>
      </c>
      <c r="J12" s="55"/>
      <c r="K12" s="38"/>
      <c r="L12" s="234" t="s">
        <v>1036</v>
      </c>
      <c r="M12" s="235"/>
      <c r="N12" s="235"/>
    </row>
    <row r="13" customFormat="false" ht="19.85" hidden="false" customHeight="true" outlineLevel="0" collapsed="false">
      <c r="A13" s="0" t="n">
        <v>30</v>
      </c>
      <c r="B13" s="34" t="n">
        <v>39173</v>
      </c>
      <c r="C13" s="56" t="n">
        <v>397600</v>
      </c>
      <c r="D13" s="26" t="s">
        <v>41</v>
      </c>
      <c r="E13" s="33" t="n">
        <f aca="false">IF(D13="totale",(C13/(A13*24))/F13,IF(D13="marché libre",(C13/(A13*24))/G13,"spécifier histo"))</f>
        <v>0.431423611111111</v>
      </c>
      <c r="F13" s="59" t="n">
        <v>1280</v>
      </c>
      <c r="G13" s="59" t="n">
        <f aca="false">F13-H13</f>
        <v>1280</v>
      </c>
      <c r="H13" s="59" t="n">
        <v>0</v>
      </c>
      <c r="J13" s="55"/>
      <c r="K13" s="38"/>
      <c r="L13" s="234" t="s">
        <v>1037</v>
      </c>
      <c r="M13" s="235"/>
      <c r="N13" s="235"/>
    </row>
    <row r="14" customFormat="false" ht="19.85" hidden="false" customHeight="true" outlineLevel="0" collapsed="false">
      <c r="A14" s="0" t="n">
        <v>31</v>
      </c>
      <c r="B14" s="31" t="n">
        <v>39203</v>
      </c>
      <c r="C14" s="56" t="n">
        <v>257400</v>
      </c>
      <c r="D14" s="26" t="s">
        <v>41</v>
      </c>
      <c r="E14" s="33" t="n">
        <f aca="false">IF(D14="totale",(C14/(A14*24))/F14,IF(D14="marché libre",(C14/(A14*24))/G14,"spécifier histo"))</f>
        <v>0.270287298387097</v>
      </c>
      <c r="F14" s="59" t="n">
        <v>1280</v>
      </c>
      <c r="G14" s="59" t="n">
        <f aca="false">F14-H14</f>
        <v>1280</v>
      </c>
      <c r="H14" s="59" t="n">
        <v>0</v>
      </c>
      <c r="J14" s="55"/>
      <c r="L14" s="234" t="s">
        <v>1038</v>
      </c>
      <c r="M14" s="235"/>
      <c r="N14" s="235"/>
    </row>
    <row r="15" customFormat="false" ht="19.85" hidden="false" customHeight="true" outlineLevel="0" collapsed="false">
      <c r="A15" s="0" t="n">
        <v>30</v>
      </c>
      <c r="B15" s="34" t="n">
        <v>39234</v>
      </c>
      <c r="C15" s="56" t="n">
        <v>298800</v>
      </c>
      <c r="D15" s="26" t="s">
        <v>41</v>
      </c>
      <c r="E15" s="33" t="n">
        <f aca="false">IF(D15="totale",(C15/(A15*24))/F15,IF(D15="marché libre",(C15/(A15*24))/G15,"spécifier histo"))</f>
        <v>0.32421875</v>
      </c>
      <c r="F15" s="59" t="n">
        <v>1280</v>
      </c>
      <c r="G15" s="59" t="n">
        <f aca="false">F15-H15</f>
        <v>1280</v>
      </c>
      <c r="H15" s="59" t="n">
        <v>0</v>
      </c>
      <c r="J15" s="55"/>
    </row>
    <row r="16" customFormat="false" ht="19.85" hidden="false" customHeight="true" outlineLevel="0" collapsed="false">
      <c r="A16" s="0" t="n">
        <v>31</v>
      </c>
      <c r="B16" s="31" t="n">
        <v>39264</v>
      </c>
      <c r="C16" s="56" t="n">
        <v>287200</v>
      </c>
      <c r="D16" s="26" t="s">
        <v>41</v>
      </c>
      <c r="E16" s="33" t="n">
        <f aca="false">IF(D16="totale",(C16/(A16*24))/F16,IF(D16="marché libre",(C16/(A16*24))/G16,"spécifier histo"))</f>
        <v>0.301579301075269</v>
      </c>
      <c r="F16" s="59" t="n">
        <v>1280</v>
      </c>
      <c r="G16" s="59" t="n">
        <f aca="false">F16-H16</f>
        <v>1280</v>
      </c>
      <c r="H16" s="59" t="n">
        <v>0</v>
      </c>
      <c r="J16" s="55"/>
      <c r="L16" s="234" t="s">
        <v>1039</v>
      </c>
      <c r="M16" s="235"/>
      <c r="N16" s="235"/>
    </row>
    <row r="17" customFormat="false" ht="19.85" hidden="false" customHeight="true" outlineLevel="0" collapsed="false">
      <c r="A17" s="0" t="n">
        <v>31</v>
      </c>
      <c r="B17" s="34" t="n">
        <v>39295</v>
      </c>
      <c r="C17" s="56" t="n">
        <v>191200</v>
      </c>
      <c r="D17" s="26" t="s">
        <v>41</v>
      </c>
      <c r="E17" s="33" t="n">
        <f aca="false">IF(D17="totale",(C17/(A17*24))/F17,IF(D17="marché libre",(C17/(A17*24))/G17,"spécifier histo"))</f>
        <v>0.200772849462366</v>
      </c>
      <c r="F17" s="59" t="n">
        <v>1280</v>
      </c>
      <c r="G17" s="59" t="n">
        <f aca="false">F17-H17</f>
        <v>1280</v>
      </c>
      <c r="H17" s="59" t="n">
        <v>0</v>
      </c>
      <c r="J17" s="55"/>
      <c r="L17" s="234" t="s">
        <v>1040</v>
      </c>
      <c r="M17" s="235"/>
      <c r="N17" s="235"/>
    </row>
    <row r="18" customFormat="false" ht="19.85" hidden="false" customHeight="true" outlineLevel="0" collapsed="false">
      <c r="A18" s="0" t="n">
        <v>30</v>
      </c>
      <c r="B18" s="31" t="n">
        <v>39326</v>
      </c>
      <c r="C18" s="56" t="n">
        <v>101200</v>
      </c>
      <c r="D18" s="26" t="s">
        <v>41</v>
      </c>
      <c r="E18" s="33" t="n">
        <f aca="false">IF(D18="totale",(C18/(A18*24))/F18,IF(D18="marché libre",(C18/(A18*24))/G18,"spécifier histo"))</f>
        <v>0.109809027777778</v>
      </c>
      <c r="F18" s="59" t="n">
        <v>1280</v>
      </c>
      <c r="G18" s="59" t="n">
        <f aca="false">F18-H18</f>
        <v>1280</v>
      </c>
      <c r="H18" s="59" t="n">
        <v>0</v>
      </c>
      <c r="J18" s="55"/>
      <c r="L18" s="234" t="s">
        <v>1036</v>
      </c>
      <c r="M18" s="235"/>
      <c r="N18" s="235"/>
    </row>
    <row r="19" customFormat="false" ht="19.85" hidden="false" customHeight="true" outlineLevel="0" collapsed="false">
      <c r="A19" s="0" t="n">
        <v>31</v>
      </c>
      <c r="B19" s="34" t="n">
        <v>39356</v>
      </c>
      <c r="C19" s="56" t="n">
        <v>157400</v>
      </c>
      <c r="D19" s="26" t="s">
        <v>41</v>
      </c>
      <c r="E19" s="33" t="n">
        <f aca="false">IF(D19="totale",(C19/(A19*24))/F19,IF(D19="marché libre",(C19/(A19*24))/G19,"spécifier histo"))</f>
        <v>0.165280577956989</v>
      </c>
      <c r="F19" s="59" t="n">
        <v>1280</v>
      </c>
      <c r="G19" s="59" t="n">
        <f aca="false">F19-H19</f>
        <v>1280</v>
      </c>
      <c r="H19" s="59" t="n">
        <v>0</v>
      </c>
      <c r="J19" s="55"/>
      <c r="L19" s="234" t="s">
        <v>1041</v>
      </c>
      <c r="M19" s="235"/>
      <c r="N19" s="235"/>
    </row>
    <row r="20" customFormat="false" ht="19.85" hidden="false" customHeight="true" outlineLevel="0" collapsed="false">
      <c r="A20" s="0" t="n">
        <v>30</v>
      </c>
      <c r="B20" s="31" t="n">
        <v>39387</v>
      </c>
      <c r="C20" s="56" t="n">
        <v>131800</v>
      </c>
      <c r="D20" s="26" t="s">
        <v>41</v>
      </c>
      <c r="E20" s="33" t="n">
        <f aca="false">IF(D20="totale",(C20/(A20*24))/F20,IF(D20="marché libre",(C20/(A20*24))/G20,"spécifier histo"))</f>
        <v>0.143012152777778</v>
      </c>
      <c r="F20" s="59" t="n">
        <v>1280</v>
      </c>
      <c r="G20" s="59" t="n">
        <f aca="false">F20-H20</f>
        <v>1280</v>
      </c>
      <c r="H20" s="59" t="n">
        <v>0</v>
      </c>
      <c r="J20" s="55"/>
      <c r="L20" s="544" t="s">
        <v>1042</v>
      </c>
      <c r="M20" s="235"/>
      <c r="N20" s="235"/>
    </row>
    <row r="21" customFormat="false" ht="19.85" hidden="false" customHeight="true" outlineLevel="0" collapsed="false">
      <c r="A21" s="0" t="n">
        <v>31</v>
      </c>
      <c r="B21" s="34" t="n">
        <v>39417</v>
      </c>
      <c r="C21" s="56" t="n">
        <v>515800</v>
      </c>
      <c r="D21" s="26" t="s">
        <v>41</v>
      </c>
      <c r="E21" s="33" t="n">
        <f aca="false">IF(D21="totale",(C21/(A21*24))/F21,IF(D21="marché libre",(C21/(A21*24))/G21,"spécifier histo"))</f>
        <v>0.541624663978495</v>
      </c>
      <c r="F21" s="59" t="n">
        <v>1280</v>
      </c>
      <c r="G21" s="59" t="n">
        <f aca="false">F21-H21</f>
        <v>1280</v>
      </c>
      <c r="H21" s="59" t="n">
        <v>0</v>
      </c>
      <c r="J21" s="55"/>
      <c r="L21" s="180" t="s">
        <v>1043</v>
      </c>
    </row>
    <row r="22" customFormat="false" ht="19.85" hidden="false" customHeight="true" outlineLevel="0" collapsed="false">
      <c r="A22" s="0" t="n">
        <v>31</v>
      </c>
      <c r="B22" s="31" t="n">
        <v>39448</v>
      </c>
      <c r="C22" s="56" t="n">
        <v>598400</v>
      </c>
      <c r="D22" s="26" t="s">
        <v>41</v>
      </c>
      <c r="E22" s="33" t="n">
        <f aca="false">IF(D22="totale",(C22/(A22*24))/F22,IF(D22="marché libre",(C22/(A22*24))/G22,"spécifier histo"))</f>
        <v>0.628360215053763</v>
      </c>
      <c r="F22" s="59" t="n">
        <v>1280</v>
      </c>
      <c r="G22" s="59" t="n">
        <f aca="false">F22-H22</f>
        <v>1280</v>
      </c>
      <c r="H22" s="59" t="n">
        <v>0</v>
      </c>
      <c r="J22" s="55"/>
      <c r="L22" s="0"/>
      <c r="M22" s="0"/>
      <c r="N22" s="0"/>
      <c r="O22" s="0"/>
    </row>
    <row r="23" customFormat="false" ht="19.85" hidden="false" customHeight="true" outlineLevel="0" collapsed="false">
      <c r="A23" s="0" t="n">
        <v>28</v>
      </c>
      <c r="B23" s="34" t="n">
        <v>39479</v>
      </c>
      <c r="C23" s="56" t="n">
        <v>425600</v>
      </c>
      <c r="D23" s="26" t="s">
        <v>41</v>
      </c>
      <c r="E23" s="33" t="n">
        <f aca="false">IF(D23="totale",(C23/(A23*24))/F23,IF(D23="marché libre",(C23/(A23*24))/G23,"spécifier histo"))</f>
        <v>0.494791666666667</v>
      </c>
      <c r="F23" s="59" t="n">
        <v>1280</v>
      </c>
      <c r="G23" s="59" t="n">
        <f aca="false">F23-H23</f>
        <v>1280</v>
      </c>
      <c r="H23" s="59" t="n">
        <v>0</v>
      </c>
      <c r="J23" s="55"/>
    </row>
    <row r="24" customFormat="false" ht="19.85" hidden="false" customHeight="true" outlineLevel="0" collapsed="false">
      <c r="A24" s="0" t="n">
        <v>31</v>
      </c>
      <c r="B24" s="31" t="n">
        <v>39508</v>
      </c>
      <c r="C24" s="56" t="n">
        <v>589000</v>
      </c>
      <c r="D24" s="26" t="s">
        <v>41</v>
      </c>
      <c r="E24" s="33" t="n">
        <f aca="false">IF(D24="totale",(C24/(A24*24))/F24,IF(D24="marché libre",(C24/(A24*24))/G24,"spécifier histo"))</f>
        <v>0.618489583333333</v>
      </c>
      <c r="F24" s="59" t="n">
        <v>1280</v>
      </c>
      <c r="G24" s="59" t="n">
        <f aca="false">F24-H24</f>
        <v>1280</v>
      </c>
      <c r="H24" s="59" t="n">
        <v>0</v>
      </c>
      <c r="J24" s="55"/>
    </row>
    <row r="25" customFormat="false" ht="19.85" hidden="false" customHeight="true" outlineLevel="0" collapsed="false">
      <c r="A25" s="0" t="n">
        <v>30</v>
      </c>
      <c r="B25" s="34" t="n">
        <v>39539</v>
      </c>
      <c r="C25" s="56" t="n">
        <v>743200</v>
      </c>
      <c r="D25" s="26" t="s">
        <v>41</v>
      </c>
      <c r="E25" s="33" t="n">
        <f aca="false">IF(D25="totale",(C25/(A25*24))/F25,IF(D25="marché libre",(C25/(A25*24))/G25,"spécifier histo"))</f>
        <v>0.806423611111111</v>
      </c>
      <c r="F25" s="59" t="n">
        <v>1280</v>
      </c>
      <c r="G25" s="59" t="n">
        <f aca="false">F25-H25</f>
        <v>1280</v>
      </c>
      <c r="H25" s="59" t="n">
        <v>0</v>
      </c>
      <c r="J25" s="55"/>
      <c r="L25" s="38"/>
      <c r="M25" s="38"/>
      <c r="N25" s="38"/>
      <c r="O25" s="38"/>
      <c r="P25" s="38"/>
      <c r="Q25" s="38"/>
    </row>
    <row r="26" customFormat="false" ht="19.85" hidden="false" customHeight="true" outlineLevel="0" collapsed="false">
      <c r="A26" s="0" t="n">
        <v>31</v>
      </c>
      <c r="B26" s="31" t="n">
        <v>39569</v>
      </c>
      <c r="C26" s="56" t="n">
        <v>687400</v>
      </c>
      <c r="D26" s="26" t="s">
        <v>41</v>
      </c>
      <c r="E26" s="33" t="n">
        <f aca="false">IF(D26="totale",(C26/(A26*24))/F26,IF(D26="marché libre",(C26/(A26*24))/G26,"spécifier histo"))</f>
        <v>0.721816196236559</v>
      </c>
      <c r="F26" s="59" t="n">
        <v>1280</v>
      </c>
      <c r="G26" s="59" t="n">
        <f aca="false">F26-H26</f>
        <v>1280</v>
      </c>
      <c r="H26" s="59" t="n">
        <v>0</v>
      </c>
      <c r="J26" s="55"/>
      <c r="K26" s="545"/>
    </row>
    <row r="27" customFormat="false" ht="19.85" hidden="false" customHeight="true" outlineLevel="0" collapsed="false">
      <c r="A27" s="0" t="n">
        <v>30</v>
      </c>
      <c r="B27" s="34" t="n">
        <v>39600</v>
      </c>
      <c r="C27" s="56" t="n">
        <v>551600</v>
      </c>
      <c r="D27" s="26" t="s">
        <v>41</v>
      </c>
      <c r="E27" s="33" t="n">
        <f aca="false">IF(D27="totale",(C27/(A27*24))/F27,IF(D27="marché libre",(C27/(A27*24))/G27,"spécifier histo"))</f>
        <v>0.598524305555556</v>
      </c>
      <c r="F27" s="59" t="n">
        <v>1280</v>
      </c>
      <c r="G27" s="59" t="n">
        <f aca="false">F27-H27</f>
        <v>1280</v>
      </c>
      <c r="H27" s="59" t="n">
        <v>0</v>
      </c>
      <c r="J27" s="55"/>
      <c r="K27" s="545"/>
    </row>
    <row r="28" customFormat="false" ht="19.85" hidden="false" customHeight="true" outlineLevel="0" collapsed="false">
      <c r="A28" s="0" t="n">
        <v>31</v>
      </c>
      <c r="B28" s="31" t="n">
        <v>39630</v>
      </c>
      <c r="C28" s="56" t="n">
        <v>178800</v>
      </c>
      <c r="D28" s="26" t="s">
        <v>41</v>
      </c>
      <c r="E28" s="33" t="n">
        <f aca="false">IF(D28="totale",(C28/(A28*24))/F28,IF(D28="marché libre",(C28/(A28*24))/G28,"spécifier histo"))</f>
        <v>0.187752016129032</v>
      </c>
      <c r="F28" s="59" t="n">
        <v>1280</v>
      </c>
      <c r="G28" s="59" t="n">
        <f aca="false">F28-H28</f>
        <v>1280</v>
      </c>
      <c r="H28" s="59" t="n">
        <v>0</v>
      </c>
      <c r="J28" s="55"/>
      <c r="K28" s="545"/>
    </row>
    <row r="29" customFormat="false" ht="19.85" hidden="false" customHeight="true" outlineLevel="0" collapsed="false">
      <c r="A29" s="0" t="n">
        <v>31</v>
      </c>
      <c r="B29" s="34" t="n">
        <v>39661</v>
      </c>
      <c r="C29" s="56" t="n">
        <v>116400</v>
      </c>
      <c r="D29" s="26" t="s">
        <v>41</v>
      </c>
      <c r="E29" s="33" t="n">
        <f aca="false">IF(D29="totale",(C29/(A29*24))/F29,IF(D29="marché libre",(C29/(A29*24))/G29,"spécifier histo"))</f>
        <v>0.122227822580645</v>
      </c>
      <c r="F29" s="59" t="n">
        <v>1280</v>
      </c>
      <c r="G29" s="59" t="n">
        <f aca="false">F29-H29</f>
        <v>1280</v>
      </c>
      <c r="H29" s="59" t="n">
        <v>0</v>
      </c>
      <c r="J29" s="55"/>
      <c r="K29" s="545"/>
    </row>
    <row r="30" customFormat="false" ht="19.85" hidden="false" customHeight="true" outlineLevel="0" collapsed="false">
      <c r="A30" s="0" t="n">
        <v>30</v>
      </c>
      <c r="B30" s="31" t="n">
        <v>39692</v>
      </c>
      <c r="C30" s="56" t="n">
        <v>51800</v>
      </c>
      <c r="D30" s="26" t="s">
        <v>41</v>
      </c>
      <c r="E30" s="33" t="n">
        <f aca="false">IF(D30="totale",(C30/(A30*24))/F30,IF(D30="marché libre",(C30/(A30*24))/G30,"spécifier histo"))</f>
        <v>0.0562065972222222</v>
      </c>
      <c r="F30" s="59" t="n">
        <v>1280</v>
      </c>
      <c r="G30" s="59" t="n">
        <f aca="false">F30-H30</f>
        <v>1280</v>
      </c>
      <c r="H30" s="59" t="n">
        <v>0</v>
      </c>
      <c r="J30" s="55"/>
      <c r="K30" s="545"/>
    </row>
    <row r="31" customFormat="false" ht="19.85" hidden="false" customHeight="true" outlineLevel="0" collapsed="false">
      <c r="A31" s="0" t="n">
        <v>31</v>
      </c>
      <c r="B31" s="34" t="n">
        <v>39722</v>
      </c>
      <c r="C31" s="56" t="n">
        <v>101800</v>
      </c>
      <c r="D31" s="26" t="s">
        <v>41</v>
      </c>
      <c r="E31" s="33" t="n">
        <f aca="false">IF(D31="totale",(C31/(A31*24))/F31,IF(D31="marché libre",(C31/(A31*24))/G31,"spécifier histo"))</f>
        <v>0.106896841397849</v>
      </c>
      <c r="F31" s="59" t="n">
        <v>1280</v>
      </c>
      <c r="G31" s="59" t="n">
        <f aca="false">F31-H31</f>
        <v>1280</v>
      </c>
      <c r="H31" s="59" t="n">
        <v>0</v>
      </c>
      <c r="J31" s="55"/>
      <c r="K31" s="545"/>
    </row>
    <row r="32" customFormat="false" ht="19.85" hidden="false" customHeight="true" outlineLevel="0" collapsed="false">
      <c r="A32" s="0" t="n">
        <v>30</v>
      </c>
      <c r="B32" s="31" t="n">
        <v>39753</v>
      </c>
      <c r="C32" s="56" t="n">
        <v>426200</v>
      </c>
      <c r="D32" s="26" t="s">
        <v>41</v>
      </c>
      <c r="E32" s="33" t="n">
        <f aca="false">IF(D32="totale",(C32/(A32*24))/F32,IF(D32="marché libre",(C32/(A32*24))/G32,"spécifier histo"))</f>
        <v>0.462456597222222</v>
      </c>
      <c r="F32" s="59" t="n">
        <v>1280</v>
      </c>
      <c r="G32" s="59" t="n">
        <f aca="false">F32-H32</f>
        <v>1280</v>
      </c>
      <c r="H32" s="59" t="n">
        <v>0</v>
      </c>
      <c r="J32" s="55"/>
      <c r="K32" s="545"/>
    </row>
    <row r="33" customFormat="false" ht="19.85" hidden="false" customHeight="true" outlineLevel="0" collapsed="false">
      <c r="A33" s="0" t="n">
        <v>31</v>
      </c>
      <c r="B33" s="34" t="n">
        <v>39783</v>
      </c>
      <c r="C33" s="56" t="n">
        <v>662200</v>
      </c>
      <c r="D33" s="26" t="s">
        <v>41</v>
      </c>
      <c r="E33" s="33" t="n">
        <f aca="false">IF(D33="totale",(C33/(A33*24))/F33,IF(D33="marché libre",(C33/(A33*24))/G33,"spécifier histo"))</f>
        <v>0.695354502688172</v>
      </c>
      <c r="F33" s="59" t="n">
        <v>1280</v>
      </c>
      <c r="G33" s="59" t="n">
        <f aca="false">F33-H33</f>
        <v>1280</v>
      </c>
      <c r="H33" s="59" t="n">
        <v>0</v>
      </c>
      <c r="J33" s="55"/>
      <c r="K33" s="545"/>
    </row>
    <row r="34" customFormat="false" ht="19.85" hidden="false" customHeight="true" outlineLevel="0" collapsed="false">
      <c r="A34" s="0" t="n">
        <v>31</v>
      </c>
      <c r="B34" s="31" t="n">
        <v>39814</v>
      </c>
      <c r="C34" s="56" t="n">
        <v>555600</v>
      </c>
      <c r="D34" s="26" t="s">
        <v>41</v>
      </c>
      <c r="E34" s="33" t="n">
        <f aca="false">IF(D34="totale",(C34/(A34*24))/F34,IF(D34="marché libre",(C34/(A34*24))/G34,"spécifier histo"))</f>
        <v>0.583417338709677</v>
      </c>
      <c r="F34" s="59" t="n">
        <v>1280</v>
      </c>
      <c r="G34" s="59" t="n">
        <f aca="false">F34-H34</f>
        <v>1280</v>
      </c>
      <c r="H34" s="59" t="n">
        <v>0</v>
      </c>
      <c r="J34" s="55"/>
      <c r="K34" s="545"/>
    </row>
    <row r="35" customFormat="false" ht="19.85" hidden="false" customHeight="true" outlineLevel="0" collapsed="false">
      <c r="A35" s="0" t="n">
        <v>28</v>
      </c>
      <c r="B35" s="34" t="n">
        <v>39845</v>
      </c>
      <c r="C35" s="56" t="n">
        <v>496600</v>
      </c>
      <c r="D35" s="26" t="s">
        <v>41</v>
      </c>
      <c r="E35" s="33" t="n">
        <f aca="false">IF(D35="totale",(C35/(A35*24))/F35,IF(D35="marché libre",(C35/(A35*24))/G35,"spécifier histo"))</f>
        <v>0.577334449404762</v>
      </c>
      <c r="F35" s="59" t="n">
        <v>1280</v>
      </c>
      <c r="G35" s="59" t="n">
        <f aca="false">F35-H35</f>
        <v>1280</v>
      </c>
      <c r="H35" s="59" t="n">
        <v>0</v>
      </c>
      <c r="J35" s="55"/>
      <c r="K35" s="545"/>
    </row>
    <row r="36" customFormat="false" ht="19.85" hidden="false" customHeight="true" outlineLevel="0" collapsed="false">
      <c r="A36" s="0" t="n">
        <v>31</v>
      </c>
      <c r="B36" s="31" t="n">
        <v>39873</v>
      </c>
      <c r="C36" s="56" t="n">
        <v>279600</v>
      </c>
      <c r="D36" s="26" t="s">
        <v>41</v>
      </c>
      <c r="E36" s="33" t="n">
        <f aca="false">IF(D36="totale",(C36/(A36*24))/F36,IF(D36="marché libre",(C36/(A36*24))/G36,"spécifier histo"))</f>
        <v>0.293598790322581</v>
      </c>
      <c r="F36" s="59" t="n">
        <v>1280</v>
      </c>
      <c r="G36" s="59" t="n">
        <f aca="false">F36-H36</f>
        <v>1280</v>
      </c>
      <c r="H36" s="59" t="n">
        <v>0</v>
      </c>
      <c r="J36" s="55"/>
      <c r="K36" s="545"/>
    </row>
    <row r="37" customFormat="false" ht="19.85" hidden="false" customHeight="true" outlineLevel="0" collapsed="false">
      <c r="A37" s="0" t="n">
        <v>30</v>
      </c>
      <c r="B37" s="34" t="n">
        <v>39904</v>
      </c>
      <c r="C37" s="56" t="n">
        <v>453000</v>
      </c>
      <c r="D37" s="26" t="s">
        <v>41</v>
      </c>
      <c r="E37" s="33" t="n">
        <f aca="false">IF(D37="totale",(C37/(A37*24))/F37,IF(D37="marché libre",(C37/(A37*24))/G37,"spécifier histo"))</f>
        <v>0.491536458333333</v>
      </c>
      <c r="F37" s="59" t="n">
        <v>1280</v>
      </c>
      <c r="G37" s="59" t="n">
        <f aca="false">F37-H37</f>
        <v>1280</v>
      </c>
      <c r="H37" s="59" t="n">
        <v>0</v>
      </c>
      <c r="J37" s="55"/>
      <c r="K37" s="545"/>
    </row>
    <row r="38" customFormat="false" ht="19.85" hidden="false" customHeight="true" outlineLevel="0" collapsed="false">
      <c r="A38" s="0" t="n">
        <v>31</v>
      </c>
      <c r="B38" s="31" t="n">
        <v>39934</v>
      </c>
      <c r="C38" s="56" t="n">
        <v>585600</v>
      </c>
      <c r="D38" s="26" t="s">
        <v>41</v>
      </c>
      <c r="E38" s="33" t="n">
        <f aca="false">IF(D38="totale",(C38/(A38*24))/F38,IF(D38="marché libre",(C38/(A38*24))/G38,"spécifier histo"))</f>
        <v>0.61491935483871</v>
      </c>
      <c r="F38" s="59" t="n">
        <v>1280</v>
      </c>
      <c r="G38" s="59" t="n">
        <f aca="false">F38-H38</f>
        <v>1280</v>
      </c>
      <c r="H38" s="59" t="n">
        <v>0</v>
      </c>
      <c r="J38" s="55"/>
    </row>
    <row r="39" customFormat="false" ht="19.85" hidden="false" customHeight="true" outlineLevel="0" collapsed="false">
      <c r="A39" s="0" t="n">
        <v>30</v>
      </c>
      <c r="B39" s="34" t="n">
        <v>39965</v>
      </c>
      <c r="C39" s="56" t="n">
        <v>232200</v>
      </c>
      <c r="D39" s="26" t="s">
        <v>41</v>
      </c>
      <c r="E39" s="33" t="n">
        <f aca="false">IF(D39="totale",(C39/(A39*24))/F39,IF(D39="marché libre",(C39/(A39*24))/G39,"spécifier histo"))</f>
        <v>0.251953125</v>
      </c>
      <c r="F39" s="59" t="n">
        <v>1280</v>
      </c>
      <c r="G39" s="59" t="n">
        <f aca="false">F39-H39</f>
        <v>1280</v>
      </c>
      <c r="H39" s="59" t="n">
        <v>0</v>
      </c>
      <c r="J39" s="55"/>
    </row>
    <row r="40" customFormat="false" ht="19.85" hidden="false" customHeight="true" outlineLevel="0" collapsed="false">
      <c r="A40" s="0" t="n">
        <v>31</v>
      </c>
      <c r="B40" s="31" t="n">
        <v>39995</v>
      </c>
      <c r="C40" s="56" t="n">
        <v>143200</v>
      </c>
      <c r="D40" s="26" t="s">
        <v>41</v>
      </c>
      <c r="E40" s="33" t="n">
        <f aca="false">IF(D40="totale",(C40/(A40*24))/F40,IF(D40="marché libre",(C40/(A40*24))/G40,"spécifier histo"))</f>
        <v>0.150369623655914</v>
      </c>
      <c r="F40" s="59" t="n">
        <v>1280</v>
      </c>
      <c r="G40" s="59" t="n">
        <f aca="false">F40-H40</f>
        <v>1280</v>
      </c>
      <c r="H40" s="59" t="n">
        <v>0</v>
      </c>
      <c r="J40" s="55"/>
    </row>
    <row r="41" customFormat="false" ht="19.85" hidden="false" customHeight="true" outlineLevel="0" collapsed="false">
      <c r="A41" s="0" t="n">
        <v>31</v>
      </c>
      <c r="B41" s="34" t="n">
        <v>40026</v>
      </c>
      <c r="C41" s="56" t="n">
        <v>59800</v>
      </c>
      <c r="D41" s="26" t="s">
        <v>41</v>
      </c>
      <c r="E41" s="33" t="n">
        <f aca="false">IF(D41="totale",(C41/(A41*24))/F41,IF(D41="marché libre",(C41/(A41*24))/G41,"spécifier histo"))</f>
        <v>0.0627940188172043</v>
      </c>
      <c r="F41" s="59" t="n">
        <v>1280</v>
      </c>
      <c r="G41" s="59" t="n">
        <f aca="false">F41-H41</f>
        <v>1280</v>
      </c>
      <c r="H41" s="59" t="n">
        <v>0</v>
      </c>
      <c r="J41" s="55"/>
    </row>
    <row r="42" customFormat="false" ht="19.85" hidden="false" customHeight="true" outlineLevel="0" collapsed="false">
      <c r="A42" s="0" t="n">
        <v>30</v>
      </c>
      <c r="B42" s="31" t="n">
        <v>40057</v>
      </c>
      <c r="C42" s="56" t="n">
        <v>24200</v>
      </c>
      <c r="D42" s="26" t="s">
        <v>41</v>
      </c>
      <c r="E42" s="33" t="n">
        <f aca="false">IF(D42="totale",(C42/(A42*24))/F42,IF(D42="marché libre",(C42/(A42*24))/G42,"spécifier histo"))</f>
        <v>0.0262586805555556</v>
      </c>
      <c r="F42" s="59" t="n">
        <v>1280</v>
      </c>
      <c r="G42" s="59" t="n">
        <f aca="false">F42-H42</f>
        <v>1280</v>
      </c>
      <c r="H42" s="59" t="n">
        <v>0</v>
      </c>
      <c r="J42" s="55"/>
    </row>
    <row r="43" customFormat="false" ht="19.85" hidden="false" customHeight="true" outlineLevel="0" collapsed="false">
      <c r="A43" s="0" t="n">
        <v>31</v>
      </c>
      <c r="B43" s="34" t="n">
        <v>40087</v>
      </c>
      <c r="C43" s="56" t="n">
        <v>17400</v>
      </c>
      <c r="D43" s="26" t="s">
        <v>41</v>
      </c>
      <c r="E43" s="33" t="n">
        <f aca="false">IF(D43="totale",(C43/(A43*24))/F43,IF(D43="marché libre",(C43/(A43*24))/G43,"spécifier histo"))</f>
        <v>0.0182711693548387</v>
      </c>
      <c r="F43" s="59" t="n">
        <v>1280</v>
      </c>
      <c r="G43" s="59" t="n">
        <f aca="false">F43-H43</f>
        <v>1280</v>
      </c>
      <c r="H43" s="59" t="n">
        <v>0</v>
      </c>
      <c r="J43" s="55"/>
    </row>
    <row r="44" customFormat="false" ht="19.85" hidden="false" customHeight="true" outlineLevel="0" collapsed="false">
      <c r="A44" s="0" t="n">
        <v>30</v>
      </c>
      <c r="B44" s="31" t="n">
        <v>40118</v>
      </c>
      <c r="C44" s="56" t="n">
        <v>167600</v>
      </c>
      <c r="D44" s="26" t="s">
        <v>41</v>
      </c>
      <c r="E44" s="33" t="n">
        <f aca="false">IF(D44="totale",(C44/(A44*24))/F44,IF(D44="marché libre",(C44/(A44*24))/G44,"spécifier histo"))</f>
        <v>0.181857638888889</v>
      </c>
      <c r="F44" s="59" t="n">
        <v>1280</v>
      </c>
      <c r="G44" s="59" t="n">
        <f aca="false">F44-H44</f>
        <v>1280</v>
      </c>
      <c r="H44" s="59" t="n">
        <v>0</v>
      </c>
      <c r="J44" s="55"/>
    </row>
    <row r="45" customFormat="false" ht="19.85" hidden="false" customHeight="true" outlineLevel="0" collapsed="false">
      <c r="A45" s="0" t="n">
        <v>31</v>
      </c>
      <c r="B45" s="34" t="n">
        <v>40148</v>
      </c>
      <c r="C45" s="56" t="n">
        <v>348600</v>
      </c>
      <c r="D45" s="26" t="s">
        <v>41</v>
      </c>
      <c r="E45" s="33" t="n">
        <f aca="false">IF(D45="totale",(C45/(A45*24))/F45,IF(D45="marché libre",(C45/(A45*24))/G45,"spécifier histo"))</f>
        <v>0.366053427419355</v>
      </c>
      <c r="F45" s="59" t="n">
        <v>1280</v>
      </c>
      <c r="G45" s="59" t="n">
        <f aca="false">F45-H45</f>
        <v>1280</v>
      </c>
      <c r="H45" s="59" t="n">
        <v>0</v>
      </c>
      <c r="J45" s="55"/>
    </row>
    <row r="46" customFormat="false" ht="19.85" hidden="false" customHeight="true" outlineLevel="0" collapsed="false">
      <c r="A46" s="0" t="n">
        <v>31</v>
      </c>
      <c r="B46" s="31" t="n">
        <v>40179</v>
      </c>
      <c r="C46" s="56" t="n">
        <v>651600</v>
      </c>
      <c r="D46" s="26" t="s">
        <v>41</v>
      </c>
      <c r="E46" s="33" t="n">
        <f aca="false">IF(D46="totale",(C46/(A46*24))/F46,IF(D46="marché libre",(C46/(A46*24))/G46,"spécifier histo"))</f>
        <v>0.684223790322581</v>
      </c>
      <c r="F46" s="59" t="n">
        <v>1280</v>
      </c>
      <c r="G46" s="59" t="n">
        <f aca="false">F46-H46</f>
        <v>1280</v>
      </c>
      <c r="H46" s="59" t="n">
        <v>0</v>
      </c>
      <c r="J46" s="55"/>
    </row>
    <row r="47" customFormat="false" ht="19.85" hidden="false" customHeight="true" outlineLevel="0" collapsed="false">
      <c r="A47" s="0" t="n">
        <v>28</v>
      </c>
      <c r="B47" s="34" t="n">
        <v>40210</v>
      </c>
      <c r="C47" s="56" t="n">
        <v>607000</v>
      </c>
      <c r="D47" s="26" t="s">
        <v>41</v>
      </c>
      <c r="E47" s="33" t="n">
        <f aca="false">IF(D47="totale",(C47/(A47*24))/F47,IF(D47="marché libre",(C47/(A47*24))/G47,"spécifier histo"))</f>
        <v>0.705682663690476</v>
      </c>
      <c r="F47" s="59" t="n">
        <v>1280</v>
      </c>
      <c r="G47" s="59" t="n">
        <f aca="false">F47-H47</f>
        <v>1280</v>
      </c>
      <c r="H47" s="59" t="n">
        <v>0</v>
      </c>
      <c r="J47" s="55"/>
    </row>
    <row r="48" customFormat="false" ht="19.85" hidden="false" customHeight="true" outlineLevel="0" collapsed="false">
      <c r="A48" s="0" t="n">
        <v>31</v>
      </c>
      <c r="B48" s="31" t="n">
        <v>40238</v>
      </c>
      <c r="C48" s="56" t="n">
        <v>561200</v>
      </c>
      <c r="D48" s="26" t="s">
        <v>41</v>
      </c>
      <c r="E48" s="33" t="n">
        <f aca="false">IF(D48="totale",(C48/(A48*24))/F48,IF(D48="marché libre",(C48/(A48*24))/G48,"spécifier histo"))</f>
        <v>0.589297715053763</v>
      </c>
      <c r="F48" s="59" t="n">
        <v>1280</v>
      </c>
      <c r="G48" s="59" t="n">
        <f aca="false">F48-H48</f>
        <v>1280</v>
      </c>
      <c r="H48" s="59" t="n">
        <v>0</v>
      </c>
      <c r="J48" s="55"/>
    </row>
    <row r="49" customFormat="false" ht="19.85" hidden="false" customHeight="true" outlineLevel="0" collapsed="false">
      <c r="A49" s="0" t="n">
        <v>30</v>
      </c>
      <c r="B49" s="34" t="n">
        <v>40269</v>
      </c>
      <c r="C49" s="56" t="n">
        <v>554800</v>
      </c>
      <c r="D49" s="26" t="s">
        <v>41</v>
      </c>
      <c r="E49" s="33" t="n">
        <f aca="false">IF(D49="totale",(C49/(A49*24))/F49,IF(D49="marché libre",(C49/(A49*24))/G49,"spécifier histo"))</f>
        <v>0.601996527777778</v>
      </c>
      <c r="F49" s="59" t="n">
        <v>1280</v>
      </c>
      <c r="G49" s="59" t="n">
        <f aca="false">F49-H49</f>
        <v>1280</v>
      </c>
      <c r="H49" s="59" t="n">
        <v>0</v>
      </c>
      <c r="J49" s="55"/>
    </row>
    <row r="50" customFormat="false" ht="19.85" hidden="false" customHeight="true" outlineLevel="0" collapsed="false">
      <c r="A50" s="0" t="n">
        <v>31</v>
      </c>
      <c r="B50" s="31" t="n">
        <v>40299</v>
      </c>
      <c r="C50" s="56" t="n">
        <v>498600</v>
      </c>
      <c r="D50" s="26" t="s">
        <v>41</v>
      </c>
      <c r="E50" s="33" t="n">
        <f aca="false">IF(D50="totale",(C50/(A50*24))/F50,IF(D50="marché libre",(C50/(A50*24))/G50,"spécifier histo"))</f>
        <v>0.523563508064516</v>
      </c>
      <c r="F50" s="59" t="n">
        <v>1280</v>
      </c>
      <c r="G50" s="59" t="n">
        <f aca="false">F50-H50</f>
        <v>1280</v>
      </c>
      <c r="H50" s="59" t="n">
        <v>0</v>
      </c>
      <c r="J50" s="55"/>
    </row>
    <row r="51" customFormat="false" ht="19.85" hidden="false" customHeight="true" outlineLevel="0" collapsed="false">
      <c r="A51" s="0" t="n">
        <v>30</v>
      </c>
      <c r="B51" s="34" t="n">
        <v>40330</v>
      </c>
      <c r="C51" s="56" t="n">
        <v>610200</v>
      </c>
      <c r="D51" s="26" t="s">
        <v>41</v>
      </c>
      <c r="E51" s="33" t="n">
        <f aca="false">IF(D51="totale",(C51/(A51*24))/F51,IF(D51="marché libre",(C51/(A51*24))/G51,"spécifier histo"))</f>
        <v>0.662109375</v>
      </c>
      <c r="F51" s="59" t="n">
        <v>1280</v>
      </c>
      <c r="G51" s="59" t="n">
        <f aca="false">F51-H51</f>
        <v>1280</v>
      </c>
      <c r="H51" s="59" t="n">
        <v>0</v>
      </c>
      <c r="J51" s="55"/>
    </row>
    <row r="52" customFormat="false" ht="19.85" hidden="false" customHeight="true" outlineLevel="0" collapsed="false">
      <c r="A52" s="0" t="n">
        <v>31</v>
      </c>
      <c r="B52" s="31" t="n">
        <v>40360</v>
      </c>
      <c r="C52" s="56" t="n">
        <v>210400</v>
      </c>
      <c r="D52" s="26" t="s">
        <v>41</v>
      </c>
      <c r="E52" s="33" t="n">
        <f aca="false">IF(D52="totale",(C52/(A52*24))/F52,IF(D52="marché libre",(C52/(A52*24))/G52,"spécifier histo"))</f>
        <v>0.220934139784946</v>
      </c>
      <c r="F52" s="59" t="n">
        <v>1280</v>
      </c>
      <c r="G52" s="59" t="n">
        <f aca="false">F52-H52</f>
        <v>1280</v>
      </c>
      <c r="H52" s="59" t="n">
        <v>0</v>
      </c>
      <c r="J52" s="55"/>
    </row>
    <row r="53" customFormat="false" ht="19.85" hidden="false" customHeight="true" outlineLevel="0" collapsed="false">
      <c r="A53" s="0" t="n">
        <v>31</v>
      </c>
      <c r="B53" s="34" t="n">
        <v>40391</v>
      </c>
      <c r="C53" s="56" t="n">
        <v>85600</v>
      </c>
      <c r="D53" s="26" t="s">
        <v>41</v>
      </c>
      <c r="E53" s="33" t="n">
        <f aca="false">IF(D53="totale",(C53/(A53*24))/F53,IF(D53="marché libre",(C53/(A53*24))/G53,"spécifier histo"))</f>
        <v>0.089885752688172</v>
      </c>
      <c r="F53" s="59" t="n">
        <v>1280</v>
      </c>
      <c r="G53" s="59" t="n">
        <f aca="false">F53-H53</f>
        <v>1280</v>
      </c>
      <c r="H53" s="59" t="n">
        <v>0</v>
      </c>
      <c r="J53" s="55"/>
    </row>
    <row r="54" customFormat="false" ht="19.85" hidden="false" customHeight="true" outlineLevel="0" collapsed="false">
      <c r="A54" s="0" t="n">
        <v>30</v>
      </c>
      <c r="B54" s="31" t="n">
        <v>40422</v>
      </c>
      <c r="C54" s="56" t="n">
        <v>42600</v>
      </c>
      <c r="D54" s="26" t="s">
        <v>41</v>
      </c>
      <c r="E54" s="33" t="n">
        <f aca="false">IF(D54="totale",(C54/(A54*24))/F54,IF(D54="marché libre",(C54/(A54*24))/G54,"spécifier histo"))</f>
        <v>0.0462239583333333</v>
      </c>
      <c r="F54" s="59" t="n">
        <v>1280</v>
      </c>
      <c r="G54" s="59" t="n">
        <f aca="false">F54-H54</f>
        <v>1280</v>
      </c>
      <c r="H54" s="59" t="n">
        <v>0</v>
      </c>
      <c r="J54" s="55"/>
    </row>
    <row r="55" customFormat="false" ht="19.85" hidden="false" customHeight="true" outlineLevel="0" collapsed="false">
      <c r="A55" s="0" t="n">
        <v>31</v>
      </c>
      <c r="B55" s="34" t="n">
        <v>40452</v>
      </c>
      <c r="C55" s="56" t="n">
        <v>57400</v>
      </c>
      <c r="D55" s="26" t="s">
        <v>41</v>
      </c>
      <c r="E55" s="33" t="n">
        <f aca="false">IF(D55="totale",(C55/(A55*24))/F55,IF(D55="marché libre",(C55/(A55*24))/G55,"spécifier histo"))</f>
        <v>0.0602738575268817</v>
      </c>
      <c r="F55" s="59" t="n">
        <v>1280</v>
      </c>
      <c r="G55" s="59" t="n">
        <f aca="false">F55-H55</f>
        <v>1280</v>
      </c>
      <c r="H55" s="59" t="n">
        <v>0</v>
      </c>
      <c r="J55" s="55"/>
    </row>
    <row r="56" customFormat="false" ht="19.85" hidden="false" customHeight="true" outlineLevel="0" collapsed="false">
      <c r="A56" s="0" t="n">
        <v>30</v>
      </c>
      <c r="B56" s="31" t="n">
        <v>40483</v>
      </c>
      <c r="C56" s="56" t="n">
        <v>234400</v>
      </c>
      <c r="D56" s="26" t="s">
        <v>41</v>
      </c>
      <c r="E56" s="33" t="n">
        <f aca="false">IF(D56="totale",(C56/(A56*24))/F56,IF(D56="marché libre",(C56/(A56*24))/G56,"spécifier histo"))</f>
        <v>0.254340277777778</v>
      </c>
      <c r="F56" s="59" t="n">
        <v>1280</v>
      </c>
      <c r="G56" s="59" t="n">
        <f aca="false">F56-H56</f>
        <v>1280</v>
      </c>
      <c r="H56" s="59" t="n">
        <v>0</v>
      </c>
      <c r="J56" s="55"/>
    </row>
    <row r="57" customFormat="false" ht="19.85" hidden="false" customHeight="true" outlineLevel="0" collapsed="false">
      <c r="A57" s="0" t="n">
        <v>31</v>
      </c>
      <c r="B57" s="34" t="n">
        <v>40513</v>
      </c>
      <c r="C57" s="56" t="n">
        <v>529400</v>
      </c>
      <c r="D57" s="26" t="s">
        <v>41</v>
      </c>
      <c r="E57" s="33" t="n">
        <f aca="false">IF(D57="totale",(C57/(A57*24))/F57,IF(D57="marché libre",(C57/(A57*24))/G57,"spécifier histo"))</f>
        <v>0.555905577956989</v>
      </c>
      <c r="F57" s="59" t="n">
        <v>1280</v>
      </c>
      <c r="G57" s="59" t="n">
        <f aca="false">F57-H57</f>
        <v>1280</v>
      </c>
      <c r="H57" s="59" t="n">
        <v>0</v>
      </c>
      <c r="J57" s="55"/>
    </row>
    <row r="58" customFormat="false" ht="19.85" hidden="false" customHeight="true" outlineLevel="0" collapsed="false">
      <c r="A58" s="0" t="n">
        <v>31</v>
      </c>
      <c r="B58" s="31" t="n">
        <v>40544</v>
      </c>
      <c r="C58" s="56" t="n">
        <v>362600</v>
      </c>
      <c r="D58" s="26" t="s">
        <v>41</v>
      </c>
      <c r="E58" s="33" t="n">
        <f aca="false">IF(D58="totale",(C58/(A58*24))/F58,IF(D58="marché libre",(C58/(A58*24))/G58,"spécifier histo"))</f>
        <v>0.38075436827957</v>
      </c>
      <c r="F58" s="59" t="n">
        <v>1280</v>
      </c>
      <c r="G58" s="59" t="n">
        <f aca="false">F58-H58</f>
        <v>1280</v>
      </c>
      <c r="H58" s="59" t="n">
        <v>0</v>
      </c>
      <c r="J58" s="55"/>
    </row>
    <row r="59" customFormat="false" ht="19.85" hidden="false" customHeight="true" outlineLevel="0" collapsed="false">
      <c r="A59" s="0" t="n">
        <v>28</v>
      </c>
      <c r="B59" s="34" t="n">
        <v>40575</v>
      </c>
      <c r="C59" s="56" t="n">
        <v>182200</v>
      </c>
      <c r="D59" s="26" t="s">
        <v>41</v>
      </c>
      <c r="E59" s="33" t="n">
        <f aca="false">IF(D59="totale",(C59/(A59*24))/F59,IF(D59="marché libre",(C59/(A59*24))/G59,"spécifier histo"))</f>
        <v>0.211821056547619</v>
      </c>
      <c r="F59" s="59" t="n">
        <v>1280</v>
      </c>
      <c r="G59" s="59" t="n">
        <f aca="false">F59-H59</f>
        <v>1280</v>
      </c>
      <c r="H59" s="59" t="n">
        <v>0</v>
      </c>
      <c r="J59" s="55"/>
    </row>
    <row r="60" customFormat="false" ht="19.85" hidden="false" customHeight="true" outlineLevel="0" collapsed="false">
      <c r="A60" s="0" t="n">
        <v>31</v>
      </c>
      <c r="B60" s="31" t="n">
        <v>40603</v>
      </c>
      <c r="C60" s="56" t="n">
        <v>165400</v>
      </c>
      <c r="D60" s="26" t="s">
        <v>41</v>
      </c>
      <c r="E60" s="33" t="n">
        <f aca="false">IF(D60="totale",(C60/(A60*24))/F60,IF(D60="marché libre",(C60/(A60*24))/G60,"spécifier histo"))</f>
        <v>0.173681115591398</v>
      </c>
      <c r="F60" s="59" t="n">
        <v>1280</v>
      </c>
      <c r="G60" s="59" t="n">
        <f aca="false">F60-H60</f>
        <v>1280</v>
      </c>
      <c r="H60" s="59" t="n">
        <v>0</v>
      </c>
      <c r="J60" s="55"/>
    </row>
    <row r="61" customFormat="false" ht="19.85" hidden="false" customHeight="true" outlineLevel="0" collapsed="false">
      <c r="A61" s="0" t="n">
        <v>30</v>
      </c>
      <c r="B61" s="34" t="n">
        <v>40634</v>
      </c>
      <c r="C61" s="56" t="n">
        <v>87200</v>
      </c>
      <c r="D61" s="26" t="s">
        <v>41</v>
      </c>
      <c r="E61" s="33" t="n">
        <f aca="false">IF(D61="totale",(C61/(A61*24))/F61,IF(D61="marché libre",(C61/(A61*24))/G61,"spécifier histo"))</f>
        <v>0.0946180555555556</v>
      </c>
      <c r="F61" s="59" t="n">
        <v>1280</v>
      </c>
      <c r="G61" s="59" t="n">
        <f aca="false">F61-H61</f>
        <v>1280</v>
      </c>
      <c r="H61" s="59" t="n">
        <v>0</v>
      </c>
      <c r="J61" s="55"/>
    </row>
    <row r="62" customFormat="false" ht="19.85" hidden="false" customHeight="true" outlineLevel="0" collapsed="false">
      <c r="A62" s="0" t="n">
        <v>31</v>
      </c>
      <c r="B62" s="31" t="n">
        <v>40664</v>
      </c>
      <c r="C62" s="56" t="n">
        <v>54000</v>
      </c>
      <c r="D62" s="26" t="s">
        <v>41</v>
      </c>
      <c r="E62" s="33" t="n">
        <f aca="false">IF(D62="totale",(C62/(A62*24))/F62,IF(D62="marché libre",(C62/(A62*24))/G62,"spécifier histo"))</f>
        <v>0.0567036290322581</v>
      </c>
      <c r="F62" s="59" t="n">
        <v>1280</v>
      </c>
      <c r="G62" s="59" t="n">
        <f aca="false">F62-H62</f>
        <v>1280</v>
      </c>
      <c r="H62" s="59" t="n">
        <v>0</v>
      </c>
      <c r="J62" s="55"/>
    </row>
    <row r="63" customFormat="false" ht="19.85" hidden="false" customHeight="true" outlineLevel="0" collapsed="false">
      <c r="A63" s="0" t="n">
        <v>30</v>
      </c>
      <c r="B63" s="34" t="n">
        <v>40695</v>
      </c>
      <c r="C63" s="56" t="n">
        <v>31800</v>
      </c>
      <c r="D63" s="26" t="s">
        <v>41</v>
      </c>
      <c r="E63" s="33" t="n">
        <f aca="false">IF(D63="totale",(C63/(A63*24))/F63,IF(D63="marché libre",(C63/(A63*24))/G63,"spécifier histo"))</f>
        <v>0.0345052083333333</v>
      </c>
      <c r="F63" s="59" t="n">
        <v>1280</v>
      </c>
      <c r="G63" s="59" t="n">
        <f aca="false">F63-H63</f>
        <v>1280</v>
      </c>
      <c r="H63" s="59" t="n">
        <v>0</v>
      </c>
      <c r="J63" s="55"/>
    </row>
    <row r="64" customFormat="false" ht="19.85" hidden="false" customHeight="true" outlineLevel="0" collapsed="false">
      <c r="A64" s="0" t="n">
        <v>31</v>
      </c>
      <c r="B64" s="31" t="n">
        <v>40725</v>
      </c>
      <c r="C64" s="56" t="n">
        <v>25000</v>
      </c>
      <c r="D64" s="26" t="s">
        <v>41</v>
      </c>
      <c r="E64" s="33" t="n">
        <f aca="false">IF(D64="totale",(C64/(A64*24))/F64,IF(D64="marché libre",(C64/(A64*24))/G64,"spécifier histo"))</f>
        <v>0.0262516801075269</v>
      </c>
      <c r="F64" s="59" t="n">
        <v>1280</v>
      </c>
      <c r="G64" s="59" t="n">
        <f aca="false">F64-H64</f>
        <v>1280</v>
      </c>
      <c r="H64" s="59" t="n">
        <v>0</v>
      </c>
      <c r="J64" s="55"/>
    </row>
    <row r="65" customFormat="false" ht="19.85" hidden="false" customHeight="true" outlineLevel="0" collapsed="false">
      <c r="A65" s="0" t="n">
        <v>31</v>
      </c>
      <c r="B65" s="34" t="n">
        <v>40756</v>
      </c>
      <c r="C65" s="56" t="n">
        <v>29600</v>
      </c>
      <c r="D65" s="26" t="s">
        <v>41</v>
      </c>
      <c r="E65" s="33" t="n">
        <f aca="false">IF(D65="totale",(C65/(A65*24))/F65,IF(D65="marché libre",(C65/(A65*24))/G65,"spécifier histo"))</f>
        <v>0.0310819892473118</v>
      </c>
      <c r="F65" s="59" t="n">
        <v>1280</v>
      </c>
      <c r="G65" s="59" t="n">
        <f aca="false">F65-H65</f>
        <v>1280</v>
      </c>
      <c r="H65" s="59" t="n">
        <v>0</v>
      </c>
      <c r="J65" s="55"/>
    </row>
    <row r="66" customFormat="false" ht="19.85" hidden="false" customHeight="true" outlineLevel="0" collapsed="false">
      <c r="A66" s="0" t="n">
        <v>30</v>
      </c>
      <c r="B66" s="31" t="n">
        <v>40787</v>
      </c>
      <c r="C66" s="56" t="n">
        <v>12000</v>
      </c>
      <c r="D66" s="26" t="s">
        <v>41</v>
      </c>
      <c r="E66" s="33" t="n">
        <f aca="false">IF(D66="totale",(C66/(A66*24))/F66,IF(D66="marché libre",(C66/(A66*24))/G66,"spécifier histo"))</f>
        <v>0.0130208333333333</v>
      </c>
      <c r="F66" s="59" t="n">
        <v>1280</v>
      </c>
      <c r="G66" s="59" t="n">
        <f aca="false">F66-H66</f>
        <v>1280</v>
      </c>
      <c r="H66" s="59" t="n">
        <v>0</v>
      </c>
      <c r="J66" s="55"/>
    </row>
    <row r="67" customFormat="false" ht="19.85" hidden="false" customHeight="true" outlineLevel="0" collapsed="false">
      <c r="A67" s="0" t="n">
        <v>31</v>
      </c>
      <c r="B67" s="34" t="n">
        <v>40817</v>
      </c>
      <c r="C67" s="56" t="n">
        <v>9411</v>
      </c>
      <c r="D67" s="26" t="s">
        <v>41</v>
      </c>
      <c r="E67" s="33" t="n">
        <f aca="false">IF(D67="totale",(C67/(A67*24))/F67,IF(D67="marché libre",(C67/(A67*24))/G67,"spécifier histo"))</f>
        <v>0.00988218245967742</v>
      </c>
      <c r="F67" s="59" t="n">
        <v>1280</v>
      </c>
      <c r="G67" s="59" t="n">
        <f aca="false">F67-H67</f>
        <v>1280</v>
      </c>
      <c r="H67" s="59" t="n">
        <v>0</v>
      </c>
      <c r="J67" s="55"/>
    </row>
    <row r="68" customFormat="false" ht="19.85" hidden="false" customHeight="true" outlineLevel="0" collapsed="false">
      <c r="A68" s="0" t="n">
        <v>30</v>
      </c>
      <c r="B68" s="31" t="n">
        <v>40848</v>
      </c>
      <c r="C68" s="56" t="n">
        <v>51005</v>
      </c>
      <c r="D68" s="26" t="s">
        <v>41</v>
      </c>
      <c r="E68" s="33" t="n">
        <f aca="false">IF(D68="totale",(C68/(A68*24))/F68,IF(D68="marché libre",(C68/(A68*24))/G68,"spécifier histo"))</f>
        <v>0.0553439670138889</v>
      </c>
      <c r="F68" s="59" t="n">
        <v>1280</v>
      </c>
      <c r="G68" s="59" t="n">
        <f aca="false">F68-H68</f>
        <v>1280</v>
      </c>
      <c r="H68" s="59" t="n">
        <v>0</v>
      </c>
      <c r="J68" s="55"/>
    </row>
    <row r="69" customFormat="false" ht="19.85" hidden="false" customHeight="true" outlineLevel="0" collapsed="false">
      <c r="A69" s="0" t="n">
        <v>31</v>
      </c>
      <c r="B69" s="34" t="n">
        <v>40878</v>
      </c>
      <c r="C69" s="56" t="n">
        <v>449974</v>
      </c>
      <c r="D69" s="26" t="s">
        <v>41</v>
      </c>
      <c r="E69" s="33" t="n">
        <f aca="false">IF(D69="totale",(C69/(A69*24))/F69,IF(D69="marché libre",(C69/(A69*24))/G69,"spécifier histo"))</f>
        <v>0.472502940188172</v>
      </c>
      <c r="F69" s="59" t="n">
        <v>1280</v>
      </c>
      <c r="G69" s="59" t="n">
        <f aca="false">F69-H69</f>
        <v>1280</v>
      </c>
      <c r="H69" s="59" t="n">
        <v>0</v>
      </c>
      <c r="J69" s="55"/>
    </row>
    <row r="70" customFormat="false" ht="19.85" hidden="false" customHeight="true" outlineLevel="0" collapsed="false">
      <c r="A70" s="0" t="n">
        <v>31</v>
      </c>
      <c r="B70" s="31" t="n">
        <v>40909</v>
      </c>
      <c r="C70" s="56" t="n">
        <v>556439</v>
      </c>
      <c r="D70" s="26" t="s">
        <v>41</v>
      </c>
      <c r="E70" s="33" t="n">
        <f aca="false">IF(D70="totale",(C70/(A70*24))/F70,IF(D70="marché libre",(C70/(A70*24))/G70,"spécifier histo"))</f>
        <v>0.584298345094086</v>
      </c>
      <c r="F70" s="59" t="n">
        <v>1280</v>
      </c>
      <c r="G70" s="59" t="n">
        <f aca="false">F70-H70</f>
        <v>1280</v>
      </c>
      <c r="H70" s="59" t="n">
        <v>0</v>
      </c>
      <c r="J70" s="55"/>
    </row>
    <row r="71" customFormat="false" ht="19.85" hidden="false" customHeight="true" outlineLevel="0" collapsed="false">
      <c r="A71" s="0" t="n">
        <v>28</v>
      </c>
      <c r="B71" s="34" t="n">
        <v>40940</v>
      </c>
      <c r="C71" s="56" t="n">
        <v>274798</v>
      </c>
      <c r="D71" s="26" t="s">
        <v>41</v>
      </c>
      <c r="E71" s="33" t="n">
        <f aca="false">IF(D71="totale",(C71/(A71*24))/F71,IF(D71="marché libre",(C71/(A71*24))/G71,"spécifier histo"))</f>
        <v>0.319473121279762</v>
      </c>
      <c r="F71" s="59" t="n">
        <v>1280</v>
      </c>
      <c r="G71" s="59" t="n">
        <f aca="false">F71-H71</f>
        <v>1280</v>
      </c>
      <c r="H71" s="59" t="n">
        <v>0</v>
      </c>
      <c r="J71" s="55"/>
    </row>
    <row r="72" customFormat="false" ht="19.85" hidden="false" customHeight="true" outlineLevel="0" collapsed="false">
      <c r="A72" s="0" t="n">
        <v>31</v>
      </c>
      <c r="B72" s="31" t="n">
        <v>40969</v>
      </c>
      <c r="C72" s="56" t="n">
        <v>202524</v>
      </c>
      <c r="D72" s="26" t="s">
        <v>41</v>
      </c>
      <c r="E72" s="33" t="n">
        <f aca="false">IF(D72="totale",(C72/(A72*24))/F72,IF(D72="marché libre",(C72/(A72*24))/G72,"spécifier histo"))</f>
        <v>0.212663810483871</v>
      </c>
      <c r="F72" s="59" t="n">
        <v>1280</v>
      </c>
      <c r="G72" s="59" t="n">
        <f aca="false">F72-H72</f>
        <v>1280</v>
      </c>
      <c r="H72" s="59" t="n">
        <v>0</v>
      </c>
      <c r="J72" s="55"/>
    </row>
    <row r="73" customFormat="false" ht="19.85" hidden="false" customHeight="true" outlineLevel="0" collapsed="false">
      <c r="A73" s="0" t="n">
        <v>30</v>
      </c>
      <c r="B73" s="34" t="n">
        <v>41000</v>
      </c>
      <c r="C73" s="56" t="n">
        <v>362041</v>
      </c>
      <c r="D73" s="26" t="s">
        <v>41</v>
      </c>
      <c r="E73" s="33" t="n">
        <f aca="false">IF(D73="totale",(C73/(A73*24))/F73,IF(D73="marché libre",(C73/(A73*24))/G73,"spécifier histo"))</f>
        <v>0.392839626736111</v>
      </c>
      <c r="F73" s="59" t="n">
        <v>1280</v>
      </c>
      <c r="G73" s="59" t="n">
        <f aca="false">F73-H73</f>
        <v>1280</v>
      </c>
      <c r="H73" s="59" t="n">
        <v>0</v>
      </c>
      <c r="J73" s="55"/>
    </row>
    <row r="74" customFormat="false" ht="19.85" hidden="false" customHeight="true" outlineLevel="0" collapsed="false">
      <c r="A74" s="0" t="n">
        <v>31</v>
      </c>
      <c r="B74" s="31" t="n">
        <v>41030</v>
      </c>
      <c r="C74" s="56" t="n">
        <v>625285</v>
      </c>
      <c r="D74" s="26" t="s">
        <v>41</v>
      </c>
      <c r="E74" s="33" t="n">
        <f aca="false">IF(D74="totale",(C74/(A74*24))/F74,IF(D74="marché libre",(C74/(A74*24))/G74,"spécifier histo"))</f>
        <v>0.656591271841398</v>
      </c>
      <c r="F74" s="59" t="n">
        <v>1280</v>
      </c>
      <c r="G74" s="59" t="n">
        <f aca="false">F74-H74</f>
        <v>1280</v>
      </c>
      <c r="H74" s="59" t="n">
        <v>0</v>
      </c>
      <c r="J74" s="55"/>
    </row>
    <row r="75" customFormat="false" ht="19.85" hidden="false" customHeight="true" outlineLevel="0" collapsed="false">
      <c r="A75" s="0" t="n">
        <v>30</v>
      </c>
      <c r="B75" s="34" t="n">
        <v>41061</v>
      </c>
      <c r="C75" s="56" t="n">
        <v>317120</v>
      </c>
      <c r="D75" s="26" t="s">
        <v>41</v>
      </c>
      <c r="E75" s="33" t="n">
        <f aca="false">IF(D75="totale",(C75/(A75*24))/F75,IF(D75="marché libre",(C75/(A75*24))/G75,"spécifier histo"))</f>
        <v>0.344097222222222</v>
      </c>
      <c r="F75" s="59" t="n">
        <v>1280</v>
      </c>
      <c r="G75" s="59" t="n">
        <f aca="false">F75-H75</f>
        <v>1280</v>
      </c>
      <c r="H75" s="59" t="n">
        <v>0</v>
      </c>
      <c r="J75" s="55"/>
    </row>
    <row r="76" customFormat="false" ht="19.85" hidden="false" customHeight="true" outlineLevel="0" collapsed="false">
      <c r="A76" s="0" t="n">
        <v>31</v>
      </c>
      <c r="B76" s="31" t="n">
        <v>41091</v>
      </c>
      <c r="C76" s="56" t="n">
        <v>154718</v>
      </c>
      <c r="D76" s="26" t="s">
        <v>41</v>
      </c>
      <c r="E76" s="33" t="n">
        <f aca="false">IF(D76="totale",(C76/(A76*24))/F76,IF(D76="marché libre",(C76/(A76*24))/G76,"spécifier histo"))</f>
        <v>0.162464297715054</v>
      </c>
      <c r="F76" s="59" t="n">
        <v>1280</v>
      </c>
      <c r="G76" s="59" t="n">
        <f aca="false">F76-H76</f>
        <v>1280</v>
      </c>
      <c r="H76" s="59" t="n">
        <v>0</v>
      </c>
      <c r="J76" s="55"/>
    </row>
    <row r="77" customFormat="false" ht="19.85" hidden="false" customHeight="true" outlineLevel="0" collapsed="false">
      <c r="A77" s="0" t="n">
        <v>31</v>
      </c>
      <c r="B77" s="34" t="n">
        <v>41122</v>
      </c>
      <c r="C77" s="56" t="n">
        <v>25678</v>
      </c>
      <c r="D77" s="26" t="s">
        <v>41</v>
      </c>
      <c r="E77" s="33" t="n">
        <f aca="false">IF(D77="totale",(C77/(A77*24))/F77,IF(D77="marché libre",(C77/(A77*24))/G77,"spécifier histo"))</f>
        <v>0.026963625672043</v>
      </c>
      <c r="F77" s="59" t="n">
        <v>1280</v>
      </c>
      <c r="G77" s="59" t="n">
        <f aca="false">F77-H77</f>
        <v>1280</v>
      </c>
      <c r="H77" s="59" t="n">
        <v>0</v>
      </c>
      <c r="J77" s="55"/>
    </row>
    <row r="78" customFormat="false" ht="19.85" hidden="false" customHeight="true" outlineLevel="0" collapsed="false">
      <c r="A78" s="0" t="n">
        <v>30</v>
      </c>
      <c r="B78" s="31" t="n">
        <v>41153</v>
      </c>
      <c r="C78" s="56" t="n">
        <v>15530</v>
      </c>
      <c r="D78" s="26" t="s">
        <v>41</v>
      </c>
      <c r="E78" s="33" t="n">
        <f aca="false">IF(D78="totale",(C78/(A78*24))/F78,IF(D78="marché libre",(C78/(A78*24))/G78,"spécifier histo"))</f>
        <v>0.0168511284722222</v>
      </c>
      <c r="F78" s="59" t="n">
        <v>1280</v>
      </c>
      <c r="G78" s="59" t="n">
        <f aca="false">F78-H78</f>
        <v>1280</v>
      </c>
      <c r="H78" s="59" t="n">
        <v>0</v>
      </c>
      <c r="J78" s="55"/>
    </row>
    <row r="79" customFormat="false" ht="19.85" hidden="false" customHeight="true" outlineLevel="0" collapsed="false">
      <c r="A79" s="0" t="n">
        <v>31</v>
      </c>
      <c r="B79" s="34" t="n">
        <v>41183</v>
      </c>
      <c r="C79" s="56" t="n">
        <v>49536</v>
      </c>
      <c r="D79" s="26" t="s">
        <v>41</v>
      </c>
      <c r="E79" s="33" t="n">
        <f aca="false">IF(D79="totale",(C79/(A79*24))/F79,IF(D79="marché libre",(C79/(A79*24))/G79,"spécifier histo"))</f>
        <v>0.0520161290322581</v>
      </c>
      <c r="F79" s="59" t="n">
        <v>1280</v>
      </c>
      <c r="G79" s="59" t="n">
        <f aca="false">F79-H79</f>
        <v>1280</v>
      </c>
      <c r="H79" s="59" t="n">
        <v>0</v>
      </c>
      <c r="J79" s="55"/>
    </row>
    <row r="80" customFormat="false" ht="19.85" hidden="false" customHeight="true" outlineLevel="0" collapsed="false">
      <c r="A80" s="0" t="n">
        <v>30</v>
      </c>
      <c r="B80" s="31" t="n">
        <v>41214</v>
      </c>
      <c r="C80" s="56" t="n">
        <v>131302</v>
      </c>
      <c r="D80" s="26" t="s">
        <v>41</v>
      </c>
      <c r="E80" s="33" t="n">
        <f aca="false">IF(D80="totale",(C80/(A80*24))/F80,IF(D80="marché libre",(C80/(A80*24))/G80,"spécifier histo"))</f>
        <v>0.142471788194444</v>
      </c>
      <c r="F80" s="59" t="n">
        <v>1280</v>
      </c>
      <c r="G80" s="59" t="n">
        <f aca="false">F80-H80</f>
        <v>1280</v>
      </c>
      <c r="H80" s="59" t="n">
        <v>0</v>
      </c>
      <c r="J80" s="55"/>
    </row>
    <row r="81" customFormat="false" ht="19.85" hidden="false" customHeight="true" outlineLevel="0" collapsed="false">
      <c r="A81" s="0" t="n">
        <v>31</v>
      </c>
      <c r="B81" s="34" t="n">
        <v>41244</v>
      </c>
      <c r="C81" s="56" t="n">
        <v>553521</v>
      </c>
      <c r="D81" s="26" t="s">
        <v>41</v>
      </c>
      <c r="E81" s="33" t="n">
        <f aca="false">IF(D81="totale",(C81/(A81*24))/F81,IF(D81="marché libre",(C81/(A81*24))/G81,"spécifier histo"))</f>
        <v>0.581234248991936</v>
      </c>
      <c r="F81" s="59" t="n">
        <v>1280</v>
      </c>
      <c r="G81" s="59" t="n">
        <f aca="false">F81-H81</f>
        <v>1280</v>
      </c>
      <c r="H81" s="59" t="n">
        <v>0</v>
      </c>
      <c r="J81" s="127"/>
    </row>
    <row r="82" customFormat="false" ht="19.85" hidden="false" customHeight="true" outlineLevel="0" collapsed="false">
      <c r="A82" s="0" t="n">
        <v>31</v>
      </c>
      <c r="B82" s="31" t="n">
        <v>41275</v>
      </c>
      <c r="C82" s="56" t="n">
        <v>539804</v>
      </c>
      <c r="D82" s="26" t="s">
        <v>41</v>
      </c>
      <c r="E82" s="33" t="n">
        <f aca="false">IF(D82="totale",(C82/(A82*24))/F82,IF(D82="marché libre",(C82/(A82*24))/G82,"spécifier histo"))</f>
        <v>0.566830477150538</v>
      </c>
      <c r="F82" s="59" t="n">
        <v>1280</v>
      </c>
      <c r="G82" s="59" t="n">
        <f aca="false">F82-H82</f>
        <v>1280</v>
      </c>
      <c r="H82" s="59" t="n">
        <v>0</v>
      </c>
      <c r="J82" s="55"/>
    </row>
    <row r="83" customFormat="false" ht="19.85" hidden="false" customHeight="true" outlineLevel="0" collapsed="false">
      <c r="A83" s="0" t="n">
        <v>28</v>
      </c>
      <c r="B83" s="34" t="n">
        <v>41306</v>
      </c>
      <c r="C83" s="56" t="n">
        <v>685004</v>
      </c>
      <c r="D83" s="26" t="s">
        <v>41</v>
      </c>
      <c r="E83" s="33" t="n">
        <f aca="false">IF(D83="totale",(C83/(A83*24))/F83,IF(D83="marché libre",(C83/(A83*24))/G83,"spécifier histo"))</f>
        <v>0.796368117559524</v>
      </c>
      <c r="F83" s="59" t="n">
        <v>1280</v>
      </c>
      <c r="G83" s="59" t="n">
        <f aca="false">F83-H83</f>
        <v>1280</v>
      </c>
      <c r="H83" s="59" t="n">
        <v>0</v>
      </c>
      <c r="J83" s="55"/>
    </row>
    <row r="84" customFormat="false" ht="19.85" hidden="false" customHeight="true" outlineLevel="0" collapsed="false">
      <c r="A84" s="0" t="n">
        <v>31</v>
      </c>
      <c r="B84" s="31" t="n">
        <v>41334</v>
      </c>
      <c r="C84" s="56" t="n">
        <v>624179</v>
      </c>
      <c r="D84" s="26" t="s">
        <v>41</v>
      </c>
      <c r="E84" s="33" t="n">
        <f aca="false">IF(D84="totale",(C84/(A84*24))/F84,IF(D84="marché libre",(C84/(A84*24))/G84,"spécifier histo"))</f>
        <v>0.655429897513441</v>
      </c>
      <c r="F84" s="59" t="n">
        <v>1280</v>
      </c>
      <c r="G84" s="59" t="n">
        <f aca="false">F84-H84</f>
        <v>1280</v>
      </c>
      <c r="H84" s="59" t="n">
        <v>0</v>
      </c>
      <c r="J84" s="55"/>
    </row>
    <row r="85" customFormat="false" ht="19.85" hidden="false" customHeight="true" outlineLevel="0" collapsed="false">
      <c r="A85" s="0" t="n">
        <v>30</v>
      </c>
      <c r="B85" s="34" t="n">
        <v>41365</v>
      </c>
      <c r="C85" s="56" t="n">
        <v>671530</v>
      </c>
      <c r="D85" s="26" t="s">
        <v>41</v>
      </c>
      <c r="E85" s="33" t="n">
        <f aca="false">IF(D85="totale",(C85/(A85*24))/F85,IF(D85="marché libre",(C85/(A85*24))/G85,"spécifier histo"))</f>
        <v>0.728656684027778</v>
      </c>
      <c r="F85" s="59" t="n">
        <v>1280</v>
      </c>
      <c r="G85" s="59" t="n">
        <f aca="false">F85-H85</f>
        <v>1280</v>
      </c>
      <c r="H85" s="59" t="n">
        <v>0</v>
      </c>
      <c r="J85" s="55"/>
    </row>
    <row r="86" customFormat="false" ht="19.85" hidden="false" customHeight="true" outlineLevel="0" collapsed="false">
      <c r="A86" s="0" t="n">
        <v>31</v>
      </c>
      <c r="B86" s="31" t="n">
        <v>41395</v>
      </c>
      <c r="C86" s="56" t="n">
        <v>693837</v>
      </c>
      <c r="D86" s="26" t="s">
        <v>41</v>
      </c>
      <c r="E86" s="33" t="n">
        <f aca="false">IF(D86="totale",(C86/(A86*24))/F86,IF(D86="marché libre",(C86/(A86*24))/G86,"spécifier histo"))</f>
        <v>0.728575478830645</v>
      </c>
      <c r="F86" s="59" t="n">
        <v>1280</v>
      </c>
      <c r="G86" s="59" t="n">
        <f aca="false">F86-H86</f>
        <v>1280</v>
      </c>
      <c r="H86" s="59" t="n">
        <v>0</v>
      </c>
      <c r="J86" s="55"/>
    </row>
    <row r="87" customFormat="false" ht="19.85" hidden="false" customHeight="true" outlineLevel="0" collapsed="false">
      <c r="A87" s="0" t="n">
        <v>30</v>
      </c>
      <c r="B87" s="34" t="n">
        <v>41426</v>
      </c>
      <c r="C87" s="56" t="n">
        <v>457865</v>
      </c>
      <c r="D87" s="26" t="s">
        <v>41</v>
      </c>
      <c r="E87" s="33" t="n">
        <f aca="false">IF(D87="totale",(C87/(A87*24))/F87,IF(D87="marché libre",(C87/(A87*24))/G87,"spécifier histo"))</f>
        <v>0.496815321180556</v>
      </c>
      <c r="F87" s="59" t="n">
        <v>1280</v>
      </c>
      <c r="G87" s="59" t="n">
        <f aca="false">F87-H87</f>
        <v>1280</v>
      </c>
      <c r="H87" s="59" t="n">
        <v>0</v>
      </c>
      <c r="J87" s="55"/>
    </row>
    <row r="88" customFormat="false" ht="19.85" hidden="false" customHeight="true" outlineLevel="0" collapsed="false">
      <c r="A88" s="0" t="n">
        <v>31</v>
      </c>
      <c r="B88" s="31" t="n">
        <v>41456</v>
      </c>
      <c r="C88" s="56" t="n">
        <v>138193</v>
      </c>
      <c r="D88" s="26" t="s">
        <v>41</v>
      </c>
      <c r="E88" s="33" t="n">
        <f aca="false">IF(D88="totale",(C88/(A88*24))/F88,IF(D88="marché libre",(C88/(A88*24))/G88,"spécifier histo"))</f>
        <v>0.145111937163978</v>
      </c>
      <c r="F88" s="59" t="n">
        <v>1280</v>
      </c>
      <c r="G88" s="59" t="n">
        <f aca="false">F88-H88</f>
        <v>1280</v>
      </c>
      <c r="H88" s="59" t="n">
        <v>0</v>
      </c>
      <c r="J88" s="55"/>
    </row>
    <row r="89" customFormat="false" ht="19.85" hidden="false" customHeight="true" outlineLevel="0" collapsed="false">
      <c r="A89" s="0" t="n">
        <v>31</v>
      </c>
      <c r="B89" s="34" t="n">
        <v>41487</v>
      </c>
      <c r="C89" s="56" t="n">
        <v>90000</v>
      </c>
      <c r="D89" s="26" t="s">
        <v>41</v>
      </c>
      <c r="E89" s="33" t="n">
        <f aca="false">IF(D89="totale",(C89/(A89*24))/F89,IF(D89="marché libre",(C89/(A89*24))/G89,"spécifier histo"))</f>
        <v>0.0945060483870968</v>
      </c>
      <c r="F89" s="59" t="n">
        <v>1280</v>
      </c>
      <c r="G89" s="59" t="n">
        <f aca="false">F89-H89</f>
        <v>1280</v>
      </c>
      <c r="H89" s="59" t="n">
        <v>0</v>
      </c>
      <c r="J89" s="55"/>
    </row>
    <row r="90" customFormat="false" ht="19.85" hidden="false" customHeight="true" outlineLevel="0" collapsed="false">
      <c r="A90" s="0" t="n">
        <v>30</v>
      </c>
      <c r="B90" s="31" t="n">
        <v>41518</v>
      </c>
      <c r="C90" s="56" t="n">
        <v>40000</v>
      </c>
      <c r="D90" s="26" t="s">
        <v>41</v>
      </c>
      <c r="E90" s="33" t="n">
        <f aca="false">IF(D90="totale",(C90/(A90*24))/F90,IF(D90="marché libre",(C90/(A90*24))/G90,"spécifier histo"))</f>
        <v>0.0434027777777778</v>
      </c>
      <c r="F90" s="59" t="n">
        <v>1280</v>
      </c>
      <c r="G90" s="59" t="n">
        <f aca="false">F90-H90</f>
        <v>1280</v>
      </c>
      <c r="H90" s="59" t="n">
        <v>0</v>
      </c>
      <c r="J90" s="55"/>
    </row>
    <row r="91" customFormat="false" ht="19.85" hidden="false" customHeight="true" outlineLevel="0" collapsed="false">
      <c r="A91" s="0" t="n">
        <v>31</v>
      </c>
      <c r="B91" s="34" t="n">
        <v>41548</v>
      </c>
      <c r="C91" s="56" t="n">
        <v>129884</v>
      </c>
      <c r="D91" s="26" t="s">
        <v>41</v>
      </c>
      <c r="E91" s="33" t="n">
        <f aca="false">IF(D91="totale",(C91/(A91*24))/F91,IF(D91="marché libre",(C91/(A91*24))/G91,"spécifier histo"))</f>
        <v>0.136386928763441</v>
      </c>
      <c r="F91" s="59" t="n">
        <v>1280</v>
      </c>
      <c r="G91" s="59" t="n">
        <f aca="false">F91-H91</f>
        <v>1280</v>
      </c>
      <c r="H91" s="59" t="n">
        <v>0</v>
      </c>
      <c r="J91" s="55"/>
    </row>
    <row r="92" customFormat="false" ht="19.85" hidden="false" customHeight="true" outlineLevel="0" collapsed="false">
      <c r="A92" s="0" t="n">
        <v>30</v>
      </c>
      <c r="B92" s="31" t="n">
        <v>41579</v>
      </c>
      <c r="C92" s="56" t="n">
        <v>603829</v>
      </c>
      <c r="D92" s="26" t="s">
        <v>41</v>
      </c>
      <c r="E92" s="33" t="n">
        <f aca="false">IF(D92="totale",(C92/(A92*24))/F92,IF(D92="marché libre",(C92/(A92*24))/G92,"spécifier histo"))</f>
        <v>0.655196397569444</v>
      </c>
      <c r="F92" s="59" t="n">
        <v>1280</v>
      </c>
      <c r="G92" s="59" t="n">
        <f aca="false">F92-H92</f>
        <v>1280</v>
      </c>
      <c r="H92" s="59" t="n">
        <v>0</v>
      </c>
      <c r="J92" s="55"/>
    </row>
    <row r="93" customFormat="false" ht="19.85" hidden="false" customHeight="true" outlineLevel="0" collapsed="false">
      <c r="A93" s="0" t="n">
        <v>31</v>
      </c>
      <c r="B93" s="34" t="n">
        <v>41609</v>
      </c>
      <c r="C93" s="56" t="n">
        <v>438072</v>
      </c>
      <c r="D93" s="26" t="s">
        <v>41</v>
      </c>
      <c r="E93" s="33" t="n">
        <f aca="false">IF(D93="totale",(C93/(A93*24))/F93,IF(D93="marché libre",(C93/(A93*24))/G93,"spécifier histo"))</f>
        <v>0.460005040322581</v>
      </c>
      <c r="F93" s="59" t="n">
        <v>1280</v>
      </c>
      <c r="G93" s="59" t="n">
        <f aca="false">F93-H93</f>
        <v>1280</v>
      </c>
      <c r="H93" s="59" t="n">
        <v>0</v>
      </c>
      <c r="J93" s="55"/>
      <c r="L93" s="38"/>
    </row>
    <row r="94" customFormat="false" ht="19.85" hidden="false" customHeight="true" outlineLevel="0" collapsed="false">
      <c r="A94" s="266" t="n">
        <v>31</v>
      </c>
      <c r="B94" s="267" t="n">
        <v>41640</v>
      </c>
      <c r="C94" s="546" t="n">
        <v>657211</v>
      </c>
      <c r="D94" s="547" t="s">
        <v>42</v>
      </c>
      <c r="E94" s="66" t="n">
        <f aca="false">IF(D94="totale",(C94/(A94*24))/F94,IF(D94="marché libre",(C94/(A94*24))/G94,"spécifier histo"))</f>
        <v>0.690115717405914</v>
      </c>
      <c r="F94" s="67" t="n">
        <v>1280</v>
      </c>
      <c r="G94" s="67" t="n">
        <f aca="false">F94-H94</f>
        <v>1280</v>
      </c>
      <c r="H94" s="67" t="n">
        <v>0</v>
      </c>
      <c r="J94" s="55"/>
      <c r="K94" s="55"/>
      <c r="L94" s="0"/>
      <c r="M94" s="0"/>
    </row>
    <row r="95" customFormat="false" ht="19.85" hidden="false" customHeight="true" outlineLevel="0" collapsed="false">
      <c r="A95" s="0" t="n">
        <v>28</v>
      </c>
      <c r="B95" s="34" t="n">
        <v>41671</v>
      </c>
      <c r="C95" s="227" t="n">
        <v>716576</v>
      </c>
      <c r="D95" s="26" t="s">
        <v>42</v>
      </c>
      <c r="E95" s="33" t="n">
        <f aca="false">IF(D95="totale",(C95/(A95*24))/F95,IF(D95="marché libre",(C95/(A95*24))/G95,"spécifier histo"))</f>
        <v>0.833072916666667</v>
      </c>
      <c r="F95" s="59" t="n">
        <v>1280</v>
      </c>
      <c r="G95" s="59" t="n">
        <f aca="false">F95-H95</f>
        <v>1280</v>
      </c>
      <c r="H95" s="59" t="n">
        <v>0</v>
      </c>
      <c r="J95" s="55"/>
      <c r="L95" s="0"/>
      <c r="M95" s="0"/>
    </row>
    <row r="96" customFormat="false" ht="19.85" hidden="false" customHeight="true" outlineLevel="0" collapsed="false">
      <c r="A96" s="0" t="n">
        <v>31</v>
      </c>
      <c r="B96" s="31" t="n">
        <v>41699</v>
      </c>
      <c r="C96" s="227" t="n">
        <v>640154</v>
      </c>
      <c r="D96" s="26" t="s">
        <v>42</v>
      </c>
      <c r="E96" s="33" t="n">
        <f aca="false">IF(D96="totale",(C96/(A96*24))/F96,IF(D96="marché libre",(C96/(A96*24))/G96,"spécifier histo"))</f>
        <v>0.67220472110215</v>
      </c>
      <c r="F96" s="59" t="n">
        <v>1280</v>
      </c>
      <c r="G96" s="59" t="n">
        <f aca="false">F96-H96</f>
        <v>1280</v>
      </c>
      <c r="H96" s="59" t="n">
        <v>0</v>
      </c>
      <c r="J96" s="55"/>
      <c r="L96" s="0"/>
      <c r="M96" s="0"/>
    </row>
    <row r="97" customFormat="false" ht="19.85" hidden="false" customHeight="true" outlineLevel="0" collapsed="false">
      <c r="A97" s="0" t="n">
        <v>30</v>
      </c>
      <c r="B97" s="34" t="n">
        <v>41730</v>
      </c>
      <c r="C97" s="227" t="n">
        <v>304153</v>
      </c>
      <c r="D97" s="26" t="s">
        <v>42</v>
      </c>
      <c r="E97" s="33" t="n">
        <f aca="false">IF(D97="totale",(C97/(A97*24))/F97,IF(D97="marché libre",(C97/(A97*24))/G97,"spécifier histo"))</f>
        <v>0.330027126736111</v>
      </c>
      <c r="F97" s="59" t="n">
        <v>1280</v>
      </c>
      <c r="G97" s="59" t="n">
        <f aca="false">F97-H97</f>
        <v>1280</v>
      </c>
      <c r="H97" s="59" t="n">
        <v>0</v>
      </c>
      <c r="J97" s="55"/>
      <c r="L97" s="0"/>
      <c r="M97" s="0"/>
    </row>
    <row r="98" customFormat="false" ht="19.85" hidden="false" customHeight="true" outlineLevel="0" collapsed="false">
      <c r="A98" s="0" t="n">
        <v>31</v>
      </c>
      <c r="B98" s="31" t="n">
        <v>41760</v>
      </c>
      <c r="C98" s="227" t="n">
        <v>324728</v>
      </c>
      <c r="D98" s="26" t="s">
        <v>42</v>
      </c>
      <c r="E98" s="33" t="n">
        <f aca="false">IF(D98="totale",(C98/(A98*24))/F98,IF(D98="marché libre",(C98/(A98*24))/G98,"spécifier histo"))</f>
        <v>0.340986223118279</v>
      </c>
      <c r="F98" s="59" t="n">
        <v>1280</v>
      </c>
      <c r="G98" s="59" t="n">
        <f aca="false">F98-H98</f>
        <v>1280</v>
      </c>
      <c r="H98" s="59" t="n">
        <v>0</v>
      </c>
      <c r="J98" s="55"/>
      <c r="L98" s="0"/>
    </row>
    <row r="99" customFormat="false" ht="19.85" hidden="false" customHeight="true" outlineLevel="0" collapsed="false">
      <c r="A99" s="0" t="n">
        <v>30</v>
      </c>
      <c r="B99" s="34" t="n">
        <v>41791</v>
      </c>
      <c r="C99" s="227" t="n">
        <v>162634</v>
      </c>
      <c r="D99" s="26" t="s">
        <v>42</v>
      </c>
      <c r="E99" s="33" t="n">
        <f aca="false">IF(D99="totale",(C99/(A99*24))/F99,IF(D99="marché libre",(C99/(A99*24))/G99,"spécifier histo"))</f>
        <v>0.176469184027778</v>
      </c>
      <c r="F99" s="59" t="n">
        <v>1280</v>
      </c>
      <c r="G99" s="59" t="n">
        <f aca="false">F99-H99</f>
        <v>1280</v>
      </c>
      <c r="H99" s="59" t="n">
        <v>0</v>
      </c>
      <c r="J99" s="55"/>
      <c r="L99" s="0"/>
    </row>
    <row r="100" customFormat="false" ht="19.85" hidden="false" customHeight="true" outlineLevel="0" collapsed="false">
      <c r="A100" s="0" t="n">
        <v>31</v>
      </c>
      <c r="B100" s="31" t="n">
        <v>41821</v>
      </c>
      <c r="C100" s="227" t="n">
        <v>218619</v>
      </c>
      <c r="D100" s="26" t="s">
        <v>42</v>
      </c>
      <c r="E100" s="33" t="n">
        <f aca="false">IF(D100="totale",(C100/(A100*24))/F100,IF(D100="marché libre",(C100/(A100*24))/G100,"spécifier histo"))</f>
        <v>0.229564642137097</v>
      </c>
      <c r="F100" s="59" t="n">
        <v>1280</v>
      </c>
      <c r="G100" s="59" t="n">
        <f aca="false">F100-H100</f>
        <v>1280</v>
      </c>
      <c r="H100" s="59" t="n">
        <v>0</v>
      </c>
      <c r="J100" s="55"/>
      <c r="L100" s="131"/>
    </row>
    <row r="101" customFormat="false" ht="19.85" hidden="false" customHeight="true" outlineLevel="0" collapsed="false">
      <c r="A101" s="0" t="n">
        <v>31</v>
      </c>
      <c r="B101" s="34" t="n">
        <v>41852</v>
      </c>
      <c r="C101" s="227" t="n">
        <v>192205</v>
      </c>
      <c r="D101" s="26" t="s">
        <v>42</v>
      </c>
      <c r="E101" s="33" t="n">
        <f aca="false">IF(D101="totale",(C101/(A101*24))/F101,IF(D101="marché libre",(C101/(A101*24))/G101,"spécifier histo"))</f>
        <v>0.201828167002688</v>
      </c>
      <c r="F101" s="59" t="n">
        <v>1280</v>
      </c>
      <c r="G101" s="59" t="n">
        <f aca="false">F101-H101</f>
        <v>1280</v>
      </c>
      <c r="H101" s="59" t="n">
        <v>0</v>
      </c>
      <c r="J101" s="55"/>
      <c r="L101" s="0"/>
    </row>
    <row r="102" customFormat="false" ht="19.85" hidden="false" customHeight="true" outlineLevel="0" collapsed="false">
      <c r="A102" s="0" t="n">
        <v>30</v>
      </c>
      <c r="B102" s="31" t="n">
        <v>41883</v>
      </c>
      <c r="C102" s="227" t="n">
        <v>126916</v>
      </c>
      <c r="D102" s="26" t="s">
        <v>42</v>
      </c>
      <c r="E102" s="33" t="n">
        <f aca="false">IF(D102="totale",(C102/(A102*24))/F102,IF(D102="marché libre",(C102/(A102*24))/G102,"spécifier histo"))</f>
        <v>0.137712673611111</v>
      </c>
      <c r="F102" s="59" t="n">
        <v>1280</v>
      </c>
      <c r="G102" s="59" t="n">
        <f aca="false">F102-H102</f>
        <v>1280</v>
      </c>
      <c r="H102" s="59" t="n">
        <v>0</v>
      </c>
      <c r="J102" s="55"/>
      <c r="L102" s="0"/>
    </row>
    <row r="103" customFormat="false" ht="19.85" hidden="false" customHeight="true" outlineLevel="0" collapsed="false">
      <c r="A103" s="0" t="n">
        <v>31</v>
      </c>
      <c r="B103" s="34" t="n">
        <v>41913</v>
      </c>
      <c r="C103" s="227" t="n">
        <v>243680</v>
      </c>
      <c r="D103" s="26" t="s">
        <v>42</v>
      </c>
      <c r="E103" s="33" t="n">
        <f aca="false">IF(D103="totale",(C103/(A103*24))/F103,IF(D103="marché libre",(C103/(A103*24))/G103,"spécifier histo"))</f>
        <v>0.255880376344086</v>
      </c>
      <c r="F103" s="59" t="n">
        <v>1280</v>
      </c>
      <c r="G103" s="59" t="n">
        <f aca="false">F103-H103</f>
        <v>1280</v>
      </c>
      <c r="H103" s="59" t="n">
        <v>0</v>
      </c>
      <c r="J103" s="73"/>
      <c r="L103" s="0"/>
    </row>
    <row r="104" customFormat="false" ht="19.85" hidden="false" customHeight="true" outlineLevel="0" collapsed="false">
      <c r="A104" s="0" t="n">
        <v>30</v>
      </c>
      <c r="B104" s="31" t="n">
        <v>41944</v>
      </c>
      <c r="C104" s="227" t="n">
        <v>269539</v>
      </c>
      <c r="D104" s="26" t="s">
        <v>42</v>
      </c>
      <c r="E104" s="33" t="n">
        <f aca="false">IF(D104="totale",(C104/(A104*24))/F104,IF(D104="marché libre",(C104/(A104*24))/G104,"spécifier histo"))</f>
        <v>0.546510543390105</v>
      </c>
      <c r="F104" s="59" t="n">
        <v>1280</v>
      </c>
      <c r="G104" s="59" t="n">
        <f aca="false">F104-H104</f>
        <v>685</v>
      </c>
      <c r="H104" s="59" t="n">
        <v>595</v>
      </c>
      <c r="I104" s="548" t="s">
        <v>1044</v>
      </c>
      <c r="J104" s="248"/>
      <c r="L104" s="0"/>
    </row>
    <row r="105" customFormat="false" ht="19.95" hidden="false" customHeight="true" outlineLevel="0" collapsed="false">
      <c r="A105" s="0" t="n">
        <v>31</v>
      </c>
      <c r="B105" s="34" t="n">
        <v>41974</v>
      </c>
      <c r="C105" s="227" t="n">
        <v>148486</v>
      </c>
      <c r="D105" s="26" t="s">
        <v>42</v>
      </c>
      <c r="E105" s="33" t="n">
        <f aca="false">IF(D105="totale",(C105/(A105*24))/F105,IF(D105="marché libre",(C105/(A105*24))/G105,"spécifier histo"))</f>
        <v>0.291354681736127</v>
      </c>
      <c r="F105" s="59" t="n">
        <v>1280</v>
      </c>
      <c r="G105" s="59" t="n">
        <f aca="false">F105-H105</f>
        <v>685</v>
      </c>
      <c r="H105" s="59" t="n">
        <v>595</v>
      </c>
      <c r="J105" s="55"/>
      <c r="L105" s="0"/>
    </row>
    <row r="106" customFormat="false" ht="19.85" hidden="false" customHeight="true" outlineLevel="0" collapsed="false">
      <c r="A106" s="0" t="n">
        <v>31</v>
      </c>
      <c r="B106" s="31" t="n">
        <v>42005</v>
      </c>
      <c r="C106" s="15" t="n">
        <v>162237</v>
      </c>
      <c r="D106" s="26" t="s">
        <v>42</v>
      </c>
      <c r="E106" s="33" t="n">
        <f aca="false">IF(D106="totale",(C106/(A106*24))/F106,IF(D106="marché libre",(C106/(A106*24))/G106,"spécifier histo"))</f>
        <v>0.318336472804332</v>
      </c>
      <c r="F106" s="58" t="n">
        <v>1280</v>
      </c>
      <c r="G106" s="57" t="n">
        <f aca="false">F106-H106</f>
        <v>685</v>
      </c>
      <c r="H106" s="57" t="n">
        <v>595</v>
      </c>
      <c r="J106" s="55"/>
    </row>
    <row r="107" customFormat="false" ht="19.85" hidden="false" customHeight="true" outlineLevel="0" collapsed="false">
      <c r="A107" s="0" t="n">
        <v>28</v>
      </c>
      <c r="B107" s="34" t="n">
        <v>42036</v>
      </c>
      <c r="C107" s="15" t="n">
        <v>323244</v>
      </c>
      <c r="D107" s="26" t="s">
        <v>42</v>
      </c>
      <c r="E107" s="33" t="n">
        <f aca="false">IF(D107="totale",(C107/(A107*24))/F107,IF(D107="marché libre",(C107/(A107*24))/G107,"spécifier histo"))</f>
        <v>0.702215849843587</v>
      </c>
      <c r="F107" s="59" t="n">
        <v>1280</v>
      </c>
      <c r="G107" s="59" t="n">
        <f aca="false">F107-H107</f>
        <v>685</v>
      </c>
      <c r="H107" s="59" t="n">
        <v>595</v>
      </c>
      <c r="J107" s="55"/>
    </row>
    <row r="108" customFormat="false" ht="19.85" hidden="false" customHeight="true" outlineLevel="0" collapsed="false">
      <c r="A108" s="0" t="n">
        <v>31</v>
      </c>
      <c r="B108" s="31" t="n">
        <v>42064</v>
      </c>
      <c r="C108" s="15" t="n">
        <v>285269</v>
      </c>
      <c r="D108" s="26" t="s">
        <v>42</v>
      </c>
      <c r="E108" s="33" t="n">
        <f aca="false">IF(D108="totale",(C108/(A108*24))/F108,IF(D108="marché libre",(C108/(A108*24))/G108,"spécifier histo"))</f>
        <v>0.559746095282945</v>
      </c>
      <c r="F108" s="58" t="n">
        <v>1280</v>
      </c>
      <c r="G108" s="59" t="n">
        <f aca="false">F108-H108</f>
        <v>685</v>
      </c>
      <c r="H108" s="59" t="n">
        <v>595</v>
      </c>
      <c r="J108" s="55"/>
    </row>
    <row r="109" customFormat="false" ht="19.85" hidden="false" customHeight="true" outlineLevel="0" collapsed="false">
      <c r="A109" s="0" t="n">
        <v>30</v>
      </c>
      <c r="B109" s="34" t="n">
        <v>42095</v>
      </c>
      <c r="C109" s="15" t="n">
        <v>62834</v>
      </c>
      <c r="D109" s="26" t="s">
        <v>42</v>
      </c>
      <c r="E109" s="33" t="n">
        <f aca="false">IF(D109="totale",(C109/(A109*24))/F109,IF(D109="marché libre",(C109/(A109*24))/G109,"spécifier histo"))</f>
        <v>0.127400648824006</v>
      </c>
      <c r="F109" s="59" t="n">
        <v>1280</v>
      </c>
      <c r="G109" s="59" t="n">
        <f aca="false">F109-H109</f>
        <v>685</v>
      </c>
      <c r="H109" s="59" t="n">
        <v>595</v>
      </c>
      <c r="J109" s="55"/>
    </row>
    <row r="110" customFormat="false" ht="19.85" hidden="false" customHeight="true" outlineLevel="0" collapsed="false">
      <c r="A110" s="0" t="n">
        <v>31</v>
      </c>
      <c r="B110" s="31" t="n">
        <v>42125</v>
      </c>
      <c r="C110" s="15" t="n">
        <v>92188</v>
      </c>
      <c r="D110" s="26" t="s">
        <v>42</v>
      </c>
      <c r="E110" s="33" t="n">
        <f aca="false">IF(D110="totale",(C110/(A110*24))/F110,IF(D110="marché libre",(C110/(A110*24))/G110,"spécifier histo"))</f>
        <v>0.180888470292756</v>
      </c>
      <c r="F110" s="58" t="n">
        <v>1280</v>
      </c>
      <c r="G110" s="59" t="n">
        <f aca="false">F110-H110</f>
        <v>685</v>
      </c>
      <c r="H110" s="59" t="n">
        <v>595</v>
      </c>
      <c r="J110" s="55"/>
    </row>
    <row r="111" customFormat="false" ht="19.85" hidden="false" customHeight="true" outlineLevel="0" collapsed="false">
      <c r="A111" s="0" t="n">
        <v>30</v>
      </c>
      <c r="B111" s="34" t="n">
        <v>42156</v>
      </c>
      <c r="C111" s="15" t="n">
        <v>20542</v>
      </c>
      <c r="D111" s="26" t="s">
        <v>42</v>
      </c>
      <c r="E111" s="33" t="n">
        <f aca="false">IF(D111="totale",(C111/(A111*24))/F111,IF(D111="marché libre",(C111/(A111*24))/G111,"spécifier histo"))</f>
        <v>0.0416504460665045</v>
      </c>
      <c r="F111" s="59" t="n">
        <v>1280</v>
      </c>
      <c r="G111" s="59" t="n">
        <f aca="false">F111-H111</f>
        <v>685</v>
      </c>
      <c r="H111" s="59" t="n">
        <v>595</v>
      </c>
      <c r="J111" s="55"/>
    </row>
    <row r="112" customFormat="false" ht="19.85" hidden="false" customHeight="true" outlineLevel="0" collapsed="false">
      <c r="A112" s="0" t="n">
        <v>31</v>
      </c>
      <c r="B112" s="31" t="n">
        <v>42186</v>
      </c>
      <c r="C112" s="15" t="n">
        <v>7267</v>
      </c>
      <c r="D112" s="26" t="s">
        <v>42</v>
      </c>
      <c r="E112" s="33" t="n">
        <f aca="false">IF(D112="totale",(C112/(A112*24))/F112,IF(D112="marché libre",(C112/(A112*24))/G112,"spécifier histo"))</f>
        <v>0.0142590848442038</v>
      </c>
      <c r="F112" s="58" t="n">
        <v>1280</v>
      </c>
      <c r="G112" s="59" t="n">
        <f aca="false">F112-H112</f>
        <v>685</v>
      </c>
      <c r="H112" s="59" t="n">
        <v>595</v>
      </c>
      <c r="J112" s="55"/>
    </row>
    <row r="113" customFormat="false" ht="19.85" hidden="false" customHeight="true" outlineLevel="0" collapsed="false">
      <c r="A113" s="0" t="n">
        <v>31</v>
      </c>
      <c r="B113" s="34" t="n">
        <v>42217</v>
      </c>
      <c r="C113" s="15" t="n">
        <v>10227</v>
      </c>
      <c r="D113" s="26" t="s">
        <v>42</v>
      </c>
      <c r="E113" s="33" t="n">
        <f aca="false">IF(D113="totale",(C113/(A113*24))/F113,IF(D113="marché libre",(C113/(A113*24))/G113,"spécifier histo"))</f>
        <v>0.0200671061926065</v>
      </c>
      <c r="F113" s="59" t="n">
        <v>1280</v>
      </c>
      <c r="G113" s="59" t="n">
        <f aca="false">F113-H113</f>
        <v>685</v>
      </c>
      <c r="H113" s="59" t="n">
        <v>595</v>
      </c>
      <c r="J113" s="55"/>
    </row>
    <row r="114" customFormat="false" ht="19.85" hidden="false" customHeight="true" outlineLevel="0" collapsed="false">
      <c r="A114" s="0" t="n">
        <v>30</v>
      </c>
      <c r="B114" s="31" t="n">
        <v>42248</v>
      </c>
      <c r="C114" s="15" t="n">
        <v>26209</v>
      </c>
      <c r="D114" s="26" t="s">
        <v>42</v>
      </c>
      <c r="E114" s="33" t="n">
        <f aca="false">IF(D114="totale",(C114/(A114*24))/F114,IF(D114="marché libre",(C114/(A114*24))/G114,"spécifier histo"))</f>
        <v>0.0531407137064071</v>
      </c>
      <c r="F114" s="58" t="n">
        <v>1280</v>
      </c>
      <c r="G114" s="59" t="n">
        <f aca="false">F114-H114</f>
        <v>685</v>
      </c>
      <c r="H114" s="59" t="n">
        <v>595</v>
      </c>
      <c r="J114" s="55"/>
    </row>
    <row r="115" customFormat="false" ht="19.85" hidden="false" customHeight="true" outlineLevel="0" collapsed="false">
      <c r="A115" s="0" t="n">
        <v>31</v>
      </c>
      <c r="B115" s="34" t="n">
        <v>42278</v>
      </c>
      <c r="C115" s="15" t="n">
        <v>9659</v>
      </c>
      <c r="D115" s="26" t="s">
        <v>42</v>
      </c>
      <c r="E115" s="33" t="n">
        <f aca="false">IF(D115="totale",(C115/(A115*24))/F115,IF(D115="marché libre",(C115/(A115*24))/G115,"spécifier histo"))</f>
        <v>0.018952593987913</v>
      </c>
      <c r="F115" s="59" t="n">
        <v>1280</v>
      </c>
      <c r="G115" s="59" t="n">
        <f aca="false">F115-H115</f>
        <v>685</v>
      </c>
      <c r="H115" s="59" t="n">
        <v>595</v>
      </c>
      <c r="J115" s="55"/>
    </row>
    <row r="116" customFormat="false" ht="19.85" hidden="false" customHeight="true" outlineLevel="0" collapsed="false">
      <c r="A116" s="0" t="n">
        <v>30</v>
      </c>
      <c r="B116" s="31" t="n">
        <v>42309</v>
      </c>
      <c r="C116" s="15" t="n">
        <v>21133</v>
      </c>
      <c r="D116" s="26" t="s">
        <v>42</v>
      </c>
      <c r="E116" s="33" t="n">
        <f aca="false">IF(D116="totale",(C116/(A116*24))/F116,IF(D116="marché libre",(C116/(A116*24))/G116,"spécifier histo"))</f>
        <v>0.0428487429034874</v>
      </c>
      <c r="F116" s="58" t="n">
        <v>1280</v>
      </c>
      <c r="G116" s="59" t="n">
        <f aca="false">F116-H116</f>
        <v>685</v>
      </c>
      <c r="H116" s="59" t="n">
        <v>595</v>
      </c>
      <c r="J116" s="55"/>
    </row>
    <row r="117" customFormat="false" ht="19.85" hidden="false" customHeight="true" outlineLevel="0" collapsed="false">
      <c r="A117" s="0" t="n">
        <v>31</v>
      </c>
      <c r="B117" s="34" t="n">
        <v>42339</v>
      </c>
      <c r="C117" s="15" t="n">
        <v>8570</v>
      </c>
      <c r="D117" s="26" t="s">
        <v>42</v>
      </c>
      <c r="E117" s="33" t="n">
        <f aca="false">IF(D117="totale",(C117/(A117*24))/F117,IF(D117="marché libre",(C117/(A117*24))/G117,"spécifier histo"))</f>
        <v>0.0168157915391257</v>
      </c>
      <c r="F117" s="59" t="n">
        <v>1280</v>
      </c>
      <c r="G117" s="59" t="n">
        <f aca="false">F117-H117</f>
        <v>685</v>
      </c>
      <c r="H117" s="59" t="n">
        <v>595</v>
      </c>
      <c r="J117" s="55"/>
      <c r="K117" s="0"/>
    </row>
    <row r="118" customFormat="false" ht="19.85" hidden="false" customHeight="true" outlineLevel="0" collapsed="false">
      <c r="A118" s="0" t="n">
        <v>31</v>
      </c>
      <c r="B118" s="31" t="n">
        <v>42370</v>
      </c>
      <c r="C118" s="227" t="n">
        <v>194291</v>
      </c>
      <c r="D118" s="26" t="s">
        <v>42</v>
      </c>
      <c r="E118" s="33" t="n">
        <f aca="false">IF(D118="totale",(C118/(A118*24))/F118,IF(D118="marché libre",(C118/(A118*24))/G118,"spécifier histo"))</f>
        <v>0.381231849933286</v>
      </c>
      <c r="F118" s="58" t="n">
        <v>1280</v>
      </c>
      <c r="G118" s="59" t="n">
        <f aca="false">F118-H118</f>
        <v>685</v>
      </c>
      <c r="H118" s="59" t="n">
        <v>595</v>
      </c>
      <c r="J118" s="55"/>
      <c r="K118" s="0"/>
    </row>
    <row r="119" customFormat="false" ht="19.85" hidden="false" customHeight="true" outlineLevel="0" collapsed="false">
      <c r="A119" s="0" t="n">
        <v>28</v>
      </c>
      <c r="B119" s="34" t="n">
        <v>42401</v>
      </c>
      <c r="C119" s="227" t="n">
        <v>304978</v>
      </c>
      <c r="D119" s="26" t="s">
        <v>42</v>
      </c>
      <c r="E119" s="33" t="n">
        <f aca="false">IF(D119="totale",(C119/(A119*24))/F119,IF(D119="marché libre",(C119/(A119*24))/G119,"spécifier histo"))</f>
        <v>0.662534758428919</v>
      </c>
      <c r="F119" s="59" t="n">
        <v>1280</v>
      </c>
      <c r="G119" s="59" t="n">
        <f aca="false">F119-H119</f>
        <v>685</v>
      </c>
      <c r="H119" s="59" t="n">
        <v>595</v>
      </c>
      <c r="J119" s="55"/>
      <c r="K119" s="0"/>
    </row>
    <row r="120" customFormat="false" ht="19.85" hidden="false" customHeight="true" outlineLevel="0" collapsed="false">
      <c r="A120" s="0" t="n">
        <v>31</v>
      </c>
      <c r="B120" s="31" t="n">
        <v>42430</v>
      </c>
      <c r="C120" s="227" t="n">
        <v>251106</v>
      </c>
      <c r="D120" s="26" t="s">
        <v>42</v>
      </c>
      <c r="E120" s="33" t="n">
        <f aca="false">IF(D120="totale",(C120/(A120*24))/F120,IF(D120="marché libre",(C120/(A120*24))/G120,"spécifier histo"))</f>
        <v>0.492712502943254</v>
      </c>
      <c r="F120" s="58" t="n">
        <v>1280</v>
      </c>
      <c r="G120" s="59" t="n">
        <f aca="false">F120-H120</f>
        <v>685</v>
      </c>
      <c r="H120" s="59" t="n">
        <v>595</v>
      </c>
      <c r="J120" s="55"/>
      <c r="K120" s="0"/>
    </row>
    <row r="121" customFormat="false" ht="19.85" hidden="false" customHeight="true" outlineLevel="0" collapsed="false">
      <c r="A121" s="0" t="n">
        <v>30</v>
      </c>
      <c r="B121" s="34" t="n">
        <v>42461</v>
      </c>
      <c r="C121" s="227" t="n">
        <v>344574</v>
      </c>
      <c r="D121" s="26" t="s">
        <v>42</v>
      </c>
      <c r="E121" s="33" t="n">
        <f aca="false">IF(D121="totale",(C121/(A121*24))/F121,IF(D121="marché libre",(C121/(A121*24))/G121,"spécifier histo"))</f>
        <v>0.698649635036496</v>
      </c>
      <c r="F121" s="59" t="n">
        <v>1280</v>
      </c>
      <c r="G121" s="59" t="n">
        <f aca="false">F121-H121</f>
        <v>685</v>
      </c>
      <c r="H121" s="59" t="n">
        <v>595</v>
      </c>
      <c r="J121" s="55"/>
      <c r="K121" s="0"/>
    </row>
    <row r="122" customFormat="false" ht="19.85" hidden="false" customHeight="true" outlineLevel="0" collapsed="false">
      <c r="A122" s="0" t="n">
        <v>31</v>
      </c>
      <c r="B122" s="31" t="n">
        <v>42491</v>
      </c>
      <c r="C122" s="227" t="n">
        <v>84303</v>
      </c>
      <c r="D122" s="26" t="s">
        <v>42</v>
      </c>
      <c r="E122" s="33" t="n">
        <f aca="false">IF(D122="totale",(C122/(A122*24))/F122,IF(D122="marché libre",(C122/(A122*24))/G122,"spécifier histo"))</f>
        <v>0.165416764775135</v>
      </c>
      <c r="F122" s="58" t="n">
        <v>1280</v>
      </c>
      <c r="G122" s="59" t="n">
        <f aca="false">F122-H122</f>
        <v>685</v>
      </c>
      <c r="H122" s="59" t="n">
        <v>595</v>
      </c>
      <c r="J122" s="55"/>
      <c r="K122" s="0"/>
    </row>
    <row r="123" customFormat="false" ht="19.85" hidden="false" customHeight="true" outlineLevel="0" collapsed="false">
      <c r="A123" s="0" t="n">
        <v>30</v>
      </c>
      <c r="B123" s="34" t="n">
        <v>42522</v>
      </c>
      <c r="C123" s="227" t="n">
        <v>207541</v>
      </c>
      <c r="D123" s="26" t="s">
        <v>42</v>
      </c>
      <c r="E123" s="33" t="n">
        <f aca="false">IF(D123="totale",(C123/(A123*24))/F123,IF(D123="marché libre",(C123/(A123*24))/G123,"spécifier histo"))</f>
        <v>0.42080494728305</v>
      </c>
      <c r="F123" s="59" t="n">
        <v>1280</v>
      </c>
      <c r="G123" s="59" t="n">
        <f aca="false">F123-H123</f>
        <v>685</v>
      </c>
      <c r="H123" s="59" t="n">
        <v>595</v>
      </c>
      <c r="J123" s="55"/>
      <c r="K123" s="0"/>
    </row>
    <row r="124" customFormat="false" ht="19.85" hidden="false" customHeight="true" outlineLevel="0" collapsed="false">
      <c r="A124" s="0" t="n">
        <v>31</v>
      </c>
      <c r="B124" s="31" t="n">
        <v>42552</v>
      </c>
      <c r="C124" s="227" t="n">
        <v>19947</v>
      </c>
      <c r="D124" s="26" t="s">
        <v>42</v>
      </c>
      <c r="E124" s="33" t="n">
        <f aca="false">IF(D124="totale",(C124/(A124*24))/F124,IF(D124="marché libre",(C124/(A124*24))/G124,"spécifier histo"))</f>
        <v>0.0391393925123617</v>
      </c>
      <c r="F124" s="58" t="n">
        <v>1280</v>
      </c>
      <c r="G124" s="59" t="n">
        <f aca="false">F124-H124</f>
        <v>685</v>
      </c>
      <c r="H124" s="59" t="n">
        <v>595</v>
      </c>
      <c r="J124" s="55"/>
      <c r="K124" s="0"/>
    </row>
    <row r="125" customFormat="false" ht="19.85" hidden="false" customHeight="true" outlineLevel="0" collapsed="false">
      <c r="A125" s="0" t="n">
        <v>31</v>
      </c>
      <c r="B125" s="34" t="n">
        <v>42583</v>
      </c>
      <c r="C125" s="227" t="n">
        <v>9303</v>
      </c>
      <c r="D125" s="26" t="s">
        <v>42</v>
      </c>
      <c r="E125" s="33" t="n">
        <f aca="false">IF(D125="totale",(C125/(A125*24))/F125,IF(D125="marché libre",(C125/(A125*24))/G125,"spécifier histo"))</f>
        <v>0.0182540616906051</v>
      </c>
      <c r="F125" s="59" t="n">
        <v>1280</v>
      </c>
      <c r="G125" s="59" t="n">
        <f aca="false">F125-H125</f>
        <v>685</v>
      </c>
      <c r="H125" s="59" t="n">
        <v>595</v>
      </c>
      <c r="J125" s="55"/>
      <c r="K125" s="0"/>
    </row>
    <row r="126" customFormat="false" ht="19.85" hidden="false" customHeight="true" outlineLevel="0" collapsed="false">
      <c r="A126" s="0" t="n">
        <v>30</v>
      </c>
      <c r="B126" s="31" t="n">
        <v>42614</v>
      </c>
      <c r="C126" s="227" t="n">
        <v>9791</v>
      </c>
      <c r="D126" s="26" t="s">
        <v>42</v>
      </c>
      <c r="E126" s="33" t="n">
        <f aca="false">IF(D126="totale",(C126/(A126*24))/F126,IF(D126="marché libre",(C126/(A126*24))/G126,"spécifier histo"))</f>
        <v>0.0198519870235199</v>
      </c>
      <c r="F126" s="58" t="n">
        <v>1280</v>
      </c>
      <c r="G126" s="59" t="n">
        <f aca="false">F126-H126</f>
        <v>685</v>
      </c>
      <c r="H126" s="59" t="n">
        <v>595</v>
      </c>
      <c r="J126" s="55"/>
      <c r="K126" s="0"/>
    </row>
    <row r="127" customFormat="false" ht="19.85" hidden="false" customHeight="true" outlineLevel="0" collapsed="false">
      <c r="A127" s="0" t="n">
        <v>31</v>
      </c>
      <c r="B127" s="34" t="n">
        <v>42644</v>
      </c>
      <c r="C127" s="227" t="n">
        <v>21118</v>
      </c>
      <c r="D127" s="26" t="s">
        <v>42</v>
      </c>
      <c r="E127" s="33" t="n">
        <f aca="false">IF(D127="totale",(C127/(A127*24))/F127,IF(D127="marché libre",(C127/(A127*24))/G127,"spécifier histo"))</f>
        <v>0.0414370928498548</v>
      </c>
      <c r="F127" s="59" t="n">
        <v>1280</v>
      </c>
      <c r="G127" s="59" t="n">
        <f aca="false">F127-H127</f>
        <v>685</v>
      </c>
      <c r="H127" s="59" t="n">
        <v>595</v>
      </c>
      <c r="J127" s="55"/>
      <c r="K127" s="0"/>
    </row>
    <row r="128" customFormat="false" ht="19.85" hidden="false" customHeight="true" outlineLevel="0" collapsed="false">
      <c r="A128" s="0" t="n">
        <v>30</v>
      </c>
      <c r="B128" s="31" t="n">
        <v>42675</v>
      </c>
      <c r="C128" s="227" t="n">
        <v>46399</v>
      </c>
      <c r="D128" s="26" t="s">
        <v>42</v>
      </c>
      <c r="E128" s="33" t="n">
        <f aca="false">IF(D128="totale",(C128/(A128*24))/F128,IF(D128="marché libre",(C128/(A128*24))/G128,"spécifier histo"))</f>
        <v>0.0940774533657745</v>
      </c>
      <c r="F128" s="58" t="n">
        <v>1280</v>
      </c>
      <c r="G128" s="59" t="n">
        <f aca="false">F128-H128</f>
        <v>685</v>
      </c>
      <c r="H128" s="59" t="n">
        <v>595</v>
      </c>
      <c r="J128" s="55"/>
      <c r="K128" s="0"/>
    </row>
    <row r="129" customFormat="false" ht="19.85" hidden="false" customHeight="true" outlineLevel="0" collapsed="false">
      <c r="A129" s="0" t="n">
        <v>31</v>
      </c>
      <c r="B129" s="34" t="n">
        <v>42705</v>
      </c>
      <c r="C129" s="227" t="n">
        <v>9573</v>
      </c>
      <c r="D129" s="26" t="s">
        <v>42</v>
      </c>
      <c r="E129" s="33" t="n">
        <f aca="false">IF(D129="totale",(C129/(A129*24))/F129,IF(D129="marché libre",(C129/(A129*24))/G129,"spécifier histo"))</f>
        <v>0.0187838474217094</v>
      </c>
      <c r="F129" s="59" t="n">
        <v>1280</v>
      </c>
      <c r="G129" s="59" t="n">
        <f aca="false">F129-H129</f>
        <v>685</v>
      </c>
      <c r="H129" s="59" t="n">
        <v>595</v>
      </c>
      <c r="J129" s="55"/>
    </row>
    <row r="130" customFormat="false" ht="19.85" hidden="false" customHeight="true" outlineLevel="0" collapsed="false">
      <c r="A130" s="0" t="n">
        <v>31</v>
      </c>
      <c r="B130" s="31" t="n">
        <v>42736</v>
      </c>
      <c r="C130" s="549" t="n">
        <v>8681</v>
      </c>
      <c r="D130" s="26" t="s">
        <v>42</v>
      </c>
      <c r="E130" s="33" t="n">
        <f aca="false">IF(D130="totale",(C130/(A130*24))/F130,IF(D130="marché libre",(C130/(A130*24))/G130,"spécifier histo"))</f>
        <v>0.0170335923396908</v>
      </c>
      <c r="F130" s="58" t="n">
        <v>1280</v>
      </c>
      <c r="G130" s="59" t="n">
        <f aca="false">F130-H130</f>
        <v>685</v>
      </c>
      <c r="H130" s="59" t="n">
        <v>595</v>
      </c>
      <c r="J130" s="30"/>
      <c r="K130" s="0"/>
    </row>
    <row r="131" customFormat="false" ht="19.85" hidden="false" customHeight="true" outlineLevel="0" collapsed="false">
      <c r="A131" s="0" t="n">
        <v>28</v>
      </c>
      <c r="B131" s="34" t="n">
        <v>42767</v>
      </c>
      <c r="C131" s="549" t="n">
        <v>52185</v>
      </c>
      <c r="D131" s="26" t="s">
        <v>42</v>
      </c>
      <c r="E131" s="33" t="n">
        <f aca="false">IF(D131="totale",(C131/(A131*24))/F131,IF(D131="marché libre",(C131/(A131*24))/G131,"spécifier histo"))</f>
        <v>0.113366788321168</v>
      </c>
      <c r="F131" s="59" t="n">
        <v>1280</v>
      </c>
      <c r="G131" s="59" t="n">
        <f aca="false">F131-H131</f>
        <v>685</v>
      </c>
      <c r="H131" s="59" t="n">
        <v>595</v>
      </c>
      <c r="J131" s="55"/>
      <c r="K131" s="0"/>
    </row>
    <row r="132" customFormat="false" ht="19.85" hidden="false" customHeight="true" outlineLevel="0" collapsed="false">
      <c r="A132" s="0" t="n">
        <v>31</v>
      </c>
      <c r="B132" s="31" t="n">
        <v>42795</v>
      </c>
      <c r="C132" s="549" t="n">
        <v>248772</v>
      </c>
      <c r="D132" s="26" t="s">
        <v>42</v>
      </c>
      <c r="E132" s="33" t="n">
        <f aca="false">IF(D132="totale",(C132/(A132*24))/F132,IF(D132="marché libre",(C132/(A132*24))/G132,"spécifier histo"))</f>
        <v>0.488132799623264</v>
      </c>
      <c r="F132" s="58" t="n">
        <v>1280</v>
      </c>
      <c r="G132" s="59" t="n">
        <f aca="false">F132-H132</f>
        <v>685</v>
      </c>
      <c r="H132" s="59" t="n">
        <v>595</v>
      </c>
      <c r="J132" s="55"/>
      <c r="K132" s="0"/>
    </row>
    <row r="133" customFormat="false" ht="19.85" hidden="false" customHeight="true" outlineLevel="0" collapsed="false">
      <c r="A133" s="0" t="n">
        <v>30</v>
      </c>
      <c r="B133" s="34" t="n">
        <v>42826</v>
      </c>
      <c r="C133" s="549" t="n">
        <v>14398</v>
      </c>
      <c r="D133" s="26" t="s">
        <v>42</v>
      </c>
      <c r="E133" s="33" t="n">
        <f aca="false">IF(D133="totale",(C133/(A133*24))/F133,IF(D133="marché libre",(C133/(A133*24))/G133,"spécifier histo"))</f>
        <v>0.0291930251419302</v>
      </c>
      <c r="F133" s="59" t="n">
        <v>1280</v>
      </c>
      <c r="G133" s="59" t="n">
        <f aca="false">F133-H133</f>
        <v>685</v>
      </c>
      <c r="H133" s="59" t="n">
        <v>595</v>
      </c>
      <c r="J133" s="55"/>
      <c r="K133" s="0"/>
    </row>
    <row r="134" customFormat="false" ht="19.85" hidden="false" customHeight="true" outlineLevel="0" collapsed="false">
      <c r="A134" s="0" t="n">
        <v>31</v>
      </c>
      <c r="B134" s="31" t="n">
        <v>42856</v>
      </c>
      <c r="C134" s="549" t="n">
        <v>30561</v>
      </c>
      <c r="D134" s="26" t="s">
        <v>42</v>
      </c>
      <c r="E134" s="33" t="n">
        <f aca="false">IF(D134="totale",(C134/(A134*24))/F134,IF(D134="marché libre",(C134/(A134*24))/G134,"spécifier histo"))</f>
        <v>0.0599658582528844</v>
      </c>
      <c r="F134" s="58" t="n">
        <v>1280</v>
      </c>
      <c r="G134" s="59" t="n">
        <f aca="false">F134-H134</f>
        <v>685</v>
      </c>
      <c r="H134" s="59" t="n">
        <v>595</v>
      </c>
      <c r="J134" s="55"/>
      <c r="K134" s="0"/>
    </row>
    <row r="135" customFormat="false" ht="22.45" hidden="false" customHeight="true" outlineLevel="0" collapsed="false">
      <c r="A135" s="0" t="n">
        <v>30</v>
      </c>
      <c r="B135" s="34" t="n">
        <v>42887</v>
      </c>
      <c r="C135" s="549" t="n">
        <v>52219</v>
      </c>
      <c r="D135" s="26" t="s">
        <v>42</v>
      </c>
      <c r="E135" s="33" t="n">
        <f aca="false">IF(D135="totale",(C135/(A135*24))/F135,IF(D135="marché libre",(C135/(A135*24))/G135,"spécifier histo"))</f>
        <v>0.105877939983779</v>
      </c>
      <c r="F135" s="59" t="n">
        <v>1280</v>
      </c>
      <c r="G135" s="59" t="n">
        <f aca="false">F135-H135</f>
        <v>685</v>
      </c>
      <c r="H135" s="59" t="n">
        <v>595</v>
      </c>
      <c r="J135" s="55"/>
      <c r="K135" s="0"/>
    </row>
    <row r="136" customFormat="false" ht="21.65" hidden="false" customHeight="true" outlineLevel="0" collapsed="false">
      <c r="A136" s="0" t="n">
        <v>31</v>
      </c>
      <c r="B136" s="31" t="n">
        <v>42917</v>
      </c>
      <c r="C136" s="549" t="n">
        <v>11727</v>
      </c>
      <c r="D136" s="26" t="s">
        <v>42</v>
      </c>
      <c r="E136" s="33" t="n">
        <f aca="false">IF(D136="totale",(C136/(A136*24))/F136,IF(D136="marché libre",(C136/(A136*24))/G136,"spécifier histo"))</f>
        <v>0.0230103602542971</v>
      </c>
      <c r="F136" s="58" t="n">
        <v>1280</v>
      </c>
      <c r="G136" s="59" t="n">
        <f aca="false">F136-H136</f>
        <v>685</v>
      </c>
      <c r="H136" s="59" t="n">
        <v>595</v>
      </c>
      <c r="J136" s="55"/>
      <c r="K136" s="0"/>
    </row>
    <row r="137" customFormat="false" ht="21.65" hidden="false" customHeight="true" outlineLevel="0" collapsed="false">
      <c r="A137" s="0" t="n">
        <v>31</v>
      </c>
      <c r="B137" s="34" t="n">
        <v>42948</v>
      </c>
      <c r="C137" s="549" t="n">
        <v>14733</v>
      </c>
      <c r="D137" s="26" t="s">
        <v>42</v>
      </c>
      <c r="E137" s="33" t="n">
        <f aca="false">IF(D137="totale",(C137/(A137*24))/F137,IF(D137="marché libre",(C137/(A137*24))/G137,"spécifier histo"))</f>
        <v>0.0289086413939251</v>
      </c>
      <c r="F137" s="59" t="n">
        <v>1280</v>
      </c>
      <c r="G137" s="59" t="n">
        <f aca="false">F137-H137</f>
        <v>685</v>
      </c>
      <c r="H137" s="59" t="n">
        <v>595</v>
      </c>
      <c r="J137" s="55"/>
      <c r="K137" s="0"/>
    </row>
    <row r="138" customFormat="false" ht="21.65" hidden="false" customHeight="true" outlineLevel="0" collapsed="false">
      <c r="A138" s="0" t="n">
        <v>30</v>
      </c>
      <c r="B138" s="31" t="n">
        <v>42979</v>
      </c>
      <c r="C138" s="549" t="n">
        <v>13514</v>
      </c>
      <c r="D138" s="26" t="s">
        <v>42</v>
      </c>
      <c r="E138" s="33" t="n">
        <f aca="false">IF(D138="totale",(C138/(A138*24))/F138,IF(D138="marché libre",(C138/(A138*24))/G138,"spécifier histo"))</f>
        <v>0.0274006488240065</v>
      </c>
      <c r="F138" s="58" t="n">
        <v>1280</v>
      </c>
      <c r="G138" s="59" t="n">
        <f aca="false">F138-H138</f>
        <v>685</v>
      </c>
      <c r="H138" s="59" t="n">
        <v>595</v>
      </c>
      <c r="J138" s="55"/>
      <c r="K138" s="0"/>
    </row>
    <row r="139" customFormat="false" ht="21.65" hidden="false" customHeight="true" outlineLevel="0" collapsed="false">
      <c r="A139" s="0" t="n">
        <v>31</v>
      </c>
      <c r="B139" s="34" t="n">
        <v>43009</v>
      </c>
      <c r="C139" s="549" t="n">
        <v>30957</v>
      </c>
      <c r="D139" s="26" t="s">
        <v>42</v>
      </c>
      <c r="E139" s="33" t="n">
        <f aca="false">IF(D139="totale",(C139/(A139*24))/F139,IF(D139="marché libre",(C139/(A139*24))/G139,"spécifier histo"))</f>
        <v>0.0607428773251707</v>
      </c>
      <c r="F139" s="59" t="n">
        <v>1280</v>
      </c>
      <c r="G139" s="59" t="n">
        <f aca="false">F139-H139</f>
        <v>685</v>
      </c>
      <c r="H139" s="59" t="n">
        <v>595</v>
      </c>
      <c r="J139" s="55"/>
      <c r="K139" s="0"/>
    </row>
    <row r="140" customFormat="false" ht="21.65" hidden="false" customHeight="true" outlineLevel="0" collapsed="false">
      <c r="A140" s="0" t="n">
        <v>30</v>
      </c>
      <c r="B140" s="31" t="n">
        <v>43040</v>
      </c>
      <c r="C140" s="549" t="n">
        <v>14645</v>
      </c>
      <c r="D140" s="26" t="s">
        <v>42</v>
      </c>
      <c r="E140" s="33" t="n">
        <f aca="false">IF(D140="totale",(C140/(A140*24))/F140,IF(D140="marché libre",(C140/(A140*24))/G140,"spécifier histo"))</f>
        <v>0.0296938361719384</v>
      </c>
      <c r="F140" s="58" t="n">
        <v>1280</v>
      </c>
      <c r="G140" s="59" t="n">
        <f aca="false">F140-H140</f>
        <v>685</v>
      </c>
      <c r="H140" s="59" t="n">
        <v>595</v>
      </c>
      <c r="J140" s="55"/>
      <c r="K140" s="0"/>
    </row>
    <row r="141" customFormat="false" ht="21.65" hidden="false" customHeight="true" outlineLevel="0" collapsed="false">
      <c r="A141" s="0" t="n">
        <v>31</v>
      </c>
      <c r="B141" s="34" t="n">
        <v>43070</v>
      </c>
      <c r="C141" s="549" t="n">
        <v>178900</v>
      </c>
      <c r="D141" s="26" t="s">
        <v>42</v>
      </c>
      <c r="E141" s="33" t="n">
        <f aca="false">IF(D141="totale",(C141/(A141*24))/F141,IF(D141="marché libre",(C141/(A141*24))/G141,"spécifier histo"))</f>
        <v>0.351032101090966</v>
      </c>
      <c r="F141" s="59" t="n">
        <v>1280</v>
      </c>
      <c r="G141" s="59" t="n">
        <f aca="false">F141-H141</f>
        <v>685</v>
      </c>
      <c r="H141" s="59" t="n">
        <v>595</v>
      </c>
      <c r="J141" s="55"/>
      <c r="K141" s="0"/>
    </row>
    <row r="142" customFormat="false" ht="23.8" hidden="false" customHeight="true" outlineLevel="0" collapsed="false">
      <c r="A142" s="0" t="n">
        <v>31</v>
      </c>
      <c r="B142" s="31" t="n">
        <v>43101</v>
      </c>
      <c r="C142" s="217" t="n">
        <v>406155</v>
      </c>
      <c r="D142" s="26" t="s">
        <v>42</v>
      </c>
      <c r="E142" s="33" t="n">
        <f aca="false">IF(D142="totale",(C142/(A142*24))/F142,IF(D142="marché libre",(C142/(A142*24))/G142,"spécifier histo"))</f>
        <v>0.796944902283965</v>
      </c>
      <c r="F142" s="58" t="n">
        <v>1280</v>
      </c>
      <c r="G142" s="59" t="n">
        <f aca="false">F142-H142</f>
        <v>685</v>
      </c>
      <c r="H142" s="59" t="n">
        <v>595</v>
      </c>
      <c r="J142" s="30"/>
    </row>
    <row r="143" customFormat="false" ht="28.35" hidden="false" customHeight="true" outlineLevel="0" collapsed="false">
      <c r="A143" s="0" t="n">
        <v>28</v>
      </c>
      <c r="B143" s="34" t="n">
        <v>43132</v>
      </c>
      <c r="C143" s="217" t="n">
        <v>340973</v>
      </c>
      <c r="D143" s="26" t="s">
        <v>42</v>
      </c>
      <c r="E143" s="33" t="n">
        <f aca="false">IF(D143="totale",(C143/(A143*24))/F143,IF(D143="marché libre",(C143/(A143*24))/G143,"spécifier histo"))</f>
        <v>0.740730361487661</v>
      </c>
      <c r="F143" s="59" t="n">
        <v>1280</v>
      </c>
      <c r="G143" s="59" t="n">
        <f aca="false">F143-H143</f>
        <v>685</v>
      </c>
      <c r="H143" s="59" t="n">
        <v>595</v>
      </c>
    </row>
    <row r="144" customFormat="false" ht="28.35" hidden="false" customHeight="true" outlineLevel="0" collapsed="false">
      <c r="A144" s="0" t="n">
        <v>31</v>
      </c>
      <c r="B144" s="31" t="n">
        <v>43160</v>
      </c>
      <c r="C144" s="217" t="n">
        <v>295439</v>
      </c>
      <c r="D144" s="26" t="s">
        <v>42</v>
      </c>
      <c r="E144" s="33" t="n">
        <f aca="false">IF(D144="totale",(C144/(A144*24))/F144,IF(D144="marché libre",(C144/(A144*24))/G144,"spécifier histo"))</f>
        <v>0.579701357821207</v>
      </c>
      <c r="F144" s="58" t="n">
        <v>1280</v>
      </c>
      <c r="G144" s="59" t="n">
        <f aca="false">F144-H144</f>
        <v>685</v>
      </c>
      <c r="H144" s="59" t="n">
        <v>595</v>
      </c>
    </row>
    <row r="145" customFormat="false" ht="28.35" hidden="false" customHeight="true" outlineLevel="0" collapsed="false">
      <c r="A145" s="0" t="n">
        <v>30</v>
      </c>
      <c r="B145" s="34" t="n">
        <v>43191</v>
      </c>
      <c r="C145" s="217" t="n">
        <v>145847</v>
      </c>
      <c r="D145" s="26" t="s">
        <v>42</v>
      </c>
      <c r="E145" s="33" t="n">
        <f aca="false">IF(D145="totale",(C145/(A145*24))/F145,IF(D145="marché libre",(C145/(A145*24))/G145,"spécifier histo"))</f>
        <v>0.295715733982157</v>
      </c>
      <c r="F145" s="59" t="n">
        <v>1280</v>
      </c>
      <c r="G145" s="59" t="n">
        <f aca="false">F145-H145</f>
        <v>685</v>
      </c>
      <c r="H145" s="59" t="n">
        <v>595</v>
      </c>
    </row>
    <row r="146" customFormat="false" ht="28.35" hidden="false" customHeight="true" outlineLevel="0" collapsed="false">
      <c r="A146" s="0" t="n">
        <v>31</v>
      </c>
      <c r="B146" s="31" t="n">
        <v>43221</v>
      </c>
      <c r="C146" s="217" t="n">
        <v>79684</v>
      </c>
      <c r="D146" s="26" t="s">
        <v>42</v>
      </c>
      <c r="E146" s="33" t="n">
        <f aca="false">IF(D146="totale",(C146/(A146*24))/F146,IF(D146="marché libre",(C146/(A146*24))/G146,"spécifier histo"))</f>
        <v>0.156353504434503</v>
      </c>
      <c r="F146" s="58" t="n">
        <v>1280</v>
      </c>
      <c r="G146" s="59" t="n">
        <f aca="false">F146-H146</f>
        <v>685</v>
      </c>
      <c r="H146" s="59" t="n">
        <v>595</v>
      </c>
    </row>
    <row r="147" customFormat="false" ht="28.35" hidden="false" customHeight="true" outlineLevel="0" collapsed="false">
      <c r="A147" s="0" t="n">
        <v>30</v>
      </c>
      <c r="B147" s="34" t="n">
        <v>43252</v>
      </c>
      <c r="C147" s="217" t="n">
        <v>85884</v>
      </c>
      <c r="D147" s="26" t="s">
        <v>42</v>
      </c>
      <c r="E147" s="33" t="n">
        <f aca="false">IF(D147="totale",(C147/(A147*24))/F147,IF(D147="marché libre",(C147/(A147*24))/G147,"spécifier histo"))</f>
        <v>0.174136253041363</v>
      </c>
      <c r="F147" s="59" t="n">
        <v>1280</v>
      </c>
      <c r="G147" s="59" t="n">
        <f aca="false">F147-H147</f>
        <v>685</v>
      </c>
      <c r="H147" s="59" t="n">
        <v>595</v>
      </c>
    </row>
    <row r="148" customFormat="false" ht="28.35" hidden="false" customHeight="true" outlineLevel="0" collapsed="false">
      <c r="A148" s="0" t="n">
        <v>31</v>
      </c>
      <c r="B148" s="31" t="n">
        <v>43282</v>
      </c>
      <c r="C148" s="217" t="n">
        <v>22028</v>
      </c>
      <c r="D148" s="26" t="s">
        <v>42</v>
      </c>
      <c r="E148" s="33" t="n">
        <f aca="false">IF(D148="totale",(C148/(A148*24))/F148,IF(D148="marché libre",(C148/(A148*24))/G148,"spécifier histo"))</f>
        <v>0.0432226669806138</v>
      </c>
      <c r="F148" s="58" t="n">
        <v>1280</v>
      </c>
      <c r="G148" s="59" t="n">
        <f aca="false">F148-H148</f>
        <v>685</v>
      </c>
      <c r="H148" s="59" t="n">
        <v>595</v>
      </c>
    </row>
    <row r="149" customFormat="false" ht="28.35" hidden="false" customHeight="true" outlineLevel="0" collapsed="false">
      <c r="A149" s="0" t="n">
        <v>31</v>
      </c>
      <c r="B149" s="34" t="n">
        <v>43313</v>
      </c>
      <c r="C149" s="217" t="n">
        <v>5774</v>
      </c>
      <c r="D149" s="26" t="s">
        <v>42</v>
      </c>
      <c r="E149" s="33" t="n">
        <f aca="false">IF(D149="totale",(C149/(A149*24))/F149,IF(D149="marché libre",(C149/(A149*24))/G149,"spécifier histo"))</f>
        <v>0.0113295659681344</v>
      </c>
      <c r="F149" s="59" t="n">
        <v>1280</v>
      </c>
      <c r="G149" s="59" t="n">
        <f aca="false">F149-H149</f>
        <v>685</v>
      </c>
      <c r="H149" s="59" t="n">
        <v>595</v>
      </c>
    </row>
    <row r="150" customFormat="false" ht="28.35" hidden="false" customHeight="true" outlineLevel="0" collapsed="false">
      <c r="A150" s="0"/>
    </row>
    <row r="151" customFormat="false" ht="28.35" hidden="false" customHeight="true" outlineLevel="0" collapsed="false">
      <c r="A151" s="0"/>
    </row>
    <row r="152" customFormat="false" ht="28.35" hidden="false" customHeight="true" outlineLevel="0" collapsed="false">
      <c r="A152" s="0"/>
    </row>
    <row r="153" customFormat="false" ht="28.35" hidden="false" customHeight="true" outlineLevel="0" collapsed="false">
      <c r="A153" s="0"/>
    </row>
    <row r="154" customFormat="false" ht="28.35" hidden="false" customHeight="true" outlineLevel="0" collapsed="false">
      <c r="A154" s="0"/>
    </row>
    <row r="155" customFormat="false" ht="28.35" hidden="false" customHeight="true" outlineLevel="0" collapsed="false">
      <c r="A155" s="0"/>
    </row>
    <row r="156" customFormat="false" ht="28.35" hidden="false" customHeight="true" outlineLevel="0" collapsed="false">
      <c r="A156" s="0"/>
    </row>
    <row r="157" customFormat="false" ht="28.35" hidden="false" customHeight="true" outlineLevel="0" collapsed="false">
      <c r="A157" s="0"/>
    </row>
    <row r="158" customFormat="false" ht="28.35" hidden="false" customHeight="true" outlineLevel="0" collapsed="false">
      <c r="A158" s="0"/>
    </row>
    <row r="159" customFormat="false" ht="28.35" hidden="false" customHeight="true" outlineLevel="0" collapsed="false">
      <c r="A159" s="0"/>
    </row>
    <row r="160" customFormat="false" ht="28.35" hidden="false" customHeight="true" outlineLevel="0" collapsed="false">
      <c r="A160" s="0"/>
    </row>
    <row r="161" customFormat="false" ht="28.35" hidden="false" customHeight="true" outlineLevel="0" collapsed="false">
      <c r="A161" s="0"/>
    </row>
    <row r="162" customFormat="false" ht="28.35" hidden="false" customHeight="true" outlineLevel="0" collapsed="false">
      <c r="A162" s="0"/>
    </row>
    <row r="163" customFormat="false" ht="28.35" hidden="false" customHeight="true" outlineLevel="0" collapsed="false">
      <c r="A163" s="0"/>
    </row>
    <row r="164" customFormat="false" ht="28.35" hidden="false" customHeight="true" outlineLevel="0" collapsed="false">
      <c r="A164" s="0"/>
    </row>
    <row r="165" customFormat="false" ht="28.35" hidden="false" customHeight="true" outlineLevel="0" collapsed="false">
      <c r="A165" s="0"/>
    </row>
    <row r="166" customFormat="false" ht="28.35" hidden="false" customHeight="true" outlineLevel="0" collapsed="false">
      <c r="A166" s="0"/>
    </row>
    <row r="167" customFormat="false" ht="28.35" hidden="false" customHeight="true" outlineLevel="0" collapsed="false">
      <c r="A167" s="0"/>
    </row>
    <row r="168" customFormat="false" ht="28.35" hidden="false" customHeight="true" outlineLevel="0" collapsed="false">
      <c r="A168" s="0"/>
    </row>
    <row r="169" customFormat="false" ht="28.35" hidden="false" customHeight="true" outlineLevel="0" collapsed="false">
      <c r="A169" s="0"/>
    </row>
    <row r="170" customFormat="false" ht="28.35" hidden="false" customHeight="true" outlineLevel="0" collapsed="false">
      <c r="A170" s="0"/>
    </row>
    <row r="171" customFormat="false" ht="28.35" hidden="false" customHeight="true" outlineLevel="0" collapsed="false">
      <c r="A171" s="0"/>
    </row>
    <row r="172" customFormat="false" ht="28.35" hidden="false" customHeight="true" outlineLevel="0" collapsed="false">
      <c r="A172" s="0"/>
    </row>
    <row r="173" customFormat="false" ht="28.35" hidden="false" customHeight="true" outlineLevel="0" collapsed="false">
      <c r="A173" s="0"/>
    </row>
    <row r="174" customFormat="false" ht="28.35" hidden="false" customHeight="true" outlineLevel="0" collapsed="false">
      <c r="A174" s="0"/>
    </row>
    <row r="175" customFormat="false" ht="28.35" hidden="false" customHeight="true" outlineLevel="0" collapsed="false">
      <c r="A175" s="0"/>
    </row>
    <row r="176" customFormat="false" ht="28.35" hidden="false" customHeight="true" outlineLevel="0" collapsed="false">
      <c r="A176" s="0"/>
    </row>
    <row r="177" customFormat="false" ht="28.35" hidden="false" customHeight="true" outlineLevel="0" collapsed="false">
      <c r="A177" s="0"/>
    </row>
    <row r="178" customFormat="false" ht="28.35" hidden="false" customHeight="true" outlineLevel="0" collapsed="false">
      <c r="A178" s="0"/>
    </row>
    <row r="179" customFormat="false" ht="28.35" hidden="false" customHeight="true" outlineLevel="0" collapsed="false">
      <c r="A179" s="0"/>
    </row>
    <row r="180" customFormat="false" ht="28.35" hidden="false" customHeight="true" outlineLevel="0" collapsed="false">
      <c r="A180" s="0"/>
    </row>
    <row r="181" customFormat="false" ht="28.35" hidden="false" customHeight="true" outlineLevel="0" collapsed="false">
      <c r="A181" s="0"/>
    </row>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4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6.xml><?xml version="1.0" encoding="utf-8"?>
<worksheet xmlns="http://schemas.openxmlformats.org/spreadsheetml/2006/main" xmlns:r="http://schemas.openxmlformats.org/officeDocument/2006/relationships">
  <sheetPr filterMode="false">
    <tabColor rgb="FF00FF66"/>
    <pageSetUpPr fitToPage="false"/>
  </sheetPr>
  <dimension ref="A1:V15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36" activePane="bottomRight" state="frozen"/>
      <selection pane="topLeft" activeCell="A1" activeCellId="0" sqref="A1"/>
      <selection pane="topRight" activeCell="B1" activeCellId="0" sqref="B1"/>
      <selection pane="bottomLeft" activeCell="A136" activeCellId="0" sqref="A136"/>
      <selection pane="bottomRight" activeCell="I141" activeCellId="0" sqref="I141"/>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1045</v>
      </c>
      <c r="C4" s="5" t="n">
        <v>101091</v>
      </c>
      <c r="D4" s="5" t="s">
        <v>1046</v>
      </c>
      <c r="E4" s="14" t="s">
        <v>1047</v>
      </c>
      <c r="F4" s="15"/>
      <c r="G4" s="15" t="n">
        <v>1000</v>
      </c>
      <c r="H4" s="15"/>
      <c r="I4" s="16"/>
      <c r="J4" s="15" t="n">
        <v>850</v>
      </c>
      <c r="K4" s="16"/>
      <c r="L4" s="16" t="n">
        <v>0</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550" t="s">
        <v>1048</v>
      </c>
      <c r="H6" s="550"/>
      <c r="I6" s="550"/>
      <c r="J6" s="550"/>
      <c r="K6" s="550"/>
      <c r="L6" s="550"/>
      <c r="M6" s="550"/>
      <c r="N6" s="550"/>
      <c r="P6" s="21"/>
      <c r="Q6" s="19" t="s">
        <v>27</v>
      </c>
      <c r="R6" s="9"/>
      <c r="S6" s="22"/>
      <c r="T6" s="5" t="s">
        <v>28</v>
      </c>
    </row>
    <row r="7" customFormat="false" ht="41.65" hidden="false" customHeight="true" outlineLevel="0" collapsed="false">
      <c r="A7" s="0"/>
      <c r="B7" s="0"/>
      <c r="C7" s="23" t="s">
        <v>1049</v>
      </c>
      <c r="D7" s="23"/>
      <c r="F7" s="20"/>
      <c r="G7" s="20"/>
      <c r="H7" s="550"/>
      <c r="I7" s="550"/>
      <c r="J7" s="550"/>
      <c r="K7" s="550"/>
      <c r="L7" s="550"/>
      <c r="M7" s="550"/>
      <c r="N7" s="55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t="s">
        <v>34</v>
      </c>
      <c r="E9" s="1" t="s">
        <v>35</v>
      </c>
      <c r="F9" s="9" t="s">
        <v>36</v>
      </c>
      <c r="G9" s="9" t="s">
        <v>37</v>
      </c>
      <c r="H9" s="9" t="s">
        <v>38</v>
      </c>
      <c r="I9" s="9" t="s">
        <v>39</v>
      </c>
      <c r="J9" s="30" t="s">
        <v>40</v>
      </c>
    </row>
    <row r="10" customFormat="false" ht="24.95" hidden="false" customHeight="true" outlineLevel="0" collapsed="false">
      <c r="A10" s="0" t="n">
        <v>31</v>
      </c>
      <c r="B10" s="31" t="n">
        <v>39448</v>
      </c>
      <c r="C10" s="0" t="n">
        <v>173756</v>
      </c>
      <c r="D10" s="29" t="s">
        <v>41</v>
      </c>
      <c r="E10" s="33" t="n">
        <f aca="false">IF(D10="totale",(C10/(A10*24))/F10,IF(D10="marché libre",(C10/(A10*24))/G10,"spécifier histo"))</f>
        <v>0.274756483238457</v>
      </c>
      <c r="F10" s="9" t="n">
        <f aca="false">G10+H100</f>
        <v>850</v>
      </c>
      <c r="G10" s="9" t="n">
        <v>850</v>
      </c>
      <c r="H10" s="9" t="n">
        <f aca="false">0</f>
        <v>0</v>
      </c>
      <c r="I10" s="9"/>
      <c r="J10" s="30"/>
    </row>
    <row r="11" customFormat="false" ht="24.95" hidden="false" customHeight="true" outlineLevel="0" collapsed="false">
      <c r="A11" s="0" t="n">
        <v>28</v>
      </c>
      <c r="B11" s="34" t="n">
        <v>39479</v>
      </c>
      <c r="C11" s="0" t="n">
        <v>42179</v>
      </c>
      <c r="D11" s="29" t="s">
        <v>41</v>
      </c>
      <c r="E11" s="33" t="n">
        <f aca="false">IF(D11="totale",(C11/(A11*24))/F11,IF(D11="marché libre",(C11/(A11*24))/G11,"spécifier histo"))</f>
        <v>0.0738427871148459</v>
      </c>
      <c r="F11" s="9" t="n">
        <f aca="false">G11+H101</f>
        <v>850</v>
      </c>
      <c r="G11" s="9" t="n">
        <v>850</v>
      </c>
      <c r="H11" s="9" t="n">
        <f aca="false">0</f>
        <v>0</v>
      </c>
      <c r="I11" s="9"/>
      <c r="J11" s="30"/>
    </row>
    <row r="12" customFormat="false" ht="24.95" hidden="false" customHeight="true" outlineLevel="0" collapsed="false">
      <c r="A12" s="0" t="n">
        <v>31</v>
      </c>
      <c r="B12" s="31" t="n">
        <v>39508</v>
      </c>
      <c r="C12" s="0" t="n">
        <v>221925</v>
      </c>
      <c r="D12" s="29" t="s">
        <v>41</v>
      </c>
      <c r="E12" s="33" t="n">
        <f aca="false">IF(D12="totale",(C12/(A12*24))/F12,IF(D12="marché libre",(C12/(A12*24))/G12,"spécifier histo"))</f>
        <v>0.35092504743833</v>
      </c>
      <c r="F12" s="9" t="n">
        <f aca="false">G12+H102</f>
        <v>850</v>
      </c>
      <c r="G12" s="9" t="n">
        <v>850</v>
      </c>
      <c r="H12" s="9" t="n">
        <f aca="false">0</f>
        <v>0</v>
      </c>
      <c r="I12" s="9"/>
      <c r="J12" s="30"/>
    </row>
    <row r="13" customFormat="false" ht="24.95" hidden="false" customHeight="true" outlineLevel="0" collapsed="false">
      <c r="A13" s="0" t="n">
        <v>30</v>
      </c>
      <c r="B13" s="34" t="n">
        <v>39539</v>
      </c>
      <c r="C13" s="0" t="n">
        <v>379048</v>
      </c>
      <c r="D13" s="29" t="s">
        <v>41</v>
      </c>
      <c r="E13" s="33" t="n">
        <f aca="false">IF(D13="totale",(C13/(A13*24))/F13,IF(D13="marché libre",(C13/(A13*24))/G13,"spécifier histo"))</f>
        <v>0.619359477124183</v>
      </c>
      <c r="F13" s="9" t="n">
        <f aca="false">G13+H103</f>
        <v>850</v>
      </c>
      <c r="G13" s="9" t="n">
        <v>850</v>
      </c>
      <c r="H13" s="9" t="n">
        <f aca="false">0</f>
        <v>0</v>
      </c>
      <c r="I13" s="9"/>
      <c r="J13" s="30"/>
    </row>
    <row r="14" customFormat="false" ht="24.95" hidden="false" customHeight="true" outlineLevel="0" collapsed="false">
      <c r="A14" s="0" t="n">
        <v>31</v>
      </c>
      <c r="B14" s="31" t="n">
        <v>39569</v>
      </c>
      <c r="C14" s="0" t="n">
        <v>391371</v>
      </c>
      <c r="D14" s="29" t="s">
        <v>41</v>
      </c>
      <c r="E14" s="33" t="n">
        <f aca="false">IF(D14="totale",(C14/(A14*24))/F14,IF(D14="marché libre",(C14/(A14*24))/G14,"spécifier histo"))</f>
        <v>0.618866223908918</v>
      </c>
      <c r="F14" s="9" t="n">
        <f aca="false">G14+H104</f>
        <v>850</v>
      </c>
      <c r="G14" s="9" t="n">
        <v>850</v>
      </c>
      <c r="H14" s="9" t="n">
        <f aca="false">0</f>
        <v>0</v>
      </c>
      <c r="I14" s="9"/>
      <c r="J14" s="30"/>
    </row>
    <row r="15" customFormat="false" ht="24.95" hidden="false" customHeight="true" outlineLevel="0" collapsed="false">
      <c r="A15" s="0" t="n">
        <v>30</v>
      </c>
      <c r="B15" s="34" t="n">
        <v>39600</v>
      </c>
      <c r="C15" s="0" t="n">
        <v>412188</v>
      </c>
      <c r="D15" s="29" t="s">
        <v>41</v>
      </c>
      <c r="E15" s="33" t="n">
        <f aca="false">IF(D15="totale",(C15/(A15*24))/F15,IF(D15="marché libre",(C15/(A15*24))/G15,"spécifier histo"))</f>
        <v>0.673509803921569</v>
      </c>
      <c r="F15" s="9" t="n">
        <f aca="false">G15+H105</f>
        <v>850</v>
      </c>
      <c r="G15" s="9" t="n">
        <v>850</v>
      </c>
      <c r="H15" s="9" t="n">
        <f aca="false">0</f>
        <v>0</v>
      </c>
      <c r="I15" s="9"/>
      <c r="J15" s="30"/>
    </row>
    <row r="16" customFormat="false" ht="24.95" hidden="false" customHeight="true" outlineLevel="0" collapsed="false">
      <c r="A16" s="0" t="n">
        <v>31</v>
      </c>
      <c r="B16" s="31" t="n">
        <v>39630</v>
      </c>
      <c r="C16" s="0" t="n">
        <v>112329</v>
      </c>
      <c r="D16" s="29" t="s">
        <v>41</v>
      </c>
      <c r="E16" s="33" t="n">
        <f aca="false">IF(D16="totale",(C16/(A16*24))/F16,IF(D16="marché libre",(C16/(A16*24))/G16,"spécifier histo"))</f>
        <v>0.177623339658444</v>
      </c>
      <c r="F16" s="9" t="n">
        <f aca="false">G16+H106</f>
        <v>850</v>
      </c>
      <c r="G16" s="9" t="n">
        <v>850</v>
      </c>
      <c r="H16" s="9" t="n">
        <f aca="false">0</f>
        <v>0</v>
      </c>
      <c r="I16" s="9"/>
      <c r="J16" s="30"/>
    </row>
    <row r="17" customFormat="false" ht="24.95" hidden="false" customHeight="true" outlineLevel="0" collapsed="false">
      <c r="A17" s="0" t="n">
        <v>31</v>
      </c>
      <c r="B17" s="34" t="n">
        <v>39661</v>
      </c>
      <c r="C17" s="0" t="n">
        <v>14221</v>
      </c>
      <c r="D17" s="29" t="s">
        <v>41</v>
      </c>
      <c r="E17" s="33" t="n">
        <f aca="false">IF(D17="totale",(C17/(A17*24))/F17,IF(D17="marché libre",(C17/(A17*24))/G17,"spécifier histo"))</f>
        <v>0.0224873497786211</v>
      </c>
      <c r="F17" s="9" t="n">
        <f aca="false">G17+H107</f>
        <v>850</v>
      </c>
      <c r="G17" s="9" t="n">
        <v>850</v>
      </c>
      <c r="H17" s="9" t="n">
        <f aca="false">0</f>
        <v>0</v>
      </c>
      <c r="I17" s="9"/>
      <c r="J17" s="30"/>
    </row>
    <row r="18" customFormat="false" ht="24.95" hidden="false" customHeight="true" outlineLevel="0" collapsed="false">
      <c r="A18" s="0" t="n">
        <v>30</v>
      </c>
      <c r="B18" s="31" t="n">
        <v>39692</v>
      </c>
      <c r="C18" s="0" t="n">
        <v>5291</v>
      </c>
      <c r="D18" s="29" t="s">
        <v>41</v>
      </c>
      <c r="E18" s="33" t="n">
        <f aca="false">IF(D18="totale",(C18/(A18*24))/F18,IF(D18="marché libre",(C18/(A18*24))/G18,"spécifier histo"))</f>
        <v>0.00864542483660131</v>
      </c>
      <c r="F18" s="9" t="n">
        <f aca="false">G18+H108</f>
        <v>850</v>
      </c>
      <c r="G18" s="9" t="n">
        <v>850</v>
      </c>
      <c r="H18" s="9" t="n">
        <f aca="false">0</f>
        <v>0</v>
      </c>
      <c r="I18" s="41"/>
      <c r="J18" s="30"/>
    </row>
    <row r="19" customFormat="false" ht="24.95" hidden="false" customHeight="true" outlineLevel="0" collapsed="false">
      <c r="A19" s="0" t="n">
        <v>31</v>
      </c>
      <c r="B19" s="34" t="n">
        <v>39722</v>
      </c>
      <c r="C19" s="0" t="n">
        <v>0</v>
      </c>
      <c r="D19" s="29" t="s">
        <v>41</v>
      </c>
      <c r="E19" s="33" t="n">
        <f aca="false">IF(D19="totale",(C19/(A19*24))/F19,IF(D19="marché libre",(C19/(A19*24))/G19,"spécifier histo"))</f>
        <v>0</v>
      </c>
      <c r="F19" s="9" t="n">
        <f aca="false">G19+H109</f>
        <v>850</v>
      </c>
      <c r="G19" s="9" t="n">
        <v>850</v>
      </c>
      <c r="H19" s="9" t="n">
        <f aca="false">0</f>
        <v>0</v>
      </c>
      <c r="I19" s="9"/>
      <c r="J19" s="30"/>
    </row>
    <row r="20" customFormat="false" ht="24.95" hidden="false" customHeight="true" outlineLevel="0" collapsed="false">
      <c r="A20" s="0" t="n">
        <v>30</v>
      </c>
      <c r="B20" s="31" t="n">
        <v>39753</v>
      </c>
      <c r="C20" s="0" t="n">
        <v>116317</v>
      </c>
      <c r="D20" s="29" t="s">
        <v>41</v>
      </c>
      <c r="E20" s="33" t="n">
        <f aca="false">IF(D20="totale",(C20/(A20*24))/F20,IF(D20="marché libre",(C20/(A20*24))/G20,"spécifier histo"))</f>
        <v>0.19006045751634</v>
      </c>
      <c r="F20" s="9" t="n">
        <f aca="false">G20+H110</f>
        <v>850</v>
      </c>
      <c r="G20" s="9" t="n">
        <v>850</v>
      </c>
      <c r="H20" s="9" t="n">
        <f aca="false">0</f>
        <v>0</v>
      </c>
      <c r="I20" s="9"/>
      <c r="J20" s="30"/>
    </row>
    <row r="21" customFormat="false" ht="24.95" hidden="false" customHeight="true" outlineLevel="0" collapsed="false">
      <c r="A21" s="0" t="n">
        <v>31</v>
      </c>
      <c r="B21" s="34" t="n">
        <v>39783</v>
      </c>
      <c r="C21" s="0" t="n">
        <v>98465</v>
      </c>
      <c r="D21" s="29" t="s">
        <v>41</v>
      </c>
      <c r="E21" s="33" t="n">
        <f aca="false">IF(D21="totale",(C21/(A21*24))/F21,IF(D21="marché libre",(C21/(A21*24))/G21,"spécifier histo"))</f>
        <v>0.155700506008855</v>
      </c>
      <c r="F21" s="9" t="n">
        <f aca="false">G21+H111</f>
        <v>850</v>
      </c>
      <c r="G21" s="9" t="n">
        <v>850</v>
      </c>
      <c r="H21" s="9" t="n">
        <f aca="false">0</f>
        <v>0</v>
      </c>
      <c r="I21" s="9"/>
      <c r="J21" s="30"/>
    </row>
    <row r="22" customFormat="false" ht="24.95" hidden="false" customHeight="true" outlineLevel="0" collapsed="false">
      <c r="A22" s="0" t="n">
        <v>31</v>
      </c>
      <c r="B22" s="31" t="n">
        <v>39814</v>
      </c>
      <c r="C22" s="0" t="n">
        <v>111530</v>
      </c>
      <c r="D22" s="29" t="s">
        <v>41</v>
      </c>
      <c r="E22" s="33" t="n">
        <f aca="false">IF(D22="totale",(C22/(A22*24))/F22,IF(D22="marché libre",(C22/(A22*24))/G22,"spécifier histo"))</f>
        <v>0.176359898798229</v>
      </c>
      <c r="F22" s="9" t="n">
        <f aca="false">G22+H112</f>
        <v>850</v>
      </c>
      <c r="G22" s="9" t="n">
        <v>850</v>
      </c>
      <c r="H22" s="9" t="n">
        <f aca="false">0</f>
        <v>0</v>
      </c>
      <c r="I22" s="9"/>
      <c r="J22" s="30"/>
    </row>
    <row r="23" customFormat="false" ht="24.95" hidden="false" customHeight="true" outlineLevel="0" collapsed="false">
      <c r="A23" s="0" t="n">
        <v>28</v>
      </c>
      <c r="B23" s="34" t="n">
        <v>39845</v>
      </c>
      <c r="C23" s="0" t="n">
        <v>179189</v>
      </c>
      <c r="D23" s="29" t="s">
        <v>41</v>
      </c>
      <c r="E23" s="33" t="n">
        <f aca="false">IF(D23="totale",(C23/(A23*24))/F23,IF(D23="marché libre",(C23/(A23*24))/G23,"spécifier histo"))</f>
        <v>0.313706232492997</v>
      </c>
      <c r="F23" s="9" t="n">
        <f aca="false">G23+H113</f>
        <v>850</v>
      </c>
      <c r="G23" s="9" t="n">
        <v>850</v>
      </c>
      <c r="H23" s="9" t="n">
        <f aca="false">0</f>
        <v>0</v>
      </c>
      <c r="I23" s="9"/>
      <c r="J23" s="30"/>
    </row>
    <row r="24" customFormat="false" ht="24.95" hidden="false" customHeight="true" outlineLevel="0" collapsed="false">
      <c r="A24" s="0" t="n">
        <v>31</v>
      </c>
      <c r="B24" s="31" t="n">
        <v>39873</v>
      </c>
      <c r="C24" s="0" t="n">
        <v>306637</v>
      </c>
      <c r="D24" s="29" t="s">
        <v>41</v>
      </c>
      <c r="E24" s="33" t="n">
        <f aca="false">IF(D24="totale",(C24/(A24*24))/F24,IF(D24="marché libre",(C24/(A24*24))/G24,"spécifier histo"))</f>
        <v>0.484878241619228</v>
      </c>
      <c r="F24" s="9" t="n">
        <f aca="false">G24+H114</f>
        <v>850</v>
      </c>
      <c r="G24" s="9" t="n">
        <v>850</v>
      </c>
      <c r="H24" s="9" t="n">
        <f aca="false">0</f>
        <v>0</v>
      </c>
      <c r="I24" s="9"/>
      <c r="J24" s="30"/>
    </row>
    <row r="25" customFormat="false" ht="24.95" hidden="false" customHeight="true" outlineLevel="0" collapsed="false">
      <c r="A25" s="0" t="n">
        <v>30</v>
      </c>
      <c r="B25" s="34" t="n">
        <v>39904</v>
      </c>
      <c r="C25" s="0" t="n">
        <v>496319</v>
      </c>
      <c r="D25" s="29" t="s">
        <v>41</v>
      </c>
      <c r="E25" s="33" t="n">
        <f aca="false">IF(D25="totale",(C25/(A25*24))/F25,IF(D25="marché libre",(C25/(A25*24))/G25,"spécifier histo"))</f>
        <v>0.810978758169935</v>
      </c>
      <c r="F25" s="9" t="n">
        <f aca="false">G25+H115</f>
        <v>850</v>
      </c>
      <c r="G25" s="9" t="n">
        <v>850</v>
      </c>
      <c r="H25" s="9" t="n">
        <f aca="false">0</f>
        <v>0</v>
      </c>
      <c r="I25" s="9"/>
      <c r="J25" s="30"/>
    </row>
    <row r="26" customFormat="false" ht="24.95" hidden="false" customHeight="true" outlineLevel="0" collapsed="false">
      <c r="A26" s="0" t="n">
        <v>31</v>
      </c>
      <c r="B26" s="31" t="n">
        <v>39934</v>
      </c>
      <c r="C26" s="0" t="n">
        <v>569425</v>
      </c>
      <c r="D26" s="29" t="s">
        <v>41</v>
      </c>
      <c r="E26" s="33" t="n">
        <f aca="false">IF(D26="totale",(C26/(A26*24))/F26,IF(D26="marché libre",(C26/(A26*24))/G26,"spécifier histo"))</f>
        <v>0.900419038583175</v>
      </c>
      <c r="F26" s="9" t="n">
        <f aca="false">G26+H116</f>
        <v>850</v>
      </c>
      <c r="G26" s="9" t="n">
        <v>850</v>
      </c>
      <c r="H26" s="9" t="n">
        <f aca="false">0</f>
        <v>0</v>
      </c>
      <c r="I26" s="9"/>
      <c r="J26" s="30"/>
    </row>
    <row r="27" customFormat="false" ht="24.95" hidden="false" customHeight="true" outlineLevel="0" collapsed="false">
      <c r="A27" s="0" t="n">
        <v>30</v>
      </c>
      <c r="B27" s="34" t="n">
        <v>39965</v>
      </c>
      <c r="C27" s="0" t="n">
        <v>219159</v>
      </c>
      <c r="D27" s="29" t="s">
        <v>41</v>
      </c>
      <c r="E27" s="33" t="n">
        <f aca="false">IF(D27="totale",(C27/(A27*24))/F27,IF(D27="marché libre",(C27/(A27*24))/G27,"spécifier histo"))</f>
        <v>0.358102941176471</v>
      </c>
      <c r="F27" s="9" t="n">
        <f aca="false">G27+H117</f>
        <v>850</v>
      </c>
      <c r="G27" s="9" t="n">
        <v>850</v>
      </c>
      <c r="H27" s="9" t="n">
        <f aca="false">0</f>
        <v>0</v>
      </c>
      <c r="I27" s="9"/>
      <c r="J27" s="30"/>
    </row>
    <row r="28" customFormat="false" ht="24.95" hidden="false" customHeight="true" outlineLevel="0" collapsed="false">
      <c r="A28" s="0" t="n">
        <v>31</v>
      </c>
      <c r="B28" s="31" t="n">
        <v>39995</v>
      </c>
      <c r="C28" s="0" t="n">
        <v>54685</v>
      </c>
      <c r="D28" s="29" t="s">
        <v>41</v>
      </c>
      <c r="E28" s="33" t="n">
        <f aca="false">IF(D28="totale",(C28/(A28*24))/F28,IF(D28="marché libre",(C28/(A28*24))/G28,"spécifier histo"))</f>
        <v>0.0864721695129665</v>
      </c>
      <c r="F28" s="9" t="n">
        <f aca="false">G28+H118</f>
        <v>850</v>
      </c>
      <c r="G28" s="9" t="n">
        <v>850</v>
      </c>
      <c r="H28" s="9" t="n">
        <f aca="false">0</f>
        <v>0</v>
      </c>
      <c r="I28" s="9"/>
      <c r="J28" s="30"/>
    </row>
    <row r="29" customFormat="false" ht="24.95" hidden="false" customHeight="true" outlineLevel="0" collapsed="false">
      <c r="A29" s="0" t="n">
        <v>31</v>
      </c>
      <c r="B29" s="34" t="n">
        <v>40026</v>
      </c>
      <c r="C29" s="0" t="n">
        <v>161</v>
      </c>
      <c r="D29" s="29" t="s">
        <v>41</v>
      </c>
      <c r="E29" s="33" t="n">
        <f aca="false">IF(D29="totale",(C29/(A29*24))/F29,IF(D29="marché libre",(C29/(A29*24))/G29,"spécifier histo"))</f>
        <v>0.000254585705249842</v>
      </c>
      <c r="F29" s="9" t="n">
        <f aca="false">G29+H119</f>
        <v>850</v>
      </c>
      <c r="G29" s="9" t="n">
        <v>850</v>
      </c>
      <c r="H29" s="9" t="n">
        <f aca="false">0</f>
        <v>0</v>
      </c>
      <c r="I29" s="9"/>
      <c r="J29" s="30"/>
    </row>
    <row r="30" customFormat="false" ht="24.95" hidden="false" customHeight="true" outlineLevel="0" collapsed="false">
      <c r="A30" s="0" t="n">
        <v>30</v>
      </c>
      <c r="B30" s="31" t="n">
        <v>40057</v>
      </c>
      <c r="C30" s="0" t="n">
        <v>0</v>
      </c>
      <c r="D30" s="29" t="s">
        <v>41</v>
      </c>
      <c r="E30" s="33" t="n">
        <f aca="false">IF(D30="totale",(C30/(A30*24))/F30,IF(D30="marché libre",(C30/(A30*24))/G30,"spécifier histo"))</f>
        <v>0</v>
      </c>
      <c r="F30" s="9" t="n">
        <f aca="false">G30+H120</f>
        <v>850</v>
      </c>
      <c r="G30" s="9" t="n">
        <v>850</v>
      </c>
      <c r="H30" s="9" t="n">
        <f aca="false">0</f>
        <v>0</v>
      </c>
      <c r="I30" s="9"/>
      <c r="J30" s="30"/>
    </row>
    <row r="31" customFormat="false" ht="24.95" hidden="false" customHeight="true" outlineLevel="0" collapsed="false">
      <c r="A31" s="0" t="n">
        <v>31</v>
      </c>
      <c r="B31" s="34" t="n">
        <v>40087</v>
      </c>
      <c r="C31" s="0" t="n">
        <v>5550</v>
      </c>
      <c r="D31" s="29" t="s">
        <v>41</v>
      </c>
      <c r="E31" s="33" t="n">
        <f aca="false">IF(D31="totale",(C31/(A31*24))/F31,IF(D31="marché libre",(C31/(A31*24))/G31,"spécifier histo"))</f>
        <v>0.00877609108159393</v>
      </c>
      <c r="F31" s="9" t="n">
        <f aca="false">G31+H121</f>
        <v>850</v>
      </c>
      <c r="G31" s="9" t="n">
        <v>850</v>
      </c>
      <c r="H31" s="9" t="n">
        <f aca="false">0</f>
        <v>0</v>
      </c>
      <c r="I31" s="9"/>
      <c r="J31" s="30"/>
    </row>
    <row r="32" customFormat="false" ht="24.95" hidden="false" customHeight="true" outlineLevel="0" collapsed="false">
      <c r="A32" s="0" t="n">
        <v>30</v>
      </c>
      <c r="B32" s="31" t="n">
        <v>40118</v>
      </c>
      <c r="C32" s="0" t="n">
        <v>219352</v>
      </c>
      <c r="D32" s="29" t="s">
        <v>41</v>
      </c>
      <c r="E32" s="33" t="n">
        <f aca="false">IF(D32="totale",(C32/(A32*24))/F32,IF(D32="marché libre",(C32/(A32*24))/G32,"spécifier histo"))</f>
        <v>0.358418300653595</v>
      </c>
      <c r="F32" s="9" t="n">
        <f aca="false">G32+H122</f>
        <v>850</v>
      </c>
      <c r="G32" s="9" t="n">
        <v>850</v>
      </c>
      <c r="H32" s="9" t="n">
        <f aca="false">0</f>
        <v>0</v>
      </c>
      <c r="I32" s="9"/>
      <c r="J32" s="30"/>
    </row>
    <row r="33" customFormat="false" ht="24.95" hidden="false" customHeight="true" outlineLevel="0" collapsed="false">
      <c r="A33" s="0" t="n">
        <v>31</v>
      </c>
      <c r="B33" s="34" t="n">
        <v>40148</v>
      </c>
      <c r="C33" s="0" t="n">
        <v>139193</v>
      </c>
      <c r="D33" s="29" t="s">
        <v>41</v>
      </c>
      <c r="E33" s="33" t="n">
        <f aca="false">IF(D33="totale",(C33/(A33*24))/F33,IF(D33="marché libre",(C33/(A33*24))/G33,"spécifier histo"))</f>
        <v>0.220102783048703</v>
      </c>
      <c r="F33" s="9" t="n">
        <f aca="false">G33+H123</f>
        <v>850</v>
      </c>
      <c r="G33" s="9" t="n">
        <v>850</v>
      </c>
      <c r="H33" s="9" t="n">
        <f aca="false">0</f>
        <v>0</v>
      </c>
      <c r="I33" s="9"/>
      <c r="J33" s="30"/>
    </row>
    <row r="34" customFormat="false" ht="24.95" hidden="false" customHeight="true" outlineLevel="0" collapsed="false">
      <c r="A34" s="0" t="n">
        <v>31</v>
      </c>
      <c r="B34" s="31" t="n">
        <v>40179</v>
      </c>
      <c r="C34" s="0" t="n">
        <v>112135</v>
      </c>
      <c r="D34" s="29" t="s">
        <v>41</v>
      </c>
      <c r="E34" s="33" t="n">
        <f aca="false">IF(D34="totale",(C34/(A34*24))/F34,IF(D34="marché libre",(C34/(A34*24))/G34,"spécifier histo"))</f>
        <v>0.177316571790006</v>
      </c>
      <c r="F34" s="9" t="n">
        <f aca="false">G34+H124</f>
        <v>850</v>
      </c>
      <c r="G34" s="9" t="n">
        <v>850</v>
      </c>
      <c r="H34" s="9" t="n">
        <f aca="false">0</f>
        <v>0</v>
      </c>
      <c r="I34" s="9"/>
      <c r="J34" s="30"/>
    </row>
    <row r="35" customFormat="false" ht="24.95" hidden="false" customHeight="true" outlineLevel="0" collapsed="false">
      <c r="A35" s="0" t="n">
        <v>28</v>
      </c>
      <c r="B35" s="34" t="n">
        <v>40210</v>
      </c>
      <c r="C35" s="0" t="n">
        <v>87961</v>
      </c>
      <c r="D35" s="29" t="s">
        <v>41</v>
      </c>
      <c r="E35" s="33" t="n">
        <f aca="false">IF(D35="totale",(C35/(A35*24))/F35,IF(D35="marché libre",(C35/(A35*24))/G35,"spécifier histo"))</f>
        <v>0.153993347338936</v>
      </c>
      <c r="F35" s="9" t="n">
        <f aca="false">G35+H125</f>
        <v>850</v>
      </c>
      <c r="G35" s="9" t="n">
        <v>850</v>
      </c>
      <c r="H35" s="9" t="n">
        <f aca="false">0</f>
        <v>0</v>
      </c>
      <c r="I35" s="9"/>
      <c r="J35" s="30"/>
    </row>
    <row r="36" customFormat="false" ht="24.95" hidden="false" customHeight="true" outlineLevel="0" collapsed="false">
      <c r="A36" s="0" t="n">
        <v>31</v>
      </c>
      <c r="B36" s="31" t="n">
        <v>40238</v>
      </c>
      <c r="C36" s="0" t="n">
        <v>346333</v>
      </c>
      <c r="D36" s="29" t="s">
        <v>41</v>
      </c>
      <c r="E36" s="33" t="n">
        <f aca="false">IF(D36="totale",(C36/(A36*24))/F36,IF(D36="marché libre",(C36/(A36*24))/G36,"spécifier histo"))</f>
        <v>0.547648640101202</v>
      </c>
      <c r="F36" s="9" t="n">
        <f aca="false">G36+H126</f>
        <v>850</v>
      </c>
      <c r="G36" s="9" t="n">
        <v>850</v>
      </c>
      <c r="H36" s="9" t="n">
        <f aca="false">0</f>
        <v>0</v>
      </c>
      <c r="I36" s="9"/>
      <c r="J36" s="30"/>
    </row>
    <row r="37" customFormat="false" ht="24.95" hidden="false" customHeight="true" outlineLevel="0" collapsed="false">
      <c r="A37" s="0" t="n">
        <v>30</v>
      </c>
      <c r="B37" s="34" t="n">
        <v>40269</v>
      </c>
      <c r="C37" s="0" t="n">
        <v>362062</v>
      </c>
      <c r="D37" s="29" t="s">
        <v>41</v>
      </c>
      <c r="E37" s="33" t="n">
        <f aca="false">IF(D37="totale",(C37/(A37*24))/F37,IF(D37="marché libre",(C37/(A37*24))/G37,"spécifier histo"))</f>
        <v>0.591604575163399</v>
      </c>
      <c r="F37" s="9" t="n">
        <f aca="false">G37+H127</f>
        <v>850</v>
      </c>
      <c r="G37" s="9" t="n">
        <v>850</v>
      </c>
      <c r="H37" s="9" t="n">
        <f aca="false">0</f>
        <v>0</v>
      </c>
      <c r="I37" s="9"/>
      <c r="J37" s="30"/>
    </row>
    <row r="38" customFormat="false" ht="24.95" hidden="false" customHeight="true" outlineLevel="0" collapsed="false">
      <c r="A38" s="0" t="n">
        <v>31</v>
      </c>
      <c r="B38" s="31" t="n">
        <v>40299</v>
      </c>
      <c r="C38" s="0" t="n">
        <v>582778</v>
      </c>
      <c r="D38" s="29" t="s">
        <v>41</v>
      </c>
      <c r="E38" s="33" t="n">
        <f aca="false">IF(D38="totale",(C38/(A38*24))/F38,IF(D38="marché libre",(C38/(A38*24))/G38,"spécifier histo"))</f>
        <v>0.921533839342188</v>
      </c>
      <c r="F38" s="9" t="n">
        <f aca="false">G38+H128</f>
        <v>850</v>
      </c>
      <c r="G38" s="9" t="n">
        <v>850</v>
      </c>
      <c r="H38" s="9" t="n">
        <f aca="false">0</f>
        <v>0</v>
      </c>
      <c r="I38" s="9"/>
      <c r="J38" s="30"/>
    </row>
    <row r="39" customFormat="false" ht="24.95" hidden="false" customHeight="true" outlineLevel="0" collapsed="false">
      <c r="A39" s="0" t="n">
        <v>30</v>
      </c>
      <c r="B39" s="34" t="n">
        <v>40330</v>
      </c>
      <c r="C39" s="0" t="n">
        <v>352795</v>
      </c>
      <c r="D39" s="29" t="s">
        <v>41</v>
      </c>
      <c r="E39" s="33" t="n">
        <f aca="false">IF(D39="totale",(C39/(A39*24))/F39,IF(D39="marché libre",(C39/(A39*24))/G39,"spécifier histo"))</f>
        <v>0.576462418300654</v>
      </c>
      <c r="F39" s="9" t="n">
        <f aca="false">G39+H129</f>
        <v>850</v>
      </c>
      <c r="G39" s="9" t="n">
        <v>850</v>
      </c>
      <c r="H39" s="9" t="n">
        <f aca="false">0</f>
        <v>0</v>
      </c>
      <c r="I39" s="9"/>
      <c r="J39" s="30"/>
    </row>
    <row r="40" customFormat="false" ht="24.95" hidden="false" customHeight="true" outlineLevel="0" collapsed="false">
      <c r="A40" s="0" t="n">
        <v>31</v>
      </c>
      <c r="B40" s="31" t="n">
        <v>40360</v>
      </c>
      <c r="C40" s="0" t="n">
        <v>114075</v>
      </c>
      <c r="D40" s="29" t="s">
        <v>41</v>
      </c>
      <c r="E40" s="33" t="n">
        <f aca="false">IF(D40="totale",(C40/(A40*24))/F40,IF(D40="marché libre",(C40/(A40*24))/G40,"spécifier histo"))</f>
        <v>0.180384250474383</v>
      </c>
      <c r="F40" s="9" t="n">
        <f aca="false">G40+H130</f>
        <v>850</v>
      </c>
      <c r="G40" s="9" t="n">
        <v>850</v>
      </c>
      <c r="H40" s="9" t="n">
        <f aca="false">0</f>
        <v>0</v>
      </c>
      <c r="I40" s="9"/>
      <c r="J40" s="30"/>
    </row>
    <row r="41" customFormat="false" ht="24.95" hidden="false" customHeight="true" outlineLevel="0" collapsed="false">
      <c r="A41" s="0" t="n">
        <v>31</v>
      </c>
      <c r="B41" s="34" t="n">
        <v>40391</v>
      </c>
      <c r="C41" s="0" t="n">
        <v>34962</v>
      </c>
      <c r="D41" s="29" t="s">
        <v>41</v>
      </c>
      <c r="E41" s="33" t="n">
        <f aca="false">IF(D41="totale",(C41/(A41*24))/F41,IF(D41="marché libre",(C41/(A41*24))/G41,"spécifier histo"))</f>
        <v>0.0552846299810247</v>
      </c>
      <c r="F41" s="9" t="n">
        <f aca="false">G41+H131</f>
        <v>850</v>
      </c>
      <c r="G41" s="9" t="n">
        <v>850</v>
      </c>
      <c r="H41" s="9" t="n">
        <f aca="false">0</f>
        <v>0</v>
      </c>
      <c r="I41" s="9"/>
      <c r="J41" s="30"/>
    </row>
    <row r="42" customFormat="false" ht="24.95" hidden="false" customHeight="true" outlineLevel="0" collapsed="false">
      <c r="A42" s="0" t="n">
        <v>30</v>
      </c>
      <c r="B42" s="31" t="n">
        <v>40422</v>
      </c>
      <c r="C42" s="0" t="n">
        <v>921</v>
      </c>
      <c r="D42" s="29" t="s">
        <v>41</v>
      </c>
      <c r="E42" s="33" t="n">
        <f aca="false">IF(D42="totale",(C42/(A42*24))/F42,IF(D42="marché libre",(C42/(A42*24))/G42,"spécifier histo"))</f>
        <v>0.00150490196078431</v>
      </c>
      <c r="F42" s="9" t="n">
        <f aca="false">G42+H132</f>
        <v>850</v>
      </c>
      <c r="G42" s="9" t="n">
        <v>850</v>
      </c>
      <c r="H42" s="9" t="n">
        <f aca="false">0</f>
        <v>0</v>
      </c>
      <c r="I42" s="9"/>
      <c r="J42" s="30"/>
    </row>
    <row r="43" customFormat="false" ht="24.95" hidden="false" customHeight="true" outlineLevel="0" collapsed="false">
      <c r="A43" s="0" t="n">
        <v>31</v>
      </c>
      <c r="B43" s="34" t="n">
        <v>40452</v>
      </c>
      <c r="C43" s="0" t="n">
        <v>53766</v>
      </c>
      <c r="D43" s="29" t="s">
        <v>41</v>
      </c>
      <c r="E43" s="33" t="n">
        <f aca="false">IF(D43="totale",(C43/(A43*24))/F43,IF(D43="marché libre",(C43/(A43*24))/G43,"spécifier histo"))</f>
        <v>0.0850189753320683</v>
      </c>
      <c r="F43" s="9" t="n">
        <f aca="false">G43+H133</f>
        <v>850</v>
      </c>
      <c r="G43" s="9" t="n">
        <v>850</v>
      </c>
      <c r="H43" s="9" t="n">
        <f aca="false">0</f>
        <v>0</v>
      </c>
      <c r="I43" s="9"/>
      <c r="J43" s="30"/>
    </row>
    <row r="44" customFormat="false" ht="24.95" hidden="false" customHeight="true" outlineLevel="0" collapsed="false">
      <c r="A44" s="0" t="n">
        <v>30</v>
      </c>
      <c r="B44" s="31" t="n">
        <v>40483</v>
      </c>
      <c r="C44" s="0" t="n">
        <v>186435</v>
      </c>
      <c r="D44" s="29" t="s">
        <v>41</v>
      </c>
      <c r="E44" s="33" t="n">
        <f aca="false">IF(D44="totale",(C44/(A44*24))/F44,IF(D44="marché libre",(C44/(A44*24))/G44,"spécifier histo"))</f>
        <v>0.304632352941176</v>
      </c>
      <c r="F44" s="9" t="n">
        <f aca="false">G44+H134</f>
        <v>850</v>
      </c>
      <c r="G44" s="9" t="n">
        <v>850</v>
      </c>
      <c r="H44" s="9" t="n">
        <f aca="false">0</f>
        <v>0</v>
      </c>
      <c r="I44" s="9"/>
      <c r="J44" s="30"/>
    </row>
    <row r="45" customFormat="false" ht="24.95" hidden="false" customHeight="true" outlineLevel="0" collapsed="false">
      <c r="A45" s="0" t="n">
        <v>31</v>
      </c>
      <c r="B45" s="34" t="n">
        <v>40513</v>
      </c>
      <c r="C45" s="0" t="n">
        <v>169079</v>
      </c>
      <c r="D45" s="29" t="s">
        <v>41</v>
      </c>
      <c r="E45" s="33" t="n">
        <f aca="false">IF(D45="totale",(C45/(A45*24))/F45,IF(D45="marché libre",(C45/(A45*24))/G45,"spécifier histo"))</f>
        <v>0.267360847564832</v>
      </c>
      <c r="F45" s="9" t="n">
        <f aca="false">G45+H135</f>
        <v>850</v>
      </c>
      <c r="G45" s="9" t="n">
        <v>850</v>
      </c>
      <c r="H45" s="9" t="n">
        <f aca="false">0</f>
        <v>0</v>
      </c>
      <c r="I45" s="9"/>
      <c r="J45" s="30"/>
    </row>
    <row r="46" customFormat="false" ht="24.95" hidden="false" customHeight="true" outlineLevel="0" collapsed="false">
      <c r="A46" s="0" t="n">
        <v>31</v>
      </c>
      <c r="B46" s="31" t="n">
        <v>40544</v>
      </c>
      <c r="C46" s="0" t="n">
        <v>56061</v>
      </c>
      <c r="D46" s="29" t="s">
        <v>41</v>
      </c>
      <c r="E46" s="33" t="n">
        <f aca="false">IF(D46="totale",(C46/(A46*24))/F46,IF(D46="marché libre",(C46/(A46*24))/G46,"spécifier histo"))</f>
        <v>0.0886480075901328</v>
      </c>
      <c r="F46" s="9" t="n">
        <f aca="false">G46+H136</f>
        <v>850</v>
      </c>
      <c r="G46" s="9" t="n">
        <v>850</v>
      </c>
      <c r="H46" s="9" t="n">
        <f aca="false">0</f>
        <v>0</v>
      </c>
      <c r="I46" s="9"/>
      <c r="J46" s="30"/>
    </row>
    <row r="47" customFormat="false" ht="24.95" hidden="false" customHeight="true" outlineLevel="0" collapsed="false">
      <c r="A47" s="0" t="n">
        <v>28</v>
      </c>
      <c r="B47" s="34" t="n">
        <v>40575</v>
      </c>
      <c r="C47" s="0" t="n">
        <v>87011</v>
      </c>
      <c r="D47" s="29" t="s">
        <v>41</v>
      </c>
      <c r="E47" s="33" t="n">
        <f aca="false">IF(D47="totale",(C47/(A47*24))/F47,IF(D47="marché libre",(C47/(A47*24))/G47,"spécifier histo"))</f>
        <v>0.152330182072829</v>
      </c>
      <c r="F47" s="9" t="n">
        <f aca="false">G47+H137</f>
        <v>850</v>
      </c>
      <c r="G47" s="9" t="n">
        <v>850</v>
      </c>
      <c r="H47" s="9" t="n">
        <f aca="false">0</f>
        <v>0</v>
      </c>
      <c r="I47" s="9"/>
      <c r="J47" s="30"/>
    </row>
    <row r="48" customFormat="false" ht="24.95" hidden="false" customHeight="true" outlineLevel="0" collapsed="false">
      <c r="A48" s="0" t="n">
        <v>31</v>
      </c>
      <c r="B48" s="31" t="n">
        <v>40603</v>
      </c>
      <c r="C48" s="0" t="n">
        <v>281046</v>
      </c>
      <c r="D48" s="29" t="s">
        <v>41</v>
      </c>
      <c r="E48" s="33" t="n">
        <f aca="false">IF(D48="totale",(C48/(A48*24))/F48,IF(D48="marché libre",(C48/(A48*24))/G48,"spécifier histo"))</f>
        <v>0.444411764705882</v>
      </c>
      <c r="F48" s="9" t="n">
        <f aca="false">G48+H138</f>
        <v>850</v>
      </c>
      <c r="G48" s="9" t="n">
        <v>850</v>
      </c>
      <c r="H48" s="9" t="n">
        <f aca="false">0</f>
        <v>0</v>
      </c>
      <c r="I48" s="9"/>
      <c r="J48" s="30"/>
    </row>
    <row r="49" customFormat="false" ht="24.95" hidden="false" customHeight="true" outlineLevel="0" collapsed="false">
      <c r="A49" s="0" t="n">
        <v>30</v>
      </c>
      <c r="B49" s="34" t="n">
        <v>40634</v>
      </c>
      <c r="C49" s="0" t="n">
        <v>402574</v>
      </c>
      <c r="D49" s="29" t="s">
        <v>41</v>
      </c>
      <c r="E49" s="33" t="n">
        <f aca="false">IF(D49="totale",(C49/(A49*24))/F49,IF(D49="marché libre",(C49/(A49*24))/G49,"spécifier histo"))</f>
        <v>0.657800653594771</v>
      </c>
      <c r="F49" s="9" t="n">
        <f aca="false">G49+H139</f>
        <v>850</v>
      </c>
      <c r="G49" s="9" t="n">
        <v>850</v>
      </c>
      <c r="H49" s="9" t="n">
        <f aca="false">0</f>
        <v>0</v>
      </c>
      <c r="I49" s="9"/>
      <c r="J49" s="30"/>
    </row>
    <row r="50" customFormat="false" ht="24.95" hidden="false" customHeight="true" outlineLevel="0" collapsed="false">
      <c r="A50" s="0" t="n">
        <v>31</v>
      </c>
      <c r="B50" s="31" t="n">
        <v>40664</v>
      </c>
      <c r="C50" s="0" t="n">
        <v>215942</v>
      </c>
      <c r="D50" s="29" t="s">
        <v>41</v>
      </c>
      <c r="E50" s="33" t="n">
        <f aca="false">IF(D50="totale",(C50/(A50*24))/F50,IF(D50="marché libre",(C50/(A50*24))/G50,"spécifier histo"))</f>
        <v>0.341464263124605</v>
      </c>
      <c r="F50" s="9" t="n">
        <f aca="false">G50+H140</f>
        <v>850</v>
      </c>
      <c r="G50" s="9" t="n">
        <v>850</v>
      </c>
      <c r="H50" s="9" t="n">
        <f aca="false">0</f>
        <v>0</v>
      </c>
      <c r="I50" s="9"/>
      <c r="J50" s="30"/>
    </row>
    <row r="51" customFormat="false" ht="24.95" hidden="false" customHeight="true" outlineLevel="0" collapsed="false">
      <c r="A51" s="0" t="n">
        <v>30</v>
      </c>
      <c r="B51" s="34" t="n">
        <v>40695</v>
      </c>
      <c r="C51" s="0" t="n">
        <v>319562</v>
      </c>
      <c r="D51" s="29" t="s">
        <v>41</v>
      </c>
      <c r="E51" s="33" t="n">
        <f aca="false">IF(D51="totale",(C51/(A51*24))/F51,IF(D51="marché libre",(C51/(A51*24))/G51,"spécifier histo"))</f>
        <v>0.522160130718954</v>
      </c>
      <c r="F51" s="9" t="n">
        <f aca="false">G51+H141</f>
        <v>850</v>
      </c>
      <c r="G51" s="9" t="n">
        <v>850</v>
      </c>
      <c r="H51" s="9" t="n">
        <f aca="false">0</f>
        <v>0</v>
      </c>
      <c r="I51" s="9"/>
      <c r="J51" s="30"/>
    </row>
    <row r="52" customFormat="false" ht="24.95" hidden="false" customHeight="true" outlineLevel="0" collapsed="false">
      <c r="A52" s="0" t="n">
        <v>31</v>
      </c>
      <c r="B52" s="31" t="n">
        <v>40725</v>
      </c>
      <c r="C52" s="0" t="n">
        <v>135433</v>
      </c>
      <c r="D52" s="29" t="s">
        <v>41</v>
      </c>
      <c r="E52" s="33" t="e">
        <f aca="false">IF(D52="totale",(C52/(A52*24))/F52,IF(D52="marché libre",(C52/(A52*24))/G52,"spécifier histo"))</f>
        <v>#REF!</v>
      </c>
      <c r="F52" s="9" t="e">
        <f aca="false">G52+#REF!</f>
        <v>#REF!</v>
      </c>
      <c r="G52" s="9" t="n">
        <v>850</v>
      </c>
      <c r="H52" s="9" t="n">
        <f aca="false">0</f>
        <v>0</v>
      </c>
      <c r="I52" s="9"/>
      <c r="J52" s="30"/>
    </row>
    <row r="53" customFormat="false" ht="24.95" hidden="false" customHeight="true" outlineLevel="0" collapsed="false">
      <c r="A53" s="0" t="n">
        <v>31</v>
      </c>
      <c r="B53" s="34" t="n">
        <v>40756</v>
      </c>
      <c r="C53" s="0" t="n">
        <v>91671</v>
      </c>
      <c r="D53" s="29" t="s">
        <v>41</v>
      </c>
      <c r="E53" s="33" t="e">
        <f aca="false">IF(D53="totale",(C53/(A53*24))/F53,IF(D53="marché libre",(C53/(A53*24))/G53,"spécifier histo"))</f>
        <v>#REF!</v>
      </c>
      <c r="F53" s="9" t="e">
        <f aca="false">G53+#REF!</f>
        <v>#REF!</v>
      </c>
      <c r="G53" s="9" t="n">
        <v>850</v>
      </c>
      <c r="H53" s="9" t="n">
        <f aca="false">0</f>
        <v>0</v>
      </c>
      <c r="I53" s="9"/>
      <c r="J53" s="30"/>
    </row>
    <row r="54" customFormat="false" ht="24.95" hidden="false" customHeight="true" outlineLevel="0" collapsed="false">
      <c r="A54" s="0" t="n">
        <v>30</v>
      </c>
      <c r="B54" s="31" t="n">
        <v>40787</v>
      </c>
      <c r="C54" s="0" t="n">
        <v>17164</v>
      </c>
      <c r="D54" s="29" t="s">
        <v>41</v>
      </c>
      <c r="E54" s="33" t="e">
        <f aca="false">IF(D54="totale",(C54/(A54*24))/F54,IF(D54="marché libre",(C54/(A54*24))/G54,"spécifier histo"))</f>
        <v>#REF!</v>
      </c>
      <c r="F54" s="9" t="e">
        <f aca="false">G54+#REF!</f>
        <v>#REF!</v>
      </c>
      <c r="G54" s="9" t="n">
        <v>850</v>
      </c>
      <c r="H54" s="9" t="n">
        <f aca="false">0</f>
        <v>0</v>
      </c>
      <c r="I54" s="9"/>
      <c r="J54" s="30"/>
    </row>
    <row r="55" customFormat="false" ht="24.95" hidden="false" customHeight="true" outlineLevel="0" collapsed="false">
      <c r="A55" s="0" t="n">
        <v>31</v>
      </c>
      <c r="B55" s="34" t="n">
        <v>40817</v>
      </c>
      <c r="C55" s="0" t="n">
        <v>96</v>
      </c>
      <c r="D55" s="29" t="s">
        <v>41</v>
      </c>
      <c r="E55" s="33" t="e">
        <f aca="false">IF(D55="totale",(C55/(A55*24))/F55,IF(D55="marché libre",(C55/(A55*24))/G55,"spécifier histo"))</f>
        <v>#REF!</v>
      </c>
      <c r="F55" s="9" t="e">
        <f aca="false">G55+#REF!</f>
        <v>#REF!</v>
      </c>
      <c r="G55" s="9" t="n">
        <v>850</v>
      </c>
      <c r="H55" s="9" t="n">
        <f aca="false">0</f>
        <v>0</v>
      </c>
      <c r="I55" s="9"/>
      <c r="J55" s="30"/>
    </row>
    <row r="56" customFormat="false" ht="24.95" hidden="false" customHeight="true" outlineLevel="0" collapsed="false">
      <c r="A56" s="0" t="n">
        <v>30</v>
      </c>
      <c r="B56" s="31" t="n">
        <v>40848</v>
      </c>
      <c r="C56" s="0" t="n">
        <v>135125</v>
      </c>
      <c r="D56" s="29" t="s">
        <v>41</v>
      </c>
      <c r="E56" s="33" t="e">
        <f aca="false">IF(D56="totale",(C56/(A56*24))/F56,IF(D56="marché libre",(C56/(A56*24))/G56,"spécifier histo"))</f>
        <v>#REF!</v>
      </c>
      <c r="F56" s="9" t="e">
        <f aca="false">G56+#REF!</f>
        <v>#REF!</v>
      </c>
      <c r="G56" s="9" t="n">
        <v>850</v>
      </c>
      <c r="H56" s="9" t="n">
        <f aca="false">0</f>
        <v>0</v>
      </c>
      <c r="I56" s="9"/>
      <c r="J56" s="30"/>
    </row>
    <row r="57" customFormat="false" ht="24.95" hidden="false" customHeight="true" outlineLevel="0" collapsed="false">
      <c r="A57" s="0" t="n">
        <v>31</v>
      </c>
      <c r="B57" s="34" t="n">
        <v>40878</v>
      </c>
      <c r="C57" s="0" t="n">
        <v>141588</v>
      </c>
      <c r="D57" s="29" t="s">
        <v>41</v>
      </c>
      <c r="E57" s="33" t="e">
        <f aca="false">IF(D57="totale",(C57/(A57*24))/F57,IF(D57="marché libre",(C57/(A57*24))/G57,"spécifier histo"))</f>
        <v>#REF!</v>
      </c>
      <c r="F57" s="9" t="e">
        <f aca="false">G57+#REF!</f>
        <v>#REF!</v>
      </c>
      <c r="G57" s="9" t="n">
        <v>850</v>
      </c>
      <c r="H57" s="9" t="n">
        <f aca="false">0</f>
        <v>0</v>
      </c>
      <c r="I57" s="9"/>
      <c r="J57" s="30"/>
    </row>
    <row r="58" customFormat="false" ht="24.95" hidden="false" customHeight="true" outlineLevel="0" collapsed="false">
      <c r="A58" s="0" t="n">
        <v>31</v>
      </c>
      <c r="B58" s="31" t="n">
        <v>40909</v>
      </c>
      <c r="C58" s="0" t="n">
        <v>190844</v>
      </c>
      <c r="D58" s="29" t="s">
        <v>41</v>
      </c>
      <c r="E58" s="33" t="e">
        <f aca="false">IF(D58="totale",(C58/(A58*24))/F58,IF(D58="marché libre",(C58/(A58*24))/G58,"spécifier histo"))</f>
        <v>#REF!</v>
      </c>
      <c r="F58" s="9" t="e">
        <f aca="false">G58+#REF!</f>
        <v>#REF!</v>
      </c>
      <c r="G58" s="9" t="n">
        <v>850</v>
      </c>
      <c r="H58" s="9" t="n">
        <f aca="false">0</f>
        <v>0</v>
      </c>
      <c r="I58" s="9"/>
      <c r="J58" s="30"/>
    </row>
    <row r="59" customFormat="false" ht="24.95" hidden="false" customHeight="true" outlineLevel="0" collapsed="false">
      <c r="A59" s="0" t="n">
        <v>28</v>
      </c>
      <c r="B59" s="34" t="n">
        <v>40940</v>
      </c>
      <c r="C59" s="0" t="n">
        <v>60444</v>
      </c>
      <c r="D59" s="29" t="s">
        <v>41</v>
      </c>
      <c r="E59" s="33" t="e">
        <f aca="false">IF(D59="totale",(C59/(A59*24))/F59,IF(D59="marché libre",(C59/(A59*24))/G59,"spécifier histo"))</f>
        <v>#REF!</v>
      </c>
      <c r="F59" s="9" t="e">
        <f aca="false">G59+#REF!</f>
        <v>#REF!</v>
      </c>
      <c r="G59" s="9" t="n">
        <v>850</v>
      </c>
      <c r="H59" s="9" t="n">
        <f aca="false">0</f>
        <v>0</v>
      </c>
      <c r="I59" s="9"/>
      <c r="J59" s="30"/>
    </row>
    <row r="60" customFormat="false" ht="24.95" hidden="false" customHeight="true" outlineLevel="0" collapsed="false">
      <c r="A60" s="0" t="n">
        <v>31</v>
      </c>
      <c r="B60" s="31" t="n">
        <v>40969</v>
      </c>
      <c r="C60" s="0" t="n">
        <v>298265</v>
      </c>
      <c r="D60" s="29" t="s">
        <v>41</v>
      </c>
      <c r="E60" s="33" t="e">
        <f aca="false">IF(D60="totale",(C60/(A60*24))/F60,IF(D60="marché libre",(C60/(A60*24))/G60,"spécifier histo"))</f>
        <v>#REF!</v>
      </c>
      <c r="F60" s="9" t="e">
        <f aca="false">G60+#REF!</f>
        <v>#REF!</v>
      </c>
      <c r="G60" s="9" t="n">
        <v>850</v>
      </c>
      <c r="H60" s="9" t="n">
        <f aca="false">0</f>
        <v>0</v>
      </c>
      <c r="I60" s="9"/>
      <c r="J60" s="30"/>
    </row>
    <row r="61" customFormat="false" ht="24.95" hidden="false" customHeight="true" outlineLevel="0" collapsed="false">
      <c r="A61" s="0" t="n">
        <v>30</v>
      </c>
      <c r="B61" s="34" t="n">
        <v>41000</v>
      </c>
      <c r="C61" s="0" t="n">
        <v>498364</v>
      </c>
      <c r="D61" s="29" t="s">
        <v>41</v>
      </c>
      <c r="E61" s="33" t="e">
        <f aca="false">IF(D61="totale",(C61/(A61*24))/F61,IF(D61="marché libre",(C61/(A61*24))/G61,"spécifier histo"))</f>
        <v>#REF!</v>
      </c>
      <c r="F61" s="9" t="e">
        <f aca="false">G61+#REF!</f>
        <v>#REF!</v>
      </c>
      <c r="G61" s="9" t="n">
        <v>850</v>
      </c>
      <c r="H61" s="9" t="n">
        <f aca="false">0</f>
        <v>0</v>
      </c>
      <c r="I61" s="9"/>
      <c r="J61" s="30"/>
    </row>
    <row r="62" customFormat="false" ht="24.95" hidden="false" customHeight="true" outlineLevel="0" collapsed="false">
      <c r="A62" s="0" t="n">
        <v>31</v>
      </c>
      <c r="B62" s="31" t="n">
        <v>41030</v>
      </c>
      <c r="C62" s="0" t="n">
        <v>605823</v>
      </c>
      <c r="D62" s="29" t="s">
        <v>41</v>
      </c>
      <c r="E62" s="33" t="e">
        <f aca="false">IF(D62="totale",(C62/(A62*24))/F62,IF(D62="marché libre",(C62/(A62*24))/G62,"spécifier histo"))</f>
        <v>#REF!</v>
      </c>
      <c r="F62" s="9" t="e">
        <f aca="false">G62+#REF!</f>
        <v>#REF!</v>
      </c>
      <c r="G62" s="9" t="n">
        <v>850</v>
      </c>
      <c r="H62" s="9" t="n">
        <f aca="false">0</f>
        <v>0</v>
      </c>
      <c r="I62" s="9"/>
      <c r="J62" s="30"/>
    </row>
    <row r="63" customFormat="false" ht="24.95" hidden="false" customHeight="true" outlineLevel="0" collapsed="false">
      <c r="A63" s="0" t="n">
        <v>30</v>
      </c>
      <c r="B63" s="34" t="n">
        <v>41061</v>
      </c>
      <c r="C63" s="0" t="n">
        <v>168632</v>
      </c>
      <c r="D63" s="29" t="s">
        <v>41</v>
      </c>
      <c r="E63" s="33" t="e">
        <f aca="false">IF(D63="totale",(C63/(A63*24))/F63,IF(D63="marché libre",(C63/(A63*24))/G63,"spécifier histo"))</f>
        <v>#REF!</v>
      </c>
      <c r="F63" s="9" t="e">
        <f aca="false">G63+#REF!</f>
        <v>#REF!</v>
      </c>
      <c r="G63" s="9" t="n">
        <v>850</v>
      </c>
      <c r="H63" s="9" t="n">
        <f aca="false">0</f>
        <v>0</v>
      </c>
      <c r="I63" s="9"/>
      <c r="J63" s="30"/>
    </row>
    <row r="64" customFormat="false" ht="24.95" hidden="false" customHeight="true" outlineLevel="0" collapsed="false">
      <c r="A64" s="0" t="n">
        <v>31</v>
      </c>
      <c r="B64" s="31" t="n">
        <v>41091</v>
      </c>
      <c r="C64" s="0" t="n">
        <v>67917</v>
      </c>
      <c r="D64" s="29" t="s">
        <v>41</v>
      </c>
      <c r="E64" s="33" t="e">
        <f aca="false">IF(D64="totale",(C64/(A64*24))/F64,IF(D64="marché libre",(C64/(A64*24))/G64,"spécifier histo"))</f>
        <v>#REF!</v>
      </c>
      <c r="F64" s="9" t="e">
        <f aca="false">G64+#REF!</f>
        <v>#REF!</v>
      </c>
      <c r="G64" s="9" t="n">
        <v>850</v>
      </c>
      <c r="H64" s="9" t="n">
        <f aca="false">0</f>
        <v>0</v>
      </c>
      <c r="I64" s="9"/>
      <c r="J64" s="30"/>
    </row>
    <row r="65" customFormat="false" ht="24.95" hidden="false" customHeight="true" outlineLevel="0" collapsed="false">
      <c r="A65" s="0" t="n">
        <v>31</v>
      </c>
      <c r="B65" s="34" t="n">
        <v>41122</v>
      </c>
      <c r="C65" s="0" t="n">
        <v>277</v>
      </c>
      <c r="D65" s="29" t="s">
        <v>41</v>
      </c>
      <c r="E65" s="33" t="e">
        <f aca="false">IF(D65="totale",(C65/(A65*24))/F65,IF(D65="marché libre",(C65/(A65*24))/G65,"spécifier histo"))</f>
        <v>#REF!</v>
      </c>
      <c r="F65" s="9" t="e">
        <f aca="false">G65+#REF!</f>
        <v>#REF!</v>
      </c>
      <c r="G65" s="9" t="n">
        <v>850</v>
      </c>
      <c r="H65" s="9" t="n">
        <f aca="false">0</f>
        <v>0</v>
      </c>
      <c r="I65" s="9"/>
      <c r="J65" s="30"/>
    </row>
    <row r="66" customFormat="false" ht="24.95" hidden="false" customHeight="true" outlineLevel="0" collapsed="false">
      <c r="A66" s="0" t="n">
        <v>30</v>
      </c>
      <c r="B66" s="31" t="n">
        <v>41153</v>
      </c>
      <c r="C66" s="0" t="n">
        <v>291</v>
      </c>
      <c r="D66" s="29" t="s">
        <v>41</v>
      </c>
      <c r="E66" s="33" t="e">
        <f aca="false">IF(D66="totale",(C66/(A66*24))/F66,IF(D66="marché libre",(C66/(A66*24))/G66,"spécifier histo"))</f>
        <v>#REF!</v>
      </c>
      <c r="F66" s="9" t="e">
        <f aca="false">G66+#REF!</f>
        <v>#REF!</v>
      </c>
      <c r="G66" s="9" t="n">
        <v>850</v>
      </c>
      <c r="H66" s="9" t="n">
        <f aca="false">0</f>
        <v>0</v>
      </c>
      <c r="I66" s="9"/>
      <c r="J66" s="30"/>
    </row>
    <row r="67" customFormat="false" ht="24.95" hidden="false" customHeight="true" outlineLevel="0" collapsed="false">
      <c r="A67" s="0" t="n">
        <v>31</v>
      </c>
      <c r="B67" s="34" t="n">
        <v>41183</v>
      </c>
      <c r="C67" s="0" t="n">
        <v>28615</v>
      </c>
      <c r="D67" s="29" t="s">
        <v>41</v>
      </c>
      <c r="E67" s="33" t="e">
        <f aca="false">IF(D67="totale",(C67/(A67*24))/F67,IF(D67="marché libre",(C67/(A67*24))/G67,"spécifier histo"))</f>
        <v>#REF!</v>
      </c>
      <c r="F67" s="9" t="e">
        <f aca="false">G67+#REF!</f>
        <v>#REF!</v>
      </c>
      <c r="G67" s="9" t="n">
        <v>850</v>
      </c>
      <c r="H67" s="9" t="n">
        <f aca="false">0</f>
        <v>0</v>
      </c>
      <c r="I67" s="9"/>
      <c r="J67" s="30"/>
    </row>
    <row r="68" customFormat="false" ht="24.95" hidden="false" customHeight="true" outlineLevel="0" collapsed="false">
      <c r="A68" s="0" t="n">
        <v>30</v>
      </c>
      <c r="B68" s="31" t="n">
        <v>41214</v>
      </c>
      <c r="C68" s="0" t="n">
        <v>76718</v>
      </c>
      <c r="D68" s="29" t="s">
        <v>41</v>
      </c>
      <c r="E68" s="33" t="e">
        <f aca="false">IF(D68="totale",(C68/(A68*24))/F68,IF(D68="marché libre",(C68/(A68*24))/G68,"spécifier histo"))</f>
        <v>#REF!</v>
      </c>
      <c r="F68" s="9" t="e">
        <f aca="false">G68+#REF!</f>
        <v>#REF!</v>
      </c>
      <c r="G68" s="9" t="n">
        <v>850</v>
      </c>
      <c r="H68" s="9" t="n">
        <f aca="false">0</f>
        <v>0</v>
      </c>
      <c r="I68" s="9"/>
      <c r="J68" s="30"/>
    </row>
    <row r="69" customFormat="false" ht="24.95" hidden="false" customHeight="true" outlineLevel="0" collapsed="false">
      <c r="A69" s="0" t="n">
        <v>31</v>
      </c>
      <c r="B69" s="34" t="n">
        <v>41244</v>
      </c>
      <c r="C69" s="0" t="n">
        <v>187074</v>
      </c>
      <c r="D69" s="29" t="s">
        <v>41</v>
      </c>
      <c r="E69" s="33" t="e">
        <f aca="false">IF(D69="totale",(C69/(A69*24))/F69,IF(D69="marché libre",(C69/(A69*24))/G69,"spécifier histo"))</f>
        <v>#REF!</v>
      </c>
      <c r="F69" s="9" t="e">
        <f aca="false">G69+#REF!</f>
        <v>#REF!</v>
      </c>
      <c r="G69" s="9" t="n">
        <v>850</v>
      </c>
      <c r="H69" s="9" t="n">
        <f aca="false">0</f>
        <v>0</v>
      </c>
      <c r="I69" s="9"/>
      <c r="J69" s="30"/>
      <c r="L69" s="35"/>
      <c r="M69" s="35"/>
      <c r="N69" s="35"/>
      <c r="O69" s="36"/>
      <c r="P69" s="36"/>
      <c r="Q69" s="36"/>
    </row>
    <row r="70" s="346" customFormat="true" ht="24.95" hidden="false" customHeight="true" outlineLevel="0" collapsed="false">
      <c r="A70" s="289" t="n">
        <v>31</v>
      </c>
      <c r="B70" s="551" t="n">
        <v>41275</v>
      </c>
      <c r="C70" s="289" t="n">
        <v>172301</v>
      </c>
      <c r="D70" s="29" t="s">
        <v>41</v>
      </c>
      <c r="E70" s="33" t="e">
        <f aca="false">IF(D70="totale",(C70/(A70*24))/F70,IF(D70="marché libre",(C70/(A70*24))/G70,"spécifier histo"))</f>
        <v>#REF!</v>
      </c>
      <c r="F70" s="9" t="e">
        <f aca="false">G70+#REF!</f>
        <v>#REF!</v>
      </c>
      <c r="G70" s="9" t="n">
        <v>850</v>
      </c>
      <c r="H70" s="9" t="n">
        <f aca="false">0</f>
        <v>0</v>
      </c>
      <c r="I70" s="42"/>
      <c r="J70" s="30"/>
      <c r="L70" s="43"/>
      <c r="M70" s="43"/>
      <c r="N70" s="43"/>
      <c r="O70" s="552"/>
      <c r="P70" s="552"/>
      <c r="Q70" s="552"/>
    </row>
    <row r="71" customFormat="false" ht="24.95" hidden="false" customHeight="true" outlineLevel="0" collapsed="false">
      <c r="A71" s="0" t="n">
        <v>28</v>
      </c>
      <c r="B71" s="34" t="n">
        <v>41306</v>
      </c>
      <c r="C71" s="0" t="n">
        <v>269081</v>
      </c>
      <c r="D71" s="29" t="s">
        <v>41</v>
      </c>
      <c r="E71" s="33" t="e">
        <f aca="false">IF(D71="totale",(C71/(A71*24))/F71,IF(D71="marché libre",(C71/(A71*24))/G71,"spécifier histo"))</f>
        <v>#REF!</v>
      </c>
      <c r="F71" s="9" t="e">
        <f aca="false">G71+#REF!</f>
        <v>#REF!</v>
      </c>
      <c r="G71" s="9" t="n">
        <v>850</v>
      </c>
      <c r="H71" s="9" t="n">
        <f aca="false">0</f>
        <v>0</v>
      </c>
      <c r="I71" s="9"/>
      <c r="J71" s="30"/>
      <c r="L71" s="43"/>
      <c r="M71" s="44"/>
      <c r="N71" s="44"/>
      <c r="O71" s="45"/>
      <c r="P71" s="46"/>
      <c r="Q71" s="46"/>
    </row>
    <row r="72" customFormat="false" ht="24.95" hidden="false" customHeight="true" outlineLevel="0" collapsed="false">
      <c r="A72" s="0" t="n">
        <v>31</v>
      </c>
      <c r="B72" s="31" t="n">
        <v>41334</v>
      </c>
      <c r="C72" s="0" t="n">
        <v>486102</v>
      </c>
      <c r="D72" s="29" t="s">
        <v>41</v>
      </c>
      <c r="E72" s="33" t="e">
        <f aca="false">IF(D72="totale",(C72/(A72*24))/F72,IF(D72="marché libre",(C72/(A72*24))/G72,"spécifier histo"))</f>
        <v>#REF!</v>
      </c>
      <c r="F72" s="9" t="e">
        <f aca="false">G72+#REF!</f>
        <v>#REF!</v>
      </c>
      <c r="G72" s="9" t="n">
        <v>850</v>
      </c>
      <c r="H72" s="9" t="n">
        <f aca="false">0</f>
        <v>0</v>
      </c>
      <c r="I72" s="9"/>
      <c r="J72" s="30"/>
      <c r="L72" s="47"/>
      <c r="M72" s="47"/>
      <c r="N72" s="47"/>
      <c r="O72" s="36"/>
      <c r="P72" s="47"/>
      <c r="Q72" s="47"/>
    </row>
    <row r="73" customFormat="false" ht="24.95" hidden="false" customHeight="true" outlineLevel="0" collapsed="false">
      <c r="A73" s="0" t="n">
        <v>30</v>
      </c>
      <c r="B73" s="34" t="n">
        <v>41365</v>
      </c>
      <c r="C73" s="0" t="n">
        <v>563809</v>
      </c>
      <c r="D73" s="29" t="s">
        <v>41</v>
      </c>
      <c r="E73" s="33" t="e">
        <f aca="false">IF(D73="totale",(C73/(A73*24))/F73,IF(D73="marché libre",(C73/(A73*24))/G73,"spécifier histo"))</f>
        <v>#REF!</v>
      </c>
      <c r="F73" s="9" t="e">
        <f aca="false">G73+#REF!</f>
        <v>#REF!</v>
      </c>
      <c r="G73" s="9" t="n">
        <v>850</v>
      </c>
      <c r="H73" s="9" t="n">
        <f aca="false">0</f>
        <v>0</v>
      </c>
      <c r="I73" s="9"/>
      <c r="J73" s="30"/>
      <c r="L73" s="43"/>
      <c r="M73" s="43"/>
      <c r="N73" s="43"/>
      <c r="O73" s="36"/>
      <c r="P73" s="43"/>
      <c r="Q73" s="43"/>
    </row>
    <row r="74" customFormat="false" ht="24.95" hidden="false" customHeight="true" outlineLevel="0" collapsed="false">
      <c r="A74" s="0" t="n">
        <v>31</v>
      </c>
      <c r="B74" s="31" t="n">
        <v>41395</v>
      </c>
      <c r="C74" s="0" t="n">
        <v>615626</v>
      </c>
      <c r="D74" s="29" t="s">
        <v>41</v>
      </c>
      <c r="E74" s="33" t="e">
        <f aca="false">IF(D74="totale",(C74/(A74*24))/F74,IF(D74="marché libre",(C74/(A74*24))/G74,"spécifier histo"))</f>
        <v>#REF!</v>
      </c>
      <c r="F74" s="9" t="e">
        <f aca="false">G74+#REF!</f>
        <v>#REF!</v>
      </c>
      <c r="G74" s="9" t="n">
        <v>850</v>
      </c>
      <c r="H74" s="9" t="n">
        <f aca="false">0</f>
        <v>0</v>
      </c>
      <c r="I74" s="9"/>
      <c r="J74" s="30"/>
      <c r="L74" s="48"/>
      <c r="M74" s="49"/>
      <c r="N74" s="49"/>
      <c r="O74" s="36"/>
      <c r="P74" s="49"/>
      <c r="Q74" s="49"/>
      <c r="S74" s="0"/>
    </row>
    <row r="75" customFormat="false" ht="24.95" hidden="false" customHeight="true" outlineLevel="0" collapsed="false">
      <c r="A75" s="0" t="n">
        <v>30</v>
      </c>
      <c r="B75" s="34" t="n">
        <v>41426</v>
      </c>
      <c r="C75" s="0" t="n">
        <v>587538</v>
      </c>
      <c r="D75" s="29" t="s">
        <v>41</v>
      </c>
      <c r="E75" s="33" t="e">
        <f aca="false">IF(D75="totale",(C75/(A75*24))/F75,IF(D75="marché libre",(C75/(A75*24))/G75,"spécifier histo"))</f>
        <v>#REF!</v>
      </c>
      <c r="F75" s="9" t="e">
        <f aca="false">G75+#REF!</f>
        <v>#REF!</v>
      </c>
      <c r="G75" s="9" t="n">
        <v>850</v>
      </c>
      <c r="H75" s="9" t="n">
        <f aca="false">0</f>
        <v>0</v>
      </c>
      <c r="I75" s="9"/>
      <c r="J75" s="30"/>
      <c r="L75" s="48"/>
      <c r="M75" s="50"/>
      <c r="N75" s="50"/>
      <c r="O75" s="36"/>
      <c r="P75" s="50"/>
      <c r="Q75" s="50"/>
      <c r="S75" s="0"/>
    </row>
    <row r="76" customFormat="false" ht="24.95" hidden="false" customHeight="true" outlineLevel="0" collapsed="false">
      <c r="A76" s="0" t="n">
        <v>31</v>
      </c>
      <c r="B76" s="31" t="n">
        <v>41456</v>
      </c>
      <c r="C76" s="0" t="n">
        <v>339604</v>
      </c>
      <c r="D76" s="29" t="s">
        <v>41</v>
      </c>
      <c r="E76" s="33" t="n">
        <f aca="false">IF(D76="totale",(C76/(A76*24))/F76,IF(D76="marché libre",(C76/(A76*24))/G76,"spécifier histo"))</f>
        <v>0.537008222643896</v>
      </c>
      <c r="F76" s="9" t="n">
        <f aca="false">G76+H142</f>
        <v>850</v>
      </c>
      <c r="G76" s="9" t="n">
        <v>850</v>
      </c>
      <c r="H76" s="9" t="n">
        <f aca="false">0</f>
        <v>0</v>
      </c>
      <c r="I76" s="9"/>
      <c r="J76" s="30"/>
      <c r="L76" s="51"/>
      <c r="M76" s="49"/>
      <c r="N76" s="49"/>
      <c r="O76" s="36"/>
      <c r="P76" s="49"/>
      <c r="Q76" s="49"/>
      <c r="S76" s="0"/>
    </row>
    <row r="77" customFormat="false" ht="24.95" hidden="false" customHeight="true" outlineLevel="0" collapsed="false">
      <c r="A77" s="0" t="n">
        <v>31</v>
      </c>
      <c r="B77" s="34" t="n">
        <v>41487</v>
      </c>
      <c r="C77" s="0" t="n">
        <v>56816</v>
      </c>
      <c r="D77" s="29" t="s">
        <v>41</v>
      </c>
      <c r="E77" s="33" t="n">
        <f aca="false">IF(D77="totale",(C77/(A77*24))/F77,IF(D77="marché libre",(C77/(A77*24))/G77,"spécifier histo"))</f>
        <v>0.0898418722327641</v>
      </c>
      <c r="F77" s="9" t="n">
        <f aca="false">G77+H143</f>
        <v>850</v>
      </c>
      <c r="G77" s="9" t="n">
        <v>850</v>
      </c>
      <c r="H77" s="9" t="n">
        <f aca="false">0</f>
        <v>0</v>
      </c>
      <c r="I77" s="9"/>
      <c r="J77" s="30"/>
      <c r="L77" s="51"/>
      <c r="M77" s="49"/>
      <c r="N77" s="49"/>
      <c r="O77" s="36"/>
      <c r="P77" s="49"/>
      <c r="Q77" s="49"/>
      <c r="S77" s="0"/>
    </row>
    <row r="78" customFormat="false" ht="24.95" hidden="false" customHeight="true" outlineLevel="0" collapsed="false">
      <c r="A78" s="0" t="n">
        <v>30</v>
      </c>
      <c r="B78" s="31" t="n">
        <v>41518</v>
      </c>
      <c r="C78" s="0" t="n">
        <v>0</v>
      </c>
      <c r="D78" s="29" t="s">
        <v>41</v>
      </c>
      <c r="E78" s="33" t="n">
        <f aca="false">IF(D78="totale",(C78/(A78*24))/F78,IF(D78="marché libre",(C78/(A78*24))/G78,"spécifier histo"))</f>
        <v>0</v>
      </c>
      <c r="F78" s="9" t="n">
        <f aca="false">G78+H144</f>
        <v>850</v>
      </c>
      <c r="G78" s="9" t="n">
        <v>850</v>
      </c>
      <c r="H78" s="9" t="n">
        <f aca="false">0</f>
        <v>0</v>
      </c>
      <c r="I78" s="9"/>
      <c r="J78" s="30"/>
      <c r="L78" s="48"/>
      <c r="M78" s="49"/>
      <c r="N78" s="49"/>
      <c r="O78" s="36"/>
      <c r="P78" s="49"/>
      <c r="Q78" s="49"/>
      <c r="S78" s="0"/>
    </row>
    <row r="79" customFormat="false" ht="24.95" hidden="false" customHeight="true" outlineLevel="0" collapsed="false">
      <c r="A79" s="0" t="n">
        <v>31</v>
      </c>
      <c r="B79" s="34" t="n">
        <v>41548</v>
      </c>
      <c r="C79" s="0" t="n">
        <v>7478</v>
      </c>
      <c r="D79" s="29" t="s">
        <v>41</v>
      </c>
      <c r="E79" s="33" t="n">
        <f aca="false">IF(D79="totale",(C79/(A79*24))/F79,IF(D79="marché libre",(C79/(A79*24))/G79,"spécifier histo"))</f>
        <v>0.0118247944339026</v>
      </c>
      <c r="F79" s="9" t="n">
        <f aca="false">G79+H145</f>
        <v>850</v>
      </c>
      <c r="G79" s="9" t="n">
        <v>850</v>
      </c>
      <c r="H79" s="9" t="n">
        <f aca="false">0</f>
        <v>0</v>
      </c>
      <c r="I79" s="9"/>
      <c r="J79" s="30"/>
      <c r="L79" s="48"/>
      <c r="M79" s="49"/>
      <c r="N79" s="49"/>
      <c r="O79" s="36"/>
      <c r="P79" s="49"/>
      <c r="Q79" s="49"/>
      <c r="S79" s="0"/>
    </row>
    <row r="80" customFormat="false" ht="24.95" hidden="false" customHeight="true" outlineLevel="0" collapsed="false">
      <c r="A80" s="0" t="n">
        <v>30</v>
      </c>
      <c r="B80" s="31" t="n">
        <v>41579</v>
      </c>
      <c r="C80" s="0" t="n">
        <v>273306</v>
      </c>
      <c r="D80" s="29" t="s">
        <v>41</v>
      </c>
      <c r="E80" s="33" t="n">
        <f aca="false">IF(D80="totale",(C80/(A80*24))/F80,IF(D80="marché libre",(C80/(A80*24))/G80,"spécifier histo"))</f>
        <v>0.446578431372549</v>
      </c>
      <c r="F80" s="9" t="n">
        <f aca="false">G80+H146</f>
        <v>850</v>
      </c>
      <c r="G80" s="9" t="n">
        <v>850</v>
      </c>
      <c r="H80" s="9" t="n">
        <f aca="false">0</f>
        <v>0</v>
      </c>
      <c r="I80" s="9"/>
      <c r="J80" s="30"/>
      <c r="L80" s="48"/>
      <c r="M80" s="49"/>
      <c r="N80" s="49"/>
      <c r="O80" s="36"/>
      <c r="P80" s="49"/>
      <c r="Q80" s="49"/>
      <c r="S80" s="0"/>
    </row>
    <row r="81" customFormat="false" ht="24.95" hidden="false" customHeight="true" outlineLevel="0" collapsed="false">
      <c r="A81" s="0" t="n">
        <v>31</v>
      </c>
      <c r="B81" s="34" t="n">
        <v>41609</v>
      </c>
      <c r="C81" s="0" t="n">
        <v>220714</v>
      </c>
      <c r="D81" s="29" t="s">
        <v>41</v>
      </c>
      <c r="E81" s="33" t="n">
        <f aca="false">IF(D81="totale",(C81/(A81*24))/F81,IF(D81="marché libre",(C81/(A81*24))/G81,"spécifier histo"))</f>
        <v>0.349010120177103</v>
      </c>
      <c r="F81" s="9" t="n">
        <f aca="false">G81+H147</f>
        <v>850</v>
      </c>
      <c r="G81" s="9" t="n">
        <v>850</v>
      </c>
      <c r="H81" s="9" t="n">
        <f aca="false">0</f>
        <v>0</v>
      </c>
      <c r="I81" s="9"/>
      <c r="J81" s="30"/>
      <c r="L81" s="48"/>
      <c r="M81" s="49"/>
      <c r="N81" s="49"/>
      <c r="O81" s="36"/>
      <c r="P81" s="49"/>
      <c r="Q81" s="49"/>
      <c r="S81" s="0"/>
    </row>
    <row r="82" customFormat="false" ht="24.95" hidden="false" customHeight="true" outlineLevel="0" collapsed="false">
      <c r="A82" s="0" t="n">
        <v>31</v>
      </c>
      <c r="B82" s="31" t="n">
        <v>41640</v>
      </c>
      <c r="C82" s="0" t="n">
        <v>389088</v>
      </c>
      <c r="D82" s="29" t="s">
        <v>41</v>
      </c>
      <c r="E82" s="33" t="n">
        <f aca="false">IF(D82="totale",(C82/(A82*24))/F82,IF(D82="marché libre",(C82/(A82*24))/G82,"spécifier histo"))</f>
        <v>0.615256166982922</v>
      </c>
      <c r="F82" s="9" t="n">
        <f aca="false">G82+H148</f>
        <v>850</v>
      </c>
      <c r="G82" s="9" t="n">
        <v>850</v>
      </c>
      <c r="H82" s="9" t="n">
        <f aca="false">0</f>
        <v>0</v>
      </c>
      <c r="I82" s="9"/>
      <c r="J82" s="30"/>
      <c r="L82" s="51"/>
      <c r="M82" s="49"/>
      <c r="N82" s="49"/>
      <c r="O82" s="36"/>
      <c r="P82" s="49"/>
      <c r="Q82" s="49"/>
      <c r="S82" s="0"/>
    </row>
    <row r="83" customFormat="false" ht="24.95" hidden="false" customHeight="true" outlineLevel="0" collapsed="false">
      <c r="A83" s="0" t="n">
        <v>28</v>
      </c>
      <c r="B83" s="34" t="n">
        <v>41671</v>
      </c>
      <c r="C83" s="0" t="n">
        <v>308784</v>
      </c>
      <c r="D83" s="29" t="s">
        <v>41</v>
      </c>
      <c r="E83" s="33" t="n">
        <f aca="false">IF(D83="totale",(C83/(A83*24))/F83,IF(D83="marché libre",(C83/(A83*24))/G83,"spécifier histo"))</f>
        <v>0.540588235294118</v>
      </c>
      <c r="F83" s="9" t="n">
        <f aca="false">G83+H149</f>
        <v>850</v>
      </c>
      <c r="G83" s="9" t="n">
        <v>850</v>
      </c>
      <c r="H83" s="9" t="n">
        <f aca="false">0</f>
        <v>0</v>
      </c>
      <c r="I83" s="9"/>
      <c r="J83" s="30"/>
      <c r="L83" s="48"/>
      <c r="M83" s="49"/>
      <c r="N83" s="49"/>
      <c r="O83" s="36"/>
      <c r="P83" s="49"/>
      <c r="Q83" s="49"/>
      <c r="S83" s="0"/>
    </row>
    <row r="84" customFormat="false" ht="24.95" hidden="false" customHeight="true" outlineLevel="0" collapsed="false">
      <c r="A84" s="0" t="n">
        <v>31</v>
      </c>
      <c r="B84" s="31" t="n">
        <v>41699</v>
      </c>
      <c r="C84" s="0" t="n">
        <v>417313</v>
      </c>
      <c r="D84" s="29" t="s">
        <v>41</v>
      </c>
      <c r="E84" s="33" t="n">
        <f aca="false">IF(D84="totale",(C84/(A84*24))/F84,IF(D84="marché libre",(C84/(A84*24))/G84,"spécifier histo"))</f>
        <v>0.659887729285263</v>
      </c>
      <c r="F84" s="9" t="n">
        <f aca="false">G84+H150</f>
        <v>850</v>
      </c>
      <c r="G84" s="9" t="n">
        <v>850</v>
      </c>
      <c r="H84" s="9" t="n">
        <f aca="false">0</f>
        <v>0</v>
      </c>
      <c r="I84" s="9"/>
      <c r="J84" s="30"/>
      <c r="L84" s="48"/>
      <c r="M84" s="49"/>
      <c r="N84" s="49"/>
      <c r="O84" s="36"/>
      <c r="P84" s="49"/>
      <c r="Q84" s="49"/>
      <c r="S84" s="0"/>
    </row>
    <row r="85" customFormat="false" ht="24.95" hidden="false" customHeight="true" outlineLevel="0" collapsed="false">
      <c r="A85" s="0" t="n">
        <v>30</v>
      </c>
      <c r="B85" s="34" t="n">
        <v>41730</v>
      </c>
      <c r="C85" s="0" t="n">
        <v>582180</v>
      </c>
      <c r="D85" s="29" t="s">
        <v>41</v>
      </c>
      <c r="E85" s="33" t="n">
        <f aca="false">IF(D85="totale",(C85/(A85*24))/F85,IF(D85="marché libre",(C85/(A85*24))/G85,"spécifier histo"))</f>
        <v>0.951274509803922</v>
      </c>
      <c r="F85" s="9" t="n">
        <f aca="false">G85+H151</f>
        <v>850</v>
      </c>
      <c r="G85" s="9" t="n">
        <v>850</v>
      </c>
      <c r="H85" s="9" t="n">
        <f aca="false">0</f>
        <v>0</v>
      </c>
      <c r="I85" s="9"/>
      <c r="J85" s="30"/>
      <c r="L85" s="48"/>
      <c r="M85" s="49"/>
      <c r="N85" s="49"/>
      <c r="O85" s="36"/>
      <c r="P85" s="49"/>
      <c r="Q85" s="49"/>
      <c r="S85" s="0"/>
    </row>
    <row r="86" customFormat="false" ht="24.95" hidden="false" customHeight="true" outlineLevel="0" collapsed="false">
      <c r="A86" s="0" t="n">
        <v>31</v>
      </c>
      <c r="B86" s="31" t="n">
        <v>41760</v>
      </c>
      <c r="C86" s="0" t="n">
        <v>595259</v>
      </c>
      <c r="D86" s="29" t="s">
        <v>41</v>
      </c>
      <c r="E86" s="33" t="n">
        <f aca="false">IF(D86="totale",(C86/(A86*24))/F86,IF(D86="marché libre",(C86/(A86*24))/G86,"spécifier histo"))</f>
        <v>0.941269765970904</v>
      </c>
      <c r="F86" s="9" t="n">
        <f aca="false">G86+H152</f>
        <v>850</v>
      </c>
      <c r="G86" s="9" t="n">
        <v>850</v>
      </c>
      <c r="H86" s="9" t="n">
        <f aca="false">0</f>
        <v>0</v>
      </c>
      <c r="I86" s="9"/>
      <c r="J86" s="30"/>
      <c r="L86" s="48"/>
      <c r="M86" s="49"/>
      <c r="N86" s="49"/>
      <c r="O86" s="36"/>
      <c r="P86" s="49"/>
      <c r="Q86" s="49"/>
    </row>
    <row r="87" customFormat="false" ht="24.95" hidden="false" customHeight="true" outlineLevel="0" collapsed="false">
      <c r="A87" s="0" t="n">
        <v>30</v>
      </c>
      <c r="B87" s="34" t="n">
        <v>41791</v>
      </c>
      <c r="C87" s="0" t="n">
        <v>436588</v>
      </c>
      <c r="D87" s="29" t="s">
        <v>41</v>
      </c>
      <c r="E87" s="33" t="n">
        <f aca="false">IF(D87="totale",(C87/(A87*24))/F87,IF(D87="marché libre",(C87/(A87*24))/G87,"spécifier histo"))</f>
        <v>0.71337908496732</v>
      </c>
      <c r="F87" s="9" t="n">
        <f aca="false">G87+H153</f>
        <v>850</v>
      </c>
      <c r="G87" s="9" t="n">
        <v>850</v>
      </c>
      <c r="H87" s="9" t="n">
        <f aca="false">0</f>
        <v>0</v>
      </c>
      <c r="I87" s="9"/>
      <c r="J87" s="30"/>
      <c r="L87" s="52"/>
      <c r="M87" s="53"/>
      <c r="N87" s="53"/>
      <c r="O87" s="36"/>
      <c r="P87" s="53"/>
      <c r="Q87" s="53"/>
    </row>
    <row r="88" customFormat="false" ht="24.95" hidden="false" customHeight="true" outlineLevel="0" collapsed="false">
      <c r="A88" s="0" t="n">
        <v>31</v>
      </c>
      <c r="B88" s="31" t="n">
        <v>41821</v>
      </c>
      <c r="C88" s="0" t="n">
        <v>280756</v>
      </c>
      <c r="D88" s="29" t="s">
        <v>41</v>
      </c>
      <c r="E88" s="33" t="n">
        <f aca="false">IF(D88="totale",(C88/(A88*24))/F88,IF(D88="marché libre",(C88/(A88*24))/G88,"spécifier histo"))</f>
        <v>0.443953194180898</v>
      </c>
      <c r="F88" s="9" t="n">
        <f aca="false">G88+H154</f>
        <v>850</v>
      </c>
      <c r="G88" s="9" t="n">
        <v>850</v>
      </c>
      <c r="H88" s="9" t="n">
        <f aca="false">0</f>
        <v>0</v>
      </c>
      <c r="I88" s="9"/>
      <c r="J88" s="30"/>
      <c r="L88" s="36"/>
      <c r="M88" s="36"/>
      <c r="N88" s="36"/>
      <c r="O88" s="36"/>
      <c r="P88" s="36"/>
      <c r="Q88" s="36"/>
    </row>
    <row r="89" customFormat="false" ht="24.95" hidden="false" customHeight="true" outlineLevel="0" collapsed="false">
      <c r="A89" s="0" t="n">
        <v>31</v>
      </c>
      <c r="B89" s="34" t="n">
        <v>41852</v>
      </c>
      <c r="C89" s="0" t="n">
        <v>151264</v>
      </c>
      <c r="D89" s="29" t="s">
        <v>41</v>
      </c>
      <c r="E89" s="33" t="n">
        <f aca="false">IF(D89="totale",(C89/(A89*24))/F89,IF(D89="marché libre",(C89/(A89*24))/G89,"spécifier histo"))</f>
        <v>0.239190385831752</v>
      </c>
      <c r="F89" s="9" t="n">
        <f aca="false">G89+H155</f>
        <v>850</v>
      </c>
      <c r="G89" s="9" t="n">
        <v>850</v>
      </c>
      <c r="H89" s="9" t="n">
        <f aca="false">0</f>
        <v>0</v>
      </c>
      <c r="I89" s="9"/>
      <c r="J89" s="30"/>
      <c r="L89" s="36"/>
      <c r="M89" s="54"/>
      <c r="N89" s="36"/>
      <c r="O89" s="36"/>
      <c r="P89" s="36"/>
      <c r="Q89" s="36"/>
    </row>
    <row r="90" customFormat="false" ht="24.95" hidden="false" customHeight="true" outlineLevel="0" collapsed="false">
      <c r="A90" s="0" t="n">
        <v>30</v>
      </c>
      <c r="B90" s="31" t="n">
        <v>41883</v>
      </c>
      <c r="C90" s="0" t="n">
        <v>3433</v>
      </c>
      <c r="D90" s="29" t="s">
        <v>41</v>
      </c>
      <c r="E90" s="33" t="n">
        <f aca="false">IF(D90="totale",(C90/(A90*24))/F90,IF(D90="marché libre",(C90/(A90*24))/G90,"spécifier histo"))</f>
        <v>0.00560947712418301</v>
      </c>
      <c r="F90" s="9" t="n">
        <f aca="false">G90+H156</f>
        <v>850</v>
      </c>
      <c r="G90" s="9" t="n">
        <v>850</v>
      </c>
      <c r="H90" s="9" t="n">
        <f aca="false">0</f>
        <v>0</v>
      </c>
      <c r="I90" s="9"/>
      <c r="J90" s="30"/>
      <c r="L90" s="36"/>
      <c r="M90" s="36"/>
      <c r="N90" s="36"/>
      <c r="O90" s="36"/>
      <c r="P90" s="36"/>
      <c r="Q90" s="36"/>
    </row>
    <row r="91" customFormat="false" ht="24.95" hidden="false" customHeight="true" outlineLevel="0" collapsed="false">
      <c r="A91" s="0" t="n">
        <v>31</v>
      </c>
      <c r="B91" s="34" t="n">
        <v>41913</v>
      </c>
      <c r="C91" s="0" t="n">
        <v>0</v>
      </c>
      <c r="D91" s="29" t="s">
        <v>41</v>
      </c>
      <c r="E91" s="33" t="n">
        <f aca="false">IF(D91="totale",(C91/(A91*24))/F91,IF(D91="marché libre",(C91/(A91*24))/G91,"spécifier histo"))</f>
        <v>0</v>
      </c>
      <c r="F91" s="9" t="n">
        <f aca="false">G91+H157</f>
        <v>850</v>
      </c>
      <c r="G91" s="9" t="n">
        <v>850</v>
      </c>
      <c r="H91" s="9" t="n">
        <f aca="false">0</f>
        <v>0</v>
      </c>
      <c r="I91" s="9"/>
      <c r="J91" s="30"/>
      <c r="L91" s="43"/>
      <c r="M91" s="44"/>
      <c r="N91" s="44"/>
      <c r="O91" s="45"/>
      <c r="P91" s="46"/>
      <c r="Q91" s="46"/>
    </row>
    <row r="92" customFormat="false" ht="24.95" hidden="false" customHeight="true" outlineLevel="0" collapsed="false">
      <c r="A92" s="0" t="n">
        <v>30</v>
      </c>
      <c r="B92" s="31" t="n">
        <v>41944</v>
      </c>
      <c r="C92" s="0" t="n">
        <v>176</v>
      </c>
      <c r="D92" s="29" t="s">
        <v>41</v>
      </c>
      <c r="E92" s="33" t="n">
        <f aca="false">IF(D92="totale",(C92/(A92*24))/F92,IF(D92="marché libre",(C92/(A92*24))/G92,"spécifier histo"))</f>
        <v>0.000287581699346405</v>
      </c>
      <c r="F92" s="9" t="n">
        <f aca="false">G92+H158</f>
        <v>850</v>
      </c>
      <c r="G92" s="9" t="n">
        <v>850</v>
      </c>
      <c r="H92" s="9" t="n">
        <f aca="false">0</f>
        <v>0</v>
      </c>
      <c r="I92" s="55"/>
      <c r="J92" s="55"/>
      <c r="L92" s="47"/>
      <c r="M92" s="47"/>
      <c r="N92" s="47"/>
      <c r="O92" s="36"/>
      <c r="P92" s="47"/>
      <c r="Q92" s="47"/>
    </row>
    <row r="93" customFormat="false" ht="24.95" hidden="false" customHeight="true" outlineLevel="0" collapsed="false">
      <c r="A93" s="0" t="n">
        <v>31</v>
      </c>
      <c r="B93" s="34" t="n">
        <v>41974</v>
      </c>
      <c r="C93" s="0" t="n">
        <v>201302</v>
      </c>
      <c r="D93" s="29" t="s">
        <v>41</v>
      </c>
      <c r="E93" s="33" t="n">
        <f aca="false">IF(D93="totale",(C93/(A93*24))/F93,IF(D93="marché libre",(C93/(A93*24))/G93,"spécifier histo"))</f>
        <v>0.318314358001265</v>
      </c>
      <c r="F93" s="9" t="n">
        <f aca="false">G93+H159</f>
        <v>850</v>
      </c>
      <c r="G93" s="9" t="n">
        <v>850</v>
      </c>
      <c r="H93" s="9" t="n">
        <f aca="false">0</f>
        <v>0</v>
      </c>
      <c r="I93" s="55"/>
      <c r="J93" s="55"/>
      <c r="L93" s="43"/>
      <c r="M93" s="43"/>
      <c r="N93" s="43"/>
      <c r="O93" s="36"/>
      <c r="P93" s="43"/>
      <c r="Q93" s="43"/>
    </row>
    <row r="94" customFormat="false" ht="24.95" hidden="false" customHeight="true" outlineLevel="0" collapsed="false">
      <c r="A94" s="0" t="n">
        <v>31</v>
      </c>
      <c r="B94" s="31" t="n">
        <v>42005</v>
      </c>
      <c r="C94" s="0" t="n">
        <v>99773</v>
      </c>
      <c r="D94" s="29" t="s">
        <v>42</v>
      </c>
      <c r="E94" s="33" t="n">
        <f aca="false">IF(D94="totale",(C94/(A94*24))/F94,IF(D94="marché libre",(C94/(A94*24))/G94,"spécifier histo"))</f>
        <v>0.157768817204301</v>
      </c>
      <c r="F94" s="9" t="n">
        <f aca="false">G94+H160</f>
        <v>850</v>
      </c>
      <c r="G94" s="9" t="n">
        <v>850</v>
      </c>
      <c r="H94" s="9" t="n">
        <f aca="false">0</f>
        <v>0</v>
      </c>
      <c r="I94" s="55"/>
      <c r="J94" s="55"/>
      <c r="L94" s="47"/>
      <c r="M94" s="47"/>
      <c r="N94" s="47"/>
      <c r="O94" s="36"/>
      <c r="P94" s="47"/>
      <c r="Q94" s="47"/>
    </row>
    <row r="95" customFormat="false" ht="19.85" hidden="false" customHeight="true" outlineLevel="0" collapsed="false">
      <c r="A95" s="0" t="n">
        <v>28</v>
      </c>
      <c r="B95" s="34" t="n">
        <v>42036</v>
      </c>
      <c r="C95" s="0" t="n">
        <v>156422</v>
      </c>
      <c r="D95" s="57" t="s">
        <v>42</v>
      </c>
      <c r="E95" s="33" t="n">
        <f aca="false">IF(D95="totale",(C95/(A95*24))/F95,IF(D95="marché libre",(C95/(A95*24))/G95,"spécifier histo"))</f>
        <v>0.273848039215686</v>
      </c>
      <c r="F95" s="9" t="n">
        <f aca="false">G95+H161</f>
        <v>850</v>
      </c>
      <c r="G95" s="9" t="n">
        <v>850</v>
      </c>
      <c r="H95" s="9" t="n">
        <f aca="false">0</f>
        <v>0</v>
      </c>
      <c r="I95" s="55"/>
      <c r="J95" s="55"/>
      <c r="L95" s="48"/>
      <c r="M95" s="50"/>
      <c r="N95" s="50"/>
      <c r="O95" s="36"/>
      <c r="P95" s="50"/>
      <c r="Q95" s="50"/>
      <c r="S95" s="0"/>
    </row>
    <row r="96" customFormat="false" ht="19.85" hidden="false" customHeight="true" outlineLevel="0" collapsed="false">
      <c r="A96" s="0" t="n">
        <v>31</v>
      </c>
      <c r="B96" s="31" t="n">
        <v>42064</v>
      </c>
      <c r="C96" s="0" t="n">
        <v>542030</v>
      </c>
      <c r="D96" s="57" t="s">
        <v>42</v>
      </c>
      <c r="E96" s="33" t="n">
        <f aca="false">IF(D96="totale",(C96/(A96*24))/F96,IF(D96="marché libre",(C96/(A96*24))/G96,"spécifier histo"))</f>
        <v>0.857099936748893</v>
      </c>
      <c r="F96" s="9" t="n">
        <f aca="false">G96+H162</f>
        <v>850</v>
      </c>
      <c r="G96" s="9" t="n">
        <v>850</v>
      </c>
      <c r="H96" s="9" t="n">
        <f aca="false">0</f>
        <v>0</v>
      </c>
      <c r="J96" s="55"/>
      <c r="L96" s="51"/>
      <c r="M96" s="49"/>
      <c r="N96" s="49"/>
      <c r="O96" s="36"/>
      <c r="P96" s="49"/>
      <c r="Q96" s="49"/>
      <c r="S96" s="0"/>
    </row>
    <row r="97" customFormat="false" ht="19.85" hidden="false" customHeight="true" outlineLevel="0" collapsed="false">
      <c r="A97" s="0" t="n">
        <v>30</v>
      </c>
      <c r="B97" s="34" t="n">
        <v>42095</v>
      </c>
      <c r="C97" s="0" t="n">
        <v>581781</v>
      </c>
      <c r="D97" s="57" t="s">
        <v>42</v>
      </c>
      <c r="E97" s="33" t="n">
        <f aca="false">IF(D97="totale",(C97/(A97*24))/F97,IF(D97="marché libre",(C97/(A97*24))/G97,"spécifier histo"))</f>
        <v>0.950622549019608</v>
      </c>
      <c r="F97" s="9" t="n">
        <f aca="false">G97+H163</f>
        <v>850</v>
      </c>
      <c r="G97" s="9" t="n">
        <v>850</v>
      </c>
      <c r="H97" s="9" t="n">
        <f aca="false">0</f>
        <v>0</v>
      </c>
      <c r="J97" s="55"/>
      <c r="L97" s="51"/>
      <c r="M97" s="49"/>
      <c r="N97" s="49"/>
      <c r="O97" s="36"/>
      <c r="P97" s="49"/>
      <c r="Q97" s="49"/>
      <c r="S97" s="0"/>
    </row>
    <row r="98" customFormat="false" ht="19.85" hidden="false" customHeight="true" outlineLevel="0" collapsed="false">
      <c r="A98" s="0" t="n">
        <v>31</v>
      </c>
      <c r="B98" s="31" t="n">
        <v>42125</v>
      </c>
      <c r="C98" s="0" t="n">
        <v>504117</v>
      </c>
      <c r="D98" s="57" t="s">
        <v>42</v>
      </c>
      <c r="E98" s="33" t="n">
        <f aca="false">IF(D98="totale",(C98/(A98*24))/F98,IF(D98="marché libre",(C98/(A98*24))/G98,"spécifier histo"))</f>
        <v>0.797148956356736</v>
      </c>
      <c r="F98" s="9" t="n">
        <f aca="false">G98+H164</f>
        <v>850</v>
      </c>
      <c r="G98" s="9" t="n">
        <v>850</v>
      </c>
      <c r="H98" s="9" t="n">
        <f aca="false">0</f>
        <v>0</v>
      </c>
      <c r="J98" s="55"/>
      <c r="L98" s="48"/>
      <c r="M98" s="49"/>
      <c r="N98" s="49"/>
      <c r="O98" s="36"/>
      <c r="P98" s="49"/>
      <c r="Q98" s="49"/>
      <c r="S98" s="0"/>
    </row>
    <row r="99" customFormat="false" ht="19.85" hidden="false" customHeight="true" outlineLevel="0" collapsed="false">
      <c r="A99" s="0" t="n">
        <v>30</v>
      </c>
      <c r="B99" s="34" t="n">
        <v>42156</v>
      </c>
      <c r="C99" s="0" t="n">
        <v>220945</v>
      </c>
      <c r="D99" s="57" t="s">
        <v>42</v>
      </c>
      <c r="E99" s="33" t="n">
        <f aca="false">IF(D99="totale",(C99/(A99*24))/F99,IF(D99="marché libre",(C99/(A99*24))/G99,"spécifier histo"))</f>
        <v>0.361021241830065</v>
      </c>
      <c r="F99" s="9" t="n">
        <f aca="false">G99+H165</f>
        <v>850</v>
      </c>
      <c r="G99" s="9" t="n">
        <v>850</v>
      </c>
      <c r="H99" s="9" t="n">
        <f aca="false">0</f>
        <v>0</v>
      </c>
      <c r="J99" s="55"/>
      <c r="L99" s="48"/>
      <c r="M99" s="49"/>
      <c r="N99" s="49"/>
      <c r="O99" s="36"/>
      <c r="P99" s="49"/>
      <c r="Q99" s="49"/>
      <c r="S99" s="0"/>
    </row>
    <row r="100" customFormat="false" ht="19.85" hidden="false" customHeight="true" outlineLevel="0" collapsed="false">
      <c r="A100" s="0" t="n">
        <v>31</v>
      </c>
      <c r="B100" s="31" t="n">
        <v>42186</v>
      </c>
      <c r="C100" s="0" t="n">
        <v>34701</v>
      </c>
      <c r="D100" s="57" t="s">
        <v>42</v>
      </c>
      <c r="E100" s="33" t="n">
        <f aca="false">IF(D100="totale",(C100/(A100*24))/F100,IF(D100="marché libre",(C100/(A100*24))/G100,"spécifier histo"))</f>
        <v>0.0548719165085389</v>
      </c>
      <c r="F100" s="9" t="n">
        <f aca="false">G100+H166</f>
        <v>850</v>
      </c>
      <c r="G100" s="9" t="n">
        <v>850</v>
      </c>
      <c r="H100" s="9" t="n">
        <f aca="false">0</f>
        <v>0</v>
      </c>
      <c r="J100" s="55"/>
      <c r="L100" s="48"/>
      <c r="M100" s="49"/>
      <c r="N100" s="49"/>
      <c r="O100" s="36"/>
      <c r="P100" s="49"/>
      <c r="Q100" s="49"/>
      <c r="S100" s="0"/>
    </row>
    <row r="101" customFormat="false" ht="19.85" hidden="false" customHeight="true" outlineLevel="0" collapsed="false">
      <c r="A101" s="0" t="n">
        <v>31</v>
      </c>
      <c r="B101" s="34" t="n">
        <v>42217</v>
      </c>
      <c r="C101" s="0" t="n">
        <v>0</v>
      </c>
      <c r="D101" s="57" t="s">
        <v>42</v>
      </c>
      <c r="E101" s="33" t="n">
        <f aca="false">IF(D101="totale",(C101/(A101*24))/F101,IF(D101="marché libre",(C101/(A101*24))/G101,"spécifier histo"))</f>
        <v>0</v>
      </c>
      <c r="F101" s="9" t="n">
        <f aca="false">G101+H167</f>
        <v>850</v>
      </c>
      <c r="G101" s="9" t="n">
        <v>850</v>
      </c>
      <c r="H101" s="9" t="n">
        <f aca="false">0</f>
        <v>0</v>
      </c>
      <c r="J101" s="55"/>
      <c r="L101" s="48"/>
      <c r="M101" s="49"/>
      <c r="N101" s="49"/>
      <c r="O101" s="36"/>
      <c r="P101" s="49"/>
      <c r="Q101" s="49"/>
      <c r="R101" s="0"/>
      <c r="S101" s="0"/>
      <c r="T101" s="0"/>
    </row>
    <row r="102" customFormat="false" ht="19.85" hidden="false" customHeight="true" outlineLevel="0" collapsed="false">
      <c r="A102" s="0" t="n">
        <v>30</v>
      </c>
      <c r="B102" s="31" t="n">
        <v>42248</v>
      </c>
      <c r="C102" s="0" t="n">
        <v>0</v>
      </c>
      <c r="D102" s="57" t="s">
        <v>42</v>
      </c>
      <c r="E102" s="33" t="n">
        <f aca="false">IF(D102="totale",(C102/(A102*24))/F102,IF(D102="marché libre",(C102/(A102*24))/G102,"spécifier histo"))</f>
        <v>0</v>
      </c>
      <c r="F102" s="9" t="n">
        <f aca="false">G102+H168</f>
        <v>850</v>
      </c>
      <c r="G102" s="9" t="n">
        <v>850</v>
      </c>
      <c r="H102" s="9" t="n">
        <f aca="false">0</f>
        <v>0</v>
      </c>
      <c r="J102" s="55"/>
      <c r="L102" s="51"/>
      <c r="M102" s="49"/>
      <c r="N102" s="49"/>
      <c r="O102" s="36"/>
      <c r="P102" s="49"/>
      <c r="Q102" s="49"/>
      <c r="R102" s="0"/>
      <c r="S102" s="0"/>
      <c r="T102" s="0"/>
    </row>
    <row r="103" customFormat="false" ht="19.85" hidden="false" customHeight="true" outlineLevel="0" collapsed="false">
      <c r="A103" s="0" t="n">
        <v>31</v>
      </c>
      <c r="B103" s="34" t="n">
        <v>42278</v>
      </c>
      <c r="C103" s="0" t="n">
        <v>23734</v>
      </c>
      <c r="D103" s="57" t="s">
        <v>42</v>
      </c>
      <c r="E103" s="33" t="n">
        <f aca="false">IF(D103="totale",(C103/(A103*24))/F103,IF(D103="marché libre",(C103/(A103*24))/G103,"spécifier histo"))</f>
        <v>0.0375300442757748</v>
      </c>
      <c r="F103" s="9" t="n">
        <f aca="false">G103+H169</f>
        <v>850</v>
      </c>
      <c r="G103" s="9" t="n">
        <v>850</v>
      </c>
      <c r="H103" s="9" t="n">
        <f aca="false">0</f>
        <v>0</v>
      </c>
      <c r="J103" s="55"/>
      <c r="K103" s="55"/>
      <c r="L103" s="48"/>
      <c r="M103" s="49"/>
      <c r="N103" s="49"/>
      <c r="O103" s="36"/>
      <c r="P103" s="49"/>
      <c r="Q103" s="49"/>
      <c r="R103" s="0"/>
      <c r="S103" s="0"/>
      <c r="T103" s="0"/>
    </row>
    <row r="104" customFormat="false" ht="19.85" hidden="false" customHeight="true" outlineLevel="0" collapsed="false">
      <c r="A104" s="0" t="n">
        <v>30</v>
      </c>
      <c r="B104" s="31" t="n">
        <v>42309</v>
      </c>
      <c r="C104" s="0" t="n">
        <v>87514</v>
      </c>
      <c r="D104" s="57" t="s">
        <v>42</v>
      </c>
      <c r="E104" s="33" t="n">
        <f aca="false">IF(D104="totale",(C104/(A104*24))/F104,IF(D104="marché libre",(C104/(A104*24))/G104,"spécifier histo"))</f>
        <v>0.142996732026144</v>
      </c>
      <c r="F104" s="9" t="n">
        <f aca="false">G104+H170</f>
        <v>850</v>
      </c>
      <c r="G104" s="9" t="n">
        <v>850</v>
      </c>
      <c r="H104" s="9" t="n">
        <f aca="false">0</f>
        <v>0</v>
      </c>
      <c r="J104" s="55"/>
      <c r="K104" s="55"/>
      <c r="L104" s="48"/>
      <c r="M104" s="49"/>
      <c r="N104" s="49"/>
      <c r="O104" s="36"/>
      <c r="P104" s="49"/>
      <c r="Q104" s="49"/>
      <c r="R104" s="0"/>
      <c r="S104" s="0"/>
      <c r="T104" s="0"/>
    </row>
    <row r="105" customFormat="false" ht="19.85" hidden="false" customHeight="true" outlineLevel="0" collapsed="false">
      <c r="A105" s="0" t="n">
        <v>31</v>
      </c>
      <c r="B105" s="34" t="n">
        <v>42339</v>
      </c>
      <c r="C105" s="0" t="n">
        <v>70836</v>
      </c>
      <c r="D105" s="57" t="s">
        <v>42</v>
      </c>
      <c r="E105" s="33" t="n">
        <f aca="false">IF(D105="totale",(C105/(A105*24))/F105,IF(D105="marché libre",(C105/(A105*24))/G105,"spécifier histo"))</f>
        <v>0.112011385199241</v>
      </c>
      <c r="F105" s="9" t="n">
        <f aca="false">G105+H171</f>
        <v>850</v>
      </c>
      <c r="G105" s="9" t="n">
        <v>850</v>
      </c>
      <c r="H105" s="9" t="n">
        <f aca="false">0</f>
        <v>0</v>
      </c>
      <c r="J105" s="55"/>
      <c r="K105" s="55"/>
      <c r="L105" s="48"/>
      <c r="M105" s="49"/>
      <c r="N105" s="49"/>
      <c r="O105" s="36"/>
      <c r="P105" s="49"/>
      <c r="Q105" s="49"/>
      <c r="R105" s="0"/>
      <c r="S105" s="0"/>
      <c r="T105" s="0"/>
    </row>
    <row r="106" customFormat="false" ht="19.85" hidden="false" customHeight="true" outlineLevel="0" collapsed="false">
      <c r="A106" s="0" t="n">
        <v>31</v>
      </c>
      <c r="B106" s="31" t="n">
        <v>42370</v>
      </c>
      <c r="C106" s="0" t="n">
        <v>130626</v>
      </c>
      <c r="D106" s="57" t="s">
        <v>42</v>
      </c>
      <c r="E106" s="33" t="n">
        <f aca="false">IF(D106="totale",(C106/(A106*24))/F106,IF(D106="marché libre",(C106/(A106*24))/G106,"spécifier histo"))</f>
        <v>0.206555977229601</v>
      </c>
      <c r="F106" s="9" t="n">
        <f aca="false">G106+H172</f>
        <v>850</v>
      </c>
      <c r="G106" s="9" t="n">
        <v>850</v>
      </c>
      <c r="H106" s="9" t="n">
        <f aca="false">0</f>
        <v>0</v>
      </c>
      <c r="J106" s="55"/>
      <c r="K106" s="55"/>
      <c r="L106" s="48"/>
      <c r="M106" s="49"/>
      <c r="N106" s="49"/>
      <c r="O106" s="36"/>
      <c r="P106" s="49"/>
      <c r="Q106" s="49"/>
      <c r="R106" s="0"/>
      <c r="S106" s="0"/>
      <c r="T106" s="0"/>
    </row>
    <row r="107" customFormat="false" ht="19.85" hidden="false" customHeight="true" outlineLevel="0" collapsed="false">
      <c r="A107" s="0" t="n">
        <v>28</v>
      </c>
      <c r="B107" s="34" t="n">
        <v>42401</v>
      </c>
      <c r="C107" s="0" t="n">
        <v>221396</v>
      </c>
      <c r="D107" s="57" t="s">
        <v>42</v>
      </c>
      <c r="E107" s="33" t="n">
        <f aca="false">IF(D107="totale",(C107/(A107*24))/F107,IF(D107="marché libre",(C107/(A107*24))/G107,"spécifier histo"))</f>
        <v>0.387598039215686</v>
      </c>
      <c r="F107" s="9" t="n">
        <f aca="false">G107+H173</f>
        <v>850</v>
      </c>
      <c r="G107" s="9" t="n">
        <v>850</v>
      </c>
      <c r="H107" s="9" t="n">
        <f aca="false">0</f>
        <v>0</v>
      </c>
      <c r="J107" s="55"/>
      <c r="K107" s="55"/>
      <c r="L107" s="52"/>
      <c r="M107" s="53"/>
      <c r="N107" s="53"/>
      <c r="O107" s="36"/>
      <c r="P107" s="53"/>
      <c r="Q107" s="53"/>
      <c r="R107" s="0"/>
      <c r="S107" s="0"/>
      <c r="T107" s="0"/>
    </row>
    <row r="108" customFormat="false" ht="19.85" hidden="false" customHeight="true" outlineLevel="0" collapsed="false">
      <c r="A108" s="0" t="n">
        <v>31</v>
      </c>
      <c r="B108" s="31" t="n">
        <v>42430</v>
      </c>
      <c r="C108" s="0" t="n">
        <v>270934</v>
      </c>
      <c r="D108" s="57" t="s">
        <v>42</v>
      </c>
      <c r="E108" s="33" t="n">
        <f aca="false">IF(D108="totale",(C108/(A108*24))/F108,IF(D108="marché libre",(C108/(A108*24))/G108,"spécifier histo"))</f>
        <v>0.428421884882985</v>
      </c>
      <c r="F108" s="9" t="n">
        <f aca="false">G108+H174</f>
        <v>850</v>
      </c>
      <c r="G108" s="9" t="n">
        <v>850</v>
      </c>
      <c r="H108" s="9" t="n">
        <f aca="false">0</f>
        <v>0</v>
      </c>
      <c r="J108" s="55"/>
      <c r="K108" s="55"/>
      <c r="L108" s="0"/>
      <c r="M108" s="0"/>
      <c r="N108" s="0"/>
      <c r="O108" s="0"/>
      <c r="P108" s="0"/>
      <c r="Q108" s="0"/>
      <c r="R108" s="0"/>
      <c r="S108" s="0"/>
      <c r="T108" s="0"/>
    </row>
    <row r="109" customFormat="false" ht="19.85" hidden="false" customHeight="true" outlineLevel="0" collapsed="false">
      <c r="A109" s="0" t="n">
        <v>30</v>
      </c>
      <c r="B109" s="34" t="n">
        <v>42461</v>
      </c>
      <c r="C109" s="0" t="n">
        <v>446340</v>
      </c>
      <c r="D109" s="57" t="s">
        <v>42</v>
      </c>
      <c r="E109" s="33" t="n">
        <f aca="false">IF(D109="totale",(C109/(A109*24))/F109,IF(D109="marché libre",(C109/(A109*24))/G109,"spécifier histo"))</f>
        <v>0.729313725490196</v>
      </c>
      <c r="F109" s="9" t="n">
        <f aca="false">G109+H175</f>
        <v>850</v>
      </c>
      <c r="G109" s="9" t="n">
        <v>850</v>
      </c>
      <c r="H109" s="9" t="n">
        <f aca="false">0</f>
        <v>0</v>
      </c>
      <c r="J109" s="55"/>
      <c r="K109" s="55"/>
      <c r="L109" s="0"/>
      <c r="M109" s="0"/>
      <c r="N109" s="0"/>
      <c r="O109" s="0"/>
      <c r="P109" s="0"/>
      <c r="Q109" s="0"/>
      <c r="R109" s="0"/>
      <c r="S109" s="0"/>
      <c r="T109" s="0"/>
    </row>
    <row r="110" customFormat="false" ht="19.85" hidden="false" customHeight="true" outlineLevel="0" collapsed="false">
      <c r="A110" s="0" t="n">
        <v>31</v>
      </c>
      <c r="B110" s="31" t="n">
        <v>42491</v>
      </c>
      <c r="C110" s="0" t="n">
        <v>418573</v>
      </c>
      <c r="D110" s="57" t="s">
        <v>42</v>
      </c>
      <c r="E110" s="33" t="n">
        <f aca="false">IF(D110="totale",(C110/(A110*24))/F110,IF(D110="marché libre",(C110/(A110*24))/G110,"spécifier histo"))</f>
        <v>0.661880139152435</v>
      </c>
      <c r="F110" s="9" t="n">
        <f aca="false">G110+H176</f>
        <v>850</v>
      </c>
      <c r="G110" s="9" t="n">
        <v>850</v>
      </c>
      <c r="H110" s="9" t="n">
        <f aca="false">0</f>
        <v>0</v>
      </c>
      <c r="J110" s="55"/>
      <c r="K110" s="55"/>
      <c r="L110" s="0"/>
      <c r="M110" s="0"/>
      <c r="N110" s="0"/>
      <c r="O110" s="0"/>
      <c r="P110" s="0"/>
      <c r="Q110" s="0"/>
      <c r="R110" s="0"/>
      <c r="S110" s="0"/>
      <c r="T110" s="0"/>
    </row>
    <row r="111" customFormat="false" ht="19.85" hidden="false" customHeight="true" outlineLevel="0" collapsed="false">
      <c r="A111" s="0" t="n">
        <v>30</v>
      </c>
      <c r="B111" s="34" t="n">
        <v>42522</v>
      </c>
      <c r="C111" s="0" t="n">
        <v>174894</v>
      </c>
      <c r="D111" s="57" t="s">
        <v>42</v>
      </c>
      <c r="E111" s="33" t="n">
        <f aca="false">IF(D111="totale",(C111/(A111*24))/F111,IF(D111="marché libre",(C111/(A111*24))/G111,"spécifier histo"))</f>
        <v>0.285774509803922</v>
      </c>
      <c r="F111" s="9" t="n">
        <f aca="false">G111+H177</f>
        <v>850</v>
      </c>
      <c r="G111" s="9" t="n">
        <v>850</v>
      </c>
      <c r="H111" s="9" t="n">
        <f aca="false">0</f>
        <v>0</v>
      </c>
      <c r="I111" s="58"/>
      <c r="J111" s="55"/>
      <c r="K111" s="55"/>
      <c r="L111" s="0"/>
      <c r="M111" s="0"/>
      <c r="N111" s="0"/>
      <c r="O111" s="0"/>
      <c r="P111" s="0"/>
      <c r="Q111" s="0"/>
      <c r="R111" s="0"/>
      <c r="S111" s="0"/>
      <c r="T111" s="0"/>
    </row>
    <row r="112" customFormat="false" ht="19.85" hidden="false" customHeight="true" outlineLevel="0" collapsed="false">
      <c r="A112" s="0" t="n">
        <v>31</v>
      </c>
      <c r="B112" s="31" t="n">
        <v>42552</v>
      </c>
      <c r="C112" s="0" t="n">
        <v>103968</v>
      </c>
      <c r="D112" s="57" t="s">
        <v>42</v>
      </c>
      <c r="E112" s="33" t="n">
        <f aca="false">IF(D112="totale",(C112/(A112*24))/F112,IF(D112="marché libre",(C112/(A112*24))/G112,"spécifier histo"))</f>
        <v>0.164402277039848</v>
      </c>
      <c r="F112" s="9" t="n">
        <f aca="false">G112+H178</f>
        <v>850</v>
      </c>
      <c r="G112" s="9" t="n">
        <v>850</v>
      </c>
      <c r="H112" s="9" t="n">
        <f aca="false">0</f>
        <v>0</v>
      </c>
      <c r="I112" s="58"/>
      <c r="J112" s="55"/>
      <c r="K112" s="55"/>
      <c r="L112" s="0"/>
      <c r="M112" s="0"/>
      <c r="N112" s="0"/>
      <c r="O112" s="0"/>
      <c r="P112" s="0"/>
      <c r="Q112" s="0"/>
      <c r="R112" s="0"/>
      <c r="S112" s="0"/>
      <c r="T112" s="0"/>
    </row>
    <row r="113" customFormat="false" ht="19.85" hidden="false" customHeight="true" outlineLevel="0" collapsed="false">
      <c r="A113" s="0" t="n">
        <v>31</v>
      </c>
      <c r="B113" s="34" t="n">
        <v>42583</v>
      </c>
      <c r="C113" s="0" t="n">
        <v>3034</v>
      </c>
      <c r="D113" s="57" t="s">
        <v>42</v>
      </c>
      <c r="E113" s="33" t="n">
        <f aca="false">IF(D113="totale",(C113/(A113*24))/F113,IF(D113="marché libre",(C113/(A113*24))/G113,"spécifier histo"))</f>
        <v>0.00479759645793801</v>
      </c>
      <c r="F113" s="9" t="n">
        <f aca="false">G113+H179</f>
        <v>850</v>
      </c>
      <c r="G113" s="9" t="n">
        <v>850</v>
      </c>
      <c r="H113" s="9" t="n">
        <f aca="false">0</f>
        <v>0</v>
      </c>
      <c r="I113" s="58"/>
      <c r="J113" s="55"/>
      <c r="K113" s="55"/>
      <c r="L113" s="0"/>
      <c r="M113" s="0"/>
      <c r="N113" s="0"/>
      <c r="O113" s="0"/>
      <c r="P113" s="0"/>
      <c r="Q113" s="0"/>
      <c r="R113" s="0"/>
      <c r="S113" s="0"/>
      <c r="T113" s="0"/>
    </row>
    <row r="114" customFormat="false" ht="19.85" hidden="false" customHeight="true" outlineLevel="0" collapsed="false">
      <c r="A114" s="0" t="n">
        <v>30</v>
      </c>
      <c r="B114" s="31" t="n">
        <v>42614</v>
      </c>
      <c r="C114" s="0" t="n">
        <v>5</v>
      </c>
      <c r="D114" s="57" t="s">
        <v>42</v>
      </c>
      <c r="E114" s="33" t="n">
        <f aca="false">IF(D114="totale",(C114/(A114*24))/F114,IF(D114="marché libre",(C114/(A114*24))/G114,"spécifier histo"))</f>
        <v>8.16993464052288E-006</v>
      </c>
      <c r="F114" s="9" t="n">
        <f aca="false">G114+H180</f>
        <v>850</v>
      </c>
      <c r="G114" s="9" t="n">
        <v>850</v>
      </c>
      <c r="H114" s="9" t="n">
        <f aca="false">0</f>
        <v>0</v>
      </c>
      <c r="I114" s="58"/>
      <c r="J114" s="55"/>
      <c r="K114" s="55"/>
      <c r="L114" s="0"/>
      <c r="M114" s="0"/>
      <c r="N114" s="0"/>
      <c r="O114" s="0"/>
      <c r="P114" s="0"/>
      <c r="Q114" s="0"/>
      <c r="R114" s="0"/>
      <c r="S114" s="0"/>
      <c r="T114" s="0"/>
    </row>
    <row r="115" customFormat="false" ht="19.85" hidden="false" customHeight="true" outlineLevel="0" collapsed="false">
      <c r="A115" s="0" t="n">
        <v>31</v>
      </c>
      <c r="B115" s="34" t="n">
        <v>42644</v>
      </c>
      <c r="C115" s="0" t="n">
        <v>1131</v>
      </c>
      <c r="D115" s="57" t="s">
        <v>42</v>
      </c>
      <c r="E115" s="33" t="n">
        <f aca="false">IF(D115="totale",(C115/(A115*24))/F115,IF(D115="marché libre",(C115/(A115*24))/G115,"spécifier histo"))</f>
        <v>0.00178842504743833</v>
      </c>
      <c r="F115" s="9" t="n">
        <f aca="false">G115+H181</f>
        <v>850</v>
      </c>
      <c r="G115" s="9" t="n">
        <v>850</v>
      </c>
      <c r="H115" s="9" t="n">
        <f aca="false">0</f>
        <v>0</v>
      </c>
      <c r="I115" s="58"/>
      <c r="J115" s="55"/>
      <c r="K115" s="55"/>
      <c r="L115" s="0"/>
      <c r="M115" s="0"/>
      <c r="N115" s="0"/>
      <c r="O115" s="0"/>
      <c r="P115" s="0"/>
      <c r="Q115" s="0"/>
      <c r="R115" s="0"/>
      <c r="S115" s="0"/>
      <c r="T115" s="0"/>
    </row>
    <row r="116" customFormat="false" ht="19.85" hidden="false" customHeight="true" outlineLevel="0" collapsed="false">
      <c r="A116" s="0" t="n">
        <v>30</v>
      </c>
      <c r="B116" s="31" t="n">
        <v>42675</v>
      </c>
      <c r="C116" s="0" t="n">
        <v>46375</v>
      </c>
      <c r="D116" s="57" t="s">
        <v>42</v>
      </c>
      <c r="E116" s="33" t="n">
        <f aca="false">IF(D116="totale",(C116/(A116*24))/F116,IF(D116="marché libre",(C116/(A116*24))/G116,"spécifier histo"))</f>
        <v>0.0757761437908497</v>
      </c>
      <c r="F116" s="9" t="n">
        <f aca="false">G116+H182</f>
        <v>850</v>
      </c>
      <c r="G116" s="9" t="n">
        <v>850</v>
      </c>
      <c r="H116" s="9" t="n">
        <f aca="false">0</f>
        <v>0</v>
      </c>
      <c r="I116" s="58"/>
      <c r="J116" s="55"/>
      <c r="K116" s="55"/>
      <c r="L116" s="0"/>
      <c r="M116" s="0"/>
      <c r="N116" s="0"/>
      <c r="O116" s="0"/>
      <c r="P116" s="0"/>
      <c r="Q116" s="0"/>
      <c r="R116" s="0"/>
      <c r="S116" s="0"/>
      <c r="T116" s="0"/>
    </row>
    <row r="117" customFormat="false" ht="19.85" hidden="false" customHeight="true" outlineLevel="0" collapsed="false">
      <c r="A117" s="0" t="n">
        <v>31</v>
      </c>
      <c r="B117" s="34" t="n">
        <v>42705</v>
      </c>
      <c r="C117" s="0" t="n">
        <v>11739</v>
      </c>
      <c r="D117" s="57" t="s">
        <v>42</v>
      </c>
      <c r="E117" s="33" t="n">
        <f aca="false">IF(D117="totale",(C117/(A117*24))/F117,IF(D117="marché libre",(C117/(A117*24))/G117,"spécifier histo"))</f>
        <v>0.0185626185958254</v>
      </c>
      <c r="F117" s="9" t="n">
        <f aca="false">G117+H183</f>
        <v>850</v>
      </c>
      <c r="G117" s="9" t="n">
        <v>850</v>
      </c>
      <c r="H117" s="9" t="n">
        <f aca="false">0</f>
        <v>0</v>
      </c>
      <c r="I117" s="58"/>
      <c r="J117" s="55"/>
      <c r="K117" s="55"/>
      <c r="L117" s="0"/>
      <c r="O117" s="0"/>
      <c r="Q117" s="0"/>
    </row>
    <row r="118" customFormat="false" ht="19.85" hidden="false" customHeight="true" outlineLevel="0" collapsed="false">
      <c r="A118" s="0" t="n">
        <v>31</v>
      </c>
      <c r="B118" s="31" t="n">
        <v>42736</v>
      </c>
      <c r="C118" s="0" t="n">
        <v>0</v>
      </c>
      <c r="D118" s="57" t="s">
        <v>42</v>
      </c>
      <c r="E118" s="33" t="n">
        <f aca="false">IF(D118="totale",(C118/(A118*24))/F118,IF(D118="marché libre",(C118/(A118*24))/G118,"spécifier histo"))</f>
        <v>0</v>
      </c>
      <c r="F118" s="9" t="n">
        <f aca="false">G118+H184</f>
        <v>850</v>
      </c>
      <c r="G118" s="9" t="n">
        <v>850</v>
      </c>
      <c r="H118" s="9" t="n">
        <f aca="false">0</f>
        <v>0</v>
      </c>
      <c r="I118" s="58"/>
      <c r="J118" s="30"/>
      <c r="L118" s="0"/>
      <c r="O118" s="0"/>
      <c r="Q118" s="0"/>
    </row>
    <row r="119" customFormat="false" ht="19.85" hidden="false" customHeight="true" outlineLevel="0" collapsed="false">
      <c r="A119" s="0" t="n">
        <v>28</v>
      </c>
      <c r="B119" s="34" t="n">
        <v>42767</v>
      </c>
      <c r="C119" s="0" t="n">
        <v>193519</v>
      </c>
      <c r="D119" s="57" t="s">
        <v>42</v>
      </c>
      <c r="E119" s="33" t="n">
        <f aca="false">IF(D119="totale",(C119/(A119*24))/F119,IF(D119="marché libre",(C119/(A119*24))/G119,"spécifier histo"))</f>
        <v>0.338793767507003</v>
      </c>
      <c r="F119" s="9" t="n">
        <f aca="false">G119+H185</f>
        <v>850</v>
      </c>
      <c r="G119" s="9" t="n">
        <v>850</v>
      </c>
      <c r="H119" s="9" t="n">
        <f aca="false">0</f>
        <v>0</v>
      </c>
      <c r="I119" s="58"/>
      <c r="J119" s="55"/>
      <c r="L119" s="0"/>
      <c r="O119" s="0"/>
      <c r="Q119" s="0"/>
    </row>
    <row r="120" customFormat="false" ht="19.85" hidden="false" customHeight="true" outlineLevel="0" collapsed="false">
      <c r="A120" s="0" t="n">
        <v>31</v>
      </c>
      <c r="B120" s="31" t="n">
        <v>42795</v>
      </c>
      <c r="C120" s="0" t="n">
        <v>394908</v>
      </c>
      <c r="D120" s="57" t="s">
        <v>42</v>
      </c>
      <c r="E120" s="33" t="n">
        <f aca="false">IF(D120="totale",(C120/(A120*24))/F120,IF(D120="marché libre",(C120/(A120*24))/G120,"spécifier histo"))</f>
        <v>0.624459203036053</v>
      </c>
      <c r="F120" s="9" t="n">
        <f aca="false">G120+H186</f>
        <v>850</v>
      </c>
      <c r="G120" s="9" t="n">
        <v>850</v>
      </c>
      <c r="H120" s="9" t="n">
        <f aca="false">0</f>
        <v>0</v>
      </c>
      <c r="I120" s="58"/>
      <c r="J120" s="55"/>
      <c r="L120" s="0"/>
      <c r="O120" s="0"/>
      <c r="Q120" s="0"/>
    </row>
    <row r="121" customFormat="false" ht="19.85" hidden="false" customHeight="true" outlineLevel="0" collapsed="false">
      <c r="A121" s="0" t="n">
        <v>30</v>
      </c>
      <c r="B121" s="34" t="n">
        <v>42826</v>
      </c>
      <c r="C121" s="0" t="n">
        <v>399095</v>
      </c>
      <c r="D121" s="57" t="s">
        <v>42</v>
      </c>
      <c r="E121" s="33" t="n">
        <f aca="false">IF(D121="totale",(C121/(A121*24))/F121,IF(D121="marché libre",(C121/(A121*24))/G121,"spécifier histo"))</f>
        <v>0.652116013071895</v>
      </c>
      <c r="F121" s="9" t="n">
        <f aca="false">G121+H187</f>
        <v>850</v>
      </c>
      <c r="G121" s="9" t="n">
        <v>850</v>
      </c>
      <c r="H121" s="9" t="n">
        <f aca="false">0</f>
        <v>0</v>
      </c>
      <c r="I121" s="58"/>
      <c r="J121" s="55"/>
      <c r="L121" s="0"/>
      <c r="O121" s="0"/>
      <c r="Q121" s="0"/>
    </row>
    <row r="122" customFormat="false" ht="19.85" hidden="false" customHeight="true" outlineLevel="0" collapsed="false">
      <c r="A122" s="0" t="n">
        <v>31</v>
      </c>
      <c r="B122" s="31" t="n">
        <v>42856</v>
      </c>
      <c r="C122" s="0" t="n">
        <v>445611</v>
      </c>
      <c r="D122" s="57" t="s">
        <v>42</v>
      </c>
      <c r="E122" s="33" t="n">
        <f aca="false">IF(D122="totale",(C122/(A122*24))/F122,IF(D122="marché libre",(C122/(A122*24))/G122,"spécifier histo"))</f>
        <v>0.704634724857685</v>
      </c>
      <c r="F122" s="9" t="n">
        <f aca="false">G122+H188</f>
        <v>850</v>
      </c>
      <c r="G122" s="9" t="n">
        <v>850</v>
      </c>
      <c r="H122" s="9" t="n">
        <f aca="false">0</f>
        <v>0</v>
      </c>
      <c r="I122" s="58"/>
      <c r="J122" s="55"/>
      <c r="L122" s="0"/>
      <c r="O122" s="0"/>
      <c r="Q122" s="0"/>
    </row>
    <row r="123" customFormat="false" ht="22.45" hidden="false" customHeight="true" outlineLevel="0" collapsed="false">
      <c r="A123" s="0" t="n">
        <v>30</v>
      </c>
      <c r="B123" s="34" t="n">
        <v>42887</v>
      </c>
      <c r="C123" s="0" t="n">
        <v>233354</v>
      </c>
      <c r="D123" s="57" t="s">
        <v>42</v>
      </c>
      <c r="E123" s="33" t="n">
        <f aca="false">IF(D123="totale",(C123/(A123*24))/F123,IF(D123="marché libre",(C123/(A123*24))/G123,"spécifier histo"))</f>
        <v>0.381297385620915</v>
      </c>
      <c r="F123" s="9" t="n">
        <f aca="false">G123+H189</f>
        <v>850</v>
      </c>
      <c r="G123" s="9" t="n">
        <v>850</v>
      </c>
      <c r="H123" s="9" t="n">
        <f aca="false">0</f>
        <v>0</v>
      </c>
      <c r="I123" s="58"/>
      <c r="J123" s="55"/>
      <c r="L123" s="0"/>
      <c r="O123" s="0"/>
      <c r="Q123" s="0"/>
    </row>
    <row r="124" customFormat="false" ht="21.65" hidden="false" customHeight="true" outlineLevel="0" collapsed="false">
      <c r="A124" s="0" t="n">
        <v>31</v>
      </c>
      <c r="B124" s="31" t="n">
        <v>42917</v>
      </c>
      <c r="C124" s="0" t="n">
        <v>12596</v>
      </c>
      <c r="D124" s="57" t="s">
        <v>42</v>
      </c>
      <c r="E124" s="33" t="n">
        <f aca="false">IF(D124="totale",(C124/(A124*24))/F124,IF(D124="marché libre",(C124/(A124*24))/G124,"spécifier histo"))</f>
        <v>0.0199177735610373</v>
      </c>
      <c r="F124" s="9" t="n">
        <f aca="false">G124+H190</f>
        <v>850</v>
      </c>
      <c r="G124" s="9" t="n">
        <v>850</v>
      </c>
      <c r="H124" s="9" t="n">
        <f aca="false">0</f>
        <v>0</v>
      </c>
      <c r="I124" s="58"/>
      <c r="J124" s="55"/>
      <c r="L124" s="0"/>
      <c r="O124" s="0"/>
      <c r="Q124" s="0"/>
    </row>
    <row r="125" customFormat="false" ht="21.65" hidden="false" customHeight="true" outlineLevel="0" collapsed="false">
      <c r="A125" s="0" t="n">
        <v>31</v>
      </c>
      <c r="B125" s="34" t="n">
        <v>42948</v>
      </c>
      <c r="C125" s="0" t="n">
        <v>0</v>
      </c>
      <c r="D125" s="57" t="s">
        <v>42</v>
      </c>
      <c r="E125" s="33" t="n">
        <f aca="false">IF(D125="totale",(C125/(A125*24))/F125,IF(D125="marché libre",(C125/(A125*24))/G125,"spécifier histo"))</f>
        <v>0</v>
      </c>
      <c r="F125" s="9" t="n">
        <f aca="false">G125+H191</f>
        <v>850</v>
      </c>
      <c r="G125" s="9" t="n">
        <v>850</v>
      </c>
      <c r="H125" s="9" t="n">
        <f aca="false">0</f>
        <v>0</v>
      </c>
      <c r="I125" s="58"/>
      <c r="J125" s="55"/>
      <c r="L125" s="0"/>
      <c r="O125" s="0"/>
      <c r="Q125" s="0"/>
    </row>
    <row r="126" customFormat="false" ht="21.65" hidden="false" customHeight="true" outlineLevel="0" collapsed="false">
      <c r="A126" s="0" t="n">
        <v>30</v>
      </c>
      <c r="B126" s="31" t="n">
        <v>42979</v>
      </c>
      <c r="C126" s="0" t="n">
        <v>0</v>
      </c>
      <c r="D126" s="57" t="s">
        <v>42</v>
      </c>
      <c r="E126" s="33" t="n">
        <f aca="false">IF(D126="totale",(C126/(A126*24))/F126,IF(D126="marché libre",(C126/(A126*24))/G126,"spécifier histo"))</f>
        <v>0</v>
      </c>
      <c r="F126" s="9" t="n">
        <f aca="false">G126+H192</f>
        <v>850</v>
      </c>
      <c r="G126" s="9" t="n">
        <v>850</v>
      </c>
      <c r="H126" s="9" t="n">
        <f aca="false">0</f>
        <v>0</v>
      </c>
      <c r="J126" s="55"/>
      <c r="L126" s="0"/>
      <c r="O126" s="0"/>
      <c r="Q126" s="0"/>
    </row>
    <row r="127" customFormat="false" ht="21.65" hidden="false" customHeight="true" outlineLevel="0" collapsed="false">
      <c r="A127" s="0" t="n">
        <v>31</v>
      </c>
      <c r="B127" s="34" t="n">
        <v>43009</v>
      </c>
      <c r="C127" s="0" t="n">
        <v>2</v>
      </c>
      <c r="D127" s="57" t="s">
        <v>42</v>
      </c>
      <c r="E127" s="33" t="n">
        <f aca="false">IF(D127="totale",(C127/(A127*24))/F127,IF(D127="marché libre",(C127/(A127*24))/G127,"spécifier histo"))</f>
        <v>3.16255534471853E-006</v>
      </c>
      <c r="F127" s="9" t="n">
        <f aca="false">G127+H193</f>
        <v>850</v>
      </c>
      <c r="G127" s="9" t="n">
        <v>850</v>
      </c>
      <c r="H127" s="9" t="n">
        <f aca="false">0</f>
        <v>0</v>
      </c>
      <c r="J127" s="55"/>
      <c r="L127" s="0"/>
      <c r="O127" s="0"/>
      <c r="Q127" s="0"/>
    </row>
    <row r="128" customFormat="false" ht="21.65" hidden="false" customHeight="true" outlineLevel="0" collapsed="false">
      <c r="A128" s="0" t="n">
        <v>30</v>
      </c>
      <c r="B128" s="31" t="n">
        <v>43040</v>
      </c>
      <c r="C128" s="0" t="n">
        <v>5602</v>
      </c>
      <c r="D128" s="57" t="s">
        <v>42</v>
      </c>
      <c r="E128" s="33" t="n">
        <f aca="false">IF(D128="totale",(C128/(A128*24))/F128,IF(D128="marché libre",(C128/(A128*24))/G128,"spécifier histo"))</f>
        <v>0.00915359477124183</v>
      </c>
      <c r="F128" s="9" t="n">
        <f aca="false">G128+H194</f>
        <v>850</v>
      </c>
      <c r="G128" s="9" t="n">
        <v>850</v>
      </c>
      <c r="H128" s="9" t="n">
        <f aca="false">0</f>
        <v>0</v>
      </c>
      <c r="J128" s="55"/>
      <c r="L128" s="0"/>
      <c r="O128" s="0"/>
      <c r="Q128" s="0"/>
    </row>
    <row r="129" customFormat="false" ht="21.65" hidden="false" customHeight="true" outlineLevel="0" collapsed="false">
      <c r="A129" s="0" t="n">
        <v>31</v>
      </c>
      <c r="B129" s="34" t="n">
        <v>43070</v>
      </c>
      <c r="C129" s="0" t="n">
        <v>104697</v>
      </c>
      <c r="D129" s="57" t="s">
        <v>42</v>
      </c>
      <c r="E129" s="33" t="n">
        <f aca="false">IF(D129="totale",(C129/(A129*24))/F129,IF(D129="marché libre",(C129/(A129*24))/G129,"spécifier histo"))</f>
        <v>0.165555028462998</v>
      </c>
      <c r="F129" s="9" t="n">
        <f aca="false">G129+H195</f>
        <v>850</v>
      </c>
      <c r="G129" s="9" t="n">
        <v>850</v>
      </c>
      <c r="H129" s="9" t="n">
        <f aca="false">0</f>
        <v>0</v>
      </c>
      <c r="J129" s="55"/>
      <c r="L129" s="0"/>
      <c r="Q129" s="0"/>
    </row>
    <row r="130" customFormat="false" ht="28.35" hidden="false" customHeight="true" outlineLevel="0" collapsed="false">
      <c r="A130" s="0" t="n">
        <v>31</v>
      </c>
      <c r="B130" s="31" t="n">
        <v>43101</v>
      </c>
      <c r="C130" s="0" t="n">
        <v>396256</v>
      </c>
      <c r="D130" s="57" t="s">
        <v>42</v>
      </c>
      <c r="E130" s="33" t="n">
        <f aca="false">IF(D130="totale",(C130/(A130*24))/F130,IF(D130="marché libre",(C130/(A130*24))/G130,"spécifier histo"))</f>
        <v>0.626590765338393</v>
      </c>
      <c r="F130" s="9" t="n">
        <f aca="false">G130+H196</f>
        <v>850</v>
      </c>
      <c r="G130" s="9" t="n">
        <v>850</v>
      </c>
      <c r="H130" s="9" t="n">
        <f aca="false">0</f>
        <v>0</v>
      </c>
      <c r="J130" s="30"/>
      <c r="L130" s="0"/>
      <c r="Q130" s="0"/>
    </row>
    <row r="131" customFormat="false" ht="28.35" hidden="false" customHeight="true" outlineLevel="0" collapsed="false">
      <c r="A131" s="0" t="n">
        <v>28</v>
      </c>
      <c r="B131" s="34" t="n">
        <v>43132</v>
      </c>
      <c r="C131" s="0" t="n">
        <v>363801</v>
      </c>
      <c r="D131" s="57" t="s">
        <v>42</v>
      </c>
      <c r="E131" s="33" t="n">
        <f aca="false">IF(D131="totale",(C131/(A131*24))/F131,IF(D131="marché libre",(C131/(A131*24))/G131,"spécifier histo"))</f>
        <v>0.636906512605042</v>
      </c>
      <c r="F131" s="9" t="n">
        <f aca="false">G131+H197</f>
        <v>850</v>
      </c>
      <c r="G131" s="9" t="n">
        <v>850</v>
      </c>
      <c r="H131" s="9" t="n">
        <f aca="false">0</f>
        <v>0</v>
      </c>
      <c r="L131" s="0"/>
      <c r="Q131" s="0"/>
    </row>
    <row r="132" customFormat="false" ht="28.35" hidden="false" customHeight="true" outlineLevel="0" collapsed="false">
      <c r="A132" s="0" t="n">
        <v>31</v>
      </c>
      <c r="B132" s="31" t="n">
        <v>43160</v>
      </c>
      <c r="C132" s="0" t="n">
        <v>400890</v>
      </c>
      <c r="D132" s="57" t="s">
        <v>42</v>
      </c>
      <c r="E132" s="33" t="n">
        <f aca="false">IF(D132="totale",(C132/(A132*24))/F132,IF(D132="marché libre",(C132/(A132*24))/G132,"spécifier histo"))</f>
        <v>0.633918406072106</v>
      </c>
      <c r="F132" s="9" t="n">
        <f aca="false">G132+H198</f>
        <v>850</v>
      </c>
      <c r="G132" s="9" t="n">
        <v>850</v>
      </c>
      <c r="H132" s="9" t="n">
        <f aca="false">0</f>
        <v>0</v>
      </c>
      <c r="L132" s="0"/>
      <c r="Q132" s="0"/>
    </row>
    <row r="133" customFormat="false" ht="28.35" hidden="false" customHeight="true" outlineLevel="0" collapsed="false">
      <c r="A133" s="0" t="n">
        <v>30</v>
      </c>
      <c r="B133" s="34" t="n">
        <v>43191</v>
      </c>
      <c r="C133" s="0" t="n">
        <v>576938</v>
      </c>
      <c r="D133" s="57" t="s">
        <v>42</v>
      </c>
      <c r="E133" s="33" t="n">
        <f aca="false">IF(D133="totale",(C133/(A133*24))/F133,IF(D133="marché libre",(C133/(A133*24))/G133,"spécifier histo"))</f>
        <v>0.942709150326797</v>
      </c>
      <c r="F133" s="9" t="n">
        <f aca="false">G133+H199</f>
        <v>850</v>
      </c>
      <c r="G133" s="9" t="n">
        <v>850</v>
      </c>
      <c r="H133" s="9" t="n">
        <f aca="false">0</f>
        <v>0</v>
      </c>
      <c r="L133" s="0"/>
      <c r="Q133" s="0"/>
    </row>
    <row r="134" customFormat="false" ht="28.35" hidden="false" customHeight="true" outlineLevel="0" collapsed="false">
      <c r="A134" s="0" t="n">
        <v>31</v>
      </c>
      <c r="B134" s="31" t="n">
        <v>43221</v>
      </c>
      <c r="C134" s="0" t="n">
        <v>616874</v>
      </c>
      <c r="D134" s="57" t="s">
        <v>42</v>
      </c>
      <c r="E134" s="33" t="n">
        <f aca="false">IF(D134="totale",(C134/(A134*24))/F134,IF(D134="marché libre",(C134/(A134*24))/G134,"spécifier histo"))</f>
        <v>0.97544908285895</v>
      </c>
      <c r="F134" s="9" t="n">
        <f aca="false">G134+H200</f>
        <v>850</v>
      </c>
      <c r="G134" s="9" t="n">
        <v>850</v>
      </c>
      <c r="H134" s="9" t="n">
        <f aca="false">0</f>
        <v>0</v>
      </c>
      <c r="L134" s="0"/>
      <c r="Q134" s="0"/>
    </row>
    <row r="135" customFormat="false" ht="28.35" hidden="false" customHeight="true" outlineLevel="0" collapsed="false">
      <c r="A135" s="0" t="n">
        <v>30</v>
      </c>
      <c r="B135" s="34" t="n">
        <v>43252</v>
      </c>
      <c r="C135" s="0" t="n">
        <v>466974</v>
      </c>
      <c r="D135" s="57" t="s">
        <v>42</v>
      </c>
      <c r="E135" s="33" t="n">
        <f aca="false">IF(D135="totale",(C135/(A135*24))/F135,IF(D135="marché libre",(C135/(A135*24))/G135,"spécifier histo"))</f>
        <v>0.763029411764706</v>
      </c>
      <c r="F135" s="9" t="n">
        <f aca="false">G135+H201</f>
        <v>850</v>
      </c>
      <c r="G135" s="9" t="n">
        <v>850</v>
      </c>
      <c r="H135" s="9" t="n">
        <f aca="false">0</f>
        <v>0</v>
      </c>
      <c r="L135" s="0"/>
      <c r="Q135" s="0"/>
    </row>
    <row r="136" customFormat="false" ht="28.35" hidden="false" customHeight="true" outlineLevel="0" collapsed="false">
      <c r="A136" s="0" t="n">
        <v>31</v>
      </c>
      <c r="B136" s="31" t="n">
        <v>43282</v>
      </c>
      <c r="C136" s="0" t="n">
        <v>51580</v>
      </c>
      <c r="D136" s="57" t="s">
        <v>42</v>
      </c>
      <c r="E136" s="33" t="n">
        <f aca="false">IF(D136="totale",(C136/(A136*24))/F136,IF(D136="marché libre",(C136/(A136*24))/G136,"spécifier histo"))</f>
        <v>0.081562302340291</v>
      </c>
      <c r="F136" s="9" t="n">
        <f aca="false">G136+H202</f>
        <v>850</v>
      </c>
      <c r="G136" s="9" t="n">
        <v>850</v>
      </c>
      <c r="H136" s="9" t="n">
        <f aca="false">0</f>
        <v>0</v>
      </c>
      <c r="L136" s="0"/>
      <c r="Q136" s="0"/>
    </row>
    <row r="137" customFormat="false" ht="28.35" hidden="false" customHeight="true" outlineLevel="0" collapsed="false">
      <c r="A137" s="0" t="n">
        <v>31</v>
      </c>
      <c r="B137" s="34" t="n">
        <v>43313</v>
      </c>
      <c r="C137" s="0" t="n">
        <v>0</v>
      </c>
      <c r="D137" s="57" t="s">
        <v>42</v>
      </c>
      <c r="E137" s="33" t="n">
        <f aca="false">IF(D137="totale",(C137/(A137*24))/F137,IF(D137="marché libre",(C137/(A137*24))/G137,"spécifier histo"))</f>
        <v>0</v>
      </c>
      <c r="F137" s="9" t="n">
        <f aca="false">G137+H203</f>
        <v>850</v>
      </c>
      <c r="G137" s="9" t="n">
        <v>850</v>
      </c>
      <c r="H137" s="9" t="n">
        <f aca="false">0</f>
        <v>0</v>
      </c>
      <c r="L137" s="0"/>
      <c r="Q137" s="0"/>
    </row>
    <row r="138" customFormat="false" ht="28.35" hidden="false" customHeight="true" outlineLevel="0" collapsed="false">
      <c r="A138" s="0" t="n">
        <v>30</v>
      </c>
      <c r="B138" s="31" t="n">
        <v>43344</v>
      </c>
      <c r="C138" s="0" t="n">
        <v>0</v>
      </c>
      <c r="D138" s="57" t="s">
        <v>42</v>
      </c>
      <c r="E138" s="33" t="n">
        <f aca="false">IF(D138="totale",(C138/(A138*24))/F138,IF(D138="marché libre",(C138/(A138*24))/G138,"spécifier histo"))</f>
        <v>0</v>
      </c>
      <c r="F138" s="9" t="n">
        <f aca="false">G138+H204</f>
        <v>850</v>
      </c>
      <c r="G138" s="9" t="n">
        <v>850</v>
      </c>
      <c r="H138" s="9" t="n">
        <f aca="false">0</f>
        <v>0</v>
      </c>
      <c r="L138" s="0"/>
      <c r="Q138" s="0"/>
    </row>
    <row r="139" customFormat="false" ht="28.35" hidden="false" customHeight="true" outlineLevel="0" collapsed="false">
      <c r="A139" s="0" t="n">
        <v>31</v>
      </c>
      <c r="B139" s="34" t="n">
        <v>43374</v>
      </c>
      <c r="C139" s="0" t="n">
        <v>1397</v>
      </c>
      <c r="D139" s="57" t="s">
        <v>42</v>
      </c>
      <c r="E139" s="33" t="n">
        <f aca="false">IF(D139="totale",(C139/(A139*24))/F139,IF(D139="marché libre",(C139/(A139*24))/G139,"spécifier histo"))</f>
        <v>0.00220904490828589</v>
      </c>
      <c r="F139" s="9" t="n">
        <f aca="false">G139+H205</f>
        <v>850</v>
      </c>
      <c r="G139" s="9" t="n">
        <v>850</v>
      </c>
      <c r="H139" s="9" t="n">
        <f aca="false">0</f>
        <v>0</v>
      </c>
      <c r="L139" s="0"/>
      <c r="Q139" s="0"/>
    </row>
    <row r="140" customFormat="false" ht="28.35" hidden="false" customHeight="true" outlineLevel="0" collapsed="false">
      <c r="A140" s="0" t="n">
        <v>30</v>
      </c>
      <c r="B140" s="31" t="n">
        <v>43405</v>
      </c>
      <c r="C140" s="0" t="n">
        <v>15282</v>
      </c>
      <c r="D140" s="57" t="s">
        <v>42</v>
      </c>
      <c r="E140" s="33" t="n">
        <f aca="false">IF(D140="totale",(C140/(A140*24))/F140,IF(D140="marché libre",(C140/(A140*24))/G140,"spécifier histo"))</f>
        <v>0.0249705882352941</v>
      </c>
      <c r="F140" s="9" t="n">
        <f aca="false">G140+H206</f>
        <v>850</v>
      </c>
      <c r="G140" s="9" t="n">
        <v>850</v>
      </c>
      <c r="H140" s="9" t="n">
        <f aca="false">0</f>
        <v>0</v>
      </c>
      <c r="L140" s="0"/>
      <c r="Q140" s="0"/>
    </row>
    <row r="141" customFormat="false" ht="28.35" hidden="false" customHeight="true" outlineLevel="0" collapsed="false">
      <c r="A141" s="0" t="n">
        <v>31</v>
      </c>
      <c r="B141" s="34" t="n">
        <v>43435</v>
      </c>
      <c r="C141" s="0" t="n">
        <v>27343</v>
      </c>
      <c r="D141" s="57" t="s">
        <v>42</v>
      </c>
      <c r="E141" s="33" t="n">
        <f aca="false">IF(D141="totale",(C141/(A141*24))/F141,IF(D141="marché libre",(C141/(A141*24))/G141,"spécifier histo"))</f>
        <v>0.0432368753953194</v>
      </c>
      <c r="F141" s="9" t="n">
        <f aca="false">G141+H207</f>
        <v>850</v>
      </c>
      <c r="G141" s="9" t="n">
        <v>850</v>
      </c>
      <c r="H141" s="9" t="n">
        <f aca="false">0</f>
        <v>0</v>
      </c>
      <c r="L141" s="0"/>
      <c r="Q141" s="0"/>
    </row>
    <row r="142" customFormat="false" ht="12.8" hidden="false" customHeight="false" outlineLevel="0" collapsed="false">
      <c r="A142" s="0"/>
    </row>
    <row r="143" customFormat="false" ht="12.8" hidden="false" customHeight="false" outlineLevel="0" collapsed="false">
      <c r="A143" s="0"/>
    </row>
    <row r="144" customFormat="false" ht="12.8" hidden="false" customHeight="false" outlineLevel="0" collapsed="false">
      <c r="A144" s="0"/>
    </row>
    <row r="145" customFormat="false" ht="12.8" hidden="false" customHeight="false" outlineLevel="0" collapsed="false">
      <c r="A145" s="0"/>
    </row>
    <row r="146" customFormat="false" ht="12.8" hidden="false" customHeight="false" outlineLevel="0" collapsed="false">
      <c r="A146" s="0"/>
    </row>
    <row r="147" customFormat="false" ht="12.8" hidden="false" customHeight="false" outlineLevel="0" collapsed="false">
      <c r="A147" s="0"/>
    </row>
    <row r="148" customFormat="false" ht="12.8" hidden="false" customHeight="false" outlineLevel="0" collapsed="false">
      <c r="A148" s="0"/>
    </row>
    <row r="149" customFormat="false" ht="12.8" hidden="false" customHeight="false" outlineLevel="0" collapsed="false">
      <c r="A149" s="0"/>
    </row>
    <row r="150" customFormat="false" ht="12.8" hidden="false" customHeight="false" outlineLevel="0" collapsed="false">
      <c r="A150" s="0"/>
    </row>
    <row r="151" customFormat="false" ht="12.8" hidden="false" customHeight="false" outlineLevel="0" collapsed="false">
      <c r="A151" s="0"/>
    </row>
  </sheetData>
  <mergeCells count="17">
    <mergeCell ref="B1:E2"/>
    <mergeCell ref="F1:N1"/>
    <mergeCell ref="F2:I2"/>
    <mergeCell ref="J2:K2"/>
    <mergeCell ref="L2:M2"/>
    <mergeCell ref="N2:N3"/>
    <mergeCell ref="U2:U3"/>
    <mergeCell ref="T4:V4"/>
    <mergeCell ref="C6:D6"/>
    <mergeCell ref="F6:F7"/>
    <mergeCell ref="G6:N7"/>
    <mergeCell ref="C7:D7"/>
    <mergeCell ref="L69:N69"/>
    <mergeCell ref="M71:N71"/>
    <mergeCell ref="P71:Q71"/>
    <mergeCell ref="M91:N91"/>
    <mergeCell ref="P91:Q91"/>
  </mergeCells>
  <conditionalFormatting sqref="E10:E14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7.xml><?xml version="1.0" encoding="utf-8"?>
<worksheet xmlns="http://schemas.openxmlformats.org/spreadsheetml/2006/main" xmlns:r="http://schemas.openxmlformats.org/officeDocument/2006/relationships">
  <sheetPr filterMode="false">
    <tabColor rgb="FF00CC33"/>
    <pageSetUpPr fitToPage="false"/>
  </sheetPr>
  <dimension ref="A1:Z31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74" activePane="bottomRight" state="frozen"/>
      <selection pane="topLeft" activeCell="A1" activeCellId="0" sqref="A1"/>
      <selection pane="topRight" activeCell="B1" activeCellId="0" sqref="B1"/>
      <selection pane="bottomLeft" activeCell="A274" activeCellId="0" sqref="A274"/>
      <selection pane="bottomRight" activeCell="B283" activeCellId="0" sqref="B283"/>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17"/>
    <col collapsed="false" customWidth="false" hidden="false" outlineLevel="0" max="16" min="16" style="1" width="11.52"/>
    <col collapsed="false" customWidth="true" hidden="false" outlineLevel="0" max="17" min="17" style="1" width="15.28"/>
    <col collapsed="false" customWidth="true" hidden="false" outlineLevel="0" max="18" min="18" style="1" width="4.17"/>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1050</v>
      </c>
      <c r="C4" s="16" t="n">
        <v>129745</v>
      </c>
      <c r="D4" s="5" t="s">
        <v>1051</v>
      </c>
      <c r="E4" s="14" t="s">
        <v>308</v>
      </c>
      <c r="F4" s="15" t="n">
        <v>1700</v>
      </c>
      <c r="G4" s="15" t="n">
        <v>1700</v>
      </c>
      <c r="H4" s="15" t="n">
        <v>1300</v>
      </c>
      <c r="I4" s="16" t="s">
        <v>1052</v>
      </c>
      <c r="J4" s="15" t="n">
        <v>1300</v>
      </c>
      <c r="K4" s="16" t="s">
        <v>310</v>
      </c>
      <c r="L4" s="16" t="s">
        <v>145</v>
      </c>
      <c r="M4" s="16" t="s">
        <v>145</v>
      </c>
      <c r="N4" s="12"/>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1053</v>
      </c>
      <c r="H6" s="19"/>
      <c r="I6" s="19"/>
      <c r="J6" s="19"/>
      <c r="K6" s="19"/>
      <c r="L6" s="19"/>
      <c r="M6" s="19"/>
      <c r="N6" s="19"/>
      <c r="P6" s="21" t="n">
        <v>42005</v>
      </c>
      <c r="Q6" s="19" t="s">
        <v>27</v>
      </c>
      <c r="R6" s="9"/>
      <c r="S6" s="22"/>
      <c r="T6" s="5" t="s">
        <v>28</v>
      </c>
    </row>
    <row r="7" customFormat="false" ht="39.15" hidden="false" customHeight="true" outlineLevel="0" collapsed="false">
      <c r="A7" s="0"/>
      <c r="B7" s="0"/>
      <c r="C7" s="126" t="s">
        <v>1054</v>
      </c>
      <c r="D7" s="126"/>
      <c r="F7" s="20"/>
      <c r="G7" s="20"/>
      <c r="H7" s="19"/>
      <c r="I7" s="19"/>
      <c r="J7" s="19"/>
      <c r="K7" s="19"/>
      <c r="L7" s="19"/>
      <c r="M7" s="19"/>
      <c r="N7" s="19"/>
      <c r="P7" s="24"/>
      <c r="Q7" s="5" t="s">
        <v>29</v>
      </c>
      <c r="R7" s="9"/>
      <c r="S7" s="25"/>
      <c r="T7" s="5" t="s">
        <v>30</v>
      </c>
    </row>
    <row r="8" customFormat="false" ht="41.65" hidden="false" customHeight="true" outlineLevel="0" collapsed="false">
      <c r="A8" s="26"/>
      <c r="F8" s="9"/>
      <c r="G8" s="9"/>
      <c r="H8" s="9"/>
      <c r="J8" s="9"/>
      <c r="R8" s="9"/>
      <c r="S8" s="27"/>
      <c r="T8" s="16" t="s">
        <v>31</v>
      </c>
    </row>
    <row r="9" customFormat="false" ht="37.45" hidden="false" customHeight="true" outlineLevel="0" collapsed="false">
      <c r="B9" s="9" t="s">
        <v>32</v>
      </c>
      <c r="C9" s="28" t="s">
        <v>33</v>
      </c>
      <c r="D9" s="29"/>
      <c r="E9" s="1" t="s">
        <v>35</v>
      </c>
      <c r="F9" s="9" t="s">
        <v>36</v>
      </c>
      <c r="G9" s="9" t="s">
        <v>37</v>
      </c>
      <c r="H9" s="9" t="s">
        <v>38</v>
      </c>
      <c r="I9" s="9" t="s">
        <v>39</v>
      </c>
      <c r="J9" s="30" t="s">
        <v>40</v>
      </c>
    </row>
    <row r="10" customFormat="false" ht="23.4" hidden="false" customHeight="true" outlineLevel="0" collapsed="false">
      <c r="A10" s="1" t="n">
        <v>31</v>
      </c>
      <c r="B10" s="31" t="n">
        <v>35065</v>
      </c>
      <c r="C10" s="56" t="n">
        <v>275000</v>
      </c>
      <c r="D10" s="29" t="s">
        <v>41</v>
      </c>
      <c r="E10" s="33" t="n">
        <f aca="false">IF(D10="totale",(C10/(A10*24))/F10,IF(D10="marché libre",(C10/(A10*24))/G10,"spécifier histo"))</f>
        <v>0.217425679949399</v>
      </c>
      <c r="F10" s="59" t="n">
        <v>1700</v>
      </c>
      <c r="G10" s="59" t="n">
        <f aca="false">F10-H10</f>
        <v>1700</v>
      </c>
      <c r="H10" s="59" t="n">
        <v>0</v>
      </c>
      <c r="I10" s="9"/>
      <c r="J10" s="30"/>
    </row>
    <row r="11" customFormat="false" ht="23.4" hidden="false" customHeight="true" outlineLevel="0" collapsed="false">
      <c r="A11" s="1" t="n">
        <v>28</v>
      </c>
      <c r="B11" s="34" t="n">
        <v>35096</v>
      </c>
      <c r="C11" s="56" t="n">
        <v>155300</v>
      </c>
      <c r="D11" s="29" t="s">
        <v>41</v>
      </c>
      <c r="E11" s="33" t="n">
        <f aca="false">IF(D11="totale",(C11/(A11*24))/F11,IF(D11="marché libre",(C11/(A11*24))/G11,"spécifier histo"))</f>
        <v>0.1359418767507</v>
      </c>
      <c r="F11" s="59" t="n">
        <v>1700</v>
      </c>
      <c r="G11" s="59" t="n">
        <f aca="false">F11-H11</f>
        <v>1700</v>
      </c>
      <c r="H11" s="59" t="n">
        <v>0</v>
      </c>
      <c r="I11" s="9"/>
      <c r="J11" s="30"/>
    </row>
    <row r="12" customFormat="false" ht="23.4" hidden="false" customHeight="true" outlineLevel="0" collapsed="false">
      <c r="A12" s="1" t="n">
        <v>31</v>
      </c>
      <c r="B12" s="31" t="n">
        <v>35125</v>
      </c>
      <c r="C12" s="56" t="n">
        <v>332000</v>
      </c>
      <c r="D12" s="29" t="s">
        <v>41</v>
      </c>
      <c r="E12" s="33" t="n">
        <f aca="false">IF(D12="totale",(C12/(A12*24))/F12,IF(D12="marché libre",(C12/(A12*24))/G12,"spécifier histo"))</f>
        <v>0.262492093611638</v>
      </c>
      <c r="F12" s="59" t="n">
        <v>1700</v>
      </c>
      <c r="G12" s="59" t="n">
        <f aca="false">F12-H12</f>
        <v>1700</v>
      </c>
      <c r="H12" s="59" t="n">
        <v>0</v>
      </c>
      <c r="I12" s="9"/>
      <c r="J12" s="30"/>
    </row>
    <row r="13" customFormat="false" ht="23.4" hidden="false" customHeight="true" outlineLevel="0" collapsed="false">
      <c r="A13" s="1" t="n">
        <v>30</v>
      </c>
      <c r="B13" s="34" t="n">
        <v>35156</v>
      </c>
      <c r="C13" s="56" t="n">
        <v>580000</v>
      </c>
      <c r="D13" s="29" t="s">
        <v>41</v>
      </c>
      <c r="E13" s="33" t="n">
        <f aca="false">IF(D13="totale",(C13/(A13*24))/F13,IF(D13="marché libre",(C13/(A13*24))/G13,"spécifier histo"))</f>
        <v>0.473856209150327</v>
      </c>
      <c r="F13" s="59" t="n">
        <v>1700</v>
      </c>
      <c r="G13" s="59" t="n">
        <f aca="false">F13-H13</f>
        <v>1700</v>
      </c>
      <c r="H13" s="59" t="n">
        <v>0</v>
      </c>
      <c r="I13" s="9"/>
      <c r="J13" s="30"/>
    </row>
    <row r="14" customFormat="false" ht="23.4" hidden="false" customHeight="true" outlineLevel="0" collapsed="false">
      <c r="A14" s="1" t="n">
        <v>31</v>
      </c>
      <c r="B14" s="31" t="n">
        <v>35186</v>
      </c>
      <c r="C14" s="56" t="n">
        <v>829000</v>
      </c>
      <c r="D14" s="29" t="s">
        <v>41</v>
      </c>
      <c r="E14" s="33" t="n">
        <f aca="false">IF(D14="totale",(C14/(A14*24))/F14,IF(D14="marché libre",(C14/(A14*24))/G14,"spécifier histo"))</f>
        <v>0.655439595192916</v>
      </c>
      <c r="F14" s="59" t="n">
        <v>1700</v>
      </c>
      <c r="G14" s="59" t="n">
        <f aca="false">F14-H14</f>
        <v>1700</v>
      </c>
      <c r="H14" s="59" t="n">
        <v>0</v>
      </c>
      <c r="I14" s="9"/>
      <c r="J14" s="30"/>
    </row>
    <row r="15" customFormat="false" ht="23.4" hidden="false" customHeight="true" outlineLevel="0" collapsed="false">
      <c r="A15" s="1" t="n">
        <v>30</v>
      </c>
      <c r="B15" s="34" t="n">
        <v>35217</v>
      </c>
      <c r="C15" s="56" t="n">
        <v>750000</v>
      </c>
      <c r="D15" s="29" t="s">
        <v>41</v>
      </c>
      <c r="E15" s="33" t="n">
        <f aca="false">IF(D15="totale",(C15/(A15*24))/F15,IF(D15="marché libre",(C15/(A15*24))/G15,"spécifier histo"))</f>
        <v>0.612745098039216</v>
      </c>
      <c r="F15" s="59" t="n">
        <v>1700</v>
      </c>
      <c r="G15" s="59" t="n">
        <f aca="false">F15-H15</f>
        <v>1700</v>
      </c>
      <c r="H15" s="59" t="n">
        <v>0</v>
      </c>
      <c r="I15" s="9"/>
      <c r="J15" s="30"/>
    </row>
    <row r="16" customFormat="false" ht="23.4" hidden="false" customHeight="true" outlineLevel="0" collapsed="false">
      <c r="A16" s="1" t="n">
        <v>31</v>
      </c>
      <c r="B16" s="31" t="n">
        <v>35247</v>
      </c>
      <c r="C16" s="56" t="n">
        <v>580600</v>
      </c>
      <c r="D16" s="29" t="s">
        <v>41</v>
      </c>
      <c r="E16" s="33" t="n">
        <f aca="false">IF(D16="totale",(C16/(A16*24))/F16,IF(D16="marché libre",(C16/(A16*24))/G16,"spécifier histo"))</f>
        <v>0.459044908285895</v>
      </c>
      <c r="F16" s="59" t="n">
        <v>1700</v>
      </c>
      <c r="G16" s="59" t="n">
        <f aca="false">F16-H16</f>
        <v>1700</v>
      </c>
      <c r="H16" s="59" t="n">
        <v>0</v>
      </c>
      <c r="I16" s="9"/>
      <c r="J16" s="30"/>
    </row>
    <row r="17" customFormat="false" ht="23.4" hidden="false" customHeight="true" outlineLevel="0" collapsed="false">
      <c r="A17" s="1" t="n">
        <v>31</v>
      </c>
      <c r="B17" s="34" t="n">
        <v>35278</v>
      </c>
      <c r="C17" s="56" t="n">
        <v>453300</v>
      </c>
      <c r="D17" s="29" t="s">
        <v>41</v>
      </c>
      <c r="E17" s="33" t="n">
        <f aca="false">IF(D17="totale",(C17/(A17*24))/F17,IF(D17="marché libre",(C17/(A17*24))/G17,"spécifier histo"))</f>
        <v>0.358396584440228</v>
      </c>
      <c r="F17" s="59" t="n">
        <v>1700</v>
      </c>
      <c r="G17" s="59" t="n">
        <f aca="false">F17-H17</f>
        <v>1700</v>
      </c>
      <c r="H17" s="59" t="n">
        <v>0</v>
      </c>
      <c r="I17" s="9"/>
      <c r="J17" s="30"/>
    </row>
    <row r="18" customFormat="false" ht="23.4" hidden="false" customHeight="true" outlineLevel="0" collapsed="false">
      <c r="A18" s="1" t="n">
        <v>30</v>
      </c>
      <c r="B18" s="31" t="n">
        <v>35309</v>
      </c>
      <c r="C18" s="56" t="n">
        <v>158000</v>
      </c>
      <c r="D18" s="29" t="s">
        <v>41</v>
      </c>
      <c r="E18" s="33" t="n">
        <f aca="false">IF(D18="totale",(C18/(A18*24))/F18,IF(D18="marché libre",(C18/(A18*24))/G18,"spécifier histo"))</f>
        <v>0.129084967320261</v>
      </c>
      <c r="F18" s="59" t="n">
        <v>1700</v>
      </c>
      <c r="G18" s="59" t="n">
        <f aca="false">F18-H18</f>
        <v>1700</v>
      </c>
      <c r="H18" s="59" t="n">
        <v>0</v>
      </c>
      <c r="I18" s="9"/>
      <c r="J18" s="30"/>
    </row>
    <row r="19" customFormat="false" ht="23.4" hidden="false" customHeight="true" outlineLevel="0" collapsed="false">
      <c r="A19" s="1" t="n">
        <v>31</v>
      </c>
      <c r="B19" s="34" t="n">
        <v>35339</v>
      </c>
      <c r="C19" s="56" t="n">
        <v>301000</v>
      </c>
      <c r="D19" s="29" t="s">
        <v>41</v>
      </c>
      <c r="E19" s="33" t="n">
        <f aca="false">IF(D19="totale",(C19/(A19*24))/F19,IF(D19="marché libre",(C19/(A19*24))/G19,"spécifier histo"))</f>
        <v>0.23798228969007</v>
      </c>
      <c r="F19" s="59" t="n">
        <v>1700</v>
      </c>
      <c r="G19" s="59" t="n">
        <f aca="false">F19-H19</f>
        <v>1700</v>
      </c>
      <c r="H19" s="59" t="n">
        <v>0</v>
      </c>
      <c r="I19" s="9"/>
      <c r="J19" s="30"/>
    </row>
    <row r="20" customFormat="false" ht="23.4" hidden="false" customHeight="true" outlineLevel="0" collapsed="false">
      <c r="A20" s="1" t="n">
        <v>30</v>
      </c>
      <c r="B20" s="31" t="n">
        <v>35370</v>
      </c>
      <c r="C20" s="56" t="n">
        <v>471000</v>
      </c>
      <c r="D20" s="29" t="s">
        <v>41</v>
      </c>
      <c r="E20" s="33" t="n">
        <f aca="false">IF(D20="totale",(C20/(A20*24))/F20,IF(D20="marché libre",(C20/(A20*24))/G20,"spécifier histo"))</f>
        <v>0.384803921568627</v>
      </c>
      <c r="F20" s="59" t="n">
        <v>1700</v>
      </c>
      <c r="G20" s="59" t="n">
        <f aca="false">F20-H20</f>
        <v>1700</v>
      </c>
      <c r="H20" s="59" t="n">
        <v>0</v>
      </c>
      <c r="I20" s="9"/>
      <c r="J20" s="30"/>
    </row>
    <row r="21" customFormat="false" ht="23.4" hidden="false" customHeight="true" outlineLevel="0" collapsed="false">
      <c r="A21" s="1" t="n">
        <v>31</v>
      </c>
      <c r="B21" s="34" t="n">
        <v>35400</v>
      </c>
      <c r="C21" s="56" t="n">
        <v>624000</v>
      </c>
      <c r="D21" s="29" t="s">
        <v>41</v>
      </c>
      <c r="E21" s="33" t="n">
        <f aca="false">IF(D21="totale",(C21/(A21*24))/F21,IF(D21="marché libre",(C21/(A21*24))/G21,"spécifier histo"))</f>
        <v>0.493358633776091</v>
      </c>
      <c r="F21" s="59" t="n">
        <v>1700</v>
      </c>
      <c r="G21" s="59" t="n">
        <f aca="false">F21-H21</f>
        <v>1700</v>
      </c>
      <c r="H21" s="59" t="n">
        <v>0</v>
      </c>
      <c r="I21" s="9"/>
      <c r="J21" s="30"/>
    </row>
    <row r="22" customFormat="false" ht="23.4" hidden="false" customHeight="true" outlineLevel="0" collapsed="false">
      <c r="A22" s="1" t="n">
        <v>31</v>
      </c>
      <c r="B22" s="31" t="n">
        <v>35431</v>
      </c>
      <c r="C22" s="56" t="n">
        <v>393000</v>
      </c>
      <c r="D22" s="29" t="s">
        <v>41</v>
      </c>
      <c r="E22" s="33" t="n">
        <f aca="false">IF(D22="totale",(C22/(A22*24))/F22,IF(D22="marché libre",(C22/(A22*24))/G22,"spécifier histo"))</f>
        <v>0.310721062618596</v>
      </c>
      <c r="F22" s="59" t="n">
        <v>1700</v>
      </c>
      <c r="G22" s="59" t="n">
        <f aca="false">F22-H22</f>
        <v>1700</v>
      </c>
      <c r="H22" s="59" t="n">
        <v>0</v>
      </c>
      <c r="I22" s="9"/>
      <c r="J22" s="30"/>
    </row>
    <row r="23" customFormat="false" ht="23.4" hidden="false" customHeight="true" outlineLevel="0" collapsed="false">
      <c r="A23" s="1" t="n">
        <v>28</v>
      </c>
      <c r="B23" s="34" t="n">
        <v>35462</v>
      </c>
      <c r="C23" s="56" t="n">
        <v>342400</v>
      </c>
      <c r="D23" s="29" t="s">
        <v>41</v>
      </c>
      <c r="E23" s="33" t="n">
        <f aca="false">IF(D23="totale",(C23/(A23*24))/F23,IF(D23="marché libre",(C23/(A23*24))/G23,"spécifier histo"))</f>
        <v>0.299719887955182</v>
      </c>
      <c r="F23" s="59" t="n">
        <v>1700</v>
      </c>
      <c r="G23" s="59" t="n">
        <f aca="false">F23-H23</f>
        <v>1700</v>
      </c>
      <c r="H23" s="59" t="n">
        <v>0</v>
      </c>
      <c r="I23" s="9"/>
      <c r="J23" s="30"/>
    </row>
    <row r="24" customFormat="false" ht="23.4" hidden="false" customHeight="true" outlineLevel="0" collapsed="false">
      <c r="A24" s="1" t="n">
        <v>31</v>
      </c>
      <c r="B24" s="31" t="n">
        <v>35490</v>
      </c>
      <c r="C24" s="56" t="n">
        <v>584000</v>
      </c>
      <c r="D24" s="29" t="s">
        <v>41</v>
      </c>
      <c r="E24" s="33" t="n">
        <f aca="false">IF(D24="totale",(C24/(A24*24))/F24,IF(D24="marché libre",(C24/(A24*24))/G24,"spécifier histo"))</f>
        <v>0.461733080328906</v>
      </c>
      <c r="F24" s="59" t="n">
        <v>1700</v>
      </c>
      <c r="G24" s="59" t="n">
        <f aca="false">F24-H24</f>
        <v>1700</v>
      </c>
      <c r="H24" s="59" t="n">
        <v>0</v>
      </c>
      <c r="I24" s="9"/>
      <c r="J24" s="30"/>
    </row>
    <row r="25" customFormat="false" ht="23.4" hidden="false" customHeight="true" outlineLevel="0" collapsed="false">
      <c r="A25" s="1" t="n">
        <v>30</v>
      </c>
      <c r="B25" s="34" t="n">
        <v>35521</v>
      </c>
      <c r="C25" s="56" t="n">
        <v>564000</v>
      </c>
      <c r="D25" s="29" t="s">
        <v>41</v>
      </c>
      <c r="E25" s="33" t="n">
        <f aca="false">IF(D25="totale",(C25/(A25*24))/F25,IF(D25="marché libre",(C25/(A25*24))/G25,"spécifier histo"))</f>
        <v>0.46078431372549</v>
      </c>
      <c r="F25" s="59" t="n">
        <v>1700</v>
      </c>
      <c r="G25" s="59" t="n">
        <f aca="false">F25-H25</f>
        <v>1700</v>
      </c>
      <c r="H25" s="59" t="n">
        <v>0</v>
      </c>
      <c r="I25" s="9"/>
      <c r="J25" s="30"/>
    </row>
    <row r="26" customFormat="false" ht="23.4" hidden="false" customHeight="true" outlineLevel="0" collapsed="false">
      <c r="A26" s="1" t="n">
        <v>31</v>
      </c>
      <c r="B26" s="31" t="n">
        <v>35551</v>
      </c>
      <c r="C26" s="56" t="n">
        <v>866300</v>
      </c>
      <c r="D26" s="29" t="s">
        <v>41</v>
      </c>
      <c r="E26" s="33" t="n">
        <f aca="false">IF(D26="totale",(C26/(A26*24))/F26,IF(D26="marché libre",(C26/(A26*24))/G26,"spécifier histo"))</f>
        <v>0.684930423782416</v>
      </c>
      <c r="F26" s="59" t="n">
        <v>1700</v>
      </c>
      <c r="G26" s="59" t="n">
        <f aca="false">F26-H26</f>
        <v>1700</v>
      </c>
      <c r="H26" s="59" t="n">
        <v>0</v>
      </c>
      <c r="I26" s="9"/>
      <c r="J26" s="30"/>
    </row>
    <row r="27" customFormat="false" ht="23.4" hidden="false" customHeight="true" outlineLevel="0" collapsed="false">
      <c r="A27" s="1" t="n">
        <v>30</v>
      </c>
      <c r="B27" s="34" t="n">
        <v>35582</v>
      </c>
      <c r="C27" s="56" t="n">
        <v>775000</v>
      </c>
      <c r="D27" s="29" t="s">
        <v>41</v>
      </c>
      <c r="E27" s="33" t="n">
        <f aca="false">IF(D27="totale",(C27/(A27*24))/F27,IF(D27="marché libre",(C27/(A27*24))/G27,"spécifier histo"))</f>
        <v>0.633169934640523</v>
      </c>
      <c r="F27" s="59" t="n">
        <v>1700</v>
      </c>
      <c r="G27" s="59" t="n">
        <f aca="false">F27-H27</f>
        <v>1700</v>
      </c>
      <c r="H27" s="59" t="n">
        <v>0</v>
      </c>
      <c r="I27" s="9"/>
      <c r="J27" s="30"/>
    </row>
    <row r="28" customFormat="false" ht="23.4" hidden="false" customHeight="true" outlineLevel="0" collapsed="false">
      <c r="A28" s="1" t="n">
        <v>31</v>
      </c>
      <c r="B28" s="31" t="n">
        <v>35612</v>
      </c>
      <c r="C28" s="56" t="n">
        <v>679300</v>
      </c>
      <c r="D28" s="29" t="s">
        <v>41</v>
      </c>
      <c r="E28" s="33" t="n">
        <f aca="false">IF(D28="totale",(C28/(A28*24))/F28,IF(D28="marché libre",(C28/(A28*24))/G28,"spécifier histo"))</f>
        <v>0.537080961416825</v>
      </c>
      <c r="F28" s="59" t="n">
        <v>1700</v>
      </c>
      <c r="G28" s="59" t="n">
        <f aca="false">F28-H28</f>
        <v>1700</v>
      </c>
      <c r="H28" s="59" t="n">
        <v>0</v>
      </c>
      <c r="I28" s="9"/>
      <c r="J28" s="30"/>
    </row>
    <row r="29" customFormat="false" ht="23.4" hidden="false" customHeight="true" outlineLevel="0" collapsed="false">
      <c r="A29" s="1" t="n">
        <v>31</v>
      </c>
      <c r="B29" s="34" t="n">
        <v>35643</v>
      </c>
      <c r="C29" s="56" t="n">
        <v>259800</v>
      </c>
      <c r="D29" s="29" t="s">
        <v>41</v>
      </c>
      <c r="E29" s="33" t="n">
        <f aca="false">IF(D29="totale",(C29/(A29*24))/F29,IF(D29="marché libre",(C29/(A29*24))/G29,"spécifier histo"))</f>
        <v>0.205407969639469</v>
      </c>
      <c r="F29" s="59" t="n">
        <v>1700</v>
      </c>
      <c r="G29" s="59" t="n">
        <f aca="false">F29-H29</f>
        <v>1700</v>
      </c>
      <c r="H29" s="59" t="n">
        <v>0</v>
      </c>
      <c r="I29" s="9"/>
      <c r="J29" s="30"/>
    </row>
    <row r="30" customFormat="false" ht="23.4" hidden="false" customHeight="true" outlineLevel="0" collapsed="false">
      <c r="A30" s="1" t="n">
        <v>30</v>
      </c>
      <c r="B30" s="31" t="n">
        <v>35674</v>
      </c>
      <c r="C30" s="56" t="n">
        <v>155000</v>
      </c>
      <c r="D30" s="29" t="s">
        <v>41</v>
      </c>
      <c r="E30" s="33" t="n">
        <f aca="false">IF(D30="totale",(C30/(A30*24))/F30,IF(D30="marché libre",(C30/(A30*24))/G30,"spécifier histo"))</f>
        <v>0.126633986928105</v>
      </c>
      <c r="F30" s="59" t="n">
        <v>1700</v>
      </c>
      <c r="G30" s="59" t="n">
        <f aca="false">F30-H30</f>
        <v>1700</v>
      </c>
      <c r="H30" s="59" t="n">
        <v>0</v>
      </c>
      <c r="I30" s="9"/>
      <c r="J30" s="30"/>
    </row>
    <row r="31" customFormat="false" ht="23.4" hidden="false" customHeight="true" outlineLevel="0" collapsed="false">
      <c r="A31" s="1" t="n">
        <v>31</v>
      </c>
      <c r="B31" s="34" t="n">
        <v>35704</v>
      </c>
      <c r="C31" s="56" t="n">
        <v>336000</v>
      </c>
      <c r="D31" s="29" t="s">
        <v>41</v>
      </c>
      <c r="E31" s="33" t="n">
        <f aca="false">IF(D31="totale",(C31/(A31*24))/F31,IF(D31="marché libre",(C31/(A31*24))/G31,"spécifier histo"))</f>
        <v>0.265654648956357</v>
      </c>
      <c r="F31" s="59" t="n">
        <v>1700</v>
      </c>
      <c r="G31" s="59" t="n">
        <f aca="false">F31-H31</f>
        <v>1700</v>
      </c>
      <c r="H31" s="59" t="n">
        <v>0</v>
      </c>
      <c r="I31" s="9"/>
      <c r="J31" s="30"/>
    </row>
    <row r="32" customFormat="false" ht="23.4" hidden="false" customHeight="true" outlineLevel="0" collapsed="false">
      <c r="A32" s="1" t="n">
        <v>30</v>
      </c>
      <c r="B32" s="31" t="n">
        <v>35735</v>
      </c>
      <c r="C32" s="56" t="n">
        <v>255000</v>
      </c>
      <c r="D32" s="29" t="s">
        <v>41</v>
      </c>
      <c r="E32" s="33" t="n">
        <f aca="false">IF(D32="totale",(C32/(A32*24))/F32,IF(D32="marché libre",(C32/(A32*24))/G32,"spécifier histo"))</f>
        <v>0.208333333333333</v>
      </c>
      <c r="F32" s="59" t="n">
        <v>1700</v>
      </c>
      <c r="G32" s="59" t="n">
        <f aca="false">F32-H32</f>
        <v>1700</v>
      </c>
      <c r="H32" s="59" t="n">
        <v>0</v>
      </c>
      <c r="I32" s="9"/>
      <c r="J32" s="30"/>
    </row>
    <row r="33" customFormat="false" ht="23.4" hidden="false" customHeight="true" outlineLevel="0" collapsed="false">
      <c r="A33" s="1" t="n">
        <v>31</v>
      </c>
      <c r="B33" s="34" t="n">
        <v>35765</v>
      </c>
      <c r="C33" s="56" t="n">
        <v>313000</v>
      </c>
      <c r="D33" s="29" t="s">
        <v>41</v>
      </c>
      <c r="E33" s="33" t="n">
        <f aca="false">IF(D33="totale",(C33/(A33*24))/F33,IF(D33="marché libre",(C33/(A33*24))/G33,"spécifier histo"))</f>
        <v>0.247469955724225</v>
      </c>
      <c r="F33" s="59" t="n">
        <v>1700</v>
      </c>
      <c r="G33" s="59" t="n">
        <f aca="false">F33-H33</f>
        <v>1700</v>
      </c>
      <c r="H33" s="59" t="n">
        <v>0</v>
      </c>
      <c r="I33" s="9"/>
      <c r="J33" s="30"/>
    </row>
    <row r="34" customFormat="false" ht="23.4" hidden="false" customHeight="true" outlineLevel="0" collapsed="false">
      <c r="A34" s="1" t="n">
        <v>31</v>
      </c>
      <c r="B34" s="31" t="n">
        <v>35796</v>
      </c>
      <c r="C34" s="56" t="n">
        <v>434000</v>
      </c>
      <c r="D34" s="29" t="s">
        <v>41</v>
      </c>
      <c r="E34" s="33" t="n">
        <f aca="false">IF(D34="totale",(C34/(A34*24))/F34,IF(D34="marché libre",(C34/(A34*24))/G34,"spécifier histo"))</f>
        <v>0.343137254901961</v>
      </c>
      <c r="F34" s="59" t="n">
        <v>1700</v>
      </c>
      <c r="G34" s="59" t="n">
        <f aca="false">F34-H34</f>
        <v>1700</v>
      </c>
      <c r="H34" s="59" t="n">
        <v>0</v>
      </c>
      <c r="I34" s="9"/>
      <c r="J34" s="30"/>
    </row>
    <row r="35" customFormat="false" ht="23.4" hidden="false" customHeight="true" outlineLevel="0" collapsed="false">
      <c r="A35" s="1" t="n">
        <v>28</v>
      </c>
      <c r="B35" s="34" t="n">
        <v>35827</v>
      </c>
      <c r="C35" s="56" t="n">
        <v>340000</v>
      </c>
      <c r="D35" s="29" t="s">
        <v>41</v>
      </c>
      <c r="E35" s="33" t="n">
        <f aca="false">IF(D35="totale",(C35/(A35*24))/F35,IF(D35="marché libre",(C35/(A35*24))/G35,"spécifier histo"))</f>
        <v>0.297619047619048</v>
      </c>
      <c r="F35" s="59" t="n">
        <v>1700</v>
      </c>
      <c r="G35" s="59" t="n">
        <f aca="false">F35-H35</f>
        <v>1700</v>
      </c>
      <c r="H35" s="59" t="n">
        <v>0</v>
      </c>
      <c r="I35" s="9"/>
      <c r="J35" s="30"/>
    </row>
    <row r="36" customFormat="false" ht="23.4" hidden="false" customHeight="true" outlineLevel="0" collapsed="false">
      <c r="A36" s="1" t="n">
        <v>31</v>
      </c>
      <c r="B36" s="31" t="n">
        <v>35855</v>
      </c>
      <c r="C36" s="56" t="n">
        <v>484000</v>
      </c>
      <c r="D36" s="29" t="s">
        <v>41</v>
      </c>
      <c r="E36" s="33" t="n">
        <f aca="false">IF(D36="totale",(C36/(A36*24))/F36,IF(D36="marché libre",(C36/(A36*24))/G36,"spécifier histo"))</f>
        <v>0.382669196710942</v>
      </c>
      <c r="F36" s="59" t="n">
        <v>1700</v>
      </c>
      <c r="G36" s="59" t="n">
        <f aca="false">F36-H36</f>
        <v>1700</v>
      </c>
      <c r="H36" s="59" t="n">
        <v>0</v>
      </c>
      <c r="I36" s="9"/>
      <c r="J36" s="30"/>
    </row>
    <row r="37" customFormat="false" ht="23.4" hidden="false" customHeight="true" outlineLevel="0" collapsed="false">
      <c r="A37" s="1" t="n">
        <v>30</v>
      </c>
      <c r="B37" s="34" t="n">
        <v>35886</v>
      </c>
      <c r="C37" s="56" t="n">
        <v>624000</v>
      </c>
      <c r="D37" s="29" t="s">
        <v>41</v>
      </c>
      <c r="E37" s="33" t="n">
        <f aca="false">IF(D37="totale",(C37/(A37*24))/F37,IF(D37="marché libre",(C37/(A37*24))/G37,"spécifier histo"))</f>
        <v>0.509803921568627</v>
      </c>
      <c r="F37" s="59" t="n">
        <v>1700</v>
      </c>
      <c r="G37" s="59" t="n">
        <f aca="false">F37-H37</f>
        <v>1700</v>
      </c>
      <c r="H37" s="59" t="n">
        <v>0</v>
      </c>
      <c r="I37" s="9"/>
      <c r="J37" s="30"/>
    </row>
    <row r="38" customFormat="false" ht="23.4" hidden="false" customHeight="true" outlineLevel="0" collapsed="false">
      <c r="A38" s="1" t="n">
        <v>31</v>
      </c>
      <c r="B38" s="31" t="n">
        <v>35916</v>
      </c>
      <c r="C38" s="56" t="n">
        <v>823000</v>
      </c>
      <c r="D38" s="29" t="s">
        <v>41</v>
      </c>
      <c r="E38" s="33" t="n">
        <f aca="false">IF(D38="totale",(C38/(A38*24))/F38,IF(D38="marché libre",(C38/(A38*24))/G38,"spécifier histo"))</f>
        <v>0.650695762175838</v>
      </c>
      <c r="F38" s="59" t="n">
        <v>1700</v>
      </c>
      <c r="G38" s="59" t="n">
        <f aca="false">F38-H38</f>
        <v>1700</v>
      </c>
      <c r="H38" s="59" t="n">
        <v>0</v>
      </c>
      <c r="I38" s="9"/>
      <c r="J38" s="30"/>
    </row>
    <row r="39" customFormat="false" ht="23.4" hidden="false" customHeight="true" outlineLevel="0" collapsed="false">
      <c r="A39" s="1" t="n">
        <v>30</v>
      </c>
      <c r="B39" s="34" t="n">
        <v>35947</v>
      </c>
      <c r="C39" s="56" t="n">
        <v>737000</v>
      </c>
      <c r="D39" s="29" t="s">
        <v>41</v>
      </c>
      <c r="E39" s="33" t="n">
        <f aca="false">IF(D39="totale",(C39/(A39*24))/F39,IF(D39="marché libre",(C39/(A39*24))/G39,"spécifier histo"))</f>
        <v>0.602124183006536</v>
      </c>
      <c r="F39" s="59" t="n">
        <v>1700</v>
      </c>
      <c r="G39" s="59" t="n">
        <f aca="false">F39-H39</f>
        <v>1700</v>
      </c>
      <c r="H39" s="59" t="n">
        <v>0</v>
      </c>
      <c r="I39" s="9"/>
      <c r="J39" s="30"/>
    </row>
    <row r="40" customFormat="false" ht="23.4" hidden="false" customHeight="true" outlineLevel="0" collapsed="false">
      <c r="A40" s="1" t="n">
        <v>31</v>
      </c>
      <c r="B40" s="31" t="n">
        <v>35977</v>
      </c>
      <c r="C40" s="56" t="n">
        <v>454500</v>
      </c>
      <c r="D40" s="29" t="s">
        <v>41</v>
      </c>
      <c r="E40" s="33" t="n">
        <f aca="false">IF(D40="totale",(C40/(A40*24))/F40,IF(D40="marché libre",(C40/(A40*24))/G40,"spécifier histo"))</f>
        <v>0.359345351043643</v>
      </c>
      <c r="F40" s="59" t="n">
        <v>1700</v>
      </c>
      <c r="G40" s="59" t="n">
        <f aca="false">F40-H40</f>
        <v>1700</v>
      </c>
      <c r="H40" s="59" t="n">
        <v>0</v>
      </c>
      <c r="I40" s="9"/>
      <c r="J40" s="30"/>
    </row>
    <row r="41" customFormat="false" ht="23.4" hidden="false" customHeight="true" outlineLevel="0" collapsed="false">
      <c r="A41" s="1" t="n">
        <v>31</v>
      </c>
      <c r="B41" s="34" t="n">
        <v>36008</v>
      </c>
      <c r="C41" s="56" t="n">
        <v>272900</v>
      </c>
      <c r="D41" s="29" t="s">
        <v>41</v>
      </c>
      <c r="E41" s="33" t="n">
        <f aca="false">IF(D41="totale",(C41/(A41*24))/F41,IF(D41="marché libre",(C41/(A41*24))/G41,"spécifier histo"))</f>
        <v>0.215765338393422</v>
      </c>
      <c r="F41" s="59" t="n">
        <v>1700</v>
      </c>
      <c r="G41" s="59" t="n">
        <f aca="false">F41-H41</f>
        <v>1700</v>
      </c>
      <c r="H41" s="59" t="n">
        <v>0</v>
      </c>
      <c r="I41" s="9"/>
      <c r="J41" s="30"/>
    </row>
    <row r="42" customFormat="false" ht="23.4" hidden="false" customHeight="true" outlineLevel="0" collapsed="false">
      <c r="A42" s="1" t="n">
        <v>30</v>
      </c>
      <c r="B42" s="31" t="n">
        <v>36039</v>
      </c>
      <c r="C42" s="56" t="n">
        <v>420000</v>
      </c>
      <c r="D42" s="29" t="s">
        <v>41</v>
      </c>
      <c r="E42" s="33" t="n">
        <f aca="false">IF(D42="totale",(C42/(A42*24))/F42,IF(D42="marché libre",(C42/(A42*24))/G42,"spécifier histo"))</f>
        <v>0.343137254901961</v>
      </c>
      <c r="F42" s="59" t="n">
        <v>1700</v>
      </c>
      <c r="G42" s="59" t="n">
        <f aca="false">F42-H42</f>
        <v>1700</v>
      </c>
      <c r="H42" s="59" t="n">
        <v>0</v>
      </c>
      <c r="I42" s="9"/>
      <c r="J42" s="30"/>
    </row>
    <row r="43" customFormat="false" ht="23.4" hidden="false" customHeight="true" outlineLevel="0" collapsed="false">
      <c r="A43" s="1" t="n">
        <v>31</v>
      </c>
      <c r="B43" s="34" t="n">
        <v>36069</v>
      </c>
      <c r="C43" s="56" t="n">
        <v>541000</v>
      </c>
      <c r="D43" s="29" t="s">
        <v>41</v>
      </c>
      <c r="E43" s="33" t="n">
        <f aca="false">IF(D43="totale",(C43/(A43*24))/F43,IF(D43="marché libre",(C43/(A43*24))/G43,"spécifier histo"))</f>
        <v>0.427735610373182</v>
      </c>
      <c r="F43" s="59" t="n">
        <v>1700</v>
      </c>
      <c r="G43" s="59" t="n">
        <f aca="false">F43-H43</f>
        <v>1700</v>
      </c>
      <c r="H43" s="59" t="n">
        <v>0</v>
      </c>
      <c r="I43" s="9"/>
      <c r="J43" s="30"/>
    </row>
    <row r="44" customFormat="false" ht="23.4" hidden="false" customHeight="true" outlineLevel="0" collapsed="false">
      <c r="A44" s="1" t="n">
        <v>30</v>
      </c>
      <c r="B44" s="31" t="n">
        <v>36100</v>
      </c>
      <c r="C44" s="56" t="n">
        <v>624000</v>
      </c>
      <c r="D44" s="29" t="s">
        <v>41</v>
      </c>
      <c r="E44" s="33" t="n">
        <f aca="false">IF(D44="totale",(C44/(A44*24))/F44,IF(D44="marché libre",(C44/(A44*24))/G44,"spécifier histo"))</f>
        <v>0.509803921568627</v>
      </c>
      <c r="F44" s="59" t="n">
        <v>1700</v>
      </c>
      <c r="G44" s="59" t="n">
        <f aca="false">F44-H44</f>
        <v>1700</v>
      </c>
      <c r="H44" s="59" t="n">
        <v>0</v>
      </c>
      <c r="I44" s="9"/>
      <c r="J44" s="30"/>
    </row>
    <row r="45" customFormat="false" ht="23.4" hidden="false" customHeight="true" outlineLevel="0" collapsed="false">
      <c r="A45" s="1" t="n">
        <v>31</v>
      </c>
      <c r="B45" s="34" t="n">
        <v>36130</v>
      </c>
      <c r="C45" s="56" t="n">
        <v>356000</v>
      </c>
      <c r="D45" s="29" t="s">
        <v>41</v>
      </c>
      <c r="E45" s="33" t="n">
        <f aca="false">IF(D45="totale",(C45/(A45*24))/F45,IF(D45="marché libre",(C45/(A45*24))/G45,"spécifier histo"))</f>
        <v>0.281467425679949</v>
      </c>
      <c r="F45" s="59" t="n">
        <v>1700</v>
      </c>
      <c r="G45" s="59" t="n">
        <f aca="false">F45-H45</f>
        <v>1700</v>
      </c>
      <c r="H45" s="59" t="n">
        <v>0</v>
      </c>
      <c r="I45" s="9"/>
      <c r="J45" s="30"/>
    </row>
    <row r="46" customFormat="false" ht="23.4" hidden="false" customHeight="true" outlineLevel="0" collapsed="false">
      <c r="A46" s="1" t="n">
        <v>31</v>
      </c>
      <c r="B46" s="31" t="n">
        <v>36161</v>
      </c>
      <c r="C46" s="56" t="n">
        <v>228000</v>
      </c>
      <c r="D46" s="29" t="s">
        <v>41</v>
      </c>
      <c r="E46" s="33" t="n">
        <f aca="false">IF(D46="totale",(C46/(A46*24))/F46,IF(D46="marché libre",(C46/(A46*24))/G46,"spécifier histo"))</f>
        <v>0.180265654648956</v>
      </c>
      <c r="F46" s="59" t="n">
        <v>1700</v>
      </c>
      <c r="G46" s="59" t="n">
        <f aca="false">F46-H46</f>
        <v>1700</v>
      </c>
      <c r="H46" s="59" t="n">
        <v>0</v>
      </c>
      <c r="I46" s="9"/>
      <c r="J46" s="30"/>
    </row>
    <row r="47" customFormat="false" ht="23.4" hidden="false" customHeight="true" outlineLevel="0" collapsed="false">
      <c r="A47" s="1" t="n">
        <v>28</v>
      </c>
      <c r="B47" s="34" t="n">
        <v>36192</v>
      </c>
      <c r="C47" s="56" t="n">
        <v>346000</v>
      </c>
      <c r="D47" s="29" t="s">
        <v>41</v>
      </c>
      <c r="E47" s="33" t="n">
        <f aca="false">IF(D47="totale",(C47/(A47*24))/F47,IF(D47="marché libre",(C47/(A47*24))/G47,"spécifier histo"))</f>
        <v>0.302871148459384</v>
      </c>
      <c r="F47" s="59" t="n">
        <v>1700</v>
      </c>
      <c r="G47" s="59" t="n">
        <f aca="false">F47-H47</f>
        <v>1700</v>
      </c>
      <c r="H47" s="59" t="n">
        <v>0</v>
      </c>
      <c r="I47" s="9"/>
      <c r="J47" s="30"/>
    </row>
    <row r="48" customFormat="false" ht="23.4" hidden="false" customHeight="true" outlineLevel="0" collapsed="false">
      <c r="A48" s="1" t="n">
        <v>31</v>
      </c>
      <c r="B48" s="31" t="n">
        <v>36220</v>
      </c>
      <c r="C48" s="56" t="n">
        <v>732000</v>
      </c>
      <c r="D48" s="29" t="s">
        <v>41</v>
      </c>
      <c r="E48" s="33" t="n">
        <f aca="false">IF(D48="totale",(C48/(A48*24))/F48,IF(D48="marché libre",(C48/(A48*24))/G48,"spécifier histo"))</f>
        <v>0.578747628083491</v>
      </c>
      <c r="F48" s="59" t="n">
        <v>1700</v>
      </c>
      <c r="G48" s="59" t="n">
        <f aca="false">F48-H48</f>
        <v>1700</v>
      </c>
      <c r="H48" s="59" t="n">
        <v>0</v>
      </c>
      <c r="I48" s="9"/>
      <c r="J48" s="30"/>
    </row>
    <row r="49" customFormat="false" ht="23.4" hidden="false" customHeight="true" outlineLevel="0" collapsed="false">
      <c r="A49" s="1" t="n">
        <v>30</v>
      </c>
      <c r="B49" s="34" t="n">
        <v>36251</v>
      </c>
      <c r="C49" s="56" t="n">
        <v>741000</v>
      </c>
      <c r="D49" s="29" t="s">
        <v>41</v>
      </c>
      <c r="E49" s="33" t="n">
        <f aca="false">IF(D49="totale",(C49/(A49*24))/F49,IF(D49="marché libre",(C49/(A49*24))/G49,"spécifier histo"))</f>
        <v>0.605392156862745</v>
      </c>
      <c r="F49" s="59" t="n">
        <v>1700</v>
      </c>
      <c r="G49" s="59" t="n">
        <f aca="false">F49-H49</f>
        <v>1700</v>
      </c>
      <c r="H49" s="59" t="n">
        <v>0</v>
      </c>
      <c r="I49" s="9"/>
      <c r="J49" s="30"/>
    </row>
    <row r="50" customFormat="false" ht="23.4" hidden="false" customHeight="true" outlineLevel="0" collapsed="false">
      <c r="A50" s="1" t="n">
        <v>31</v>
      </c>
      <c r="B50" s="31" t="n">
        <v>36281</v>
      </c>
      <c r="C50" s="56" t="n">
        <v>752000</v>
      </c>
      <c r="D50" s="29" t="s">
        <v>41</v>
      </c>
      <c r="E50" s="33" t="n">
        <f aca="false">IF(D50="totale",(C50/(A50*24))/F50,IF(D50="marché libre",(C50/(A50*24))/G50,"spécifier histo"))</f>
        <v>0.594560404807084</v>
      </c>
      <c r="F50" s="59" t="n">
        <v>1700</v>
      </c>
      <c r="G50" s="59" t="n">
        <f aca="false">F50-H50</f>
        <v>1700</v>
      </c>
      <c r="H50" s="59" t="n">
        <v>0</v>
      </c>
      <c r="I50" s="9"/>
      <c r="J50" s="30"/>
    </row>
    <row r="51" customFormat="false" ht="23.4" hidden="false" customHeight="true" outlineLevel="0" collapsed="false">
      <c r="A51" s="1" t="n">
        <v>30</v>
      </c>
      <c r="B51" s="34" t="n">
        <v>36312</v>
      </c>
      <c r="C51" s="56" t="n">
        <v>835000</v>
      </c>
      <c r="D51" s="29" t="s">
        <v>41</v>
      </c>
      <c r="E51" s="33" t="n">
        <f aca="false">IF(D51="totale",(C51/(A51*24))/F51,IF(D51="marché libre",(C51/(A51*24))/G51,"spécifier histo"))</f>
        <v>0.68218954248366</v>
      </c>
      <c r="F51" s="59" t="n">
        <v>1700</v>
      </c>
      <c r="G51" s="59" t="n">
        <f aca="false">F51-H51</f>
        <v>1700</v>
      </c>
      <c r="H51" s="59" t="n">
        <v>0</v>
      </c>
      <c r="I51" s="9"/>
      <c r="J51" s="30"/>
    </row>
    <row r="52" customFormat="false" ht="23.4" hidden="false" customHeight="true" outlineLevel="0" collapsed="false">
      <c r="A52" s="1" t="n">
        <v>31</v>
      </c>
      <c r="B52" s="31" t="n">
        <v>36342</v>
      </c>
      <c r="C52" s="56" t="n">
        <v>671000</v>
      </c>
      <c r="D52" s="29" t="s">
        <v>41</v>
      </c>
      <c r="E52" s="33" t="n">
        <f aca="false">IF(D52="totale",(C52/(A52*24))/F52,IF(D52="marché libre",(C52/(A52*24))/G52,"spécifier histo"))</f>
        <v>0.530518659076534</v>
      </c>
      <c r="F52" s="59" t="n">
        <v>1700</v>
      </c>
      <c r="G52" s="59" t="n">
        <f aca="false">F52-H52</f>
        <v>1700</v>
      </c>
      <c r="H52" s="59" t="n">
        <v>0</v>
      </c>
      <c r="I52" s="9"/>
      <c r="J52" s="30"/>
    </row>
    <row r="53" customFormat="false" ht="23.4" hidden="false" customHeight="true" outlineLevel="0" collapsed="false">
      <c r="A53" s="1" t="n">
        <v>31</v>
      </c>
      <c r="B53" s="34" t="n">
        <v>36373</v>
      </c>
      <c r="C53" s="56" t="n">
        <v>585000</v>
      </c>
      <c r="D53" s="29" t="s">
        <v>41</v>
      </c>
      <c r="E53" s="33" t="n">
        <f aca="false">IF(D53="totale",(C53/(A53*24))/F53,IF(D53="marché libre",(C53/(A53*24))/G53,"spécifier histo"))</f>
        <v>0.462523719165085</v>
      </c>
      <c r="F53" s="59" t="n">
        <v>1700</v>
      </c>
      <c r="G53" s="59" t="n">
        <f aca="false">F53-H53</f>
        <v>1700</v>
      </c>
      <c r="H53" s="59" t="n">
        <v>0</v>
      </c>
      <c r="I53" s="9"/>
      <c r="J53" s="30"/>
    </row>
    <row r="54" customFormat="false" ht="23.4" hidden="false" customHeight="true" outlineLevel="0" collapsed="false">
      <c r="A54" s="1" t="n">
        <v>30</v>
      </c>
      <c r="B54" s="31" t="n">
        <v>36404</v>
      </c>
      <c r="C54" s="56" t="n">
        <v>378000</v>
      </c>
      <c r="D54" s="29" t="s">
        <v>41</v>
      </c>
      <c r="E54" s="33" t="n">
        <f aca="false">IF(D54="totale",(C54/(A54*24))/F54,IF(D54="marché libre",(C54/(A54*24))/G54,"spécifier histo"))</f>
        <v>0.308823529411765</v>
      </c>
      <c r="F54" s="59" t="n">
        <v>1700</v>
      </c>
      <c r="G54" s="59" t="n">
        <f aca="false">F54-H54</f>
        <v>1700</v>
      </c>
      <c r="H54" s="59" t="n">
        <v>0</v>
      </c>
      <c r="I54" s="9"/>
      <c r="J54" s="30"/>
    </row>
    <row r="55" customFormat="false" ht="23.4" hidden="false" customHeight="true" outlineLevel="0" collapsed="false">
      <c r="A55" s="1" t="n">
        <v>31</v>
      </c>
      <c r="B55" s="34" t="n">
        <v>36434</v>
      </c>
      <c r="C55" s="56" t="n">
        <v>442000</v>
      </c>
      <c r="D55" s="29" t="s">
        <v>41</v>
      </c>
      <c r="E55" s="33" t="n">
        <f aca="false">IF(D55="totale",(C55/(A55*24))/F55,IF(D55="marché libre",(C55/(A55*24))/G55,"spécifier histo"))</f>
        <v>0.349462365591398</v>
      </c>
      <c r="F55" s="59" t="n">
        <v>1700</v>
      </c>
      <c r="G55" s="59" t="n">
        <f aca="false">F55-H55</f>
        <v>1700</v>
      </c>
      <c r="H55" s="59" t="n">
        <v>0</v>
      </c>
      <c r="I55" s="9"/>
      <c r="J55" s="30"/>
    </row>
    <row r="56" customFormat="false" ht="23.4" hidden="false" customHeight="true" outlineLevel="0" collapsed="false">
      <c r="A56" s="1" t="n">
        <v>30</v>
      </c>
      <c r="B56" s="31" t="n">
        <v>36465</v>
      </c>
      <c r="C56" s="56" t="n">
        <v>403000</v>
      </c>
      <c r="D56" s="29" t="s">
        <v>41</v>
      </c>
      <c r="E56" s="33" t="n">
        <f aca="false">IF(D56="totale",(C56/(A56*24))/F56,IF(D56="marché libre",(C56/(A56*24))/G56,"spécifier histo"))</f>
        <v>0.329248366013072</v>
      </c>
      <c r="F56" s="59" t="n">
        <v>1700</v>
      </c>
      <c r="G56" s="59" t="n">
        <f aca="false">F56-H56</f>
        <v>1700</v>
      </c>
      <c r="H56" s="59" t="n">
        <v>0</v>
      </c>
      <c r="I56" s="9"/>
      <c r="J56" s="30"/>
    </row>
    <row r="57" customFormat="false" ht="23.4" hidden="false" customHeight="true" outlineLevel="0" collapsed="false">
      <c r="A57" s="1" t="n">
        <v>31</v>
      </c>
      <c r="B57" s="34" t="n">
        <v>36495</v>
      </c>
      <c r="C57" s="56" t="n">
        <v>407000</v>
      </c>
      <c r="D57" s="29" t="s">
        <v>41</v>
      </c>
      <c r="E57" s="33" t="n">
        <f aca="false">IF(D57="totale",(C57/(A57*24))/F57,IF(D57="marché libre",(C57/(A57*24))/G57,"spécifier histo"))</f>
        <v>0.321790006325111</v>
      </c>
      <c r="F57" s="59" t="n">
        <v>1700</v>
      </c>
      <c r="G57" s="59" t="n">
        <f aca="false">F57-H57</f>
        <v>1700</v>
      </c>
      <c r="H57" s="59" t="n">
        <v>0</v>
      </c>
      <c r="I57" s="9"/>
      <c r="J57" s="30"/>
    </row>
    <row r="58" customFormat="false" ht="23.4" hidden="false" customHeight="true" outlineLevel="0" collapsed="false">
      <c r="A58" s="1" t="n">
        <v>31</v>
      </c>
      <c r="B58" s="31" t="n">
        <v>36526</v>
      </c>
      <c r="C58" s="56" t="n">
        <v>344000</v>
      </c>
      <c r="D58" s="29" t="s">
        <v>41</v>
      </c>
      <c r="E58" s="33" t="n">
        <f aca="false">IF(D58="totale",(C58/(A58*24))/F58,IF(D58="marché libre",(C58/(A58*24))/G58,"spécifier histo"))</f>
        <v>0.271979759645794</v>
      </c>
      <c r="F58" s="59" t="n">
        <v>1700</v>
      </c>
      <c r="G58" s="59" t="n">
        <f aca="false">F58-H58</f>
        <v>1700</v>
      </c>
      <c r="H58" s="59" t="n">
        <v>0</v>
      </c>
      <c r="I58" s="9"/>
      <c r="J58" s="30"/>
    </row>
    <row r="59" customFormat="false" ht="23.4" hidden="false" customHeight="true" outlineLevel="0" collapsed="false">
      <c r="A59" s="1" t="n">
        <v>28</v>
      </c>
      <c r="B59" s="34" t="n">
        <v>36557</v>
      </c>
      <c r="C59" s="56" t="n">
        <v>8000</v>
      </c>
      <c r="D59" s="29" t="s">
        <v>41</v>
      </c>
      <c r="E59" s="33" t="n">
        <f aca="false">IF(D59="totale",(C59/(A59*24))/F59,IF(D59="marché libre",(C59/(A59*24))/G59,"spécifier histo"))</f>
        <v>0.00700280112044818</v>
      </c>
      <c r="F59" s="59" t="n">
        <v>1700</v>
      </c>
      <c r="G59" s="59" t="n">
        <f aca="false">F59-H59</f>
        <v>1700</v>
      </c>
      <c r="H59" s="59" t="n">
        <v>0</v>
      </c>
      <c r="I59" s="9"/>
      <c r="J59" s="30"/>
    </row>
    <row r="60" customFormat="false" ht="23.4" hidden="false" customHeight="true" outlineLevel="0" collapsed="false">
      <c r="A60" s="1" t="n">
        <v>31</v>
      </c>
      <c r="B60" s="31" t="n">
        <v>36586</v>
      </c>
      <c r="C60" s="56" t="n">
        <v>596000</v>
      </c>
      <c r="D60" s="29" t="s">
        <v>41</v>
      </c>
      <c r="E60" s="33" t="n">
        <f aca="false">IF(D60="totale",(C60/(A60*24))/F60,IF(D60="marché libre",(C60/(A60*24))/G60,"spécifier histo"))</f>
        <v>0.471220746363061</v>
      </c>
      <c r="F60" s="59" t="n">
        <v>1700</v>
      </c>
      <c r="G60" s="59" t="n">
        <f aca="false">F60-H60</f>
        <v>1700</v>
      </c>
      <c r="H60" s="59" t="n">
        <v>0</v>
      </c>
      <c r="I60" s="9"/>
      <c r="J60" s="30"/>
    </row>
    <row r="61" customFormat="false" ht="23.4" hidden="false" customHeight="true" outlineLevel="0" collapsed="false">
      <c r="A61" s="1" t="n">
        <v>30</v>
      </c>
      <c r="B61" s="34" t="n">
        <v>36617</v>
      </c>
      <c r="C61" s="56" t="n">
        <v>712000</v>
      </c>
      <c r="D61" s="29" t="s">
        <v>41</v>
      </c>
      <c r="E61" s="33" t="n">
        <f aca="false">IF(D61="totale",(C61/(A61*24))/F61,IF(D61="marché libre",(C61/(A61*24))/G61,"spécifier histo"))</f>
        <v>0.581699346405229</v>
      </c>
      <c r="F61" s="59" t="n">
        <v>1700</v>
      </c>
      <c r="G61" s="59" t="n">
        <f aca="false">F61-H61</f>
        <v>1700</v>
      </c>
      <c r="H61" s="59" t="n">
        <v>0</v>
      </c>
      <c r="I61" s="9"/>
      <c r="J61" s="30"/>
    </row>
    <row r="62" customFormat="false" ht="23.4" hidden="false" customHeight="true" outlineLevel="0" collapsed="false">
      <c r="A62" s="1" t="n">
        <v>31</v>
      </c>
      <c r="B62" s="31" t="n">
        <v>36647</v>
      </c>
      <c r="C62" s="56" t="n">
        <v>832000</v>
      </c>
      <c r="D62" s="29" t="s">
        <v>41</v>
      </c>
      <c r="E62" s="33" t="n">
        <f aca="false">IF(D62="totale",(C62/(A62*24))/F62,IF(D62="marché libre",(C62/(A62*24))/G62,"spécifier histo"))</f>
        <v>0.657811511701455</v>
      </c>
      <c r="F62" s="59" t="n">
        <v>1700</v>
      </c>
      <c r="G62" s="59" t="n">
        <f aca="false">F62-H62</f>
        <v>1700</v>
      </c>
      <c r="H62" s="59" t="n">
        <v>0</v>
      </c>
      <c r="I62" s="9"/>
      <c r="J62" s="30"/>
    </row>
    <row r="63" customFormat="false" ht="23.4" hidden="false" customHeight="true" outlineLevel="0" collapsed="false">
      <c r="A63" s="1" t="n">
        <v>30</v>
      </c>
      <c r="B63" s="34" t="n">
        <v>36678</v>
      </c>
      <c r="C63" s="56" t="n">
        <v>692000</v>
      </c>
      <c r="D63" s="29" t="s">
        <v>41</v>
      </c>
      <c r="E63" s="33" t="n">
        <f aca="false">IF(D63="totale",(C63/(A63*24))/F63,IF(D63="marché libre",(C63/(A63*24))/G63,"spécifier histo"))</f>
        <v>0.565359477124183</v>
      </c>
      <c r="F63" s="59" t="n">
        <v>1700</v>
      </c>
      <c r="G63" s="59" t="n">
        <f aca="false">F63-H63</f>
        <v>1700</v>
      </c>
      <c r="H63" s="59" t="n">
        <v>0</v>
      </c>
      <c r="I63" s="9"/>
      <c r="J63" s="30"/>
    </row>
    <row r="64" customFormat="false" ht="23.4" hidden="false" customHeight="true" outlineLevel="0" collapsed="false">
      <c r="A64" s="1" t="n">
        <v>31</v>
      </c>
      <c r="B64" s="31" t="n">
        <v>36708</v>
      </c>
      <c r="C64" s="56" t="n">
        <v>500000</v>
      </c>
      <c r="D64" s="29" t="s">
        <v>41</v>
      </c>
      <c r="E64" s="33" t="n">
        <f aca="false">IF(D64="totale",(C64/(A64*24))/F64,IF(D64="marché libre",(C64/(A64*24))/G64,"spécifier histo"))</f>
        <v>0.395319418089817</v>
      </c>
      <c r="F64" s="59" t="n">
        <v>1700</v>
      </c>
      <c r="G64" s="59" t="n">
        <f aca="false">F64-H64</f>
        <v>1700</v>
      </c>
      <c r="H64" s="59" t="n">
        <v>0</v>
      </c>
      <c r="I64" s="9"/>
      <c r="J64" s="30"/>
    </row>
    <row r="65" customFormat="false" ht="23.4" hidden="false" customHeight="true" outlineLevel="0" collapsed="false">
      <c r="A65" s="1" t="n">
        <v>31</v>
      </c>
      <c r="B65" s="34" t="n">
        <v>36739</v>
      </c>
      <c r="C65" s="56" t="n">
        <v>456000</v>
      </c>
      <c r="D65" s="29" t="s">
        <v>41</v>
      </c>
      <c r="E65" s="33" t="n">
        <f aca="false">IF(D65="totale",(C65/(A65*24))/F65,IF(D65="marché libre",(C65/(A65*24))/G65,"spécifier histo"))</f>
        <v>0.360531309297913</v>
      </c>
      <c r="F65" s="59" t="n">
        <v>1700</v>
      </c>
      <c r="G65" s="59" t="n">
        <f aca="false">F65-H65</f>
        <v>1700</v>
      </c>
      <c r="H65" s="59" t="n">
        <v>0</v>
      </c>
      <c r="I65" s="9"/>
      <c r="J65" s="30"/>
    </row>
    <row r="66" customFormat="false" ht="23.4" hidden="false" customHeight="true" outlineLevel="0" collapsed="false">
      <c r="A66" s="1" t="n">
        <v>30</v>
      </c>
      <c r="B66" s="31" t="n">
        <v>36770</v>
      </c>
      <c r="C66" s="56" t="n">
        <v>272500</v>
      </c>
      <c r="D66" s="29" t="s">
        <v>41</v>
      </c>
      <c r="E66" s="33" t="n">
        <f aca="false">IF(D66="totale",(C66/(A66*24))/F66,IF(D66="marché libre",(C66/(A66*24))/G66,"spécifier histo"))</f>
        <v>0.222630718954248</v>
      </c>
      <c r="F66" s="59" t="n">
        <v>1700</v>
      </c>
      <c r="G66" s="59" t="n">
        <f aca="false">F66-H66</f>
        <v>1700</v>
      </c>
      <c r="H66" s="59" t="n">
        <v>0</v>
      </c>
      <c r="I66" s="9"/>
      <c r="J66" s="30"/>
    </row>
    <row r="67" customFormat="false" ht="23.4" hidden="false" customHeight="true" outlineLevel="0" collapsed="false">
      <c r="A67" s="1" t="n">
        <v>31</v>
      </c>
      <c r="B67" s="34" t="n">
        <v>36800</v>
      </c>
      <c r="C67" s="56" t="n">
        <v>169000</v>
      </c>
      <c r="D67" s="29" t="s">
        <v>41</v>
      </c>
      <c r="E67" s="33" t="n">
        <f aca="false">IF(D67="totale",(C67/(A67*24))/F67,IF(D67="marché libre",(C67/(A67*24))/G67,"spécifier histo"))</f>
        <v>0.133617963314358</v>
      </c>
      <c r="F67" s="59" t="n">
        <v>1700</v>
      </c>
      <c r="G67" s="59" t="n">
        <f aca="false">F67-H67</f>
        <v>1700</v>
      </c>
      <c r="H67" s="59" t="n">
        <v>0</v>
      </c>
      <c r="I67" s="9"/>
      <c r="J67" s="30"/>
    </row>
    <row r="68" customFormat="false" ht="23.4" hidden="false" customHeight="true" outlineLevel="0" collapsed="false">
      <c r="A68" s="1" t="n">
        <v>30</v>
      </c>
      <c r="B68" s="31" t="n">
        <v>36831</v>
      </c>
      <c r="C68" s="56" t="n">
        <v>0</v>
      </c>
      <c r="D68" s="29" t="s">
        <v>41</v>
      </c>
      <c r="E68" s="33" t="n">
        <f aca="false">IF(D68="totale",(C68/(A68*24))/F68,IF(D68="marché libre",(C68/(A68*24))/G68,"spécifier histo"))</f>
        <v>0</v>
      </c>
      <c r="F68" s="59" t="n">
        <v>1700</v>
      </c>
      <c r="G68" s="59" t="n">
        <f aca="false">F68-H68</f>
        <v>1700</v>
      </c>
      <c r="H68" s="59" t="n">
        <v>0</v>
      </c>
      <c r="I68" s="9"/>
      <c r="J68" s="30"/>
    </row>
    <row r="69" customFormat="false" ht="23.4" hidden="false" customHeight="true" outlineLevel="0" collapsed="false">
      <c r="A69" s="1" t="n">
        <v>31</v>
      </c>
      <c r="B69" s="34" t="n">
        <v>36861</v>
      </c>
      <c r="C69" s="56" t="n">
        <v>0</v>
      </c>
      <c r="D69" s="29" t="s">
        <v>41</v>
      </c>
      <c r="E69" s="33" t="n">
        <f aca="false">IF(D69="totale",(C69/(A69*24))/F69,IF(D69="marché libre",(C69/(A69*24))/G69,"spécifier histo"))</f>
        <v>0</v>
      </c>
      <c r="F69" s="59" t="n">
        <v>1700</v>
      </c>
      <c r="G69" s="59" t="n">
        <f aca="false">F69-H69</f>
        <v>1700</v>
      </c>
      <c r="H69" s="59" t="n">
        <v>0</v>
      </c>
      <c r="I69" s="9"/>
      <c r="J69" s="30"/>
    </row>
    <row r="70" customFormat="false" ht="23.4" hidden="false" customHeight="true" outlineLevel="0" collapsed="false">
      <c r="A70" s="1" t="n">
        <v>31</v>
      </c>
      <c r="B70" s="31" t="n">
        <v>36892</v>
      </c>
      <c r="C70" s="56" t="n">
        <v>398000</v>
      </c>
      <c r="D70" s="29" t="s">
        <v>41</v>
      </c>
      <c r="E70" s="33" t="n">
        <f aca="false">IF(D70="totale",(C70/(A70*24))/F70,IF(D70="marché libre",(C70/(A70*24))/G70,"spécifier histo"))</f>
        <v>0.314674256799494</v>
      </c>
      <c r="F70" s="59" t="n">
        <v>1700</v>
      </c>
      <c r="G70" s="59" t="n">
        <f aca="false">F70-H70</f>
        <v>1700</v>
      </c>
      <c r="H70" s="59" t="n">
        <v>0</v>
      </c>
      <c r="I70" s="9"/>
      <c r="J70" s="30"/>
    </row>
    <row r="71" customFormat="false" ht="23.4" hidden="false" customHeight="true" outlineLevel="0" collapsed="false">
      <c r="A71" s="1" t="n">
        <v>28</v>
      </c>
      <c r="B71" s="34" t="n">
        <v>36923</v>
      </c>
      <c r="C71" s="56" t="n">
        <v>247000</v>
      </c>
      <c r="D71" s="29" t="s">
        <v>41</v>
      </c>
      <c r="E71" s="33" t="n">
        <f aca="false">IF(D71="totale",(C71/(A71*24))/F71,IF(D71="marché libre",(C71/(A71*24))/G71,"spécifier histo"))</f>
        <v>0.216211484593838</v>
      </c>
      <c r="F71" s="59" t="n">
        <v>1700</v>
      </c>
      <c r="G71" s="59" t="n">
        <f aca="false">F71-H71</f>
        <v>1700</v>
      </c>
      <c r="H71" s="59" t="n">
        <v>0</v>
      </c>
      <c r="I71" s="9"/>
      <c r="J71" s="30"/>
    </row>
    <row r="72" customFormat="false" ht="23.4" hidden="false" customHeight="true" outlineLevel="0" collapsed="false">
      <c r="A72" s="1" t="n">
        <v>31</v>
      </c>
      <c r="B72" s="31" t="n">
        <v>36951</v>
      </c>
      <c r="C72" s="56" t="n">
        <v>611000</v>
      </c>
      <c r="D72" s="29" t="s">
        <v>41</v>
      </c>
      <c r="E72" s="33" t="n">
        <f aca="false">IF(D72="totale",(C72/(A72*24))/F72,IF(D72="marché libre",(C72/(A72*24))/G72,"spécifier histo"))</f>
        <v>0.483080328905756</v>
      </c>
      <c r="F72" s="59" t="n">
        <v>1700</v>
      </c>
      <c r="G72" s="59" t="n">
        <f aca="false">F72-H72</f>
        <v>1700</v>
      </c>
      <c r="H72" s="59" t="n">
        <v>0</v>
      </c>
      <c r="I72" s="9"/>
      <c r="J72" s="30"/>
    </row>
    <row r="73" customFormat="false" ht="23.4" hidden="false" customHeight="true" outlineLevel="0" collapsed="false">
      <c r="A73" s="1" t="n">
        <v>30</v>
      </c>
      <c r="B73" s="34" t="n">
        <v>36982</v>
      </c>
      <c r="C73" s="56" t="n">
        <v>871000</v>
      </c>
      <c r="D73" s="29" t="s">
        <v>41</v>
      </c>
      <c r="E73" s="33" t="n">
        <f aca="false">IF(D73="totale",(C73/(A73*24))/F73,IF(D73="marché libre",(C73/(A73*24))/G73,"spécifier histo"))</f>
        <v>0.711601307189542</v>
      </c>
      <c r="F73" s="59" t="n">
        <v>1700</v>
      </c>
      <c r="G73" s="59" t="n">
        <f aca="false">F73-H73</f>
        <v>1700</v>
      </c>
      <c r="H73" s="59" t="n">
        <v>0</v>
      </c>
      <c r="I73" s="9"/>
      <c r="J73" s="30"/>
    </row>
    <row r="74" customFormat="false" ht="23.4" hidden="false" customHeight="true" outlineLevel="0" collapsed="false">
      <c r="A74" s="1" t="n">
        <v>31</v>
      </c>
      <c r="B74" s="31" t="n">
        <v>37012</v>
      </c>
      <c r="C74" s="56" t="n">
        <v>739000</v>
      </c>
      <c r="D74" s="29" t="s">
        <v>41</v>
      </c>
      <c r="E74" s="33" t="n">
        <f aca="false">IF(D74="totale",(C74/(A74*24))/F74,IF(D74="marché libre",(C74/(A74*24))/G74,"spécifier histo"))</f>
        <v>0.584282099936749</v>
      </c>
      <c r="F74" s="59" t="n">
        <v>1700</v>
      </c>
      <c r="G74" s="59" t="n">
        <f aca="false">F74-H74</f>
        <v>1700</v>
      </c>
      <c r="H74" s="59" t="n">
        <v>0</v>
      </c>
      <c r="I74" s="9"/>
      <c r="J74" s="30"/>
    </row>
    <row r="75" customFormat="false" ht="23.4" hidden="false" customHeight="true" outlineLevel="0" collapsed="false">
      <c r="A75" s="1" t="n">
        <v>30</v>
      </c>
      <c r="B75" s="34" t="n">
        <v>37043</v>
      </c>
      <c r="C75" s="56" t="n">
        <v>537000</v>
      </c>
      <c r="D75" s="29" t="s">
        <v>41</v>
      </c>
      <c r="E75" s="33" t="n">
        <f aca="false">IF(D75="totale",(C75/(A75*24))/F75,IF(D75="marché libre",(C75/(A75*24))/G75,"spécifier histo"))</f>
        <v>0.438725490196078</v>
      </c>
      <c r="F75" s="59" t="n">
        <v>1700</v>
      </c>
      <c r="G75" s="59" t="n">
        <f aca="false">F75-H75</f>
        <v>1700</v>
      </c>
      <c r="H75" s="59" t="n">
        <v>0</v>
      </c>
      <c r="I75" s="9"/>
      <c r="J75" s="30"/>
    </row>
    <row r="76" customFormat="false" ht="23.4" hidden="false" customHeight="true" outlineLevel="0" collapsed="false">
      <c r="A76" s="1" t="n">
        <v>31</v>
      </c>
      <c r="B76" s="31" t="n">
        <v>37073</v>
      </c>
      <c r="C76" s="56" t="n">
        <v>747000</v>
      </c>
      <c r="D76" s="29" t="s">
        <v>41</v>
      </c>
      <c r="E76" s="33" t="n">
        <f aca="false">IF(D76="totale",(C76/(A76*24))/F76,IF(D76="marché libre",(C76/(A76*24))/G76,"spécifier histo"))</f>
        <v>0.590607210626186</v>
      </c>
      <c r="F76" s="59" t="n">
        <v>1700</v>
      </c>
      <c r="G76" s="59" t="n">
        <f aca="false">F76-H76</f>
        <v>1700</v>
      </c>
      <c r="H76" s="59" t="n">
        <v>0</v>
      </c>
      <c r="I76" s="9"/>
      <c r="J76" s="30"/>
    </row>
    <row r="77" customFormat="false" ht="23.4" hidden="false" customHeight="true" outlineLevel="0" collapsed="false">
      <c r="A77" s="1" t="n">
        <v>31</v>
      </c>
      <c r="B77" s="34" t="n">
        <v>37104</v>
      </c>
      <c r="C77" s="56" t="n">
        <v>580000</v>
      </c>
      <c r="D77" s="29" t="s">
        <v>41</v>
      </c>
      <c r="E77" s="33" t="n">
        <f aca="false">IF(D77="totale",(C77/(A77*24))/F77,IF(D77="marché libre",(C77/(A77*24))/G77,"spécifier histo"))</f>
        <v>0.458570524984187</v>
      </c>
      <c r="F77" s="59" t="n">
        <v>1700</v>
      </c>
      <c r="G77" s="59" t="n">
        <f aca="false">F77-H77</f>
        <v>1700</v>
      </c>
      <c r="H77" s="59" t="n">
        <v>0</v>
      </c>
      <c r="I77" s="9"/>
      <c r="J77" s="30"/>
    </row>
    <row r="78" customFormat="false" ht="23.4" hidden="false" customHeight="true" outlineLevel="0" collapsed="false">
      <c r="A78" s="1" t="n">
        <v>30</v>
      </c>
      <c r="B78" s="31" t="n">
        <v>37135</v>
      </c>
      <c r="C78" s="56" t="n">
        <v>434000</v>
      </c>
      <c r="D78" s="29" t="s">
        <v>41</v>
      </c>
      <c r="E78" s="33" t="n">
        <f aca="false">IF(D78="totale",(C78/(A78*24))/F78,IF(D78="marché libre",(C78/(A78*24))/G78,"spécifier histo"))</f>
        <v>0.354575163398693</v>
      </c>
      <c r="F78" s="59" t="n">
        <v>1700</v>
      </c>
      <c r="G78" s="59" t="n">
        <f aca="false">F78-H78</f>
        <v>1700</v>
      </c>
      <c r="H78" s="59" t="n">
        <v>0</v>
      </c>
      <c r="I78" s="9"/>
      <c r="J78" s="30"/>
    </row>
    <row r="79" customFormat="false" ht="23.4" hidden="false" customHeight="true" outlineLevel="0" collapsed="false">
      <c r="A79" s="1" t="n">
        <v>31</v>
      </c>
      <c r="B79" s="34" t="n">
        <v>37165</v>
      </c>
      <c r="C79" s="56" t="n">
        <v>251300</v>
      </c>
      <c r="D79" s="29" t="s">
        <v>41</v>
      </c>
      <c r="E79" s="33" t="n">
        <f aca="false">IF(D79="totale",(C79/(A79*24))/F79,IF(D79="marché libre",(C79/(A79*24))/G79,"spécifier histo"))</f>
        <v>0.198687539531942</v>
      </c>
      <c r="F79" s="59" t="n">
        <v>1700</v>
      </c>
      <c r="G79" s="59" t="n">
        <f aca="false">F79-H79</f>
        <v>1700</v>
      </c>
      <c r="H79" s="59" t="n">
        <v>0</v>
      </c>
      <c r="I79" s="9"/>
      <c r="J79" s="30"/>
    </row>
    <row r="80" customFormat="false" ht="23.4" hidden="false" customHeight="true" outlineLevel="0" collapsed="false">
      <c r="A80" s="1" t="n">
        <v>30</v>
      </c>
      <c r="B80" s="31" t="n">
        <v>37196</v>
      </c>
      <c r="C80" s="56" t="n">
        <v>184000</v>
      </c>
      <c r="D80" s="29" t="s">
        <v>41</v>
      </c>
      <c r="E80" s="33" t="n">
        <f aca="false">IF(D80="totale",(C80/(A80*24))/F80,IF(D80="marché libre",(C80/(A80*24))/G80,"spécifier histo"))</f>
        <v>0.150326797385621</v>
      </c>
      <c r="F80" s="59" t="n">
        <v>1700</v>
      </c>
      <c r="G80" s="59" t="n">
        <f aca="false">F80-H80</f>
        <v>1700</v>
      </c>
      <c r="H80" s="59" t="n">
        <v>0</v>
      </c>
      <c r="I80" s="9"/>
      <c r="J80" s="30"/>
    </row>
    <row r="81" customFormat="false" ht="23.4" hidden="false" customHeight="true" outlineLevel="0" collapsed="false">
      <c r="A81" s="1" t="n">
        <v>31</v>
      </c>
      <c r="B81" s="34" t="n">
        <v>37226</v>
      </c>
      <c r="C81" s="56" t="n">
        <v>188300</v>
      </c>
      <c r="D81" s="29" t="s">
        <v>41</v>
      </c>
      <c r="E81" s="33" t="n">
        <f aca="false">IF(D81="totale",(C81/(A81*24))/F81,IF(D81="marché libre",(C81/(A81*24))/G81,"spécifier histo"))</f>
        <v>0.148877292852625</v>
      </c>
      <c r="F81" s="59" t="n">
        <v>1700</v>
      </c>
      <c r="G81" s="59" t="n">
        <f aca="false">F81-H81</f>
        <v>1700</v>
      </c>
      <c r="H81" s="59" t="n">
        <v>0</v>
      </c>
      <c r="I81" s="9"/>
      <c r="J81" s="30"/>
    </row>
    <row r="82" customFormat="false" ht="23.4" hidden="false" customHeight="true" outlineLevel="0" collapsed="false">
      <c r="A82" s="1" t="n">
        <v>31</v>
      </c>
      <c r="B82" s="31" t="n">
        <v>37257</v>
      </c>
      <c r="C82" s="56" t="n">
        <v>109000</v>
      </c>
      <c r="D82" s="29" t="s">
        <v>41</v>
      </c>
      <c r="E82" s="33" t="n">
        <f aca="false">IF(D82="totale",(C82/(A82*24))/F82,IF(D82="marché libre",(C82/(A82*24))/G82,"spécifier histo"))</f>
        <v>0.08617963314358</v>
      </c>
      <c r="F82" s="59" t="n">
        <v>1700</v>
      </c>
      <c r="G82" s="59" t="n">
        <f aca="false">F82-H82</f>
        <v>1700</v>
      </c>
      <c r="H82" s="59" t="n">
        <v>0</v>
      </c>
      <c r="I82" s="9"/>
      <c r="J82" s="30"/>
    </row>
    <row r="83" customFormat="false" ht="23.4" hidden="false" customHeight="true" outlineLevel="0" collapsed="false">
      <c r="A83" s="1" t="n">
        <v>28</v>
      </c>
      <c r="B83" s="34" t="n">
        <v>37288</v>
      </c>
      <c r="C83" s="56" t="n">
        <v>226000</v>
      </c>
      <c r="D83" s="29" t="s">
        <v>41</v>
      </c>
      <c r="E83" s="33" t="n">
        <f aca="false">IF(D83="totale",(C83/(A83*24))/F83,IF(D83="marché libre",(C83/(A83*24))/G83,"spécifier histo"))</f>
        <v>0.197829131652661</v>
      </c>
      <c r="F83" s="59" t="n">
        <v>1700</v>
      </c>
      <c r="G83" s="59" t="n">
        <f aca="false">F83-H83</f>
        <v>1700</v>
      </c>
      <c r="H83" s="59" t="n">
        <v>0</v>
      </c>
      <c r="I83" s="9"/>
      <c r="J83" s="30"/>
    </row>
    <row r="84" customFormat="false" ht="23.4" hidden="false" customHeight="true" outlineLevel="0" collapsed="false">
      <c r="A84" s="1" t="n">
        <v>31</v>
      </c>
      <c r="B84" s="31" t="n">
        <v>37316</v>
      </c>
      <c r="C84" s="56" t="n">
        <v>500000</v>
      </c>
      <c r="D84" s="29" t="s">
        <v>41</v>
      </c>
      <c r="E84" s="33" t="n">
        <f aca="false">IF(D84="totale",(C84/(A84*24))/F84,IF(D84="marché libre",(C84/(A84*24))/G84,"spécifier histo"))</f>
        <v>0.395319418089817</v>
      </c>
      <c r="F84" s="59" t="n">
        <v>1700</v>
      </c>
      <c r="G84" s="59" t="n">
        <f aca="false">F84-H84</f>
        <v>1700</v>
      </c>
      <c r="H84" s="59" t="n">
        <v>0</v>
      </c>
      <c r="I84" s="9"/>
      <c r="J84" s="30"/>
    </row>
    <row r="85" customFormat="false" ht="23.4" hidden="false" customHeight="true" outlineLevel="0" collapsed="false">
      <c r="A85" s="1" t="n">
        <v>30</v>
      </c>
      <c r="B85" s="34" t="n">
        <v>37347</v>
      </c>
      <c r="C85" s="56" t="n">
        <v>502000</v>
      </c>
      <c r="D85" s="29" t="s">
        <v>41</v>
      </c>
      <c r="E85" s="33" t="n">
        <f aca="false">IF(D85="totale",(C85/(A85*24))/F85,IF(D85="marché libre",(C85/(A85*24))/G85,"spécifier histo"))</f>
        <v>0.410130718954248</v>
      </c>
      <c r="F85" s="59" t="n">
        <v>1700</v>
      </c>
      <c r="G85" s="59" t="n">
        <f aca="false">F85-H85</f>
        <v>1700</v>
      </c>
      <c r="H85" s="59" t="n">
        <v>0</v>
      </c>
      <c r="I85" s="9"/>
      <c r="J85" s="30"/>
    </row>
    <row r="86" customFormat="false" ht="23.4" hidden="false" customHeight="true" outlineLevel="0" collapsed="false">
      <c r="A86" s="1" t="n">
        <v>31</v>
      </c>
      <c r="B86" s="31" t="n">
        <v>37377</v>
      </c>
      <c r="C86" s="56" t="n">
        <v>722000</v>
      </c>
      <c r="D86" s="29" t="s">
        <v>41</v>
      </c>
      <c r="E86" s="33" t="n">
        <f aca="false">IF(D86="totale",(C86/(A86*24))/F86,IF(D86="marché libre",(C86/(A86*24))/G86,"spécifier histo"))</f>
        <v>0.570841239721695</v>
      </c>
      <c r="F86" s="59" t="n">
        <v>1700</v>
      </c>
      <c r="G86" s="59" t="n">
        <f aca="false">F86-H86</f>
        <v>1700</v>
      </c>
      <c r="H86" s="59" t="n">
        <v>0</v>
      </c>
      <c r="I86" s="9"/>
      <c r="J86" s="30"/>
    </row>
    <row r="87" customFormat="false" ht="23.4" hidden="false" customHeight="true" outlineLevel="0" collapsed="false">
      <c r="A87" s="1" t="n">
        <v>30</v>
      </c>
      <c r="B87" s="34" t="n">
        <v>37408</v>
      </c>
      <c r="C87" s="56" t="n">
        <v>813000</v>
      </c>
      <c r="D87" s="29" t="s">
        <v>41</v>
      </c>
      <c r="E87" s="33" t="n">
        <f aca="false">IF(D87="totale",(C87/(A87*24))/F87,IF(D87="marché libre",(C87/(A87*24))/G87,"spécifier histo"))</f>
        <v>0.66421568627451</v>
      </c>
      <c r="F87" s="59" t="n">
        <v>1700</v>
      </c>
      <c r="G87" s="59" t="n">
        <f aca="false">F87-H87</f>
        <v>1700</v>
      </c>
      <c r="H87" s="59" t="n">
        <v>0</v>
      </c>
      <c r="I87" s="9"/>
      <c r="J87" s="30"/>
    </row>
    <row r="88" customFormat="false" ht="23.4" hidden="false" customHeight="true" outlineLevel="0" collapsed="false">
      <c r="A88" s="1" t="n">
        <v>31</v>
      </c>
      <c r="B88" s="31" t="n">
        <v>37438</v>
      </c>
      <c r="C88" s="56" t="n">
        <v>377000</v>
      </c>
      <c r="D88" s="29" t="s">
        <v>41</v>
      </c>
      <c r="E88" s="33" t="n">
        <f aca="false">IF(D88="totale",(C88/(A88*24))/F88,IF(D88="marché libre",(C88/(A88*24))/G88,"spécifier histo"))</f>
        <v>0.298070841239722</v>
      </c>
      <c r="F88" s="59" t="n">
        <v>1700</v>
      </c>
      <c r="G88" s="59" t="n">
        <f aca="false">F88-H88</f>
        <v>1700</v>
      </c>
      <c r="H88" s="59" t="n">
        <v>0</v>
      </c>
      <c r="I88" s="9"/>
      <c r="J88" s="30"/>
    </row>
    <row r="89" customFormat="false" ht="23.4" hidden="false" customHeight="true" outlineLevel="0" collapsed="false">
      <c r="A89" s="1" t="n">
        <v>31</v>
      </c>
      <c r="B89" s="34" t="n">
        <v>37469</v>
      </c>
      <c r="C89" s="56" t="n">
        <v>430000</v>
      </c>
      <c r="D89" s="29" t="s">
        <v>41</v>
      </c>
      <c r="E89" s="33" t="n">
        <f aca="false">IF(D89="totale",(C89/(A89*24))/F89,IF(D89="marché libre",(C89/(A89*24))/G89,"spécifier histo"))</f>
        <v>0.339974699557242</v>
      </c>
      <c r="F89" s="59" t="n">
        <v>1700</v>
      </c>
      <c r="G89" s="59" t="n">
        <f aca="false">F89-H89</f>
        <v>1700</v>
      </c>
      <c r="H89" s="59" t="n">
        <v>0</v>
      </c>
      <c r="I89" s="9"/>
      <c r="J89" s="30"/>
    </row>
    <row r="90" customFormat="false" ht="23.4" hidden="false" customHeight="true" outlineLevel="0" collapsed="false">
      <c r="A90" s="1" t="n">
        <v>30</v>
      </c>
      <c r="B90" s="31" t="n">
        <v>37500</v>
      </c>
      <c r="C90" s="56" t="n">
        <v>330000</v>
      </c>
      <c r="D90" s="29" t="s">
        <v>41</v>
      </c>
      <c r="E90" s="33" t="n">
        <f aca="false">IF(D90="totale",(C90/(A90*24))/F90,IF(D90="marché libre",(C90/(A90*24))/G90,"spécifier histo"))</f>
        <v>0.269607843137255</v>
      </c>
      <c r="F90" s="59" t="n">
        <v>1700</v>
      </c>
      <c r="G90" s="59" t="n">
        <f aca="false">F90-H90</f>
        <v>1700</v>
      </c>
      <c r="H90" s="59" t="n">
        <v>0</v>
      </c>
      <c r="I90" s="9"/>
      <c r="J90" s="30"/>
    </row>
    <row r="91" customFormat="false" ht="23.4" hidden="false" customHeight="true" outlineLevel="0" collapsed="false">
      <c r="A91" s="1" t="n">
        <v>31</v>
      </c>
      <c r="B91" s="34" t="n">
        <v>37530</v>
      </c>
      <c r="C91" s="56" t="n">
        <v>308000</v>
      </c>
      <c r="D91" s="29" t="s">
        <v>41</v>
      </c>
      <c r="E91" s="33" t="n">
        <f aca="false">IF(D91="totale",(C91/(A91*24))/F91,IF(D91="marché libre",(C91/(A91*24))/G91,"spécifier histo"))</f>
        <v>0.243516761543327</v>
      </c>
      <c r="F91" s="59" t="n">
        <v>1700</v>
      </c>
      <c r="G91" s="59" t="n">
        <f aca="false">F91-H91</f>
        <v>1700</v>
      </c>
      <c r="H91" s="59" t="n">
        <v>0</v>
      </c>
      <c r="I91" s="9"/>
      <c r="J91" s="30"/>
    </row>
    <row r="92" customFormat="false" ht="23.4" hidden="false" customHeight="true" outlineLevel="0" collapsed="false">
      <c r="A92" s="1" t="n">
        <v>30</v>
      </c>
      <c r="B92" s="31" t="n">
        <v>37561</v>
      </c>
      <c r="C92" s="56" t="n">
        <v>677000</v>
      </c>
      <c r="D92" s="29" t="s">
        <v>41</v>
      </c>
      <c r="E92" s="33" t="n">
        <f aca="false">IF(D92="totale",(C92/(A92*24))/F92,IF(D92="marché libre",(C92/(A92*24))/G92,"spécifier histo"))</f>
        <v>0.553104575163399</v>
      </c>
      <c r="F92" s="59" t="n">
        <v>1700</v>
      </c>
      <c r="G92" s="59" t="n">
        <f aca="false">F92-H92</f>
        <v>1700</v>
      </c>
      <c r="H92" s="59" t="n">
        <v>0</v>
      </c>
      <c r="I92" s="9"/>
      <c r="J92" s="30"/>
    </row>
    <row r="93" customFormat="false" ht="23.4" hidden="false" customHeight="true" outlineLevel="0" collapsed="false">
      <c r="A93" s="1" t="n">
        <v>31</v>
      </c>
      <c r="B93" s="34" t="n">
        <v>37591</v>
      </c>
      <c r="C93" s="56" t="n">
        <v>485000</v>
      </c>
      <c r="D93" s="29" t="s">
        <v>41</v>
      </c>
      <c r="E93" s="33" t="n">
        <f aca="false">IF(D93="totale",(C93/(A93*24))/F93,IF(D93="marché libre",(C93/(A93*24))/G93,"spécifier histo"))</f>
        <v>0.383459835547122</v>
      </c>
      <c r="F93" s="59" t="n">
        <v>1700</v>
      </c>
      <c r="G93" s="59" t="n">
        <f aca="false">F93-H93</f>
        <v>1700</v>
      </c>
      <c r="H93" s="59" t="n">
        <v>0</v>
      </c>
      <c r="I93" s="9"/>
      <c r="J93" s="30"/>
    </row>
    <row r="94" customFormat="false" ht="23.4" hidden="false" customHeight="true" outlineLevel="0" collapsed="false">
      <c r="A94" s="1" t="n">
        <v>31</v>
      </c>
      <c r="B94" s="31" t="n">
        <v>37622</v>
      </c>
      <c r="C94" s="56" t="n">
        <v>420000</v>
      </c>
      <c r="D94" s="29" t="s">
        <v>41</v>
      </c>
      <c r="E94" s="33" t="n">
        <f aca="false">IF(D94="totale",(C94/(A94*24))/F94,IF(D94="marché libre",(C94/(A94*24))/G94,"spécifier histo"))</f>
        <v>0.332068311195446</v>
      </c>
      <c r="F94" s="59" t="n">
        <v>1700</v>
      </c>
      <c r="G94" s="59" t="n">
        <f aca="false">F94-H94</f>
        <v>1700</v>
      </c>
      <c r="H94" s="59" t="n">
        <v>0</v>
      </c>
      <c r="I94" s="9"/>
      <c r="J94" s="30"/>
    </row>
    <row r="95" customFormat="false" ht="23.4" hidden="false" customHeight="true" outlineLevel="0" collapsed="false">
      <c r="A95" s="1" t="n">
        <v>28</v>
      </c>
      <c r="B95" s="34" t="n">
        <v>37653</v>
      </c>
      <c r="C95" s="56" t="n">
        <v>250000</v>
      </c>
      <c r="D95" s="29" t="s">
        <v>41</v>
      </c>
      <c r="E95" s="33" t="n">
        <f aca="false">IF(D95="totale",(C95/(A95*24))/F95,IF(D95="marché libre",(C95/(A95*24))/G95,"spécifier histo"))</f>
        <v>0.218837535014006</v>
      </c>
      <c r="F95" s="59" t="n">
        <v>1700</v>
      </c>
      <c r="G95" s="59" t="n">
        <f aca="false">F95-H95</f>
        <v>1700</v>
      </c>
      <c r="H95" s="59" t="n">
        <v>0</v>
      </c>
      <c r="I95" s="9"/>
      <c r="J95" s="30"/>
    </row>
    <row r="96" customFormat="false" ht="23.4" hidden="false" customHeight="true" outlineLevel="0" collapsed="false">
      <c r="A96" s="1" t="n">
        <v>31</v>
      </c>
      <c r="B96" s="31" t="n">
        <v>37681</v>
      </c>
      <c r="C96" s="56" t="n">
        <v>570000</v>
      </c>
      <c r="D96" s="29" t="s">
        <v>41</v>
      </c>
      <c r="E96" s="33" t="n">
        <f aca="false">IF(D96="totale",(C96/(A96*24))/F96,IF(D96="marché libre",(C96/(A96*24))/G96,"spécifier histo"))</f>
        <v>0.450664136622391</v>
      </c>
      <c r="F96" s="59" t="n">
        <v>1700</v>
      </c>
      <c r="G96" s="59" t="n">
        <f aca="false">F96-H96</f>
        <v>1700</v>
      </c>
      <c r="H96" s="59" t="n">
        <v>0</v>
      </c>
      <c r="I96" s="9"/>
      <c r="J96" s="30"/>
    </row>
    <row r="97" customFormat="false" ht="23.4" hidden="false" customHeight="true" outlineLevel="0" collapsed="false">
      <c r="A97" s="1" t="n">
        <v>30</v>
      </c>
      <c r="B97" s="34" t="n">
        <v>37712</v>
      </c>
      <c r="C97" s="56" t="n">
        <v>729000</v>
      </c>
      <c r="D97" s="29" t="s">
        <v>41</v>
      </c>
      <c r="E97" s="33" t="n">
        <f aca="false">IF(D97="totale",(C97/(A97*24))/F97,IF(D97="marché libre",(C97/(A97*24))/G97,"spécifier histo"))</f>
        <v>0.595588235294118</v>
      </c>
      <c r="F97" s="59" t="n">
        <v>1700</v>
      </c>
      <c r="G97" s="59" t="n">
        <f aca="false">F97-H97</f>
        <v>1700</v>
      </c>
      <c r="H97" s="59" t="n">
        <v>0</v>
      </c>
      <c r="I97" s="9"/>
      <c r="J97" s="30"/>
    </row>
    <row r="98" customFormat="false" ht="23.4" hidden="false" customHeight="true" outlineLevel="0" collapsed="false">
      <c r="A98" s="1" t="n">
        <v>31</v>
      </c>
      <c r="B98" s="31" t="n">
        <v>37742</v>
      </c>
      <c r="C98" s="56" t="n">
        <v>931000</v>
      </c>
      <c r="D98" s="29" t="s">
        <v>41</v>
      </c>
      <c r="E98" s="33" t="n">
        <f aca="false">IF(D98="totale",(C98/(A98*24))/F98,IF(D98="marché libre",(C98/(A98*24))/G98,"spécifier histo"))</f>
        <v>0.736084756483238</v>
      </c>
      <c r="F98" s="59" t="n">
        <v>1700</v>
      </c>
      <c r="G98" s="59" t="n">
        <f aca="false">F98-H98</f>
        <v>1700</v>
      </c>
      <c r="H98" s="59" t="n">
        <v>0</v>
      </c>
      <c r="I98" s="9"/>
      <c r="J98" s="30"/>
    </row>
    <row r="99" customFormat="false" ht="23.4" hidden="false" customHeight="true" outlineLevel="0" collapsed="false">
      <c r="A99" s="1" t="n">
        <v>30</v>
      </c>
      <c r="B99" s="34" t="n">
        <v>37773</v>
      </c>
      <c r="C99" s="56" t="n">
        <v>723000</v>
      </c>
      <c r="D99" s="29" t="s">
        <v>41</v>
      </c>
      <c r="E99" s="33" t="n">
        <f aca="false">IF(D99="totale",(C99/(A99*24))/F99,IF(D99="marché libre",(C99/(A99*24))/G99,"spécifier histo"))</f>
        <v>0.590686274509804</v>
      </c>
      <c r="F99" s="59" t="n">
        <v>1700</v>
      </c>
      <c r="G99" s="59" t="n">
        <f aca="false">F99-H99</f>
        <v>1700</v>
      </c>
      <c r="H99" s="59" t="n">
        <v>0</v>
      </c>
      <c r="I99" s="9"/>
      <c r="J99" s="30"/>
    </row>
    <row r="100" customFormat="false" ht="23.4" hidden="false" customHeight="true" outlineLevel="0" collapsed="false">
      <c r="A100" s="1" t="n">
        <v>31</v>
      </c>
      <c r="B100" s="31" t="n">
        <v>37803</v>
      </c>
      <c r="C100" s="56" t="n">
        <v>243000</v>
      </c>
      <c r="D100" s="29" t="s">
        <v>41</v>
      </c>
      <c r="E100" s="33" t="n">
        <f aca="false">IF(D100="totale",(C100/(A100*24))/F100,IF(D100="marché libre",(C100/(A100*24))/G100,"spécifier histo"))</f>
        <v>0.192125237191651</v>
      </c>
      <c r="F100" s="59" t="n">
        <v>1700</v>
      </c>
      <c r="G100" s="59" t="n">
        <f aca="false">F100-H100</f>
        <v>1700</v>
      </c>
      <c r="H100" s="59" t="n">
        <v>0</v>
      </c>
      <c r="I100" s="9"/>
      <c r="J100" s="30"/>
    </row>
    <row r="101" customFormat="false" ht="23.4" hidden="false" customHeight="true" outlineLevel="0" collapsed="false">
      <c r="A101" s="1" t="n">
        <v>31</v>
      </c>
      <c r="B101" s="34" t="n">
        <v>37834</v>
      </c>
      <c r="C101" s="56" t="n">
        <v>207000</v>
      </c>
      <c r="D101" s="29" t="s">
        <v>41</v>
      </c>
      <c r="E101" s="33" t="n">
        <f aca="false">IF(D101="totale",(C101/(A101*24))/F101,IF(D101="marché libre",(C101/(A101*24))/G101,"spécifier histo"))</f>
        <v>0.163662239089184</v>
      </c>
      <c r="F101" s="59" t="n">
        <v>1700</v>
      </c>
      <c r="G101" s="59" t="n">
        <f aca="false">F101-H101</f>
        <v>1700</v>
      </c>
      <c r="H101" s="59" t="n">
        <v>0</v>
      </c>
      <c r="I101" s="9"/>
      <c r="J101" s="30"/>
    </row>
    <row r="102" customFormat="false" ht="23.4" hidden="false" customHeight="true" outlineLevel="0" collapsed="false">
      <c r="A102" s="1" t="n">
        <v>30</v>
      </c>
      <c r="B102" s="31" t="n">
        <v>37865</v>
      </c>
      <c r="C102" s="56" t="n">
        <v>212000</v>
      </c>
      <c r="D102" s="29" t="s">
        <v>41</v>
      </c>
      <c r="E102" s="33" t="n">
        <f aca="false">IF(D102="totale",(C102/(A102*24))/F102,IF(D102="marché libre",(C102/(A102*24))/G102,"spécifier histo"))</f>
        <v>0.173202614379085</v>
      </c>
      <c r="F102" s="59" t="n">
        <v>1700</v>
      </c>
      <c r="G102" s="59" t="n">
        <f aca="false">F102-H102</f>
        <v>1700</v>
      </c>
      <c r="H102" s="59" t="n">
        <v>0</v>
      </c>
      <c r="I102" s="9"/>
      <c r="J102" s="30"/>
    </row>
    <row r="103" customFormat="false" ht="23.4" hidden="false" customHeight="true" outlineLevel="0" collapsed="false">
      <c r="A103" s="1" t="n">
        <v>31</v>
      </c>
      <c r="B103" s="34" t="n">
        <v>37895</v>
      </c>
      <c r="C103" s="56" t="n">
        <v>289000</v>
      </c>
      <c r="D103" s="29" t="s">
        <v>41</v>
      </c>
      <c r="E103" s="33" t="n">
        <f aca="false">IF(D103="totale",(C103/(A103*24))/F103,IF(D103="marché libre",(C103/(A103*24))/G103,"spécifier histo"))</f>
        <v>0.228494623655914</v>
      </c>
      <c r="F103" s="59" t="n">
        <v>1700</v>
      </c>
      <c r="G103" s="59" t="n">
        <f aca="false">F103-H103</f>
        <v>1700</v>
      </c>
      <c r="H103" s="59" t="n">
        <v>0</v>
      </c>
      <c r="I103" s="9"/>
      <c r="J103" s="30"/>
    </row>
    <row r="104" customFormat="false" ht="23.4" hidden="false" customHeight="true" outlineLevel="0" collapsed="false">
      <c r="A104" s="1" t="n">
        <v>30</v>
      </c>
      <c r="B104" s="31" t="n">
        <v>37926</v>
      </c>
      <c r="C104" s="56" t="n">
        <v>219000</v>
      </c>
      <c r="D104" s="29" t="s">
        <v>41</v>
      </c>
      <c r="E104" s="33" t="n">
        <f aca="false">IF(D104="totale",(C104/(A104*24))/F104,IF(D104="marché libre",(C104/(A104*24))/G104,"spécifier histo"))</f>
        <v>0.178921568627451</v>
      </c>
      <c r="F104" s="59" t="n">
        <v>1700</v>
      </c>
      <c r="G104" s="59" t="n">
        <f aca="false">F104-H104</f>
        <v>1700</v>
      </c>
      <c r="H104" s="59" t="n">
        <v>0</v>
      </c>
      <c r="I104" s="9"/>
      <c r="J104" s="30"/>
    </row>
    <row r="105" customFormat="false" ht="23.4" hidden="false" customHeight="true" outlineLevel="0" collapsed="false">
      <c r="A105" s="1" t="n">
        <v>31</v>
      </c>
      <c r="B105" s="34" t="n">
        <v>37956</v>
      </c>
      <c r="C105" s="56" t="n">
        <v>177000</v>
      </c>
      <c r="D105" s="29" t="s">
        <v>41</v>
      </c>
      <c r="E105" s="33" t="n">
        <f aca="false">IF(D105="totale",(C105/(A105*24))/F105,IF(D105="marché libre",(C105/(A105*24))/G105,"spécifier histo"))</f>
        <v>0.139943074003795</v>
      </c>
      <c r="F105" s="59" t="n">
        <v>1700</v>
      </c>
      <c r="G105" s="59" t="n">
        <f aca="false">F105-H105</f>
        <v>1700</v>
      </c>
      <c r="H105" s="59" t="n">
        <v>0</v>
      </c>
      <c r="I105" s="9"/>
      <c r="J105" s="30"/>
    </row>
    <row r="106" customFormat="false" ht="23.4" hidden="false" customHeight="true" outlineLevel="0" collapsed="false">
      <c r="A106" s="1" t="n">
        <v>31</v>
      </c>
      <c r="B106" s="31" t="n">
        <v>37987</v>
      </c>
      <c r="C106" s="56" t="n">
        <v>295000</v>
      </c>
      <c r="D106" s="29" t="s">
        <v>41</v>
      </c>
      <c r="E106" s="33" t="n">
        <f aca="false">IF(D106="totale",(C106/(A106*24))/F106,IF(D106="marché libre",(C106/(A106*24))/G106,"spécifier histo"))</f>
        <v>0.233238456672992</v>
      </c>
      <c r="F106" s="59" t="n">
        <v>1700</v>
      </c>
      <c r="G106" s="59" t="n">
        <f aca="false">F106-H106</f>
        <v>1700</v>
      </c>
      <c r="H106" s="59" t="n">
        <v>0</v>
      </c>
      <c r="I106" s="9"/>
      <c r="J106" s="30"/>
    </row>
    <row r="107" customFormat="false" ht="23.4" hidden="false" customHeight="true" outlineLevel="0" collapsed="false">
      <c r="A107" s="1" t="n">
        <v>28</v>
      </c>
      <c r="B107" s="34" t="n">
        <v>38018</v>
      </c>
      <c r="C107" s="56" t="n">
        <v>342000</v>
      </c>
      <c r="D107" s="29" t="s">
        <v>41</v>
      </c>
      <c r="E107" s="33" t="n">
        <f aca="false">IF(D107="totale",(C107/(A107*24))/F107,IF(D107="marché libre",(C107/(A107*24))/G107,"spécifier histo"))</f>
        <v>0.29936974789916</v>
      </c>
      <c r="F107" s="59" t="n">
        <v>1700</v>
      </c>
      <c r="G107" s="59" t="n">
        <f aca="false">F107-H107</f>
        <v>1700</v>
      </c>
      <c r="H107" s="59" t="n">
        <v>0</v>
      </c>
      <c r="I107" s="9"/>
      <c r="J107" s="30"/>
    </row>
    <row r="108" customFormat="false" ht="23.4" hidden="false" customHeight="true" outlineLevel="0" collapsed="false">
      <c r="A108" s="1" t="n">
        <v>31</v>
      </c>
      <c r="B108" s="31" t="n">
        <v>38047</v>
      </c>
      <c r="C108" s="56" t="n">
        <v>446000</v>
      </c>
      <c r="D108" s="29" t="s">
        <v>41</v>
      </c>
      <c r="E108" s="33" t="n">
        <f aca="false">IF(D108="totale",(C108/(A108*24))/F108,IF(D108="marché libre",(C108/(A108*24))/G108,"spécifier histo"))</f>
        <v>0.352624920936116</v>
      </c>
      <c r="F108" s="59" t="n">
        <v>1700</v>
      </c>
      <c r="G108" s="59" t="n">
        <f aca="false">F108-H108</f>
        <v>1700</v>
      </c>
      <c r="H108" s="59" t="n">
        <v>0</v>
      </c>
      <c r="I108" s="9"/>
      <c r="J108" s="30"/>
    </row>
    <row r="109" customFormat="false" ht="23.4" hidden="false" customHeight="true" outlineLevel="0" collapsed="false">
      <c r="A109" s="1" t="n">
        <v>30</v>
      </c>
      <c r="B109" s="34" t="n">
        <v>38078</v>
      </c>
      <c r="C109" s="56" t="n">
        <v>365000</v>
      </c>
      <c r="D109" s="29" t="s">
        <v>41</v>
      </c>
      <c r="E109" s="33" t="n">
        <f aca="false">IF(D109="totale",(C109/(A109*24))/F109,IF(D109="marché libre",(C109/(A109*24))/G109,"spécifier histo"))</f>
        <v>0.298202614379085</v>
      </c>
      <c r="F109" s="59" t="n">
        <v>1700</v>
      </c>
      <c r="G109" s="59" t="n">
        <f aca="false">F109-H109</f>
        <v>1700</v>
      </c>
      <c r="H109" s="59" t="n">
        <v>0</v>
      </c>
      <c r="I109" s="9"/>
      <c r="J109" s="30"/>
    </row>
    <row r="110" customFormat="false" ht="23.4" hidden="false" customHeight="true" outlineLevel="0" collapsed="false">
      <c r="A110" s="1" t="n">
        <v>31</v>
      </c>
      <c r="B110" s="31" t="n">
        <v>38108</v>
      </c>
      <c r="C110" s="56" t="n">
        <v>663000</v>
      </c>
      <c r="D110" s="29" t="s">
        <v>41</v>
      </c>
      <c r="E110" s="33" t="n">
        <f aca="false">IF(D110="totale",(C110/(A110*24))/F110,IF(D110="marché libre",(C110/(A110*24))/G110,"spécifier histo"))</f>
        <v>0.524193548387097</v>
      </c>
      <c r="F110" s="59" t="n">
        <v>1700</v>
      </c>
      <c r="G110" s="59" t="n">
        <f aca="false">F110-H110</f>
        <v>1700</v>
      </c>
      <c r="H110" s="59" t="n">
        <v>0</v>
      </c>
      <c r="I110" s="9"/>
      <c r="J110" s="30"/>
    </row>
    <row r="111" customFormat="false" ht="23.4" hidden="false" customHeight="true" outlineLevel="0" collapsed="false">
      <c r="A111" s="1" t="n">
        <v>30</v>
      </c>
      <c r="B111" s="34" t="n">
        <v>38139</v>
      </c>
      <c r="C111" s="56" t="n">
        <v>146000</v>
      </c>
      <c r="D111" s="29" t="s">
        <v>41</v>
      </c>
      <c r="E111" s="33" t="n">
        <f aca="false">IF(D111="totale",(C111/(A111*24))/F111,IF(D111="marché libre",(C111/(A111*24))/G111,"spécifier histo"))</f>
        <v>0.119281045751634</v>
      </c>
      <c r="F111" s="59" t="n">
        <v>1700</v>
      </c>
      <c r="G111" s="59" t="n">
        <f aca="false">F111-H111</f>
        <v>1700</v>
      </c>
      <c r="H111" s="59" t="n">
        <v>0</v>
      </c>
      <c r="I111" s="9"/>
      <c r="J111" s="30"/>
    </row>
    <row r="112" customFormat="false" ht="23.4" hidden="false" customHeight="true" outlineLevel="0" collapsed="false">
      <c r="A112" s="1" t="n">
        <v>31</v>
      </c>
      <c r="B112" s="31" t="n">
        <v>38169</v>
      </c>
      <c r="C112" s="56" t="n">
        <v>309000</v>
      </c>
      <c r="D112" s="29" t="s">
        <v>41</v>
      </c>
      <c r="E112" s="33" t="n">
        <f aca="false">IF(D112="totale",(C112/(A112*24))/F112,IF(D112="marché libre",(C112/(A112*24))/G112,"spécifier histo"))</f>
        <v>0.244307400379507</v>
      </c>
      <c r="F112" s="59" t="n">
        <v>1700</v>
      </c>
      <c r="G112" s="59" t="n">
        <f aca="false">F112-H112</f>
        <v>1700</v>
      </c>
      <c r="H112" s="59" t="n">
        <v>0</v>
      </c>
      <c r="I112" s="9"/>
      <c r="J112" s="30"/>
    </row>
    <row r="113" customFormat="false" ht="23.4" hidden="false" customHeight="true" outlineLevel="0" collapsed="false">
      <c r="A113" s="1" t="n">
        <v>31</v>
      </c>
      <c r="B113" s="34" t="n">
        <v>38200</v>
      </c>
      <c r="C113" s="56" t="n">
        <v>346000</v>
      </c>
      <c r="D113" s="29" t="s">
        <v>41</v>
      </c>
      <c r="E113" s="33" t="n">
        <f aca="false">IF(D113="totale",(C113/(A113*24))/F113,IF(D113="marché libre",(C113/(A113*24))/G113,"spécifier histo"))</f>
        <v>0.273561037318153</v>
      </c>
      <c r="F113" s="59" t="n">
        <v>1700</v>
      </c>
      <c r="G113" s="59" t="n">
        <f aca="false">F113-H113</f>
        <v>1700</v>
      </c>
      <c r="H113" s="59" t="n">
        <v>0</v>
      </c>
      <c r="I113" s="9"/>
      <c r="J113" s="30"/>
    </row>
    <row r="114" customFormat="false" ht="23.4" hidden="false" customHeight="true" outlineLevel="0" collapsed="false">
      <c r="A114" s="1" t="n">
        <v>30</v>
      </c>
      <c r="B114" s="31" t="n">
        <v>38231</v>
      </c>
      <c r="C114" s="56" t="n">
        <v>281000</v>
      </c>
      <c r="D114" s="29" t="s">
        <v>41</v>
      </c>
      <c r="E114" s="33" t="n">
        <f aca="false">IF(D114="totale",(C114/(A114*24))/F114,IF(D114="marché libre",(C114/(A114*24))/G114,"spécifier histo"))</f>
        <v>0.229575163398693</v>
      </c>
      <c r="F114" s="59" t="n">
        <v>1700</v>
      </c>
      <c r="G114" s="59" t="n">
        <f aca="false">F114-H114</f>
        <v>1700</v>
      </c>
      <c r="H114" s="59" t="n">
        <v>0</v>
      </c>
      <c r="I114" s="9"/>
      <c r="J114" s="30"/>
    </row>
    <row r="115" customFormat="false" ht="23.4" hidden="false" customHeight="true" outlineLevel="0" collapsed="false">
      <c r="A115" s="1" t="n">
        <v>31</v>
      </c>
      <c r="B115" s="34" t="n">
        <v>38261</v>
      </c>
      <c r="C115" s="56" t="n">
        <v>62000</v>
      </c>
      <c r="D115" s="29" t="s">
        <v>41</v>
      </c>
      <c r="E115" s="33" t="n">
        <f aca="false">IF(D115="totale",(C115/(A115*24))/F115,IF(D115="marché libre",(C115/(A115*24))/G115,"spécifier histo"))</f>
        <v>0.0490196078431373</v>
      </c>
      <c r="F115" s="59" t="n">
        <v>1700</v>
      </c>
      <c r="G115" s="59" t="n">
        <f aca="false">F115-H115</f>
        <v>1700</v>
      </c>
      <c r="H115" s="59" t="n">
        <v>0</v>
      </c>
      <c r="I115" s="9"/>
      <c r="J115" s="30"/>
    </row>
    <row r="116" customFormat="false" ht="23.4" hidden="false" customHeight="true" outlineLevel="0" collapsed="false">
      <c r="A116" s="1" t="n">
        <v>30</v>
      </c>
      <c r="B116" s="31" t="n">
        <v>38292</v>
      </c>
      <c r="C116" s="56" t="n">
        <v>0</v>
      </c>
      <c r="D116" s="29" t="s">
        <v>41</v>
      </c>
      <c r="E116" s="33" t="n">
        <f aca="false">IF(D116="totale",(C116/(A116*24))/F116,IF(D116="marché libre",(C116/(A116*24))/G116,"spécifier histo"))</f>
        <v>0</v>
      </c>
      <c r="F116" s="59" t="n">
        <v>1700</v>
      </c>
      <c r="G116" s="59" t="n">
        <f aca="false">F116-H116</f>
        <v>1700</v>
      </c>
      <c r="H116" s="59" t="n">
        <v>0</v>
      </c>
      <c r="I116" s="9"/>
      <c r="J116" s="30"/>
    </row>
    <row r="117" customFormat="false" ht="23.4" hidden="false" customHeight="true" outlineLevel="0" collapsed="false">
      <c r="A117" s="1" t="n">
        <v>31</v>
      </c>
      <c r="B117" s="34" t="n">
        <v>38322</v>
      </c>
      <c r="C117" s="56" t="n">
        <v>0</v>
      </c>
      <c r="D117" s="29" t="s">
        <v>41</v>
      </c>
      <c r="E117" s="33" t="n">
        <f aca="false">IF(D117="totale",(C117/(A117*24))/F117,IF(D117="marché libre",(C117/(A117*24))/G117,"spécifier histo"))</f>
        <v>0</v>
      </c>
      <c r="F117" s="59" t="n">
        <v>1700</v>
      </c>
      <c r="G117" s="59" t="n">
        <f aca="false">F117-H117</f>
        <v>1700</v>
      </c>
      <c r="H117" s="59" t="n">
        <v>0</v>
      </c>
      <c r="I117" s="9"/>
      <c r="J117" s="30"/>
    </row>
    <row r="118" customFormat="false" ht="19.85" hidden="false" customHeight="true" outlineLevel="0" collapsed="false">
      <c r="A118" s="1" t="n">
        <v>31</v>
      </c>
      <c r="B118" s="31" t="n">
        <v>38353</v>
      </c>
      <c r="C118" s="56" t="n">
        <v>0</v>
      </c>
      <c r="D118" s="29" t="s">
        <v>41</v>
      </c>
      <c r="E118" s="33" t="n">
        <f aca="false">IF(D118="totale",(C118/(A118*24))/F118,IF(D118="marché libre",(C118/(A118*24))/G118,"spécifier histo"))</f>
        <v>0</v>
      </c>
      <c r="F118" s="59" t="n">
        <v>1700</v>
      </c>
      <c r="G118" s="59" t="n">
        <f aca="false">F118-H118</f>
        <v>1700</v>
      </c>
      <c r="H118" s="59" t="n">
        <v>0</v>
      </c>
      <c r="J118" s="237"/>
    </row>
    <row r="119" customFormat="false" ht="19.85" hidden="false" customHeight="true" outlineLevel="0" collapsed="false">
      <c r="A119" s="1" t="n">
        <v>28</v>
      </c>
      <c r="B119" s="34" t="n">
        <v>38384</v>
      </c>
      <c r="C119" s="56" t="n">
        <v>10000</v>
      </c>
      <c r="D119" s="29" t="s">
        <v>41</v>
      </c>
      <c r="E119" s="33" t="n">
        <f aca="false">IF(D119="totale",(C119/(A119*24))/F119,IF(D119="marché libre",(C119/(A119*24))/G119,"spécifier histo"))</f>
        <v>0.00875350140056022</v>
      </c>
      <c r="F119" s="59" t="n">
        <v>1700</v>
      </c>
      <c r="G119" s="59" t="n">
        <f aca="false">F119-H119</f>
        <v>1700</v>
      </c>
      <c r="H119" s="59" t="n">
        <v>0</v>
      </c>
      <c r="J119" s="70"/>
    </row>
    <row r="120" customFormat="false" ht="19.85" hidden="false" customHeight="true" outlineLevel="0" collapsed="false">
      <c r="A120" s="1" t="n">
        <v>31</v>
      </c>
      <c r="B120" s="31" t="n">
        <v>38412</v>
      </c>
      <c r="C120" s="56" t="n">
        <v>277000</v>
      </c>
      <c r="D120" s="29" t="s">
        <v>41</v>
      </c>
      <c r="E120" s="33" t="n">
        <f aca="false">IF(D120="totale",(C120/(A120*24))/F120,IF(D120="marché libre",(C120/(A120*24))/G120,"spécifier histo"))</f>
        <v>0.219006957621758</v>
      </c>
      <c r="F120" s="59" t="n">
        <v>1700</v>
      </c>
      <c r="G120" s="59" t="n">
        <f aca="false">F120-H120</f>
        <v>1700</v>
      </c>
      <c r="H120" s="59" t="n">
        <v>0</v>
      </c>
      <c r="J120" s="70"/>
    </row>
    <row r="121" customFormat="false" ht="19.85" hidden="false" customHeight="true" outlineLevel="0" collapsed="false">
      <c r="A121" s="1" t="n">
        <v>30</v>
      </c>
      <c r="B121" s="34" t="n">
        <v>38443</v>
      </c>
      <c r="C121" s="56" t="n">
        <v>679000</v>
      </c>
      <c r="D121" s="29" t="s">
        <v>41</v>
      </c>
      <c r="E121" s="33" t="n">
        <f aca="false">IF(D121="totale",(C121/(A121*24))/F121,IF(D121="marché libre",(C121/(A121*24))/G121,"spécifier histo"))</f>
        <v>0.554738562091503</v>
      </c>
      <c r="F121" s="59" t="n">
        <v>1700</v>
      </c>
      <c r="G121" s="59" t="n">
        <f aca="false">F121-H121</f>
        <v>1700</v>
      </c>
      <c r="H121" s="59" t="n">
        <v>0</v>
      </c>
      <c r="J121" s="70"/>
      <c r="K121" s="38"/>
      <c r="L121" s="38"/>
      <c r="M121" s="38"/>
      <c r="N121" s="38"/>
      <c r="O121" s="38"/>
      <c r="P121" s="38"/>
      <c r="Q121" s="38"/>
      <c r="R121" s="38"/>
      <c r="S121" s="38"/>
      <c r="T121" s="38"/>
      <c r="U121" s="38"/>
      <c r="V121" s="38"/>
      <c r="W121" s="38"/>
      <c r="X121" s="38"/>
      <c r="Y121" s="38"/>
      <c r="Z121" s="38"/>
    </row>
    <row r="122" customFormat="false" ht="19.85" hidden="false" customHeight="true" outlineLevel="0" collapsed="false">
      <c r="A122" s="1" t="n">
        <v>31</v>
      </c>
      <c r="B122" s="31" t="n">
        <v>38473</v>
      </c>
      <c r="C122" s="56" t="n">
        <v>594000</v>
      </c>
      <c r="D122" s="29" t="s">
        <v>41</v>
      </c>
      <c r="E122" s="33" t="n">
        <f aca="false">IF(D122="totale",(C122/(A122*24))/F122,IF(D122="marché libre",(C122/(A122*24))/G122,"spécifier histo"))</f>
        <v>0.469639468690702</v>
      </c>
      <c r="F122" s="59" t="n">
        <v>1700</v>
      </c>
      <c r="G122" s="59" t="n">
        <f aca="false">F122-H122</f>
        <v>1700</v>
      </c>
      <c r="H122" s="59" t="n">
        <v>0</v>
      </c>
      <c r="J122" s="70"/>
    </row>
    <row r="123" customFormat="false" ht="19.85" hidden="false" customHeight="true" outlineLevel="0" collapsed="false">
      <c r="A123" s="1" t="n">
        <v>30</v>
      </c>
      <c r="B123" s="34" t="n">
        <v>38504</v>
      </c>
      <c r="C123" s="56" t="n">
        <v>478000</v>
      </c>
      <c r="D123" s="29" t="s">
        <v>41</v>
      </c>
      <c r="E123" s="33" t="n">
        <f aca="false">IF(D123="totale",(C123/(A123*24))/F123,IF(D123="marché libre",(C123/(A123*24))/G123,"spécifier histo"))</f>
        <v>0.390522875816993</v>
      </c>
      <c r="F123" s="59" t="n">
        <v>1700</v>
      </c>
      <c r="G123" s="59" t="n">
        <f aca="false">F123-H123</f>
        <v>1700</v>
      </c>
      <c r="H123" s="59" t="n">
        <v>0</v>
      </c>
      <c r="J123" s="70"/>
    </row>
    <row r="124" customFormat="false" ht="19.85" hidden="false" customHeight="true" outlineLevel="0" collapsed="false">
      <c r="A124" s="1" t="n">
        <v>31</v>
      </c>
      <c r="B124" s="31" t="n">
        <v>38534</v>
      </c>
      <c r="C124" s="56" t="n">
        <v>341000</v>
      </c>
      <c r="D124" s="29" t="s">
        <v>41</v>
      </c>
      <c r="E124" s="33" t="n">
        <f aca="false">IF(D124="totale",(C124/(A124*24))/F124,IF(D124="marché libre",(C124/(A124*24))/G124,"spécifier histo"))</f>
        <v>0.269607843137255</v>
      </c>
      <c r="F124" s="59" t="n">
        <v>1700</v>
      </c>
      <c r="G124" s="59" t="n">
        <f aca="false">F124-H124</f>
        <v>1700</v>
      </c>
      <c r="H124" s="59" t="n">
        <v>0</v>
      </c>
      <c r="J124" s="70"/>
    </row>
    <row r="125" customFormat="false" ht="19.85" hidden="false" customHeight="true" outlineLevel="0" collapsed="false">
      <c r="A125" s="1" t="n">
        <v>31</v>
      </c>
      <c r="B125" s="34" t="n">
        <v>38565</v>
      </c>
      <c r="C125" s="56" t="n">
        <v>343000</v>
      </c>
      <c r="D125" s="29" t="s">
        <v>41</v>
      </c>
      <c r="E125" s="33" t="n">
        <f aca="false">IF(D125="totale",(C125/(A125*24))/F125,IF(D125="marché libre",(C125/(A125*24))/G125,"spécifier histo"))</f>
        <v>0.271189120809614</v>
      </c>
      <c r="F125" s="59" t="n">
        <v>1700</v>
      </c>
      <c r="G125" s="59" t="n">
        <f aca="false">F125-H125</f>
        <v>1700</v>
      </c>
      <c r="H125" s="59" t="n">
        <v>0</v>
      </c>
      <c r="J125" s="70"/>
    </row>
    <row r="126" customFormat="false" ht="19.85" hidden="false" customHeight="true" outlineLevel="0" collapsed="false">
      <c r="A126" s="1" t="n">
        <v>30</v>
      </c>
      <c r="B126" s="31" t="n">
        <v>38596</v>
      </c>
      <c r="C126" s="56" t="n">
        <v>254000</v>
      </c>
      <c r="D126" s="29" t="s">
        <v>41</v>
      </c>
      <c r="E126" s="33" t="n">
        <f aca="false">IF(D126="totale",(C126/(A126*24))/F126,IF(D126="marché libre",(C126/(A126*24))/G126,"spécifier histo"))</f>
        <v>0.207516339869281</v>
      </c>
      <c r="F126" s="59" t="n">
        <v>1700</v>
      </c>
      <c r="G126" s="59" t="n">
        <f aca="false">F126-H126</f>
        <v>1700</v>
      </c>
      <c r="H126" s="59" t="n">
        <v>0</v>
      </c>
      <c r="J126" s="70"/>
    </row>
    <row r="127" customFormat="false" ht="19.85" hidden="false" customHeight="true" outlineLevel="0" collapsed="false">
      <c r="A127" s="1" t="n">
        <v>31</v>
      </c>
      <c r="B127" s="34" t="n">
        <v>38626</v>
      </c>
      <c r="C127" s="56" t="n">
        <v>127000</v>
      </c>
      <c r="D127" s="29" t="s">
        <v>41</v>
      </c>
      <c r="E127" s="33" t="n">
        <f aca="false">IF(D127="totale",(C127/(A127*24))/F127,IF(D127="marché libre",(C127/(A127*24))/G127,"spécifier histo"))</f>
        <v>0.100411132194813</v>
      </c>
      <c r="F127" s="59" t="n">
        <v>1700</v>
      </c>
      <c r="G127" s="59" t="n">
        <f aca="false">F127-H127</f>
        <v>1700</v>
      </c>
      <c r="H127" s="59" t="n">
        <v>0</v>
      </c>
      <c r="J127" s="70"/>
    </row>
    <row r="128" customFormat="false" ht="19.85" hidden="false" customHeight="true" outlineLevel="0" collapsed="false">
      <c r="A128" s="1" t="n">
        <v>30</v>
      </c>
      <c r="B128" s="31" t="n">
        <v>38657</v>
      </c>
      <c r="C128" s="56" t="n">
        <v>149000</v>
      </c>
      <c r="D128" s="29" t="s">
        <v>41</v>
      </c>
      <c r="E128" s="33" t="n">
        <f aca="false">IF(D128="totale",(C128/(A128*24))/F128,IF(D128="marché libre",(C128/(A128*24))/G128,"spécifier histo"))</f>
        <v>0.121732026143791</v>
      </c>
      <c r="F128" s="59" t="n">
        <v>1700</v>
      </c>
      <c r="G128" s="59" t="n">
        <f aca="false">F128-H128</f>
        <v>1700</v>
      </c>
      <c r="H128" s="59" t="n">
        <v>0</v>
      </c>
      <c r="J128" s="70"/>
    </row>
    <row r="129" customFormat="false" ht="19.85" hidden="false" customHeight="true" outlineLevel="0" collapsed="false">
      <c r="A129" s="1" t="n">
        <v>31</v>
      </c>
      <c r="B129" s="34" t="n">
        <v>38687</v>
      </c>
      <c r="C129" s="56" t="n">
        <v>114000</v>
      </c>
      <c r="D129" s="29" t="s">
        <v>41</v>
      </c>
      <c r="E129" s="33" t="n">
        <f aca="false">IF(D129="totale",(C129/(A129*24))/F129,IF(D129="marché libre",(C129/(A129*24))/G129,"spécifier histo"))</f>
        <v>0.0901328273244782</v>
      </c>
      <c r="F129" s="59" t="n">
        <v>1700</v>
      </c>
      <c r="G129" s="59" t="n">
        <f aca="false">F129-H129</f>
        <v>1700</v>
      </c>
      <c r="H129" s="59" t="n">
        <v>0</v>
      </c>
      <c r="J129" s="70"/>
    </row>
    <row r="130" customFormat="false" ht="19.85" hidden="false" customHeight="true" outlineLevel="0" collapsed="false">
      <c r="A130" s="1" t="n">
        <v>31</v>
      </c>
      <c r="B130" s="31" t="n">
        <v>38718</v>
      </c>
      <c r="C130" s="56" t="n">
        <v>99000</v>
      </c>
      <c r="D130" s="29" t="s">
        <v>41</v>
      </c>
      <c r="E130" s="33" t="n">
        <f aca="false">IF(D130="totale",(C130/(A130*24))/F130,IF(D130="marché libre",(C130/(A130*24))/G130,"spécifier histo"))</f>
        <v>0.0782732447817837</v>
      </c>
      <c r="F130" s="59" t="n">
        <v>1700</v>
      </c>
      <c r="G130" s="59" t="n">
        <f aca="false">F130-H130</f>
        <v>1700</v>
      </c>
      <c r="H130" s="59" t="n">
        <v>0</v>
      </c>
      <c r="J130" s="55"/>
    </row>
    <row r="131" customFormat="false" ht="19.85" hidden="false" customHeight="true" outlineLevel="0" collapsed="false">
      <c r="A131" s="1" t="n">
        <v>28</v>
      </c>
      <c r="B131" s="34" t="n">
        <v>38749</v>
      </c>
      <c r="C131" s="56" t="n">
        <v>116000</v>
      </c>
      <c r="D131" s="29" t="s">
        <v>41</v>
      </c>
      <c r="E131" s="33" t="n">
        <f aca="false">IF(D131="totale",(C131/(A131*24))/F131,IF(D131="marché libre",(C131/(A131*24))/G131,"spécifier histo"))</f>
        <v>0.101540616246499</v>
      </c>
      <c r="F131" s="59" t="n">
        <v>1700</v>
      </c>
      <c r="G131" s="59" t="n">
        <f aca="false">F131-H131</f>
        <v>1700</v>
      </c>
      <c r="H131" s="59" t="n">
        <v>0</v>
      </c>
      <c r="J131" s="55"/>
    </row>
    <row r="132" customFormat="false" ht="19.85" hidden="false" customHeight="true" outlineLevel="0" collapsed="false">
      <c r="A132" s="1" t="n">
        <v>31</v>
      </c>
      <c r="B132" s="31" t="n">
        <v>38777</v>
      </c>
      <c r="C132" s="56" t="n">
        <v>320000</v>
      </c>
      <c r="D132" s="29" t="s">
        <v>41</v>
      </c>
      <c r="E132" s="33" t="n">
        <f aca="false">IF(D132="totale",(C132/(A132*24))/F132,IF(D132="marché libre",(C132/(A132*24))/G132,"spécifier histo"))</f>
        <v>0.253004427577483</v>
      </c>
      <c r="F132" s="59" t="n">
        <v>1700</v>
      </c>
      <c r="G132" s="59" t="n">
        <f aca="false">F132-H132</f>
        <v>1700</v>
      </c>
      <c r="H132" s="59" t="n">
        <v>0</v>
      </c>
      <c r="J132" s="55"/>
    </row>
    <row r="133" customFormat="false" ht="19.85" hidden="false" customHeight="true" outlineLevel="0" collapsed="false">
      <c r="A133" s="1" t="n">
        <v>30</v>
      </c>
      <c r="B133" s="34" t="n">
        <v>38808</v>
      </c>
      <c r="C133" s="56" t="n">
        <v>730000</v>
      </c>
      <c r="D133" s="29" t="s">
        <v>41</v>
      </c>
      <c r="E133" s="33" t="n">
        <f aca="false">IF(D133="totale",(C133/(A133*24))/F133,IF(D133="marché libre",(C133/(A133*24))/G133,"spécifier histo"))</f>
        <v>0.59640522875817</v>
      </c>
      <c r="F133" s="59" t="n">
        <v>1700</v>
      </c>
      <c r="G133" s="59" t="n">
        <f aca="false">F133-H133</f>
        <v>1700</v>
      </c>
      <c r="H133" s="59" t="n">
        <v>0</v>
      </c>
      <c r="J133" s="55"/>
    </row>
    <row r="134" customFormat="false" ht="19.85" hidden="false" customHeight="true" outlineLevel="0" collapsed="false">
      <c r="A134" s="1" t="n">
        <v>31</v>
      </c>
      <c r="B134" s="31" t="n">
        <v>38838</v>
      </c>
      <c r="C134" s="56" t="n">
        <v>964000</v>
      </c>
      <c r="D134" s="29" t="s">
        <v>41</v>
      </c>
      <c r="E134" s="33" t="n">
        <f aca="false">IF(D134="totale",(C134/(A134*24))/F134,IF(D134="marché libre",(C134/(A134*24))/G134,"spécifier histo"))</f>
        <v>0.762175838077166</v>
      </c>
      <c r="F134" s="59" t="n">
        <v>1700</v>
      </c>
      <c r="G134" s="59" t="n">
        <f aca="false">F134-H134</f>
        <v>1700</v>
      </c>
      <c r="H134" s="59" t="n">
        <v>0</v>
      </c>
      <c r="J134" s="55"/>
    </row>
    <row r="135" customFormat="false" ht="19.85" hidden="false" customHeight="true" outlineLevel="0" collapsed="false">
      <c r="A135" s="1" t="n">
        <v>30</v>
      </c>
      <c r="B135" s="34" t="n">
        <v>38869</v>
      </c>
      <c r="C135" s="56" t="n">
        <v>730000</v>
      </c>
      <c r="D135" s="29" t="s">
        <v>41</v>
      </c>
      <c r="E135" s="33" t="n">
        <f aca="false">IF(D135="totale",(C135/(A135*24))/F135,IF(D135="marché libre",(C135/(A135*24))/G135,"spécifier histo"))</f>
        <v>0.59640522875817</v>
      </c>
      <c r="F135" s="59" t="n">
        <v>1700</v>
      </c>
      <c r="G135" s="59" t="n">
        <f aca="false">F135-H135</f>
        <v>1700</v>
      </c>
      <c r="H135" s="59" t="n">
        <v>0</v>
      </c>
      <c r="J135" s="55"/>
    </row>
    <row r="136" customFormat="false" ht="19.85" hidden="false" customHeight="true" outlineLevel="0" collapsed="false">
      <c r="A136" s="1" t="n">
        <v>31</v>
      </c>
      <c r="B136" s="31" t="n">
        <v>38899</v>
      </c>
      <c r="C136" s="56" t="n">
        <v>399000</v>
      </c>
      <c r="D136" s="29" t="s">
        <v>41</v>
      </c>
      <c r="E136" s="33" t="n">
        <f aca="false">IF(D136="totale",(C136/(A136*24))/F136,IF(D136="marché libre",(C136/(A136*24))/G136,"spécifier histo"))</f>
        <v>0.315464895635674</v>
      </c>
      <c r="F136" s="59" t="n">
        <v>1700</v>
      </c>
      <c r="G136" s="59" t="n">
        <f aca="false">F136-H136</f>
        <v>1700</v>
      </c>
      <c r="H136" s="59" t="n">
        <v>0</v>
      </c>
      <c r="J136" s="55"/>
    </row>
    <row r="137" customFormat="false" ht="19.85" hidden="false" customHeight="true" outlineLevel="0" collapsed="false">
      <c r="A137" s="1" t="n">
        <v>31</v>
      </c>
      <c r="B137" s="34" t="n">
        <v>38930</v>
      </c>
      <c r="C137" s="56" t="n">
        <v>339000</v>
      </c>
      <c r="D137" s="29" t="s">
        <v>41</v>
      </c>
      <c r="E137" s="33" t="n">
        <f aca="false">IF(D137="totale",(C137/(A137*24))/F137,IF(D137="marché libre",(C137/(A137*24))/G137,"spécifier histo"))</f>
        <v>0.268026565464896</v>
      </c>
      <c r="F137" s="59" t="n">
        <v>1700</v>
      </c>
      <c r="G137" s="59" t="n">
        <f aca="false">F137-H137</f>
        <v>1700</v>
      </c>
      <c r="H137" s="59" t="n">
        <v>0</v>
      </c>
      <c r="J137" s="55"/>
    </row>
    <row r="138" customFormat="false" ht="19.85" hidden="false" customHeight="true" outlineLevel="0" collapsed="false">
      <c r="A138" s="1" t="n">
        <v>30</v>
      </c>
      <c r="B138" s="31" t="n">
        <v>38961</v>
      </c>
      <c r="C138" s="56" t="n">
        <v>307000</v>
      </c>
      <c r="D138" s="29" t="s">
        <v>41</v>
      </c>
      <c r="E138" s="33" t="n">
        <f aca="false">IF(D138="totale",(C138/(A138*24))/F138,IF(D138="marché libre",(C138/(A138*24))/G138,"spécifier histo"))</f>
        <v>0.250816993464052</v>
      </c>
      <c r="F138" s="59" t="n">
        <v>1700</v>
      </c>
      <c r="G138" s="59" t="n">
        <f aca="false">F138-H138</f>
        <v>1700</v>
      </c>
      <c r="H138" s="59" t="n">
        <v>0</v>
      </c>
      <c r="J138" s="55"/>
      <c r="K138" s="0"/>
      <c r="L138" s="0"/>
      <c r="M138" s="0"/>
      <c r="N138" s="0"/>
      <c r="O138" s="0"/>
      <c r="P138" s="0"/>
      <c r="Q138" s="0"/>
      <c r="R138" s="0"/>
      <c r="S138" s="0"/>
    </row>
    <row r="139" customFormat="false" ht="19.85" hidden="false" customHeight="true" outlineLevel="0" collapsed="false">
      <c r="A139" s="1" t="n">
        <v>31</v>
      </c>
      <c r="B139" s="34" t="n">
        <v>38991</v>
      </c>
      <c r="C139" s="56" t="n">
        <v>261000</v>
      </c>
      <c r="D139" s="29" t="s">
        <v>41</v>
      </c>
      <c r="E139" s="33" t="n">
        <f aca="false">IF(D139="totale",(C139/(A139*24))/F139,IF(D139="marché libre",(C139/(A139*24))/G139,"spécifier histo"))</f>
        <v>0.206356736242884</v>
      </c>
      <c r="F139" s="59" t="n">
        <v>1700</v>
      </c>
      <c r="G139" s="59" t="n">
        <f aca="false">F139-H139</f>
        <v>1700</v>
      </c>
      <c r="H139" s="59" t="n">
        <v>0</v>
      </c>
      <c r="J139" s="55"/>
      <c r="K139" s="0"/>
      <c r="L139" s="0"/>
      <c r="M139" s="0"/>
      <c r="N139" s="0"/>
      <c r="O139" s="0"/>
      <c r="P139" s="0"/>
      <c r="Q139" s="0"/>
      <c r="R139" s="0"/>
      <c r="S139" s="0"/>
    </row>
    <row r="140" customFormat="false" ht="19.85" hidden="false" customHeight="true" outlineLevel="0" collapsed="false">
      <c r="A140" s="1" t="n">
        <v>30</v>
      </c>
      <c r="B140" s="31" t="n">
        <v>39022</v>
      </c>
      <c r="C140" s="56" t="n">
        <v>172000</v>
      </c>
      <c r="D140" s="29" t="s">
        <v>41</v>
      </c>
      <c r="E140" s="33" t="n">
        <f aca="false">IF(D140="totale",(C140/(A140*24))/F140,IF(D140="marché libre",(C140/(A140*24))/G140,"spécifier histo"))</f>
        <v>0.140522875816993</v>
      </c>
      <c r="F140" s="59" t="n">
        <v>1700</v>
      </c>
      <c r="G140" s="59" t="n">
        <f aca="false">F140-H140</f>
        <v>1700</v>
      </c>
      <c r="H140" s="59" t="n">
        <v>0</v>
      </c>
      <c r="J140" s="55"/>
      <c r="K140" s="0"/>
      <c r="L140" s="0"/>
      <c r="M140" s="0"/>
      <c r="N140" s="0"/>
      <c r="O140" s="0"/>
      <c r="P140" s="0"/>
      <c r="Q140" s="0"/>
      <c r="R140" s="0"/>
      <c r="S140" s="0"/>
    </row>
    <row r="141" customFormat="false" ht="19.85" hidden="false" customHeight="true" outlineLevel="0" collapsed="false">
      <c r="A141" s="1" t="n">
        <v>31</v>
      </c>
      <c r="B141" s="34" t="n">
        <v>39052</v>
      </c>
      <c r="C141" s="56" t="n">
        <v>180000</v>
      </c>
      <c r="D141" s="29" t="s">
        <v>41</v>
      </c>
      <c r="E141" s="33" t="n">
        <f aca="false">IF(D141="totale",(C141/(A141*24))/F141,IF(D141="marché libre",(C141/(A141*24))/G141,"spécifier histo"))</f>
        <v>0.142314990512334</v>
      </c>
      <c r="F141" s="59" t="n">
        <v>1700</v>
      </c>
      <c r="G141" s="59" t="n">
        <f aca="false">F141-H141</f>
        <v>1700</v>
      </c>
      <c r="H141" s="59" t="n">
        <v>0</v>
      </c>
      <c r="J141" s="55"/>
      <c r="K141" s="0"/>
      <c r="L141" s="0"/>
      <c r="M141" s="0"/>
      <c r="N141" s="0"/>
      <c r="O141" s="0"/>
      <c r="P141" s="0"/>
      <c r="Q141" s="0"/>
      <c r="R141" s="0"/>
      <c r="S141" s="0"/>
    </row>
    <row r="142" customFormat="false" ht="19.85" hidden="false" customHeight="true" outlineLevel="0" collapsed="false">
      <c r="A142" s="1" t="n">
        <v>31</v>
      </c>
      <c r="B142" s="31" t="n">
        <v>39083</v>
      </c>
      <c r="C142" s="56" t="n">
        <v>336000</v>
      </c>
      <c r="D142" s="29" t="s">
        <v>41</v>
      </c>
      <c r="E142" s="33" t="n">
        <f aca="false">IF(D142="totale",(C142/(A142*24))/F142,IF(D142="marché libre",(C142/(A142*24))/G142,"spécifier histo"))</f>
        <v>0.265654648956357</v>
      </c>
      <c r="F142" s="59" t="n">
        <v>1700</v>
      </c>
      <c r="G142" s="59" t="n">
        <f aca="false">F142-H142</f>
        <v>1700</v>
      </c>
      <c r="H142" s="59" t="n">
        <v>0</v>
      </c>
      <c r="J142" s="55"/>
      <c r="K142" s="0"/>
      <c r="L142" s="0"/>
      <c r="M142" s="0"/>
      <c r="N142" s="0"/>
      <c r="O142" s="0"/>
      <c r="P142" s="0"/>
      <c r="Q142" s="0"/>
      <c r="R142" s="0"/>
      <c r="S142" s="0"/>
    </row>
    <row r="143" customFormat="false" ht="19.85" hidden="false" customHeight="true" outlineLevel="0" collapsed="false">
      <c r="A143" s="1" t="n">
        <v>28</v>
      </c>
      <c r="B143" s="34" t="n">
        <v>39114</v>
      </c>
      <c r="C143" s="56" t="n">
        <v>348000</v>
      </c>
      <c r="D143" s="29" t="s">
        <v>41</v>
      </c>
      <c r="E143" s="33" t="n">
        <f aca="false">IF(D143="totale",(C143/(A143*24))/F143,IF(D143="marché libre",(C143/(A143*24))/G143,"spécifier histo"))</f>
        <v>0.304621848739496</v>
      </c>
      <c r="F143" s="59" t="n">
        <v>1700</v>
      </c>
      <c r="G143" s="59" t="n">
        <f aca="false">F143-H143</f>
        <v>1700</v>
      </c>
      <c r="H143" s="59" t="n">
        <v>0</v>
      </c>
      <c r="J143" s="55"/>
      <c r="K143" s="0"/>
      <c r="L143" s="0"/>
      <c r="M143" s="0"/>
      <c r="N143" s="0"/>
      <c r="O143" s="0"/>
      <c r="P143" s="0"/>
      <c r="Q143" s="0"/>
      <c r="R143" s="0"/>
      <c r="S143" s="0"/>
    </row>
    <row r="144" customFormat="false" ht="19.85" hidden="false" customHeight="true" outlineLevel="0" collapsed="false">
      <c r="A144" s="1" t="n">
        <v>31</v>
      </c>
      <c r="B144" s="31" t="n">
        <v>39142</v>
      </c>
      <c r="C144" s="56" t="n">
        <v>606000</v>
      </c>
      <c r="D144" s="29" t="s">
        <v>41</v>
      </c>
      <c r="E144" s="33" t="n">
        <f aca="false">IF(D144="totale",(C144/(A144*24))/F144,IF(D144="marché libre",(C144/(A144*24))/G144,"spécifier histo"))</f>
        <v>0.479127134724858</v>
      </c>
      <c r="F144" s="59" t="n">
        <v>1700</v>
      </c>
      <c r="G144" s="59" t="n">
        <f aca="false">F144-H144</f>
        <v>1700</v>
      </c>
      <c r="H144" s="59" t="n">
        <v>0</v>
      </c>
      <c r="J144" s="55"/>
      <c r="K144" s="0"/>
      <c r="L144" s="0"/>
      <c r="M144" s="0"/>
      <c r="N144" s="0"/>
      <c r="O144" s="0"/>
      <c r="P144" s="0"/>
      <c r="Q144" s="0"/>
      <c r="R144" s="0"/>
      <c r="S144" s="0"/>
    </row>
    <row r="145" customFormat="false" ht="19.85" hidden="false" customHeight="true" outlineLevel="0" collapsed="false">
      <c r="A145" s="1" t="n">
        <v>30</v>
      </c>
      <c r="B145" s="34" t="n">
        <v>39173</v>
      </c>
      <c r="C145" s="56" t="n">
        <v>767000</v>
      </c>
      <c r="D145" s="29" t="s">
        <v>41</v>
      </c>
      <c r="E145" s="33" t="n">
        <f aca="false">IF(D145="totale",(C145/(A145*24))/F145,IF(D145="marché libre",(C145/(A145*24))/G145,"spécifier histo"))</f>
        <v>0.626633986928105</v>
      </c>
      <c r="F145" s="59" t="n">
        <v>1700</v>
      </c>
      <c r="G145" s="59" t="n">
        <f aca="false">F145-H145</f>
        <v>1700</v>
      </c>
      <c r="H145" s="59" t="n">
        <v>0</v>
      </c>
      <c r="J145" s="55"/>
      <c r="K145" s="0"/>
      <c r="L145" s="0"/>
      <c r="M145" s="0"/>
      <c r="N145" s="0"/>
      <c r="O145" s="0"/>
      <c r="P145" s="0"/>
      <c r="Q145" s="0"/>
      <c r="R145" s="0"/>
      <c r="S145" s="0"/>
    </row>
    <row r="146" customFormat="false" ht="19.85" hidden="false" customHeight="true" outlineLevel="0" collapsed="false">
      <c r="A146" s="1" t="n">
        <v>31</v>
      </c>
      <c r="B146" s="31" t="n">
        <v>39203</v>
      </c>
      <c r="C146" s="56" t="n">
        <v>831000</v>
      </c>
      <c r="D146" s="29" t="s">
        <v>41</v>
      </c>
      <c r="E146" s="33" t="n">
        <f aca="false">IF(D146="totale",(C146/(A146*24))/F146,IF(D146="marché libre",(C146/(A146*24))/G146,"spécifier histo"))</f>
        <v>0.657020872865275</v>
      </c>
      <c r="F146" s="59" t="n">
        <v>1700</v>
      </c>
      <c r="G146" s="59" t="n">
        <f aca="false">F146-H146</f>
        <v>1700</v>
      </c>
      <c r="H146" s="59" t="n">
        <v>0</v>
      </c>
      <c r="J146" s="55"/>
      <c r="K146" s="0"/>
      <c r="L146" s="0"/>
      <c r="M146" s="0"/>
      <c r="N146" s="0"/>
      <c r="O146" s="0"/>
      <c r="P146" s="0"/>
      <c r="Q146" s="0"/>
      <c r="R146" s="0"/>
      <c r="S146" s="0"/>
    </row>
    <row r="147" customFormat="false" ht="19.85" hidden="false" customHeight="true" outlineLevel="0" collapsed="false">
      <c r="A147" s="1" t="n">
        <v>30</v>
      </c>
      <c r="B147" s="34" t="n">
        <v>39234</v>
      </c>
      <c r="C147" s="56" t="n">
        <v>834000</v>
      </c>
      <c r="D147" s="29" t="s">
        <v>41</v>
      </c>
      <c r="E147" s="33" t="n">
        <f aca="false">IF(D147="totale",(C147/(A147*24))/F147,IF(D147="marché libre",(C147/(A147*24))/G147,"spécifier histo"))</f>
        <v>0.681372549019608</v>
      </c>
      <c r="F147" s="59" t="n">
        <v>1700</v>
      </c>
      <c r="G147" s="59" t="n">
        <f aca="false">F147-H147</f>
        <v>1700</v>
      </c>
      <c r="H147" s="59" t="n">
        <v>0</v>
      </c>
      <c r="J147" s="55"/>
      <c r="K147" s="0"/>
      <c r="L147" s="0"/>
      <c r="M147" s="0"/>
      <c r="N147" s="0"/>
      <c r="O147" s="0"/>
      <c r="P147" s="0"/>
      <c r="Q147" s="0"/>
      <c r="R147" s="0"/>
      <c r="S147" s="0"/>
    </row>
    <row r="148" customFormat="false" ht="19.85" hidden="false" customHeight="true" outlineLevel="0" collapsed="false">
      <c r="A148" s="1" t="n">
        <v>31</v>
      </c>
      <c r="B148" s="31" t="n">
        <v>39264</v>
      </c>
      <c r="C148" s="56" t="n">
        <v>924000</v>
      </c>
      <c r="D148" s="29" t="s">
        <v>41</v>
      </c>
      <c r="E148" s="33" t="n">
        <f aca="false">IF(D148="totale",(C148/(A148*24))/F148,IF(D148="marché libre",(C148/(A148*24))/G148,"spécifier histo"))</f>
        <v>0.730550284629981</v>
      </c>
      <c r="F148" s="59" t="n">
        <v>1700</v>
      </c>
      <c r="G148" s="59" t="n">
        <f aca="false">F148-H148</f>
        <v>1700</v>
      </c>
      <c r="H148" s="59" t="n">
        <v>0</v>
      </c>
      <c r="J148" s="55"/>
      <c r="K148" s="0"/>
      <c r="L148" s="0"/>
      <c r="M148" s="0"/>
      <c r="N148" s="0"/>
      <c r="O148" s="0"/>
      <c r="P148" s="0"/>
      <c r="Q148" s="0"/>
      <c r="R148" s="0"/>
      <c r="S148" s="0"/>
    </row>
    <row r="149" customFormat="false" ht="19.85" hidden="false" customHeight="true" outlineLevel="0" collapsed="false">
      <c r="A149" s="1" t="n">
        <v>31</v>
      </c>
      <c r="B149" s="34" t="n">
        <v>39295</v>
      </c>
      <c r="C149" s="56" t="n">
        <v>657000</v>
      </c>
      <c r="D149" s="29" t="s">
        <v>41</v>
      </c>
      <c r="E149" s="33" t="n">
        <f aca="false">IF(D149="totale",(C149/(A149*24))/F149,IF(D149="marché libre",(C149/(A149*24))/G149,"spécifier histo"))</f>
        <v>0.519449715370019</v>
      </c>
      <c r="F149" s="59" t="n">
        <v>1700</v>
      </c>
      <c r="G149" s="59" t="n">
        <f aca="false">F149-H149</f>
        <v>1700</v>
      </c>
      <c r="H149" s="59" t="n">
        <v>0</v>
      </c>
      <c r="J149" s="55"/>
      <c r="K149" s="0"/>
      <c r="L149" s="0"/>
      <c r="M149" s="0"/>
      <c r="N149" s="0"/>
      <c r="O149" s="0"/>
      <c r="P149" s="0"/>
      <c r="Q149" s="0"/>
      <c r="R149" s="0"/>
      <c r="S149" s="0"/>
    </row>
    <row r="150" customFormat="false" ht="19.85" hidden="false" customHeight="true" outlineLevel="0" collapsed="false">
      <c r="A150" s="1" t="n">
        <v>30</v>
      </c>
      <c r="B150" s="31" t="n">
        <v>39326</v>
      </c>
      <c r="C150" s="56" t="n">
        <v>412000</v>
      </c>
      <c r="D150" s="29" t="s">
        <v>41</v>
      </c>
      <c r="E150" s="33" t="n">
        <f aca="false">IF(D150="totale",(C150/(A150*24))/F150,IF(D150="marché libre",(C150/(A150*24))/G150,"spécifier histo"))</f>
        <v>0.336601307189542</v>
      </c>
      <c r="F150" s="59" t="n">
        <v>1700</v>
      </c>
      <c r="G150" s="59" t="n">
        <f aca="false">F150-H150</f>
        <v>1700</v>
      </c>
      <c r="H150" s="59" t="n">
        <v>0</v>
      </c>
      <c r="J150" s="55"/>
      <c r="K150" s="0"/>
      <c r="Q150" s="0"/>
    </row>
    <row r="151" customFormat="false" ht="19.85" hidden="false" customHeight="true" outlineLevel="0" collapsed="false">
      <c r="A151" s="1" t="n">
        <v>31</v>
      </c>
      <c r="B151" s="34" t="n">
        <v>39356</v>
      </c>
      <c r="C151" s="56" t="n">
        <v>280700</v>
      </c>
      <c r="D151" s="29" t="s">
        <v>41</v>
      </c>
      <c r="E151" s="33" t="n">
        <f aca="false">IF(D151="totale",(C151/(A151*24))/F151,IF(D151="marché libre",(C151/(A151*24))/G151,"spécifier histo"))</f>
        <v>0.221932321315623</v>
      </c>
      <c r="F151" s="59" t="n">
        <v>1700</v>
      </c>
      <c r="G151" s="59" t="n">
        <f aca="false">F151-H151</f>
        <v>1700</v>
      </c>
      <c r="H151" s="59" t="n">
        <v>0</v>
      </c>
      <c r="J151" s="55"/>
      <c r="K151" s="0"/>
      <c r="Q151" s="0"/>
    </row>
    <row r="152" customFormat="false" ht="19.85" hidden="false" customHeight="true" outlineLevel="0" collapsed="false">
      <c r="A152" s="1" t="n">
        <v>30</v>
      </c>
      <c r="B152" s="31" t="n">
        <v>39387</v>
      </c>
      <c r="C152" s="56" t="n">
        <v>286700</v>
      </c>
      <c r="D152" s="29" t="s">
        <v>41</v>
      </c>
      <c r="E152" s="33" t="n">
        <f aca="false">IF(D152="totale",(C152/(A152*24))/F152,IF(D152="marché libre",(C152/(A152*24))/G152,"spécifier histo"))</f>
        <v>0.234232026143791</v>
      </c>
      <c r="F152" s="59" t="n">
        <v>1700</v>
      </c>
      <c r="G152" s="59" t="n">
        <f aca="false">F152-H152</f>
        <v>1700</v>
      </c>
      <c r="H152" s="59" t="n">
        <v>0</v>
      </c>
      <c r="J152" s="55"/>
      <c r="K152" s="0"/>
      <c r="Q152" s="0"/>
    </row>
    <row r="153" customFormat="false" ht="19.85" hidden="false" customHeight="true" outlineLevel="0" collapsed="false">
      <c r="A153" s="1" t="n">
        <v>31</v>
      </c>
      <c r="B153" s="34" t="n">
        <v>39417</v>
      </c>
      <c r="C153" s="56" t="n">
        <v>258600</v>
      </c>
      <c r="D153" s="29" t="s">
        <v>41</v>
      </c>
      <c r="E153" s="33" t="n">
        <f aca="false">IF(D153="totale",(C153/(A153*24))/F153,IF(D153="marché libre",(C153/(A153*24))/G153,"spécifier histo"))</f>
        <v>0.204459203036053</v>
      </c>
      <c r="F153" s="59" t="n">
        <v>1700</v>
      </c>
      <c r="G153" s="59" t="n">
        <f aca="false">F153-H153</f>
        <v>1700</v>
      </c>
      <c r="H153" s="59" t="n">
        <v>0</v>
      </c>
      <c r="J153" s="55"/>
      <c r="K153" s="0"/>
      <c r="Q153" s="0"/>
    </row>
    <row r="154" customFormat="false" ht="19.85" hidden="false" customHeight="true" outlineLevel="0" collapsed="false">
      <c r="A154" s="1" t="n">
        <v>31</v>
      </c>
      <c r="B154" s="31" t="n">
        <v>39448</v>
      </c>
      <c r="C154" s="56" t="n">
        <v>123100</v>
      </c>
      <c r="D154" s="29" t="s">
        <v>41</v>
      </c>
      <c r="E154" s="33" t="n">
        <f aca="false">IF(D154="totale",(C154/(A154*24))/F154,IF(D154="marché libre",(C154/(A154*24))/G154,"spécifier histo"))</f>
        <v>0.0973276407337128</v>
      </c>
      <c r="F154" s="59" t="n">
        <v>1700</v>
      </c>
      <c r="G154" s="59" t="n">
        <f aca="false">F154-H154</f>
        <v>1700</v>
      </c>
      <c r="H154" s="59" t="n">
        <v>0</v>
      </c>
      <c r="J154" s="55"/>
      <c r="K154" s="0"/>
      <c r="Q154" s="0"/>
    </row>
    <row r="155" customFormat="false" ht="19.85" hidden="false" customHeight="true" outlineLevel="0" collapsed="false">
      <c r="A155" s="1" t="n">
        <v>28</v>
      </c>
      <c r="B155" s="34" t="n">
        <v>39479</v>
      </c>
      <c r="C155" s="56" t="n">
        <v>213900</v>
      </c>
      <c r="D155" s="29" t="s">
        <v>41</v>
      </c>
      <c r="E155" s="33" t="n">
        <f aca="false">IF(D155="totale",(C155/(A155*24))/F155,IF(D155="marché libre",(C155/(A155*24))/G155,"spécifier histo"))</f>
        <v>0.187237394957983</v>
      </c>
      <c r="F155" s="59" t="n">
        <v>1700</v>
      </c>
      <c r="G155" s="59" t="n">
        <f aca="false">F155-H155</f>
        <v>1700</v>
      </c>
      <c r="H155" s="59" t="n">
        <v>0</v>
      </c>
      <c r="J155" s="55"/>
      <c r="K155" s="0"/>
      <c r="Q155" s="0"/>
    </row>
    <row r="156" customFormat="false" ht="19.85" hidden="false" customHeight="true" outlineLevel="0" collapsed="false">
      <c r="A156" s="1" t="n">
        <v>31</v>
      </c>
      <c r="B156" s="31" t="n">
        <v>39508</v>
      </c>
      <c r="C156" s="56" t="n">
        <v>510000</v>
      </c>
      <c r="D156" s="29" t="s">
        <v>41</v>
      </c>
      <c r="E156" s="33" t="n">
        <f aca="false">IF(D156="totale",(C156/(A156*24))/F156,IF(D156="marché libre",(C156/(A156*24))/G156,"spécifier histo"))</f>
        <v>0.403225806451613</v>
      </c>
      <c r="F156" s="59" t="n">
        <v>1700</v>
      </c>
      <c r="G156" s="59" t="n">
        <f aca="false">F156-H156</f>
        <v>1700</v>
      </c>
      <c r="H156" s="59" t="n">
        <v>0</v>
      </c>
      <c r="J156" s="55"/>
      <c r="K156" s="0"/>
      <c r="Q156" s="0"/>
    </row>
    <row r="157" customFormat="false" ht="19.85" hidden="false" customHeight="true" outlineLevel="0" collapsed="false">
      <c r="A157" s="1" t="n">
        <v>30</v>
      </c>
      <c r="B157" s="34" t="n">
        <v>39539</v>
      </c>
      <c r="C157" s="56" t="n">
        <v>645400</v>
      </c>
      <c r="D157" s="29" t="s">
        <v>41</v>
      </c>
      <c r="E157" s="33" t="n">
        <f aca="false">IF(D157="totale",(C157/(A157*24))/F157,IF(D157="marché libre",(C157/(A157*24))/G157,"spécifier histo"))</f>
        <v>0.527287581699346</v>
      </c>
      <c r="F157" s="59" t="n">
        <v>1700</v>
      </c>
      <c r="G157" s="59" t="n">
        <f aca="false">F157-H157</f>
        <v>1700</v>
      </c>
      <c r="H157" s="59" t="n">
        <v>0</v>
      </c>
      <c r="J157" s="55"/>
      <c r="K157" s="0"/>
      <c r="Q157" s="0"/>
    </row>
    <row r="158" customFormat="false" ht="19.85" hidden="false" customHeight="true" outlineLevel="0" collapsed="false">
      <c r="A158" s="1" t="n">
        <v>31</v>
      </c>
      <c r="B158" s="31" t="n">
        <v>39569</v>
      </c>
      <c r="C158" s="56" t="n">
        <v>748100</v>
      </c>
      <c r="D158" s="29" t="s">
        <v>41</v>
      </c>
      <c r="E158" s="33" t="n">
        <f aca="false">IF(D158="totale",(C158/(A158*24))/F158,IF(D158="marché libre",(C158/(A158*24))/G158,"spécifier histo"))</f>
        <v>0.591476913345984</v>
      </c>
      <c r="F158" s="59" t="n">
        <v>1700</v>
      </c>
      <c r="G158" s="59" t="n">
        <f aca="false">F158-H158</f>
        <v>1700</v>
      </c>
      <c r="H158" s="59" t="n">
        <v>0</v>
      </c>
      <c r="J158" s="55"/>
      <c r="K158" s="0"/>
      <c r="Q158" s="0"/>
    </row>
    <row r="159" customFormat="false" ht="19.85" hidden="false" customHeight="true" outlineLevel="0" collapsed="false">
      <c r="A159" s="1" t="n">
        <v>30</v>
      </c>
      <c r="B159" s="34" t="n">
        <v>39600</v>
      </c>
      <c r="C159" s="56" t="n">
        <v>685800</v>
      </c>
      <c r="D159" s="29" t="s">
        <v>41</v>
      </c>
      <c r="E159" s="33" t="n">
        <f aca="false">IF(D159="totale",(C159/(A159*24))/F159,IF(D159="marché libre",(C159/(A159*24))/G159,"spécifier histo"))</f>
        <v>0.560294117647059</v>
      </c>
      <c r="F159" s="59" t="n">
        <v>1700</v>
      </c>
      <c r="G159" s="59" t="n">
        <f aca="false">F159-H159</f>
        <v>1700</v>
      </c>
      <c r="H159" s="59" t="n">
        <v>0</v>
      </c>
      <c r="J159" s="55"/>
      <c r="K159" s="0"/>
      <c r="Q159" s="0"/>
    </row>
    <row r="160" customFormat="false" ht="19.85" hidden="false" customHeight="true" outlineLevel="0" collapsed="false">
      <c r="A160" s="1" t="n">
        <v>31</v>
      </c>
      <c r="B160" s="31" t="n">
        <v>39630</v>
      </c>
      <c r="C160" s="56" t="n">
        <v>692900</v>
      </c>
      <c r="D160" s="29" t="s">
        <v>41</v>
      </c>
      <c r="E160" s="33" t="n">
        <f aca="false">IF(D160="totale",(C160/(A160*24))/F160,IF(D160="marché libre",(C160/(A160*24))/G160,"spécifier histo"))</f>
        <v>0.547833649588868</v>
      </c>
      <c r="F160" s="59" t="n">
        <v>1700</v>
      </c>
      <c r="G160" s="59" t="n">
        <f aca="false">F160-H160</f>
        <v>1700</v>
      </c>
      <c r="H160" s="59" t="n">
        <v>0</v>
      </c>
      <c r="J160" s="55"/>
      <c r="K160" s="0"/>
      <c r="Q160" s="0"/>
    </row>
    <row r="161" customFormat="false" ht="19.85" hidden="false" customHeight="true" outlineLevel="0" collapsed="false">
      <c r="A161" s="1" t="n">
        <v>31</v>
      </c>
      <c r="B161" s="34" t="n">
        <v>39661</v>
      </c>
      <c r="C161" s="56" t="n">
        <v>361500</v>
      </c>
      <c r="D161" s="29" t="s">
        <v>41</v>
      </c>
      <c r="E161" s="33" t="n">
        <f aca="false">IF(D161="totale",(C161/(A161*24))/F161,IF(D161="marché libre",(C161/(A161*24))/G161,"spécifier histo"))</f>
        <v>0.285815939278937</v>
      </c>
      <c r="F161" s="59" t="n">
        <v>1700</v>
      </c>
      <c r="G161" s="59" t="n">
        <f aca="false">F161-H161</f>
        <v>1700</v>
      </c>
      <c r="H161" s="59" t="n">
        <v>0</v>
      </c>
      <c r="J161" s="55"/>
      <c r="K161" s="0"/>
      <c r="Q161" s="0"/>
    </row>
    <row r="162" customFormat="false" ht="19.85" hidden="false" customHeight="true" outlineLevel="0" collapsed="false">
      <c r="A162" s="1" t="n">
        <v>30</v>
      </c>
      <c r="B162" s="31" t="n">
        <v>39692</v>
      </c>
      <c r="C162" s="56" t="n">
        <v>408800</v>
      </c>
      <c r="D162" s="29" t="s">
        <v>41</v>
      </c>
      <c r="E162" s="33" t="n">
        <f aca="false">IF(D162="totale",(C162/(A162*24))/F162,IF(D162="marché libre",(C162/(A162*24))/G162,"spécifier histo"))</f>
        <v>0.333986928104575</v>
      </c>
      <c r="F162" s="59" t="n">
        <v>1700</v>
      </c>
      <c r="G162" s="59" t="n">
        <f aca="false">F162-H162</f>
        <v>1700</v>
      </c>
      <c r="H162" s="59" t="n">
        <v>0</v>
      </c>
      <c r="J162" s="55"/>
      <c r="K162" s="0"/>
      <c r="Q162" s="0"/>
    </row>
    <row r="163" customFormat="false" ht="19.85" hidden="false" customHeight="true" outlineLevel="0" collapsed="false">
      <c r="A163" s="1" t="n">
        <v>31</v>
      </c>
      <c r="B163" s="34" t="n">
        <v>39722</v>
      </c>
      <c r="C163" s="56" t="n">
        <v>185800</v>
      </c>
      <c r="D163" s="29" t="s">
        <v>41</v>
      </c>
      <c r="E163" s="33" t="n">
        <f aca="false">IF(D163="totale",(C163/(A163*24))/F163,IF(D163="marché libre",(C163/(A163*24))/G163,"spécifier histo"))</f>
        <v>0.146900695762176</v>
      </c>
      <c r="F163" s="59" t="n">
        <v>1700</v>
      </c>
      <c r="G163" s="59" t="n">
        <f aca="false">F163-H163</f>
        <v>1700</v>
      </c>
      <c r="H163" s="59" t="n">
        <v>0</v>
      </c>
      <c r="J163" s="55"/>
      <c r="K163" s="0"/>
      <c r="Q163" s="0"/>
    </row>
    <row r="164" customFormat="false" ht="19.85" hidden="false" customHeight="true" outlineLevel="0" collapsed="false">
      <c r="A164" s="1" t="n">
        <v>30</v>
      </c>
      <c r="B164" s="31" t="n">
        <v>39753</v>
      </c>
      <c r="C164" s="56" t="n">
        <v>239400</v>
      </c>
      <c r="D164" s="29" t="s">
        <v>41</v>
      </c>
      <c r="E164" s="33" t="n">
        <f aca="false">IF(D164="totale",(C164/(A164*24))/F164,IF(D164="marché libre",(C164/(A164*24))/G164,"spécifier histo"))</f>
        <v>0.195588235294118</v>
      </c>
      <c r="F164" s="59" t="n">
        <v>1700</v>
      </c>
      <c r="G164" s="59" t="n">
        <f aca="false">F164-H164</f>
        <v>1700</v>
      </c>
      <c r="H164" s="59" t="n">
        <v>0</v>
      </c>
      <c r="J164" s="55"/>
      <c r="K164" s="0"/>
      <c r="Q164" s="0"/>
    </row>
    <row r="165" customFormat="false" ht="19.85" hidden="false" customHeight="true" outlineLevel="0" collapsed="false">
      <c r="A165" s="1" t="n">
        <v>31</v>
      </c>
      <c r="B165" s="34" t="n">
        <v>39783</v>
      </c>
      <c r="C165" s="56" t="n">
        <v>271200</v>
      </c>
      <c r="D165" s="29" t="s">
        <v>41</v>
      </c>
      <c r="E165" s="33" t="n">
        <f aca="false">IF(D165="totale",(C165/(A165*24))/F165,IF(D165="marché libre",(C165/(A165*24))/G165,"spécifier histo"))</f>
        <v>0.214421252371916</v>
      </c>
      <c r="F165" s="59" t="n">
        <v>1700</v>
      </c>
      <c r="G165" s="59" t="n">
        <f aca="false">F165-H165</f>
        <v>1700</v>
      </c>
      <c r="H165" s="59" t="n">
        <v>0</v>
      </c>
      <c r="J165" s="55"/>
      <c r="K165" s="0"/>
      <c r="Q165" s="0"/>
    </row>
    <row r="166" customFormat="false" ht="19.85" hidden="false" customHeight="true" outlineLevel="0" collapsed="false">
      <c r="A166" s="1" t="n">
        <v>31</v>
      </c>
      <c r="B166" s="31" t="n">
        <v>39814</v>
      </c>
      <c r="C166" s="56" t="n">
        <v>230800</v>
      </c>
      <c r="D166" s="29" t="s">
        <v>41</v>
      </c>
      <c r="E166" s="33" t="n">
        <f aca="false">IF(D166="totale",(C166/(A166*24))/F166,IF(D166="marché libre",(C166/(A166*24))/G166,"spécifier histo"))</f>
        <v>0.182479443390259</v>
      </c>
      <c r="F166" s="59" t="n">
        <v>1700</v>
      </c>
      <c r="G166" s="59" t="n">
        <f aca="false">F166-H166</f>
        <v>1700</v>
      </c>
      <c r="H166" s="59" t="n">
        <v>0</v>
      </c>
      <c r="J166" s="55"/>
      <c r="K166" s="0"/>
      <c r="Q166" s="0"/>
    </row>
    <row r="167" customFormat="false" ht="19.85" hidden="false" customHeight="true" outlineLevel="0" collapsed="false">
      <c r="A167" s="1" t="n">
        <v>28</v>
      </c>
      <c r="B167" s="34" t="n">
        <v>39845</v>
      </c>
      <c r="C167" s="56" t="n">
        <v>161700</v>
      </c>
      <c r="D167" s="29" t="s">
        <v>41</v>
      </c>
      <c r="E167" s="33" t="n">
        <f aca="false">IF(D167="totale",(C167/(A167*24))/F167,IF(D167="marché libre",(C167/(A167*24))/G167,"spécifier histo"))</f>
        <v>0.141544117647059</v>
      </c>
      <c r="F167" s="59" t="n">
        <v>1700</v>
      </c>
      <c r="G167" s="59" t="n">
        <f aca="false">F167-H167</f>
        <v>1700</v>
      </c>
      <c r="H167" s="59" t="n">
        <v>0</v>
      </c>
      <c r="J167" s="55"/>
      <c r="K167" s="0"/>
      <c r="Q167" s="0"/>
    </row>
    <row r="168" customFormat="false" ht="19.85" hidden="false" customHeight="true" outlineLevel="0" collapsed="false">
      <c r="A168" s="1" t="n">
        <v>31</v>
      </c>
      <c r="B168" s="31" t="n">
        <v>39873</v>
      </c>
      <c r="C168" s="56" t="n">
        <v>232300</v>
      </c>
      <c r="D168" s="29" t="s">
        <v>41</v>
      </c>
      <c r="E168" s="33" t="n">
        <f aca="false">IF(D168="totale",(C168/(A168*24))/F168,IF(D168="marché libre",(C168/(A168*24))/G168,"spécifier histo"))</f>
        <v>0.183665401644529</v>
      </c>
      <c r="F168" s="59" t="n">
        <v>1700</v>
      </c>
      <c r="G168" s="59" t="n">
        <f aca="false">F168-H168</f>
        <v>1700</v>
      </c>
      <c r="H168" s="59" t="n">
        <v>0</v>
      </c>
      <c r="J168" s="55"/>
      <c r="K168" s="0"/>
      <c r="Q168" s="0"/>
    </row>
    <row r="169" customFormat="false" ht="19.85" hidden="false" customHeight="true" outlineLevel="0" collapsed="false">
      <c r="A169" s="1" t="n">
        <v>30</v>
      </c>
      <c r="B169" s="34" t="n">
        <v>39904</v>
      </c>
      <c r="C169" s="56" t="n">
        <v>577100</v>
      </c>
      <c r="D169" s="29" t="s">
        <v>41</v>
      </c>
      <c r="E169" s="33" t="n">
        <f aca="false">IF(D169="totale",(C169/(A169*24))/F169,IF(D169="marché libre",(C169/(A169*24))/G169,"spécifier histo"))</f>
        <v>0.471486928104575</v>
      </c>
      <c r="F169" s="59" t="n">
        <v>1700</v>
      </c>
      <c r="G169" s="59" t="n">
        <f aca="false">F169-H169</f>
        <v>1700</v>
      </c>
      <c r="H169" s="59" t="n">
        <v>0</v>
      </c>
      <c r="J169" s="55"/>
      <c r="K169" s="0"/>
      <c r="Q169" s="0"/>
    </row>
    <row r="170" customFormat="false" ht="19.85" hidden="false" customHeight="true" outlineLevel="0" collapsed="false">
      <c r="A170" s="1" t="n">
        <v>31</v>
      </c>
      <c r="B170" s="31" t="n">
        <v>39934</v>
      </c>
      <c r="C170" s="56" t="n">
        <v>682100</v>
      </c>
      <c r="D170" s="29" t="s">
        <v>41</v>
      </c>
      <c r="E170" s="33" t="n">
        <f aca="false">IF(D170="totale",(C170/(A170*24))/F170,IF(D170="marché libre",(C170/(A170*24))/G170,"spécifier histo"))</f>
        <v>0.539294750158128</v>
      </c>
      <c r="F170" s="59" t="n">
        <v>1700</v>
      </c>
      <c r="G170" s="59" t="n">
        <f aca="false">F170-H170</f>
        <v>1700</v>
      </c>
      <c r="H170" s="59" t="n">
        <v>0</v>
      </c>
      <c r="J170" s="55"/>
      <c r="K170" s="0"/>
      <c r="Q170" s="0"/>
    </row>
    <row r="171" customFormat="false" ht="19.85" hidden="false" customHeight="true" outlineLevel="0" collapsed="false">
      <c r="A171" s="1" t="n">
        <v>30</v>
      </c>
      <c r="B171" s="34" t="n">
        <v>39965</v>
      </c>
      <c r="C171" s="56" t="n">
        <v>817800</v>
      </c>
      <c r="D171" s="29" t="s">
        <v>41</v>
      </c>
      <c r="E171" s="33" t="n">
        <f aca="false">IF(D171="totale",(C171/(A171*24))/F171,IF(D171="marché libre",(C171/(A171*24))/G171,"spécifier histo"))</f>
        <v>0.668137254901961</v>
      </c>
      <c r="F171" s="59" t="n">
        <v>1700</v>
      </c>
      <c r="G171" s="59" t="n">
        <f aca="false">F171-H171</f>
        <v>1700</v>
      </c>
      <c r="H171" s="59" t="n">
        <v>0</v>
      </c>
      <c r="J171" s="55"/>
      <c r="K171" s="0"/>
      <c r="Q171" s="0"/>
    </row>
    <row r="172" customFormat="false" ht="19.85" hidden="false" customHeight="true" outlineLevel="0" collapsed="false">
      <c r="A172" s="1" t="n">
        <v>31</v>
      </c>
      <c r="B172" s="31" t="n">
        <v>39995</v>
      </c>
      <c r="C172" s="56" t="n">
        <v>386500</v>
      </c>
      <c r="D172" s="29" t="s">
        <v>41</v>
      </c>
      <c r="E172" s="33" t="n">
        <f aca="false">IF(D172="totale",(C172/(A172*24))/F172,IF(D172="marché libre",(C172/(A172*24))/G172,"spécifier histo"))</f>
        <v>0.305581910183428</v>
      </c>
      <c r="F172" s="59" t="n">
        <v>1700</v>
      </c>
      <c r="G172" s="59" t="n">
        <f aca="false">F172-H172</f>
        <v>1700</v>
      </c>
      <c r="H172" s="59" t="n">
        <v>0</v>
      </c>
      <c r="J172" s="55"/>
      <c r="K172" s="0"/>
      <c r="Q172" s="0"/>
    </row>
    <row r="173" customFormat="false" ht="19.85" hidden="false" customHeight="true" outlineLevel="0" collapsed="false">
      <c r="A173" s="1" t="n">
        <v>31</v>
      </c>
      <c r="B173" s="34" t="n">
        <v>40026</v>
      </c>
      <c r="C173" s="56" t="n">
        <v>228100</v>
      </c>
      <c r="D173" s="29" t="s">
        <v>41</v>
      </c>
      <c r="E173" s="33" t="n">
        <f aca="false">IF(D173="totale",(C173/(A173*24))/F173,IF(D173="marché libre",(C173/(A173*24))/G173,"spécifier histo"))</f>
        <v>0.180344718532574</v>
      </c>
      <c r="F173" s="59" t="n">
        <v>1700</v>
      </c>
      <c r="G173" s="59" t="n">
        <f aca="false">F173-H173</f>
        <v>1700</v>
      </c>
      <c r="H173" s="59" t="n">
        <v>0</v>
      </c>
      <c r="J173" s="55"/>
      <c r="K173" s="0"/>
      <c r="Q173" s="0"/>
    </row>
    <row r="174" customFormat="false" ht="19.85" hidden="false" customHeight="true" outlineLevel="0" collapsed="false">
      <c r="A174" s="1" t="n">
        <v>30</v>
      </c>
      <c r="B174" s="31" t="n">
        <v>40057</v>
      </c>
      <c r="C174" s="56" t="n">
        <v>122500</v>
      </c>
      <c r="D174" s="29" t="s">
        <v>41</v>
      </c>
      <c r="E174" s="33" t="n">
        <f aca="false">IF(D174="totale",(C174/(A174*24))/F174,IF(D174="marché libre",(C174/(A174*24))/G174,"spécifier histo"))</f>
        <v>0.100081699346405</v>
      </c>
      <c r="F174" s="59" t="n">
        <v>1700</v>
      </c>
      <c r="G174" s="59" t="n">
        <f aca="false">F174-H174</f>
        <v>1700</v>
      </c>
      <c r="H174" s="59" t="n">
        <v>0</v>
      </c>
      <c r="J174" s="55"/>
      <c r="K174" s="0"/>
    </row>
    <row r="175" customFormat="false" ht="19.85" hidden="false" customHeight="true" outlineLevel="0" collapsed="false">
      <c r="A175" s="1" t="n">
        <v>31</v>
      </c>
      <c r="B175" s="34" t="n">
        <v>40087</v>
      </c>
      <c r="C175" s="56" t="n">
        <v>56200</v>
      </c>
      <c r="D175" s="29" t="s">
        <v>41</v>
      </c>
      <c r="E175" s="33" t="n">
        <f aca="false">IF(D175="totale",(C175/(A175*24))/F175,IF(D175="marché libre",(C175/(A175*24))/G175,"spécifier histo"))</f>
        <v>0.0444339025932954</v>
      </c>
      <c r="F175" s="59" t="n">
        <v>1700</v>
      </c>
      <c r="G175" s="59" t="n">
        <f aca="false">F175-H175</f>
        <v>1700</v>
      </c>
      <c r="H175" s="59" t="n">
        <v>0</v>
      </c>
      <c r="J175" s="55"/>
      <c r="K175" s="0"/>
    </row>
    <row r="176" customFormat="false" ht="19.85" hidden="false" customHeight="true" outlineLevel="0" collapsed="false">
      <c r="A176" s="1" t="n">
        <v>30</v>
      </c>
      <c r="B176" s="31" t="n">
        <v>40118</v>
      </c>
      <c r="C176" s="56" t="n">
        <v>155900</v>
      </c>
      <c r="D176" s="29" t="s">
        <v>41</v>
      </c>
      <c r="E176" s="33" t="n">
        <f aca="false">IF(D176="totale",(C176/(A176*24))/F176,IF(D176="marché libre",(C176/(A176*24))/G176,"spécifier histo"))</f>
        <v>0.127369281045752</v>
      </c>
      <c r="F176" s="59" t="n">
        <v>1700</v>
      </c>
      <c r="G176" s="59" t="n">
        <f aca="false">F176-H176</f>
        <v>1700</v>
      </c>
      <c r="H176" s="59" t="n">
        <v>0</v>
      </c>
      <c r="J176" s="55"/>
      <c r="K176" s="0"/>
    </row>
    <row r="177" customFormat="false" ht="19.85" hidden="false" customHeight="true" outlineLevel="0" collapsed="false">
      <c r="A177" s="1" t="n">
        <v>31</v>
      </c>
      <c r="B177" s="34" t="n">
        <v>40148</v>
      </c>
      <c r="C177" s="56" t="n">
        <v>243300</v>
      </c>
      <c r="D177" s="29" t="s">
        <v>41</v>
      </c>
      <c r="E177" s="33" t="n">
        <f aca="false">IF(D177="totale",(C177/(A177*24))/F177,IF(D177="marché libre",(C177/(A177*24))/G177,"spécifier histo"))</f>
        <v>0.192362428842505</v>
      </c>
      <c r="F177" s="59" t="n">
        <v>1700</v>
      </c>
      <c r="G177" s="59" t="n">
        <f aca="false">F177-H177</f>
        <v>1700</v>
      </c>
      <c r="H177" s="59" t="n">
        <v>0</v>
      </c>
      <c r="J177" s="55"/>
      <c r="K177" s="0"/>
    </row>
    <row r="178" customFormat="false" ht="19.85" hidden="false" customHeight="true" outlineLevel="0" collapsed="false">
      <c r="A178" s="1" t="n">
        <v>31</v>
      </c>
      <c r="B178" s="31" t="n">
        <v>40179</v>
      </c>
      <c r="C178" s="56" t="n">
        <v>249500</v>
      </c>
      <c r="D178" s="29" t="s">
        <v>41</v>
      </c>
      <c r="E178" s="33" t="n">
        <f aca="false">IF(D178="totale",(C178/(A178*24))/F178,IF(D178="marché libre",(C178/(A178*24))/G178,"spécifier histo"))</f>
        <v>0.197264389626818</v>
      </c>
      <c r="F178" s="59" t="n">
        <v>1700</v>
      </c>
      <c r="G178" s="59" t="n">
        <f aca="false">F178-H178</f>
        <v>1700</v>
      </c>
      <c r="H178" s="59" t="n">
        <v>0</v>
      </c>
      <c r="J178" s="55"/>
      <c r="K178" s="0"/>
    </row>
    <row r="179" customFormat="false" ht="19.85" hidden="false" customHeight="true" outlineLevel="0" collapsed="false">
      <c r="A179" s="1" t="n">
        <v>28</v>
      </c>
      <c r="B179" s="34" t="n">
        <v>40210</v>
      </c>
      <c r="C179" s="56" t="n">
        <v>166300</v>
      </c>
      <c r="D179" s="29" t="s">
        <v>41</v>
      </c>
      <c r="E179" s="33" t="n">
        <f aca="false">IF(D179="totale",(C179/(A179*24))/F179,IF(D179="marché libre",(C179/(A179*24))/G179,"spécifier histo"))</f>
        <v>0.145570728291317</v>
      </c>
      <c r="F179" s="59" t="n">
        <v>1700</v>
      </c>
      <c r="G179" s="59" t="n">
        <f aca="false">F179-H179</f>
        <v>1700</v>
      </c>
      <c r="H179" s="59" t="n">
        <v>0</v>
      </c>
      <c r="J179" s="55"/>
      <c r="K179" s="0"/>
    </row>
    <row r="180" customFormat="false" ht="19.85" hidden="false" customHeight="true" outlineLevel="0" collapsed="false">
      <c r="A180" s="1" t="n">
        <v>31</v>
      </c>
      <c r="B180" s="31" t="n">
        <v>40238</v>
      </c>
      <c r="C180" s="56" t="n">
        <v>298700</v>
      </c>
      <c r="D180" s="29" t="s">
        <v>41</v>
      </c>
      <c r="E180" s="33" t="n">
        <f aca="false">IF(D180="totale",(C180/(A180*24))/F180,IF(D180="marché libre",(C180/(A180*24))/G180,"spécifier histo"))</f>
        <v>0.236163820366856</v>
      </c>
      <c r="F180" s="59" t="n">
        <v>1700</v>
      </c>
      <c r="G180" s="59" t="n">
        <f aca="false">F180-H180</f>
        <v>1700</v>
      </c>
      <c r="H180" s="59" t="n">
        <v>0</v>
      </c>
      <c r="J180" s="55"/>
      <c r="K180" s="0"/>
    </row>
    <row r="181" customFormat="false" ht="19.85" hidden="false" customHeight="true" outlineLevel="0" collapsed="false">
      <c r="A181" s="1" t="n">
        <v>30</v>
      </c>
      <c r="B181" s="34" t="n">
        <v>40269</v>
      </c>
      <c r="C181" s="56" t="n">
        <v>519100</v>
      </c>
      <c r="D181" s="29" t="s">
        <v>41</v>
      </c>
      <c r="E181" s="33" t="n">
        <f aca="false">IF(D181="totale",(C181/(A181*24))/F181,IF(D181="marché libre",(C181/(A181*24))/G181,"spécifier histo"))</f>
        <v>0.424101307189542</v>
      </c>
      <c r="F181" s="59" t="n">
        <v>1700</v>
      </c>
      <c r="G181" s="59" t="n">
        <f aca="false">F181-H181</f>
        <v>1700</v>
      </c>
      <c r="H181" s="59" t="n">
        <v>0</v>
      </c>
      <c r="J181" s="55"/>
      <c r="K181" s="0"/>
    </row>
    <row r="182" customFormat="false" ht="19.85" hidden="false" customHeight="true" outlineLevel="0" collapsed="false">
      <c r="A182" s="1" t="n">
        <v>31</v>
      </c>
      <c r="B182" s="31" t="n">
        <v>40299</v>
      </c>
      <c r="C182" s="56" t="n">
        <v>787900</v>
      </c>
      <c r="D182" s="29" t="s">
        <v>41</v>
      </c>
      <c r="E182" s="33" t="n">
        <f aca="false">IF(D182="totale",(C182/(A182*24))/F182,IF(D182="marché libre",(C182/(A182*24))/G182,"spécifier histo"))</f>
        <v>0.622944339025933</v>
      </c>
      <c r="F182" s="59" t="n">
        <v>1700</v>
      </c>
      <c r="G182" s="59" t="n">
        <f aca="false">F182-H182</f>
        <v>1700</v>
      </c>
      <c r="H182" s="59" t="n">
        <v>0</v>
      </c>
      <c r="J182" s="55"/>
      <c r="K182" s="0"/>
    </row>
    <row r="183" customFormat="false" ht="19.85" hidden="false" customHeight="true" outlineLevel="0" collapsed="false">
      <c r="A183" s="1" t="n">
        <v>30</v>
      </c>
      <c r="B183" s="34" t="n">
        <v>40330</v>
      </c>
      <c r="C183" s="56" t="n">
        <v>680200</v>
      </c>
      <c r="D183" s="29" t="s">
        <v>41</v>
      </c>
      <c r="E183" s="33" t="n">
        <f aca="false">IF(D183="totale",(C183/(A183*24))/F183,IF(D183="marché libre",(C183/(A183*24))/G183,"spécifier histo"))</f>
        <v>0.555718954248366</v>
      </c>
      <c r="F183" s="59" t="n">
        <v>1700</v>
      </c>
      <c r="G183" s="59" t="n">
        <f aca="false">F183-H183</f>
        <v>1700</v>
      </c>
      <c r="H183" s="59" t="n">
        <v>0</v>
      </c>
      <c r="J183" s="55"/>
      <c r="K183" s="0"/>
    </row>
    <row r="184" customFormat="false" ht="19.85" hidden="false" customHeight="true" outlineLevel="0" collapsed="false">
      <c r="A184" s="1" t="n">
        <v>31</v>
      </c>
      <c r="B184" s="31" t="n">
        <v>40360</v>
      </c>
      <c r="C184" s="56" t="n">
        <v>808800</v>
      </c>
      <c r="D184" s="29" t="s">
        <v>41</v>
      </c>
      <c r="E184" s="33" t="n">
        <f aca="false">IF(D184="totale",(C184/(A184*24))/F184,IF(D184="marché libre",(C184/(A184*24))/G184,"spécifier histo"))</f>
        <v>0.639468690702087</v>
      </c>
      <c r="F184" s="59" t="n">
        <v>1700</v>
      </c>
      <c r="G184" s="59" t="n">
        <f aca="false">F184-H184</f>
        <v>1700</v>
      </c>
      <c r="H184" s="59" t="n">
        <v>0</v>
      </c>
      <c r="J184" s="55"/>
      <c r="K184" s="0"/>
    </row>
    <row r="185" customFormat="false" ht="19.85" hidden="false" customHeight="true" outlineLevel="0" collapsed="false">
      <c r="A185" s="1" t="n">
        <v>31</v>
      </c>
      <c r="B185" s="34" t="n">
        <v>40391</v>
      </c>
      <c r="C185" s="56" t="n">
        <v>829700</v>
      </c>
      <c r="D185" s="29" t="s">
        <v>41</v>
      </c>
      <c r="E185" s="33" t="n">
        <f aca="false">IF(D185="totale",(C185/(A185*24))/F185,IF(D185="marché libre",(C185/(A185*24))/G185,"spécifier histo"))</f>
        <v>0.655993042378242</v>
      </c>
      <c r="F185" s="59" t="n">
        <v>1700</v>
      </c>
      <c r="G185" s="59" t="n">
        <f aca="false">F185-H185</f>
        <v>1700</v>
      </c>
      <c r="H185" s="59" t="n">
        <v>0</v>
      </c>
      <c r="J185" s="55"/>
      <c r="K185" s="0"/>
    </row>
    <row r="186" customFormat="false" ht="19.85" hidden="false" customHeight="true" outlineLevel="0" collapsed="false">
      <c r="A186" s="1" t="n">
        <v>30</v>
      </c>
      <c r="B186" s="31" t="n">
        <v>40422</v>
      </c>
      <c r="C186" s="56" t="n">
        <v>550300</v>
      </c>
      <c r="D186" s="29" t="s">
        <v>41</v>
      </c>
      <c r="E186" s="33" t="n">
        <f aca="false">IF(D186="totale",(C186/(A186*24))/F186,IF(D186="marché libre",(C186/(A186*24))/G186,"spécifier histo"))</f>
        <v>0.449591503267974</v>
      </c>
      <c r="F186" s="59" t="n">
        <v>1700</v>
      </c>
      <c r="G186" s="59" t="n">
        <f aca="false">F186-H186</f>
        <v>1700</v>
      </c>
      <c r="H186" s="59" t="n">
        <v>0</v>
      </c>
      <c r="J186" s="55"/>
      <c r="K186" s="0"/>
    </row>
    <row r="187" customFormat="false" ht="19.85" hidden="false" customHeight="true" outlineLevel="0" collapsed="false">
      <c r="A187" s="1" t="n">
        <v>31</v>
      </c>
      <c r="B187" s="34" t="n">
        <v>40452</v>
      </c>
      <c r="C187" s="56" t="n">
        <v>418200</v>
      </c>
      <c r="D187" s="29" t="s">
        <v>41</v>
      </c>
      <c r="E187" s="33" t="n">
        <f aca="false">IF(D187="totale",(C187/(A187*24))/F187,IF(D187="marché libre",(C187/(A187*24))/G187,"spécifier histo"))</f>
        <v>0.330645161290323</v>
      </c>
      <c r="F187" s="59" t="n">
        <v>1700</v>
      </c>
      <c r="G187" s="59" t="n">
        <f aca="false">F187-H187</f>
        <v>1700</v>
      </c>
      <c r="H187" s="59" t="n">
        <v>0</v>
      </c>
      <c r="J187" s="55"/>
      <c r="K187" s="0"/>
    </row>
    <row r="188" customFormat="false" ht="19.85" hidden="false" customHeight="true" outlineLevel="0" collapsed="false">
      <c r="A188" s="1" t="n">
        <v>30</v>
      </c>
      <c r="B188" s="31" t="n">
        <v>40483</v>
      </c>
      <c r="C188" s="56" t="n">
        <v>331700</v>
      </c>
      <c r="D188" s="29" t="s">
        <v>41</v>
      </c>
      <c r="E188" s="33" t="n">
        <f aca="false">IF(D188="totale",(C188/(A188*24))/F188,IF(D188="marché libre",(C188/(A188*24))/G188,"spécifier histo"))</f>
        <v>0.270996732026144</v>
      </c>
      <c r="F188" s="59" t="n">
        <v>1700</v>
      </c>
      <c r="G188" s="59" t="n">
        <f aca="false">F188-H188</f>
        <v>1700</v>
      </c>
      <c r="H188" s="59" t="n">
        <v>0</v>
      </c>
      <c r="J188" s="55"/>
      <c r="K188" s="0"/>
    </row>
    <row r="189" customFormat="false" ht="19.85" hidden="false" customHeight="true" outlineLevel="0" collapsed="false">
      <c r="A189" s="1" t="n">
        <v>31</v>
      </c>
      <c r="B189" s="34" t="n">
        <v>40513</v>
      </c>
      <c r="C189" s="56" t="n">
        <v>283200</v>
      </c>
      <c r="D189" s="29" t="s">
        <v>41</v>
      </c>
      <c r="E189" s="33" t="n">
        <f aca="false">IF(D189="totale",(C189/(A189*24))/F189,IF(D189="marché libre",(C189/(A189*24))/G189,"spécifier histo"))</f>
        <v>0.223908918406072</v>
      </c>
      <c r="F189" s="59" t="n">
        <v>1700</v>
      </c>
      <c r="G189" s="59" t="n">
        <f aca="false">F189-H189</f>
        <v>1700</v>
      </c>
      <c r="H189" s="59" t="n">
        <v>0</v>
      </c>
      <c r="J189" s="55"/>
      <c r="K189" s="0"/>
    </row>
    <row r="190" customFormat="false" ht="19.85" hidden="false" customHeight="true" outlineLevel="0" collapsed="false">
      <c r="A190" s="1" t="n">
        <v>31</v>
      </c>
      <c r="B190" s="31" t="n">
        <v>40544</v>
      </c>
      <c r="C190" s="56" t="n">
        <v>171700</v>
      </c>
      <c r="D190" s="29" t="s">
        <v>41</v>
      </c>
      <c r="E190" s="33" t="n">
        <f aca="false">IF(D190="totale",(C190/(A190*24))/F190,IF(D190="marché libre",(C190/(A190*24))/G190,"spécifier histo"))</f>
        <v>0.135752688172043</v>
      </c>
      <c r="F190" s="59" t="n">
        <v>1700</v>
      </c>
      <c r="G190" s="59" t="n">
        <f aca="false">F190-H190</f>
        <v>1700</v>
      </c>
      <c r="H190" s="59" t="n">
        <v>0</v>
      </c>
      <c r="J190" s="55"/>
      <c r="K190" s="0"/>
    </row>
    <row r="191" customFormat="false" ht="19.85" hidden="false" customHeight="true" outlineLevel="0" collapsed="false">
      <c r="A191" s="1" t="n">
        <v>28</v>
      </c>
      <c r="B191" s="34" t="n">
        <v>40575</v>
      </c>
      <c r="C191" s="56" t="n">
        <v>137800</v>
      </c>
      <c r="D191" s="29" t="s">
        <v>41</v>
      </c>
      <c r="E191" s="33" t="n">
        <f aca="false">IF(D191="totale",(C191/(A191*24))/F191,IF(D191="marché libre",(C191/(A191*24))/G191,"spécifier histo"))</f>
        <v>0.12062324929972</v>
      </c>
      <c r="F191" s="59" t="n">
        <v>1700</v>
      </c>
      <c r="G191" s="59" t="n">
        <f aca="false">F191-H191</f>
        <v>1700</v>
      </c>
      <c r="H191" s="59" t="n">
        <v>0</v>
      </c>
      <c r="J191" s="55"/>
      <c r="K191" s="0"/>
    </row>
    <row r="192" customFormat="false" ht="19.85" hidden="false" customHeight="true" outlineLevel="0" collapsed="false">
      <c r="A192" s="1" t="n">
        <v>31</v>
      </c>
      <c r="B192" s="31" t="n">
        <v>40603</v>
      </c>
      <c r="C192" s="56" t="n">
        <v>226900</v>
      </c>
      <c r="D192" s="29" t="s">
        <v>41</v>
      </c>
      <c r="E192" s="33" t="n">
        <f aca="false">IF(D192="totale",(C192/(A192*24))/F192,IF(D192="marché libre",(C192/(A192*24))/G192,"spécifier histo"))</f>
        <v>0.179395951929159</v>
      </c>
      <c r="F192" s="59" t="n">
        <v>1700</v>
      </c>
      <c r="G192" s="59" t="n">
        <f aca="false">F192-H192</f>
        <v>1700</v>
      </c>
      <c r="H192" s="59" t="n">
        <v>0</v>
      </c>
      <c r="J192" s="55"/>
      <c r="K192" s="0"/>
    </row>
    <row r="193" customFormat="false" ht="19.85" hidden="false" customHeight="true" outlineLevel="0" collapsed="false">
      <c r="A193" s="1" t="n">
        <v>30</v>
      </c>
      <c r="B193" s="34" t="n">
        <v>40634</v>
      </c>
      <c r="C193" s="56" t="n">
        <v>629600</v>
      </c>
      <c r="D193" s="29" t="s">
        <v>41</v>
      </c>
      <c r="E193" s="33" t="n">
        <f aca="false">IF(D193="totale",(C193/(A193*24))/F193,IF(D193="marché libre",(C193/(A193*24))/G193,"spécifier histo"))</f>
        <v>0.51437908496732</v>
      </c>
      <c r="F193" s="59" t="n">
        <v>1700</v>
      </c>
      <c r="G193" s="59" t="n">
        <f aca="false">F193-H193</f>
        <v>1700</v>
      </c>
      <c r="H193" s="59" t="n">
        <v>0</v>
      </c>
      <c r="J193" s="55"/>
      <c r="K193" s="0"/>
    </row>
    <row r="194" customFormat="false" ht="19.85" hidden="false" customHeight="true" outlineLevel="0" collapsed="false">
      <c r="A194" s="1" t="n">
        <v>31</v>
      </c>
      <c r="B194" s="31" t="n">
        <v>40664</v>
      </c>
      <c r="C194" s="56" t="n">
        <v>742500</v>
      </c>
      <c r="D194" s="29" t="s">
        <v>41</v>
      </c>
      <c r="E194" s="33" t="n">
        <f aca="false">IF(D194="totale",(C194/(A194*24))/F194,IF(D194="marché libre",(C194/(A194*24))/G194,"spécifier histo"))</f>
        <v>0.587049335863378</v>
      </c>
      <c r="F194" s="59" t="n">
        <v>1700</v>
      </c>
      <c r="G194" s="59" t="n">
        <f aca="false">F194-H194</f>
        <v>1700</v>
      </c>
      <c r="H194" s="59" t="n">
        <v>0</v>
      </c>
      <c r="J194" s="55"/>
      <c r="K194" s="0"/>
    </row>
    <row r="195" customFormat="false" ht="19.85" hidden="false" customHeight="true" outlineLevel="0" collapsed="false">
      <c r="A195" s="1" t="n">
        <v>30</v>
      </c>
      <c r="B195" s="34" t="n">
        <v>40695</v>
      </c>
      <c r="C195" s="56" t="n">
        <v>797800</v>
      </c>
      <c r="D195" s="29" t="s">
        <v>41</v>
      </c>
      <c r="E195" s="33" t="n">
        <f aca="false">IF(D195="totale",(C195/(A195*24))/F195,IF(D195="marché libre",(C195/(A195*24))/G195,"spécifier histo"))</f>
        <v>0.651797385620915</v>
      </c>
      <c r="F195" s="59" t="n">
        <v>1700</v>
      </c>
      <c r="G195" s="59" t="n">
        <f aca="false">F195-H195</f>
        <v>1700</v>
      </c>
      <c r="H195" s="59" t="n">
        <v>0</v>
      </c>
      <c r="J195" s="55"/>
      <c r="K195" s="0"/>
    </row>
    <row r="196" customFormat="false" ht="19.85" hidden="false" customHeight="true" outlineLevel="0" collapsed="false">
      <c r="A196" s="1" t="n">
        <v>31</v>
      </c>
      <c r="B196" s="31" t="n">
        <v>40725</v>
      </c>
      <c r="C196" s="56" t="n">
        <v>740600</v>
      </c>
      <c r="D196" s="29" t="s">
        <v>41</v>
      </c>
      <c r="E196" s="33" t="n">
        <f aca="false">IF(D196="totale",(C196/(A196*24))/F196,IF(D196="marché libre",(C196/(A196*24))/G196,"spécifier histo"))</f>
        <v>0.585547122074636</v>
      </c>
      <c r="F196" s="59" t="n">
        <v>1700</v>
      </c>
      <c r="G196" s="59" t="n">
        <f aca="false">F196-H196</f>
        <v>1700</v>
      </c>
      <c r="H196" s="59" t="n">
        <v>0</v>
      </c>
      <c r="J196" s="55"/>
      <c r="K196" s="0"/>
    </row>
    <row r="197" customFormat="false" ht="19.85" hidden="false" customHeight="true" outlineLevel="0" collapsed="false">
      <c r="A197" s="1" t="n">
        <v>31</v>
      </c>
      <c r="B197" s="34" t="n">
        <v>40756</v>
      </c>
      <c r="C197" s="56" t="n">
        <v>494100</v>
      </c>
      <c r="D197" s="29" t="s">
        <v>41</v>
      </c>
      <c r="E197" s="33" t="n">
        <f aca="false">IF(D197="totale",(C197/(A197*24))/F197,IF(D197="marché libre",(C197/(A197*24))/G197,"spécifier histo"))</f>
        <v>0.390654648956357</v>
      </c>
      <c r="F197" s="59" t="n">
        <v>1700</v>
      </c>
      <c r="G197" s="59" t="n">
        <f aca="false">F197-H197</f>
        <v>1700</v>
      </c>
      <c r="H197" s="59" t="n">
        <v>0</v>
      </c>
      <c r="J197" s="55"/>
      <c r="K197" s="0"/>
    </row>
    <row r="198" customFormat="false" ht="19.85" hidden="false" customHeight="true" outlineLevel="0" collapsed="false">
      <c r="A198" s="1" t="n">
        <v>30</v>
      </c>
      <c r="B198" s="31" t="n">
        <v>40787</v>
      </c>
      <c r="C198" s="56" t="n">
        <v>415900</v>
      </c>
      <c r="D198" s="29" t="s">
        <v>41</v>
      </c>
      <c r="E198" s="33" t="n">
        <f aca="false">IF(D198="totale",(C198/(A198*24))/F198,IF(D198="marché libre",(C198/(A198*24))/G198,"spécifier histo"))</f>
        <v>0.339787581699346</v>
      </c>
      <c r="F198" s="59" t="n">
        <v>1700</v>
      </c>
      <c r="G198" s="59" t="n">
        <f aca="false">F198-H198</f>
        <v>1700</v>
      </c>
      <c r="H198" s="59" t="n">
        <v>0</v>
      </c>
      <c r="J198" s="55"/>
      <c r="K198" s="0"/>
    </row>
    <row r="199" customFormat="false" ht="19.85" hidden="false" customHeight="true" outlineLevel="0" collapsed="false">
      <c r="A199" s="1" t="n">
        <v>31</v>
      </c>
      <c r="B199" s="34" t="n">
        <v>40817</v>
      </c>
      <c r="C199" s="56" t="n">
        <v>329600</v>
      </c>
      <c r="D199" s="29" t="s">
        <v>41</v>
      </c>
      <c r="E199" s="33" t="n">
        <f aca="false">IF(D199="totale",(C199/(A199*24))/F199,IF(D199="marché libre",(C199/(A199*24))/G199,"spécifier histo"))</f>
        <v>0.260594560404807</v>
      </c>
      <c r="F199" s="59" t="n">
        <v>1700</v>
      </c>
      <c r="G199" s="59" t="n">
        <f aca="false">F199-H199</f>
        <v>1700</v>
      </c>
      <c r="H199" s="59" t="n">
        <v>0</v>
      </c>
      <c r="J199" s="55"/>
      <c r="K199" s="0"/>
    </row>
    <row r="200" customFormat="false" ht="19.85" hidden="false" customHeight="true" outlineLevel="0" collapsed="false">
      <c r="A200" s="1" t="n">
        <v>30</v>
      </c>
      <c r="B200" s="31" t="n">
        <v>40848</v>
      </c>
      <c r="C200" s="56" t="n">
        <v>206500</v>
      </c>
      <c r="D200" s="29" t="s">
        <v>41</v>
      </c>
      <c r="E200" s="33" t="n">
        <f aca="false">IF(D200="totale",(C200/(A200*24))/F200,IF(D200="marché libre",(C200/(A200*24))/G200,"spécifier histo"))</f>
        <v>0.168709150326797</v>
      </c>
      <c r="F200" s="59" t="n">
        <v>1700</v>
      </c>
      <c r="G200" s="59" t="n">
        <f aca="false">F200-H200</f>
        <v>1700</v>
      </c>
      <c r="H200" s="59" t="n">
        <v>0</v>
      </c>
      <c r="J200" s="55"/>
      <c r="K200" s="0"/>
    </row>
    <row r="201" customFormat="false" ht="19.85" hidden="false" customHeight="true" outlineLevel="0" collapsed="false">
      <c r="A201" s="1" t="n">
        <v>31</v>
      </c>
      <c r="B201" s="34" t="n">
        <v>40878</v>
      </c>
      <c r="C201" s="56" t="n">
        <v>293900</v>
      </c>
      <c r="D201" s="29" t="s">
        <v>41</v>
      </c>
      <c r="E201" s="33" t="n">
        <f aca="false">IF(D201="totale",(C201/(A201*24))/F201,IF(D201="marché libre",(C201/(A201*24))/G201,"spécifier histo"))</f>
        <v>0.232368753953194</v>
      </c>
      <c r="F201" s="59" t="n">
        <v>1700</v>
      </c>
      <c r="G201" s="59" t="n">
        <f aca="false">F201-H201</f>
        <v>1700</v>
      </c>
      <c r="H201" s="59" t="n">
        <v>0</v>
      </c>
      <c r="J201" s="55"/>
      <c r="K201" s="0"/>
    </row>
    <row r="202" customFormat="false" ht="19.85" hidden="false" customHeight="true" outlineLevel="0" collapsed="false">
      <c r="A202" s="1" t="n">
        <v>31</v>
      </c>
      <c r="B202" s="31" t="n">
        <v>40909</v>
      </c>
      <c r="C202" s="56" t="n">
        <v>334710</v>
      </c>
      <c r="D202" s="29" t="s">
        <v>41</v>
      </c>
      <c r="E202" s="33" t="n">
        <f aca="false">IF(D202="totale",(C202/(A202*24))/F202,IF(D202="marché libre",(C202/(A202*24))/G202,"spécifier histo"))</f>
        <v>0.264634724857685</v>
      </c>
      <c r="F202" s="59" t="n">
        <v>1700</v>
      </c>
      <c r="G202" s="59" t="n">
        <f aca="false">F202-H202</f>
        <v>1700</v>
      </c>
      <c r="H202" s="59" t="n">
        <v>0</v>
      </c>
      <c r="J202" s="55"/>
      <c r="K202" s="0"/>
    </row>
    <row r="203" customFormat="false" ht="19.85" hidden="false" customHeight="true" outlineLevel="0" collapsed="false">
      <c r="A203" s="1" t="n">
        <v>28</v>
      </c>
      <c r="B203" s="34" t="n">
        <v>40940</v>
      </c>
      <c r="C203" s="56" t="n">
        <v>171963</v>
      </c>
      <c r="D203" s="29" t="s">
        <v>41</v>
      </c>
      <c r="E203" s="33" t="n">
        <f aca="false">IF(D203="totale",(C203/(A203*24))/F203,IF(D203="marché libre",(C203/(A203*24))/G203,"spécifier histo"))</f>
        <v>0.150527836134454</v>
      </c>
      <c r="F203" s="59" t="n">
        <v>1700</v>
      </c>
      <c r="G203" s="59" t="n">
        <f aca="false">F203-H203</f>
        <v>1700</v>
      </c>
      <c r="H203" s="59" t="n">
        <v>0</v>
      </c>
      <c r="J203" s="55"/>
      <c r="K203" s="0"/>
    </row>
    <row r="204" customFormat="false" ht="19.85" hidden="false" customHeight="true" outlineLevel="0" collapsed="false">
      <c r="A204" s="1" t="n">
        <v>31</v>
      </c>
      <c r="B204" s="31" t="n">
        <v>40969</v>
      </c>
      <c r="C204" s="56" t="n">
        <v>489608</v>
      </c>
      <c r="D204" s="29" t="s">
        <v>41</v>
      </c>
      <c r="E204" s="33" t="n">
        <f aca="false">IF(D204="totale",(C204/(A204*24))/F204,IF(D204="marché libre",(C204/(A204*24))/G204,"spécifier histo"))</f>
        <v>0.387103099304238</v>
      </c>
      <c r="F204" s="59" t="n">
        <v>1700</v>
      </c>
      <c r="G204" s="59" t="n">
        <f aca="false">F204-H204</f>
        <v>1700</v>
      </c>
      <c r="H204" s="59" t="n">
        <v>0</v>
      </c>
      <c r="J204" s="55"/>
      <c r="K204" s="0"/>
    </row>
    <row r="205" customFormat="false" ht="19.85" hidden="false" customHeight="true" outlineLevel="0" collapsed="false">
      <c r="A205" s="1" t="n">
        <v>30</v>
      </c>
      <c r="B205" s="34" t="n">
        <v>41000</v>
      </c>
      <c r="C205" s="56" t="n">
        <v>561108</v>
      </c>
      <c r="D205" s="29" t="s">
        <v>41</v>
      </c>
      <c r="E205" s="33" t="n">
        <f aca="false">IF(D205="totale",(C205/(A205*24))/F205,IF(D205="marché libre",(C205/(A205*24))/G205,"spécifier histo"))</f>
        <v>0.458421568627451</v>
      </c>
      <c r="F205" s="59" t="n">
        <v>1700</v>
      </c>
      <c r="G205" s="59" t="n">
        <f aca="false">F205-H205</f>
        <v>1700</v>
      </c>
      <c r="H205" s="59" t="n">
        <v>0</v>
      </c>
      <c r="J205" s="55"/>
      <c r="K205" s="0"/>
    </row>
    <row r="206" customFormat="false" ht="19.85" hidden="false" customHeight="true" outlineLevel="0" collapsed="false">
      <c r="A206" s="1" t="n">
        <v>31</v>
      </c>
      <c r="B206" s="31" t="n">
        <v>41030</v>
      </c>
      <c r="C206" s="56" t="n">
        <v>841263</v>
      </c>
      <c r="D206" s="29" t="s">
        <v>41</v>
      </c>
      <c r="E206" s="33" t="n">
        <f aca="false">IF(D206="totale",(C206/(A206*24))/F206,IF(D206="marché libre",(C206/(A206*24))/G206,"spécifier histo"))</f>
        <v>0.665135199240987</v>
      </c>
      <c r="F206" s="59" t="n">
        <v>1700</v>
      </c>
      <c r="G206" s="59" t="n">
        <f aca="false">F206-H206</f>
        <v>1700</v>
      </c>
      <c r="H206" s="59" t="n">
        <v>0</v>
      </c>
      <c r="J206" s="55"/>
      <c r="K206" s="0"/>
    </row>
    <row r="207" customFormat="false" ht="19.85" hidden="false" customHeight="true" outlineLevel="0" collapsed="false">
      <c r="A207" s="1" t="n">
        <v>30</v>
      </c>
      <c r="B207" s="34" t="n">
        <v>41061</v>
      </c>
      <c r="C207" s="56" t="n">
        <v>792297</v>
      </c>
      <c r="D207" s="29" t="s">
        <v>41</v>
      </c>
      <c r="E207" s="33" t="n">
        <f aca="false">IF(D207="totale",(C207/(A207*24))/F207,IF(D207="marché libre",(C207/(A207*24))/G207,"spécifier histo"))</f>
        <v>0.647301470588235</v>
      </c>
      <c r="F207" s="59" t="n">
        <v>1700</v>
      </c>
      <c r="G207" s="59" t="n">
        <f aca="false">F207-H207</f>
        <v>1700</v>
      </c>
      <c r="H207" s="59" t="n">
        <v>0</v>
      </c>
      <c r="J207" s="55"/>
      <c r="K207" s="0"/>
    </row>
    <row r="208" customFormat="false" ht="19.85" hidden="false" customHeight="true" outlineLevel="0" collapsed="false">
      <c r="A208" s="1" t="n">
        <v>31</v>
      </c>
      <c r="B208" s="31" t="n">
        <v>41091</v>
      </c>
      <c r="C208" s="56" t="n">
        <v>446467</v>
      </c>
      <c r="D208" s="29" t="s">
        <v>41</v>
      </c>
      <c r="E208" s="33" t="n">
        <f aca="false">IF(D208="totale",(C208/(A208*24))/F208,IF(D208="marché libre",(C208/(A208*24))/G208,"spécifier histo"))</f>
        <v>0.352994149272612</v>
      </c>
      <c r="F208" s="59" t="n">
        <v>1700</v>
      </c>
      <c r="G208" s="59" t="n">
        <f aca="false">F208-H208</f>
        <v>1700</v>
      </c>
      <c r="H208" s="59" t="n">
        <v>0</v>
      </c>
      <c r="J208" s="55"/>
      <c r="K208" s="0"/>
    </row>
    <row r="209" customFormat="false" ht="19.85" hidden="false" customHeight="true" outlineLevel="0" collapsed="false">
      <c r="A209" s="1" t="n">
        <v>31</v>
      </c>
      <c r="B209" s="34" t="n">
        <v>41122</v>
      </c>
      <c r="C209" s="56" t="n">
        <v>218598</v>
      </c>
      <c r="D209" s="29" t="s">
        <v>41</v>
      </c>
      <c r="E209" s="33" t="n">
        <f aca="false">IF(D209="totale",(C209/(A209*24))/F209,IF(D209="marché libre",(C209/(A209*24))/G209,"spécifier histo"))</f>
        <v>0.172832068311195</v>
      </c>
      <c r="F209" s="59" t="n">
        <v>1700</v>
      </c>
      <c r="G209" s="59" t="n">
        <f aca="false">F209-H209</f>
        <v>1700</v>
      </c>
      <c r="H209" s="59" t="n">
        <v>0</v>
      </c>
      <c r="J209" s="55"/>
      <c r="K209" s="0"/>
    </row>
    <row r="210" customFormat="false" ht="19.85" hidden="false" customHeight="true" outlineLevel="0" collapsed="false">
      <c r="A210" s="1" t="n">
        <v>30</v>
      </c>
      <c r="B210" s="31" t="n">
        <v>41153</v>
      </c>
      <c r="C210" s="56" t="n">
        <v>290233</v>
      </c>
      <c r="D210" s="29" t="s">
        <v>41</v>
      </c>
      <c r="E210" s="33" t="n">
        <f aca="false">IF(D210="totale",(C210/(A210*24))/F210,IF(D210="marché libre",(C210/(A210*24))/G210,"spécifier histo"))</f>
        <v>0.237118464052288</v>
      </c>
      <c r="F210" s="59" t="n">
        <v>1700</v>
      </c>
      <c r="G210" s="59" t="n">
        <f aca="false">F210-H210</f>
        <v>1700</v>
      </c>
      <c r="H210" s="59" t="n">
        <v>0</v>
      </c>
      <c r="J210" s="55"/>
      <c r="K210" s="0"/>
    </row>
    <row r="211" customFormat="false" ht="19.85" hidden="false" customHeight="true" outlineLevel="0" collapsed="false">
      <c r="A211" s="1" t="n">
        <v>31</v>
      </c>
      <c r="B211" s="34" t="n">
        <v>41183</v>
      </c>
      <c r="C211" s="56" t="n">
        <v>286237</v>
      </c>
      <c r="D211" s="29" t="s">
        <v>41</v>
      </c>
      <c r="E211" s="33" t="n">
        <f aca="false">IF(D211="totale",(C211/(A211*24))/F211,IF(D211="marché libre",(C211/(A211*24))/G211,"spécifier histo"))</f>
        <v>0.22631008855155</v>
      </c>
      <c r="F211" s="59" t="n">
        <v>1700</v>
      </c>
      <c r="G211" s="59" t="n">
        <f aca="false">F211-H211</f>
        <v>1700</v>
      </c>
      <c r="H211" s="59" t="n">
        <v>0</v>
      </c>
      <c r="J211" s="55"/>
      <c r="K211" s="0"/>
    </row>
    <row r="212" customFormat="false" ht="19.85" hidden="false" customHeight="true" outlineLevel="0" collapsed="false">
      <c r="A212" s="1" t="n">
        <v>30</v>
      </c>
      <c r="B212" s="31" t="n">
        <v>41214</v>
      </c>
      <c r="C212" s="56" t="n">
        <v>404319</v>
      </c>
      <c r="D212" s="29" t="s">
        <v>41</v>
      </c>
      <c r="E212" s="33" t="n">
        <f aca="false">IF(D212="totale",(C212/(A212*24))/F212,IF(D212="marché libre",(C212/(A212*24))/G212,"spécifier histo"))</f>
        <v>0.330325980392157</v>
      </c>
      <c r="F212" s="59" t="n">
        <v>1700</v>
      </c>
      <c r="G212" s="59" t="n">
        <f aca="false">F212-H212</f>
        <v>1700</v>
      </c>
      <c r="H212" s="59" t="n">
        <v>0</v>
      </c>
      <c r="J212" s="55"/>
      <c r="K212" s="0"/>
    </row>
    <row r="213" customFormat="false" ht="19.85" hidden="false" customHeight="true" outlineLevel="0" collapsed="false">
      <c r="A213" s="1" t="n">
        <v>31</v>
      </c>
      <c r="B213" s="34" t="n">
        <v>41244</v>
      </c>
      <c r="C213" s="56" t="n">
        <v>474540</v>
      </c>
      <c r="D213" s="29" t="s">
        <v>41</v>
      </c>
      <c r="E213" s="33" t="n">
        <f aca="false">IF(D213="totale",(C213/(A213*24))/F213,IF(D213="marché libre",(C213/(A213*24))/G213,"spécifier histo"))</f>
        <v>0.375189753320683</v>
      </c>
      <c r="F213" s="59" t="n">
        <v>1700</v>
      </c>
      <c r="G213" s="59" t="n">
        <f aca="false">F213-H213</f>
        <v>1700</v>
      </c>
      <c r="H213" s="59" t="n">
        <v>0</v>
      </c>
      <c r="J213" s="55"/>
      <c r="K213" s="0"/>
    </row>
    <row r="214" customFormat="false" ht="19.85" hidden="false" customHeight="true" outlineLevel="0" collapsed="false">
      <c r="A214" s="1" t="n">
        <v>31</v>
      </c>
      <c r="B214" s="31" t="n">
        <v>41275</v>
      </c>
      <c r="C214" s="56" t="n">
        <v>393500</v>
      </c>
      <c r="D214" s="29" t="s">
        <v>41</v>
      </c>
      <c r="E214" s="33" t="n">
        <f aca="false">IF(D214="totale",(C214/(A214*24))/F214,IF(D214="marché libre",(C214/(A214*24))/G214,"spécifier histo"))</f>
        <v>0.311116382036686</v>
      </c>
      <c r="F214" s="59" t="n">
        <v>1700</v>
      </c>
      <c r="G214" s="59" t="n">
        <f aca="false">F214-H214</f>
        <v>1700</v>
      </c>
      <c r="H214" s="59" t="n">
        <v>0</v>
      </c>
      <c r="J214" s="55"/>
      <c r="K214" s="0"/>
    </row>
    <row r="215" customFormat="false" ht="19.85" hidden="false" customHeight="true" outlineLevel="0" collapsed="false">
      <c r="A215" s="1" t="n">
        <v>28</v>
      </c>
      <c r="B215" s="34" t="n">
        <v>41306</v>
      </c>
      <c r="C215" s="56" t="n">
        <v>286200</v>
      </c>
      <c r="D215" s="29" t="s">
        <v>41</v>
      </c>
      <c r="E215" s="33" t="n">
        <f aca="false">IF(D215="totale",(C215/(A215*24))/F215,IF(D215="marché libre",(C215/(A215*24))/G215,"spécifier histo"))</f>
        <v>0.250525210084034</v>
      </c>
      <c r="F215" s="59" t="n">
        <v>1700</v>
      </c>
      <c r="G215" s="59" t="n">
        <f aca="false">F215-H215</f>
        <v>1700</v>
      </c>
      <c r="H215" s="59" t="n">
        <v>0</v>
      </c>
      <c r="J215" s="55"/>
      <c r="K215" s="0"/>
    </row>
    <row r="216" customFormat="false" ht="19.85" hidden="false" customHeight="true" outlineLevel="0" collapsed="false">
      <c r="A216" s="1" t="n">
        <v>31</v>
      </c>
      <c r="B216" s="31" t="n">
        <v>41334</v>
      </c>
      <c r="C216" s="56" t="n">
        <v>246500</v>
      </c>
      <c r="D216" s="29" t="s">
        <v>41</v>
      </c>
      <c r="E216" s="33" t="n">
        <f aca="false">IF(D216="totale",(C216/(A216*24))/F216,IF(D216="marché libre",(C216/(A216*24))/G216,"spécifier histo"))</f>
        <v>0.19489247311828</v>
      </c>
      <c r="F216" s="59" t="n">
        <v>1700</v>
      </c>
      <c r="G216" s="59" t="n">
        <f aca="false">F216-H216</f>
        <v>1700</v>
      </c>
      <c r="H216" s="59" t="n">
        <v>0</v>
      </c>
      <c r="J216" s="55"/>
      <c r="K216" s="0"/>
    </row>
    <row r="217" customFormat="false" ht="19.85" hidden="false" customHeight="true" outlineLevel="0" collapsed="false">
      <c r="A217" s="1" t="n">
        <v>30</v>
      </c>
      <c r="B217" s="34" t="n">
        <v>41365</v>
      </c>
      <c r="C217" s="56" t="n">
        <v>273000</v>
      </c>
      <c r="D217" s="29" t="s">
        <v>41</v>
      </c>
      <c r="E217" s="33" t="n">
        <f aca="false">IF(D217="totale",(C217/(A217*24))/F217,IF(D217="marché libre",(C217/(A217*24))/G217,"spécifier histo"))</f>
        <v>0.223039215686275</v>
      </c>
      <c r="F217" s="59" t="n">
        <v>1700</v>
      </c>
      <c r="G217" s="59" t="n">
        <f aca="false">F217-H217</f>
        <v>1700</v>
      </c>
      <c r="H217" s="59" t="n">
        <v>0</v>
      </c>
      <c r="J217" s="55"/>
      <c r="K217" s="0"/>
    </row>
    <row r="218" customFormat="false" ht="19.85" hidden="false" customHeight="true" outlineLevel="0" collapsed="false">
      <c r="A218" s="1" t="n">
        <v>31</v>
      </c>
      <c r="B218" s="31" t="n">
        <v>41395</v>
      </c>
      <c r="C218" s="56" t="n">
        <v>724800</v>
      </c>
      <c r="D218" s="29" t="s">
        <v>41</v>
      </c>
      <c r="E218" s="33" t="n">
        <f aca="false">IF(D218="totale",(C218/(A218*24))/F218,IF(D218="marché libre",(C218/(A218*24))/G218,"spécifier histo"))</f>
        <v>0.573055028462998</v>
      </c>
      <c r="F218" s="59" t="n">
        <v>1700</v>
      </c>
      <c r="G218" s="59" t="n">
        <f aca="false">F218-H218</f>
        <v>1700</v>
      </c>
      <c r="H218" s="59" t="n">
        <v>0</v>
      </c>
      <c r="J218" s="55"/>
      <c r="K218" s="0"/>
    </row>
    <row r="219" customFormat="false" ht="19.85" hidden="false" customHeight="true" outlineLevel="0" collapsed="false">
      <c r="A219" s="1" t="n">
        <v>30</v>
      </c>
      <c r="B219" s="34" t="n">
        <v>41426</v>
      </c>
      <c r="C219" s="56" t="n">
        <v>600600</v>
      </c>
      <c r="D219" s="29" t="s">
        <v>41</v>
      </c>
      <c r="E219" s="33" t="n">
        <f aca="false">IF(D219="totale",(C219/(A219*24))/F219,IF(D219="marché libre",(C219/(A219*24))/G219,"spécifier histo"))</f>
        <v>0.490686274509804</v>
      </c>
      <c r="F219" s="59" t="n">
        <v>1700</v>
      </c>
      <c r="G219" s="59" t="n">
        <f aca="false">F219-H219</f>
        <v>1700</v>
      </c>
      <c r="H219" s="59" t="n">
        <v>0</v>
      </c>
      <c r="J219" s="55"/>
      <c r="K219" s="0"/>
    </row>
    <row r="220" customFormat="false" ht="19.85" hidden="false" customHeight="true" outlineLevel="0" collapsed="false">
      <c r="A220" s="1" t="n">
        <v>31</v>
      </c>
      <c r="B220" s="31" t="n">
        <v>41456</v>
      </c>
      <c r="C220" s="56" t="n">
        <v>699000</v>
      </c>
      <c r="D220" s="29" t="s">
        <v>41</v>
      </c>
      <c r="E220" s="33" t="n">
        <f aca="false">IF(D220="totale",(C220/(A220*24))/F220,IF(D220="marché libre",(C220/(A220*24))/G220,"spécifier histo"))</f>
        <v>0.552656546489563</v>
      </c>
      <c r="F220" s="59" t="n">
        <v>1700</v>
      </c>
      <c r="G220" s="59" t="n">
        <f aca="false">F220-H220</f>
        <v>1700</v>
      </c>
      <c r="H220" s="59" t="n">
        <v>0</v>
      </c>
      <c r="J220" s="55"/>
      <c r="K220" s="0"/>
    </row>
    <row r="221" customFormat="false" ht="19.85" hidden="false" customHeight="true" outlineLevel="0" collapsed="false">
      <c r="A221" s="1" t="n">
        <v>31</v>
      </c>
      <c r="B221" s="34" t="n">
        <v>41487</v>
      </c>
      <c r="C221" s="56" t="n">
        <v>423300</v>
      </c>
      <c r="D221" s="29" t="s">
        <v>41</v>
      </c>
      <c r="E221" s="33" t="n">
        <f aca="false">IF(D221="totale",(C221/(A221*24))/F221,IF(D221="marché libre",(C221/(A221*24))/G221,"spécifier histo"))</f>
        <v>0.334677419354839</v>
      </c>
      <c r="F221" s="59" t="n">
        <v>1700</v>
      </c>
      <c r="G221" s="59" t="n">
        <f aca="false">F221-H221</f>
        <v>1700</v>
      </c>
      <c r="H221" s="59" t="n">
        <v>0</v>
      </c>
      <c r="J221" s="55"/>
      <c r="K221" s="0"/>
    </row>
    <row r="222" customFormat="false" ht="19.85" hidden="false" customHeight="true" outlineLevel="0" collapsed="false">
      <c r="A222" s="1" t="n">
        <v>30</v>
      </c>
      <c r="B222" s="31" t="n">
        <v>41518</v>
      </c>
      <c r="C222" s="56" t="n">
        <v>399700</v>
      </c>
      <c r="D222" s="29" t="s">
        <v>41</v>
      </c>
      <c r="E222" s="33" t="n">
        <f aca="false">IF(D222="totale",(C222/(A222*24))/F222,IF(D222="marché libre",(C222/(A222*24))/G222,"spécifier histo"))</f>
        <v>0.326552287581699</v>
      </c>
      <c r="F222" s="59" t="n">
        <v>1700</v>
      </c>
      <c r="G222" s="59" t="n">
        <f aca="false">F222-H222</f>
        <v>1700</v>
      </c>
      <c r="H222" s="59" t="n">
        <v>0</v>
      </c>
      <c r="J222" s="55"/>
      <c r="K222" s="0"/>
    </row>
    <row r="223" customFormat="false" ht="19.85" hidden="false" customHeight="true" outlineLevel="0" collapsed="false">
      <c r="A223" s="1" t="n">
        <v>31</v>
      </c>
      <c r="B223" s="34" t="n">
        <v>41548</v>
      </c>
      <c r="C223" s="56" t="n">
        <v>468600</v>
      </c>
      <c r="D223" s="29" t="s">
        <v>41</v>
      </c>
      <c r="E223" s="33" t="n">
        <f aca="false">IF(D223="totale",(C223/(A223*24))/F223,IF(D223="marché libre",(C223/(A223*24))/G223,"spécifier histo"))</f>
        <v>0.370493358633776</v>
      </c>
      <c r="F223" s="59" t="n">
        <v>1700</v>
      </c>
      <c r="G223" s="59" t="n">
        <f aca="false">F223-H223</f>
        <v>1700</v>
      </c>
      <c r="H223" s="59" t="n">
        <v>0</v>
      </c>
      <c r="J223" s="55"/>
      <c r="K223" s="0"/>
    </row>
    <row r="224" customFormat="false" ht="19.85" hidden="false" customHeight="true" outlineLevel="0" collapsed="false">
      <c r="A224" s="1" t="n">
        <v>30</v>
      </c>
      <c r="B224" s="31" t="n">
        <v>41579</v>
      </c>
      <c r="C224" s="56" t="n">
        <v>632700</v>
      </c>
      <c r="D224" s="29" t="s">
        <v>41</v>
      </c>
      <c r="E224" s="33" t="n">
        <f aca="false">IF(D224="totale",(C224/(A224*24))/F224,IF(D224="marché libre",(C224/(A224*24))/G224,"spécifier histo"))</f>
        <v>0.516911764705882</v>
      </c>
      <c r="F224" s="59" t="n">
        <v>1700</v>
      </c>
      <c r="G224" s="59" t="n">
        <f aca="false">F224-H224</f>
        <v>1700</v>
      </c>
      <c r="H224" s="59" t="n">
        <v>0</v>
      </c>
      <c r="J224" s="55"/>
      <c r="K224" s="0"/>
    </row>
    <row r="225" customFormat="false" ht="19.85" hidden="false" customHeight="true" outlineLevel="0" collapsed="false">
      <c r="A225" s="1" t="n">
        <v>31</v>
      </c>
      <c r="B225" s="34" t="n">
        <v>41609</v>
      </c>
      <c r="C225" s="56" t="n">
        <v>383000</v>
      </c>
      <c r="D225" s="29" t="s">
        <v>41</v>
      </c>
      <c r="E225" s="33" t="n">
        <f aca="false">IF(D225="totale",(C225/(A225*24))/F225,IF(D225="marché libre",(C225/(A225*24))/G225,"spécifier histo"))</f>
        <v>0.302814674256799</v>
      </c>
      <c r="F225" s="59" t="n">
        <v>1700</v>
      </c>
      <c r="G225" s="59" t="n">
        <f aca="false">F225-H225</f>
        <v>1700</v>
      </c>
      <c r="H225" s="59" t="n">
        <v>0</v>
      </c>
      <c r="J225" s="55"/>
      <c r="K225" s="0"/>
    </row>
    <row r="226" customFormat="false" ht="19.85" hidden="false" customHeight="true" outlineLevel="0" collapsed="false">
      <c r="A226" s="1" t="n">
        <v>31</v>
      </c>
      <c r="B226" s="31" t="n">
        <v>41640</v>
      </c>
      <c r="C226" s="56" t="n">
        <v>397200</v>
      </c>
      <c r="D226" s="29" t="s">
        <v>41</v>
      </c>
      <c r="E226" s="33" t="n">
        <f aca="false">IF(D226="totale",(C226/(A226*24))/F226,IF(D226="marché libre",(C226/(A226*24))/G226,"spécifier histo"))</f>
        <v>0.31404174573055</v>
      </c>
      <c r="F226" s="59" t="n">
        <v>1700</v>
      </c>
      <c r="G226" s="59" t="n">
        <f aca="false">F226-H226</f>
        <v>1700</v>
      </c>
      <c r="H226" s="59" t="n">
        <v>0</v>
      </c>
      <c r="J226" s="55"/>
      <c r="K226" s="0"/>
    </row>
    <row r="227" customFormat="false" ht="19.85" hidden="false" customHeight="true" outlineLevel="0" collapsed="false">
      <c r="A227" s="1" t="n">
        <v>28</v>
      </c>
      <c r="B227" s="34" t="n">
        <v>41671</v>
      </c>
      <c r="C227" s="56" t="n">
        <v>27500</v>
      </c>
      <c r="D227" s="29" t="s">
        <v>41</v>
      </c>
      <c r="E227" s="33" t="n">
        <f aca="false">IF(D227="totale",(C227/(A227*24))/F227,IF(D227="marché libre",(C227/(A227*24))/G227,"spécifier histo"))</f>
        <v>0.0240721288515406</v>
      </c>
      <c r="F227" s="59" t="n">
        <v>1700</v>
      </c>
      <c r="G227" s="59" t="n">
        <f aca="false">F227-H227</f>
        <v>1700</v>
      </c>
      <c r="H227" s="59" t="n">
        <v>0</v>
      </c>
      <c r="J227" s="55"/>
      <c r="K227" s="0"/>
    </row>
    <row r="228" customFormat="false" ht="19.85" hidden="false" customHeight="true" outlineLevel="0" collapsed="false">
      <c r="A228" s="1" t="n">
        <v>31</v>
      </c>
      <c r="B228" s="31" t="n">
        <v>41699</v>
      </c>
      <c r="C228" s="56" t="n">
        <v>0</v>
      </c>
      <c r="D228" s="29" t="s">
        <v>41</v>
      </c>
      <c r="E228" s="33" t="n">
        <f aca="false">IF(D228="totale",(C228/(A228*24))/F228,IF(D228="marché libre",(C228/(A228*24))/G228,"spécifier histo"))</f>
        <v>0</v>
      </c>
      <c r="F228" s="59" t="n">
        <v>1700</v>
      </c>
      <c r="G228" s="59" t="n">
        <f aca="false">F228-H228</f>
        <v>1700</v>
      </c>
      <c r="H228" s="59" t="n">
        <v>0</v>
      </c>
      <c r="J228" s="55"/>
      <c r="K228" s="0"/>
    </row>
    <row r="229" customFormat="false" ht="19.85" hidden="false" customHeight="true" outlineLevel="0" collapsed="false">
      <c r="A229" s="1" t="n">
        <v>30</v>
      </c>
      <c r="B229" s="34" t="n">
        <v>41730</v>
      </c>
      <c r="C229" s="56" t="n">
        <v>0</v>
      </c>
      <c r="D229" s="29" t="s">
        <v>41</v>
      </c>
      <c r="E229" s="33" t="n">
        <f aca="false">IF(D229="totale",(C229/(A229*24))/F229,IF(D229="marché libre",(C229/(A229*24))/G229,"spécifier histo"))</f>
        <v>0</v>
      </c>
      <c r="F229" s="59" t="n">
        <v>1700</v>
      </c>
      <c r="G229" s="59" t="n">
        <f aca="false">F229-H229</f>
        <v>1700</v>
      </c>
      <c r="H229" s="59" t="n">
        <v>0</v>
      </c>
      <c r="J229" s="55"/>
      <c r="K229" s="0"/>
    </row>
    <row r="230" customFormat="false" ht="19.85" hidden="false" customHeight="true" outlineLevel="0" collapsed="false">
      <c r="A230" s="1" t="n">
        <v>31</v>
      </c>
      <c r="B230" s="31" t="n">
        <v>41760</v>
      </c>
      <c r="C230" s="56" t="n">
        <v>0</v>
      </c>
      <c r="D230" s="29" t="s">
        <v>41</v>
      </c>
      <c r="E230" s="33" t="n">
        <f aca="false">IF(D230="totale",(C230/(A230*24))/F230,IF(D230="marché libre",(C230/(A230*24))/G230,"spécifier histo"))</f>
        <v>0</v>
      </c>
      <c r="F230" s="59" t="n">
        <v>1700</v>
      </c>
      <c r="G230" s="59" t="n">
        <f aca="false">F230-H230</f>
        <v>1700</v>
      </c>
      <c r="H230" s="59" t="n">
        <v>0</v>
      </c>
      <c r="J230" s="55"/>
      <c r="K230" s="0"/>
    </row>
    <row r="231" customFormat="false" ht="19.85" hidden="false" customHeight="true" outlineLevel="0" collapsed="false">
      <c r="A231" s="1" t="n">
        <v>30</v>
      </c>
      <c r="B231" s="34" t="n">
        <v>41791</v>
      </c>
      <c r="C231" s="56" t="n">
        <v>93600</v>
      </c>
      <c r="D231" s="29" t="s">
        <v>41</v>
      </c>
      <c r="E231" s="33" t="n">
        <f aca="false">IF(D231="totale",(C231/(A231*24))/F231,IF(D231="marché libre",(C231/(A231*24))/G231,"spécifier histo"))</f>
        <v>0.0764705882352941</v>
      </c>
      <c r="F231" s="59" t="n">
        <v>1700</v>
      </c>
      <c r="G231" s="59" t="n">
        <f aca="false">F231-H231</f>
        <v>1700</v>
      </c>
      <c r="H231" s="59" t="n">
        <v>0</v>
      </c>
      <c r="J231" s="55"/>
      <c r="K231" s="0"/>
    </row>
    <row r="232" customFormat="false" ht="19.85" hidden="false" customHeight="true" outlineLevel="0" collapsed="false">
      <c r="A232" s="1" t="n">
        <v>31</v>
      </c>
      <c r="B232" s="31" t="n">
        <v>41821</v>
      </c>
      <c r="C232" s="56" t="n">
        <v>623900</v>
      </c>
      <c r="D232" s="29" t="s">
        <v>41</v>
      </c>
      <c r="E232" s="33" t="n">
        <f aca="false">IF(D232="totale",(C232/(A232*24))/F232,IF(D232="marché libre",(C232/(A232*24))/G232,"spécifier histo"))</f>
        <v>0.493279569892473</v>
      </c>
      <c r="F232" s="59" t="n">
        <v>1700</v>
      </c>
      <c r="G232" s="59" t="n">
        <f aca="false">F232-H232</f>
        <v>1700</v>
      </c>
      <c r="H232" s="59" t="n">
        <v>0</v>
      </c>
      <c r="J232" s="55"/>
      <c r="K232" s="0"/>
    </row>
    <row r="233" customFormat="false" ht="19.85" hidden="false" customHeight="true" outlineLevel="0" collapsed="false">
      <c r="A233" s="1" t="n">
        <v>31</v>
      </c>
      <c r="B233" s="34" t="n">
        <v>41852</v>
      </c>
      <c r="C233" s="56" t="n">
        <v>404500</v>
      </c>
      <c r="D233" s="29" t="s">
        <v>41</v>
      </c>
      <c r="E233" s="33" t="n">
        <f aca="false">IF(D233="totale",(C233/(A233*24))/F233,IF(D233="marché libre",(C233/(A233*24))/G233,"spécifier histo"))</f>
        <v>0.319813409234662</v>
      </c>
      <c r="F233" s="59" t="n">
        <v>1700</v>
      </c>
      <c r="G233" s="59" t="n">
        <f aca="false">F233-H233</f>
        <v>1700</v>
      </c>
      <c r="H233" s="59" t="n">
        <v>0</v>
      </c>
      <c r="J233" s="55"/>
      <c r="K233" s="0"/>
    </row>
    <row r="234" customFormat="false" ht="19.85" hidden="false" customHeight="true" outlineLevel="0" collapsed="false">
      <c r="A234" s="1" t="n">
        <v>30</v>
      </c>
      <c r="B234" s="31" t="n">
        <v>41883</v>
      </c>
      <c r="C234" s="56" t="n">
        <v>431200</v>
      </c>
      <c r="D234" s="29" t="s">
        <v>41</v>
      </c>
      <c r="E234" s="33" t="n">
        <f aca="false">IF(D234="totale",(C234/(A234*24))/F234,IF(D234="marché libre",(C234/(A234*24))/G234,"spécifier histo"))</f>
        <v>0.352287581699346</v>
      </c>
      <c r="F234" s="59" t="n">
        <v>1700</v>
      </c>
      <c r="G234" s="59" t="n">
        <f aca="false">F234-H234</f>
        <v>1700</v>
      </c>
      <c r="H234" s="59" t="n">
        <v>0</v>
      </c>
      <c r="J234" s="55"/>
      <c r="K234" s="0"/>
    </row>
    <row r="235" customFormat="false" ht="19.85" hidden="false" customHeight="true" outlineLevel="0" collapsed="false">
      <c r="A235" s="1" t="n">
        <v>31</v>
      </c>
      <c r="B235" s="34" t="n">
        <v>41913</v>
      </c>
      <c r="C235" s="540" t="n">
        <v>44900</v>
      </c>
      <c r="D235" s="29" t="s">
        <v>41</v>
      </c>
      <c r="E235" s="33" t="n">
        <f aca="false">IF(D235="totale",(C235/(A235*24))/F235,IF(D235="marché libre",(C235/(A235*24))/G235,"spécifier histo"))</f>
        <v>0.0354996837444655</v>
      </c>
      <c r="F235" s="59" t="n">
        <v>1700</v>
      </c>
      <c r="G235" s="59" t="n">
        <f aca="false">F235-H235</f>
        <v>1700</v>
      </c>
      <c r="H235" s="239" t="n">
        <v>0</v>
      </c>
      <c r="I235" s="1" t="s">
        <v>186</v>
      </c>
      <c r="J235" s="55" t="s">
        <v>1055</v>
      </c>
      <c r="K235" s="0"/>
    </row>
    <row r="236" customFormat="false" ht="19.85" hidden="false" customHeight="true" outlineLevel="0" collapsed="false">
      <c r="A236" s="1" t="n">
        <v>30</v>
      </c>
      <c r="B236" s="31" t="n">
        <v>41944</v>
      </c>
      <c r="C236" s="540" t="n">
        <v>0</v>
      </c>
      <c r="D236" s="29" t="s">
        <v>41</v>
      </c>
      <c r="E236" s="33" t="e">
        <f aca="false">IF(D236="totale",(C236/(A236*24))/F236,IF(D236="marché libre",(C236/(A236*24))/G236,"spécifier histo"))</f>
        <v>#DIV/0!</v>
      </c>
      <c r="F236" s="57" t="n">
        <v>0</v>
      </c>
      <c r="G236" s="57" t="n">
        <v>0</v>
      </c>
      <c r="H236" s="239" t="n">
        <v>0</v>
      </c>
      <c r="I236" s="1" t="s">
        <v>186</v>
      </c>
      <c r="J236" s="55" t="s">
        <v>1056</v>
      </c>
      <c r="K236" s="0"/>
    </row>
    <row r="237" customFormat="false" ht="19.95" hidden="false" customHeight="true" outlineLevel="0" collapsed="false">
      <c r="A237" s="1" t="n">
        <v>31</v>
      </c>
      <c r="B237" s="34" t="n">
        <v>41974</v>
      </c>
      <c r="C237" s="540" t="n">
        <v>217697</v>
      </c>
      <c r="D237" s="29" t="s">
        <v>41</v>
      </c>
      <c r="E237" s="33" t="n">
        <f aca="false">IF(D237="totale",(C237/(A237*24))/F237,IF(D237="marché libre",(C237/(A237*24))/G237,"spécifier histo"))</f>
        <v>0.172119702719798</v>
      </c>
      <c r="F237" s="57" t="n">
        <v>1700</v>
      </c>
      <c r="G237" s="57" t="n">
        <f aca="false">F237-H237</f>
        <v>1300</v>
      </c>
      <c r="H237" s="239" t="n">
        <v>400</v>
      </c>
      <c r="I237" s="1" t="s">
        <v>186</v>
      </c>
      <c r="J237" s="553" t="s">
        <v>1057</v>
      </c>
      <c r="K237" s="0"/>
    </row>
    <row r="238" customFormat="false" ht="19.85" hidden="false" customHeight="true" outlineLevel="0" collapsed="false">
      <c r="A238" s="1" t="n">
        <v>31</v>
      </c>
      <c r="B238" s="31" t="n">
        <v>42005</v>
      </c>
      <c r="C238" s="228" t="n">
        <v>388676</v>
      </c>
      <c r="D238" s="29" t="s">
        <v>42</v>
      </c>
      <c r="E238" s="33" t="n">
        <f aca="false">IF(D238="totale",(C238/(A238*24))/F238,IF(D238="marché libre",(C238/(A238*24))/G238,"spécifier histo"))</f>
        <v>0.401856906534326</v>
      </c>
      <c r="F238" s="228" t="n">
        <v>1700</v>
      </c>
      <c r="G238" s="228" t="n">
        <f aca="false">F238-H238</f>
        <v>1300</v>
      </c>
      <c r="H238" s="228" t="n">
        <v>400</v>
      </c>
      <c r="J238" s="55"/>
      <c r="K238" s="0"/>
    </row>
    <row r="239" customFormat="false" ht="19.85" hidden="false" customHeight="true" outlineLevel="0" collapsed="false">
      <c r="A239" s="1" t="n">
        <v>28</v>
      </c>
      <c r="B239" s="34" t="n">
        <v>42036</v>
      </c>
      <c r="C239" s="59" t="n">
        <v>83898</v>
      </c>
      <c r="D239" s="29" t="s">
        <v>42</v>
      </c>
      <c r="E239" s="33" t="n">
        <f aca="false">IF(D239="totale",(C239/(A239*24))/F239,IF(D239="marché libre",(C239/(A239*24))/G239,"spécifier histo"))</f>
        <v>0.0960370879120879</v>
      </c>
      <c r="F239" s="59" t="n">
        <v>1700</v>
      </c>
      <c r="G239" s="59" t="n">
        <f aca="false">F239-H239</f>
        <v>1300</v>
      </c>
      <c r="H239" s="59" t="n">
        <v>400</v>
      </c>
      <c r="J239" s="55"/>
      <c r="K239" s="0"/>
    </row>
    <row r="240" customFormat="false" ht="19.85" hidden="false" customHeight="true" outlineLevel="0" collapsed="false">
      <c r="A240" s="1" t="n">
        <v>31</v>
      </c>
      <c r="B240" s="31" t="n">
        <v>42064</v>
      </c>
      <c r="C240" s="59" t="n">
        <v>26519</v>
      </c>
      <c r="D240" s="29" t="s">
        <v>42</v>
      </c>
      <c r="E240" s="33" t="n">
        <f aca="false">IF(D240="totale",(C240/(A240*24))/F240,IF(D240="marché libre",(C240/(A240*24))/G240,"spécifier histo"))</f>
        <v>0.0274183209263854</v>
      </c>
      <c r="F240" s="59" t="n">
        <v>1700</v>
      </c>
      <c r="G240" s="59" t="n">
        <f aca="false">F240-H240</f>
        <v>1300</v>
      </c>
      <c r="H240" s="59" t="n">
        <v>400</v>
      </c>
      <c r="J240" s="55"/>
      <c r="K240" s="0"/>
    </row>
    <row r="241" customFormat="false" ht="19.85" hidden="false" customHeight="true" outlineLevel="0" collapsed="false">
      <c r="A241" s="1" t="n">
        <v>30</v>
      </c>
      <c r="B241" s="34" t="n">
        <v>42095</v>
      </c>
      <c r="C241" s="59" t="n">
        <v>399842</v>
      </c>
      <c r="D241" s="29" t="s">
        <v>42</v>
      </c>
      <c r="E241" s="33" t="n">
        <f aca="false">IF(D241="totale",(C241/(A241*24))/F241,IF(D241="marché libre",(C241/(A241*24))/G241,"spécifier histo"))</f>
        <v>0.427181623931624</v>
      </c>
      <c r="F241" s="59" t="n">
        <v>1700</v>
      </c>
      <c r="G241" s="59" t="n">
        <f aca="false">F241-H241</f>
        <v>1300</v>
      </c>
      <c r="H241" s="59" t="n">
        <v>400</v>
      </c>
      <c r="J241" s="55" t="s">
        <v>1058</v>
      </c>
      <c r="K241" s="0"/>
    </row>
    <row r="242" customFormat="false" ht="19.85" hidden="false" customHeight="true" outlineLevel="0" collapsed="false">
      <c r="A242" s="1" t="n">
        <v>31</v>
      </c>
      <c r="B242" s="31" t="n">
        <v>42125</v>
      </c>
      <c r="C242" s="59" t="n">
        <v>479878</v>
      </c>
      <c r="D242" s="29" t="s">
        <v>42</v>
      </c>
      <c r="E242" s="33" t="n">
        <f aca="false">IF(D242="totale",(C242/(A242*24))/F242,IF(D242="marché libre",(C242/(A242*24))/G242,"spécifier histo"))</f>
        <v>0.496151778329198</v>
      </c>
      <c r="F242" s="59" t="n">
        <v>1700</v>
      </c>
      <c r="G242" s="59" t="n">
        <f aca="false">F242-H242</f>
        <v>1300</v>
      </c>
      <c r="H242" s="59" t="n">
        <v>400</v>
      </c>
      <c r="J242" s="55" t="s">
        <v>1059</v>
      </c>
      <c r="K242" s="0"/>
    </row>
    <row r="243" customFormat="false" ht="19.85" hidden="false" customHeight="true" outlineLevel="0" collapsed="false">
      <c r="A243" s="1" t="n">
        <v>30</v>
      </c>
      <c r="B243" s="34" t="n">
        <v>42156</v>
      </c>
      <c r="C243" s="59" t="n">
        <v>405944</v>
      </c>
      <c r="D243" s="29" t="s">
        <v>42</v>
      </c>
      <c r="E243" s="33" t="n">
        <f aca="false">IF(D243="totale",(C243/(A243*24))/F243,IF(D243="marché libre",(C243/(A243*24))/G243,"spécifier histo"))</f>
        <v>0.433700854700855</v>
      </c>
      <c r="F243" s="59" t="n">
        <v>1700</v>
      </c>
      <c r="G243" s="59" t="n">
        <f aca="false">F243-H243</f>
        <v>1300</v>
      </c>
      <c r="H243" s="59" t="n">
        <v>400</v>
      </c>
      <c r="J243" s="55" t="s">
        <v>1060</v>
      </c>
      <c r="K243" s="0"/>
    </row>
    <row r="244" customFormat="false" ht="19.85" hidden="false" customHeight="true" outlineLevel="0" collapsed="false">
      <c r="A244" s="1" t="n">
        <v>31</v>
      </c>
      <c r="B244" s="31" t="n">
        <v>42186</v>
      </c>
      <c r="C244" s="121" t="n">
        <v>222652</v>
      </c>
      <c r="D244" s="29" t="s">
        <v>42</v>
      </c>
      <c r="E244" s="33" t="n">
        <f aca="false">IF(D244="totale",(C244/(A244*24))/F244,IF(D244="marché libre",(C244/(A244*24))/G244,"spécifier histo"))</f>
        <v>0.23020264681555</v>
      </c>
      <c r="F244" s="59" t="n">
        <v>1700</v>
      </c>
      <c r="G244" s="59" t="n">
        <f aca="false">F244-H244</f>
        <v>1300</v>
      </c>
      <c r="H244" s="59" t="n">
        <v>400</v>
      </c>
      <c r="J244" s="55"/>
      <c r="K244" s="0"/>
    </row>
    <row r="245" customFormat="false" ht="19.85" hidden="false" customHeight="true" outlineLevel="0" collapsed="false">
      <c r="A245" s="1" t="n">
        <v>31</v>
      </c>
      <c r="B245" s="34" t="n">
        <v>42217</v>
      </c>
      <c r="C245" s="121" t="n">
        <v>0</v>
      </c>
      <c r="D245" s="29" t="s">
        <v>42</v>
      </c>
      <c r="E245" s="33" t="n">
        <f aca="false">IF(D245="totale",(C245/(A245*24))/F245,IF(D245="marché libre",(C245/(A245*24))/G245,"spécifier histo"))</f>
        <v>0</v>
      </c>
      <c r="F245" s="59" t="n">
        <v>1700</v>
      </c>
      <c r="G245" s="59" t="n">
        <f aca="false">F245-H245</f>
        <v>1300</v>
      </c>
      <c r="H245" s="59" t="n">
        <v>400</v>
      </c>
      <c r="J245" s="55" t="s">
        <v>1061</v>
      </c>
      <c r="K245" s="0"/>
    </row>
    <row r="246" customFormat="false" ht="19.85" hidden="false" customHeight="true" outlineLevel="0" collapsed="false">
      <c r="A246" s="1" t="n">
        <v>30</v>
      </c>
      <c r="B246" s="31" t="n">
        <v>42248</v>
      </c>
      <c r="C246" s="121" t="n">
        <v>0</v>
      </c>
      <c r="D246" s="29" t="s">
        <v>42</v>
      </c>
      <c r="E246" s="33" t="n">
        <f aca="false">IF(D246="totale",(C246/(A246*24))/F246,IF(D246="marché libre",(C246/(A246*24))/G246,"spécifier histo"))</f>
        <v>0</v>
      </c>
      <c r="F246" s="59" t="n">
        <v>1700</v>
      </c>
      <c r="G246" s="59" t="n">
        <f aca="false">F246-H246</f>
        <v>1300</v>
      </c>
      <c r="H246" s="59" t="n">
        <v>400</v>
      </c>
      <c r="J246" s="55"/>
    </row>
    <row r="247" customFormat="false" ht="19.85" hidden="false" customHeight="true" outlineLevel="0" collapsed="false">
      <c r="A247" s="1" t="n">
        <v>31</v>
      </c>
      <c r="B247" s="34" t="n">
        <v>42278</v>
      </c>
      <c r="C247" s="121" t="n">
        <v>19296</v>
      </c>
      <c r="D247" s="29" t="s">
        <v>42</v>
      </c>
      <c r="E247" s="33" t="n">
        <f aca="false">IF(D247="totale",(C247/(A247*24))/F247,IF(D247="marché libre",(C247/(A247*24))/G247,"spécifier histo"))</f>
        <v>0.0199503722084367</v>
      </c>
      <c r="F247" s="59" t="n">
        <v>1700</v>
      </c>
      <c r="G247" s="59" t="n">
        <f aca="false">F247-H247</f>
        <v>1300</v>
      </c>
      <c r="H247" s="59" t="n">
        <v>400</v>
      </c>
      <c r="J247" s="55" t="s">
        <v>1062</v>
      </c>
    </row>
    <row r="248" customFormat="false" ht="19.85" hidden="false" customHeight="true" outlineLevel="0" collapsed="false">
      <c r="A248" s="1" t="n">
        <v>30</v>
      </c>
      <c r="B248" s="31" t="n">
        <v>42309</v>
      </c>
      <c r="C248" s="121" t="n">
        <v>6037</v>
      </c>
      <c r="D248" s="29" t="s">
        <v>42</v>
      </c>
      <c r="E248" s="33" t="n">
        <f aca="false">IF(D248="totale",(C248/(A248*24))/F248,IF(D248="marché libre",(C248/(A248*24))/G248,"spécifier histo"))</f>
        <v>0.00644978632478633</v>
      </c>
      <c r="F248" s="59" t="n">
        <v>1700</v>
      </c>
      <c r="G248" s="59" t="n">
        <f aca="false">F248-H248</f>
        <v>1300</v>
      </c>
      <c r="H248" s="59" t="n">
        <v>400</v>
      </c>
      <c r="J248" s="55"/>
    </row>
    <row r="249" customFormat="false" ht="19.85" hidden="false" customHeight="true" outlineLevel="0" collapsed="false">
      <c r="A249" s="1" t="n">
        <v>31</v>
      </c>
      <c r="B249" s="34" t="n">
        <v>42339</v>
      </c>
      <c r="C249" s="121" t="n">
        <v>0</v>
      </c>
      <c r="D249" s="29" t="s">
        <v>42</v>
      </c>
      <c r="E249" s="33" t="n">
        <f aca="false">IF(D249="totale",(C249/(A249*24))/F249,IF(D249="marché libre",(C249/(A249*24))/G249,"spécifier histo"))</f>
        <v>0</v>
      </c>
      <c r="F249" s="59" t="n">
        <v>1700</v>
      </c>
      <c r="G249" s="59" t="n">
        <f aca="false">F249-H249</f>
        <v>1300</v>
      </c>
      <c r="H249" s="59" t="n">
        <v>400</v>
      </c>
      <c r="J249" s="55" t="s">
        <v>1063</v>
      </c>
    </row>
    <row r="250" customFormat="false" ht="19.85" hidden="false" customHeight="true" outlineLevel="0" collapsed="false">
      <c r="A250" s="1" t="n">
        <v>31</v>
      </c>
      <c r="B250" s="31" t="n">
        <v>42370</v>
      </c>
      <c r="C250" s="9" t="n">
        <v>0</v>
      </c>
      <c r="D250" s="29" t="s">
        <v>42</v>
      </c>
      <c r="E250" s="33" t="n">
        <f aca="false">IF(D250="totale",(C250/(A250*24))/F250,IF(D250="marché libre",(C250/(A250*24))/G250,"spécifier histo"))</f>
        <v>0</v>
      </c>
      <c r="F250" s="59" t="n">
        <v>1700</v>
      </c>
      <c r="G250" s="59" t="n">
        <f aca="false">F250-H250</f>
        <v>1300</v>
      </c>
      <c r="H250" s="59" t="n">
        <v>400</v>
      </c>
      <c r="J250" s="55" t="s">
        <v>1064</v>
      </c>
    </row>
    <row r="251" customFormat="false" ht="19.85" hidden="false" customHeight="true" outlineLevel="0" collapsed="false">
      <c r="A251" s="1" t="n">
        <v>28</v>
      </c>
      <c r="B251" s="34" t="n">
        <v>42401</v>
      </c>
      <c r="C251" s="9" t="n">
        <v>0</v>
      </c>
      <c r="D251" s="29" t="s">
        <v>42</v>
      </c>
      <c r="E251" s="33" t="n">
        <f aca="false">IF(D251="totale",(C251/(A251*24))/F251,IF(D251="marché libre",(C251/(A251*24))/G251,"spécifier histo"))</f>
        <v>0</v>
      </c>
      <c r="F251" s="59" t="n">
        <v>1700</v>
      </c>
      <c r="G251" s="59" t="n">
        <f aca="false">F251-H251</f>
        <v>1300</v>
      </c>
      <c r="H251" s="59" t="n">
        <v>400</v>
      </c>
      <c r="J251" s="55"/>
    </row>
    <row r="252" customFormat="false" ht="19.85" hidden="false" customHeight="true" outlineLevel="0" collapsed="false">
      <c r="A252" s="1" t="n">
        <v>31</v>
      </c>
      <c r="B252" s="31" t="n">
        <v>42430</v>
      </c>
      <c r="C252" s="9" t="n">
        <v>0</v>
      </c>
      <c r="D252" s="29" t="s">
        <v>42</v>
      </c>
      <c r="E252" s="33" t="n">
        <f aca="false">IF(D252="totale",(C252/(A252*24))/F252,IF(D252="marché libre",(C252/(A252*24))/G252,"spécifier histo"))</f>
        <v>0</v>
      </c>
      <c r="F252" s="59" t="n">
        <v>1700</v>
      </c>
      <c r="G252" s="59" t="n">
        <f aca="false">F252-H252</f>
        <v>1300</v>
      </c>
      <c r="H252" s="59" t="n">
        <v>400</v>
      </c>
      <c r="J252" s="55"/>
    </row>
    <row r="253" customFormat="false" ht="19.85" hidden="false" customHeight="true" outlineLevel="0" collapsed="false">
      <c r="A253" s="1" t="n">
        <v>30</v>
      </c>
      <c r="B253" s="34" t="n">
        <v>42461</v>
      </c>
      <c r="C253" s="9" t="n">
        <v>217298</v>
      </c>
      <c r="D253" s="29" t="s">
        <v>42</v>
      </c>
      <c r="E253" s="33" t="n">
        <f aca="false">IF(D253="totale",(C253/(A253*24))/F253,IF(D253="marché libre",(C253/(A253*24))/G253,"spécifier histo"))</f>
        <v>0.232155982905983</v>
      </c>
      <c r="F253" s="59" t="n">
        <v>1700</v>
      </c>
      <c r="G253" s="59" t="n">
        <f aca="false">F253-H253</f>
        <v>1300</v>
      </c>
      <c r="H253" s="59" t="n">
        <v>400</v>
      </c>
      <c r="J253" s="55"/>
    </row>
    <row r="254" customFormat="false" ht="19.85" hidden="false" customHeight="true" outlineLevel="0" collapsed="false">
      <c r="A254" s="1" t="n">
        <v>31</v>
      </c>
      <c r="B254" s="31" t="n">
        <v>42491</v>
      </c>
      <c r="C254" s="9" t="n">
        <v>527903</v>
      </c>
      <c r="D254" s="29" t="s">
        <v>42</v>
      </c>
      <c r="E254" s="33" t="n">
        <f aca="false">IF(D254="totale",(C254/(A254*24))/F254,IF(D254="marché libre",(C254/(A254*24))/G254,"spécifier histo"))</f>
        <v>0.545805417700579</v>
      </c>
      <c r="F254" s="59" t="n">
        <v>1700</v>
      </c>
      <c r="G254" s="59" t="n">
        <f aca="false">F254-H254</f>
        <v>1300</v>
      </c>
      <c r="H254" s="59" t="n">
        <v>400</v>
      </c>
      <c r="J254" s="55"/>
      <c r="K254" s="63"/>
    </row>
    <row r="255" customFormat="false" ht="19.85" hidden="false" customHeight="true" outlineLevel="0" collapsed="false">
      <c r="A255" s="1" t="n">
        <v>30</v>
      </c>
      <c r="B255" s="34" t="n">
        <v>42522</v>
      </c>
      <c r="C255" s="9" t="n">
        <v>638120.82</v>
      </c>
      <c r="D255" s="29" t="s">
        <v>42</v>
      </c>
      <c r="E255" s="33" t="n">
        <f aca="false">IF(D255="totale",(C255/(A255*24))/F255,IF(D255="marché libre",(C255/(A255*24))/G255,"spécifier histo"))</f>
        <v>0.681753012820513</v>
      </c>
      <c r="F255" s="59" t="n">
        <v>1700</v>
      </c>
      <c r="G255" s="59" t="n">
        <f aca="false">F255-H255</f>
        <v>1300</v>
      </c>
      <c r="H255" s="59" t="n">
        <v>400</v>
      </c>
      <c r="J255" s="55"/>
      <c r="K255" s="63"/>
    </row>
    <row r="256" customFormat="false" ht="19.85" hidden="false" customHeight="true" outlineLevel="0" collapsed="false">
      <c r="A256" s="1" t="n">
        <v>31</v>
      </c>
      <c r="B256" s="31" t="n">
        <v>42552</v>
      </c>
      <c r="C256" s="9" t="n">
        <v>418384</v>
      </c>
      <c r="D256" s="29" t="s">
        <v>42</v>
      </c>
      <c r="E256" s="33" t="n">
        <f aca="false">IF(D256="totale",(C256/(A256*24))/F256,IF(D256="marché libre",(C256/(A256*24))/G256,"spécifier histo"))</f>
        <v>0.432572373862697</v>
      </c>
      <c r="F256" s="59" t="n">
        <v>1700</v>
      </c>
      <c r="G256" s="59" t="n">
        <f aca="false">F256-H256</f>
        <v>1300</v>
      </c>
      <c r="H256" s="59" t="n">
        <v>400</v>
      </c>
      <c r="J256" s="55"/>
      <c r="K256" s="63"/>
    </row>
    <row r="257" customFormat="false" ht="19.85" hidden="false" customHeight="true" outlineLevel="0" collapsed="false">
      <c r="A257" s="1" t="n">
        <v>31</v>
      </c>
      <c r="B257" s="34" t="n">
        <v>42583</v>
      </c>
      <c r="C257" s="9" t="n">
        <v>77733</v>
      </c>
      <c r="D257" s="29" t="s">
        <v>42</v>
      </c>
      <c r="E257" s="33" t="n">
        <f aca="false">IF(D257="totale",(C257/(A257*24))/F257,IF(D257="marché libre",(C257/(A257*24))/G257,"spécifier histo"))</f>
        <v>0.0803691066997519</v>
      </c>
      <c r="F257" s="59" t="n">
        <v>1700</v>
      </c>
      <c r="G257" s="59" t="n">
        <f aca="false">F257-H257</f>
        <v>1300</v>
      </c>
      <c r="H257" s="59" t="n">
        <v>400</v>
      </c>
      <c r="J257" s="55"/>
    </row>
    <row r="258" customFormat="false" ht="19.85" hidden="false" customHeight="true" outlineLevel="0" collapsed="false">
      <c r="A258" s="1" t="n">
        <v>30</v>
      </c>
      <c r="B258" s="31" t="n">
        <v>42614</v>
      </c>
      <c r="C258" s="9" t="n">
        <v>2147</v>
      </c>
      <c r="D258" s="29" t="s">
        <v>42</v>
      </c>
      <c r="E258" s="33" t="n">
        <f aca="false">IF(D258="totale",(C258/(A258*24))/F258,IF(D258="marché libre",(C258/(A258*24))/G258,"spécifier histo"))</f>
        <v>0.00229380341880342</v>
      </c>
      <c r="F258" s="59" t="n">
        <v>1700</v>
      </c>
      <c r="G258" s="59" t="n">
        <f aca="false">F258-H258</f>
        <v>1300</v>
      </c>
      <c r="H258" s="59" t="n">
        <v>400</v>
      </c>
      <c r="J258" s="55"/>
    </row>
    <row r="259" customFormat="false" ht="19.85" hidden="false" customHeight="true" outlineLevel="0" collapsed="false">
      <c r="A259" s="1" t="n">
        <v>31</v>
      </c>
      <c r="B259" s="34" t="n">
        <v>42644</v>
      </c>
      <c r="C259" s="9" t="n">
        <v>22221</v>
      </c>
      <c r="D259" s="29" t="s">
        <v>42</v>
      </c>
      <c r="E259" s="33" t="n">
        <f aca="false">IF(D259="totale",(C259/(A259*24))/F259,IF(D259="marché libre",(C259/(A259*24))/G259,"spécifier histo"))</f>
        <v>0.0229745657568238</v>
      </c>
      <c r="F259" s="59" t="n">
        <v>1700</v>
      </c>
      <c r="G259" s="59" t="n">
        <f aca="false">F259-H259</f>
        <v>1300</v>
      </c>
      <c r="H259" s="59" t="n">
        <v>400</v>
      </c>
      <c r="J259" s="55"/>
    </row>
    <row r="260" customFormat="false" ht="19.85" hidden="false" customHeight="true" outlineLevel="0" collapsed="false">
      <c r="A260" s="1" t="n">
        <v>30</v>
      </c>
      <c r="B260" s="31" t="n">
        <v>42675</v>
      </c>
      <c r="C260" s="9" t="n">
        <v>362689</v>
      </c>
      <c r="D260" s="29" t="s">
        <v>42</v>
      </c>
      <c r="E260" s="33" t="n">
        <f aca="false">IF(D260="totale",(C260/(A260*24))/F260,IF(D260="marché libre",(C260/(A260*24))/G260,"spécifier histo"))</f>
        <v>0.387488247863248</v>
      </c>
      <c r="F260" s="59" t="n">
        <v>1700</v>
      </c>
      <c r="G260" s="59" t="n">
        <f aca="false">F260-H260</f>
        <v>1300</v>
      </c>
      <c r="H260" s="59" t="n">
        <v>400</v>
      </c>
      <c r="J260" s="55"/>
    </row>
    <row r="261" customFormat="false" ht="19.85" hidden="false" customHeight="true" outlineLevel="0" collapsed="false">
      <c r="A261" s="1" t="n">
        <v>31</v>
      </c>
      <c r="B261" s="34" t="n">
        <v>42705</v>
      </c>
      <c r="C261" s="9" t="n">
        <v>451149.63</v>
      </c>
      <c r="D261" s="29" t="s">
        <v>42</v>
      </c>
      <c r="E261" s="33" t="n">
        <f aca="false">IF(D261="totale",(C261/(A261*24))/F261,IF(D261="marché libre",(C261/(A261*24))/G261,"spécifier histo"))</f>
        <v>0.466449162531017</v>
      </c>
      <c r="F261" s="59" t="n">
        <v>1700</v>
      </c>
      <c r="G261" s="59" t="n">
        <f aca="false">F261-H261</f>
        <v>1300</v>
      </c>
      <c r="H261" s="59" t="n">
        <v>400</v>
      </c>
      <c r="J261" s="55"/>
    </row>
    <row r="262" customFormat="false" ht="19.85" hidden="false" customHeight="true" outlineLevel="0" collapsed="false">
      <c r="A262" s="1" t="n">
        <v>31</v>
      </c>
      <c r="B262" s="31" t="n">
        <v>42736</v>
      </c>
      <c r="C262" s="9" t="n">
        <v>313932.52</v>
      </c>
      <c r="D262" s="29" t="s">
        <v>42</v>
      </c>
      <c r="E262" s="33" t="n">
        <f aca="false">IF(D262="totale",(C262/(A262*24))/F262,IF(D262="marché libre",(C262/(A262*24))/G262,"spécifier histo"))</f>
        <v>0.324578701406121</v>
      </c>
      <c r="F262" s="59" t="n">
        <v>1700</v>
      </c>
      <c r="G262" s="59" t="n">
        <f aca="false">F262-H262</f>
        <v>1300</v>
      </c>
      <c r="H262" s="59" t="n">
        <v>400</v>
      </c>
      <c r="J262" s="30"/>
    </row>
    <row r="263" customFormat="false" ht="19.85" hidden="false" customHeight="true" outlineLevel="0" collapsed="false">
      <c r="A263" s="1" t="n">
        <v>28</v>
      </c>
      <c r="B263" s="34" t="n">
        <v>42767</v>
      </c>
      <c r="C263" s="9" t="n">
        <v>0</v>
      </c>
      <c r="D263" s="29" t="s">
        <v>42</v>
      </c>
      <c r="E263" s="33" t="n">
        <f aca="false">IF(D263="totale",(C263/(A263*24))/F263,IF(D263="marché libre",(C263/(A263*24))/G263,"spécifier histo"))</f>
        <v>0</v>
      </c>
      <c r="F263" s="59" t="n">
        <v>1700</v>
      </c>
      <c r="G263" s="59" t="n">
        <f aca="false">F263-H263</f>
        <v>1300</v>
      </c>
      <c r="H263" s="59" t="n">
        <v>400</v>
      </c>
      <c r="J263" s="55"/>
    </row>
    <row r="264" customFormat="false" ht="19.85" hidden="false" customHeight="true" outlineLevel="0" collapsed="false">
      <c r="A264" s="1" t="n">
        <v>31</v>
      </c>
      <c r="B264" s="31" t="n">
        <v>42795</v>
      </c>
      <c r="C264" s="9" t="n">
        <v>110089.93</v>
      </c>
      <c r="D264" s="29" t="s">
        <v>42</v>
      </c>
      <c r="E264" s="33" t="n">
        <f aca="false">IF(D264="totale",(C264/(A264*24))/F264,IF(D264="marché libre",(C264/(A264*24))/G264,"spécifier histo"))</f>
        <v>0.113823335401158</v>
      </c>
      <c r="F264" s="59" t="n">
        <v>1700</v>
      </c>
      <c r="G264" s="59" t="n">
        <f aca="false">F264-H264</f>
        <v>1300</v>
      </c>
      <c r="H264" s="59" t="n">
        <v>400</v>
      </c>
      <c r="J264" s="55"/>
    </row>
    <row r="265" customFormat="false" ht="19.85" hidden="false" customHeight="true" outlineLevel="0" collapsed="false">
      <c r="A265" s="1" t="n">
        <v>30</v>
      </c>
      <c r="B265" s="34" t="n">
        <v>42826</v>
      </c>
      <c r="C265" s="9" t="n">
        <v>229933.47</v>
      </c>
      <c r="D265" s="29" t="s">
        <v>42</v>
      </c>
      <c r="E265" s="33" t="n">
        <f aca="false">IF(D265="totale",(C265/(A265*24))/F265,IF(D265="marché libre",(C265/(A265*24))/G265,"spécifier histo"))</f>
        <v>0.245655416666667</v>
      </c>
      <c r="F265" s="59" t="n">
        <v>1700</v>
      </c>
      <c r="G265" s="59" t="n">
        <f aca="false">F265-H265</f>
        <v>1300</v>
      </c>
      <c r="H265" s="59" t="n">
        <v>400</v>
      </c>
      <c r="J265" s="55"/>
    </row>
    <row r="266" customFormat="false" ht="19.85" hidden="false" customHeight="true" outlineLevel="0" collapsed="false">
      <c r="A266" s="1" t="n">
        <v>31</v>
      </c>
      <c r="B266" s="31" t="n">
        <v>42856</v>
      </c>
      <c r="C266" s="9" t="n">
        <v>562099</v>
      </c>
      <c r="D266" s="29" t="s">
        <v>42</v>
      </c>
      <c r="E266" s="33" t="n">
        <f aca="false">IF(D266="totale",(C266/(A266*24))/F266,IF(D266="marché libre",(C266/(A266*24))/G266,"spécifier histo"))</f>
        <v>0.581161083540116</v>
      </c>
      <c r="F266" s="59" t="n">
        <v>1700</v>
      </c>
      <c r="G266" s="59" t="n">
        <f aca="false">F266-H266</f>
        <v>1300</v>
      </c>
      <c r="H266" s="59" t="n">
        <v>400</v>
      </c>
      <c r="J266" s="55"/>
    </row>
    <row r="267" customFormat="false" ht="22.45" hidden="false" customHeight="true" outlineLevel="0" collapsed="false">
      <c r="A267" s="1" t="n">
        <v>30</v>
      </c>
      <c r="B267" s="34" t="n">
        <v>42887</v>
      </c>
      <c r="C267" s="9" t="n">
        <v>504207.92</v>
      </c>
      <c r="D267" s="29" t="s">
        <v>42</v>
      </c>
      <c r="E267" s="33" t="n">
        <f aca="false">IF(D267="totale",(C267/(A267*24))/F267,IF(D267="marché libre",(C267/(A267*24))/G267,"spécifier histo"))</f>
        <v>0.538683675213675</v>
      </c>
      <c r="F267" s="59" t="n">
        <v>1700</v>
      </c>
      <c r="G267" s="59" t="n">
        <f aca="false">F267-H267</f>
        <v>1300</v>
      </c>
      <c r="H267" s="59" t="n">
        <v>400</v>
      </c>
      <c r="J267" s="55"/>
    </row>
    <row r="268" customFormat="false" ht="21.65" hidden="false" customHeight="true" outlineLevel="0" collapsed="false">
      <c r="A268" s="1" t="n">
        <v>31</v>
      </c>
      <c r="B268" s="31" t="n">
        <v>42917</v>
      </c>
      <c r="C268" s="9" t="n">
        <v>37428</v>
      </c>
      <c r="D268" s="29" t="s">
        <v>42</v>
      </c>
      <c r="E268" s="33" t="n">
        <f aca="false">IF(D268="totale",(C268/(A268*24))/F268,IF(D268="marché libre",(C268/(A268*24))/G268,"spécifier histo"))</f>
        <v>0.038697270471464</v>
      </c>
      <c r="F268" s="59" t="n">
        <v>1700</v>
      </c>
      <c r="G268" s="59" t="n">
        <f aca="false">F268-H268</f>
        <v>1300</v>
      </c>
      <c r="H268" s="59" t="n">
        <v>400</v>
      </c>
      <c r="J268" s="55"/>
    </row>
    <row r="269" customFormat="false" ht="21.65" hidden="false" customHeight="true" outlineLevel="0" collapsed="false">
      <c r="A269" s="1" t="n">
        <v>31</v>
      </c>
      <c r="B269" s="34" t="n">
        <v>42948</v>
      </c>
      <c r="C269" s="9" t="n">
        <v>2827</v>
      </c>
      <c r="D269" s="29" t="s">
        <v>42</v>
      </c>
      <c r="E269" s="33" t="n">
        <f aca="false">IF(D269="totale",(C269/(A269*24))/F269,IF(D269="marché libre",(C269/(A269*24))/G269,"spécifier histo"))</f>
        <v>0.00292287014061208</v>
      </c>
      <c r="F269" s="59" t="n">
        <v>1700</v>
      </c>
      <c r="G269" s="59" t="n">
        <f aca="false">F269-H269</f>
        <v>1300</v>
      </c>
      <c r="H269" s="59" t="n">
        <v>400</v>
      </c>
      <c r="J269" s="55"/>
    </row>
    <row r="270" customFormat="false" ht="21.65" hidden="false" customHeight="true" outlineLevel="0" collapsed="false">
      <c r="A270" s="1" t="n">
        <v>30</v>
      </c>
      <c r="B270" s="31" t="n">
        <v>42979</v>
      </c>
      <c r="C270" s="9" t="n">
        <v>0</v>
      </c>
      <c r="D270" s="29" t="s">
        <v>42</v>
      </c>
      <c r="E270" s="33" t="n">
        <f aca="false">IF(D270="totale",(C270/(A270*24))/F270,IF(D270="marché libre",(C270/(A270*24))/G270,"spécifier histo"))</f>
        <v>0</v>
      </c>
      <c r="F270" s="59" t="n">
        <v>1700</v>
      </c>
      <c r="G270" s="59" t="n">
        <f aca="false">F270-H270</f>
        <v>1300</v>
      </c>
      <c r="H270" s="59" t="n">
        <v>400</v>
      </c>
      <c r="J270" s="55"/>
      <c r="T270" s="1" t="n">
        <f aca="false">132/3</f>
        <v>44</v>
      </c>
    </row>
    <row r="271" customFormat="false" ht="21.65" hidden="false" customHeight="true" outlineLevel="0" collapsed="false">
      <c r="A271" s="1" t="n">
        <v>31</v>
      </c>
      <c r="B271" s="34" t="n">
        <v>43009</v>
      </c>
      <c r="C271" s="9" t="n">
        <v>0</v>
      </c>
      <c r="D271" s="29" t="s">
        <v>42</v>
      </c>
      <c r="E271" s="33" t="n">
        <f aca="false">IF(D271="totale",(C271/(A271*24))/F271,IF(D271="marché libre",(C271/(A271*24))/G271,"spécifier histo"))</f>
        <v>0</v>
      </c>
      <c r="F271" s="59" t="n">
        <v>1700</v>
      </c>
      <c r="G271" s="59" t="n">
        <f aca="false">F271-H271</f>
        <v>1300</v>
      </c>
      <c r="H271" s="59" t="n">
        <v>400</v>
      </c>
      <c r="J271" s="55"/>
    </row>
    <row r="272" customFormat="false" ht="21.65" hidden="false" customHeight="true" outlineLevel="0" collapsed="false">
      <c r="A272" s="1" t="n">
        <v>30</v>
      </c>
      <c r="B272" s="31" t="n">
        <v>43040</v>
      </c>
      <c r="C272" s="9" t="n">
        <v>0</v>
      </c>
      <c r="D272" s="29" t="s">
        <v>42</v>
      </c>
      <c r="E272" s="33" t="n">
        <f aca="false">IF(D272="totale",(C272/(A272*24))/F272,IF(D272="marché libre",(C272/(A272*24))/G272,"spécifier histo"))</f>
        <v>0</v>
      </c>
      <c r="F272" s="59" t="n">
        <v>1700</v>
      </c>
      <c r="G272" s="59" t="n">
        <f aca="false">F272-H272</f>
        <v>1300</v>
      </c>
      <c r="H272" s="59" t="n">
        <v>400</v>
      </c>
      <c r="J272" s="55"/>
    </row>
    <row r="273" customFormat="false" ht="21.65" hidden="false" customHeight="true" outlineLevel="0" collapsed="false">
      <c r="A273" s="1" t="n">
        <v>31</v>
      </c>
      <c r="B273" s="34" t="n">
        <v>43070</v>
      </c>
      <c r="C273" s="9" t="n">
        <v>0</v>
      </c>
      <c r="D273" s="29" t="s">
        <v>42</v>
      </c>
      <c r="E273" s="33" t="n">
        <f aca="false">IF(D273="totale",(C273/(A273*24))/F273,IF(D273="marché libre",(C273/(A273*24))/G273,"spécifier histo"))</f>
        <v>0</v>
      </c>
      <c r="F273" s="59" t="n">
        <v>1700</v>
      </c>
      <c r="G273" s="59" t="n">
        <f aca="false">F273-H273</f>
        <v>1300</v>
      </c>
      <c r="H273" s="59" t="n">
        <v>400</v>
      </c>
      <c r="J273" s="55"/>
    </row>
    <row r="274" customFormat="false" ht="28.35" hidden="false" customHeight="true" outlineLevel="0" collapsed="false">
      <c r="A274" s="1" t="n">
        <v>31</v>
      </c>
      <c r="B274" s="31" t="n">
        <v>43101</v>
      </c>
      <c r="C274" s="9" t="n">
        <v>1087</v>
      </c>
      <c r="D274" s="29" t="s">
        <v>42</v>
      </c>
      <c r="E274" s="33" t="n">
        <f aca="false">IF(D274="totale",(C274/(A274*24))/F274,IF(D274="marché libre",(C274/(A274*24))/G274,"spécifier histo"))</f>
        <v>0.00112386269644334</v>
      </c>
      <c r="F274" s="59" t="n">
        <v>1700</v>
      </c>
      <c r="G274" s="59" t="n">
        <f aca="false">F274-H274</f>
        <v>1300</v>
      </c>
      <c r="H274" s="59" t="n">
        <v>400</v>
      </c>
      <c r="J274" s="30"/>
    </row>
    <row r="275" customFormat="false" ht="28.35" hidden="false" customHeight="true" outlineLevel="0" collapsed="false">
      <c r="A275" s="1" t="n">
        <v>28</v>
      </c>
      <c r="B275" s="34" t="n">
        <v>43132</v>
      </c>
      <c r="C275" s="9" t="n">
        <v>1229</v>
      </c>
      <c r="D275" s="29" t="s">
        <v>42</v>
      </c>
      <c r="E275" s="33" t="n">
        <f aca="false">IF(D275="totale",(C275/(A275*24))/F275,IF(D275="marché libre",(C275/(A275*24))/G275,"spécifier histo"))</f>
        <v>0.00140682234432234</v>
      </c>
      <c r="F275" s="59" t="n">
        <v>1700</v>
      </c>
      <c r="G275" s="59" t="n">
        <f aca="false">F275-H275</f>
        <v>1300</v>
      </c>
      <c r="H275" s="59" t="n">
        <v>400</v>
      </c>
    </row>
    <row r="276" customFormat="false" ht="28.35" hidden="false" customHeight="true" outlineLevel="0" collapsed="false">
      <c r="A276" s="0" t="n">
        <v>31</v>
      </c>
      <c r="B276" s="31" t="n">
        <v>43160</v>
      </c>
      <c r="C276" s="1" t="n">
        <v>1369</v>
      </c>
      <c r="D276" s="29" t="s">
        <v>42</v>
      </c>
      <c r="E276" s="33" t="n">
        <f aca="false">IF(D276="totale",(C276/(A276*24))/F276,IF(D276="marché libre",(C276/(A276*24))/G276,"spécifier histo"))</f>
        <v>0.00141542597187758</v>
      </c>
      <c r="F276" s="59" t="n">
        <v>1700</v>
      </c>
      <c r="G276" s="59" t="n">
        <f aca="false">F276-H276</f>
        <v>1300</v>
      </c>
      <c r="H276" s="59" t="n">
        <v>400</v>
      </c>
    </row>
    <row r="277" customFormat="false" ht="28.35" hidden="false" customHeight="true" outlineLevel="0" collapsed="false">
      <c r="A277" s="0" t="n">
        <v>30</v>
      </c>
      <c r="B277" s="34" t="n">
        <v>43191</v>
      </c>
      <c r="C277" s="1" t="n">
        <v>1405</v>
      </c>
      <c r="D277" s="29" t="s">
        <v>42</v>
      </c>
      <c r="E277" s="33" t="n">
        <f aca="false">IF(D277="totale",(C277/(A277*24))/F277,IF(D277="marché libre",(C277/(A277*24))/G277,"spécifier histo"))</f>
        <v>0.00150106837606838</v>
      </c>
      <c r="F277" s="59" t="n">
        <v>1700</v>
      </c>
      <c r="G277" s="59" t="n">
        <f aca="false">F277-H277</f>
        <v>1300</v>
      </c>
      <c r="H277" s="59" t="n">
        <v>400</v>
      </c>
    </row>
    <row r="278" customFormat="false" ht="28.35" hidden="false" customHeight="true" outlineLevel="0" collapsed="false">
      <c r="A278" s="0" t="n">
        <v>31</v>
      </c>
      <c r="B278" s="31" t="n">
        <v>43221</v>
      </c>
      <c r="C278" s="1" t="n">
        <v>274226</v>
      </c>
      <c r="D278" s="29" t="s">
        <v>42</v>
      </c>
      <c r="E278" s="33" t="n">
        <f aca="false">IF(D278="totale",(C278/(A278*24))/F278,IF(D278="marché libre",(C278/(A278*24))/G278,"spécifier histo"))</f>
        <v>0.283525641025641</v>
      </c>
      <c r="F278" s="59" t="n">
        <v>1700</v>
      </c>
      <c r="G278" s="59" t="n">
        <f aca="false">F278-H278</f>
        <v>1300</v>
      </c>
      <c r="H278" s="59" t="n">
        <v>400</v>
      </c>
    </row>
    <row r="279" customFormat="false" ht="28.35" hidden="false" customHeight="true" outlineLevel="0" collapsed="false">
      <c r="A279" s="0" t="n">
        <v>30</v>
      </c>
      <c r="B279" s="34" t="n">
        <v>43252</v>
      </c>
      <c r="C279" s="1" t="n">
        <v>700594</v>
      </c>
      <c r="D279" s="29" t="s">
        <v>42</v>
      </c>
      <c r="E279" s="33" t="n">
        <f aca="false">IF(D279="totale",(C279/(A279*24))/F279,IF(D279="marché libre",(C279/(A279*24))/G279,"spécifier histo"))</f>
        <v>0.748497863247863</v>
      </c>
      <c r="F279" s="59" t="n">
        <v>1700</v>
      </c>
      <c r="G279" s="59" t="n">
        <f aca="false">F279-H279</f>
        <v>1300</v>
      </c>
      <c r="H279" s="59" t="n">
        <v>400</v>
      </c>
    </row>
    <row r="280" customFormat="false" ht="28.35" hidden="false" customHeight="true" outlineLevel="0" collapsed="false">
      <c r="A280" s="0" t="n">
        <v>31</v>
      </c>
      <c r="B280" s="31" t="n">
        <v>43282</v>
      </c>
      <c r="C280" s="1" t="n">
        <v>544055</v>
      </c>
      <c r="D280" s="29" t="s">
        <v>42</v>
      </c>
      <c r="E280" s="33" t="n">
        <f aca="false">IF(D280="totale",(C280/(A280*24))/F280,IF(D280="marché libre",(C280/(A280*24))/G280,"spécifier histo"))</f>
        <v>0.562505169561621</v>
      </c>
      <c r="F280" s="59" t="n">
        <v>1700</v>
      </c>
      <c r="G280" s="59" t="n">
        <f aca="false">F280-H280</f>
        <v>1300</v>
      </c>
      <c r="H280" s="59" t="n">
        <v>400</v>
      </c>
    </row>
    <row r="281" customFormat="false" ht="28.35" hidden="false" customHeight="true" outlineLevel="0" collapsed="false">
      <c r="A281" s="0"/>
    </row>
    <row r="282" customFormat="false" ht="28.35" hidden="false" customHeight="true" outlineLevel="0" collapsed="false">
      <c r="A282" s="0"/>
    </row>
    <row r="283" customFormat="false" ht="28.35" hidden="false" customHeight="true" outlineLevel="0" collapsed="false">
      <c r="A283" s="0"/>
    </row>
    <row r="284" customFormat="false" ht="28.35" hidden="false" customHeight="true" outlineLevel="0" collapsed="false">
      <c r="A284" s="0"/>
    </row>
    <row r="285" customFormat="false" ht="28.35" hidden="false" customHeight="true" outlineLevel="0" collapsed="false">
      <c r="A285" s="0"/>
    </row>
    <row r="286" customFormat="false" ht="28.35" hidden="false" customHeight="true" outlineLevel="0" collapsed="false">
      <c r="A286" s="0"/>
    </row>
    <row r="287" customFormat="false" ht="12.8" hidden="false" customHeight="false" outlineLevel="0" collapsed="false">
      <c r="A287" s="0"/>
    </row>
    <row r="288" customFormat="false" ht="12.8" hidden="false" customHeight="false" outlineLevel="0" collapsed="false">
      <c r="A288" s="0"/>
    </row>
    <row r="289" customFormat="false" ht="12.8" hidden="false" customHeight="false" outlineLevel="0" collapsed="false">
      <c r="A289" s="0"/>
    </row>
    <row r="290" customFormat="false" ht="12.8" hidden="false" customHeight="false" outlineLevel="0" collapsed="false">
      <c r="A290" s="0"/>
    </row>
    <row r="291" customFormat="false" ht="12.8" hidden="false" customHeight="false" outlineLevel="0" collapsed="false">
      <c r="A291" s="0"/>
    </row>
    <row r="292" customFormat="false" ht="12.8" hidden="false" customHeight="false" outlineLevel="0" collapsed="false">
      <c r="A292" s="0"/>
    </row>
    <row r="293" customFormat="false" ht="12.8" hidden="false" customHeight="false" outlineLevel="0" collapsed="false">
      <c r="A293" s="0"/>
    </row>
    <row r="294" customFormat="false" ht="12.8" hidden="false" customHeight="false" outlineLevel="0" collapsed="false">
      <c r="A294" s="0"/>
    </row>
    <row r="295" customFormat="false" ht="12.8" hidden="false" customHeight="false" outlineLevel="0" collapsed="false">
      <c r="A295" s="0"/>
    </row>
    <row r="296" customFormat="false" ht="12.8" hidden="false" customHeight="false" outlineLevel="0" collapsed="false">
      <c r="A296" s="0"/>
    </row>
    <row r="297" customFormat="false" ht="12.8" hidden="false" customHeight="false" outlineLevel="0" collapsed="false">
      <c r="A297" s="0"/>
    </row>
    <row r="298" customFormat="false" ht="12.8" hidden="false" customHeight="false" outlineLevel="0" collapsed="false">
      <c r="A298" s="0"/>
    </row>
    <row r="299" customFormat="false" ht="12.8" hidden="false" customHeight="false" outlineLevel="0" collapsed="false">
      <c r="A299" s="0"/>
    </row>
    <row r="300" customFormat="false" ht="12.8" hidden="false" customHeight="false" outlineLevel="0" collapsed="false">
      <c r="A300" s="0"/>
    </row>
    <row r="301" customFormat="false" ht="12.8" hidden="false" customHeight="false" outlineLevel="0" collapsed="false">
      <c r="A301" s="0"/>
    </row>
    <row r="302" customFormat="false" ht="12.8" hidden="false" customHeight="false" outlineLevel="0" collapsed="false">
      <c r="A302" s="0"/>
    </row>
    <row r="303" customFormat="false" ht="12.8" hidden="false" customHeight="false" outlineLevel="0" collapsed="false">
      <c r="A303" s="0"/>
    </row>
    <row r="304" customFormat="false" ht="12.8" hidden="false" customHeight="false" outlineLevel="0" collapsed="false">
      <c r="A304" s="0"/>
    </row>
    <row r="305" customFormat="false" ht="12.8" hidden="false" customHeight="false" outlineLevel="0" collapsed="false">
      <c r="A305" s="0"/>
    </row>
    <row r="306" customFormat="false" ht="12.8" hidden="false" customHeight="false" outlineLevel="0" collapsed="false">
      <c r="A306" s="0"/>
    </row>
    <row r="307" customFormat="false" ht="12.8" hidden="false" customHeight="false" outlineLevel="0" collapsed="false">
      <c r="A307" s="0"/>
    </row>
    <row r="308" customFormat="false" ht="12.8" hidden="false" customHeight="false" outlineLevel="0" collapsed="false">
      <c r="A308" s="0"/>
    </row>
    <row r="309" customFormat="false" ht="12.8" hidden="false" customHeight="false" outlineLevel="0" collapsed="false">
      <c r="A309" s="0"/>
    </row>
    <row r="310" customFormat="false" ht="12.8" hidden="false" customHeight="false" outlineLevel="0" collapsed="false">
      <c r="A310" s="0"/>
    </row>
    <row r="311" customFormat="false" ht="12.8" hidden="false" customHeight="false" outlineLevel="0" collapsed="false">
      <c r="A311" s="0"/>
    </row>
    <row r="312" customFormat="false" ht="12.8" hidden="false" customHeight="false" outlineLevel="0" collapsed="false">
      <c r="A312" s="0"/>
    </row>
    <row r="313" customFormat="false" ht="12.8" hidden="false" customHeight="false" outlineLevel="0" collapsed="false">
      <c r="A313" s="0"/>
    </row>
    <row r="314" customFormat="false" ht="12.8" hidden="false" customHeight="false" outlineLevel="0" collapsed="false">
      <c r="A314"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8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8.xml><?xml version="1.0" encoding="utf-8"?>
<worksheet xmlns="http://schemas.openxmlformats.org/spreadsheetml/2006/main" xmlns:r="http://schemas.openxmlformats.org/officeDocument/2006/relationships">
  <sheetPr filterMode="false">
    <tabColor rgb="FF168253"/>
    <pageSetUpPr fitToPage="false"/>
  </sheetPr>
  <dimension ref="A1:W6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52" activePane="bottomRight" state="frozen"/>
      <selection pane="topLeft" activeCell="A1" activeCellId="0" sqref="A1"/>
      <selection pane="topRight" activeCell="B1" activeCellId="0" sqref="B1"/>
      <selection pane="bottomLeft" activeCell="A52" activeCellId="0" sqref="A52"/>
      <selection pane="bottomRight" activeCell="G64" activeCellId="0" sqref="G64"/>
    </sheetView>
  </sheetViews>
  <sheetFormatPr defaultRowHeight="12.8" zeroHeight="false" outlineLevelRow="0" outlineLevelCol="0"/>
  <cols>
    <col collapsed="false" customWidth="true" hidden="false" outlineLevel="0" max="1" min="1" style="9" width="3.37"/>
    <col collapsed="false" customWidth="true" hidden="false" outlineLevel="0" max="2" min="2" style="9" width="17.13"/>
    <col collapsed="false" customWidth="true" hidden="false" outlineLevel="0" max="3" min="3" style="9" width="14.81"/>
    <col collapsed="false" customWidth="true" hidden="false" outlineLevel="0" max="4" min="4" style="9" width="16.07"/>
    <col collapsed="false" customWidth="true" hidden="false" outlineLevel="0" max="5" min="5" style="9" width="19.14"/>
    <col collapsed="false" customWidth="true" hidden="false" outlineLevel="0" max="6" min="6" style="9" width="16.07"/>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9"/>
    <col collapsed="false" customWidth="true" hidden="false" outlineLevel="0" max="11" min="11" style="9" width="13.12"/>
    <col collapsed="false" customWidth="true" hidden="false" outlineLevel="0" max="12" min="12" style="9" width="19.91"/>
    <col collapsed="false" customWidth="true" hidden="false" outlineLevel="0" max="13" min="13" style="9" width="16.07"/>
    <col collapsed="false" customWidth="true" hidden="false" outlineLevel="0" max="14" min="14" style="9" width="15.42"/>
    <col collapsed="false" customWidth="true" hidden="false" outlineLevel="0" max="15" min="15" style="9" width="9.13"/>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96" t="s">
        <v>0</v>
      </c>
      <c r="C1" s="96"/>
      <c r="D1" s="96"/>
      <c r="E1" s="96"/>
      <c r="F1" s="97" t="s">
        <v>1</v>
      </c>
      <c r="G1" s="97"/>
      <c r="H1" s="97"/>
      <c r="I1" s="97"/>
      <c r="J1" s="97"/>
      <c r="K1" s="97"/>
      <c r="L1" s="97"/>
      <c r="M1" s="97"/>
      <c r="N1" s="97"/>
      <c r="O1" s="97"/>
    </row>
    <row r="2" customFormat="false" ht="30.8" hidden="false" customHeight="true" outlineLevel="0" collapsed="false">
      <c r="B2" s="96"/>
      <c r="C2" s="96"/>
      <c r="D2" s="96"/>
      <c r="E2" s="96"/>
      <c r="F2" s="97" t="s">
        <v>2</v>
      </c>
      <c r="G2" s="97"/>
      <c r="H2" s="97"/>
      <c r="I2" s="97"/>
      <c r="J2" s="97" t="s">
        <v>3</v>
      </c>
      <c r="K2" s="97"/>
      <c r="L2" s="97"/>
      <c r="M2" s="97" t="s">
        <v>4</v>
      </c>
      <c r="N2" s="97"/>
      <c r="O2" s="97" t="s">
        <v>5</v>
      </c>
      <c r="Q2" s="4"/>
      <c r="R2" s="5" t="s">
        <v>6</v>
      </c>
      <c r="T2" s="6"/>
      <c r="U2" s="7" t="s">
        <v>7</v>
      </c>
    </row>
    <row r="3" customFormat="false" ht="40.8" hidden="false" customHeight="true" outlineLevel="0" collapsed="false">
      <c r="B3" s="20" t="s">
        <v>9</v>
      </c>
      <c r="C3" s="20" t="s">
        <v>10</v>
      </c>
      <c r="D3" s="20" t="s">
        <v>11</v>
      </c>
      <c r="E3" s="98" t="s">
        <v>12</v>
      </c>
      <c r="F3" s="20" t="s">
        <v>13</v>
      </c>
      <c r="G3" s="20" t="s">
        <v>14</v>
      </c>
      <c r="H3" s="20" t="s">
        <v>15</v>
      </c>
      <c r="I3" s="20" t="s">
        <v>16</v>
      </c>
      <c r="J3" s="20" t="s">
        <v>17</v>
      </c>
      <c r="K3" s="20" t="s">
        <v>91</v>
      </c>
      <c r="L3" s="20" t="s">
        <v>18</v>
      </c>
      <c r="M3" s="20" t="s">
        <v>19</v>
      </c>
      <c r="N3" s="20" t="s">
        <v>17</v>
      </c>
      <c r="O3" s="97"/>
      <c r="Q3" s="12"/>
      <c r="R3" s="5" t="s">
        <v>20</v>
      </c>
      <c r="T3" s="13"/>
      <c r="U3" s="7" t="s">
        <v>21</v>
      </c>
    </row>
    <row r="4" customFormat="false" ht="44.15" hidden="false" customHeight="true" outlineLevel="0" collapsed="false">
      <c r="B4" s="99" t="s">
        <v>1065</v>
      </c>
      <c r="C4" s="19" t="n">
        <v>418043</v>
      </c>
      <c r="D4" s="19" t="s">
        <v>1066</v>
      </c>
      <c r="E4" s="136" t="s">
        <v>1067</v>
      </c>
      <c r="F4" s="15" t="n">
        <v>45</v>
      </c>
      <c r="G4" s="15"/>
      <c r="H4" s="15" t="n">
        <v>45</v>
      </c>
      <c r="I4" s="15"/>
      <c r="J4" s="15" t="n">
        <v>45</v>
      </c>
      <c r="K4" s="15"/>
      <c r="L4" s="15"/>
      <c r="M4" s="15"/>
      <c r="N4" s="15"/>
      <c r="O4" s="101"/>
      <c r="Q4" s="17"/>
      <c r="R4" s="16" t="s">
        <v>23</v>
      </c>
      <c r="T4" s="18"/>
      <c r="U4" s="19" t="s">
        <v>24</v>
      </c>
      <c r="V4" s="19"/>
      <c r="W4" s="19"/>
    </row>
    <row r="5" customFormat="false" ht="28.35" hidden="false" customHeight="true" outlineLevel="0" collapsed="false">
      <c r="T5" s="0"/>
      <c r="U5" s="0"/>
    </row>
    <row r="6" customFormat="false" ht="28.35" hidden="false" customHeight="true" outlineLevel="0" collapsed="false">
      <c r="B6" s="0"/>
      <c r="C6" s="10" t="s">
        <v>25</v>
      </c>
      <c r="D6" s="10"/>
      <c r="F6" s="20" t="s">
        <v>26</v>
      </c>
      <c r="G6" s="495"/>
      <c r="H6" s="495"/>
      <c r="I6" s="495"/>
      <c r="J6" s="495"/>
      <c r="K6" s="495"/>
      <c r="L6" s="495"/>
      <c r="M6" s="495"/>
      <c r="N6" s="495"/>
      <c r="O6" s="495"/>
      <c r="Q6" s="21" t="n">
        <v>42552</v>
      </c>
      <c r="R6" s="19" t="s">
        <v>27</v>
      </c>
      <c r="T6" s="22"/>
      <c r="U6" s="5" t="s">
        <v>28</v>
      </c>
    </row>
    <row r="7" customFormat="false" ht="44.95" hidden="false" customHeight="true" outlineLevel="0" collapsed="false">
      <c r="B7" s="0"/>
      <c r="C7" s="554" t="s">
        <v>1068</v>
      </c>
      <c r="D7" s="554"/>
      <c r="F7" s="20"/>
      <c r="G7" s="20"/>
      <c r="H7" s="495"/>
      <c r="I7" s="495"/>
      <c r="J7" s="495"/>
      <c r="K7" s="495"/>
      <c r="L7" s="495"/>
      <c r="M7" s="495"/>
      <c r="N7" s="495"/>
      <c r="O7" s="495"/>
      <c r="Q7" s="24"/>
      <c r="R7" s="5" t="s">
        <v>29</v>
      </c>
      <c r="T7" s="25"/>
      <c r="U7" s="5" t="s">
        <v>30</v>
      </c>
    </row>
    <row r="8" customFormat="false" ht="28.3" hidden="false" customHeight="true" outlineLevel="0" collapsed="false">
      <c r="Q8" s="1"/>
      <c r="R8" s="1"/>
      <c r="T8" s="27"/>
      <c r="U8" s="16" t="s">
        <v>31</v>
      </c>
    </row>
    <row r="9" customFormat="false" ht="42.45" hidden="false" customHeight="true" outlineLevel="0" collapsed="false">
      <c r="A9" s="1"/>
      <c r="B9" s="9" t="s">
        <v>32</v>
      </c>
      <c r="C9" s="9" t="s">
        <v>51</v>
      </c>
      <c r="D9" s="9" t="s">
        <v>52</v>
      </c>
      <c r="E9" s="1" t="s">
        <v>35</v>
      </c>
      <c r="F9" s="9" t="s">
        <v>97</v>
      </c>
      <c r="G9" s="9" t="s">
        <v>37</v>
      </c>
      <c r="H9" s="9" t="s">
        <v>38</v>
      </c>
      <c r="I9" s="9" t="s">
        <v>39</v>
      </c>
      <c r="J9" s="103" t="s">
        <v>40</v>
      </c>
      <c r="K9" s="103"/>
    </row>
    <row r="10" customFormat="false" ht="15.85" hidden="false" customHeight="true" outlineLevel="0" collapsed="false">
      <c r="A10" s="0" t="n">
        <v>31</v>
      </c>
      <c r="B10" s="31" t="n">
        <v>41821</v>
      </c>
      <c r="C10" s="26" t="n">
        <v>121</v>
      </c>
      <c r="D10" s="29" t="s">
        <v>42</v>
      </c>
      <c r="E10" s="33" t="n">
        <f aca="false">IF(D10="totale",(C10/(A10*24))/F10,IF(D10="marché libre",(C10/(A10*24))/G10,"spécifier histo"))</f>
        <v>0.00361409796893668</v>
      </c>
      <c r="F10" s="9" t="n">
        <v>45</v>
      </c>
      <c r="G10" s="9" t="n">
        <f aca="false">F10-H10</f>
        <v>45</v>
      </c>
      <c r="H10" s="9" t="n">
        <v>0</v>
      </c>
      <c r="J10" s="206"/>
      <c r="K10" s="0"/>
    </row>
    <row r="11" customFormat="false" ht="15.85" hidden="false" customHeight="true" outlineLevel="0" collapsed="false">
      <c r="A11" s="0" t="n">
        <v>31</v>
      </c>
      <c r="B11" s="34" t="n">
        <v>41852</v>
      </c>
      <c r="C11" s="26" t="n">
        <v>929</v>
      </c>
      <c r="D11" s="29" t="s">
        <v>42</v>
      </c>
      <c r="E11" s="33" t="n">
        <f aca="false">IF(D11="totale",(C11/(A11*24))/F11,IF(D11="marché libre",(C11/(A11*24))/G11,"spécifier histo"))</f>
        <v>0.0277479091995221</v>
      </c>
      <c r="F11" s="9" t="n">
        <v>45</v>
      </c>
      <c r="G11" s="9" t="n">
        <f aca="false">F11-H11</f>
        <v>45</v>
      </c>
      <c r="H11" s="9" t="n">
        <v>0</v>
      </c>
      <c r="J11" s="206"/>
      <c r="K11" s="0"/>
    </row>
    <row r="12" customFormat="false" ht="15.85" hidden="false" customHeight="true" outlineLevel="0" collapsed="false">
      <c r="A12" s="0" t="n">
        <v>30</v>
      </c>
      <c r="B12" s="31" t="n">
        <v>41883</v>
      </c>
      <c r="C12" s="26" t="n">
        <v>5827</v>
      </c>
      <c r="D12" s="29" t="s">
        <v>42</v>
      </c>
      <c r="E12" s="33" t="n">
        <f aca="false">IF(D12="totale",(C12/(A12*24))/F12,IF(D12="marché libre",(C12/(A12*24))/G12,"spécifier histo"))</f>
        <v>0.179845679012346</v>
      </c>
      <c r="F12" s="9" t="n">
        <v>45</v>
      </c>
      <c r="G12" s="9" t="n">
        <f aca="false">F12-H12</f>
        <v>45</v>
      </c>
      <c r="H12" s="9" t="n">
        <v>0</v>
      </c>
      <c r="J12" s="206"/>
      <c r="K12" s="0"/>
    </row>
    <row r="13" customFormat="false" ht="15.85" hidden="false" customHeight="true" outlineLevel="0" collapsed="false">
      <c r="A13" s="0" t="n">
        <v>31</v>
      </c>
      <c r="B13" s="34" t="n">
        <v>41913</v>
      </c>
      <c r="C13" s="26" t="n">
        <v>21950</v>
      </c>
      <c r="D13" s="29" t="s">
        <v>42</v>
      </c>
      <c r="E13" s="33" t="n">
        <f aca="false">IF(D13="totale",(C13/(A13*24))/F13,IF(D13="marché libre",(C13/(A13*24))/G13,"spécifier histo"))</f>
        <v>0.655615292712067</v>
      </c>
      <c r="F13" s="9" t="n">
        <v>45</v>
      </c>
      <c r="G13" s="9" t="n">
        <f aca="false">F13-H13</f>
        <v>45</v>
      </c>
      <c r="H13" s="9" t="n">
        <v>0</v>
      </c>
      <c r="J13" s="206"/>
      <c r="K13" s="0"/>
    </row>
    <row r="14" customFormat="false" ht="15.85" hidden="false" customHeight="true" outlineLevel="0" collapsed="false">
      <c r="A14" s="0" t="n">
        <v>30</v>
      </c>
      <c r="B14" s="31" t="n">
        <v>41944</v>
      </c>
      <c r="C14" s="26" t="n">
        <v>26703</v>
      </c>
      <c r="D14" s="29" t="s">
        <v>42</v>
      </c>
      <c r="E14" s="33" t="n">
        <f aca="false">IF(D14="totale",(C14/(A14*24))/F14,IF(D14="marché libre",(C14/(A14*24))/G14,"spécifier histo"))</f>
        <v>0.824166666666667</v>
      </c>
      <c r="F14" s="9" t="n">
        <v>45</v>
      </c>
      <c r="G14" s="9" t="n">
        <f aca="false">F14-H14</f>
        <v>45</v>
      </c>
      <c r="H14" s="9" t="n">
        <v>0</v>
      </c>
      <c r="J14" s="206"/>
      <c r="K14" s="206"/>
    </row>
    <row r="15" customFormat="false" ht="15.85" hidden="false" customHeight="true" outlineLevel="0" collapsed="false">
      <c r="A15" s="0" t="n">
        <v>31</v>
      </c>
      <c r="B15" s="34" t="n">
        <v>41974</v>
      </c>
      <c r="C15" s="26" t="n">
        <v>28404</v>
      </c>
      <c r="D15" s="29" t="s">
        <v>42</v>
      </c>
      <c r="E15" s="33" t="n">
        <f aca="false">IF(D15="totale",(C15/(A15*24))/F15,IF(D15="marché libre",(C15/(A15*24))/G15,"spécifier histo"))</f>
        <v>0.848387096774193</v>
      </c>
      <c r="F15" s="9" t="n">
        <v>45</v>
      </c>
      <c r="G15" s="9" t="n">
        <f aca="false">F15-H15</f>
        <v>45</v>
      </c>
      <c r="H15" s="9" t="n">
        <v>0</v>
      </c>
      <c r="J15" s="206"/>
      <c r="K15" s="206"/>
    </row>
    <row r="16" customFormat="false" ht="15.85" hidden="false" customHeight="true" outlineLevel="0" collapsed="false">
      <c r="A16" s="0" t="n">
        <v>31</v>
      </c>
      <c r="B16" s="31" t="n">
        <v>42005</v>
      </c>
      <c r="C16" s="26" t="n">
        <v>28431</v>
      </c>
      <c r="D16" s="29" t="s">
        <v>42</v>
      </c>
      <c r="E16" s="33" t="n">
        <f aca="false">IF(D16="totale",(C16/(A16*24))/F16,IF(D16="marché libre",(C16/(A16*24))/G16,"spécifier histo"))</f>
        <v>0.849193548387097</v>
      </c>
      <c r="F16" s="9" t="n">
        <v>45</v>
      </c>
      <c r="G16" s="9" t="n">
        <f aca="false">F16-H16</f>
        <v>45</v>
      </c>
      <c r="H16" s="9" t="n">
        <v>0</v>
      </c>
    </row>
    <row r="17" customFormat="false" ht="15.85" hidden="false" customHeight="true" outlineLevel="0" collapsed="false">
      <c r="A17" s="0" t="n">
        <v>28</v>
      </c>
      <c r="B17" s="34" t="n">
        <v>42036</v>
      </c>
      <c r="C17" s="26" t="n">
        <v>24736</v>
      </c>
      <c r="D17" s="29" t="s">
        <v>42</v>
      </c>
      <c r="E17" s="33" t="n">
        <f aca="false">IF(D17="totale",(C17/(A17*24))/F17,IF(D17="marché libre",(C17/(A17*24))/G17,"spécifier histo"))</f>
        <v>0.817989417989418</v>
      </c>
      <c r="F17" s="9" t="n">
        <v>45</v>
      </c>
      <c r="G17" s="9" t="n">
        <f aca="false">F17-H17</f>
        <v>45</v>
      </c>
      <c r="H17" s="9" t="n">
        <v>0</v>
      </c>
    </row>
    <row r="18" customFormat="false" ht="15.85" hidden="false" customHeight="true" outlineLevel="0" collapsed="false">
      <c r="A18" s="0" t="n">
        <v>31</v>
      </c>
      <c r="B18" s="31" t="n">
        <v>42064</v>
      </c>
      <c r="C18" s="26" t="n">
        <v>28725</v>
      </c>
      <c r="D18" s="29" t="s">
        <v>42</v>
      </c>
      <c r="E18" s="33" t="n">
        <f aca="false">IF(D18="totale",(C18/(A18*24))/F18,IF(D18="marché libre",(C18/(A18*24))/G18,"spécifier histo"))</f>
        <v>0.857974910394265</v>
      </c>
      <c r="F18" s="9" t="n">
        <v>45</v>
      </c>
      <c r="G18" s="9" t="n">
        <f aca="false">F18-H18</f>
        <v>45</v>
      </c>
      <c r="H18" s="9" t="n">
        <v>0</v>
      </c>
    </row>
    <row r="19" customFormat="false" ht="15.85" hidden="false" customHeight="true" outlineLevel="0" collapsed="false">
      <c r="A19" s="0" t="n">
        <v>30</v>
      </c>
      <c r="B19" s="34" t="n">
        <v>42095</v>
      </c>
      <c r="C19" s="26" t="n">
        <v>21870</v>
      </c>
      <c r="D19" s="29" t="s">
        <v>42</v>
      </c>
      <c r="E19" s="33" t="n">
        <f aca="false">IF(D19="totale",(C19/(A19*24))/F19,IF(D19="marché libre",(C19/(A19*24))/G19,"spécifier histo"))</f>
        <v>0.675</v>
      </c>
      <c r="F19" s="9" t="n">
        <v>45</v>
      </c>
      <c r="G19" s="9" t="n">
        <f aca="false">F19-H19</f>
        <v>45</v>
      </c>
      <c r="H19" s="9" t="n">
        <v>0</v>
      </c>
    </row>
    <row r="20" customFormat="false" ht="15.85" hidden="false" customHeight="true" outlineLevel="0" collapsed="false">
      <c r="A20" s="0" t="n">
        <v>31</v>
      </c>
      <c r="B20" s="31" t="n">
        <v>42125</v>
      </c>
      <c r="C20" s="26" t="n">
        <v>27088</v>
      </c>
      <c r="D20" s="29" t="s">
        <v>42</v>
      </c>
      <c r="E20" s="33" t="n">
        <f aca="false">IF(D20="totale",(C20/(A20*24))/F20,IF(D20="marché libre",(C20/(A20*24))/G20,"spécifier histo"))</f>
        <v>0.809080047789725</v>
      </c>
      <c r="F20" s="9" t="n">
        <v>45</v>
      </c>
      <c r="G20" s="9" t="n">
        <f aca="false">F20-H20</f>
        <v>45</v>
      </c>
      <c r="H20" s="9" t="n">
        <v>0</v>
      </c>
    </row>
    <row r="21" customFormat="false" ht="15.85" hidden="false" customHeight="true" outlineLevel="0" collapsed="false">
      <c r="A21" s="0" t="n">
        <v>30</v>
      </c>
      <c r="B21" s="34" t="n">
        <v>42156</v>
      </c>
      <c r="C21" s="26" t="n">
        <v>21527</v>
      </c>
      <c r="D21" s="29" t="s">
        <v>42</v>
      </c>
      <c r="E21" s="33" t="n">
        <f aca="false">IF(D21="totale",(C21/(A21*24))/F21,IF(D21="marché libre",(C21/(A21*24))/G21,"spécifier histo"))</f>
        <v>0.664413580246914</v>
      </c>
      <c r="F21" s="9" t="n">
        <v>45</v>
      </c>
      <c r="G21" s="9" t="n">
        <f aca="false">F21-H21</f>
        <v>45</v>
      </c>
      <c r="H21" s="9" t="n">
        <v>0</v>
      </c>
    </row>
    <row r="22" customFormat="false" ht="14.65" hidden="false" customHeight="false" outlineLevel="0" collapsed="false">
      <c r="A22" s="0" t="n">
        <v>31</v>
      </c>
      <c r="B22" s="31" t="n">
        <v>42186</v>
      </c>
      <c r="C22" s="26" t="n">
        <v>25491</v>
      </c>
      <c r="D22" s="29" t="s">
        <v>42</v>
      </c>
      <c r="E22" s="33" t="n">
        <f aca="false">IF(D22="totale",(C22/(A22*24))/F22,IF(D22="marché libre",(C22/(A22*24))/G22,"spécifier histo"))</f>
        <v>0.761379928315412</v>
      </c>
      <c r="F22" s="9" t="n">
        <v>45</v>
      </c>
      <c r="G22" s="9" t="n">
        <f aca="false">F22-H22</f>
        <v>45</v>
      </c>
      <c r="H22" s="9" t="n">
        <v>0</v>
      </c>
    </row>
    <row r="23" customFormat="false" ht="14.65" hidden="false" customHeight="false" outlineLevel="0" collapsed="false">
      <c r="A23" s="0" t="n">
        <v>31</v>
      </c>
      <c r="B23" s="34" t="n">
        <v>42217</v>
      </c>
      <c r="C23" s="26" t="n">
        <v>26928</v>
      </c>
      <c r="D23" s="29" t="s">
        <v>42</v>
      </c>
      <c r="E23" s="33" t="n">
        <f aca="false">IF(D23="totale",(C23/(A23*24))/F23,IF(D23="marché libre",(C23/(A23*24))/G23,"spécifier histo"))</f>
        <v>0.804301075268817</v>
      </c>
      <c r="F23" s="9" t="n">
        <v>45</v>
      </c>
      <c r="G23" s="9" t="n">
        <f aca="false">F23-H23</f>
        <v>45</v>
      </c>
      <c r="H23" s="9" t="n">
        <v>0</v>
      </c>
    </row>
    <row r="24" customFormat="false" ht="14.65" hidden="false" customHeight="false" outlineLevel="0" collapsed="false">
      <c r="A24" s="0" t="n">
        <v>30</v>
      </c>
      <c r="B24" s="31" t="n">
        <v>42248</v>
      </c>
      <c r="C24" s="26" t="n">
        <v>23129</v>
      </c>
      <c r="D24" s="29" t="s">
        <v>42</v>
      </c>
      <c r="E24" s="33" t="n">
        <f aca="false">IF(D24="totale",(C24/(A24*24))/F24,IF(D24="marché libre",(C24/(A24*24))/G24,"spécifier histo"))</f>
        <v>0.713858024691358</v>
      </c>
      <c r="F24" s="9" t="n">
        <v>45</v>
      </c>
      <c r="G24" s="9" t="n">
        <f aca="false">F24-H24</f>
        <v>45</v>
      </c>
      <c r="H24" s="9" t="n">
        <v>0</v>
      </c>
    </row>
    <row r="25" customFormat="false" ht="14.65" hidden="false" customHeight="false" outlineLevel="0" collapsed="false">
      <c r="A25" s="0" t="n">
        <v>31</v>
      </c>
      <c r="B25" s="34" t="n">
        <v>42278</v>
      </c>
      <c r="C25" s="26" t="n">
        <v>26991</v>
      </c>
      <c r="D25" s="29" t="s">
        <v>42</v>
      </c>
      <c r="E25" s="33" t="n">
        <f aca="false">IF(D25="totale",(C25/(A25*24))/F25,IF(D25="marché libre",(C25/(A25*24))/G25,"spécifier histo"))</f>
        <v>0.806182795698925</v>
      </c>
      <c r="F25" s="9" t="n">
        <v>45</v>
      </c>
      <c r="G25" s="9" t="n">
        <f aca="false">F25-H25</f>
        <v>45</v>
      </c>
      <c r="H25" s="9" t="n">
        <v>0</v>
      </c>
    </row>
    <row r="26" customFormat="false" ht="14.65" hidden="false" customHeight="false" outlineLevel="0" collapsed="false">
      <c r="A26" s="0" t="n">
        <v>30</v>
      </c>
      <c r="B26" s="31" t="n">
        <v>42309</v>
      </c>
      <c r="C26" s="26" t="n">
        <v>19858</v>
      </c>
      <c r="D26" s="29" t="s">
        <v>42</v>
      </c>
      <c r="E26" s="33" t="n">
        <f aca="false">IF(D26="totale",(C26/(A26*24))/F26,IF(D26="marché libre",(C26/(A26*24))/G26,"spécifier histo"))</f>
        <v>0.612901234567901</v>
      </c>
      <c r="F26" s="9" t="n">
        <v>45</v>
      </c>
      <c r="G26" s="9" t="n">
        <f aca="false">F26-H26</f>
        <v>45</v>
      </c>
      <c r="H26" s="9" t="n">
        <v>0</v>
      </c>
    </row>
    <row r="27" customFormat="false" ht="14.65" hidden="false" customHeight="false" outlineLevel="0" collapsed="false">
      <c r="A27" s="0" t="n">
        <v>31</v>
      </c>
      <c r="B27" s="34" t="n">
        <v>42339</v>
      </c>
      <c r="C27" s="26" t="n">
        <v>20063</v>
      </c>
      <c r="D27" s="29" t="s">
        <v>42</v>
      </c>
      <c r="E27" s="33" t="n">
        <f aca="false">IF(D27="totale",(C27/(A27*24))/F27,IF(D27="marché libre",(C27/(A27*24))/G27,"spécifier histo"))</f>
        <v>0.599253285543608</v>
      </c>
      <c r="F27" s="9" t="n">
        <v>45</v>
      </c>
      <c r="G27" s="9" t="n">
        <f aca="false">F27-H27</f>
        <v>45</v>
      </c>
      <c r="H27" s="9" t="n">
        <v>0</v>
      </c>
    </row>
    <row r="28" customFormat="false" ht="14.65" hidden="false" customHeight="false" outlineLevel="0" collapsed="false">
      <c r="A28" s="0" t="n">
        <v>31</v>
      </c>
      <c r="B28" s="31" t="n">
        <v>42370</v>
      </c>
      <c r="C28" s="26" t="n">
        <v>23367</v>
      </c>
      <c r="D28" s="29" t="s">
        <v>42</v>
      </c>
      <c r="E28" s="33" t="n">
        <f aca="false">IF(D28="totale",(C28/(A28*24))/F28,IF(D28="marché libre",(C28/(A28*24))/G28,"spécifier histo"))</f>
        <v>0.697939068100358</v>
      </c>
      <c r="F28" s="9" t="n">
        <v>45</v>
      </c>
      <c r="G28" s="9" t="n">
        <f aca="false">F28-H28</f>
        <v>45</v>
      </c>
      <c r="H28" s="9" t="n">
        <v>0</v>
      </c>
    </row>
    <row r="29" customFormat="false" ht="14.65" hidden="false" customHeight="false" outlineLevel="0" collapsed="false">
      <c r="A29" s="0" t="n">
        <v>28</v>
      </c>
      <c r="B29" s="34" t="n">
        <v>42401</v>
      </c>
      <c r="C29" s="26" t="n">
        <v>4873</v>
      </c>
      <c r="D29" s="29" t="s">
        <v>42</v>
      </c>
      <c r="E29" s="33" t="n">
        <f aca="false">IF(D29="totale",(C29/(A29*24))/F29,IF(D29="marché libre",(C29/(A29*24))/G29,"spécifier histo"))</f>
        <v>0.16114417989418</v>
      </c>
      <c r="F29" s="9" t="n">
        <v>45</v>
      </c>
      <c r="G29" s="9" t="n">
        <f aca="false">F29-H29</f>
        <v>45</v>
      </c>
      <c r="H29" s="9" t="n">
        <v>0</v>
      </c>
    </row>
    <row r="30" customFormat="false" ht="14.65" hidden="false" customHeight="false" outlineLevel="0" collapsed="false">
      <c r="A30" s="0" t="n">
        <v>31</v>
      </c>
      <c r="B30" s="31" t="n">
        <v>42430</v>
      </c>
      <c r="C30" s="26" t="n">
        <v>22718</v>
      </c>
      <c r="D30" s="29" t="s">
        <v>42</v>
      </c>
      <c r="E30" s="33" t="n">
        <f aca="false">IF(D30="totale",(C30/(A30*24))/F30,IF(D30="marché libre",(C30/(A30*24))/G30,"spécifier histo"))</f>
        <v>0.678554360812425</v>
      </c>
      <c r="F30" s="9" t="n">
        <v>45</v>
      </c>
      <c r="G30" s="9" t="n">
        <f aca="false">F30-H30</f>
        <v>45</v>
      </c>
      <c r="H30" s="9" t="n">
        <v>0</v>
      </c>
    </row>
    <row r="31" customFormat="false" ht="14.65" hidden="false" customHeight="false" outlineLevel="0" collapsed="false">
      <c r="A31" s="0" t="n">
        <v>30</v>
      </c>
      <c r="B31" s="34" t="n">
        <v>42461</v>
      </c>
      <c r="C31" s="26" t="n">
        <v>11019</v>
      </c>
      <c r="D31" s="29" t="s">
        <v>42</v>
      </c>
      <c r="E31" s="33" t="n">
        <f aca="false">IF(D31="totale",(C31/(A31*24))/F31,IF(D31="marché libre",(C31/(A31*24))/G31,"spécifier histo"))</f>
        <v>0.340092592592593</v>
      </c>
      <c r="F31" s="9" t="n">
        <v>45</v>
      </c>
      <c r="G31" s="9" t="n">
        <f aca="false">F31-H31</f>
        <v>45</v>
      </c>
      <c r="H31" s="9" t="n">
        <v>0</v>
      </c>
    </row>
    <row r="32" customFormat="false" ht="14.65" hidden="false" customHeight="false" outlineLevel="0" collapsed="false">
      <c r="A32" s="0" t="n">
        <v>31</v>
      </c>
      <c r="B32" s="31" t="n">
        <v>42491</v>
      </c>
      <c r="C32" s="26" t="n">
        <v>9668</v>
      </c>
      <c r="D32" s="29" t="s">
        <v>42</v>
      </c>
      <c r="E32" s="33" t="n">
        <f aca="false">IF(D32="totale",(C32/(A32*24))/F32,IF(D32="marché libre",(C32/(A32*24))/G32,"spécifier histo"))</f>
        <v>0.288769414575866</v>
      </c>
      <c r="F32" s="9" t="n">
        <v>45</v>
      </c>
      <c r="G32" s="9" t="n">
        <f aca="false">F32-H32</f>
        <v>45</v>
      </c>
      <c r="H32" s="9" t="n">
        <v>0</v>
      </c>
    </row>
    <row r="33" customFormat="false" ht="14.65" hidden="false" customHeight="false" outlineLevel="0" collapsed="false">
      <c r="A33" s="0" t="n">
        <v>30</v>
      </c>
      <c r="B33" s="34" t="n">
        <v>42522</v>
      </c>
      <c r="C33" s="26" t="n">
        <v>20092</v>
      </c>
      <c r="D33" s="29" t="s">
        <v>42</v>
      </c>
      <c r="E33" s="33" t="n">
        <f aca="false">IF(D33="totale",(C33/(A33*24))/F33,IF(D33="marché libre",(C33/(A33*24))/G33,"spécifier histo"))</f>
        <v>0.620123456790124</v>
      </c>
      <c r="F33" s="9" t="n">
        <v>45</v>
      </c>
      <c r="G33" s="9" t="n">
        <f aca="false">F33-H33</f>
        <v>45</v>
      </c>
      <c r="H33" s="9" t="n">
        <v>0</v>
      </c>
    </row>
    <row r="34" customFormat="false" ht="14.65" hidden="false" customHeight="false" outlineLevel="0" collapsed="false">
      <c r="A34" s="555" t="n">
        <v>31</v>
      </c>
      <c r="B34" s="111" t="n">
        <v>42552</v>
      </c>
      <c r="C34" s="556" t="n">
        <v>0</v>
      </c>
      <c r="D34" s="113" t="s">
        <v>42</v>
      </c>
      <c r="E34" s="114" t="n">
        <f aca="false">IF(D34="totale",(C34/(A34*24))/F34,IF(D34="marché libre",(C34/(A34*24))/G34,"spécifier histo"))</f>
        <v>0</v>
      </c>
      <c r="F34" s="115" t="n">
        <v>45</v>
      </c>
      <c r="G34" s="115" t="n">
        <f aca="false">F34-H34</f>
        <v>45</v>
      </c>
      <c r="H34" s="115" t="n">
        <v>0</v>
      </c>
    </row>
    <row r="35" customFormat="false" ht="14.65" hidden="false" customHeight="false" outlineLevel="0" collapsed="false">
      <c r="A35" s="0" t="n">
        <v>31</v>
      </c>
      <c r="B35" s="34" t="n">
        <v>42583</v>
      </c>
      <c r="C35" s="26" t="n">
        <v>21273</v>
      </c>
      <c r="D35" s="29" t="s">
        <v>42</v>
      </c>
      <c r="E35" s="33" t="n">
        <f aca="false">IF(D35="totale",(C35/(A35*24))/F35,IF(D35="marché libre",(C35/(A35*24))/G35,"spécifier histo"))</f>
        <v>0.635394265232975</v>
      </c>
      <c r="F35" s="9" t="n">
        <v>45</v>
      </c>
      <c r="G35" s="9" t="n">
        <f aca="false">F35-H35</f>
        <v>45</v>
      </c>
      <c r="H35" s="9" t="n">
        <v>0</v>
      </c>
    </row>
    <row r="36" customFormat="false" ht="14.65" hidden="false" customHeight="false" outlineLevel="0" collapsed="false">
      <c r="A36" s="0" t="n">
        <v>30</v>
      </c>
      <c r="B36" s="31" t="n">
        <v>42614</v>
      </c>
      <c r="C36" s="26" t="n">
        <v>25006</v>
      </c>
      <c r="D36" s="29" t="s">
        <v>42</v>
      </c>
      <c r="E36" s="33" t="n">
        <f aca="false">IF(D36="totale",(C36/(A36*24))/F36,IF(D36="marché libre",(C36/(A36*24))/G36,"spécifier histo"))</f>
        <v>0.77179012345679</v>
      </c>
      <c r="F36" s="9" t="n">
        <v>45</v>
      </c>
      <c r="G36" s="9" t="n">
        <f aca="false">F36-H36</f>
        <v>45</v>
      </c>
      <c r="H36" s="9" t="n">
        <v>0</v>
      </c>
    </row>
    <row r="37" customFormat="false" ht="14.65" hidden="false" customHeight="false" outlineLevel="0" collapsed="false">
      <c r="A37" s="0" t="n">
        <v>31</v>
      </c>
      <c r="B37" s="34" t="n">
        <v>42644</v>
      </c>
      <c r="C37" s="26" t="n">
        <v>25402</v>
      </c>
      <c r="D37" s="29" t="s">
        <v>42</v>
      </c>
      <c r="E37" s="33" t="n">
        <f aca="false">IF(D37="totale",(C37/(A37*24))/F37,IF(D37="marché libre",(C37/(A37*24))/G37,"spécifier histo"))</f>
        <v>0.758721624850657</v>
      </c>
      <c r="F37" s="9" t="n">
        <v>45</v>
      </c>
      <c r="G37" s="9" t="n">
        <f aca="false">F37-H37</f>
        <v>45</v>
      </c>
      <c r="H37" s="9" t="n">
        <v>0</v>
      </c>
    </row>
    <row r="38" customFormat="false" ht="14.65" hidden="false" customHeight="false" outlineLevel="0" collapsed="false">
      <c r="A38" s="0" t="n">
        <v>30</v>
      </c>
      <c r="B38" s="31" t="n">
        <v>42675</v>
      </c>
      <c r="C38" s="26" t="n">
        <v>23785</v>
      </c>
      <c r="D38" s="29" t="s">
        <v>42</v>
      </c>
      <c r="E38" s="33" t="n">
        <f aca="false">IF(D38="totale",(C38/(A38*24))/F38,IF(D38="marché libre",(C38/(A38*24))/G38,"spécifier histo"))</f>
        <v>0.734104938271605</v>
      </c>
      <c r="F38" s="9" t="n">
        <v>45</v>
      </c>
      <c r="G38" s="9" t="n">
        <f aca="false">F38-H38</f>
        <v>45</v>
      </c>
      <c r="H38" s="9" t="n">
        <v>0</v>
      </c>
    </row>
    <row r="39" customFormat="false" ht="14.65" hidden="false" customHeight="false" outlineLevel="0" collapsed="false">
      <c r="A39" s="0" t="n">
        <v>31</v>
      </c>
      <c r="B39" s="34" t="n">
        <v>42705</v>
      </c>
      <c r="C39" s="26" t="n">
        <v>24517</v>
      </c>
      <c r="D39" s="29" t="s">
        <v>42</v>
      </c>
      <c r="E39" s="33" t="n">
        <f aca="false">IF(D39="totale",(C39/(A39*24))/F39,IF(D39="marché libre",(C39/(A39*24))/G39,"spécifier histo"))</f>
        <v>0.732287933094385</v>
      </c>
      <c r="F39" s="9" t="n">
        <v>45</v>
      </c>
      <c r="G39" s="9" t="n">
        <f aca="false">F39-H39</f>
        <v>45</v>
      </c>
      <c r="H39" s="9" t="n">
        <v>0</v>
      </c>
    </row>
    <row r="40" customFormat="false" ht="12.8" hidden="false" customHeight="false" outlineLevel="0" collapsed="false">
      <c r="A40" s="0" t="n">
        <v>31</v>
      </c>
      <c r="B40" s="31" t="n">
        <v>42736</v>
      </c>
      <c r="C40" s="121" t="n">
        <v>26816</v>
      </c>
      <c r="D40" s="29" t="s">
        <v>42</v>
      </c>
      <c r="E40" s="33" t="n">
        <f aca="false">IF(D40="totale",(C40/(A40*24))/F40,IF(D40="marché libre",(C40/(A40*24))/G40,"spécifier histo"))</f>
        <v>0.800955794504182</v>
      </c>
      <c r="F40" s="9" t="n">
        <v>45</v>
      </c>
      <c r="G40" s="9" t="n">
        <f aca="false">F40-H40</f>
        <v>45</v>
      </c>
      <c r="H40" s="9" t="n">
        <v>0</v>
      </c>
    </row>
    <row r="41" customFormat="false" ht="12.8" hidden="false" customHeight="false" outlineLevel="0" collapsed="false">
      <c r="A41" s="0" t="n">
        <v>28</v>
      </c>
      <c r="B41" s="34" t="n">
        <v>42767</v>
      </c>
      <c r="C41" s="121" t="n">
        <v>24618</v>
      </c>
      <c r="D41" s="29" t="s">
        <v>42</v>
      </c>
      <c r="E41" s="33" t="n">
        <f aca="false">IF(D41="totale",(C41/(A41*24))/F41,IF(D41="marché libre",(C41/(A41*24))/G41,"spécifier histo"))</f>
        <v>0.814087301587302</v>
      </c>
      <c r="F41" s="9" t="n">
        <v>45</v>
      </c>
      <c r="G41" s="9" t="n">
        <f aca="false">F41-H41</f>
        <v>45</v>
      </c>
      <c r="H41" s="9" t="n">
        <v>0</v>
      </c>
    </row>
    <row r="42" customFormat="false" ht="12.8" hidden="false" customHeight="false" outlineLevel="0" collapsed="false">
      <c r="A42" s="0" t="n">
        <v>31</v>
      </c>
      <c r="B42" s="31" t="n">
        <v>42795</v>
      </c>
      <c r="C42" s="121" t="n">
        <v>28159</v>
      </c>
      <c r="D42" s="29" t="s">
        <v>42</v>
      </c>
      <c r="E42" s="33" t="n">
        <f aca="false">IF(D42="totale",(C42/(A42*24))/F42,IF(D42="marché libre",(C42/(A42*24))/G42,"spécifier histo"))</f>
        <v>0.841069295101553</v>
      </c>
      <c r="F42" s="9" t="n">
        <v>45</v>
      </c>
      <c r="G42" s="9" t="n">
        <f aca="false">F42-H42</f>
        <v>45</v>
      </c>
      <c r="H42" s="9" t="n">
        <v>0</v>
      </c>
    </row>
    <row r="43" customFormat="false" ht="12.8" hidden="false" customHeight="false" outlineLevel="0" collapsed="false">
      <c r="A43" s="0" t="n">
        <v>30</v>
      </c>
      <c r="B43" s="34" t="n">
        <v>42826</v>
      </c>
      <c r="C43" s="121" t="n">
        <v>25555</v>
      </c>
      <c r="D43" s="29" t="s">
        <v>42</v>
      </c>
      <c r="E43" s="33" t="n">
        <f aca="false">IF(D43="totale",(C43/(A43*24))/F43,IF(D43="marché libre",(C43/(A43*24))/G43,"spécifier histo"))</f>
        <v>0.788734567901235</v>
      </c>
      <c r="F43" s="9" t="n">
        <v>45</v>
      </c>
      <c r="G43" s="9" t="n">
        <f aca="false">F43-H43</f>
        <v>45</v>
      </c>
      <c r="H43" s="9" t="n">
        <v>0</v>
      </c>
    </row>
    <row r="44" customFormat="false" ht="12.8" hidden="false" customHeight="false" outlineLevel="0" collapsed="false">
      <c r="A44" s="0" t="n">
        <v>31</v>
      </c>
      <c r="B44" s="31" t="n">
        <v>42856</v>
      </c>
      <c r="C44" s="121" t="n">
        <v>23444</v>
      </c>
      <c r="D44" s="29" t="s">
        <v>42</v>
      </c>
      <c r="E44" s="33" t="n">
        <f aca="false">IF(D44="totale",(C44/(A44*24))/F44,IF(D44="marché libre",(C44/(A44*24))/G44,"spécifier histo"))</f>
        <v>0.700238948626045</v>
      </c>
      <c r="F44" s="9" t="n">
        <v>45</v>
      </c>
      <c r="G44" s="9" t="n">
        <f aca="false">F44-H44</f>
        <v>45</v>
      </c>
      <c r="H44" s="9" t="n">
        <v>0</v>
      </c>
    </row>
    <row r="45" customFormat="false" ht="12.8" hidden="false" customHeight="false" outlineLevel="0" collapsed="false">
      <c r="A45" s="0" t="n">
        <v>30</v>
      </c>
      <c r="B45" s="34" t="n">
        <v>42887</v>
      </c>
      <c r="C45" s="121" t="n">
        <v>23869</v>
      </c>
      <c r="D45" s="29" t="s">
        <v>42</v>
      </c>
      <c r="E45" s="33" t="n">
        <f aca="false">IF(D45="totale",(C45/(A45*24))/F45,IF(D45="marché libre",(C45/(A45*24))/G45,"spécifier histo"))</f>
        <v>0.736697530864198</v>
      </c>
      <c r="F45" s="9" t="n">
        <v>45</v>
      </c>
      <c r="G45" s="9" t="n">
        <f aca="false">F45-H45</f>
        <v>45</v>
      </c>
      <c r="H45" s="9" t="n">
        <v>0</v>
      </c>
    </row>
    <row r="46" customFormat="false" ht="12.8" hidden="false" customHeight="false" outlineLevel="0" collapsed="false">
      <c r="A46" s="0" t="n">
        <v>31</v>
      </c>
      <c r="B46" s="31" t="n">
        <v>42917</v>
      </c>
      <c r="C46" s="121" t="n">
        <v>25319</v>
      </c>
      <c r="D46" s="29" t="s">
        <v>42</v>
      </c>
      <c r="E46" s="33" t="n">
        <f aca="false">IF(D46="totale",(C46/(A46*24))/F46,IF(D46="marché libre",(C46/(A46*24))/G46,"spécifier histo"))</f>
        <v>0.756242532855436</v>
      </c>
      <c r="F46" s="9" t="n">
        <v>45</v>
      </c>
      <c r="G46" s="9" t="n">
        <f aca="false">F46-H46</f>
        <v>45</v>
      </c>
      <c r="H46" s="9" t="n">
        <v>0</v>
      </c>
    </row>
    <row r="47" customFormat="false" ht="12.8" hidden="false" customHeight="false" outlineLevel="0" collapsed="false">
      <c r="A47" s="0" t="n">
        <v>31</v>
      </c>
      <c r="B47" s="34" t="n">
        <v>42948</v>
      </c>
      <c r="C47" s="121" t="n">
        <v>24508</v>
      </c>
      <c r="D47" s="29" t="s">
        <v>42</v>
      </c>
      <c r="E47" s="33" t="n">
        <f aca="false">IF(D47="totale",(C47/(A47*24))/F47,IF(D47="marché libre",(C47/(A47*24))/G47,"spécifier histo"))</f>
        <v>0.732019115890084</v>
      </c>
      <c r="F47" s="9" t="n">
        <v>45</v>
      </c>
      <c r="G47" s="9" t="n">
        <f aca="false">F47-H47</f>
        <v>45</v>
      </c>
      <c r="H47" s="9" t="n">
        <v>0</v>
      </c>
    </row>
    <row r="48" customFormat="false" ht="12.8" hidden="false" customHeight="false" outlineLevel="0" collapsed="false">
      <c r="A48" s="0" t="n">
        <v>30</v>
      </c>
      <c r="B48" s="31" t="n">
        <v>42979</v>
      </c>
      <c r="C48" s="121" t="n">
        <v>24286</v>
      </c>
      <c r="D48" s="29" t="s">
        <v>42</v>
      </c>
      <c r="E48" s="33" t="n">
        <f aca="false">IF(D48="totale",(C48/(A48*24))/F48,IF(D48="marché libre",(C48/(A48*24))/G48,"spécifier histo"))</f>
        <v>0.749567901234568</v>
      </c>
      <c r="F48" s="9" t="n">
        <v>45</v>
      </c>
      <c r="G48" s="9" t="n">
        <f aca="false">F48-H48</f>
        <v>45</v>
      </c>
      <c r="H48" s="9" t="n">
        <v>0</v>
      </c>
    </row>
    <row r="49" customFormat="false" ht="12.8" hidden="false" customHeight="false" outlineLevel="0" collapsed="false">
      <c r="A49" s="0" t="n">
        <v>31</v>
      </c>
      <c r="B49" s="34" t="n">
        <v>43009</v>
      </c>
      <c r="C49" s="121" t="n">
        <v>23788</v>
      </c>
      <c r="D49" s="29" t="s">
        <v>42</v>
      </c>
      <c r="E49" s="33" t="n">
        <f aca="false">IF(D49="totale",(C49/(A49*24))/F49,IF(D49="marché libre",(C49/(A49*24))/G49,"spécifier histo"))</f>
        <v>0.710513739545998</v>
      </c>
      <c r="F49" s="9" t="n">
        <v>45</v>
      </c>
      <c r="G49" s="9" t="n">
        <f aca="false">F49-H49</f>
        <v>45</v>
      </c>
      <c r="H49" s="9" t="n">
        <v>0</v>
      </c>
    </row>
    <row r="50" customFormat="false" ht="12.8" hidden="false" customHeight="false" outlineLevel="0" collapsed="false">
      <c r="A50" s="0" t="n">
        <v>30</v>
      </c>
      <c r="B50" s="31" t="n">
        <v>43040</v>
      </c>
      <c r="C50" s="121" t="n">
        <v>24218</v>
      </c>
      <c r="D50" s="29" t="s">
        <v>42</v>
      </c>
      <c r="E50" s="33" t="n">
        <f aca="false">IF(D50="totale",(C50/(A50*24))/F50,IF(D50="marché libre",(C50/(A50*24))/G50,"spécifier histo"))</f>
        <v>0.747469135802469</v>
      </c>
      <c r="F50" s="9" t="n">
        <v>45</v>
      </c>
      <c r="G50" s="9" t="n">
        <f aca="false">F50-H50</f>
        <v>45</v>
      </c>
      <c r="H50" s="9" t="n">
        <v>0</v>
      </c>
    </row>
    <row r="51" customFormat="false" ht="12.8" hidden="false" customHeight="false" outlineLevel="0" collapsed="false">
      <c r="A51" s="0" t="n">
        <v>31</v>
      </c>
      <c r="B51" s="34" t="n">
        <v>43070</v>
      </c>
      <c r="C51" s="121" t="n">
        <v>19998</v>
      </c>
      <c r="D51" s="29" t="s">
        <v>42</v>
      </c>
      <c r="E51" s="33" t="n">
        <f aca="false">IF(D51="totale",(C51/(A51*24))/F51,IF(D51="marché libre",(C51/(A51*24))/G51,"spécifier histo"))</f>
        <v>0.597311827956989</v>
      </c>
      <c r="F51" s="9" t="n">
        <v>45</v>
      </c>
      <c r="G51" s="9" t="n">
        <f aca="false">F51-H51</f>
        <v>45</v>
      </c>
      <c r="H51" s="9" t="n">
        <v>0</v>
      </c>
    </row>
    <row r="52" customFormat="false" ht="12.8" hidden="false" customHeight="false" outlineLevel="0" collapsed="false">
      <c r="A52" s="0" t="n">
        <v>31</v>
      </c>
      <c r="B52" s="31" t="n">
        <v>43101</v>
      </c>
      <c r="C52" s="121" t="n">
        <v>20251</v>
      </c>
      <c r="D52" s="29" t="s">
        <v>42</v>
      </c>
      <c r="E52" s="33" t="n">
        <f aca="false">IF(D52="totale",(C52/(A52*24))/F52,IF(D52="marché libre",(C52/(A52*24))/G52,"spécifier histo"))</f>
        <v>0.604868578255675</v>
      </c>
      <c r="F52" s="9" t="n">
        <v>45</v>
      </c>
      <c r="G52" s="9" t="n">
        <f aca="false">F52-H52</f>
        <v>45</v>
      </c>
      <c r="H52" s="9" t="n">
        <v>0</v>
      </c>
    </row>
    <row r="53" customFormat="false" ht="12.8" hidden="false" customHeight="false" outlineLevel="0" collapsed="false">
      <c r="A53" s="0" t="n">
        <v>28</v>
      </c>
      <c r="B53" s="34" t="n">
        <v>43132</v>
      </c>
      <c r="C53" s="121" t="n">
        <v>21590</v>
      </c>
      <c r="D53" s="29" t="s">
        <v>42</v>
      </c>
      <c r="E53" s="33" t="n">
        <f aca="false">IF(D53="totale",(C53/(A53*24))/F53,IF(D53="marché libre",(C53/(A53*24))/G53,"spécifier histo"))</f>
        <v>0.713955026455026</v>
      </c>
      <c r="F53" s="9" t="n">
        <v>45</v>
      </c>
      <c r="G53" s="9" t="n">
        <f aca="false">F53-H53</f>
        <v>45</v>
      </c>
      <c r="H53" s="9" t="n">
        <v>0</v>
      </c>
    </row>
    <row r="54" customFormat="false" ht="12.8" hidden="false" customHeight="false" outlineLevel="0" collapsed="false">
      <c r="A54" s="0" t="n">
        <v>31</v>
      </c>
      <c r="B54" s="31" t="n">
        <v>43160</v>
      </c>
      <c r="C54" s="121" t="n">
        <v>24086</v>
      </c>
      <c r="D54" s="29" t="s">
        <v>42</v>
      </c>
      <c r="E54" s="33" t="n">
        <f aca="false">IF(D54="totale",(C54/(A54*24))/F54,IF(D54="marché libre",(C54/(A54*24))/G54,"spécifier histo"))</f>
        <v>0.719414575866189</v>
      </c>
      <c r="F54" s="9" t="n">
        <v>45</v>
      </c>
      <c r="G54" s="9" t="n">
        <f aca="false">F54-H54</f>
        <v>45</v>
      </c>
      <c r="H54" s="9" t="n">
        <v>0</v>
      </c>
    </row>
    <row r="55" customFormat="false" ht="12.8" hidden="false" customHeight="false" outlineLevel="0" collapsed="false">
      <c r="A55" s="0" t="n">
        <v>28</v>
      </c>
      <c r="B55" s="34" t="n">
        <v>43191</v>
      </c>
      <c r="C55" s="121" t="n">
        <v>23791</v>
      </c>
      <c r="D55" s="29" t="s">
        <v>42</v>
      </c>
      <c r="E55" s="33" t="n">
        <f aca="false">IF(D55="totale",(C55/(A55*24))/F55,IF(D55="marché libre",(C55/(A55*24))/G55,"spécifier histo"))</f>
        <v>0.786739417989418</v>
      </c>
      <c r="F55" s="9" t="n">
        <v>45</v>
      </c>
      <c r="G55" s="9" t="n">
        <f aca="false">F55-H55</f>
        <v>45</v>
      </c>
      <c r="H55" s="9" t="n">
        <v>0</v>
      </c>
    </row>
    <row r="56" customFormat="false" ht="12.8" hidden="false" customHeight="false" outlineLevel="0" collapsed="false">
      <c r="A56" s="0" t="n">
        <v>31</v>
      </c>
      <c r="B56" s="31" t="n">
        <v>43221</v>
      </c>
      <c r="C56" s="121" t="n">
        <v>22706</v>
      </c>
      <c r="D56" s="29" t="s">
        <v>42</v>
      </c>
      <c r="E56" s="33" t="n">
        <f aca="false">IF(D56="totale",(C56/(A56*24))/F56,IF(D56="marché libre",(C56/(A56*24))/G56,"spécifier histo"))</f>
        <v>0.678195937873357</v>
      </c>
      <c r="F56" s="9" t="n">
        <v>45</v>
      </c>
      <c r="G56" s="9" t="n">
        <f aca="false">F56-H56</f>
        <v>45</v>
      </c>
      <c r="H56" s="9" t="n">
        <v>0</v>
      </c>
    </row>
    <row r="57" customFormat="false" ht="12.8" hidden="false" customHeight="false" outlineLevel="0" collapsed="false">
      <c r="A57" s="0" t="n">
        <v>30</v>
      </c>
      <c r="B57" s="34" t="n">
        <v>43252</v>
      </c>
      <c r="C57" s="121" t="n">
        <v>19913</v>
      </c>
      <c r="D57" s="29" t="s">
        <v>42</v>
      </c>
      <c r="E57" s="33" t="n">
        <f aca="false">IF(D57="totale",(C57/(A57*24))/F57,IF(D57="marché libre",(C57/(A57*24))/G57,"spécifier histo"))</f>
        <v>0.614598765432099</v>
      </c>
      <c r="F57" s="9" t="n">
        <v>45</v>
      </c>
      <c r="G57" s="9" t="n">
        <f aca="false">F57-H57</f>
        <v>45</v>
      </c>
      <c r="H57" s="9" t="n">
        <v>0</v>
      </c>
    </row>
    <row r="58" customFormat="false" ht="12.8" hidden="false" customHeight="false" outlineLevel="0" collapsed="false">
      <c r="A58" s="0" t="n">
        <v>31</v>
      </c>
      <c r="B58" s="31" t="n">
        <v>43282</v>
      </c>
      <c r="C58" s="121" t="n">
        <v>21686</v>
      </c>
      <c r="D58" s="29" t="s">
        <v>42</v>
      </c>
      <c r="E58" s="33" t="n">
        <f aca="false">IF(D58="totale",(C58/(A58*24))/F58,IF(D58="marché libre",(C58/(A58*24))/G58,"spécifier histo"))</f>
        <v>0.647729988052569</v>
      </c>
      <c r="F58" s="9" t="n">
        <v>45</v>
      </c>
      <c r="G58" s="9" t="n">
        <f aca="false">F58-H58</f>
        <v>45</v>
      </c>
      <c r="H58" s="9" t="n">
        <v>0</v>
      </c>
    </row>
    <row r="59" customFormat="false" ht="12.8" hidden="false" customHeight="false" outlineLevel="0" collapsed="false">
      <c r="A59" s="0" t="n">
        <v>30</v>
      </c>
      <c r="B59" s="34" t="n">
        <v>43313</v>
      </c>
      <c r="C59" s="121" t="n">
        <v>14337</v>
      </c>
      <c r="D59" s="29" t="s">
        <v>42</v>
      </c>
      <c r="E59" s="33" t="n">
        <f aca="false">IF(D59="totale",(C59/(A59*24))/F59,IF(D59="marché libre",(C59/(A59*24))/G59,"spécifier histo"))</f>
        <v>0.4425</v>
      </c>
      <c r="F59" s="9" t="n">
        <v>45</v>
      </c>
      <c r="G59" s="9" t="n">
        <f aca="false">F59-H59</f>
        <v>45</v>
      </c>
      <c r="H59" s="9" t="n">
        <v>0</v>
      </c>
    </row>
    <row r="60" customFormat="false" ht="12.8" hidden="false" customHeight="false" outlineLevel="0" collapsed="false">
      <c r="A60" s="0" t="n">
        <v>31</v>
      </c>
      <c r="B60" s="31" t="n">
        <v>43344</v>
      </c>
      <c r="C60" s="1" t="n">
        <v>17669</v>
      </c>
      <c r="D60" s="29" t="s">
        <v>42</v>
      </c>
      <c r="E60" s="33" t="n">
        <f aca="false">IF(D60="totale",(C60/(A60*24))/F60,IF(D60="marché libre",(C60/(A60*24))/G60,"spécifier histo"))</f>
        <v>0.527747909199522</v>
      </c>
      <c r="F60" s="9" t="n">
        <v>45</v>
      </c>
      <c r="G60" s="9" t="n">
        <f aca="false">F60-H60</f>
        <v>45</v>
      </c>
      <c r="H60" s="9" t="n">
        <v>0</v>
      </c>
    </row>
    <row r="61" customFormat="false" ht="12.8" hidden="false" customHeight="false" outlineLevel="0" collapsed="false">
      <c r="A61" s="1"/>
      <c r="B61" s="1"/>
      <c r="C61" s="1"/>
      <c r="D61" s="1"/>
      <c r="E61" s="1"/>
    </row>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6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9.xml><?xml version="1.0" encoding="utf-8"?>
<worksheet xmlns="http://schemas.openxmlformats.org/spreadsheetml/2006/main" xmlns:r="http://schemas.openxmlformats.org/officeDocument/2006/relationships">
  <sheetPr filterMode="false">
    <tabColor rgb="FF00CC33"/>
    <pageSetUpPr fitToPage="false"/>
  </sheetPr>
  <dimension ref="A1:AD43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394" activePane="bottomRight" state="frozen"/>
      <selection pane="topLeft" activeCell="A1" activeCellId="0" sqref="A1"/>
      <selection pane="topRight" activeCell="B1" activeCellId="0" sqref="B1"/>
      <selection pane="bottomLeft" activeCell="A394" activeCellId="0" sqref="A394"/>
      <selection pane="bottomRight" activeCell="B400" activeCellId="0" sqref="B40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87.15" hidden="false" customHeight="true" outlineLevel="0" collapsed="false">
      <c r="A4" s="0"/>
      <c r="B4" s="5" t="s">
        <v>1069</v>
      </c>
      <c r="C4" s="5" t="n">
        <v>435176</v>
      </c>
      <c r="D4" s="5" t="s">
        <v>1070</v>
      </c>
      <c r="E4" s="14" t="s">
        <v>1071</v>
      </c>
      <c r="F4" s="15" t="n">
        <v>1770</v>
      </c>
      <c r="G4" s="557"/>
      <c r="H4" s="15" t="n">
        <v>520</v>
      </c>
      <c r="I4" s="5" t="s">
        <v>1072</v>
      </c>
      <c r="J4" s="15" t="n">
        <f aca="false">1250+520</f>
        <v>1770</v>
      </c>
      <c r="K4" s="5" t="s">
        <v>1073</v>
      </c>
      <c r="L4" s="16"/>
      <c r="M4" s="16" t="s">
        <v>1074</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1075</v>
      </c>
      <c r="H6" s="19"/>
      <c r="I6" s="19"/>
      <c r="J6" s="19"/>
      <c r="K6" s="19"/>
      <c r="L6" s="19"/>
      <c r="M6" s="19"/>
      <c r="N6" s="19"/>
      <c r="P6" s="21" t="n">
        <v>43101</v>
      </c>
      <c r="Q6" s="19" t="s">
        <v>27</v>
      </c>
      <c r="R6" s="9"/>
      <c r="S6" s="22"/>
      <c r="T6" s="5" t="s">
        <v>28</v>
      </c>
    </row>
    <row r="7" customFormat="false" ht="41.65" hidden="false" customHeight="true" outlineLevel="0" collapsed="false">
      <c r="A7" s="0"/>
      <c r="B7" s="0"/>
      <c r="C7" s="23" t="s">
        <v>1076</v>
      </c>
      <c r="D7" s="23"/>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1.95" hidden="false" customHeight="true" outlineLevel="0" collapsed="false">
      <c r="A10" s="0" t="n">
        <v>31</v>
      </c>
      <c r="B10" s="31" t="n">
        <v>31413</v>
      </c>
      <c r="C10" s="9" t="n">
        <v>0</v>
      </c>
      <c r="D10" s="9" t="s">
        <v>41</v>
      </c>
      <c r="E10" s="33" t="n">
        <f aca="false">IF(D10="totale",(C10/(A10*24))/F10,IF(D10="marché libre",(C10/(A10*24))/G10,"spécifier histo"))</f>
        <v>0</v>
      </c>
      <c r="F10" s="59" t="n">
        <f aca="false">1770-520</f>
        <v>1250</v>
      </c>
      <c r="G10" s="59" t="n">
        <f aca="false">F10-H10</f>
        <v>1250</v>
      </c>
      <c r="H10" s="58" t="n">
        <v>0</v>
      </c>
      <c r="I10" s="9"/>
      <c r="K10" s="0"/>
      <c r="L10" s="0"/>
      <c r="M10" s="0"/>
      <c r="N10" s="0"/>
      <c r="O10" s="0"/>
      <c r="P10" s="0"/>
      <c r="Q10" s="0"/>
      <c r="R10" s="0"/>
      <c r="S10" s="0"/>
      <c r="T10" s="0"/>
    </row>
    <row r="11" customFormat="false" ht="21.95" hidden="false" customHeight="true" outlineLevel="0" collapsed="false">
      <c r="A11" s="0" t="n">
        <v>28</v>
      </c>
      <c r="B11" s="34" t="n">
        <v>31444</v>
      </c>
      <c r="C11" s="9" t="n">
        <v>832800</v>
      </c>
      <c r="D11" s="9" t="s">
        <v>41</v>
      </c>
      <c r="E11" s="33" t="n">
        <f aca="false">IF(D11="totale",(C11/(A11*24))/F11,IF(D11="marché libre",(C11/(A11*24))/G11,"spécifier histo"))</f>
        <v>0.991428571428571</v>
      </c>
      <c r="F11" s="59" t="n">
        <f aca="false">1770-520</f>
        <v>1250</v>
      </c>
      <c r="G11" s="59" t="n">
        <f aca="false">F11-H11</f>
        <v>1250</v>
      </c>
      <c r="H11" s="58" t="n">
        <v>0</v>
      </c>
      <c r="I11" s="9"/>
      <c r="K11" s="0"/>
      <c r="L11" s="0"/>
      <c r="M11" s="0"/>
      <c r="N11" s="0"/>
      <c r="O11" s="0"/>
      <c r="P11" s="0"/>
      <c r="Q11" s="0"/>
      <c r="R11" s="0"/>
      <c r="S11" s="0"/>
      <c r="T11" s="0"/>
    </row>
    <row r="12" customFormat="false" ht="21.95" hidden="false" customHeight="true" outlineLevel="0" collapsed="false">
      <c r="A12" s="0" t="n">
        <v>31</v>
      </c>
      <c r="B12" s="31" t="n">
        <v>31472</v>
      </c>
      <c r="C12" s="9" t="n">
        <v>744200</v>
      </c>
      <c r="D12" s="9" t="s">
        <v>41</v>
      </c>
      <c r="E12" s="33" t="n">
        <f aca="false">IF(D12="totale",(C12/(A12*24))/F12,IF(D12="marché libre",(C12/(A12*24))/G12,"spécifier histo"))</f>
        <v>0.800215053763441</v>
      </c>
      <c r="F12" s="59" t="n">
        <f aca="false">1770-520</f>
        <v>1250</v>
      </c>
      <c r="G12" s="59" t="n">
        <f aca="false">F12-H12</f>
        <v>1250</v>
      </c>
      <c r="H12" s="58" t="n">
        <v>0</v>
      </c>
      <c r="I12" s="9"/>
      <c r="K12" s="0"/>
      <c r="L12" s="0"/>
      <c r="M12" s="0"/>
      <c r="N12" s="0"/>
      <c r="O12" s="0"/>
      <c r="P12" s="0"/>
      <c r="Q12" s="0"/>
      <c r="R12" s="0"/>
      <c r="S12" s="0"/>
      <c r="T12" s="0"/>
    </row>
    <row r="13" customFormat="false" ht="21.95" hidden="false" customHeight="true" outlineLevel="0" collapsed="false">
      <c r="A13" s="0" t="n">
        <v>30</v>
      </c>
      <c r="B13" s="34" t="n">
        <v>31503</v>
      </c>
      <c r="C13" s="9" t="n">
        <v>713600</v>
      </c>
      <c r="D13" s="9" t="s">
        <v>41</v>
      </c>
      <c r="E13" s="33" t="n">
        <f aca="false">IF(D13="totale",(C13/(A13*24))/F13,IF(D13="marché libre",(C13/(A13*24))/G13,"spécifier histo"))</f>
        <v>0.792888888888889</v>
      </c>
      <c r="F13" s="59" t="n">
        <f aca="false">1770-520</f>
        <v>1250</v>
      </c>
      <c r="G13" s="59" t="n">
        <f aca="false">F13-H13</f>
        <v>1250</v>
      </c>
      <c r="H13" s="58" t="n">
        <v>0</v>
      </c>
      <c r="I13" s="9"/>
      <c r="K13" s="0"/>
      <c r="L13" s="0"/>
      <c r="M13" s="0"/>
      <c r="N13" s="0"/>
      <c r="O13" s="0"/>
      <c r="P13" s="0"/>
      <c r="Q13" s="0"/>
      <c r="R13" s="0"/>
      <c r="S13" s="0"/>
      <c r="T13" s="0"/>
    </row>
    <row r="14" customFormat="false" ht="21.95" hidden="false" customHeight="true" outlineLevel="0" collapsed="false">
      <c r="A14" s="0" t="n">
        <v>31</v>
      </c>
      <c r="B14" s="31" t="n">
        <v>31533</v>
      </c>
      <c r="C14" s="9" t="n">
        <v>838000</v>
      </c>
      <c r="D14" s="9" t="s">
        <v>41</v>
      </c>
      <c r="E14" s="33" t="n">
        <f aca="false">IF(D14="totale",(C14/(A14*24))/F14,IF(D14="marché libre",(C14/(A14*24))/G14,"spécifier histo"))</f>
        <v>0.901075268817204</v>
      </c>
      <c r="F14" s="59" t="n">
        <f aca="false">1770-520</f>
        <v>1250</v>
      </c>
      <c r="G14" s="59" t="n">
        <f aca="false">F14-H14</f>
        <v>1250</v>
      </c>
      <c r="H14" s="58" t="n">
        <v>0</v>
      </c>
      <c r="I14" s="9"/>
      <c r="K14" s="0"/>
      <c r="L14" s="0"/>
      <c r="M14" s="0"/>
      <c r="N14" s="0"/>
      <c r="O14" s="0"/>
      <c r="P14" s="0"/>
      <c r="Q14" s="0"/>
      <c r="R14" s="0"/>
      <c r="S14" s="0"/>
      <c r="T14" s="0"/>
    </row>
    <row r="15" customFormat="false" ht="21.95" hidden="false" customHeight="true" outlineLevel="0" collapsed="false">
      <c r="A15" s="0" t="n">
        <v>30</v>
      </c>
      <c r="B15" s="34" t="n">
        <v>31564</v>
      </c>
      <c r="C15" s="9" t="n">
        <v>376400</v>
      </c>
      <c r="D15" s="9" t="s">
        <v>41</v>
      </c>
      <c r="E15" s="33" t="n">
        <f aca="false">IF(D15="totale",(C15/(A15*24))/F15,IF(D15="marché libre",(C15/(A15*24))/G15,"spécifier histo"))</f>
        <v>0.418222222222222</v>
      </c>
      <c r="F15" s="59" t="n">
        <f aca="false">1770-520</f>
        <v>1250</v>
      </c>
      <c r="G15" s="59" t="n">
        <f aca="false">F15-H15</f>
        <v>1250</v>
      </c>
      <c r="H15" s="58" t="n">
        <v>0</v>
      </c>
      <c r="I15" s="9"/>
      <c r="K15" s="0"/>
      <c r="L15" s="0"/>
      <c r="M15" s="0"/>
      <c r="N15" s="0"/>
      <c r="O15" s="0"/>
      <c r="P15" s="0"/>
      <c r="Q15" s="0"/>
      <c r="R15" s="0"/>
      <c r="S15" s="0"/>
      <c r="T15" s="0"/>
    </row>
    <row r="16" customFormat="false" ht="21.95" hidden="false" customHeight="true" outlineLevel="0" collapsed="false">
      <c r="A16" s="0" t="n">
        <v>31</v>
      </c>
      <c r="B16" s="31" t="n">
        <v>31594</v>
      </c>
      <c r="C16" s="9" t="n">
        <v>246400</v>
      </c>
      <c r="D16" s="9" t="s">
        <v>41</v>
      </c>
      <c r="E16" s="33" t="n">
        <f aca="false">IF(D16="totale",(C16/(A16*24))/F16,IF(D16="marché libre",(C16/(A16*24))/G16,"spécifier histo"))</f>
        <v>0.26494623655914</v>
      </c>
      <c r="F16" s="59" t="n">
        <f aca="false">1770-520</f>
        <v>1250</v>
      </c>
      <c r="G16" s="59" t="n">
        <f aca="false">F16-H16</f>
        <v>1250</v>
      </c>
      <c r="H16" s="58" t="n">
        <v>0</v>
      </c>
      <c r="I16" s="9"/>
      <c r="K16" s="0"/>
      <c r="L16" s="0"/>
      <c r="M16" s="0"/>
      <c r="N16" s="0"/>
      <c r="O16" s="0"/>
      <c r="P16" s="0"/>
      <c r="Q16" s="0"/>
      <c r="R16" s="0"/>
      <c r="S16" s="0"/>
      <c r="T16" s="0"/>
    </row>
    <row r="17" customFormat="false" ht="21.95" hidden="false" customHeight="true" outlineLevel="0" collapsed="false">
      <c r="A17" s="0" t="n">
        <v>31</v>
      </c>
      <c r="B17" s="34" t="n">
        <v>31625</v>
      </c>
      <c r="C17" s="9" t="n">
        <v>188200</v>
      </c>
      <c r="D17" s="9" t="s">
        <v>41</v>
      </c>
      <c r="E17" s="33" t="n">
        <f aca="false">IF(D17="totale",(C17/(A17*24))/F17,IF(D17="marché libre",(C17/(A17*24))/G17,"spécifier histo"))</f>
        <v>0.202365591397849</v>
      </c>
      <c r="F17" s="59" t="n">
        <f aca="false">1770-520</f>
        <v>1250</v>
      </c>
      <c r="G17" s="59" t="n">
        <f aca="false">F17-H17</f>
        <v>1250</v>
      </c>
      <c r="H17" s="58" t="n">
        <v>0</v>
      </c>
      <c r="I17" s="9"/>
      <c r="K17" s="0"/>
      <c r="L17" s="0"/>
      <c r="M17" s="0"/>
      <c r="N17" s="0"/>
      <c r="O17" s="0"/>
      <c r="P17" s="0"/>
      <c r="Q17" s="0"/>
      <c r="R17" s="0"/>
      <c r="S17" s="0"/>
      <c r="T17" s="0"/>
    </row>
    <row r="18" customFormat="false" ht="21.95" hidden="false" customHeight="true" outlineLevel="0" collapsed="false">
      <c r="A18" s="0" t="n">
        <v>30</v>
      </c>
      <c r="B18" s="31" t="n">
        <v>31656</v>
      </c>
      <c r="C18" s="9" t="n">
        <v>216800</v>
      </c>
      <c r="D18" s="9" t="s">
        <v>41</v>
      </c>
      <c r="E18" s="33" t="n">
        <f aca="false">IF(D18="totale",(C18/(A18*24))/F18,IF(D18="marché libre",(C18/(A18*24))/G18,"spécifier histo"))</f>
        <v>0.240888888888889</v>
      </c>
      <c r="F18" s="59" t="n">
        <f aca="false">1770-520</f>
        <v>1250</v>
      </c>
      <c r="G18" s="59" t="n">
        <f aca="false">F18-H18</f>
        <v>1250</v>
      </c>
      <c r="H18" s="58" t="n">
        <v>0</v>
      </c>
      <c r="I18" s="9"/>
      <c r="K18" s="0"/>
      <c r="L18" s="0"/>
      <c r="M18" s="0"/>
      <c r="N18" s="0"/>
      <c r="O18" s="0"/>
      <c r="P18" s="0"/>
      <c r="Q18" s="0"/>
      <c r="R18" s="0"/>
      <c r="S18" s="0"/>
      <c r="T18" s="0"/>
    </row>
    <row r="19" customFormat="false" ht="21.95" hidden="false" customHeight="true" outlineLevel="0" collapsed="false">
      <c r="A19" s="0" t="n">
        <v>31</v>
      </c>
      <c r="B19" s="34" t="n">
        <v>31686</v>
      </c>
      <c r="C19" s="9" t="n">
        <v>526800</v>
      </c>
      <c r="D19" s="9" t="s">
        <v>41</v>
      </c>
      <c r="E19" s="33" t="n">
        <f aca="false">IF(D19="totale",(C19/(A19*24))/F19,IF(D19="marché libre",(C19/(A19*24))/G19,"spécifier histo"))</f>
        <v>0.566451612903226</v>
      </c>
      <c r="F19" s="59" t="n">
        <f aca="false">1770-520</f>
        <v>1250</v>
      </c>
      <c r="G19" s="59" t="n">
        <f aca="false">F19-H19</f>
        <v>1250</v>
      </c>
      <c r="H19" s="58" t="n">
        <v>0</v>
      </c>
      <c r="I19" s="9"/>
      <c r="K19" s="0"/>
      <c r="L19" s="0"/>
      <c r="M19" s="0"/>
      <c r="N19" s="0"/>
      <c r="O19" s="0"/>
      <c r="P19" s="0"/>
      <c r="Q19" s="0"/>
      <c r="R19" s="0"/>
      <c r="S19" s="0"/>
      <c r="T19" s="0"/>
    </row>
    <row r="20" customFormat="false" ht="21.95" hidden="false" customHeight="true" outlineLevel="0" collapsed="false">
      <c r="A20" s="0" t="n">
        <v>30</v>
      </c>
      <c r="B20" s="31" t="n">
        <v>31717</v>
      </c>
      <c r="C20" s="9" t="n">
        <v>665600</v>
      </c>
      <c r="D20" s="9" t="s">
        <v>41</v>
      </c>
      <c r="E20" s="33" t="n">
        <f aca="false">IF(D20="totale",(C20/(A20*24))/F20,IF(D20="marché libre",(C20/(A20*24))/G20,"spécifier histo"))</f>
        <v>0.739555555555556</v>
      </c>
      <c r="F20" s="59" t="n">
        <f aca="false">1770-520</f>
        <v>1250</v>
      </c>
      <c r="G20" s="59" t="n">
        <f aca="false">F20-H20</f>
        <v>1250</v>
      </c>
      <c r="H20" s="58" t="n">
        <v>0</v>
      </c>
      <c r="I20" s="9"/>
      <c r="K20" s="0"/>
      <c r="L20" s="0"/>
      <c r="M20" s="0"/>
      <c r="N20" s="0"/>
      <c r="O20" s="0"/>
      <c r="P20" s="0"/>
      <c r="Q20" s="0"/>
      <c r="R20" s="0"/>
      <c r="S20" s="0"/>
      <c r="T20" s="0"/>
    </row>
    <row r="21" customFormat="false" ht="21.95" hidden="false" customHeight="true" outlineLevel="0" collapsed="false">
      <c r="A21" s="0" t="n">
        <v>31</v>
      </c>
      <c r="B21" s="34" t="n">
        <v>31747</v>
      </c>
      <c r="C21" s="9" t="n">
        <v>803400</v>
      </c>
      <c r="D21" s="9" t="s">
        <v>41</v>
      </c>
      <c r="E21" s="33" t="n">
        <f aca="false">IF(D21="totale",(C21/(A21*24))/F21,IF(D21="marché libre",(C21/(A21*24))/G21,"spécifier histo"))</f>
        <v>0.863870967741935</v>
      </c>
      <c r="F21" s="59" t="n">
        <f aca="false">1770-520</f>
        <v>1250</v>
      </c>
      <c r="G21" s="59" t="n">
        <f aca="false">F21-H21</f>
        <v>1250</v>
      </c>
      <c r="H21" s="58" t="n">
        <v>0</v>
      </c>
      <c r="I21" s="9"/>
      <c r="K21" s="0"/>
      <c r="L21" s="0"/>
      <c r="M21" s="0"/>
      <c r="N21" s="0"/>
      <c r="O21" s="0"/>
      <c r="P21" s="0"/>
      <c r="Q21" s="0"/>
      <c r="R21" s="0"/>
      <c r="S21" s="0"/>
      <c r="T21" s="0"/>
    </row>
    <row r="22" customFormat="false" ht="21.95" hidden="false" customHeight="true" outlineLevel="0" collapsed="false">
      <c r="A22" s="0" t="n">
        <v>31</v>
      </c>
      <c r="B22" s="31" t="n">
        <v>31778</v>
      </c>
      <c r="C22" s="9" t="n">
        <v>728800</v>
      </c>
      <c r="D22" s="9" t="s">
        <v>41</v>
      </c>
      <c r="E22" s="33" t="n">
        <f aca="false">IF(D22="totale",(C22/(A22*24))/F22,IF(D22="marché libre",(C22/(A22*24))/G22,"spécifier histo"))</f>
        <v>0.783655913978495</v>
      </c>
      <c r="F22" s="59" t="n">
        <f aca="false">1770-520</f>
        <v>1250</v>
      </c>
      <c r="G22" s="59" t="n">
        <f aca="false">F22-H22</f>
        <v>1250</v>
      </c>
      <c r="H22" s="58" t="n">
        <v>0</v>
      </c>
      <c r="I22" s="9"/>
    </row>
    <row r="23" customFormat="false" ht="21.95" hidden="false" customHeight="true" outlineLevel="0" collapsed="false">
      <c r="A23" s="0" t="n">
        <v>28</v>
      </c>
      <c r="B23" s="34" t="n">
        <v>31809</v>
      </c>
      <c r="C23" s="9" t="n">
        <v>685400</v>
      </c>
      <c r="D23" s="9" t="s">
        <v>41</v>
      </c>
      <c r="E23" s="33" t="n">
        <f aca="false">IF(D23="totale",(C23/(A23*24))/F23,IF(D23="marché libre",(C23/(A23*24))/G23,"spécifier histo"))</f>
        <v>0.815952380952381</v>
      </c>
      <c r="F23" s="59" t="n">
        <f aca="false">1770-520</f>
        <v>1250</v>
      </c>
      <c r="G23" s="59" t="n">
        <f aca="false">F23-H23</f>
        <v>1250</v>
      </c>
      <c r="H23" s="58" t="n">
        <v>0</v>
      </c>
      <c r="I23" s="9"/>
    </row>
    <row r="24" customFormat="false" ht="21.95" hidden="false" customHeight="true" outlineLevel="0" collapsed="false">
      <c r="A24" s="0" t="n">
        <v>31</v>
      </c>
      <c r="B24" s="31" t="n">
        <v>31837</v>
      </c>
      <c r="C24" s="9" t="n">
        <v>860400</v>
      </c>
      <c r="D24" s="9" t="s">
        <v>41</v>
      </c>
      <c r="E24" s="33" t="n">
        <f aca="false">IF(D24="totale",(C24/(A24*24))/F24,IF(D24="marché libre",(C24/(A24*24))/G24,"spécifier histo"))</f>
        <v>0.925161290322581</v>
      </c>
      <c r="F24" s="59" t="n">
        <f aca="false">1770-520</f>
        <v>1250</v>
      </c>
      <c r="G24" s="59" t="n">
        <f aca="false">F24-H24</f>
        <v>1250</v>
      </c>
      <c r="H24" s="58" t="n">
        <v>0</v>
      </c>
      <c r="I24" s="9"/>
      <c r="J24" s="0"/>
      <c r="K24" s="0"/>
      <c r="L24" s="0"/>
      <c r="M24" s="0"/>
      <c r="N24" s="0"/>
      <c r="O24" s="0"/>
      <c r="P24" s="0"/>
      <c r="Q24" s="0"/>
      <c r="R24" s="0"/>
      <c r="S24" s="0"/>
      <c r="T24" s="0"/>
    </row>
    <row r="25" customFormat="false" ht="21.95" hidden="false" customHeight="true" outlineLevel="0" collapsed="false">
      <c r="A25" s="0" t="n">
        <v>30</v>
      </c>
      <c r="B25" s="34" t="n">
        <v>31868</v>
      </c>
      <c r="C25" s="9" t="n">
        <v>840400</v>
      </c>
      <c r="D25" s="9" t="s">
        <v>41</v>
      </c>
      <c r="E25" s="33" t="n">
        <f aca="false">IF(D25="totale",(C25/(A25*24))/F25,IF(D25="marché libre",(C25/(A25*24))/G25,"spécifier histo"))</f>
        <v>0.933777777777778</v>
      </c>
      <c r="F25" s="59" t="n">
        <f aca="false">1770-520</f>
        <v>1250</v>
      </c>
      <c r="G25" s="59" t="n">
        <f aca="false">F25-H25</f>
        <v>1250</v>
      </c>
      <c r="H25" s="58" t="n">
        <v>0</v>
      </c>
      <c r="I25" s="9"/>
      <c r="J25" s="0"/>
      <c r="K25" s="0"/>
      <c r="L25" s="0"/>
      <c r="M25" s="0"/>
      <c r="N25" s="0"/>
      <c r="O25" s="0"/>
      <c r="P25" s="0"/>
      <c r="Q25" s="0"/>
      <c r="R25" s="0"/>
      <c r="S25" s="0"/>
      <c r="T25" s="0"/>
    </row>
    <row r="26" customFormat="false" ht="21.95" hidden="false" customHeight="true" outlineLevel="0" collapsed="false">
      <c r="A26" s="0" t="n">
        <v>31</v>
      </c>
      <c r="B26" s="31" t="n">
        <v>31898</v>
      </c>
      <c r="C26" s="9" t="n">
        <v>568000</v>
      </c>
      <c r="D26" s="9" t="s">
        <v>41</v>
      </c>
      <c r="E26" s="33" t="n">
        <f aca="false">IF(D26="totale",(C26/(A26*24))/F26,IF(D26="marché libre",(C26/(A26*24))/G26,"spécifier histo"))</f>
        <v>0.610752688172043</v>
      </c>
      <c r="F26" s="59" t="n">
        <f aca="false">1770-520</f>
        <v>1250</v>
      </c>
      <c r="G26" s="59" t="n">
        <f aca="false">F26-H26</f>
        <v>1250</v>
      </c>
      <c r="H26" s="58" t="n">
        <v>0</v>
      </c>
      <c r="I26" s="9"/>
      <c r="J26" s="0"/>
      <c r="K26" s="0"/>
      <c r="L26" s="0"/>
      <c r="M26" s="0"/>
      <c r="N26" s="0"/>
      <c r="O26" s="0"/>
      <c r="P26" s="0"/>
      <c r="Q26" s="0"/>
      <c r="R26" s="0"/>
      <c r="S26" s="0"/>
      <c r="T26" s="0"/>
    </row>
    <row r="27" customFormat="false" ht="21.95" hidden="false" customHeight="true" outlineLevel="0" collapsed="false">
      <c r="A27" s="0" t="n">
        <v>30</v>
      </c>
      <c r="B27" s="34" t="n">
        <v>31929</v>
      </c>
      <c r="C27" s="9" t="n">
        <v>329200</v>
      </c>
      <c r="D27" s="9" t="s">
        <v>41</v>
      </c>
      <c r="E27" s="33" t="n">
        <f aca="false">IF(D27="totale",(C27/(A27*24))/F27,IF(D27="marché libre",(C27/(A27*24))/G27,"spécifier histo"))</f>
        <v>0.365777777777778</v>
      </c>
      <c r="F27" s="59" t="n">
        <f aca="false">1770-520</f>
        <v>1250</v>
      </c>
      <c r="G27" s="59" t="n">
        <f aca="false">F27-H27</f>
        <v>1250</v>
      </c>
      <c r="H27" s="58" t="n">
        <v>0</v>
      </c>
      <c r="I27" s="9"/>
      <c r="J27" s="0"/>
      <c r="K27" s="0"/>
      <c r="L27" s="0"/>
      <c r="M27" s="0"/>
      <c r="N27" s="0"/>
      <c r="O27" s="0"/>
      <c r="P27" s="0"/>
      <c r="Q27" s="0"/>
      <c r="R27" s="0"/>
      <c r="S27" s="0"/>
      <c r="T27" s="0"/>
    </row>
    <row r="28" customFormat="false" ht="21.95" hidden="false" customHeight="true" outlineLevel="0" collapsed="false">
      <c r="A28" s="0" t="n">
        <v>31</v>
      </c>
      <c r="B28" s="31" t="n">
        <v>31959</v>
      </c>
      <c r="C28" s="9" t="n">
        <v>272400</v>
      </c>
      <c r="D28" s="9" t="s">
        <v>41</v>
      </c>
      <c r="E28" s="33" t="n">
        <f aca="false">IF(D28="totale",(C28/(A28*24))/F28,IF(D28="marché libre",(C28/(A28*24))/G28,"spécifier histo"))</f>
        <v>0.292903225806452</v>
      </c>
      <c r="F28" s="59" t="n">
        <f aca="false">1770-520</f>
        <v>1250</v>
      </c>
      <c r="G28" s="59" t="n">
        <f aca="false">F28-H28</f>
        <v>1250</v>
      </c>
      <c r="H28" s="58" t="n">
        <v>0</v>
      </c>
      <c r="I28" s="9"/>
      <c r="J28" s="0"/>
      <c r="K28" s="0"/>
      <c r="L28" s="0"/>
      <c r="M28" s="0"/>
      <c r="N28" s="0"/>
      <c r="O28" s="0"/>
      <c r="P28" s="0"/>
      <c r="Q28" s="0"/>
      <c r="R28" s="0"/>
      <c r="S28" s="0"/>
      <c r="T28" s="0"/>
    </row>
    <row r="29" customFormat="false" ht="21.95" hidden="false" customHeight="true" outlineLevel="0" collapsed="false">
      <c r="A29" s="0" t="n">
        <v>31</v>
      </c>
      <c r="B29" s="34" t="n">
        <v>31990</v>
      </c>
      <c r="C29" s="9" t="n">
        <v>275000</v>
      </c>
      <c r="D29" s="9" t="s">
        <v>41</v>
      </c>
      <c r="E29" s="33" t="n">
        <f aca="false">IF(D29="totale",(C29/(A29*24))/F29,IF(D29="marché libre",(C29/(A29*24))/G29,"spécifier histo"))</f>
        <v>0.295698924731183</v>
      </c>
      <c r="F29" s="59" t="n">
        <f aca="false">1770-520</f>
        <v>1250</v>
      </c>
      <c r="G29" s="59" t="n">
        <f aca="false">F29-H29</f>
        <v>1250</v>
      </c>
      <c r="H29" s="58" t="n">
        <v>0</v>
      </c>
      <c r="I29" s="9"/>
      <c r="J29" s="0"/>
      <c r="K29" s="0"/>
      <c r="L29" s="0"/>
      <c r="M29" s="0"/>
      <c r="N29" s="0"/>
      <c r="O29" s="0"/>
      <c r="P29" s="0"/>
      <c r="Q29" s="0"/>
      <c r="R29" s="0"/>
      <c r="S29" s="0"/>
      <c r="T29" s="0"/>
    </row>
    <row r="30" customFormat="false" ht="21.95" hidden="false" customHeight="true" outlineLevel="0" collapsed="false">
      <c r="A30" s="0" t="n">
        <v>30</v>
      </c>
      <c r="B30" s="31" t="n">
        <v>32021</v>
      </c>
      <c r="C30" s="9" t="n">
        <v>256800</v>
      </c>
      <c r="D30" s="9" t="s">
        <v>41</v>
      </c>
      <c r="E30" s="33" t="n">
        <f aca="false">IF(D30="totale",(C30/(A30*24))/F30,IF(D30="marché libre",(C30/(A30*24))/G30,"spécifier histo"))</f>
        <v>0.285333333333333</v>
      </c>
      <c r="F30" s="59" t="n">
        <f aca="false">1770-520</f>
        <v>1250</v>
      </c>
      <c r="G30" s="59" t="n">
        <f aca="false">F30-H30</f>
        <v>1250</v>
      </c>
      <c r="H30" s="58" t="n">
        <v>0</v>
      </c>
      <c r="I30" s="9"/>
      <c r="J30" s="0"/>
      <c r="K30" s="0"/>
      <c r="L30" s="0"/>
      <c r="M30" s="0"/>
      <c r="N30" s="0"/>
      <c r="O30" s="0"/>
      <c r="P30" s="0"/>
      <c r="Q30" s="0"/>
      <c r="R30" s="0"/>
      <c r="S30" s="0"/>
      <c r="T30" s="0"/>
    </row>
    <row r="31" customFormat="false" ht="21.95" hidden="false" customHeight="true" outlineLevel="0" collapsed="false">
      <c r="A31" s="0" t="n">
        <v>31</v>
      </c>
      <c r="B31" s="34" t="n">
        <v>32051</v>
      </c>
      <c r="C31" s="9" t="n">
        <v>782000</v>
      </c>
      <c r="D31" s="9" t="s">
        <v>41</v>
      </c>
      <c r="E31" s="33" t="n">
        <f aca="false">IF(D31="totale",(C31/(A31*24))/F31,IF(D31="marché libre",(C31/(A31*24))/G31,"spécifier histo"))</f>
        <v>0.840860215053763</v>
      </c>
      <c r="F31" s="59" t="n">
        <f aca="false">1770-520</f>
        <v>1250</v>
      </c>
      <c r="G31" s="59" t="n">
        <f aca="false">F31-H31</f>
        <v>1250</v>
      </c>
      <c r="H31" s="58" t="n">
        <v>0</v>
      </c>
      <c r="I31" s="9"/>
      <c r="J31" s="0"/>
      <c r="K31" s="0"/>
      <c r="L31" s="0"/>
      <c r="M31" s="0"/>
      <c r="N31" s="0"/>
      <c r="O31" s="0"/>
      <c r="P31" s="0"/>
      <c r="Q31" s="0"/>
      <c r="R31" s="0"/>
      <c r="S31" s="0"/>
      <c r="T31" s="0"/>
    </row>
    <row r="32" customFormat="false" ht="21.95" hidden="false" customHeight="true" outlineLevel="0" collapsed="false">
      <c r="A32" s="0" t="n">
        <v>30</v>
      </c>
      <c r="B32" s="31" t="n">
        <v>32082</v>
      </c>
      <c r="C32" s="9" t="n">
        <v>791600</v>
      </c>
      <c r="D32" s="9" t="s">
        <v>41</v>
      </c>
      <c r="E32" s="33" t="n">
        <f aca="false">IF(D32="totale",(C32/(A32*24))/F32,IF(D32="marché libre",(C32/(A32*24))/G32,"spécifier histo"))</f>
        <v>0.879555555555555</v>
      </c>
      <c r="F32" s="59" t="n">
        <f aca="false">1770-520</f>
        <v>1250</v>
      </c>
      <c r="G32" s="59" t="n">
        <f aca="false">F32-H32</f>
        <v>1250</v>
      </c>
      <c r="H32" s="58" t="n">
        <v>0</v>
      </c>
      <c r="I32" s="9"/>
      <c r="J32" s="0"/>
      <c r="K32" s="0"/>
      <c r="L32" s="0"/>
      <c r="M32" s="0"/>
      <c r="N32" s="0"/>
      <c r="O32" s="0"/>
      <c r="P32" s="0"/>
      <c r="Q32" s="0"/>
      <c r="R32" s="0"/>
      <c r="S32" s="0"/>
      <c r="T32" s="0"/>
    </row>
    <row r="33" customFormat="false" ht="21.95" hidden="false" customHeight="true" outlineLevel="0" collapsed="false">
      <c r="A33" s="0" t="n">
        <v>31</v>
      </c>
      <c r="B33" s="34" t="n">
        <v>32112</v>
      </c>
      <c r="C33" s="9" t="n">
        <v>813000</v>
      </c>
      <c r="D33" s="9" t="s">
        <v>41</v>
      </c>
      <c r="E33" s="33" t="n">
        <f aca="false">IF(D33="totale",(C33/(A33*24))/F33,IF(D33="marché libre",(C33/(A33*24))/G33,"spécifier histo"))</f>
        <v>0.874193548387097</v>
      </c>
      <c r="F33" s="59" t="n">
        <f aca="false">1770-520</f>
        <v>1250</v>
      </c>
      <c r="G33" s="59" t="n">
        <f aca="false">F33-H33</f>
        <v>1250</v>
      </c>
      <c r="H33" s="58" t="n">
        <v>0</v>
      </c>
      <c r="I33" s="9"/>
      <c r="J33" s="0"/>
      <c r="K33" s="0"/>
      <c r="L33" s="0"/>
      <c r="M33" s="0"/>
      <c r="N33" s="0"/>
      <c r="O33" s="0"/>
      <c r="P33" s="0"/>
      <c r="Q33" s="0"/>
      <c r="R33" s="0"/>
      <c r="S33" s="0"/>
      <c r="T33" s="0"/>
    </row>
    <row r="34" customFormat="false" ht="21.95" hidden="false" customHeight="true" outlineLevel="0" collapsed="false">
      <c r="A34" s="0" t="n">
        <v>31</v>
      </c>
      <c r="B34" s="31" t="n">
        <v>32143</v>
      </c>
      <c r="C34" s="9" t="n">
        <v>848000</v>
      </c>
      <c r="D34" s="9" t="s">
        <v>41</v>
      </c>
      <c r="E34" s="33" t="n">
        <f aca="false">IF(D34="totale",(C34/(A34*24))/F34,IF(D34="marché libre",(C34/(A34*24))/G34,"spécifier histo"))</f>
        <v>0.911827956989247</v>
      </c>
      <c r="F34" s="59" t="n">
        <f aca="false">1770-520</f>
        <v>1250</v>
      </c>
      <c r="G34" s="59" t="n">
        <f aca="false">F34-H34</f>
        <v>1250</v>
      </c>
      <c r="H34" s="58" t="n">
        <v>0</v>
      </c>
      <c r="I34" s="9"/>
      <c r="J34" s="0"/>
      <c r="K34" s="0"/>
      <c r="L34" s="0"/>
      <c r="M34" s="0"/>
      <c r="N34" s="0"/>
      <c r="O34" s="0"/>
      <c r="P34" s="0"/>
      <c r="Q34" s="0"/>
      <c r="R34" s="0"/>
      <c r="S34" s="0"/>
      <c r="T34" s="0"/>
    </row>
    <row r="35" customFormat="false" ht="21.95" hidden="false" customHeight="true" outlineLevel="0" collapsed="false">
      <c r="A35" s="0" t="n">
        <v>28</v>
      </c>
      <c r="B35" s="34" t="n">
        <v>32174</v>
      </c>
      <c r="C35" s="9" t="n">
        <v>803000</v>
      </c>
      <c r="D35" s="9" t="s">
        <v>41</v>
      </c>
      <c r="E35" s="33" t="n">
        <f aca="false">IF(D35="totale",(C35/(A35*24))/F35,IF(D35="marché libre",(C35/(A35*24))/G35,"spécifier histo"))</f>
        <v>0.955952380952381</v>
      </c>
      <c r="F35" s="59" t="n">
        <f aca="false">1770-520</f>
        <v>1250</v>
      </c>
      <c r="G35" s="59" t="n">
        <f aca="false">F35-H35</f>
        <v>1250</v>
      </c>
      <c r="H35" s="58" t="n">
        <v>0</v>
      </c>
      <c r="I35" s="9"/>
      <c r="J35" s="0"/>
      <c r="K35" s="0"/>
      <c r="L35" s="0"/>
      <c r="M35" s="0"/>
      <c r="N35" s="0"/>
      <c r="O35" s="0"/>
      <c r="P35" s="0"/>
      <c r="Q35" s="0"/>
      <c r="R35" s="0"/>
      <c r="S35" s="0"/>
      <c r="T35" s="0"/>
    </row>
    <row r="36" customFormat="false" ht="21.95" hidden="false" customHeight="true" outlineLevel="0" collapsed="false">
      <c r="A36" s="0" t="n">
        <v>31</v>
      </c>
      <c r="B36" s="31" t="n">
        <v>32203</v>
      </c>
      <c r="C36" s="9" t="n">
        <v>779400</v>
      </c>
      <c r="D36" s="9" t="s">
        <v>41</v>
      </c>
      <c r="E36" s="33" t="n">
        <f aca="false">IF(D36="totale",(C36/(A36*24))/F36,IF(D36="marché libre",(C36/(A36*24))/G36,"spécifier histo"))</f>
        <v>0.838064516129032</v>
      </c>
      <c r="F36" s="59" t="n">
        <f aca="false">1770-520</f>
        <v>1250</v>
      </c>
      <c r="G36" s="59" t="n">
        <f aca="false">F36-H36</f>
        <v>1250</v>
      </c>
      <c r="H36" s="58" t="n">
        <v>0</v>
      </c>
      <c r="I36" s="9"/>
      <c r="J36" s="0"/>
      <c r="K36" s="0"/>
      <c r="L36" s="0"/>
      <c r="M36" s="0"/>
      <c r="N36" s="0"/>
      <c r="O36" s="0"/>
      <c r="P36" s="0"/>
      <c r="Q36" s="0"/>
      <c r="R36" s="0"/>
      <c r="S36" s="0"/>
      <c r="T36" s="0"/>
    </row>
    <row r="37" customFormat="false" ht="21.95" hidden="false" customHeight="true" outlineLevel="0" collapsed="false">
      <c r="A37" s="0" t="n">
        <v>30</v>
      </c>
      <c r="B37" s="34" t="n">
        <v>32234</v>
      </c>
      <c r="C37" s="9" t="n">
        <v>880200</v>
      </c>
      <c r="D37" s="9" t="s">
        <v>41</v>
      </c>
      <c r="E37" s="33" t="n">
        <f aca="false">IF(D37="totale",(C37/(A37*24))/F37,IF(D37="marché libre",(C37/(A37*24))/G37,"spécifier histo"))</f>
        <v>0.978</v>
      </c>
      <c r="F37" s="59" t="n">
        <f aca="false">1770-520</f>
        <v>1250</v>
      </c>
      <c r="G37" s="59" t="n">
        <f aca="false">F37-H37</f>
        <v>1250</v>
      </c>
      <c r="H37" s="58" t="n">
        <v>0</v>
      </c>
      <c r="I37" s="9"/>
      <c r="J37" s="0"/>
      <c r="K37" s="0"/>
      <c r="L37" s="0"/>
      <c r="M37" s="0"/>
      <c r="N37" s="0"/>
      <c r="O37" s="0"/>
      <c r="P37" s="0"/>
      <c r="Q37" s="0"/>
      <c r="R37" s="0"/>
      <c r="S37" s="0"/>
      <c r="T37" s="0"/>
    </row>
    <row r="38" customFormat="false" ht="21.95" hidden="false" customHeight="true" outlineLevel="0" collapsed="false">
      <c r="A38" s="0" t="n">
        <v>31</v>
      </c>
      <c r="B38" s="31" t="n">
        <v>32264</v>
      </c>
      <c r="C38" s="9" t="n">
        <v>813600</v>
      </c>
      <c r="D38" s="9" t="s">
        <v>41</v>
      </c>
      <c r="E38" s="33" t="n">
        <f aca="false">IF(D38="totale",(C38/(A38*24))/F38,IF(D38="marché libre",(C38/(A38*24))/G38,"spécifier histo"))</f>
        <v>0.874838709677419</v>
      </c>
      <c r="F38" s="59" t="n">
        <f aca="false">1770-520</f>
        <v>1250</v>
      </c>
      <c r="G38" s="59" t="n">
        <f aca="false">F38-H38</f>
        <v>1250</v>
      </c>
      <c r="H38" s="58" t="n">
        <v>0</v>
      </c>
      <c r="I38" s="9"/>
      <c r="J38" s="0"/>
      <c r="K38" s="0"/>
      <c r="L38" s="0"/>
      <c r="M38" s="0"/>
      <c r="N38" s="0"/>
      <c r="O38" s="0"/>
      <c r="P38" s="0"/>
      <c r="Q38" s="0"/>
      <c r="R38" s="0"/>
      <c r="S38" s="0"/>
      <c r="T38" s="0"/>
    </row>
    <row r="39" customFormat="false" ht="21.95" hidden="false" customHeight="true" outlineLevel="0" collapsed="false">
      <c r="A39" s="0" t="n">
        <v>30</v>
      </c>
      <c r="B39" s="34" t="n">
        <v>32295</v>
      </c>
      <c r="C39" s="9" t="n">
        <v>606400</v>
      </c>
      <c r="D39" s="9" t="s">
        <v>41</v>
      </c>
      <c r="E39" s="33" t="n">
        <f aca="false">IF(D39="totale",(C39/(A39*24))/F39,IF(D39="marché libre",(C39/(A39*24))/G39,"spécifier histo"))</f>
        <v>0.673777777777778</v>
      </c>
      <c r="F39" s="59" t="n">
        <f aca="false">1770-520</f>
        <v>1250</v>
      </c>
      <c r="G39" s="59" t="n">
        <f aca="false">F39-H39</f>
        <v>1250</v>
      </c>
      <c r="H39" s="58" t="n">
        <v>0</v>
      </c>
      <c r="I39" s="9"/>
      <c r="J39" s="0"/>
      <c r="K39" s="0"/>
      <c r="L39" s="0"/>
      <c r="M39" s="0"/>
      <c r="N39" s="0"/>
      <c r="O39" s="0"/>
      <c r="P39" s="0"/>
      <c r="Q39" s="0"/>
      <c r="R39" s="0"/>
      <c r="S39" s="0"/>
      <c r="T39" s="0"/>
    </row>
    <row r="40" customFormat="false" ht="21.95" hidden="false" customHeight="true" outlineLevel="0" collapsed="false">
      <c r="A40" s="0" t="n">
        <v>31</v>
      </c>
      <c r="B40" s="31" t="n">
        <v>32325</v>
      </c>
      <c r="C40" s="9" t="n">
        <v>476200</v>
      </c>
      <c r="D40" s="9" t="s">
        <v>41</v>
      </c>
      <c r="E40" s="33" t="n">
        <f aca="false">IF(D40="totale",(C40/(A40*24))/F40,IF(D40="marché libre",(C40/(A40*24))/G40,"spécifier histo"))</f>
        <v>0.512043010752688</v>
      </c>
      <c r="F40" s="59" t="n">
        <f aca="false">1770-520</f>
        <v>1250</v>
      </c>
      <c r="G40" s="59" t="n">
        <f aca="false">F40-H40</f>
        <v>1250</v>
      </c>
      <c r="H40" s="58" t="n">
        <v>0</v>
      </c>
      <c r="I40" s="9"/>
      <c r="J40" s="0"/>
      <c r="K40" s="0"/>
      <c r="L40" s="0"/>
      <c r="M40" s="0"/>
      <c r="N40" s="0"/>
      <c r="O40" s="0"/>
      <c r="P40" s="0"/>
      <c r="Q40" s="0"/>
      <c r="R40" s="0"/>
      <c r="S40" s="0"/>
      <c r="T40" s="0"/>
    </row>
    <row r="41" customFormat="false" ht="21.95" hidden="false" customHeight="true" outlineLevel="0" collapsed="false">
      <c r="A41" s="0" t="n">
        <v>31</v>
      </c>
      <c r="B41" s="34" t="n">
        <v>32356</v>
      </c>
      <c r="C41" s="9" t="n">
        <v>285800</v>
      </c>
      <c r="D41" s="9" t="s">
        <v>41</v>
      </c>
      <c r="E41" s="33" t="n">
        <f aca="false">IF(D41="totale",(C41/(A41*24))/F41,IF(D41="marché libre",(C41/(A41*24))/G41,"spécifier histo"))</f>
        <v>0.307311827956989</v>
      </c>
      <c r="F41" s="59" t="n">
        <f aca="false">1770-520</f>
        <v>1250</v>
      </c>
      <c r="G41" s="59" t="n">
        <f aca="false">F41-H41</f>
        <v>1250</v>
      </c>
      <c r="H41" s="58" t="n">
        <v>0</v>
      </c>
      <c r="I41" s="9"/>
      <c r="J41" s="0"/>
      <c r="K41" s="0"/>
      <c r="L41" s="0"/>
      <c r="M41" s="0"/>
      <c r="N41" s="0"/>
      <c r="O41" s="0"/>
      <c r="P41" s="0"/>
      <c r="Q41" s="0"/>
      <c r="R41" s="0"/>
      <c r="S41" s="0"/>
      <c r="T41" s="0"/>
    </row>
    <row r="42" customFormat="false" ht="21.95" hidden="false" customHeight="true" outlineLevel="0" collapsed="false">
      <c r="A42" s="0" t="n">
        <v>30</v>
      </c>
      <c r="B42" s="31" t="n">
        <v>32387</v>
      </c>
      <c r="C42" s="9" t="n">
        <v>349000</v>
      </c>
      <c r="D42" s="9" t="s">
        <v>41</v>
      </c>
      <c r="E42" s="33" t="n">
        <f aca="false">IF(D42="totale",(C42/(A42*24))/F42,IF(D42="marché libre",(C42/(A42*24))/G42,"spécifier histo"))</f>
        <v>0.387777777777778</v>
      </c>
      <c r="F42" s="59" t="n">
        <f aca="false">1770-520</f>
        <v>1250</v>
      </c>
      <c r="G42" s="59" t="n">
        <f aca="false">F42-H42</f>
        <v>1250</v>
      </c>
      <c r="H42" s="58" t="n">
        <v>0</v>
      </c>
      <c r="I42" s="9"/>
      <c r="J42" s="0"/>
      <c r="K42" s="0"/>
      <c r="L42" s="0"/>
      <c r="M42" s="0"/>
      <c r="N42" s="0"/>
      <c r="O42" s="0"/>
      <c r="P42" s="0"/>
      <c r="Q42" s="0"/>
      <c r="R42" s="0"/>
      <c r="S42" s="0"/>
      <c r="T42" s="0"/>
    </row>
    <row r="43" customFormat="false" ht="21.95" hidden="false" customHeight="true" outlineLevel="0" collapsed="false">
      <c r="A43" s="0" t="n">
        <v>31</v>
      </c>
      <c r="B43" s="34" t="n">
        <v>32417</v>
      </c>
      <c r="C43" s="9" t="n">
        <v>374800</v>
      </c>
      <c r="D43" s="9" t="s">
        <v>41</v>
      </c>
      <c r="E43" s="33" t="n">
        <f aca="false">IF(D43="totale",(C43/(A43*24))/F43,IF(D43="marché libre",(C43/(A43*24))/G43,"spécifier histo"))</f>
        <v>0.403010752688172</v>
      </c>
      <c r="F43" s="59" t="n">
        <f aca="false">1770-520</f>
        <v>1250</v>
      </c>
      <c r="G43" s="59" t="n">
        <f aca="false">F43-H43</f>
        <v>1250</v>
      </c>
      <c r="H43" s="58" t="n">
        <v>0</v>
      </c>
      <c r="I43" s="9"/>
      <c r="J43" s="0"/>
      <c r="K43" s="0"/>
      <c r="L43" s="0"/>
      <c r="M43" s="0"/>
      <c r="N43" s="0"/>
      <c r="O43" s="0"/>
      <c r="P43" s="0"/>
      <c r="Q43" s="0"/>
      <c r="R43" s="0"/>
      <c r="S43" s="0"/>
      <c r="T43" s="0"/>
    </row>
    <row r="44" customFormat="false" ht="21.95" hidden="false" customHeight="true" outlineLevel="0" collapsed="false">
      <c r="A44" s="0" t="n">
        <v>30</v>
      </c>
      <c r="B44" s="31" t="n">
        <v>32448</v>
      </c>
      <c r="C44" s="9" t="n">
        <v>576600</v>
      </c>
      <c r="D44" s="9" t="s">
        <v>41</v>
      </c>
      <c r="E44" s="33" t="n">
        <f aca="false">IF(D44="totale",(C44/(A44*24))/F44,IF(D44="marché libre",(C44/(A44*24))/G44,"spécifier histo"))</f>
        <v>0.640666666666667</v>
      </c>
      <c r="F44" s="59" t="n">
        <f aca="false">1770-520</f>
        <v>1250</v>
      </c>
      <c r="G44" s="59" t="n">
        <f aca="false">F44-H44</f>
        <v>1250</v>
      </c>
      <c r="H44" s="58" t="n">
        <v>0</v>
      </c>
      <c r="I44" s="9"/>
      <c r="J44" s="0"/>
      <c r="K44" s="0"/>
      <c r="L44" s="0"/>
      <c r="M44" s="0"/>
      <c r="N44" s="0"/>
      <c r="O44" s="0"/>
      <c r="P44" s="0"/>
      <c r="Q44" s="0"/>
      <c r="R44" s="0"/>
      <c r="S44" s="0"/>
      <c r="T44" s="0"/>
    </row>
    <row r="45" customFormat="false" ht="21.95" hidden="false" customHeight="true" outlineLevel="0" collapsed="false">
      <c r="A45" s="0" t="n">
        <v>31</v>
      </c>
      <c r="B45" s="34" t="n">
        <v>32478</v>
      </c>
      <c r="C45" s="9" t="n">
        <v>447400</v>
      </c>
      <c r="D45" s="9" t="s">
        <v>41</v>
      </c>
      <c r="E45" s="33" t="n">
        <f aca="false">IF(D45="totale",(C45/(A45*24))/F45,IF(D45="marché libre",(C45/(A45*24))/G45,"spécifier histo"))</f>
        <v>0.481075268817204</v>
      </c>
      <c r="F45" s="59" t="n">
        <f aca="false">1770-520</f>
        <v>1250</v>
      </c>
      <c r="G45" s="59" t="n">
        <f aca="false">F45-H45</f>
        <v>1250</v>
      </c>
      <c r="H45" s="58" t="n">
        <v>0</v>
      </c>
      <c r="I45" s="9"/>
      <c r="J45" s="0"/>
      <c r="K45" s="0"/>
      <c r="L45" s="0"/>
      <c r="M45" s="0"/>
      <c r="N45" s="0"/>
      <c r="O45" s="0"/>
      <c r="P45" s="0"/>
      <c r="Q45" s="0"/>
      <c r="R45" s="0"/>
      <c r="S45" s="0"/>
      <c r="T45" s="0"/>
    </row>
    <row r="46" customFormat="false" ht="21.95" hidden="false" customHeight="true" outlineLevel="0" collapsed="false">
      <c r="A46" s="0" t="n">
        <v>31</v>
      </c>
      <c r="B46" s="31" t="n">
        <v>32509</v>
      </c>
      <c r="C46" s="9" t="n">
        <v>272600</v>
      </c>
      <c r="D46" s="9" t="s">
        <v>41</v>
      </c>
      <c r="E46" s="33" t="n">
        <f aca="false">IF(D46="totale",(C46/(A46*24))/F46,IF(D46="marché libre",(C46/(A46*24))/G46,"spécifier histo"))</f>
        <v>0.293118279569892</v>
      </c>
      <c r="F46" s="59" t="n">
        <f aca="false">1770-520</f>
        <v>1250</v>
      </c>
      <c r="G46" s="59" t="n">
        <f aca="false">F46-H46</f>
        <v>1250</v>
      </c>
      <c r="H46" s="58" t="n">
        <v>0</v>
      </c>
      <c r="I46" s="9"/>
      <c r="J46" s="0"/>
      <c r="K46" s="0"/>
      <c r="L46" s="0"/>
      <c r="M46" s="0"/>
      <c r="N46" s="0"/>
      <c r="O46" s="0"/>
      <c r="P46" s="0"/>
      <c r="Q46" s="0"/>
      <c r="R46" s="0"/>
      <c r="S46" s="0"/>
      <c r="T46" s="0"/>
    </row>
    <row r="47" customFormat="false" ht="21.95" hidden="false" customHeight="true" outlineLevel="0" collapsed="false">
      <c r="A47" s="0" t="n">
        <v>28</v>
      </c>
      <c r="B47" s="34" t="n">
        <v>32540</v>
      </c>
      <c r="C47" s="9" t="n">
        <v>234800</v>
      </c>
      <c r="D47" s="9" t="s">
        <v>41</v>
      </c>
      <c r="E47" s="33" t="n">
        <f aca="false">IF(D47="totale",(C47/(A47*24))/F47,IF(D47="marché libre",(C47/(A47*24))/G47,"spécifier histo"))</f>
        <v>0.27952380952381</v>
      </c>
      <c r="F47" s="59" t="n">
        <f aca="false">1770-520</f>
        <v>1250</v>
      </c>
      <c r="G47" s="59" t="n">
        <f aca="false">F47-H47</f>
        <v>1250</v>
      </c>
      <c r="H47" s="58" t="n">
        <v>0</v>
      </c>
      <c r="I47" s="9"/>
      <c r="J47" s="0"/>
      <c r="K47" s="0"/>
      <c r="L47" s="0"/>
      <c r="M47" s="0"/>
      <c r="N47" s="0"/>
      <c r="O47" s="0"/>
      <c r="P47" s="0"/>
      <c r="Q47" s="0"/>
      <c r="R47" s="0"/>
      <c r="S47" s="0"/>
      <c r="T47" s="0"/>
    </row>
    <row r="48" customFormat="false" ht="21.95" hidden="false" customHeight="true" outlineLevel="0" collapsed="false">
      <c r="A48" s="0" t="n">
        <v>31</v>
      </c>
      <c r="B48" s="31" t="n">
        <v>32568</v>
      </c>
      <c r="C48" s="9" t="n">
        <v>750200</v>
      </c>
      <c r="D48" s="9" t="s">
        <v>41</v>
      </c>
      <c r="E48" s="33" t="n">
        <f aca="false">IF(D48="totale",(C48/(A48*24))/F48,IF(D48="marché libre",(C48/(A48*24))/G48,"spécifier histo"))</f>
        <v>0.806666666666667</v>
      </c>
      <c r="F48" s="59" t="n">
        <f aca="false">1770-520</f>
        <v>1250</v>
      </c>
      <c r="G48" s="59" t="n">
        <f aca="false">F48-H48</f>
        <v>1250</v>
      </c>
      <c r="H48" s="58" t="n">
        <v>0</v>
      </c>
      <c r="I48" s="9"/>
      <c r="J48" s="0"/>
      <c r="K48" s="0"/>
      <c r="L48" s="0"/>
      <c r="M48" s="0"/>
      <c r="N48" s="0"/>
      <c r="O48" s="0"/>
      <c r="P48" s="0"/>
      <c r="Q48" s="0"/>
      <c r="R48" s="0"/>
      <c r="S48" s="0"/>
      <c r="T48" s="0"/>
    </row>
    <row r="49" customFormat="false" ht="21.95" hidden="false" customHeight="true" outlineLevel="0" collapsed="false">
      <c r="A49" s="0" t="n">
        <v>30</v>
      </c>
      <c r="B49" s="34" t="n">
        <v>32599</v>
      </c>
      <c r="C49" s="9" t="n">
        <v>651000</v>
      </c>
      <c r="D49" s="9" t="s">
        <v>41</v>
      </c>
      <c r="E49" s="33" t="n">
        <f aca="false">IF(D49="totale",(C49/(A49*24))/F49,IF(D49="marché libre",(C49/(A49*24))/G49,"spécifier histo"))</f>
        <v>0.723333333333333</v>
      </c>
      <c r="F49" s="59" t="n">
        <f aca="false">1770-520</f>
        <v>1250</v>
      </c>
      <c r="G49" s="59" t="n">
        <f aca="false">F49-H49</f>
        <v>1250</v>
      </c>
      <c r="H49" s="58" t="n">
        <v>0</v>
      </c>
      <c r="I49" s="9"/>
      <c r="J49" s="0"/>
      <c r="K49" s="0"/>
      <c r="L49" s="0"/>
      <c r="M49" s="0"/>
      <c r="N49" s="0"/>
      <c r="O49" s="0"/>
      <c r="P49" s="0"/>
      <c r="Q49" s="0"/>
      <c r="R49" s="0"/>
      <c r="S49" s="0"/>
      <c r="T49" s="0"/>
    </row>
    <row r="50" customFormat="false" ht="21.95" hidden="false" customHeight="true" outlineLevel="0" collapsed="false">
      <c r="A50" s="0" t="n">
        <v>31</v>
      </c>
      <c r="B50" s="31" t="n">
        <v>32629</v>
      </c>
      <c r="C50" s="9" t="n">
        <v>780000</v>
      </c>
      <c r="D50" s="9" t="s">
        <v>41</v>
      </c>
      <c r="E50" s="33" t="n">
        <f aca="false">IF(D50="totale",(C50/(A50*24))/F50,IF(D50="marché libre",(C50/(A50*24))/G50,"spécifier histo"))</f>
        <v>0.838709677419355</v>
      </c>
      <c r="F50" s="59" t="n">
        <f aca="false">1770-520</f>
        <v>1250</v>
      </c>
      <c r="G50" s="59" t="n">
        <f aca="false">F50-H50</f>
        <v>1250</v>
      </c>
      <c r="H50" s="58" t="n">
        <v>0</v>
      </c>
      <c r="I50" s="9"/>
      <c r="J50" s="0"/>
      <c r="K50" s="0"/>
      <c r="L50" s="0"/>
      <c r="M50" s="0"/>
      <c r="N50" s="0"/>
      <c r="O50" s="0"/>
      <c r="P50" s="0"/>
      <c r="Q50" s="0"/>
      <c r="R50" s="0"/>
      <c r="S50" s="0"/>
      <c r="T50" s="0"/>
    </row>
    <row r="51" customFormat="false" ht="21.95" hidden="false" customHeight="true" outlineLevel="0" collapsed="false">
      <c r="A51" s="0" t="n">
        <v>30</v>
      </c>
      <c r="B51" s="34" t="n">
        <v>32660</v>
      </c>
      <c r="C51" s="9" t="n">
        <v>314200</v>
      </c>
      <c r="D51" s="9" t="s">
        <v>41</v>
      </c>
      <c r="E51" s="33" t="n">
        <f aca="false">IF(D51="totale",(C51/(A51*24))/F51,IF(D51="marché libre",(C51/(A51*24))/G51,"spécifier histo"))</f>
        <v>0.349111111111111</v>
      </c>
      <c r="F51" s="59" t="n">
        <f aca="false">1770-520</f>
        <v>1250</v>
      </c>
      <c r="G51" s="59" t="n">
        <f aca="false">F51-H51</f>
        <v>1250</v>
      </c>
      <c r="H51" s="58" t="n">
        <v>0</v>
      </c>
      <c r="I51" s="9"/>
      <c r="J51" s="0"/>
      <c r="K51" s="0"/>
      <c r="L51" s="0"/>
      <c r="M51" s="0"/>
      <c r="N51" s="0"/>
      <c r="O51" s="0"/>
      <c r="P51" s="0"/>
      <c r="Q51" s="0"/>
      <c r="R51" s="0"/>
      <c r="S51" s="0"/>
      <c r="T51" s="0"/>
    </row>
    <row r="52" customFormat="false" ht="21.95" hidden="false" customHeight="true" outlineLevel="0" collapsed="false">
      <c r="A52" s="0" t="n">
        <v>31</v>
      </c>
      <c r="B52" s="31" t="n">
        <v>32690</v>
      </c>
      <c r="C52" s="9" t="n">
        <v>155200</v>
      </c>
      <c r="D52" s="9" t="s">
        <v>41</v>
      </c>
      <c r="E52" s="33" t="n">
        <f aca="false">IF(D52="totale",(C52/(A52*24))/F52,IF(D52="marché libre",(C52/(A52*24))/G52,"spécifier histo"))</f>
        <v>0.166881720430108</v>
      </c>
      <c r="F52" s="59" t="n">
        <f aca="false">1770-520</f>
        <v>1250</v>
      </c>
      <c r="G52" s="59" t="n">
        <f aca="false">F52-H52</f>
        <v>1250</v>
      </c>
      <c r="H52" s="58" t="n">
        <v>0</v>
      </c>
      <c r="I52" s="9"/>
      <c r="J52" s="0"/>
      <c r="K52" s="0"/>
      <c r="L52" s="0"/>
      <c r="M52" s="0"/>
      <c r="N52" s="0"/>
      <c r="O52" s="0"/>
      <c r="P52" s="0"/>
      <c r="Q52" s="0"/>
      <c r="R52" s="0"/>
      <c r="S52" s="0"/>
      <c r="T52" s="0"/>
    </row>
    <row r="53" customFormat="false" ht="21.95" hidden="false" customHeight="true" outlineLevel="0" collapsed="false">
      <c r="A53" s="0" t="n">
        <v>31</v>
      </c>
      <c r="B53" s="34" t="n">
        <v>32721</v>
      </c>
      <c r="C53" s="9" t="n">
        <v>0</v>
      </c>
      <c r="D53" s="9" t="s">
        <v>41</v>
      </c>
      <c r="E53" s="33" t="e">
        <f aca="false">IF(D53="totale",(C53/(A53*24))/F53,IF(D53="marché libre",(C53/(A53*24))/G53,"spécifier histo"))</f>
        <v>#DIV/0!</v>
      </c>
      <c r="F53" s="59" t="n">
        <v>0</v>
      </c>
      <c r="G53" s="59" t="n">
        <v>0</v>
      </c>
      <c r="H53" s="58" t="n">
        <v>0</v>
      </c>
      <c r="I53" s="9" t="s">
        <v>1077</v>
      </c>
      <c r="J53" s="0"/>
      <c r="K53" s="0"/>
      <c r="L53" s="0"/>
      <c r="M53" s="0"/>
      <c r="N53" s="0"/>
      <c r="O53" s="0"/>
      <c r="P53" s="0"/>
      <c r="Q53" s="0"/>
      <c r="R53" s="0"/>
      <c r="S53" s="0"/>
      <c r="T53" s="0"/>
    </row>
    <row r="54" customFormat="false" ht="21.95" hidden="false" customHeight="true" outlineLevel="0" collapsed="false">
      <c r="A54" s="0" t="n">
        <v>30</v>
      </c>
      <c r="B54" s="31" t="n">
        <v>32752</v>
      </c>
      <c r="C54" s="9" t="n">
        <v>0</v>
      </c>
      <c r="D54" s="9" t="s">
        <v>41</v>
      </c>
      <c r="E54" s="33" t="e">
        <f aca="false">IF(D54="totale",(C54/(A54*24))/F54,IF(D54="marché libre",(C54/(A54*24))/G54,"spécifier histo"))</f>
        <v>#DIV/0!</v>
      </c>
      <c r="F54" s="239" t="n">
        <v>0</v>
      </c>
      <c r="G54" s="239" t="n">
        <v>0</v>
      </c>
      <c r="H54" s="371" t="n">
        <v>0</v>
      </c>
      <c r="I54" s="558" t="s">
        <v>1077</v>
      </c>
      <c r="J54" s="0"/>
      <c r="K54" s="0"/>
      <c r="L54" s="0"/>
      <c r="M54" s="0"/>
      <c r="N54" s="0"/>
      <c r="O54" s="0"/>
      <c r="P54" s="0"/>
      <c r="Q54" s="0"/>
      <c r="R54" s="0"/>
      <c r="S54" s="0"/>
      <c r="T54" s="0"/>
    </row>
    <row r="55" customFormat="false" ht="21.95" hidden="false" customHeight="true" outlineLevel="0" collapsed="false">
      <c r="A55" s="0" t="n">
        <v>31</v>
      </c>
      <c r="B55" s="34" t="n">
        <v>32782</v>
      </c>
      <c r="C55" s="9" t="n">
        <v>0</v>
      </c>
      <c r="D55" s="9" t="s">
        <v>41</v>
      </c>
      <c r="E55" s="33" t="e">
        <f aca="false">IF(D55="totale",(C55/(A55*24))/F55,IF(D55="marché libre",(C55/(A55*24))/G55,"spécifier histo"))</f>
        <v>#DIV/0!</v>
      </c>
      <c r="F55" s="59" t="n">
        <v>0</v>
      </c>
      <c r="G55" s="59" t="n">
        <v>0</v>
      </c>
      <c r="H55" s="58" t="n">
        <v>0</v>
      </c>
      <c r="I55" s="9" t="s">
        <v>1077</v>
      </c>
      <c r="J55" s="559" t="s">
        <v>1078</v>
      </c>
      <c r="K55" s="200"/>
      <c r="L55" s="200"/>
      <c r="M55" s="0"/>
      <c r="N55" s="0"/>
      <c r="O55" s="0"/>
      <c r="P55" s="0"/>
      <c r="Q55" s="0"/>
      <c r="R55" s="0"/>
      <c r="S55" s="0"/>
      <c r="T55" s="0"/>
    </row>
    <row r="56" customFormat="false" ht="21.95" hidden="false" customHeight="true" outlineLevel="0" collapsed="false">
      <c r="A56" s="0" t="n">
        <v>30</v>
      </c>
      <c r="B56" s="31" t="n">
        <v>32813</v>
      </c>
      <c r="C56" s="9" t="n">
        <v>427400</v>
      </c>
      <c r="D56" s="9" t="s">
        <v>41</v>
      </c>
      <c r="E56" s="33" t="n">
        <f aca="false">IF(D56="totale",(C56/(A56*24))/F56,IF(D56="marché libre",(C56/(A56*24))/G56,"spécifier histo"))</f>
        <v>0.335373509102323</v>
      </c>
      <c r="F56" s="59" t="n">
        <v>1770</v>
      </c>
      <c r="G56" s="59" t="n">
        <f aca="false">F56-H56</f>
        <v>1770</v>
      </c>
      <c r="H56" s="58" t="n">
        <v>0</v>
      </c>
      <c r="I56" s="9"/>
      <c r="J56" s="0"/>
      <c r="K56" s="0"/>
      <c r="L56" s="0"/>
      <c r="M56" s="0"/>
      <c r="N56" s="0"/>
      <c r="O56" s="0"/>
      <c r="P56" s="0"/>
      <c r="Q56" s="0"/>
      <c r="R56" s="0"/>
      <c r="S56" s="0"/>
      <c r="T56" s="0"/>
    </row>
    <row r="57" customFormat="false" ht="21.95" hidden="false" customHeight="true" outlineLevel="0" collapsed="false">
      <c r="A57" s="0" t="n">
        <v>31</v>
      </c>
      <c r="B57" s="34" t="n">
        <v>32843</v>
      </c>
      <c r="C57" s="9" t="n">
        <v>366800</v>
      </c>
      <c r="D57" s="9" t="s">
        <v>41</v>
      </c>
      <c r="E57" s="33" t="n">
        <f aca="false">IF(D57="totale",(C57/(A57*24))/F57,IF(D57="marché libre",(C57/(A57*24))/G57,"spécifier histo"))</f>
        <v>0.278537148411397</v>
      </c>
      <c r="F57" s="59" t="n">
        <v>1770</v>
      </c>
      <c r="G57" s="59" t="n">
        <f aca="false">F57-H57</f>
        <v>1770</v>
      </c>
      <c r="H57" s="58" t="n">
        <v>0</v>
      </c>
      <c r="I57" s="9"/>
      <c r="J57" s="0"/>
      <c r="K57" s="0"/>
      <c r="L57" s="0"/>
      <c r="M57" s="0"/>
      <c r="N57" s="0"/>
      <c r="O57" s="0"/>
      <c r="P57" s="0"/>
      <c r="Q57" s="0"/>
      <c r="R57" s="0"/>
      <c r="S57" s="0"/>
      <c r="T57" s="0"/>
    </row>
    <row r="58" customFormat="false" ht="21.95" hidden="false" customHeight="true" outlineLevel="0" collapsed="false">
      <c r="A58" s="0" t="n">
        <v>31</v>
      </c>
      <c r="B58" s="31" t="n">
        <v>32874</v>
      </c>
      <c r="C58" s="9" t="n">
        <v>361600</v>
      </c>
      <c r="D58" s="9" t="s">
        <v>41</v>
      </c>
      <c r="E58" s="33" t="n">
        <f aca="false">IF(D58="totale",(C58/(A58*24))/F58,IF(D58="marché libre",(C58/(A58*24))/G58,"spécifier histo"))</f>
        <v>0.274588421116579</v>
      </c>
      <c r="F58" s="59" t="n">
        <v>1770</v>
      </c>
      <c r="G58" s="59" t="n">
        <f aca="false">F58-H58</f>
        <v>1770</v>
      </c>
      <c r="H58" s="58" t="n">
        <v>0</v>
      </c>
      <c r="I58" s="9"/>
      <c r="J58" s="0"/>
      <c r="K58" s="0"/>
      <c r="L58" s="0"/>
      <c r="M58" s="0"/>
      <c r="N58" s="0"/>
      <c r="O58" s="0"/>
      <c r="P58" s="0"/>
      <c r="Q58" s="0"/>
      <c r="R58" s="0"/>
      <c r="S58" s="0"/>
      <c r="T58" s="0"/>
    </row>
    <row r="59" customFormat="false" ht="21.95" hidden="false" customHeight="true" outlineLevel="0" collapsed="false">
      <c r="A59" s="0" t="n">
        <v>28</v>
      </c>
      <c r="B59" s="34" t="n">
        <v>32905</v>
      </c>
      <c r="C59" s="9" t="n">
        <v>819600</v>
      </c>
      <c r="D59" s="9" t="s">
        <v>41</v>
      </c>
      <c r="E59" s="33" t="n">
        <f aca="false">IF(D59="totale",(C59/(A59*24))/F59,IF(D59="marché libre",(C59/(A59*24))/G59,"spécifier histo"))</f>
        <v>0.689063761097659</v>
      </c>
      <c r="F59" s="59" t="n">
        <v>1770</v>
      </c>
      <c r="G59" s="59" t="n">
        <f aca="false">F59-H59</f>
        <v>1770</v>
      </c>
      <c r="H59" s="58" t="n">
        <v>0</v>
      </c>
      <c r="I59" s="9"/>
      <c r="J59" s="0"/>
      <c r="K59" s="0"/>
      <c r="L59" s="0"/>
      <c r="M59" s="0"/>
      <c r="N59" s="0"/>
      <c r="O59" s="0"/>
      <c r="P59" s="0"/>
      <c r="Q59" s="0"/>
      <c r="R59" s="0"/>
      <c r="S59" s="0"/>
      <c r="T59" s="0"/>
    </row>
    <row r="60" customFormat="false" ht="21.95" hidden="false" customHeight="true" outlineLevel="0" collapsed="false">
      <c r="A60" s="0" t="n">
        <v>31</v>
      </c>
      <c r="B60" s="31" t="n">
        <v>32933</v>
      </c>
      <c r="C60" s="9" t="n">
        <v>683400</v>
      </c>
      <c r="D60" s="9" t="s">
        <v>41</v>
      </c>
      <c r="E60" s="33" t="n">
        <f aca="false">IF(D60="totale",(C60/(A60*24))/F60,IF(D60="marché libre",(C60/(A60*24))/G60,"spécifier histo"))</f>
        <v>0.518953891015127</v>
      </c>
      <c r="F60" s="59" t="n">
        <v>1770</v>
      </c>
      <c r="G60" s="59" t="n">
        <f aca="false">F60-H60</f>
        <v>1770</v>
      </c>
      <c r="H60" s="58" t="n">
        <v>0</v>
      </c>
      <c r="I60" s="9"/>
      <c r="J60" s="0"/>
      <c r="K60" s="0"/>
      <c r="L60" s="0"/>
      <c r="M60" s="0"/>
      <c r="N60" s="0"/>
      <c r="O60" s="0"/>
      <c r="P60" s="0"/>
      <c r="Q60" s="0"/>
      <c r="R60" s="0"/>
      <c r="S60" s="0"/>
      <c r="T60" s="0"/>
    </row>
    <row r="61" customFormat="false" ht="21.95" hidden="false" customHeight="true" outlineLevel="0" collapsed="false">
      <c r="A61" s="0" t="n">
        <v>30</v>
      </c>
      <c r="B61" s="34" t="n">
        <v>32964</v>
      </c>
      <c r="C61" s="9" t="n">
        <v>469200</v>
      </c>
      <c r="D61" s="9" t="s">
        <v>41</v>
      </c>
      <c r="E61" s="33" t="n">
        <f aca="false">IF(D61="totale",(C61/(A61*24))/F61,IF(D61="marché libre",(C61/(A61*24))/G61,"spécifier histo"))</f>
        <v>0.368173258003766</v>
      </c>
      <c r="F61" s="59" t="n">
        <v>1770</v>
      </c>
      <c r="G61" s="59" t="n">
        <f aca="false">F61-H61</f>
        <v>1770</v>
      </c>
      <c r="H61" s="58" t="n">
        <v>0</v>
      </c>
      <c r="I61" s="9"/>
      <c r="J61" s="0"/>
      <c r="K61" s="0"/>
      <c r="L61" s="0"/>
      <c r="M61" s="0"/>
      <c r="N61" s="0"/>
      <c r="O61" s="0"/>
      <c r="P61" s="0"/>
      <c r="Q61" s="0"/>
      <c r="R61" s="0"/>
      <c r="S61" s="0"/>
      <c r="T61" s="0"/>
    </row>
    <row r="62" customFormat="false" ht="21.95" hidden="false" customHeight="true" outlineLevel="0" collapsed="false">
      <c r="A62" s="0" t="n">
        <v>31</v>
      </c>
      <c r="B62" s="31" t="n">
        <v>32994</v>
      </c>
      <c r="C62" s="9" t="n">
        <v>622200</v>
      </c>
      <c r="D62" s="9" t="s">
        <v>41</v>
      </c>
      <c r="E62" s="33" t="n">
        <f aca="false">IF(D62="totale",(C62/(A62*24))/F62,IF(D62="marché libre",(C62/(A62*24))/G62,"spécifier histo"))</f>
        <v>0.472480408237653</v>
      </c>
      <c r="F62" s="59" t="n">
        <v>1770</v>
      </c>
      <c r="G62" s="59" t="n">
        <f aca="false">F62-H62</f>
        <v>1770</v>
      </c>
      <c r="H62" s="58" t="n">
        <v>0</v>
      </c>
      <c r="I62" s="9"/>
      <c r="J62" s="0"/>
      <c r="K62" s="0"/>
      <c r="L62" s="0"/>
      <c r="M62" s="0"/>
      <c r="N62" s="0"/>
      <c r="O62" s="0"/>
      <c r="P62" s="0"/>
      <c r="Q62" s="0"/>
      <c r="R62" s="0"/>
      <c r="S62" s="0"/>
      <c r="T62" s="0"/>
    </row>
    <row r="63" customFormat="false" ht="21.95" hidden="false" customHeight="true" outlineLevel="0" collapsed="false">
      <c r="A63" s="0" t="n">
        <v>30</v>
      </c>
      <c r="B63" s="34" t="n">
        <v>33025</v>
      </c>
      <c r="C63" s="9" t="n">
        <v>545400</v>
      </c>
      <c r="D63" s="9" t="s">
        <v>41</v>
      </c>
      <c r="E63" s="33" t="n">
        <f aca="false">IF(D63="totale",(C63/(A63*24))/F63,IF(D63="marché libre",(C63/(A63*24))/G63,"spécifier histo"))</f>
        <v>0.427966101694915</v>
      </c>
      <c r="F63" s="59" t="n">
        <v>1770</v>
      </c>
      <c r="G63" s="59" t="n">
        <f aca="false">F63-H63</f>
        <v>1770</v>
      </c>
      <c r="H63" s="58" t="n">
        <v>0</v>
      </c>
      <c r="I63" s="9"/>
      <c r="J63" s="0"/>
      <c r="K63" s="0"/>
      <c r="L63" s="0"/>
      <c r="M63" s="0"/>
      <c r="N63" s="0"/>
      <c r="O63" s="0"/>
      <c r="P63" s="0"/>
      <c r="Q63" s="0"/>
      <c r="R63" s="0"/>
      <c r="S63" s="0"/>
      <c r="T63" s="0"/>
    </row>
    <row r="64" customFormat="false" ht="21.95" hidden="false" customHeight="true" outlineLevel="0" collapsed="false">
      <c r="A64" s="0" t="n">
        <v>31</v>
      </c>
      <c r="B64" s="31" t="n">
        <v>33055</v>
      </c>
      <c r="C64" s="9" t="n">
        <v>325800</v>
      </c>
      <c r="D64" s="9" t="s">
        <v>41</v>
      </c>
      <c r="E64" s="33" t="n">
        <f aca="false">IF(D64="totale",(C64/(A64*24))/F64,IF(D64="marché libre",(C64/(A64*24))/G64,"spécifier histo"))</f>
        <v>0.247402952433023</v>
      </c>
      <c r="F64" s="59" t="n">
        <v>1770</v>
      </c>
      <c r="G64" s="59" t="n">
        <f aca="false">F64-H64</f>
        <v>1770</v>
      </c>
      <c r="H64" s="58" t="n">
        <v>0</v>
      </c>
      <c r="I64" s="9"/>
      <c r="J64" s="0"/>
      <c r="K64" s="0"/>
      <c r="L64" s="0"/>
      <c r="M64" s="0"/>
      <c r="N64" s="0"/>
      <c r="O64" s="0"/>
      <c r="P64" s="0"/>
      <c r="Q64" s="0"/>
      <c r="R64" s="0"/>
      <c r="S64" s="0"/>
      <c r="T64" s="0"/>
    </row>
    <row r="65" customFormat="false" ht="21.95" hidden="false" customHeight="true" outlineLevel="0" collapsed="false">
      <c r="A65" s="0" t="n">
        <v>31</v>
      </c>
      <c r="B65" s="34" t="n">
        <v>33086</v>
      </c>
      <c r="C65" s="9" t="n">
        <v>229600</v>
      </c>
      <c r="D65" s="9" t="s">
        <v>41</v>
      </c>
      <c r="E65" s="33" t="n">
        <f aca="false">IF(D65="totale",(C65/(A65*24))/F65,IF(D65="marché libre",(C65/(A65*24))/G65,"spécifier histo"))</f>
        <v>0.17435149747889</v>
      </c>
      <c r="F65" s="59" t="n">
        <v>1770</v>
      </c>
      <c r="G65" s="59" t="n">
        <f aca="false">F65-H65</f>
        <v>1770</v>
      </c>
      <c r="H65" s="58" t="n">
        <v>0</v>
      </c>
      <c r="I65" s="9"/>
      <c r="J65" s="0"/>
      <c r="K65" s="0"/>
      <c r="L65" s="0"/>
      <c r="M65" s="0"/>
      <c r="N65" s="0"/>
      <c r="O65" s="0"/>
      <c r="P65" s="0"/>
      <c r="Q65" s="0"/>
      <c r="R65" s="0"/>
      <c r="S65" s="0"/>
      <c r="T65" s="0"/>
    </row>
    <row r="66" customFormat="false" ht="21.95" hidden="false" customHeight="true" outlineLevel="0" collapsed="false">
      <c r="A66" s="0" t="n">
        <v>30</v>
      </c>
      <c r="B66" s="31" t="n">
        <v>33117</v>
      </c>
      <c r="C66" s="9" t="n">
        <v>187600</v>
      </c>
      <c r="D66" s="9" t="s">
        <v>41</v>
      </c>
      <c r="E66" s="33" t="n">
        <f aca="false">IF(D66="totale",(C66/(A66*24))/F66,IF(D66="marché libre",(C66/(A66*24))/G66,"spécifier histo"))</f>
        <v>0.147206528562461</v>
      </c>
      <c r="F66" s="59" t="n">
        <v>1770</v>
      </c>
      <c r="G66" s="59" t="n">
        <f aca="false">F66-H66</f>
        <v>1770</v>
      </c>
      <c r="H66" s="58" t="n">
        <v>0</v>
      </c>
      <c r="I66" s="9"/>
      <c r="J66" s="0"/>
      <c r="K66" s="0"/>
      <c r="L66" s="0"/>
      <c r="M66" s="0"/>
      <c r="N66" s="0"/>
      <c r="O66" s="0"/>
      <c r="P66" s="0"/>
      <c r="Q66" s="0"/>
      <c r="R66" s="0"/>
      <c r="S66" s="0"/>
      <c r="T66" s="0"/>
    </row>
    <row r="67" customFormat="false" ht="21.95" hidden="false" customHeight="true" outlineLevel="0" collapsed="false">
      <c r="A67" s="0" t="n">
        <v>31</v>
      </c>
      <c r="B67" s="34" t="n">
        <v>33147</v>
      </c>
      <c r="C67" s="9" t="n">
        <v>387000</v>
      </c>
      <c r="D67" s="9" t="s">
        <v>41</v>
      </c>
      <c r="E67" s="33" t="n">
        <f aca="false">IF(D67="totale",(C67/(A67*24))/F67,IF(D67="marché libre",(C67/(A67*24))/G67,"spécifier histo"))</f>
        <v>0.293876435210497</v>
      </c>
      <c r="F67" s="59" t="n">
        <v>1770</v>
      </c>
      <c r="G67" s="59" t="n">
        <f aca="false">F67-H67</f>
        <v>1770</v>
      </c>
      <c r="H67" s="58" t="n">
        <v>0</v>
      </c>
      <c r="I67" s="9"/>
      <c r="J67" s="30"/>
    </row>
    <row r="68" customFormat="false" ht="21.95" hidden="false" customHeight="true" outlineLevel="0" collapsed="false">
      <c r="A68" s="0" t="n">
        <v>30</v>
      </c>
      <c r="B68" s="31" t="n">
        <v>33178</v>
      </c>
      <c r="C68" s="9" t="n">
        <v>943800</v>
      </c>
      <c r="D68" s="9" t="s">
        <v>41</v>
      </c>
      <c r="E68" s="33" t="n">
        <f aca="false">IF(D68="totale",(C68/(A68*24))/F68,IF(D68="marché libre",(C68/(A68*24))/G68,"spécifier histo"))</f>
        <v>0.740583804143126</v>
      </c>
      <c r="F68" s="59" t="n">
        <v>1770</v>
      </c>
      <c r="G68" s="59" t="n">
        <f aca="false">F68-H68</f>
        <v>1770</v>
      </c>
      <c r="H68" s="58" t="n">
        <v>0</v>
      </c>
      <c r="I68" s="9"/>
      <c r="J68" s="30"/>
    </row>
    <row r="69" customFormat="false" ht="21.95" hidden="false" customHeight="true" outlineLevel="0" collapsed="false">
      <c r="A69" s="0" t="n">
        <v>31</v>
      </c>
      <c r="B69" s="34" t="n">
        <v>33208</v>
      </c>
      <c r="C69" s="9" t="n">
        <v>775800</v>
      </c>
      <c r="D69" s="9" t="s">
        <v>41</v>
      </c>
      <c r="E69" s="33" t="n">
        <f aca="false">IF(D69="totale",(C69/(A69*24))/F69,IF(D69="marché libre",(C69/(A69*24))/G69,"spécifier histo"))</f>
        <v>0.589119737561509</v>
      </c>
      <c r="F69" s="59" t="n">
        <v>1770</v>
      </c>
      <c r="G69" s="59" t="n">
        <f aca="false">F69-H69</f>
        <v>1770</v>
      </c>
      <c r="H69" s="58" t="n">
        <v>0</v>
      </c>
      <c r="I69" s="9"/>
      <c r="J69" s="30"/>
    </row>
    <row r="70" customFormat="false" ht="21.95" hidden="false" customHeight="true" outlineLevel="0" collapsed="false">
      <c r="A70" s="0" t="n">
        <v>31</v>
      </c>
      <c r="B70" s="31" t="n">
        <v>33239</v>
      </c>
      <c r="C70" s="9" t="n">
        <v>834800</v>
      </c>
      <c r="D70" s="9" t="s">
        <v>41</v>
      </c>
      <c r="E70" s="33" t="n">
        <f aca="false">IF(D70="totale",(C70/(A70*24))/F70,IF(D70="marché libre",(C70/(A70*24))/G70,"spécifier histo"))</f>
        <v>0.633922604945021</v>
      </c>
      <c r="F70" s="59" t="n">
        <v>1770</v>
      </c>
      <c r="G70" s="59" t="n">
        <f aca="false">F70-H70</f>
        <v>1770</v>
      </c>
      <c r="H70" s="58" t="n">
        <v>0</v>
      </c>
      <c r="I70" s="9"/>
      <c r="J70" s="30"/>
    </row>
    <row r="71" customFormat="false" ht="21.95" hidden="false" customHeight="true" outlineLevel="0" collapsed="false">
      <c r="A71" s="0" t="n">
        <v>28</v>
      </c>
      <c r="B71" s="34" t="n">
        <v>33270</v>
      </c>
      <c r="C71" s="9" t="n">
        <v>801400</v>
      </c>
      <c r="D71" s="9" t="s">
        <v>41</v>
      </c>
      <c r="E71" s="33" t="n">
        <f aca="false">IF(D71="totale",(C71/(A71*24))/F71,IF(D71="marché libre",(C71/(A71*24))/G71,"spécifier histo"))</f>
        <v>0.673762442830239</v>
      </c>
      <c r="F71" s="59" t="n">
        <v>1770</v>
      </c>
      <c r="G71" s="59" t="n">
        <f aca="false">F71-H71</f>
        <v>1770</v>
      </c>
      <c r="H71" s="58" t="n">
        <v>0</v>
      </c>
      <c r="I71" s="9"/>
      <c r="J71" s="30"/>
    </row>
    <row r="72" customFormat="false" ht="21.95" hidden="false" customHeight="true" outlineLevel="0" collapsed="false">
      <c r="A72" s="0" t="n">
        <v>31</v>
      </c>
      <c r="B72" s="31" t="n">
        <v>33298</v>
      </c>
      <c r="C72" s="9" t="n">
        <v>1171800</v>
      </c>
      <c r="D72" s="9" t="s">
        <v>41</v>
      </c>
      <c r="E72" s="33" t="n">
        <f aca="false">IF(D72="totale",(C72/(A72*24))/F72,IF(D72="marché libre",(C72/(A72*24))/G72,"spécifier histo"))</f>
        <v>0.889830508474576</v>
      </c>
      <c r="F72" s="59" t="n">
        <v>1770</v>
      </c>
      <c r="G72" s="59" t="n">
        <f aca="false">F72-H72</f>
        <v>1770</v>
      </c>
      <c r="H72" s="58" t="n">
        <v>0</v>
      </c>
      <c r="I72" s="9"/>
      <c r="J72" s="30"/>
    </row>
    <row r="73" customFormat="false" ht="21.95" hidden="false" customHeight="true" outlineLevel="0" collapsed="false">
      <c r="A73" s="0" t="n">
        <v>30</v>
      </c>
      <c r="B73" s="34" t="n">
        <v>33329</v>
      </c>
      <c r="C73" s="9" t="n">
        <v>828800</v>
      </c>
      <c r="D73" s="9" t="s">
        <v>41</v>
      </c>
      <c r="E73" s="33" t="n">
        <f aca="false">IF(D73="totale",(C73/(A73*24))/F73,IF(D73="marché libre",(C73/(A73*24))/G73,"spécifier histo"))</f>
        <v>0.650345260514752</v>
      </c>
      <c r="F73" s="59" t="n">
        <v>1770</v>
      </c>
      <c r="G73" s="59" t="n">
        <f aca="false">F73-H73</f>
        <v>1770</v>
      </c>
      <c r="H73" s="58" t="n">
        <v>0</v>
      </c>
      <c r="I73" s="9"/>
      <c r="J73" s="30"/>
    </row>
    <row r="74" customFormat="false" ht="21.95" hidden="false" customHeight="true" outlineLevel="0" collapsed="false">
      <c r="A74" s="0" t="n">
        <v>31</v>
      </c>
      <c r="B74" s="31" t="n">
        <v>33359</v>
      </c>
      <c r="C74" s="9" t="n">
        <v>610000</v>
      </c>
      <c r="D74" s="9" t="s">
        <v>41</v>
      </c>
      <c r="E74" s="33" t="n">
        <f aca="false">IF(D74="totale",(C74/(A74*24))/F74,IF(D74="marché libre",(C74/(A74*24))/G74,"spécifier histo"))</f>
        <v>0.463216086507503</v>
      </c>
      <c r="F74" s="59" t="n">
        <v>1770</v>
      </c>
      <c r="G74" s="59" t="n">
        <f aca="false">F74-H74</f>
        <v>1770</v>
      </c>
      <c r="H74" s="58" t="n">
        <v>0</v>
      </c>
      <c r="I74" s="9"/>
      <c r="J74" s="30"/>
    </row>
    <row r="75" customFormat="false" ht="21.95" hidden="false" customHeight="true" outlineLevel="0" collapsed="false">
      <c r="A75" s="0" t="n">
        <v>30</v>
      </c>
      <c r="B75" s="34" t="n">
        <v>33390</v>
      </c>
      <c r="C75" s="9" t="n">
        <v>425200</v>
      </c>
      <c r="D75" s="9" t="s">
        <v>41</v>
      </c>
      <c r="E75" s="33" t="n">
        <f aca="false">IF(D75="totale",(C75/(A75*24))/F75,IF(D75="marché libre",(C75/(A75*24))/G75,"spécifier histo"))</f>
        <v>0.333647206528562</v>
      </c>
      <c r="F75" s="59" t="n">
        <v>1770</v>
      </c>
      <c r="G75" s="59" t="n">
        <f aca="false">F75-H75</f>
        <v>1770</v>
      </c>
      <c r="H75" s="58" t="n">
        <v>0</v>
      </c>
      <c r="I75" s="9"/>
      <c r="J75" s="30"/>
    </row>
    <row r="76" customFormat="false" ht="21.95" hidden="false" customHeight="true" outlineLevel="0" collapsed="false">
      <c r="A76" s="0" t="n">
        <v>31</v>
      </c>
      <c r="B76" s="31" t="n">
        <v>33420</v>
      </c>
      <c r="C76" s="9" t="n">
        <v>181800</v>
      </c>
      <c r="D76" s="9" t="s">
        <v>41</v>
      </c>
      <c r="E76" s="33" t="n">
        <f aca="false">IF(D76="totale",(C76/(A76*24))/F76,IF(D76="marché libre",(C76/(A76*24))/G76,"spécifier histo"))</f>
        <v>0.138053581191908</v>
      </c>
      <c r="F76" s="59" t="n">
        <v>1770</v>
      </c>
      <c r="G76" s="59" t="n">
        <f aca="false">F76-H76</f>
        <v>1770</v>
      </c>
      <c r="H76" s="58" t="n">
        <v>0</v>
      </c>
      <c r="I76" s="9"/>
      <c r="J76" s="30"/>
    </row>
    <row r="77" customFormat="false" ht="21.95" hidden="false" customHeight="true" outlineLevel="0" collapsed="false">
      <c r="A77" s="0" t="n">
        <v>31</v>
      </c>
      <c r="B77" s="34" t="n">
        <v>33451</v>
      </c>
      <c r="C77" s="9" t="n">
        <v>212200</v>
      </c>
      <c r="D77" s="9" t="s">
        <v>41</v>
      </c>
      <c r="E77" s="33" t="n">
        <f aca="false">IF(D77="totale",(C77/(A77*24))/F77,IF(D77="marché libre",(C77/(A77*24))/G77,"spécifier histo"))</f>
        <v>0.161138448453921</v>
      </c>
      <c r="F77" s="59" t="n">
        <v>1770</v>
      </c>
      <c r="G77" s="59" t="n">
        <f aca="false">F77-H77</f>
        <v>1770</v>
      </c>
      <c r="H77" s="58" t="n">
        <v>0</v>
      </c>
      <c r="I77" s="9"/>
      <c r="J77" s="30"/>
    </row>
    <row r="78" customFormat="false" ht="21.95" hidden="false" customHeight="true" outlineLevel="0" collapsed="false">
      <c r="A78" s="0" t="n">
        <v>30</v>
      </c>
      <c r="B78" s="31" t="n">
        <v>33482</v>
      </c>
      <c r="C78" s="9" t="n">
        <v>193400</v>
      </c>
      <c r="D78" s="9" t="s">
        <v>41</v>
      </c>
      <c r="E78" s="33" t="n">
        <f aca="false">IF(D78="totale",(C78/(A78*24))/F78,IF(D78="marché libre",(C78/(A78*24))/G78,"spécifier histo"))</f>
        <v>0.151757689893283</v>
      </c>
      <c r="F78" s="59" t="n">
        <v>1770</v>
      </c>
      <c r="G78" s="59" t="n">
        <f aca="false">F78-H78</f>
        <v>1770</v>
      </c>
      <c r="H78" s="58" t="n">
        <v>0</v>
      </c>
      <c r="I78" s="9"/>
      <c r="J78" s="30"/>
    </row>
    <row r="79" customFormat="false" ht="21.95" hidden="false" customHeight="true" outlineLevel="0" collapsed="false">
      <c r="A79" s="0" t="n">
        <v>31</v>
      </c>
      <c r="B79" s="34" t="n">
        <v>33512</v>
      </c>
      <c r="C79" s="9" t="n">
        <v>371400</v>
      </c>
      <c r="D79" s="9" t="s">
        <v>41</v>
      </c>
      <c r="E79" s="33" t="n">
        <f aca="false">IF(D79="totale",(C79/(A79*24))/F79,IF(D79="marché libre",(C79/(A79*24))/G79,"spécifier histo"))</f>
        <v>0.282030253326043</v>
      </c>
      <c r="F79" s="59" t="n">
        <v>1770</v>
      </c>
      <c r="G79" s="59" t="n">
        <f aca="false">F79-H79</f>
        <v>1770</v>
      </c>
      <c r="H79" s="58" t="n">
        <v>0</v>
      </c>
      <c r="I79" s="9"/>
      <c r="J79" s="30"/>
    </row>
    <row r="80" customFormat="false" ht="21.95" hidden="false" customHeight="true" outlineLevel="0" collapsed="false">
      <c r="A80" s="0" t="n">
        <v>30</v>
      </c>
      <c r="B80" s="31" t="n">
        <v>33543</v>
      </c>
      <c r="C80" s="9" t="n">
        <v>693000</v>
      </c>
      <c r="D80" s="9" t="s">
        <v>41</v>
      </c>
      <c r="E80" s="33" t="n">
        <f aca="false">IF(D80="totale",(C80/(A80*24))/F80,IF(D80="marché libre",(C80/(A80*24))/G80,"spécifier histo"))</f>
        <v>0.543785310734463</v>
      </c>
      <c r="F80" s="59" t="n">
        <v>1770</v>
      </c>
      <c r="G80" s="59" t="n">
        <f aca="false">F80-H80</f>
        <v>1770</v>
      </c>
      <c r="H80" s="58" t="n">
        <v>0</v>
      </c>
      <c r="I80" s="9"/>
      <c r="J80" s="30"/>
    </row>
    <row r="81" customFormat="false" ht="21.95" hidden="false" customHeight="true" outlineLevel="0" collapsed="false">
      <c r="A81" s="0" t="n">
        <v>31</v>
      </c>
      <c r="B81" s="34" t="n">
        <v>33573</v>
      </c>
      <c r="C81" s="9" t="n">
        <v>536200</v>
      </c>
      <c r="D81" s="9" t="s">
        <v>41</v>
      </c>
      <c r="E81" s="33" t="n">
        <f aca="false">IF(D81="totale",(C81/(A81*24))/F81,IF(D81="marché libre",(C81/(A81*24))/G81,"spécifier histo"))</f>
        <v>0.407174533746431</v>
      </c>
      <c r="F81" s="59" t="n">
        <v>1770</v>
      </c>
      <c r="G81" s="59" t="n">
        <f aca="false">F81-H81</f>
        <v>1770</v>
      </c>
      <c r="H81" s="58" t="n">
        <v>0</v>
      </c>
      <c r="I81" s="9"/>
      <c r="J81" s="30"/>
    </row>
    <row r="82" customFormat="false" ht="21.95" hidden="false" customHeight="true" outlineLevel="0" collapsed="false">
      <c r="A82" s="0" t="n">
        <v>31</v>
      </c>
      <c r="B82" s="31" t="n">
        <v>33604</v>
      </c>
      <c r="C82" s="9" t="n">
        <v>746800</v>
      </c>
      <c r="D82" s="9" t="s">
        <v>41</v>
      </c>
      <c r="E82" s="33" t="n">
        <f aca="false">IF(D82="totale",(C82/(A82*24))/F82,IF(D82="marché libre",(C82/(A82*24))/G82,"spécifier histo"))</f>
        <v>0.567097989186562</v>
      </c>
      <c r="F82" s="59" t="n">
        <v>1770</v>
      </c>
      <c r="G82" s="59" t="n">
        <f aca="false">F82-H82</f>
        <v>1770</v>
      </c>
      <c r="H82" s="58" t="n">
        <v>0</v>
      </c>
      <c r="I82" s="9"/>
      <c r="J82" s="30"/>
    </row>
    <row r="83" customFormat="false" ht="21.95" hidden="false" customHeight="true" outlineLevel="0" collapsed="false">
      <c r="A83" s="0" t="n">
        <v>28</v>
      </c>
      <c r="B83" s="34" t="n">
        <v>33635</v>
      </c>
      <c r="C83" s="9" t="n">
        <v>633200</v>
      </c>
      <c r="D83" s="9" t="s">
        <v>41</v>
      </c>
      <c r="E83" s="33" t="n">
        <f aca="false">IF(D83="totale",(C83/(A83*24))/F83,IF(D83="marché libre",(C83/(A83*24))/G83,"spécifier histo"))</f>
        <v>0.532351358622545</v>
      </c>
      <c r="F83" s="59" t="n">
        <v>1770</v>
      </c>
      <c r="G83" s="59" t="n">
        <f aca="false">F83-H83</f>
        <v>1770</v>
      </c>
      <c r="H83" s="58" t="n">
        <v>0</v>
      </c>
      <c r="I83" s="9"/>
      <c r="J83" s="30"/>
    </row>
    <row r="84" customFormat="false" ht="21.95" hidden="false" customHeight="true" outlineLevel="0" collapsed="false">
      <c r="A84" s="0" t="n">
        <v>31</v>
      </c>
      <c r="B84" s="31" t="n">
        <v>33664</v>
      </c>
      <c r="C84" s="9" t="n">
        <v>739000</v>
      </c>
      <c r="D84" s="9" t="s">
        <v>41</v>
      </c>
      <c r="E84" s="33" t="n">
        <f aca="false">IF(D84="totale",(C84/(A84*24))/F84,IF(D84="marché libre",(C84/(A84*24))/G84,"spécifier histo"))</f>
        <v>0.561174898244335</v>
      </c>
      <c r="F84" s="59" t="n">
        <v>1770</v>
      </c>
      <c r="G84" s="59" t="n">
        <f aca="false">F84-H84</f>
        <v>1770</v>
      </c>
      <c r="H84" s="58" t="n">
        <v>0</v>
      </c>
      <c r="I84" s="9"/>
      <c r="J84" s="30"/>
    </row>
    <row r="85" customFormat="false" ht="21.95" hidden="false" customHeight="true" outlineLevel="0" collapsed="false">
      <c r="A85" s="0" t="n">
        <v>30</v>
      </c>
      <c r="B85" s="34" t="n">
        <v>33695</v>
      </c>
      <c r="C85" s="9" t="n">
        <v>761400</v>
      </c>
      <c r="D85" s="9" t="s">
        <v>41</v>
      </c>
      <c r="E85" s="33" t="n">
        <f aca="false">IF(D85="totale",(C85/(A85*24))/F85,IF(D85="marché libre",(C85/(A85*24))/G85,"spécifier histo"))</f>
        <v>0.597457627118644</v>
      </c>
      <c r="F85" s="59" t="n">
        <v>1770</v>
      </c>
      <c r="G85" s="59" t="n">
        <f aca="false">F85-H85</f>
        <v>1770</v>
      </c>
      <c r="H85" s="58" t="n">
        <v>0</v>
      </c>
      <c r="I85" s="9"/>
      <c r="J85" s="30"/>
    </row>
    <row r="86" customFormat="false" ht="21.95" hidden="false" customHeight="true" outlineLevel="0" collapsed="false">
      <c r="A86" s="0" t="n">
        <v>31</v>
      </c>
      <c r="B86" s="31" t="n">
        <v>33725</v>
      </c>
      <c r="C86" s="9" t="n">
        <v>584600</v>
      </c>
      <c r="D86" s="9" t="s">
        <v>41</v>
      </c>
      <c r="E86" s="33" t="n">
        <f aca="false">IF(D86="totale",(C86/(A86*24))/F86,IF(D86="marché libre",(C86/(A86*24))/G86,"spécifier histo"))</f>
        <v>0.443928072413584</v>
      </c>
      <c r="F86" s="59" t="n">
        <v>1770</v>
      </c>
      <c r="G86" s="59" t="n">
        <f aca="false">F86-H86</f>
        <v>1770</v>
      </c>
      <c r="H86" s="58" t="n">
        <v>0</v>
      </c>
      <c r="I86" s="9"/>
      <c r="J86" s="30"/>
    </row>
    <row r="87" customFormat="false" ht="21.95" hidden="false" customHeight="true" outlineLevel="0" collapsed="false">
      <c r="A87" s="0" t="n">
        <v>30</v>
      </c>
      <c r="B87" s="34" t="n">
        <v>33756</v>
      </c>
      <c r="C87" s="9" t="n">
        <v>1176200</v>
      </c>
      <c r="D87" s="9" t="s">
        <v>41</v>
      </c>
      <c r="E87" s="33" t="n">
        <f aca="false">IF(D87="totale",(C87/(A87*24))/F87,IF(D87="marché libre",(C87/(A87*24))/G87,"spécifier histo"))</f>
        <v>0.922944130571249</v>
      </c>
      <c r="F87" s="59" t="n">
        <v>1770</v>
      </c>
      <c r="G87" s="59" t="n">
        <f aca="false">F87-H87</f>
        <v>1770</v>
      </c>
      <c r="H87" s="58" t="n">
        <v>0</v>
      </c>
      <c r="I87" s="9"/>
      <c r="J87" s="30"/>
    </row>
    <row r="88" customFormat="false" ht="21.95" hidden="false" customHeight="true" outlineLevel="0" collapsed="false">
      <c r="A88" s="0" t="n">
        <v>31</v>
      </c>
      <c r="B88" s="31" t="n">
        <v>33786</v>
      </c>
      <c r="C88" s="9" t="n">
        <v>904600</v>
      </c>
      <c r="D88" s="9" t="s">
        <v>41</v>
      </c>
      <c r="E88" s="33" t="n">
        <f aca="false">IF(D88="totale",(C88/(A88*24))/F88,IF(D88="marché libre",(C88/(A88*24))/G88,"spécifier histo"))</f>
        <v>0.686926675171618</v>
      </c>
      <c r="F88" s="59" t="n">
        <v>1770</v>
      </c>
      <c r="G88" s="59" t="n">
        <f aca="false">F88-H88</f>
        <v>1770</v>
      </c>
      <c r="H88" s="58" t="n">
        <v>0</v>
      </c>
      <c r="I88" s="9"/>
      <c r="J88" s="30"/>
    </row>
    <row r="89" customFormat="false" ht="21.95" hidden="false" customHeight="true" outlineLevel="0" collapsed="false">
      <c r="A89" s="0" t="n">
        <v>31</v>
      </c>
      <c r="B89" s="34" t="n">
        <v>33817</v>
      </c>
      <c r="C89" s="9" t="n">
        <v>501600</v>
      </c>
      <c r="D89" s="9" t="s">
        <v>41</v>
      </c>
      <c r="E89" s="33" t="n">
        <f aca="false">IF(D89="totale",(C89/(A89*24))/F89,IF(D89="marché libre",(C89/(A89*24))/G89,"spécifier histo"))</f>
        <v>0.380900309823219</v>
      </c>
      <c r="F89" s="59" t="n">
        <v>1770</v>
      </c>
      <c r="G89" s="59" t="n">
        <f aca="false">F89-H89</f>
        <v>1770</v>
      </c>
      <c r="H89" s="58" t="n">
        <v>0</v>
      </c>
      <c r="I89" s="9"/>
      <c r="J89" s="30"/>
    </row>
    <row r="90" customFormat="false" ht="21.95" hidden="false" customHeight="true" outlineLevel="0" collapsed="false">
      <c r="A90" s="0" t="n">
        <v>30</v>
      </c>
      <c r="B90" s="31" t="n">
        <v>33848</v>
      </c>
      <c r="C90" s="9" t="n">
        <v>499000</v>
      </c>
      <c r="D90" s="9" t="s">
        <v>41</v>
      </c>
      <c r="E90" s="33" t="n">
        <f aca="false">IF(D90="totale",(C90/(A90*24))/F90,IF(D90="marché libre",(C90/(A90*24))/G90,"spécifier histo"))</f>
        <v>0.391556811048336</v>
      </c>
      <c r="F90" s="59" t="n">
        <v>1770</v>
      </c>
      <c r="G90" s="59" t="n">
        <f aca="false">F90-H90</f>
        <v>1770</v>
      </c>
      <c r="H90" s="58" t="n">
        <v>0</v>
      </c>
      <c r="I90" s="9"/>
      <c r="J90" s="30"/>
    </row>
    <row r="91" customFormat="false" ht="21.95" hidden="false" customHeight="true" outlineLevel="0" collapsed="false">
      <c r="A91" s="0" t="n">
        <v>31</v>
      </c>
      <c r="B91" s="34" t="n">
        <v>33878</v>
      </c>
      <c r="C91" s="9" t="n">
        <v>1202400</v>
      </c>
      <c r="D91" s="9" t="s">
        <v>41</v>
      </c>
      <c r="E91" s="33" t="n">
        <f aca="false">IF(D91="totale",(C91/(A91*24))/F91,IF(D91="marché libre",(C91/(A91*24))/G91,"spécifier histo"))</f>
        <v>0.913067249863313</v>
      </c>
      <c r="F91" s="59" t="n">
        <v>1770</v>
      </c>
      <c r="G91" s="59" t="n">
        <f aca="false">F91-H91</f>
        <v>1770</v>
      </c>
      <c r="H91" s="58" t="n">
        <v>0</v>
      </c>
      <c r="I91" s="9"/>
      <c r="J91" s="30"/>
    </row>
    <row r="92" customFormat="false" ht="21.95" hidden="false" customHeight="true" outlineLevel="0" collapsed="false">
      <c r="A92" s="0" t="n">
        <v>30</v>
      </c>
      <c r="B92" s="31" t="n">
        <v>33909</v>
      </c>
      <c r="C92" s="9" t="n">
        <v>1182800</v>
      </c>
      <c r="D92" s="9" t="s">
        <v>41</v>
      </c>
      <c r="E92" s="33" t="n">
        <f aca="false">IF(D92="totale",(C92/(A92*24))/F92,IF(D92="marché libre",(C92/(A92*24))/G92,"spécifier histo"))</f>
        <v>0.92812303829253</v>
      </c>
      <c r="F92" s="59" t="n">
        <v>1770</v>
      </c>
      <c r="G92" s="59" t="n">
        <f aca="false">F92-H92</f>
        <v>1770</v>
      </c>
      <c r="H92" s="58" t="n">
        <v>0</v>
      </c>
      <c r="I92" s="9"/>
      <c r="J92" s="30"/>
    </row>
    <row r="93" customFormat="false" ht="21.95" hidden="false" customHeight="true" outlineLevel="0" collapsed="false">
      <c r="A93" s="0" t="n">
        <v>31</v>
      </c>
      <c r="B93" s="34" t="n">
        <v>33939</v>
      </c>
      <c r="C93" s="9" t="n">
        <v>1180600</v>
      </c>
      <c r="D93" s="9" t="s">
        <v>41</v>
      </c>
      <c r="E93" s="33" t="n">
        <f aca="false">IF(D93="totale",(C93/(A93*24))/F93,IF(D93="marché libre",(C93/(A93*24))/G93,"spécifier histo"))</f>
        <v>0.896512970050422</v>
      </c>
      <c r="F93" s="59" t="n">
        <v>1770</v>
      </c>
      <c r="G93" s="59" t="n">
        <f aca="false">F93-H93</f>
        <v>1770</v>
      </c>
      <c r="H93" s="58" t="n">
        <v>0</v>
      </c>
      <c r="I93" s="9"/>
      <c r="J93" s="30"/>
    </row>
    <row r="94" customFormat="false" ht="21.95" hidden="false" customHeight="true" outlineLevel="0" collapsed="false">
      <c r="A94" s="0" t="n">
        <v>31</v>
      </c>
      <c r="B94" s="31" t="n">
        <v>33970</v>
      </c>
      <c r="C94" s="9" t="n">
        <v>948400</v>
      </c>
      <c r="D94" s="9" t="s">
        <v>41</v>
      </c>
      <c r="E94" s="33" t="n">
        <f aca="false">IF(D94="totale",(C94/(A94*24))/F94,IF(D94="marché libre",(C94/(A94*24))/G94,"spécifier histo"))</f>
        <v>0.720187108924124</v>
      </c>
      <c r="F94" s="59" t="n">
        <v>1770</v>
      </c>
      <c r="G94" s="59" t="n">
        <f aca="false">F94-H94</f>
        <v>1770</v>
      </c>
      <c r="H94" s="58" t="n">
        <v>0</v>
      </c>
      <c r="I94" s="9"/>
      <c r="J94" s="30"/>
    </row>
    <row r="95" customFormat="false" ht="21.95" hidden="false" customHeight="true" outlineLevel="0" collapsed="false">
      <c r="A95" s="0" t="n">
        <v>28</v>
      </c>
      <c r="B95" s="34" t="n">
        <v>34001</v>
      </c>
      <c r="C95" s="9" t="n">
        <v>763800</v>
      </c>
      <c r="D95" s="9" t="s">
        <v>41</v>
      </c>
      <c r="E95" s="33" t="n">
        <f aca="false">IF(D95="totale",(C95/(A95*24))/F95,IF(D95="marché libre",(C95/(A95*24))/G95,"spécifier histo"))</f>
        <v>0.642150928167877</v>
      </c>
      <c r="F95" s="59" t="n">
        <v>1770</v>
      </c>
      <c r="G95" s="59" t="n">
        <f aca="false">F95-H95</f>
        <v>1770</v>
      </c>
      <c r="H95" s="58" t="n">
        <v>0</v>
      </c>
      <c r="I95" s="9"/>
      <c r="J95" s="30"/>
    </row>
    <row r="96" customFormat="false" ht="21.95" hidden="false" customHeight="true" outlineLevel="0" collapsed="false">
      <c r="A96" s="0" t="n">
        <v>31</v>
      </c>
      <c r="B96" s="31" t="n">
        <v>34029</v>
      </c>
      <c r="C96" s="9" t="n">
        <v>571400</v>
      </c>
      <c r="D96" s="9" t="s">
        <v>41</v>
      </c>
      <c r="E96" s="33" t="n">
        <f aca="false">IF(D96="totale",(C96/(A96*24))/F96,IF(D96="marché libre",(C96/(A96*24))/G96,"spécifier histo"))</f>
        <v>0.433904380049815</v>
      </c>
      <c r="F96" s="59" t="n">
        <v>1770</v>
      </c>
      <c r="G96" s="59" t="n">
        <f aca="false">F96-H96</f>
        <v>1770</v>
      </c>
      <c r="H96" s="58" t="n">
        <v>0</v>
      </c>
      <c r="I96" s="9"/>
      <c r="J96" s="30"/>
    </row>
    <row r="97" customFormat="false" ht="21.95" hidden="false" customHeight="true" outlineLevel="0" collapsed="false">
      <c r="A97" s="0" t="n">
        <v>30</v>
      </c>
      <c r="B97" s="34" t="n">
        <v>34060</v>
      </c>
      <c r="C97" s="9" t="n">
        <v>650200</v>
      </c>
      <c r="D97" s="9" t="s">
        <v>41</v>
      </c>
      <c r="E97" s="33" t="n">
        <f aca="false">IF(D97="totale",(C97/(A97*24))/F97,IF(D97="marché libre",(C97/(A97*24))/G97,"spécifier histo"))</f>
        <v>0.510200878844947</v>
      </c>
      <c r="F97" s="59" t="n">
        <v>1770</v>
      </c>
      <c r="G97" s="59" t="n">
        <f aca="false">F97-H97</f>
        <v>1770</v>
      </c>
      <c r="H97" s="58" t="n">
        <v>0</v>
      </c>
      <c r="I97" s="9"/>
      <c r="J97" s="30"/>
    </row>
    <row r="98" customFormat="false" ht="21.95" hidden="false" customHeight="true" outlineLevel="0" collapsed="false">
      <c r="A98" s="0" t="n">
        <v>31</v>
      </c>
      <c r="B98" s="31" t="n">
        <v>34090</v>
      </c>
      <c r="C98" s="9" t="n">
        <v>1252000</v>
      </c>
      <c r="D98" s="9" t="s">
        <v>41</v>
      </c>
      <c r="E98" s="33" t="n">
        <f aca="false">IF(D98="totale",(C98/(A98*24))/F98,IF(D98="marché libre",(C98/(A98*24))/G98,"spécifier histo"))</f>
        <v>0.950732033290809</v>
      </c>
      <c r="F98" s="59" t="n">
        <v>1770</v>
      </c>
      <c r="G98" s="59" t="n">
        <f aca="false">F98-H98</f>
        <v>1770</v>
      </c>
      <c r="H98" s="58" t="n">
        <v>0</v>
      </c>
      <c r="I98" s="9"/>
      <c r="J98" s="30"/>
    </row>
    <row r="99" customFormat="false" ht="21.95" hidden="false" customHeight="true" outlineLevel="0" collapsed="false">
      <c r="A99" s="0" t="n">
        <v>30</v>
      </c>
      <c r="B99" s="34" t="n">
        <v>34121</v>
      </c>
      <c r="C99" s="9" t="n">
        <v>757800</v>
      </c>
      <c r="D99" s="9" t="s">
        <v>41</v>
      </c>
      <c r="E99" s="33" t="n">
        <f aca="false">IF(D99="totale",(C99/(A99*24))/F99,IF(D99="marché libre",(C99/(A99*24))/G99,"spécifier histo"))</f>
        <v>0.594632768361582</v>
      </c>
      <c r="F99" s="59" t="n">
        <v>1770</v>
      </c>
      <c r="G99" s="59" t="n">
        <f aca="false">F99-H99</f>
        <v>1770</v>
      </c>
      <c r="H99" s="58" t="n">
        <v>0</v>
      </c>
      <c r="I99" s="9"/>
      <c r="J99" s="30"/>
    </row>
    <row r="100" customFormat="false" ht="21.95" hidden="false" customHeight="true" outlineLevel="0" collapsed="false">
      <c r="A100" s="0" t="n">
        <v>31</v>
      </c>
      <c r="B100" s="31" t="n">
        <v>34151</v>
      </c>
      <c r="C100" s="9" t="n">
        <v>452800</v>
      </c>
      <c r="D100" s="9" t="s">
        <v>41</v>
      </c>
      <c r="E100" s="33" t="n">
        <f aca="false">IF(D100="totale",(C100/(A100*24))/F100,IF(D100="marché libre",(C100/(A100*24))/G100,"spécifier histo"))</f>
        <v>0.343843022902618</v>
      </c>
      <c r="F100" s="59" t="n">
        <v>1770</v>
      </c>
      <c r="G100" s="59" t="n">
        <f aca="false">F100-H100</f>
        <v>1770</v>
      </c>
      <c r="H100" s="58" t="n">
        <v>0</v>
      </c>
      <c r="I100" s="9"/>
      <c r="J100" s="30"/>
    </row>
    <row r="101" customFormat="false" ht="21.95" hidden="false" customHeight="true" outlineLevel="0" collapsed="false">
      <c r="A101" s="0" t="n">
        <v>31</v>
      </c>
      <c r="B101" s="34" t="n">
        <v>34182</v>
      </c>
      <c r="C101" s="9" t="n">
        <v>274600</v>
      </c>
      <c r="D101" s="9" t="s">
        <v>41</v>
      </c>
      <c r="E101" s="33" t="n">
        <f aca="false">IF(D101="totale",(C101/(A101*24))/F101,IF(D101="marché libre",(C101/(A101*24))/G101,"spécifier histo"))</f>
        <v>0.208523175991738</v>
      </c>
      <c r="F101" s="59" t="n">
        <v>1770</v>
      </c>
      <c r="G101" s="59" t="n">
        <f aca="false">F101-H101</f>
        <v>1770</v>
      </c>
      <c r="H101" s="58" t="n">
        <v>0</v>
      </c>
      <c r="I101" s="9"/>
      <c r="J101" s="30"/>
    </row>
    <row r="102" customFormat="false" ht="21.95" hidden="false" customHeight="true" outlineLevel="0" collapsed="false">
      <c r="A102" s="0" t="n">
        <v>30</v>
      </c>
      <c r="B102" s="31" t="n">
        <v>34213</v>
      </c>
      <c r="C102" s="9" t="n">
        <v>408200</v>
      </c>
      <c r="D102" s="9" t="s">
        <v>41</v>
      </c>
      <c r="E102" s="33" t="n">
        <f aca="false">IF(D102="totale",(C102/(A102*24))/F102,IF(D102="marché libre",(C102/(A102*24))/G102,"spécifier histo"))</f>
        <v>0.320307595731325</v>
      </c>
      <c r="F102" s="59" t="n">
        <v>1770</v>
      </c>
      <c r="G102" s="59" t="n">
        <f aca="false">F102-H102</f>
        <v>1770</v>
      </c>
      <c r="H102" s="58" t="n">
        <v>0</v>
      </c>
      <c r="I102" s="9"/>
      <c r="J102" s="30"/>
    </row>
    <row r="103" customFormat="false" ht="21.95" hidden="false" customHeight="true" outlineLevel="0" collapsed="false">
      <c r="A103" s="0" t="n">
        <v>31</v>
      </c>
      <c r="B103" s="34" t="n">
        <v>34243</v>
      </c>
      <c r="C103" s="9" t="n">
        <v>858600</v>
      </c>
      <c r="D103" s="9" t="s">
        <v>41</v>
      </c>
      <c r="E103" s="33" t="n">
        <f aca="false">IF(D103="totale",(C103/(A103*24))/F103,IF(D103="marché libre",(C103/(A103*24))/G103,"spécifier histo"))</f>
        <v>0.65199562602515</v>
      </c>
      <c r="F103" s="59" t="n">
        <v>1770</v>
      </c>
      <c r="G103" s="59" t="n">
        <f aca="false">F103-H103</f>
        <v>1770</v>
      </c>
      <c r="H103" s="58" t="n">
        <v>0</v>
      </c>
      <c r="I103" s="9"/>
      <c r="J103" s="30"/>
    </row>
    <row r="104" customFormat="false" ht="21.95" hidden="false" customHeight="true" outlineLevel="0" collapsed="false">
      <c r="A104" s="0" t="n">
        <v>30</v>
      </c>
      <c r="B104" s="31" t="n">
        <v>34274</v>
      </c>
      <c r="C104" s="9" t="n">
        <v>970400</v>
      </c>
      <c r="D104" s="9" t="s">
        <v>41</v>
      </c>
      <c r="E104" s="33" t="n">
        <f aca="false">IF(D104="totale",(C104/(A104*24))/F104,IF(D104="marché libre",(C104/(A104*24))/G104,"spécifier histo"))</f>
        <v>0.761456371625863</v>
      </c>
      <c r="F104" s="59" t="n">
        <v>1770</v>
      </c>
      <c r="G104" s="59" t="n">
        <f aca="false">F104-H104</f>
        <v>1770</v>
      </c>
      <c r="H104" s="58" t="n">
        <v>0</v>
      </c>
      <c r="I104" s="9"/>
      <c r="J104" s="30"/>
    </row>
    <row r="105" customFormat="false" ht="21.95" hidden="false" customHeight="true" outlineLevel="0" collapsed="false">
      <c r="A105" s="0" t="n">
        <v>31</v>
      </c>
      <c r="B105" s="34" t="n">
        <v>34304</v>
      </c>
      <c r="C105" s="9" t="n">
        <v>1124600</v>
      </c>
      <c r="D105" s="9" t="s">
        <v>41</v>
      </c>
      <c r="E105" s="33" t="n">
        <f aca="false">IF(D105="totale",(C105/(A105*24))/F105,IF(D105="marché libre",(C105/(A105*24))/G105,"spécifier histo"))</f>
        <v>0.853988214567766</v>
      </c>
      <c r="F105" s="59" t="n">
        <v>1770</v>
      </c>
      <c r="G105" s="59" t="n">
        <f aca="false">F105-H105</f>
        <v>1770</v>
      </c>
      <c r="H105" s="58" t="n">
        <v>0</v>
      </c>
      <c r="I105" s="9"/>
      <c r="J105" s="30"/>
    </row>
    <row r="106" customFormat="false" ht="21.95" hidden="false" customHeight="true" outlineLevel="0" collapsed="false">
      <c r="A106" s="0" t="n">
        <v>31</v>
      </c>
      <c r="B106" s="31" t="n">
        <v>34335</v>
      </c>
      <c r="C106" s="9" t="n">
        <v>1276800</v>
      </c>
      <c r="D106" s="9" t="s">
        <v>41</v>
      </c>
      <c r="E106" s="33" t="n">
        <f aca="false">IF(D106="totale",(C106/(A106*24))/F106,IF(D106="marché libre",(C106/(A106*24))/G106,"spécifier histo"))</f>
        <v>0.969564425004556</v>
      </c>
      <c r="F106" s="59" t="n">
        <v>1770</v>
      </c>
      <c r="G106" s="59" t="n">
        <f aca="false">F106-H106</f>
        <v>1770</v>
      </c>
      <c r="H106" s="58" t="n">
        <v>0</v>
      </c>
      <c r="I106" s="9"/>
      <c r="J106" s="30"/>
    </row>
    <row r="107" customFormat="false" ht="21.95" hidden="false" customHeight="true" outlineLevel="0" collapsed="false">
      <c r="A107" s="0" t="n">
        <v>28</v>
      </c>
      <c r="B107" s="34" t="n">
        <v>34366</v>
      </c>
      <c r="C107" s="9" t="n">
        <v>1099400</v>
      </c>
      <c r="D107" s="9" t="s">
        <v>41</v>
      </c>
      <c r="E107" s="33" t="n">
        <f aca="false">IF(D107="totale",(C107/(A107*24))/F107,IF(D107="marché libre",(C107/(A107*24))/G107,"spécifier histo"))</f>
        <v>0.924300511164918</v>
      </c>
      <c r="F107" s="59" t="n">
        <v>1770</v>
      </c>
      <c r="G107" s="59" t="n">
        <f aca="false">F107-H107</f>
        <v>1770</v>
      </c>
      <c r="H107" s="58" t="n">
        <v>0</v>
      </c>
      <c r="I107" s="9"/>
      <c r="J107" s="30"/>
    </row>
    <row r="108" customFormat="false" ht="21.95" hidden="false" customHeight="true" outlineLevel="0" collapsed="false">
      <c r="A108" s="0" t="n">
        <v>31</v>
      </c>
      <c r="B108" s="31" t="n">
        <v>34394</v>
      </c>
      <c r="C108" s="9" t="n">
        <v>1149600</v>
      </c>
      <c r="D108" s="9" t="s">
        <v>41</v>
      </c>
      <c r="E108" s="33" t="n">
        <f aca="false">IF(D108="totale",(C108/(A108*24))/F108,IF(D108="marché libre",(C108/(A108*24))/G108,"spécifier histo"))</f>
        <v>0.872972480408238</v>
      </c>
      <c r="F108" s="59" t="n">
        <v>1770</v>
      </c>
      <c r="G108" s="59" t="n">
        <f aca="false">F108-H108</f>
        <v>1770</v>
      </c>
      <c r="H108" s="58" t="n">
        <v>0</v>
      </c>
      <c r="I108" s="9"/>
      <c r="J108" s="30"/>
    </row>
    <row r="109" customFormat="false" ht="21.95" hidden="false" customHeight="true" outlineLevel="0" collapsed="false">
      <c r="A109" s="0" t="n">
        <v>30</v>
      </c>
      <c r="B109" s="34" t="n">
        <v>34425</v>
      </c>
      <c r="C109" s="9" t="n">
        <v>1185400</v>
      </c>
      <c r="D109" s="9" t="s">
        <v>41</v>
      </c>
      <c r="E109" s="33" t="n">
        <f aca="false">IF(D109="totale",(C109/(A109*24))/F109,IF(D109="marché libre",(C109/(A109*24))/G109,"spécifier histo"))</f>
        <v>0.930163214061519</v>
      </c>
      <c r="F109" s="59" t="n">
        <v>1770</v>
      </c>
      <c r="G109" s="59" t="n">
        <f aca="false">F109-H109</f>
        <v>1770</v>
      </c>
      <c r="H109" s="58" t="n">
        <v>0</v>
      </c>
      <c r="I109" s="9"/>
      <c r="J109" s="30"/>
    </row>
    <row r="110" customFormat="false" ht="21.95" hidden="false" customHeight="true" outlineLevel="0" collapsed="false">
      <c r="A110" s="0" t="n">
        <v>31</v>
      </c>
      <c r="B110" s="31" t="n">
        <v>34455</v>
      </c>
      <c r="C110" s="9" t="n">
        <v>1011400</v>
      </c>
      <c r="D110" s="9" t="s">
        <v>41</v>
      </c>
      <c r="E110" s="33" t="n">
        <f aca="false">IF(D110="totale",(C110/(A110*24))/F110,IF(D110="marché libre",(C110/(A110*24))/G110,"spécifier histo"))</f>
        <v>0.768027458842112</v>
      </c>
      <c r="F110" s="59" t="n">
        <v>1770</v>
      </c>
      <c r="G110" s="59" t="n">
        <f aca="false">F110-H110</f>
        <v>1770</v>
      </c>
      <c r="H110" s="58" t="n">
        <v>0</v>
      </c>
      <c r="I110" s="9"/>
      <c r="J110" s="30"/>
    </row>
    <row r="111" customFormat="false" ht="21.95" hidden="false" customHeight="true" outlineLevel="0" collapsed="false">
      <c r="A111" s="0" t="n">
        <v>30</v>
      </c>
      <c r="B111" s="34" t="n">
        <v>34486</v>
      </c>
      <c r="C111" s="9" t="n">
        <v>587400</v>
      </c>
      <c r="D111" s="9" t="s">
        <v>41</v>
      </c>
      <c r="E111" s="33" t="n">
        <f aca="false">IF(D111="totale",(C111/(A111*24))/F111,IF(D111="marché libre",(C111/(A111*24))/G111,"spécifier histo"))</f>
        <v>0.460922787193974</v>
      </c>
      <c r="F111" s="59" t="n">
        <v>1770</v>
      </c>
      <c r="G111" s="59" t="n">
        <f aca="false">F111-H111</f>
        <v>1770</v>
      </c>
      <c r="H111" s="58" t="n">
        <v>0</v>
      </c>
      <c r="I111" s="9"/>
      <c r="J111" s="30"/>
    </row>
    <row r="112" customFormat="false" ht="21.95" hidden="false" customHeight="true" outlineLevel="0" collapsed="false">
      <c r="A112" s="0" t="n">
        <v>31</v>
      </c>
      <c r="B112" s="31" t="n">
        <v>34516</v>
      </c>
      <c r="C112" s="9" t="n">
        <v>326400</v>
      </c>
      <c r="D112" s="9" t="s">
        <v>41</v>
      </c>
      <c r="E112" s="33" t="n">
        <f aca="false">IF(D112="totale",(C112/(A112*24))/F112,IF(D112="marché libre",(C112/(A112*24))/G112,"spécifier histo"))</f>
        <v>0.247858574813195</v>
      </c>
      <c r="F112" s="59" t="n">
        <v>1770</v>
      </c>
      <c r="G112" s="59" t="n">
        <f aca="false">F112-H112</f>
        <v>1770</v>
      </c>
      <c r="H112" s="58" t="n">
        <v>0</v>
      </c>
      <c r="I112" s="9"/>
      <c r="J112" s="30"/>
    </row>
    <row r="113" customFormat="false" ht="21.95" hidden="false" customHeight="true" outlineLevel="0" collapsed="false">
      <c r="A113" s="0" t="n">
        <v>31</v>
      </c>
      <c r="B113" s="34" t="n">
        <v>34547</v>
      </c>
      <c r="C113" s="9" t="n">
        <v>253800</v>
      </c>
      <c r="D113" s="9" t="s">
        <v>41</v>
      </c>
      <c r="E113" s="33" t="n">
        <f aca="false">IF(D113="totale",(C113/(A113*24))/F113,IF(D113="marché libre",(C113/(A113*24))/G113,"spécifier histo"))</f>
        <v>0.192728266812466</v>
      </c>
      <c r="F113" s="59" t="n">
        <v>1770</v>
      </c>
      <c r="G113" s="59" t="n">
        <f aca="false">F113-H113</f>
        <v>1770</v>
      </c>
      <c r="H113" s="58" t="n">
        <v>0</v>
      </c>
      <c r="I113" s="9"/>
      <c r="J113" s="30"/>
    </row>
    <row r="114" customFormat="false" ht="21.95" hidden="false" customHeight="true" outlineLevel="0" collapsed="false">
      <c r="A114" s="0" t="n">
        <v>30</v>
      </c>
      <c r="B114" s="31" t="n">
        <v>34578</v>
      </c>
      <c r="C114" s="9" t="n">
        <v>489600</v>
      </c>
      <c r="D114" s="9" t="s">
        <v>41</v>
      </c>
      <c r="E114" s="33" t="n">
        <f aca="false">IF(D114="totale",(C114/(A114*24))/F114,IF(D114="marché libre",(C114/(A114*24))/G114,"spécifier histo"))</f>
        <v>0.384180790960452</v>
      </c>
      <c r="F114" s="59" t="n">
        <v>1770</v>
      </c>
      <c r="G114" s="59" t="n">
        <f aca="false">F114-H114</f>
        <v>1770</v>
      </c>
      <c r="H114" s="58" t="n">
        <v>0</v>
      </c>
      <c r="I114" s="9"/>
      <c r="J114" s="30"/>
    </row>
    <row r="115" customFormat="false" ht="21.95" hidden="false" customHeight="true" outlineLevel="0" collapsed="false">
      <c r="A115" s="0" t="n">
        <v>31</v>
      </c>
      <c r="B115" s="34" t="n">
        <v>34608</v>
      </c>
      <c r="C115" s="9" t="n">
        <v>1114000</v>
      </c>
      <c r="D115" s="9" t="s">
        <v>41</v>
      </c>
      <c r="E115" s="33" t="n">
        <f aca="false">IF(D115="totale",(C115/(A115*24))/F115,IF(D115="marché libre",(C115/(A115*24))/G115,"spécifier histo"))</f>
        <v>0.845938885851406</v>
      </c>
      <c r="F115" s="59" t="n">
        <v>1770</v>
      </c>
      <c r="G115" s="59" t="n">
        <f aca="false">F115-H115</f>
        <v>1770</v>
      </c>
      <c r="H115" s="58" t="n">
        <v>0</v>
      </c>
      <c r="I115" s="9"/>
      <c r="J115" s="30"/>
    </row>
    <row r="116" customFormat="false" ht="21.95" hidden="false" customHeight="true" outlineLevel="0" collapsed="false">
      <c r="A116" s="0" t="n">
        <v>30</v>
      </c>
      <c r="B116" s="31" t="n">
        <v>34639</v>
      </c>
      <c r="C116" s="9" t="n">
        <v>851200</v>
      </c>
      <c r="D116" s="9" t="s">
        <v>41</v>
      </c>
      <c r="E116" s="33" t="n">
        <f aca="false">IF(D116="totale",(C116/(A116*24))/F116,IF(D116="marché libre",(C116/(A116*24))/G116,"spécifier histo"))</f>
        <v>0.667922159447583</v>
      </c>
      <c r="F116" s="59" t="n">
        <v>1770</v>
      </c>
      <c r="G116" s="59" t="n">
        <f aca="false">F116-H116</f>
        <v>1770</v>
      </c>
      <c r="H116" s="58" t="n">
        <v>0</v>
      </c>
      <c r="I116" s="9"/>
      <c r="J116" s="30"/>
    </row>
    <row r="117" customFormat="false" ht="21.95" hidden="false" customHeight="true" outlineLevel="0" collapsed="false">
      <c r="A117" s="0" t="n">
        <v>31</v>
      </c>
      <c r="B117" s="34" t="n">
        <v>34669</v>
      </c>
      <c r="C117" s="9" t="n">
        <v>976600</v>
      </c>
      <c r="D117" s="9" t="s">
        <v>41</v>
      </c>
      <c r="E117" s="33" t="n">
        <f aca="false">IF(D117="totale",(C117/(A117*24))/F117,IF(D117="marché libre",(C117/(A117*24))/G117,"spécifier histo"))</f>
        <v>0.741601360792176</v>
      </c>
      <c r="F117" s="59" t="n">
        <v>1770</v>
      </c>
      <c r="G117" s="59" t="n">
        <f aca="false">F117-H117</f>
        <v>1770</v>
      </c>
      <c r="H117" s="58" t="n">
        <v>0</v>
      </c>
      <c r="I117" s="9"/>
      <c r="J117" s="30"/>
    </row>
    <row r="118" customFormat="false" ht="21.95" hidden="false" customHeight="true" outlineLevel="0" collapsed="false">
      <c r="A118" s="0" t="n">
        <v>31</v>
      </c>
      <c r="B118" s="31" t="n">
        <v>34700</v>
      </c>
      <c r="C118" s="9" t="n">
        <v>1104400</v>
      </c>
      <c r="D118" s="9" t="s">
        <v>41</v>
      </c>
      <c r="E118" s="33" t="n">
        <f aca="false">IF(D118="totale",(C118/(A118*24))/F118,IF(D118="marché libre",(C118/(A118*24))/G118,"spécifier histo"))</f>
        <v>0.838648927768665</v>
      </c>
      <c r="F118" s="59" t="n">
        <v>1770</v>
      </c>
      <c r="G118" s="59" t="n">
        <f aca="false">F118-H118</f>
        <v>1770</v>
      </c>
      <c r="H118" s="58" t="n">
        <v>0</v>
      </c>
      <c r="I118" s="9"/>
      <c r="J118" s="30"/>
    </row>
    <row r="119" customFormat="false" ht="21.95" hidden="false" customHeight="true" outlineLevel="0" collapsed="false">
      <c r="A119" s="0" t="n">
        <v>28</v>
      </c>
      <c r="B119" s="34" t="n">
        <v>34731</v>
      </c>
      <c r="C119" s="9" t="n">
        <v>1060400</v>
      </c>
      <c r="D119" s="9" t="s">
        <v>41</v>
      </c>
      <c r="E119" s="33" t="n">
        <f aca="false">IF(D119="totale",(C119/(A119*24))/F119,IF(D119="marché libre",(C119/(A119*24))/G119,"spécifier histo"))</f>
        <v>0.891511972020446</v>
      </c>
      <c r="F119" s="59" t="n">
        <v>1770</v>
      </c>
      <c r="G119" s="59" t="n">
        <f aca="false">F119-H119</f>
        <v>1770</v>
      </c>
      <c r="H119" s="58" t="n">
        <v>0</v>
      </c>
      <c r="I119" s="9"/>
      <c r="J119" s="30"/>
    </row>
    <row r="120" customFormat="false" ht="21.95" hidden="false" customHeight="true" outlineLevel="0" collapsed="false">
      <c r="A120" s="0" t="n">
        <v>31</v>
      </c>
      <c r="B120" s="31" t="n">
        <v>34759</v>
      </c>
      <c r="C120" s="9" t="n">
        <v>1160600</v>
      </c>
      <c r="D120" s="9" t="s">
        <v>41</v>
      </c>
      <c r="E120" s="33" t="n">
        <f aca="false">IF(D120="totale",(C120/(A120*24))/F120,IF(D120="marché libre",(C120/(A120*24))/G120,"spécifier histo"))</f>
        <v>0.881325557378045</v>
      </c>
      <c r="F120" s="59" t="n">
        <v>1770</v>
      </c>
      <c r="G120" s="59" t="n">
        <f aca="false">F120-H120</f>
        <v>1770</v>
      </c>
      <c r="H120" s="58" t="n">
        <v>0</v>
      </c>
      <c r="I120" s="9"/>
      <c r="J120" s="30"/>
    </row>
    <row r="121" customFormat="false" ht="21.95" hidden="false" customHeight="true" outlineLevel="0" collapsed="false">
      <c r="A121" s="0" t="n">
        <v>30</v>
      </c>
      <c r="B121" s="34" t="n">
        <v>34790</v>
      </c>
      <c r="C121" s="9" t="n">
        <v>827600</v>
      </c>
      <c r="D121" s="9" t="s">
        <v>41</v>
      </c>
      <c r="E121" s="33" t="n">
        <f aca="false">IF(D121="totale",(C121/(A121*24))/F121,IF(D121="marché libre",(C121/(A121*24))/G121,"spécifier histo"))</f>
        <v>0.649403640929065</v>
      </c>
      <c r="F121" s="59" t="n">
        <v>1770</v>
      </c>
      <c r="G121" s="59" t="n">
        <f aca="false">F121-H121</f>
        <v>1770</v>
      </c>
      <c r="H121" s="58" t="n">
        <v>0</v>
      </c>
      <c r="I121" s="9"/>
      <c r="J121" s="30"/>
    </row>
    <row r="122" customFormat="false" ht="21.95" hidden="false" customHeight="true" outlineLevel="0" collapsed="false">
      <c r="A122" s="0" t="n">
        <v>31</v>
      </c>
      <c r="B122" s="31" t="n">
        <v>34820</v>
      </c>
      <c r="C122" s="9" t="n">
        <v>741800</v>
      </c>
      <c r="D122" s="9" t="s">
        <v>41</v>
      </c>
      <c r="E122" s="33" t="n">
        <f aca="false">IF(D122="totale",(C122/(A122*24))/F122,IF(D122="marché libre",(C122/(A122*24))/G122,"spécifier histo"))</f>
        <v>0.563301136018468</v>
      </c>
      <c r="F122" s="59" t="n">
        <v>1770</v>
      </c>
      <c r="G122" s="59" t="n">
        <f aca="false">F122-H122</f>
        <v>1770</v>
      </c>
      <c r="H122" s="58" t="n">
        <v>0</v>
      </c>
      <c r="I122" s="9"/>
      <c r="J122" s="30"/>
    </row>
    <row r="123" customFormat="false" ht="21.95" hidden="false" customHeight="true" outlineLevel="0" collapsed="false">
      <c r="A123" s="0" t="n">
        <v>30</v>
      </c>
      <c r="B123" s="34" t="n">
        <v>34851</v>
      </c>
      <c r="C123" s="9" t="n">
        <v>386800</v>
      </c>
      <c r="D123" s="9" t="s">
        <v>41</v>
      </c>
      <c r="E123" s="33" t="n">
        <f aca="false">IF(D123="totale",(C123/(A123*24))/F123,IF(D123="marché libre",(C123/(A123*24))/G123,"spécifier histo"))</f>
        <v>0.303515379786566</v>
      </c>
      <c r="F123" s="59" t="n">
        <v>1770</v>
      </c>
      <c r="G123" s="59" t="n">
        <f aca="false">F123-H123</f>
        <v>1770</v>
      </c>
      <c r="H123" s="58" t="n">
        <v>0</v>
      </c>
      <c r="I123" s="9"/>
      <c r="J123" s="30"/>
    </row>
    <row r="124" customFormat="false" ht="21.95" hidden="false" customHeight="true" outlineLevel="0" collapsed="false">
      <c r="A124" s="0" t="n">
        <v>31</v>
      </c>
      <c r="B124" s="31" t="n">
        <v>34881</v>
      </c>
      <c r="C124" s="9" t="n">
        <v>280200</v>
      </c>
      <c r="D124" s="9" t="s">
        <v>41</v>
      </c>
      <c r="E124" s="33" t="n">
        <f aca="false">IF(D124="totale",(C124/(A124*24))/F124,IF(D124="marché libre",(C124/(A124*24))/G124,"spécifier histo"))</f>
        <v>0.212775651540004</v>
      </c>
      <c r="F124" s="59" t="n">
        <v>1770</v>
      </c>
      <c r="G124" s="59" t="n">
        <f aca="false">F124-H124</f>
        <v>1770</v>
      </c>
      <c r="H124" s="58" t="n">
        <v>0</v>
      </c>
      <c r="I124" s="9"/>
      <c r="J124" s="30"/>
    </row>
    <row r="125" customFormat="false" ht="21.95" hidden="false" customHeight="true" outlineLevel="0" collapsed="false">
      <c r="A125" s="0" t="n">
        <v>31</v>
      </c>
      <c r="B125" s="34" t="n">
        <v>34912</v>
      </c>
      <c r="C125" s="9" t="n">
        <v>225200</v>
      </c>
      <c r="D125" s="9" t="s">
        <v>41</v>
      </c>
      <c r="E125" s="33" t="n">
        <f aca="false">IF(D125="totale",(C125/(A125*24))/F125,IF(D125="marché libre",(C125/(A125*24))/G125,"spécifier histo"))</f>
        <v>0.171010266690967</v>
      </c>
      <c r="F125" s="59" t="n">
        <v>1770</v>
      </c>
      <c r="G125" s="59" t="n">
        <f aca="false">F125-H125</f>
        <v>1770</v>
      </c>
      <c r="H125" s="58" t="n">
        <v>0</v>
      </c>
      <c r="I125" s="9"/>
      <c r="J125" s="30"/>
    </row>
    <row r="126" customFormat="false" ht="21.95" hidden="false" customHeight="true" outlineLevel="0" collapsed="false">
      <c r="A126" s="0" t="n">
        <v>30</v>
      </c>
      <c r="B126" s="31" t="n">
        <v>34943</v>
      </c>
      <c r="C126" s="9" t="n">
        <v>644200</v>
      </c>
      <c r="D126" s="9" t="s">
        <v>41</v>
      </c>
      <c r="E126" s="33" t="n">
        <f aca="false">IF(D126="totale",(C126/(A126*24))/F126,IF(D126="marché libre",(C126/(A126*24))/G126,"spécifier histo"))</f>
        <v>0.50549278091651</v>
      </c>
      <c r="F126" s="59" t="n">
        <v>1770</v>
      </c>
      <c r="G126" s="59" t="n">
        <f aca="false">F126-H126</f>
        <v>1770</v>
      </c>
      <c r="H126" s="58" t="n">
        <v>0</v>
      </c>
      <c r="I126" s="9"/>
      <c r="J126" s="30"/>
    </row>
    <row r="127" customFormat="false" ht="21.95" hidden="false" customHeight="true" outlineLevel="0" collapsed="false">
      <c r="A127" s="0" t="n">
        <v>31</v>
      </c>
      <c r="B127" s="34" t="n">
        <v>34973</v>
      </c>
      <c r="C127" s="9" t="n">
        <v>684800</v>
      </c>
      <c r="D127" s="9" t="s">
        <v>41</v>
      </c>
      <c r="E127" s="33" t="n">
        <f aca="false">IF(D127="totale",(C127/(A127*24))/F127,IF(D127="marché libre",(C127/(A127*24))/G127,"spécifier histo"))</f>
        <v>0.520017009902193</v>
      </c>
      <c r="F127" s="59" t="n">
        <v>1770</v>
      </c>
      <c r="G127" s="59" t="n">
        <f aca="false">F127-H127</f>
        <v>1770</v>
      </c>
      <c r="H127" s="58" t="n">
        <v>0</v>
      </c>
      <c r="I127" s="9"/>
      <c r="J127" s="30"/>
    </row>
    <row r="128" customFormat="false" ht="21.95" hidden="false" customHeight="true" outlineLevel="0" collapsed="false">
      <c r="A128" s="0" t="n">
        <v>30</v>
      </c>
      <c r="B128" s="31" t="n">
        <v>35004</v>
      </c>
      <c r="C128" s="9" t="n">
        <v>862898</v>
      </c>
      <c r="D128" s="9" t="s">
        <v>41</v>
      </c>
      <c r="E128" s="33" t="n">
        <f aca="false">IF(D128="totale",(C128/(A128*24))/F128,IF(D128="marché libre",(C128/(A128*24))/G128,"spécifier histo"))</f>
        <v>0.677101381042059</v>
      </c>
      <c r="F128" s="59" t="n">
        <v>1770</v>
      </c>
      <c r="G128" s="59" t="n">
        <f aca="false">F128-H128</f>
        <v>1770</v>
      </c>
      <c r="H128" s="58" t="n">
        <v>0</v>
      </c>
      <c r="I128" s="9"/>
      <c r="J128" s="30"/>
    </row>
    <row r="129" customFormat="false" ht="21.95" hidden="false" customHeight="true" outlineLevel="0" collapsed="false">
      <c r="A129" s="0" t="n">
        <v>31</v>
      </c>
      <c r="B129" s="34" t="n">
        <v>35034</v>
      </c>
      <c r="C129" s="9" t="n">
        <v>1076200</v>
      </c>
      <c r="D129" s="9" t="s">
        <v>41</v>
      </c>
      <c r="E129" s="33" t="n">
        <f aca="false">IF(D129="totale",(C129/(A129*24))/F129,IF(D129="marché libre",(C129/(A129*24))/G129,"spécifier histo"))</f>
        <v>0.817234675900614</v>
      </c>
      <c r="F129" s="59" t="n">
        <v>1770</v>
      </c>
      <c r="G129" s="59" t="n">
        <f aca="false">F129-H129</f>
        <v>1770</v>
      </c>
      <c r="H129" s="58" t="n">
        <v>0</v>
      </c>
      <c r="I129" s="9"/>
      <c r="J129" s="30"/>
    </row>
    <row r="130" customFormat="false" ht="20.5" hidden="false" customHeight="true" outlineLevel="0" collapsed="false">
      <c r="A130" s="0" t="n">
        <v>31</v>
      </c>
      <c r="B130" s="31" t="n">
        <v>35065</v>
      </c>
      <c r="C130" s="9" t="n">
        <v>952000</v>
      </c>
      <c r="D130" s="9" t="s">
        <v>41</v>
      </c>
      <c r="E130" s="33" t="n">
        <f aca="false">IF(D130="totale",(C130/(A130*24))/F130,IF(D130="marché libre",(C130/(A130*24))/G130,"spécifier histo"))</f>
        <v>0.722920843205151</v>
      </c>
      <c r="F130" s="59" t="n">
        <v>1770</v>
      </c>
      <c r="G130" s="59" t="n">
        <f aca="false">F130-H130</f>
        <v>1770</v>
      </c>
      <c r="H130" s="58" t="n">
        <v>0</v>
      </c>
      <c r="I130" s="9"/>
      <c r="J130" s="30"/>
    </row>
    <row r="131" customFormat="false" ht="20.5" hidden="false" customHeight="true" outlineLevel="0" collapsed="false">
      <c r="A131" s="0" t="n">
        <v>28</v>
      </c>
      <c r="B131" s="34" t="n">
        <v>35096</v>
      </c>
      <c r="C131" s="9" t="n">
        <v>1091200</v>
      </c>
      <c r="D131" s="9" t="s">
        <v>41</v>
      </c>
      <c r="E131" s="33" t="n">
        <f aca="false">IF(D131="totale",(C131/(A131*24))/F131,IF(D131="marché libre",(C131/(A131*24))/G131,"spécifier histo"))</f>
        <v>0.91740651062685</v>
      </c>
      <c r="F131" s="59" t="n">
        <v>1770</v>
      </c>
      <c r="G131" s="59" t="n">
        <f aca="false">F131-H131</f>
        <v>1770</v>
      </c>
      <c r="H131" s="58" t="n">
        <v>0</v>
      </c>
      <c r="I131" s="9"/>
      <c r="J131" s="30"/>
    </row>
    <row r="132" customFormat="false" ht="20.5" hidden="false" customHeight="true" outlineLevel="0" collapsed="false">
      <c r="A132" s="0" t="n">
        <v>31</v>
      </c>
      <c r="B132" s="31" t="n">
        <v>35125</v>
      </c>
      <c r="C132" s="9" t="n">
        <v>1310800</v>
      </c>
      <c r="D132" s="9" t="s">
        <v>41</v>
      </c>
      <c r="E132" s="33" t="n">
        <f aca="false">IF(D132="totale",(C132/(A132*24))/F132,IF(D132="marché libre",(C132/(A132*24))/G132,"spécifier histo"))</f>
        <v>0.995383026547597</v>
      </c>
      <c r="F132" s="59" t="n">
        <v>1770</v>
      </c>
      <c r="G132" s="59" t="n">
        <f aca="false">F132-H132</f>
        <v>1770</v>
      </c>
      <c r="H132" s="58" t="n">
        <v>0</v>
      </c>
      <c r="I132" s="9"/>
      <c r="J132" s="30"/>
    </row>
    <row r="133" customFormat="false" ht="20.5" hidden="false" customHeight="true" outlineLevel="0" collapsed="false">
      <c r="A133" s="0" t="n">
        <v>30</v>
      </c>
      <c r="B133" s="34" t="n">
        <v>35156</v>
      </c>
      <c r="C133" s="9" t="n">
        <v>1103400</v>
      </c>
      <c r="D133" s="9" t="s">
        <v>41</v>
      </c>
      <c r="E133" s="33" t="n">
        <f aca="false">IF(D133="totale",(C133/(A133*24))/F133,IF(D133="marché libre",(C133/(A133*24))/G133,"spécifier histo"))</f>
        <v>0.865819209039548</v>
      </c>
      <c r="F133" s="59" t="n">
        <v>1770</v>
      </c>
      <c r="G133" s="59" t="n">
        <f aca="false">F133-H133</f>
        <v>1770</v>
      </c>
      <c r="H133" s="58" t="n">
        <v>0</v>
      </c>
      <c r="I133" s="9"/>
      <c r="J133" s="30"/>
      <c r="M133" s="0"/>
      <c r="N133" s="0"/>
      <c r="O133" s="0"/>
      <c r="P133" s="0"/>
      <c r="Q133" s="0"/>
      <c r="R133" s="0"/>
      <c r="S133" s="0"/>
    </row>
    <row r="134" customFormat="false" ht="20.5" hidden="false" customHeight="true" outlineLevel="0" collapsed="false">
      <c r="A134" s="0" t="n">
        <v>31</v>
      </c>
      <c r="B134" s="31" t="n">
        <v>35186</v>
      </c>
      <c r="C134" s="9" t="n">
        <v>1080000</v>
      </c>
      <c r="D134" s="9" t="s">
        <v>41</v>
      </c>
      <c r="E134" s="33" t="n">
        <f aca="false">IF(D134="totale",(C134/(A134*24))/F134,IF(D134="marché libre",(C134/(A134*24))/G134,"spécifier histo"))</f>
        <v>0.820120284308365</v>
      </c>
      <c r="F134" s="59" t="n">
        <v>1770</v>
      </c>
      <c r="G134" s="59" t="n">
        <f aca="false">F134-H134</f>
        <v>1770</v>
      </c>
      <c r="H134" s="58" t="n">
        <v>0</v>
      </c>
      <c r="I134" s="9"/>
      <c r="J134" s="30"/>
      <c r="M134" s="0"/>
      <c r="N134" s="0"/>
      <c r="O134" s="0"/>
      <c r="P134" s="0"/>
      <c r="Q134" s="0"/>
      <c r="R134" s="0"/>
      <c r="S134" s="0"/>
    </row>
    <row r="135" customFormat="false" ht="20.5" hidden="false" customHeight="true" outlineLevel="0" collapsed="false">
      <c r="A135" s="0" t="n">
        <v>30</v>
      </c>
      <c r="B135" s="34" t="n">
        <v>35217</v>
      </c>
      <c r="C135" s="9" t="n">
        <v>540200</v>
      </c>
      <c r="D135" s="9" t="s">
        <v>41</v>
      </c>
      <c r="E135" s="33" t="n">
        <f aca="false">IF(D135="totale",(C135/(A135*24))/F135,IF(D135="marché libre",(C135/(A135*24))/G135,"spécifier histo"))</f>
        <v>0.423885750156937</v>
      </c>
      <c r="F135" s="59" t="n">
        <v>1770</v>
      </c>
      <c r="G135" s="59" t="n">
        <f aca="false">F135-H135</f>
        <v>1770</v>
      </c>
      <c r="H135" s="58" t="n">
        <v>0</v>
      </c>
      <c r="I135" s="9"/>
      <c r="J135" s="70"/>
      <c r="L135" s="0"/>
      <c r="M135" s="0"/>
      <c r="N135" s="0"/>
      <c r="O135" s="0"/>
      <c r="P135" s="0"/>
      <c r="Q135" s="0"/>
      <c r="R135" s="0"/>
      <c r="S135" s="0"/>
    </row>
    <row r="136" customFormat="false" ht="20.5" hidden="false" customHeight="true" outlineLevel="0" collapsed="false">
      <c r="A136" s="0" t="n">
        <v>31</v>
      </c>
      <c r="B136" s="31" t="n">
        <v>35247</v>
      </c>
      <c r="C136" s="9" t="n">
        <v>361200</v>
      </c>
      <c r="D136" s="9" t="s">
        <v>41</v>
      </c>
      <c r="E136" s="33" t="n">
        <f aca="false">IF(D136="totale",(C136/(A136*24))/F136,IF(D136="marché libre",(C136/(A136*24))/G136,"spécifier histo"))</f>
        <v>0.274284672863131</v>
      </c>
      <c r="F136" s="59" t="n">
        <v>1770</v>
      </c>
      <c r="G136" s="59" t="n">
        <f aca="false">F136-H136</f>
        <v>1770</v>
      </c>
      <c r="H136" s="58" t="n">
        <v>0</v>
      </c>
      <c r="I136" s="9"/>
      <c r="J136" s="236"/>
      <c r="K136" s="38"/>
      <c r="L136" s="0"/>
      <c r="M136" s="0"/>
      <c r="N136" s="0"/>
      <c r="O136" s="0"/>
      <c r="P136" s="0"/>
      <c r="Q136" s="0"/>
      <c r="R136" s="0"/>
      <c r="S136" s="0"/>
    </row>
    <row r="137" customFormat="false" ht="20.5" hidden="false" customHeight="true" outlineLevel="0" collapsed="false">
      <c r="A137" s="0" t="n">
        <v>31</v>
      </c>
      <c r="B137" s="34" t="n">
        <v>35278</v>
      </c>
      <c r="C137" s="9" t="n">
        <v>308200</v>
      </c>
      <c r="D137" s="9" t="s">
        <v>41</v>
      </c>
      <c r="E137" s="33" t="n">
        <f aca="false">IF(D137="totale",(C137/(A137*24))/F137,IF(D137="marché libre",(C137/(A137*24))/G137,"spécifier histo"))</f>
        <v>0.234038029281332</v>
      </c>
      <c r="F137" s="59" t="n">
        <v>1770</v>
      </c>
      <c r="G137" s="59" t="n">
        <f aca="false">F137-H137</f>
        <v>1770</v>
      </c>
      <c r="H137" s="58" t="n">
        <v>0</v>
      </c>
      <c r="I137" s="9"/>
      <c r="J137" s="236"/>
      <c r="K137" s="38"/>
      <c r="L137" s="0"/>
      <c r="M137" s="0"/>
      <c r="N137" s="0"/>
      <c r="O137" s="0"/>
      <c r="P137" s="0"/>
      <c r="Q137" s="0"/>
      <c r="R137" s="0"/>
      <c r="S137" s="0"/>
    </row>
    <row r="138" customFormat="false" ht="20.5" hidden="false" customHeight="true" outlineLevel="0" collapsed="false">
      <c r="A138" s="0" t="n">
        <v>30</v>
      </c>
      <c r="B138" s="31" t="n">
        <v>35309</v>
      </c>
      <c r="C138" s="9" t="n">
        <v>475600</v>
      </c>
      <c r="D138" s="9" t="s">
        <v>41</v>
      </c>
      <c r="E138" s="33" t="n">
        <f aca="false">IF(D138="totale",(C138/(A138*24))/F138,IF(D138="marché libre",(C138/(A138*24))/G138,"spécifier histo"))</f>
        <v>0.373195229127433</v>
      </c>
      <c r="F138" s="59" t="n">
        <v>1770</v>
      </c>
      <c r="G138" s="59" t="n">
        <f aca="false">F138-H138</f>
        <v>1770</v>
      </c>
      <c r="H138" s="58" t="n">
        <v>0</v>
      </c>
      <c r="I138" s="9"/>
      <c r="J138" s="236"/>
      <c r="K138" s="38"/>
      <c r="L138" s="0"/>
      <c r="M138" s="0"/>
      <c r="N138" s="0"/>
      <c r="O138" s="0"/>
      <c r="P138" s="0"/>
      <c r="Q138" s="0"/>
      <c r="R138" s="0"/>
      <c r="S138" s="0"/>
    </row>
    <row r="139" customFormat="false" ht="20.5" hidden="false" customHeight="true" outlineLevel="0" collapsed="false">
      <c r="A139" s="0" t="n">
        <v>31</v>
      </c>
      <c r="B139" s="34" t="n">
        <v>35339</v>
      </c>
      <c r="C139" s="9" t="n">
        <v>811400</v>
      </c>
      <c r="D139" s="9" t="s">
        <v>41</v>
      </c>
      <c r="E139" s="33" t="n">
        <f aca="false">IF(D139="totale",(C139/(A139*24))/F139,IF(D139="marché libre",(C139/(A139*24))/G139,"spécifier histo"))</f>
        <v>0.61615333211834</v>
      </c>
      <c r="F139" s="59" t="n">
        <v>1770</v>
      </c>
      <c r="G139" s="59" t="n">
        <f aca="false">F139-H139</f>
        <v>1770</v>
      </c>
      <c r="H139" s="58" t="n">
        <v>0</v>
      </c>
      <c r="I139" s="9"/>
      <c r="J139" s="70"/>
      <c r="L139" s="0"/>
      <c r="M139" s="0"/>
      <c r="N139" s="0"/>
      <c r="O139" s="0"/>
      <c r="P139" s="0"/>
      <c r="Q139" s="0"/>
      <c r="R139" s="0"/>
      <c r="S139" s="0"/>
    </row>
    <row r="140" customFormat="false" ht="20.5" hidden="false" customHeight="true" outlineLevel="0" collapsed="false">
      <c r="A140" s="0" t="n">
        <v>30</v>
      </c>
      <c r="B140" s="31" t="n">
        <v>35370</v>
      </c>
      <c r="C140" s="9" t="n">
        <v>939800</v>
      </c>
      <c r="D140" s="9" t="s">
        <v>41</v>
      </c>
      <c r="E140" s="33" t="n">
        <f aca="false">IF(D140="totale",(C140/(A140*24))/F140,IF(D140="marché libre",(C140/(A140*24))/G140,"spécifier histo"))</f>
        <v>0.737445072190835</v>
      </c>
      <c r="F140" s="59" t="n">
        <v>1770</v>
      </c>
      <c r="G140" s="59" t="n">
        <f aca="false">F140-H140</f>
        <v>1770</v>
      </c>
      <c r="H140" s="58" t="n">
        <v>0</v>
      </c>
      <c r="I140" s="9"/>
      <c r="J140" s="30"/>
      <c r="M140" s="0"/>
      <c r="N140" s="0"/>
      <c r="O140" s="0"/>
      <c r="P140" s="0"/>
      <c r="Q140" s="0"/>
      <c r="R140" s="0"/>
      <c r="S140" s="0"/>
    </row>
    <row r="141" customFormat="false" ht="20.5" hidden="false" customHeight="true" outlineLevel="0" collapsed="false">
      <c r="A141" s="0" t="n">
        <v>31</v>
      </c>
      <c r="B141" s="34" t="n">
        <v>35400</v>
      </c>
      <c r="C141" s="9" t="n">
        <v>1111100</v>
      </c>
      <c r="D141" s="9" t="s">
        <v>41</v>
      </c>
      <c r="E141" s="33" t="n">
        <f aca="false">IF(D141="totale",(C141/(A141*24))/F141,IF(D141="marché libre",(C141/(A141*24))/G141,"spécifier histo"))</f>
        <v>0.843736711013912</v>
      </c>
      <c r="F141" s="59" t="n">
        <v>1770</v>
      </c>
      <c r="G141" s="59" t="n">
        <f aca="false">F141-H141</f>
        <v>1770</v>
      </c>
      <c r="H141" s="58" t="n">
        <v>0</v>
      </c>
      <c r="I141" s="9"/>
      <c r="J141" s="30"/>
      <c r="M141" s="0"/>
      <c r="N141" s="0"/>
      <c r="O141" s="0"/>
      <c r="P141" s="0"/>
      <c r="Q141" s="0"/>
      <c r="R141" s="0"/>
      <c r="S141" s="0"/>
    </row>
    <row r="142" customFormat="false" ht="20.5" hidden="false" customHeight="true" outlineLevel="0" collapsed="false">
      <c r="A142" s="0" t="n">
        <v>31</v>
      </c>
      <c r="B142" s="31" t="n">
        <v>35431</v>
      </c>
      <c r="C142" s="9" t="n">
        <v>1244000</v>
      </c>
      <c r="D142" s="9" t="s">
        <v>41</v>
      </c>
      <c r="E142" s="33" t="n">
        <f aca="false">IF(D142="totale",(C142/(A142*24))/F142,IF(D142="marché libre",(C142/(A142*24))/G142,"spécifier histo"))</f>
        <v>0.944657068221858</v>
      </c>
      <c r="F142" s="59" t="n">
        <v>1770</v>
      </c>
      <c r="G142" s="59" t="n">
        <f aca="false">F142-H142</f>
        <v>1770</v>
      </c>
      <c r="H142" s="58" t="n">
        <v>0</v>
      </c>
      <c r="I142" s="9"/>
      <c r="J142" s="0"/>
      <c r="K142" s="0"/>
      <c r="L142" s="0"/>
      <c r="M142" s="0"/>
      <c r="N142" s="0"/>
      <c r="O142" s="0"/>
      <c r="P142" s="0"/>
      <c r="Q142" s="0"/>
      <c r="R142" s="0"/>
      <c r="S142" s="0"/>
    </row>
    <row r="143" customFormat="false" ht="20.5" hidden="false" customHeight="true" outlineLevel="0" collapsed="false">
      <c r="A143" s="0" t="n">
        <v>28</v>
      </c>
      <c r="B143" s="34" t="n">
        <v>35462</v>
      </c>
      <c r="C143" s="9" t="n">
        <v>953600</v>
      </c>
      <c r="D143" s="9" t="s">
        <v>41</v>
      </c>
      <c r="E143" s="33" t="n">
        <f aca="false">IF(D143="totale",(C143/(A143*24))/F143,IF(D143="marché libre",(C143/(A143*24))/G143,"spécifier histo"))</f>
        <v>0.801721818670971</v>
      </c>
      <c r="F143" s="59" t="n">
        <v>1770</v>
      </c>
      <c r="G143" s="59" t="n">
        <f aca="false">F143-H143</f>
        <v>1770</v>
      </c>
      <c r="H143" s="58" t="n">
        <v>0</v>
      </c>
      <c r="I143" s="9"/>
      <c r="J143" s="0"/>
      <c r="K143" s="0"/>
      <c r="L143" s="0"/>
      <c r="M143" s="0"/>
      <c r="N143" s="0"/>
      <c r="O143" s="0"/>
      <c r="P143" s="0"/>
      <c r="Q143" s="0"/>
      <c r="R143" s="0"/>
      <c r="S143" s="0"/>
    </row>
    <row r="144" customFormat="false" ht="20.5" hidden="false" customHeight="true" outlineLevel="0" collapsed="false">
      <c r="A144" s="0" t="n">
        <v>31</v>
      </c>
      <c r="B144" s="31" t="n">
        <v>35490</v>
      </c>
      <c r="C144" s="9" t="n">
        <v>812600</v>
      </c>
      <c r="D144" s="9" t="s">
        <v>41</v>
      </c>
      <c r="E144" s="33" t="n">
        <f aca="false">IF(D144="totale",(C144/(A144*24))/F144,IF(D144="marché libre",(C144/(A144*24))/G144,"spécifier histo"))</f>
        <v>0.617064576878683</v>
      </c>
      <c r="F144" s="59" t="n">
        <v>1770</v>
      </c>
      <c r="G144" s="59" t="n">
        <f aca="false">F144-H144</f>
        <v>1770</v>
      </c>
      <c r="H144" s="58" t="n">
        <v>0</v>
      </c>
      <c r="I144" s="9"/>
      <c r="J144" s="0"/>
      <c r="K144" s="0"/>
      <c r="L144" s="0"/>
      <c r="M144" s="0"/>
      <c r="N144" s="0"/>
      <c r="O144" s="0"/>
      <c r="P144" s="0"/>
      <c r="Q144" s="0"/>
      <c r="R144" s="0"/>
      <c r="S144" s="0"/>
    </row>
    <row r="145" customFormat="false" ht="20.5" hidden="false" customHeight="true" outlineLevel="0" collapsed="false">
      <c r="A145" s="0" t="n">
        <v>30</v>
      </c>
      <c r="B145" s="34" t="n">
        <v>35521</v>
      </c>
      <c r="C145" s="9" t="n">
        <v>353400</v>
      </c>
      <c r="D145" s="9" t="s">
        <v>41</v>
      </c>
      <c r="E145" s="33" t="n">
        <f aca="false">IF(D145="totale",(C145/(A145*24))/F145,IF(D145="marché libre",(C145/(A145*24))/G145,"spécifier histo"))</f>
        <v>0.277306967984934</v>
      </c>
      <c r="F145" s="59" t="n">
        <v>1770</v>
      </c>
      <c r="G145" s="59" t="n">
        <f aca="false">F145-H145</f>
        <v>1770</v>
      </c>
      <c r="H145" s="58" t="n">
        <v>0</v>
      </c>
      <c r="I145" s="9"/>
      <c r="J145" s="0"/>
      <c r="K145" s="0"/>
      <c r="L145" s="0"/>
      <c r="M145" s="0"/>
      <c r="N145" s="0"/>
      <c r="O145" s="0"/>
      <c r="P145" s="0"/>
      <c r="Q145" s="0"/>
      <c r="R145" s="0"/>
    </row>
    <row r="146" customFormat="false" ht="20.5" hidden="false" customHeight="true" outlineLevel="0" collapsed="false">
      <c r="A146" s="0" t="n">
        <v>31</v>
      </c>
      <c r="B146" s="31" t="n">
        <v>35551</v>
      </c>
      <c r="C146" s="9" t="n">
        <v>485600</v>
      </c>
      <c r="D146" s="9" t="s">
        <v>41</v>
      </c>
      <c r="E146" s="33" t="n">
        <f aca="false">IF(D146="totale",(C146/(A146*24))/F146,IF(D146="marché libre",(C146/(A146*24))/G146,"spécifier histo"))</f>
        <v>0.368750379685317</v>
      </c>
      <c r="F146" s="59" t="n">
        <v>1770</v>
      </c>
      <c r="G146" s="59" t="n">
        <f aca="false">F146-H146</f>
        <v>1770</v>
      </c>
      <c r="H146" s="58" t="n">
        <v>0</v>
      </c>
      <c r="I146" s="9"/>
      <c r="J146" s="0"/>
      <c r="K146" s="0"/>
      <c r="L146" s="0"/>
      <c r="M146" s="0"/>
      <c r="N146" s="0"/>
      <c r="O146" s="0"/>
      <c r="P146" s="0"/>
      <c r="Q146" s="0"/>
      <c r="R146" s="0"/>
    </row>
    <row r="147" customFormat="false" ht="20.5" hidden="false" customHeight="true" outlineLevel="0" collapsed="false">
      <c r="A147" s="0" t="n">
        <v>30</v>
      </c>
      <c r="B147" s="34" t="n">
        <v>35582</v>
      </c>
      <c r="C147" s="9" t="n">
        <v>405600</v>
      </c>
      <c r="D147" s="9" t="s">
        <v>41</v>
      </c>
      <c r="E147" s="33" t="n">
        <f aca="false">IF(D147="totale",(C147/(A147*24))/F147,IF(D147="marché libre",(C147/(A147*24))/G147,"spécifier histo"))</f>
        <v>0.318267419962335</v>
      </c>
      <c r="F147" s="59" t="n">
        <v>1770</v>
      </c>
      <c r="G147" s="59" t="n">
        <f aca="false">F147-H147</f>
        <v>1770</v>
      </c>
      <c r="H147" s="58" t="n">
        <v>0</v>
      </c>
      <c r="I147" s="9"/>
      <c r="J147" s="30"/>
    </row>
    <row r="148" customFormat="false" ht="20.5" hidden="false" customHeight="true" outlineLevel="0" collapsed="false">
      <c r="A148" s="0" t="n">
        <v>31</v>
      </c>
      <c r="B148" s="31" t="n">
        <v>35612</v>
      </c>
      <c r="C148" s="9" t="n">
        <v>289800</v>
      </c>
      <c r="D148" s="9" t="s">
        <v>41</v>
      </c>
      <c r="E148" s="33" t="n">
        <f aca="false">IF(D148="totale",(C148/(A148*24))/F148,IF(D148="marché libre",(C148/(A148*24))/G148,"spécifier histo"))</f>
        <v>0.220065609622745</v>
      </c>
      <c r="F148" s="59" t="n">
        <v>1770</v>
      </c>
      <c r="G148" s="59" t="n">
        <f aca="false">F148-H148</f>
        <v>1770</v>
      </c>
      <c r="H148" s="58" t="n">
        <v>0</v>
      </c>
      <c r="I148" s="9"/>
      <c r="J148" s="30"/>
    </row>
    <row r="149" customFormat="false" ht="20.5" hidden="false" customHeight="true" outlineLevel="0" collapsed="false">
      <c r="A149" s="0" t="n">
        <v>31</v>
      </c>
      <c r="B149" s="34" t="n">
        <v>35643</v>
      </c>
      <c r="C149" s="9" t="n">
        <v>216600</v>
      </c>
      <c r="D149" s="9" t="s">
        <v>41</v>
      </c>
      <c r="E149" s="33" t="n">
        <f aca="false">IF(D149="totale",(C149/(A149*24))/F149,IF(D149="marché libre",(C149/(A149*24))/G149,"spécifier histo"))</f>
        <v>0.164479679241844</v>
      </c>
      <c r="F149" s="59" t="n">
        <v>1770</v>
      </c>
      <c r="G149" s="59" t="n">
        <f aca="false">F149-H149</f>
        <v>1770</v>
      </c>
      <c r="H149" s="58" t="n">
        <v>0</v>
      </c>
      <c r="I149" s="9"/>
      <c r="J149" s="30"/>
    </row>
    <row r="150" customFormat="false" ht="20.5" hidden="false" customHeight="true" outlineLevel="0" collapsed="false">
      <c r="A150" s="0" t="n">
        <v>30</v>
      </c>
      <c r="B150" s="31" t="n">
        <v>35674</v>
      </c>
      <c r="C150" s="9" t="n">
        <v>348600</v>
      </c>
      <c r="D150" s="9" t="s">
        <v>41</v>
      </c>
      <c r="E150" s="33" t="n">
        <f aca="false">IF(D150="totale",(C150/(A150*24))/F150,IF(D150="marché libre",(C150/(A150*24))/G150,"spécifier histo"))</f>
        <v>0.273540489642185</v>
      </c>
      <c r="F150" s="59" t="n">
        <v>1770</v>
      </c>
      <c r="G150" s="59" t="n">
        <f aca="false">F150-H150</f>
        <v>1770</v>
      </c>
      <c r="H150" s="58" t="n">
        <v>0</v>
      </c>
      <c r="I150" s="9"/>
      <c r="J150" s="30"/>
      <c r="K150" s="30"/>
      <c r="L150" s="30"/>
      <c r="M150" s="30"/>
      <c r="N150" s="30"/>
      <c r="O150" s="30"/>
      <c r="P150" s="30"/>
      <c r="Q150" s="30"/>
      <c r="R150" s="30"/>
      <c r="S150" s="30"/>
      <c r="T150" s="30"/>
      <c r="U150" s="30"/>
    </row>
    <row r="151" customFormat="false" ht="20.5" hidden="false" customHeight="true" outlineLevel="0" collapsed="false">
      <c r="A151" s="0" t="n">
        <v>31</v>
      </c>
      <c r="B151" s="34" t="n">
        <v>35704</v>
      </c>
      <c r="C151" s="9" t="n">
        <v>514800</v>
      </c>
      <c r="D151" s="9" t="s">
        <v>41</v>
      </c>
      <c r="E151" s="33" t="n">
        <f aca="false">IF(D151="totale",(C151/(A151*24))/F151,IF(D151="marché libre",(C151/(A151*24))/G151,"spécifier histo"))</f>
        <v>0.390924002186987</v>
      </c>
      <c r="F151" s="59" t="n">
        <v>1770</v>
      </c>
      <c r="G151" s="59" t="n">
        <f aca="false">F151-H151</f>
        <v>1770</v>
      </c>
      <c r="H151" s="58" t="n">
        <v>0</v>
      </c>
      <c r="I151" s="9"/>
      <c r="J151" s="30"/>
      <c r="K151" s="30"/>
      <c r="L151" s="30"/>
      <c r="M151" s="30"/>
      <c r="N151" s="30"/>
      <c r="O151" s="30"/>
      <c r="P151" s="30"/>
      <c r="Q151" s="30"/>
      <c r="R151" s="30"/>
      <c r="S151" s="30"/>
      <c r="T151" s="30"/>
      <c r="U151" s="30"/>
    </row>
    <row r="152" customFormat="false" ht="20.5" hidden="false" customHeight="true" outlineLevel="0" collapsed="false">
      <c r="A152" s="0" t="n">
        <v>30</v>
      </c>
      <c r="B152" s="31" t="n">
        <v>35735</v>
      </c>
      <c r="C152" s="9" t="n">
        <v>837200</v>
      </c>
      <c r="D152" s="9" t="s">
        <v>41</v>
      </c>
      <c r="E152" s="33" t="n">
        <f aca="false">IF(D152="totale",(C152/(A152*24))/F152,IF(D152="marché libre",(C152/(A152*24))/G152,"spécifier histo"))</f>
        <v>0.656936597614564</v>
      </c>
      <c r="F152" s="59" t="n">
        <v>1770</v>
      </c>
      <c r="G152" s="59" t="n">
        <f aca="false">F152-H152</f>
        <v>1770</v>
      </c>
      <c r="H152" s="58" t="n">
        <v>0</v>
      </c>
      <c r="I152" s="9"/>
      <c r="J152" s="30"/>
      <c r="K152" s="30"/>
      <c r="L152" s="30"/>
      <c r="M152" s="30"/>
      <c r="N152" s="30"/>
      <c r="O152" s="30"/>
      <c r="P152" s="30"/>
      <c r="Q152" s="30"/>
      <c r="R152" s="30"/>
      <c r="S152" s="30"/>
      <c r="T152" s="30"/>
      <c r="U152" s="30"/>
    </row>
    <row r="153" customFormat="false" ht="20.5" hidden="false" customHeight="true" outlineLevel="0" collapsed="false">
      <c r="A153" s="0" t="n">
        <v>31</v>
      </c>
      <c r="B153" s="34" t="n">
        <v>35765</v>
      </c>
      <c r="C153" s="9" t="n">
        <v>1218600</v>
      </c>
      <c r="D153" s="9" t="s">
        <v>41</v>
      </c>
      <c r="E153" s="33" t="n">
        <f aca="false">IF(D153="totale",(C153/(A153*24))/F153,IF(D153="marché libre",(C153/(A153*24))/G153,"spécifier histo"))</f>
        <v>0.925369054127939</v>
      </c>
      <c r="F153" s="59" t="n">
        <v>1770</v>
      </c>
      <c r="G153" s="59" t="n">
        <f aca="false">F153-H153</f>
        <v>1770</v>
      </c>
      <c r="H153" s="58" t="n">
        <v>0</v>
      </c>
      <c r="I153" s="9"/>
      <c r="J153" s="30"/>
      <c r="K153" s="30"/>
      <c r="L153" s="30"/>
      <c r="M153" s="30"/>
      <c r="N153" s="30"/>
      <c r="O153" s="30"/>
      <c r="P153" s="30"/>
      <c r="Q153" s="30"/>
      <c r="R153" s="30"/>
      <c r="S153" s="30"/>
      <c r="T153" s="30"/>
      <c r="U153" s="30"/>
    </row>
    <row r="154" customFormat="false" ht="20.5" hidden="false" customHeight="true" outlineLevel="0" collapsed="false">
      <c r="A154" s="0" t="n">
        <v>31</v>
      </c>
      <c r="B154" s="31" t="n">
        <v>35796</v>
      </c>
      <c r="C154" s="9" t="n">
        <v>1210600</v>
      </c>
      <c r="D154" s="9" t="s">
        <v>41</v>
      </c>
      <c r="E154" s="33" t="n">
        <f aca="false">IF(D154="totale",(C154/(A154*24))/F154,IF(D154="marché libre",(C154/(A154*24))/G154,"spécifier histo"))</f>
        <v>0.919294089058988</v>
      </c>
      <c r="F154" s="59" t="n">
        <v>1770</v>
      </c>
      <c r="G154" s="59" t="n">
        <f aca="false">F154-H154</f>
        <v>1770</v>
      </c>
      <c r="H154" s="58" t="n">
        <v>0</v>
      </c>
      <c r="I154" s="9"/>
      <c r="J154" s="30"/>
      <c r="K154" s="30"/>
      <c r="L154" s="30"/>
      <c r="M154" s="30"/>
      <c r="N154" s="30"/>
      <c r="O154" s="30"/>
      <c r="P154" s="30"/>
      <c r="Q154" s="30"/>
      <c r="R154" s="30"/>
      <c r="S154" s="30"/>
      <c r="T154" s="30"/>
      <c r="U154" s="30"/>
    </row>
    <row r="155" customFormat="false" ht="20.5" hidden="false" customHeight="true" outlineLevel="0" collapsed="false">
      <c r="A155" s="0" t="n">
        <v>28</v>
      </c>
      <c r="B155" s="34" t="n">
        <v>35827</v>
      </c>
      <c r="C155" s="9" t="n">
        <v>857400</v>
      </c>
      <c r="D155" s="9" t="s">
        <v>41</v>
      </c>
      <c r="E155" s="33" t="n">
        <f aca="false">IF(D155="totale",(C155/(A155*24))/F155,IF(D155="marché libre",(C155/(A155*24))/G155,"spécifier histo"))</f>
        <v>0.720843422114609</v>
      </c>
      <c r="F155" s="59" t="n">
        <v>1770</v>
      </c>
      <c r="G155" s="59" t="n">
        <f aca="false">F155-H155</f>
        <v>1770</v>
      </c>
      <c r="H155" s="58" t="n">
        <v>0</v>
      </c>
      <c r="I155" s="9"/>
      <c r="J155" s="30"/>
      <c r="K155" s="30"/>
      <c r="L155" s="30"/>
      <c r="M155" s="30"/>
      <c r="N155" s="30"/>
      <c r="O155" s="30"/>
      <c r="P155" s="30"/>
      <c r="Q155" s="30"/>
      <c r="R155" s="30"/>
      <c r="S155" s="30"/>
      <c r="T155" s="30"/>
      <c r="U155" s="30"/>
    </row>
    <row r="156" customFormat="false" ht="20.5" hidden="false" customHeight="true" outlineLevel="0" collapsed="false">
      <c r="A156" s="0" t="n">
        <v>31</v>
      </c>
      <c r="B156" s="31" t="n">
        <v>35855</v>
      </c>
      <c r="C156" s="9" t="n">
        <v>685400</v>
      </c>
      <c r="D156" s="9" t="s">
        <v>41</v>
      </c>
      <c r="E156" s="33" t="n">
        <f aca="false">IF(D156="totale",(C156/(A156*24))/F156,IF(D156="marché libre",(C156/(A156*24))/G156,"spécifier histo"))</f>
        <v>0.520472632282364</v>
      </c>
      <c r="F156" s="59" t="n">
        <v>1770</v>
      </c>
      <c r="G156" s="59" t="n">
        <f aca="false">F156-H156</f>
        <v>1770</v>
      </c>
      <c r="H156" s="58" t="n">
        <v>0</v>
      </c>
      <c r="I156" s="9"/>
      <c r="J156" s="30"/>
      <c r="K156" s="30"/>
      <c r="L156" s="30"/>
      <c r="M156" s="30"/>
      <c r="N156" s="30"/>
      <c r="O156" s="30"/>
      <c r="P156" s="30"/>
      <c r="Q156" s="30"/>
      <c r="R156" s="30"/>
      <c r="S156" s="30"/>
      <c r="T156" s="30"/>
      <c r="U156" s="30"/>
    </row>
    <row r="157" customFormat="false" ht="20.5" hidden="false" customHeight="true" outlineLevel="0" collapsed="false">
      <c r="A157" s="0" t="n">
        <v>30</v>
      </c>
      <c r="B157" s="34" t="n">
        <v>35886</v>
      </c>
      <c r="C157" s="9" t="n">
        <v>910800</v>
      </c>
      <c r="D157" s="9" t="s">
        <v>41</v>
      </c>
      <c r="E157" s="33" t="n">
        <f aca="false">IF(D157="totale",(C157/(A157*24))/F157,IF(D157="marché libre",(C157/(A157*24))/G157,"spécifier histo"))</f>
        <v>0.714689265536723</v>
      </c>
      <c r="F157" s="59" t="n">
        <v>1770</v>
      </c>
      <c r="G157" s="59" t="n">
        <f aca="false">F157-H157</f>
        <v>1770</v>
      </c>
      <c r="H157" s="58" t="n">
        <v>0</v>
      </c>
      <c r="I157" s="9"/>
      <c r="J157" s="30"/>
      <c r="K157" s="30"/>
      <c r="L157" s="30"/>
      <c r="M157" s="30"/>
      <c r="N157" s="30"/>
      <c r="O157" s="30"/>
      <c r="P157" s="30"/>
      <c r="Q157" s="30"/>
      <c r="R157" s="30"/>
      <c r="S157" s="30"/>
      <c r="T157" s="30"/>
      <c r="U157" s="30"/>
    </row>
    <row r="158" customFormat="false" ht="20.5" hidden="false" customHeight="true" outlineLevel="0" collapsed="false">
      <c r="A158" s="0" t="n">
        <v>31</v>
      </c>
      <c r="B158" s="31" t="n">
        <v>35916</v>
      </c>
      <c r="C158" s="9" t="n">
        <v>1143000</v>
      </c>
      <c r="D158" s="9" t="s">
        <v>41</v>
      </c>
      <c r="E158" s="33" t="n">
        <f aca="false">IF(D158="totale",(C158/(A158*24))/F158,IF(D158="marché libre",(C158/(A158*24))/G158,"spécifier histo"))</f>
        <v>0.867960634226353</v>
      </c>
      <c r="F158" s="59" t="n">
        <v>1770</v>
      </c>
      <c r="G158" s="59" t="n">
        <f aca="false">F158-H158</f>
        <v>1770</v>
      </c>
      <c r="H158" s="58" t="n">
        <v>0</v>
      </c>
      <c r="I158" s="9"/>
      <c r="J158" s="30"/>
      <c r="K158" s="30"/>
      <c r="L158" s="30"/>
      <c r="M158" s="30"/>
      <c r="N158" s="30"/>
      <c r="O158" s="30"/>
      <c r="P158" s="30"/>
      <c r="Q158" s="30"/>
      <c r="R158" s="30"/>
      <c r="S158" s="30"/>
      <c r="T158" s="30"/>
      <c r="U158" s="30"/>
    </row>
    <row r="159" customFormat="false" ht="20.5" hidden="false" customHeight="true" outlineLevel="0" collapsed="false">
      <c r="A159" s="0" t="n">
        <v>30</v>
      </c>
      <c r="B159" s="34" t="n">
        <v>35947</v>
      </c>
      <c r="C159" s="9" t="n">
        <v>542600</v>
      </c>
      <c r="D159" s="9" t="s">
        <v>41</v>
      </c>
      <c r="E159" s="33" t="n">
        <f aca="false">IF(D159="totale",(C159/(A159*24))/F159,IF(D159="marché libre",(C159/(A159*24))/G159,"spécifier histo"))</f>
        <v>0.425768989328311</v>
      </c>
      <c r="F159" s="59" t="n">
        <v>1770</v>
      </c>
      <c r="G159" s="59" t="n">
        <f aca="false">F159-H159</f>
        <v>1770</v>
      </c>
      <c r="H159" s="58" t="n">
        <v>0</v>
      </c>
      <c r="I159" s="9"/>
      <c r="J159" s="30"/>
      <c r="K159" s="30"/>
      <c r="L159" s="30"/>
      <c r="M159" s="30"/>
      <c r="N159" s="30"/>
      <c r="O159" s="30"/>
      <c r="P159" s="30"/>
      <c r="Q159" s="30"/>
      <c r="R159" s="30"/>
      <c r="S159" s="30"/>
      <c r="T159" s="30"/>
      <c r="U159" s="30"/>
    </row>
    <row r="160" customFormat="false" ht="20.5" hidden="false" customHeight="true" outlineLevel="0" collapsed="false">
      <c r="A160" s="0" t="n">
        <v>31</v>
      </c>
      <c r="B160" s="31" t="n">
        <v>35977</v>
      </c>
      <c r="C160" s="9" t="n">
        <v>161200</v>
      </c>
      <c r="D160" s="9" t="s">
        <v>41</v>
      </c>
      <c r="E160" s="33" t="n">
        <f aca="false">IF(D160="totale",(C160/(A160*24))/F160,IF(D160="marché libre",(C160/(A160*24))/G160,"spécifier histo"))</f>
        <v>0.12241054613936</v>
      </c>
      <c r="F160" s="59" t="n">
        <v>1770</v>
      </c>
      <c r="G160" s="59" t="n">
        <f aca="false">F160-H160</f>
        <v>1770</v>
      </c>
      <c r="H160" s="58" t="n">
        <v>0</v>
      </c>
      <c r="I160" s="9"/>
      <c r="J160" s="30"/>
      <c r="K160" s="30"/>
      <c r="L160" s="30"/>
      <c r="M160" s="30"/>
      <c r="N160" s="30"/>
      <c r="O160" s="30"/>
      <c r="P160" s="30"/>
      <c r="Q160" s="30"/>
      <c r="R160" s="30"/>
      <c r="S160" s="30"/>
      <c r="T160" s="30"/>
      <c r="U160" s="30"/>
    </row>
    <row r="161" customFormat="false" ht="20.5" hidden="false" customHeight="true" outlineLevel="0" collapsed="false">
      <c r="A161" s="0" t="n">
        <v>31</v>
      </c>
      <c r="B161" s="34" t="n">
        <v>36008</v>
      </c>
      <c r="C161" s="9" t="n">
        <v>196200</v>
      </c>
      <c r="D161" s="9" t="s">
        <v>41</v>
      </c>
      <c r="E161" s="33" t="n">
        <f aca="false">IF(D161="totale",(C161/(A161*24))/F161,IF(D161="marché libre",(C161/(A161*24))/G161,"spécifier histo"))</f>
        <v>0.14898851831602</v>
      </c>
      <c r="F161" s="59" t="n">
        <v>1770</v>
      </c>
      <c r="G161" s="59" t="n">
        <f aca="false">F161-H161</f>
        <v>1770</v>
      </c>
      <c r="H161" s="58" t="n">
        <v>0</v>
      </c>
      <c r="I161" s="9"/>
      <c r="J161" s="30"/>
      <c r="K161" s="30"/>
      <c r="L161" s="30"/>
      <c r="M161" s="30"/>
      <c r="N161" s="30"/>
      <c r="O161" s="30"/>
      <c r="P161" s="30"/>
      <c r="Q161" s="30"/>
      <c r="R161" s="30"/>
      <c r="S161" s="30"/>
      <c r="T161" s="30"/>
      <c r="U161" s="30"/>
    </row>
    <row r="162" customFormat="false" ht="20.5" hidden="false" customHeight="true" outlineLevel="0" collapsed="false">
      <c r="A162" s="0" t="n">
        <v>30</v>
      </c>
      <c r="B162" s="31" t="n">
        <v>36039</v>
      </c>
      <c r="C162" s="9" t="n">
        <v>234600</v>
      </c>
      <c r="D162" s="9" t="s">
        <v>41</v>
      </c>
      <c r="E162" s="33" t="n">
        <f aca="false">IF(D162="totale",(C162/(A162*24))/F162,IF(D162="marché libre",(C162/(A162*24))/G162,"spécifier histo"))</f>
        <v>0.184086629001883</v>
      </c>
      <c r="F162" s="59" t="n">
        <v>1770</v>
      </c>
      <c r="G162" s="59" t="n">
        <f aca="false">F162-H162</f>
        <v>1770</v>
      </c>
      <c r="H162" s="58" t="n">
        <v>0</v>
      </c>
      <c r="I162" s="9"/>
      <c r="J162" s="30"/>
      <c r="K162" s="30"/>
      <c r="L162" s="30"/>
      <c r="M162" s="30"/>
      <c r="N162" s="30"/>
      <c r="O162" s="30"/>
      <c r="P162" s="30"/>
      <c r="Q162" s="30"/>
      <c r="R162" s="30"/>
      <c r="S162" s="30"/>
      <c r="T162" s="30"/>
      <c r="U162" s="30"/>
    </row>
    <row r="163" customFormat="false" ht="20.5" hidden="false" customHeight="true" outlineLevel="0" collapsed="false">
      <c r="A163" s="0" t="n">
        <v>31</v>
      </c>
      <c r="B163" s="34" t="n">
        <v>36069</v>
      </c>
      <c r="C163" s="9" t="n">
        <v>419600</v>
      </c>
      <c r="D163" s="9" t="s">
        <v>41</v>
      </c>
      <c r="E163" s="33" t="n">
        <f aca="false">IF(D163="totale",(C163/(A163*24))/F163,IF(D163="marché libre",(C163/(A163*24))/G163,"spécifier histo"))</f>
        <v>0.318631917866472</v>
      </c>
      <c r="F163" s="59" t="n">
        <v>1770</v>
      </c>
      <c r="G163" s="59" t="n">
        <f aca="false">F163-H163</f>
        <v>1770</v>
      </c>
      <c r="H163" s="58" t="n">
        <v>0</v>
      </c>
      <c r="I163" s="9"/>
      <c r="J163" s="30"/>
      <c r="K163" s="30"/>
      <c r="L163" s="30"/>
      <c r="M163" s="30"/>
      <c r="N163" s="30"/>
      <c r="O163" s="30"/>
      <c r="P163" s="30"/>
      <c r="Q163" s="30"/>
      <c r="R163" s="30"/>
      <c r="S163" s="30"/>
      <c r="T163" s="30"/>
      <c r="U163" s="30"/>
    </row>
    <row r="164" customFormat="false" ht="20.5" hidden="false" customHeight="true" outlineLevel="0" collapsed="false">
      <c r="A164" s="0" t="n">
        <v>30</v>
      </c>
      <c r="B164" s="31" t="n">
        <v>36100</v>
      </c>
      <c r="C164" s="9" t="n">
        <v>514200</v>
      </c>
      <c r="D164" s="9" t="s">
        <v>41</v>
      </c>
      <c r="E164" s="33" t="n">
        <f aca="false">IF(D164="totale",(C164/(A164*24))/F164,IF(D164="marché libre",(C164/(A164*24))/G164,"spécifier histo"))</f>
        <v>0.403483992467043</v>
      </c>
      <c r="F164" s="59" t="n">
        <v>1770</v>
      </c>
      <c r="G164" s="59" t="n">
        <f aca="false">F164-H164</f>
        <v>1770</v>
      </c>
      <c r="H164" s="58" t="n">
        <v>0</v>
      </c>
      <c r="I164" s="9"/>
      <c r="J164" s="30"/>
      <c r="K164" s="30"/>
      <c r="L164" s="30"/>
      <c r="M164" s="30"/>
      <c r="N164" s="30"/>
      <c r="O164" s="30"/>
      <c r="P164" s="30"/>
      <c r="Q164" s="30"/>
      <c r="R164" s="30"/>
      <c r="S164" s="30"/>
      <c r="T164" s="30"/>
      <c r="U164" s="30"/>
    </row>
    <row r="165" customFormat="false" ht="20.5" hidden="false" customHeight="true" outlineLevel="0" collapsed="false">
      <c r="A165" s="0" t="n">
        <v>31</v>
      </c>
      <c r="B165" s="34" t="n">
        <v>36130</v>
      </c>
      <c r="C165" s="9" t="n">
        <v>551800</v>
      </c>
      <c r="D165" s="9" t="s">
        <v>41</v>
      </c>
      <c r="E165" s="33" t="n">
        <f aca="false">IF(D165="totale",(C165/(A165*24))/F165,IF(D165="marché libre",(C165/(A165*24))/G165,"spécifier histo"))</f>
        <v>0.419020715630885</v>
      </c>
      <c r="F165" s="59" t="n">
        <v>1770</v>
      </c>
      <c r="G165" s="59" t="n">
        <f aca="false">F165-H165</f>
        <v>1770</v>
      </c>
      <c r="H165" s="58" t="n">
        <v>0</v>
      </c>
      <c r="I165" s="9"/>
      <c r="J165" s="30"/>
      <c r="K165" s="30"/>
      <c r="L165" s="30"/>
      <c r="M165" s="30"/>
      <c r="N165" s="30"/>
      <c r="O165" s="30"/>
      <c r="P165" s="30"/>
      <c r="Q165" s="30"/>
      <c r="R165" s="30"/>
      <c r="S165" s="30"/>
      <c r="T165" s="30"/>
      <c r="U165" s="30"/>
    </row>
    <row r="166" customFormat="false" ht="20.5" hidden="false" customHeight="true" outlineLevel="0" collapsed="false">
      <c r="A166" s="0" t="n">
        <v>31</v>
      </c>
      <c r="B166" s="31" t="n">
        <v>36161</v>
      </c>
      <c r="C166" s="9" t="n">
        <v>1234600</v>
      </c>
      <c r="D166" s="9" t="s">
        <v>41</v>
      </c>
      <c r="E166" s="33" t="n">
        <f aca="false">IF(D166="totale",(C166/(A166*24))/F166,IF(D166="marché libre",(C166/(A166*24))/G166,"spécifier histo"))</f>
        <v>0.937518984265841</v>
      </c>
      <c r="F166" s="59" t="n">
        <v>1770</v>
      </c>
      <c r="G166" s="59" t="n">
        <f aca="false">F166-H166</f>
        <v>1770</v>
      </c>
      <c r="H166" s="58" t="n">
        <v>0</v>
      </c>
      <c r="I166" s="9"/>
      <c r="J166" s="30"/>
      <c r="K166" s="30"/>
      <c r="L166" s="30"/>
      <c r="M166" s="30"/>
      <c r="N166" s="30"/>
      <c r="O166" s="30"/>
      <c r="P166" s="30"/>
      <c r="Q166" s="30"/>
      <c r="R166" s="30"/>
      <c r="S166" s="30"/>
      <c r="T166" s="30"/>
      <c r="U166" s="30"/>
    </row>
    <row r="167" customFormat="false" ht="20.5" hidden="false" customHeight="true" outlineLevel="0" collapsed="false">
      <c r="A167" s="0" t="n">
        <v>28</v>
      </c>
      <c r="B167" s="34" t="n">
        <v>36192</v>
      </c>
      <c r="C167" s="9" t="n">
        <v>1114000</v>
      </c>
      <c r="D167" s="9" t="s">
        <v>41</v>
      </c>
      <c r="E167" s="33" t="n">
        <f aca="false">IF(D167="totale",(C167/(A167*24))/F167,IF(D167="marché libre",(C167/(A167*24))/G167,"spécifier histo"))</f>
        <v>0.936575195049771</v>
      </c>
      <c r="F167" s="59" t="n">
        <v>1770</v>
      </c>
      <c r="G167" s="59" t="n">
        <f aca="false">F167-H167</f>
        <v>1770</v>
      </c>
      <c r="H167" s="58" t="n">
        <v>0</v>
      </c>
      <c r="I167" s="9"/>
      <c r="J167" s="30"/>
      <c r="K167" s="30"/>
      <c r="L167" s="30"/>
      <c r="M167" s="30"/>
      <c r="N167" s="30"/>
      <c r="O167" s="30"/>
      <c r="P167" s="30"/>
      <c r="Q167" s="30"/>
      <c r="R167" s="30"/>
      <c r="S167" s="30"/>
      <c r="T167" s="30"/>
      <c r="U167" s="30"/>
    </row>
    <row r="168" customFormat="false" ht="20.5" hidden="false" customHeight="true" outlineLevel="0" collapsed="false">
      <c r="A168" s="0" t="n">
        <v>31</v>
      </c>
      <c r="B168" s="31" t="n">
        <v>36220</v>
      </c>
      <c r="C168" s="9" t="n">
        <v>1204000</v>
      </c>
      <c r="D168" s="9" t="s">
        <v>41</v>
      </c>
      <c r="E168" s="33" t="n">
        <f aca="false">IF(D168="totale",(C168/(A168*24))/F168,IF(D168="marché libre",(C168/(A168*24))/G168,"spécifier histo"))</f>
        <v>0.914282242877103</v>
      </c>
      <c r="F168" s="59" t="n">
        <v>1770</v>
      </c>
      <c r="G168" s="59" t="n">
        <f aca="false">F168-H168</f>
        <v>1770</v>
      </c>
      <c r="H168" s="58" t="n">
        <v>0</v>
      </c>
      <c r="I168" s="9"/>
      <c r="J168" s="30"/>
      <c r="K168" s="30"/>
      <c r="L168" s="30"/>
      <c r="M168" s="30"/>
      <c r="N168" s="30"/>
      <c r="O168" s="30"/>
      <c r="P168" s="30"/>
      <c r="Q168" s="30"/>
      <c r="R168" s="30"/>
      <c r="S168" s="30"/>
      <c r="T168" s="30"/>
      <c r="U168" s="30"/>
    </row>
    <row r="169" customFormat="false" ht="20.5" hidden="false" customHeight="true" outlineLevel="0" collapsed="false">
      <c r="A169" s="0" t="n">
        <v>30</v>
      </c>
      <c r="B169" s="34" t="n">
        <v>36251</v>
      </c>
      <c r="C169" s="9" t="n">
        <v>1074400</v>
      </c>
      <c r="D169" s="9" t="s">
        <v>41</v>
      </c>
      <c r="E169" s="33" t="n">
        <f aca="false">IF(D169="totale",(C169/(A169*24))/F169,IF(D169="marché libre",(C169/(A169*24))/G169,"spécifier histo"))</f>
        <v>0.843063402385436</v>
      </c>
      <c r="F169" s="59" t="n">
        <v>1770</v>
      </c>
      <c r="G169" s="59" t="n">
        <f aca="false">F169-H169</f>
        <v>1770</v>
      </c>
      <c r="H169" s="58" t="n">
        <v>0</v>
      </c>
      <c r="I169" s="9"/>
      <c r="J169" s="30"/>
      <c r="K169" s="30"/>
      <c r="L169" s="30"/>
      <c r="M169" s="30"/>
      <c r="N169" s="30"/>
      <c r="O169" s="30"/>
      <c r="P169" s="30"/>
      <c r="Q169" s="30"/>
      <c r="R169" s="30"/>
      <c r="S169" s="30"/>
      <c r="T169" s="30"/>
      <c r="U169" s="30"/>
    </row>
    <row r="170" customFormat="false" ht="20.5" hidden="false" customHeight="true" outlineLevel="0" collapsed="false">
      <c r="A170" s="0" t="n">
        <v>31</v>
      </c>
      <c r="B170" s="31" t="n">
        <v>36281</v>
      </c>
      <c r="C170" s="9" t="n">
        <v>999400</v>
      </c>
      <c r="D170" s="9" t="s">
        <v>41</v>
      </c>
      <c r="E170" s="33" t="n">
        <f aca="false">IF(D170="totale",(C170/(A170*24))/F170,IF(D170="marché libre",(C170/(A170*24))/G170,"spécifier histo"))</f>
        <v>0.758915011238685</v>
      </c>
      <c r="F170" s="59" t="n">
        <v>1770</v>
      </c>
      <c r="G170" s="59" t="n">
        <f aca="false">F170-H170</f>
        <v>1770</v>
      </c>
      <c r="H170" s="58" t="n">
        <v>0</v>
      </c>
      <c r="I170" s="9"/>
      <c r="J170" s="30"/>
      <c r="K170" s="30"/>
      <c r="L170" s="30"/>
      <c r="M170" s="30"/>
      <c r="N170" s="30"/>
      <c r="O170" s="30"/>
      <c r="P170" s="30"/>
      <c r="Q170" s="30"/>
      <c r="R170" s="30"/>
      <c r="S170" s="30"/>
      <c r="T170" s="30"/>
      <c r="U170" s="30"/>
    </row>
    <row r="171" customFormat="false" ht="20.5" hidden="false" customHeight="true" outlineLevel="0" collapsed="false">
      <c r="A171" s="0" t="n">
        <v>30</v>
      </c>
      <c r="B171" s="34" t="n">
        <v>36312</v>
      </c>
      <c r="C171" s="9" t="n">
        <v>692800</v>
      </c>
      <c r="D171" s="9" t="s">
        <v>41</v>
      </c>
      <c r="E171" s="33" t="n">
        <f aca="false">IF(D171="totale",(C171/(A171*24))/F171,IF(D171="marché libre",(C171/(A171*24))/G171,"spécifier histo"))</f>
        <v>0.543628374136849</v>
      </c>
      <c r="F171" s="59" t="n">
        <v>1770</v>
      </c>
      <c r="G171" s="59" t="n">
        <f aca="false">F171-H171</f>
        <v>1770</v>
      </c>
      <c r="H171" s="58" t="n">
        <v>0</v>
      </c>
      <c r="I171" s="9"/>
      <c r="J171" s="30"/>
      <c r="K171" s="30"/>
      <c r="L171" s="30"/>
      <c r="M171" s="30"/>
      <c r="N171" s="30"/>
      <c r="O171" s="30"/>
      <c r="P171" s="30"/>
      <c r="Q171" s="30"/>
      <c r="R171" s="30"/>
      <c r="S171" s="30"/>
      <c r="T171" s="30"/>
      <c r="U171" s="30"/>
    </row>
    <row r="172" customFormat="false" ht="20.5" hidden="false" customHeight="true" outlineLevel="0" collapsed="false">
      <c r="A172" s="0" t="n">
        <v>31</v>
      </c>
      <c r="B172" s="31" t="n">
        <v>36342</v>
      </c>
      <c r="C172" s="9" t="n">
        <v>301000</v>
      </c>
      <c r="D172" s="9" t="s">
        <v>41</v>
      </c>
      <c r="E172" s="33" t="n">
        <f aca="false">IF(D172="totale",(C172/(A172*24))/F172,IF(D172="marché libre",(C172/(A172*24))/G172,"spécifier histo"))</f>
        <v>0.228570560719276</v>
      </c>
      <c r="F172" s="59" t="n">
        <v>1770</v>
      </c>
      <c r="G172" s="59" t="n">
        <f aca="false">F172-H172</f>
        <v>1770</v>
      </c>
      <c r="H172" s="58" t="n">
        <v>0</v>
      </c>
      <c r="I172" s="9"/>
      <c r="J172" s="30"/>
      <c r="K172" s="30"/>
      <c r="L172" s="30"/>
      <c r="M172" s="30"/>
      <c r="N172" s="30"/>
      <c r="O172" s="30"/>
      <c r="P172" s="30"/>
      <c r="Q172" s="30"/>
      <c r="R172" s="30"/>
      <c r="S172" s="30"/>
      <c r="T172" s="30"/>
      <c r="U172" s="30"/>
    </row>
    <row r="173" customFormat="false" ht="20.5" hidden="false" customHeight="true" outlineLevel="0" collapsed="false">
      <c r="A173" s="0" t="n">
        <v>31</v>
      </c>
      <c r="B173" s="34" t="n">
        <v>36373</v>
      </c>
      <c r="C173" s="9" t="n">
        <v>304000</v>
      </c>
      <c r="D173" s="9" t="s">
        <v>41</v>
      </c>
      <c r="E173" s="33" t="n">
        <f aca="false">IF(D173="totale",(C173/(A173*24))/F173,IF(D173="marché libre",(C173/(A173*24))/G173,"spécifier histo"))</f>
        <v>0.230848672620132</v>
      </c>
      <c r="F173" s="59" t="n">
        <v>1770</v>
      </c>
      <c r="G173" s="59" t="n">
        <f aca="false">F173-H173</f>
        <v>1770</v>
      </c>
      <c r="H173" s="58" t="n">
        <v>0</v>
      </c>
      <c r="I173" s="9"/>
      <c r="J173" s="30"/>
      <c r="K173" s="30"/>
      <c r="L173" s="30"/>
      <c r="M173" s="30"/>
      <c r="N173" s="30"/>
      <c r="O173" s="30"/>
      <c r="P173" s="30"/>
      <c r="Q173" s="30"/>
      <c r="R173" s="30"/>
      <c r="S173" s="30"/>
      <c r="T173" s="30"/>
      <c r="U173" s="30"/>
    </row>
    <row r="174" customFormat="false" ht="20.5" hidden="false" customHeight="true" outlineLevel="0" collapsed="false">
      <c r="A174" s="0" t="n">
        <v>30</v>
      </c>
      <c r="B174" s="31" t="n">
        <v>36404</v>
      </c>
      <c r="C174" s="9" t="n">
        <v>495200</v>
      </c>
      <c r="D174" s="9" t="s">
        <v>41</v>
      </c>
      <c r="E174" s="33" t="n">
        <f aca="false">IF(D174="totale",(C174/(A174*24))/F174,IF(D174="marché libre",(C174/(A174*24))/G174,"spécifier histo"))</f>
        <v>0.38857501569366</v>
      </c>
      <c r="F174" s="59" t="n">
        <v>1770</v>
      </c>
      <c r="G174" s="59" t="n">
        <f aca="false">F174-H174</f>
        <v>1770</v>
      </c>
      <c r="H174" s="58" t="n">
        <v>0</v>
      </c>
      <c r="I174" s="9"/>
      <c r="J174" s="30"/>
      <c r="K174" s="30"/>
      <c r="L174" s="30"/>
      <c r="M174" s="30"/>
      <c r="N174" s="30"/>
      <c r="O174" s="30"/>
      <c r="P174" s="30"/>
      <c r="Q174" s="30"/>
      <c r="R174" s="30"/>
      <c r="S174" s="30"/>
      <c r="T174" s="30"/>
      <c r="U174" s="30"/>
    </row>
    <row r="175" customFormat="false" ht="20.5" hidden="false" customHeight="true" outlineLevel="0" collapsed="false">
      <c r="A175" s="0" t="n">
        <v>31</v>
      </c>
      <c r="B175" s="34" t="n">
        <v>36434</v>
      </c>
      <c r="C175" s="9" t="n">
        <v>689600</v>
      </c>
      <c r="D175" s="9" t="s">
        <v>41</v>
      </c>
      <c r="E175" s="33" t="n">
        <f aca="false">IF(D175="totale",(C175/(A175*24))/F175,IF(D175="marché libre",(C175/(A175*24))/G175,"spécifier histo"))</f>
        <v>0.523661988943563</v>
      </c>
      <c r="F175" s="59" t="n">
        <v>1770</v>
      </c>
      <c r="G175" s="59" t="n">
        <f aca="false">F175-H175</f>
        <v>1770</v>
      </c>
      <c r="H175" s="58" t="n">
        <v>0</v>
      </c>
      <c r="I175" s="9"/>
      <c r="J175" s="30"/>
      <c r="K175" s="30"/>
      <c r="L175" s="30"/>
      <c r="M175" s="30"/>
      <c r="N175" s="30"/>
      <c r="O175" s="30"/>
      <c r="P175" s="30"/>
      <c r="Q175" s="30"/>
      <c r="R175" s="30"/>
      <c r="S175" s="30"/>
      <c r="T175" s="30"/>
      <c r="U175" s="30"/>
    </row>
    <row r="176" customFormat="false" ht="20.5" hidden="false" customHeight="true" outlineLevel="0" collapsed="false">
      <c r="A176" s="0" t="n">
        <v>30</v>
      </c>
      <c r="B176" s="31" t="n">
        <v>36465</v>
      </c>
      <c r="C176" s="9" t="n">
        <v>903200</v>
      </c>
      <c r="D176" s="9" t="s">
        <v>41</v>
      </c>
      <c r="E176" s="33" t="n">
        <f aca="false">IF(D176="totale",(C176/(A176*24))/F176,IF(D176="marché libre",(C176/(A176*24))/G176,"spécifier histo"))</f>
        <v>0.70872567482737</v>
      </c>
      <c r="F176" s="59" t="n">
        <v>1770</v>
      </c>
      <c r="G176" s="59" t="n">
        <f aca="false">F176-H176</f>
        <v>1770</v>
      </c>
      <c r="H176" s="58" t="n">
        <v>0</v>
      </c>
      <c r="I176" s="9"/>
      <c r="J176" s="30"/>
      <c r="K176" s="30"/>
      <c r="L176" s="30"/>
      <c r="M176" s="30"/>
      <c r="N176" s="30"/>
      <c r="O176" s="30"/>
      <c r="P176" s="30"/>
      <c r="Q176" s="30"/>
      <c r="R176" s="30"/>
      <c r="S176" s="30"/>
      <c r="T176" s="30"/>
      <c r="U176" s="30"/>
    </row>
    <row r="177" customFormat="false" ht="20.5" hidden="false" customHeight="true" outlineLevel="0" collapsed="false">
      <c r="A177" s="0" t="n">
        <v>31</v>
      </c>
      <c r="B177" s="34" t="n">
        <v>36495</v>
      </c>
      <c r="C177" s="9" t="n">
        <v>1235200</v>
      </c>
      <c r="D177" s="9" t="s">
        <v>41</v>
      </c>
      <c r="E177" s="33" t="n">
        <f aca="false">IF(D177="totale",(C177/(A177*24))/F177,IF(D177="marché libre",(C177/(A177*24))/G177,"spécifier histo"))</f>
        <v>0.937974606646012</v>
      </c>
      <c r="F177" s="59" t="n">
        <v>1770</v>
      </c>
      <c r="G177" s="59" t="n">
        <f aca="false">F177-H177</f>
        <v>1770</v>
      </c>
      <c r="H177" s="58" t="n">
        <v>0</v>
      </c>
      <c r="I177" s="9"/>
      <c r="J177" s="30"/>
      <c r="K177" s="30"/>
      <c r="L177" s="30"/>
      <c r="M177" s="30"/>
      <c r="N177" s="30"/>
      <c r="O177" s="30"/>
      <c r="P177" s="30"/>
      <c r="Q177" s="30"/>
      <c r="R177" s="30"/>
      <c r="S177" s="30"/>
      <c r="T177" s="30"/>
      <c r="U177" s="30"/>
    </row>
    <row r="178" customFormat="false" ht="20.5" hidden="false" customHeight="true" outlineLevel="0" collapsed="false">
      <c r="A178" s="0" t="n">
        <v>31</v>
      </c>
      <c r="B178" s="31" t="n">
        <v>36526</v>
      </c>
      <c r="C178" s="9" t="n">
        <v>795200</v>
      </c>
      <c r="D178" s="9" t="s">
        <v>41</v>
      </c>
      <c r="E178" s="33" t="n">
        <f aca="false">IF(D178="totale",(C178/(A178*24))/F178,IF(D178="marché libre",(C178/(A178*24))/G178,"spécifier histo"))</f>
        <v>0.603851527853715</v>
      </c>
      <c r="F178" s="59" t="n">
        <v>1770</v>
      </c>
      <c r="G178" s="59" t="n">
        <f aca="false">F178-H178</f>
        <v>1770</v>
      </c>
      <c r="H178" s="58" t="n">
        <v>0</v>
      </c>
      <c r="I178" s="9"/>
      <c r="J178" s="30"/>
      <c r="K178" s="30"/>
      <c r="L178" s="30"/>
      <c r="M178" s="30"/>
      <c r="N178" s="30"/>
      <c r="O178" s="30"/>
      <c r="P178" s="30"/>
      <c r="Q178" s="30"/>
      <c r="R178" s="30"/>
      <c r="S178" s="30"/>
      <c r="T178" s="30"/>
      <c r="U178" s="30"/>
    </row>
    <row r="179" customFormat="false" ht="20.5" hidden="false" customHeight="true" outlineLevel="0" collapsed="false">
      <c r="A179" s="0" t="n">
        <v>28</v>
      </c>
      <c r="B179" s="34" t="n">
        <v>36557</v>
      </c>
      <c r="C179" s="9" t="n">
        <v>956200</v>
      </c>
      <c r="D179" s="9" t="s">
        <v>41</v>
      </c>
      <c r="E179" s="33" t="n">
        <f aca="false">IF(D179="totale",(C179/(A179*24))/F179,IF(D179="marché libre",(C179/(A179*24))/G179,"spécifier histo"))</f>
        <v>0.803907721280603</v>
      </c>
      <c r="F179" s="59" t="n">
        <v>1770</v>
      </c>
      <c r="G179" s="59" t="n">
        <f aca="false">F179-H179</f>
        <v>1770</v>
      </c>
      <c r="H179" s="58" t="n">
        <v>0</v>
      </c>
      <c r="I179" s="9"/>
      <c r="J179" s="30"/>
      <c r="K179" s="30"/>
      <c r="L179" s="30"/>
      <c r="M179" s="30"/>
      <c r="N179" s="30"/>
      <c r="O179" s="30"/>
      <c r="P179" s="30"/>
      <c r="Q179" s="30"/>
      <c r="R179" s="30"/>
      <c r="S179" s="30"/>
      <c r="T179" s="30"/>
      <c r="U179" s="30"/>
    </row>
    <row r="180" customFormat="false" ht="20.5" hidden="false" customHeight="true" outlineLevel="0" collapsed="false">
      <c r="A180" s="0" t="n">
        <v>31</v>
      </c>
      <c r="B180" s="31" t="n">
        <v>36586</v>
      </c>
      <c r="C180" s="9" t="n">
        <v>1170800</v>
      </c>
      <c r="D180" s="9" t="s">
        <v>41</v>
      </c>
      <c r="E180" s="33" t="n">
        <f aca="false">IF(D180="totale",(C180/(A180*24))/F180,IF(D180="marché libre",(C180/(A180*24))/G180,"spécifier histo"))</f>
        <v>0.889071137840957</v>
      </c>
      <c r="F180" s="59" t="n">
        <v>1770</v>
      </c>
      <c r="G180" s="59" t="n">
        <f aca="false">F180-H180</f>
        <v>1770</v>
      </c>
      <c r="H180" s="58" t="n">
        <v>0</v>
      </c>
      <c r="I180" s="9"/>
      <c r="J180" s="30"/>
      <c r="K180" s="30"/>
      <c r="L180" s="30"/>
      <c r="M180" s="30"/>
      <c r="N180" s="30"/>
      <c r="O180" s="30"/>
      <c r="P180" s="30"/>
      <c r="Q180" s="30"/>
      <c r="R180" s="30"/>
      <c r="S180" s="30"/>
      <c r="T180" s="30"/>
      <c r="U180" s="30"/>
    </row>
    <row r="181" customFormat="false" ht="20.5" hidden="false" customHeight="true" outlineLevel="0" collapsed="false">
      <c r="A181" s="0" t="n">
        <v>30</v>
      </c>
      <c r="B181" s="34" t="n">
        <v>36617</v>
      </c>
      <c r="C181" s="9" t="n">
        <v>1103600</v>
      </c>
      <c r="D181" s="9" t="s">
        <v>41</v>
      </c>
      <c r="E181" s="33" t="n">
        <f aca="false">IF(D181="totale",(C181/(A181*24))/F181,IF(D181="marché libre",(C181/(A181*24))/G181,"spécifier histo"))</f>
        <v>0.865976145637163</v>
      </c>
      <c r="F181" s="59" t="n">
        <v>1770</v>
      </c>
      <c r="G181" s="59" t="n">
        <f aca="false">F181-H181</f>
        <v>1770</v>
      </c>
      <c r="H181" s="58" t="n">
        <v>0</v>
      </c>
      <c r="I181" s="9"/>
      <c r="J181" s="30"/>
      <c r="K181" s="30"/>
      <c r="L181" s="30"/>
      <c r="M181" s="30"/>
      <c r="N181" s="30"/>
      <c r="O181" s="30"/>
      <c r="P181" s="30"/>
      <c r="Q181" s="30"/>
      <c r="R181" s="30"/>
      <c r="S181" s="30"/>
      <c r="T181" s="30"/>
      <c r="U181" s="30"/>
    </row>
    <row r="182" customFormat="false" ht="20.5" hidden="false" customHeight="true" outlineLevel="0" collapsed="false">
      <c r="A182" s="0" t="n">
        <v>31</v>
      </c>
      <c r="B182" s="31" t="n">
        <v>36647</v>
      </c>
      <c r="C182" s="9" t="n">
        <v>1112600</v>
      </c>
      <c r="D182" s="9" t="s">
        <v>41</v>
      </c>
      <c r="E182" s="33" t="n">
        <f aca="false">IF(D182="totale",(C182/(A182*24))/F182,IF(D182="marché libre",(C182/(A182*24))/G182,"spécifier histo"))</f>
        <v>0.84487576696434</v>
      </c>
      <c r="F182" s="59" t="n">
        <v>1770</v>
      </c>
      <c r="G182" s="59" t="n">
        <f aca="false">F182-H182</f>
        <v>1770</v>
      </c>
      <c r="H182" s="58" t="n">
        <v>0</v>
      </c>
      <c r="I182" s="9"/>
      <c r="J182" s="30"/>
      <c r="K182" s="30"/>
      <c r="L182" s="30"/>
      <c r="M182" s="30"/>
      <c r="N182" s="30"/>
      <c r="O182" s="30"/>
      <c r="P182" s="30"/>
      <c r="Q182" s="30"/>
      <c r="R182" s="30"/>
      <c r="S182" s="30"/>
      <c r="T182" s="30"/>
      <c r="U182" s="30"/>
    </row>
    <row r="183" customFormat="false" ht="20.5" hidden="false" customHeight="true" outlineLevel="0" collapsed="false">
      <c r="A183" s="0" t="n">
        <v>30</v>
      </c>
      <c r="B183" s="34" t="n">
        <v>36678</v>
      </c>
      <c r="C183" s="9" t="n">
        <v>774600</v>
      </c>
      <c r="D183" s="9" t="s">
        <v>41</v>
      </c>
      <c r="E183" s="33" t="n">
        <f aca="false">IF(D183="totale",(C183/(A183*24))/F183,IF(D183="marché libre",(C183/(A183*24))/G183,"spécifier histo"))</f>
        <v>0.607815442561205</v>
      </c>
      <c r="F183" s="59" t="n">
        <v>1770</v>
      </c>
      <c r="G183" s="59" t="n">
        <f aca="false">F183-H183</f>
        <v>1770</v>
      </c>
      <c r="H183" s="58" t="n">
        <v>0</v>
      </c>
      <c r="I183" s="9"/>
      <c r="J183" s="30"/>
      <c r="K183" s="30"/>
      <c r="L183" s="30"/>
      <c r="M183" s="30"/>
      <c r="N183" s="30"/>
      <c r="O183" s="30"/>
      <c r="P183" s="30"/>
      <c r="Q183" s="30"/>
      <c r="R183" s="30"/>
      <c r="S183" s="30"/>
      <c r="T183" s="30"/>
      <c r="U183" s="30"/>
    </row>
    <row r="184" customFormat="false" ht="20.5" hidden="false" customHeight="true" outlineLevel="0" collapsed="false">
      <c r="A184" s="0" t="n">
        <v>31</v>
      </c>
      <c r="B184" s="31" t="n">
        <v>36708</v>
      </c>
      <c r="C184" s="9" t="n">
        <v>389400</v>
      </c>
      <c r="D184" s="9" t="s">
        <v>41</v>
      </c>
      <c r="E184" s="33" t="n">
        <f aca="false">IF(D184="totale",(C184/(A184*24))/F184,IF(D184="marché libre",(C184/(A184*24))/G184,"spécifier histo"))</f>
        <v>0.295698924731183</v>
      </c>
      <c r="F184" s="59" t="n">
        <v>1770</v>
      </c>
      <c r="G184" s="59" t="n">
        <f aca="false">F184-H184</f>
        <v>1770</v>
      </c>
      <c r="H184" s="58" t="n">
        <v>0</v>
      </c>
      <c r="I184" s="9"/>
      <c r="J184" s="30"/>
      <c r="K184" s="30"/>
      <c r="L184" s="30"/>
      <c r="M184" s="30"/>
      <c r="N184" s="30"/>
      <c r="O184" s="30"/>
      <c r="P184" s="30"/>
      <c r="Q184" s="30"/>
      <c r="R184" s="30"/>
      <c r="S184" s="30"/>
      <c r="T184" s="30"/>
      <c r="U184" s="30"/>
    </row>
    <row r="185" customFormat="false" ht="20.5" hidden="false" customHeight="true" outlineLevel="0" collapsed="false">
      <c r="A185" s="0" t="n">
        <v>31</v>
      </c>
      <c r="B185" s="34" t="n">
        <v>36739</v>
      </c>
      <c r="C185" s="9" t="n">
        <v>224600</v>
      </c>
      <c r="D185" s="9" t="s">
        <v>41</v>
      </c>
      <c r="E185" s="33" t="n">
        <f aca="false">IF(D185="totale",(C185/(A185*24))/F185,IF(D185="marché libre",(C185/(A185*24))/G185,"spécifier histo"))</f>
        <v>0.170554644310795</v>
      </c>
      <c r="F185" s="59" t="n">
        <v>1770</v>
      </c>
      <c r="G185" s="59" t="n">
        <f aca="false">F185-H185</f>
        <v>1770</v>
      </c>
      <c r="H185" s="58" t="n">
        <v>0</v>
      </c>
      <c r="I185" s="9"/>
      <c r="J185" s="30"/>
      <c r="K185" s="30"/>
      <c r="L185" s="30"/>
      <c r="M185" s="30"/>
      <c r="N185" s="30"/>
      <c r="O185" s="30"/>
      <c r="P185" s="30"/>
      <c r="Q185" s="30"/>
      <c r="R185" s="30"/>
      <c r="S185" s="30"/>
      <c r="T185" s="30"/>
      <c r="U185" s="30"/>
    </row>
    <row r="186" customFormat="false" ht="20.5" hidden="false" customHeight="true" outlineLevel="0" collapsed="false">
      <c r="A186" s="0" t="n">
        <v>30</v>
      </c>
      <c r="B186" s="31" t="n">
        <v>36770</v>
      </c>
      <c r="C186" s="9" t="n">
        <v>542200</v>
      </c>
      <c r="D186" s="9" t="s">
        <v>41</v>
      </c>
      <c r="E186" s="33" t="n">
        <f aca="false">IF(D186="totale",(C186/(A186*24))/F186,IF(D186="marché libre",(C186/(A186*24))/G186,"spécifier histo"))</f>
        <v>0.425455116133082</v>
      </c>
      <c r="F186" s="59" t="n">
        <v>1770</v>
      </c>
      <c r="G186" s="59" t="n">
        <f aca="false">F186-H186</f>
        <v>1770</v>
      </c>
      <c r="H186" s="58" t="n">
        <v>0</v>
      </c>
      <c r="I186" s="9"/>
      <c r="J186" s="30"/>
      <c r="K186" s="30"/>
      <c r="L186" s="30"/>
      <c r="M186" s="30"/>
      <c r="N186" s="30"/>
      <c r="O186" s="30"/>
      <c r="P186" s="30"/>
      <c r="Q186" s="30"/>
      <c r="R186" s="30"/>
      <c r="S186" s="30"/>
      <c r="T186" s="30"/>
      <c r="U186" s="30"/>
    </row>
    <row r="187" customFormat="false" ht="20.5" hidden="false" customHeight="true" outlineLevel="0" collapsed="false">
      <c r="A187" s="0" t="n">
        <v>31</v>
      </c>
      <c r="B187" s="34" t="n">
        <v>36800</v>
      </c>
      <c r="C187" s="9" t="n">
        <v>930400</v>
      </c>
      <c r="D187" s="9" t="s">
        <v>41</v>
      </c>
      <c r="E187" s="33" t="n">
        <f aca="false">IF(D187="totale",(C187/(A187*24))/F187,IF(D187="marché libre",(C187/(A187*24))/G187,"spécifier histo"))</f>
        <v>0.706518437518984</v>
      </c>
      <c r="F187" s="59" t="n">
        <v>1770</v>
      </c>
      <c r="G187" s="59" t="n">
        <f aca="false">F187-H187</f>
        <v>1770</v>
      </c>
      <c r="H187" s="58" t="n">
        <v>0</v>
      </c>
      <c r="I187" s="9"/>
      <c r="J187" s="30"/>
      <c r="K187" s="30"/>
      <c r="L187" s="30"/>
      <c r="M187" s="30"/>
      <c r="N187" s="30"/>
      <c r="O187" s="30"/>
      <c r="P187" s="30"/>
      <c r="Q187" s="30"/>
      <c r="R187" s="30"/>
      <c r="S187" s="30"/>
      <c r="T187" s="30"/>
      <c r="U187" s="30"/>
    </row>
    <row r="188" customFormat="false" ht="20.5" hidden="false" customHeight="true" outlineLevel="0" collapsed="false">
      <c r="A188" s="0" t="n">
        <v>30</v>
      </c>
      <c r="B188" s="31" t="n">
        <v>36831</v>
      </c>
      <c r="C188" s="9" t="n">
        <v>1042600</v>
      </c>
      <c r="D188" s="9" t="s">
        <v>41</v>
      </c>
      <c r="E188" s="33" t="n">
        <f aca="false">IF(D188="totale",(C188/(A188*24))/F188,IF(D188="marché libre",(C188/(A188*24))/G188,"spécifier histo"))</f>
        <v>0.818110483364721</v>
      </c>
      <c r="F188" s="59" t="n">
        <v>1770</v>
      </c>
      <c r="G188" s="59" t="n">
        <f aca="false">F188-H188</f>
        <v>1770</v>
      </c>
      <c r="H188" s="58" t="n">
        <v>0</v>
      </c>
      <c r="I188" s="9"/>
      <c r="J188" s="30"/>
      <c r="K188" s="30"/>
      <c r="L188" s="30"/>
      <c r="M188" s="30"/>
      <c r="N188" s="30"/>
      <c r="O188" s="30"/>
      <c r="P188" s="30"/>
      <c r="Q188" s="30"/>
      <c r="R188" s="30"/>
      <c r="S188" s="30"/>
      <c r="T188" s="30"/>
      <c r="U188" s="30"/>
    </row>
    <row r="189" customFormat="false" ht="20.5" hidden="false" customHeight="true" outlineLevel="0" collapsed="false">
      <c r="A189" s="0" t="n">
        <v>31</v>
      </c>
      <c r="B189" s="34" t="n">
        <v>36861</v>
      </c>
      <c r="C189" s="9" t="n">
        <v>1092400</v>
      </c>
      <c r="D189" s="9" t="s">
        <v>41</v>
      </c>
      <c r="E189" s="33" t="n">
        <f aca="false">IF(D189="totale",(C189/(A189*24))/F189,IF(D189="marché libre",(C189/(A189*24))/G189,"spécifier histo"))</f>
        <v>0.829536480165239</v>
      </c>
      <c r="F189" s="59" t="n">
        <v>1770</v>
      </c>
      <c r="G189" s="59" t="n">
        <f aca="false">F189-H189</f>
        <v>1770</v>
      </c>
      <c r="H189" s="58" t="n">
        <v>0</v>
      </c>
      <c r="I189" s="9"/>
      <c r="J189" s="30"/>
      <c r="K189" s="30"/>
      <c r="L189" s="30"/>
      <c r="M189" s="30"/>
      <c r="N189" s="30"/>
      <c r="O189" s="30"/>
      <c r="P189" s="30"/>
      <c r="Q189" s="30"/>
      <c r="R189" s="30"/>
      <c r="S189" s="30"/>
      <c r="T189" s="30"/>
      <c r="U189" s="30"/>
    </row>
    <row r="190" customFormat="false" ht="20.5" hidden="false" customHeight="true" outlineLevel="0" collapsed="false">
      <c r="A190" s="0" t="n">
        <v>31</v>
      </c>
      <c r="B190" s="31" t="n">
        <v>36892</v>
      </c>
      <c r="C190" s="9" t="n">
        <v>1073800</v>
      </c>
      <c r="D190" s="9" t="s">
        <v>41</v>
      </c>
      <c r="E190" s="33" t="n">
        <f aca="false">IF(D190="totale",(C190/(A190*24))/F190,IF(D190="marché libre",(C190/(A190*24))/G190,"spécifier histo"))</f>
        <v>0.815412186379928</v>
      </c>
      <c r="F190" s="59" t="n">
        <v>1770</v>
      </c>
      <c r="G190" s="59" t="n">
        <f aca="false">F190-H190</f>
        <v>1770</v>
      </c>
      <c r="H190" s="58" t="n">
        <v>0</v>
      </c>
      <c r="I190" s="9"/>
      <c r="J190" s="30"/>
      <c r="K190" s="30"/>
      <c r="L190" s="30"/>
      <c r="M190" s="30"/>
      <c r="N190" s="30"/>
      <c r="O190" s="30"/>
      <c r="P190" s="30"/>
      <c r="Q190" s="30"/>
      <c r="R190" s="30"/>
      <c r="S190" s="30"/>
      <c r="T190" s="30"/>
      <c r="U190" s="30"/>
    </row>
    <row r="191" customFormat="false" ht="20.5" hidden="false" customHeight="true" outlineLevel="0" collapsed="false">
      <c r="A191" s="0" t="n">
        <v>28</v>
      </c>
      <c r="B191" s="34" t="n">
        <v>36923</v>
      </c>
      <c r="C191" s="9" t="n">
        <v>915800</v>
      </c>
      <c r="D191" s="9" t="s">
        <v>41</v>
      </c>
      <c r="E191" s="33" t="n">
        <f aca="false">IF(D191="totale",(C191/(A191*24))/F191,IF(D191="marché libre",(C191/(A191*24))/G191,"spécifier histo"))</f>
        <v>0.769942157654022</v>
      </c>
      <c r="F191" s="59" t="n">
        <v>1770</v>
      </c>
      <c r="G191" s="59" t="n">
        <f aca="false">F191-H191</f>
        <v>1770</v>
      </c>
      <c r="H191" s="58" t="n">
        <v>0</v>
      </c>
      <c r="I191" s="9"/>
      <c r="J191" s="30"/>
      <c r="K191" s="30"/>
      <c r="L191" s="30"/>
      <c r="M191" s="30"/>
      <c r="N191" s="30"/>
      <c r="O191" s="30"/>
      <c r="P191" s="30"/>
      <c r="Q191" s="30"/>
      <c r="R191" s="30"/>
      <c r="S191" s="30"/>
      <c r="T191" s="30"/>
      <c r="U191" s="30"/>
    </row>
    <row r="192" customFormat="false" ht="20.5" hidden="false" customHeight="true" outlineLevel="0" collapsed="false">
      <c r="A192" s="0" t="n">
        <v>31</v>
      </c>
      <c r="B192" s="31" t="n">
        <v>36951</v>
      </c>
      <c r="C192" s="9" t="n">
        <v>1026400</v>
      </c>
      <c r="D192" s="9" t="s">
        <v>41</v>
      </c>
      <c r="E192" s="33" t="n">
        <f aca="false">IF(D192="totale",(C192/(A192*24))/F192,IF(D192="marché libre",(C192/(A192*24))/G192,"spécifier histo"))</f>
        <v>0.779418018346394</v>
      </c>
      <c r="F192" s="59" t="n">
        <v>1770</v>
      </c>
      <c r="G192" s="59" t="n">
        <f aca="false">F192-H192</f>
        <v>1770</v>
      </c>
      <c r="H192" s="58" t="n">
        <v>0</v>
      </c>
      <c r="I192" s="9"/>
      <c r="J192" s="30"/>
      <c r="K192" s="30"/>
      <c r="L192" s="30"/>
      <c r="M192" s="30"/>
      <c r="N192" s="30"/>
      <c r="O192" s="30"/>
      <c r="P192" s="30"/>
      <c r="Q192" s="30"/>
      <c r="R192" s="30"/>
      <c r="S192" s="30"/>
      <c r="T192" s="30"/>
      <c r="U192" s="30"/>
    </row>
    <row r="193" customFormat="false" ht="20.5" hidden="false" customHeight="true" outlineLevel="0" collapsed="false">
      <c r="A193" s="0" t="n">
        <v>30</v>
      </c>
      <c r="B193" s="34" t="n">
        <v>36982</v>
      </c>
      <c r="C193" s="9" t="n">
        <v>863600</v>
      </c>
      <c r="D193" s="9" t="s">
        <v>41</v>
      </c>
      <c r="E193" s="33" t="n">
        <f aca="false">IF(D193="totale",(C193/(A193*24))/F193,IF(D193="marché libre",(C193/(A193*24))/G193,"spécifier histo"))</f>
        <v>0.677652228499686</v>
      </c>
      <c r="F193" s="59" t="n">
        <v>1770</v>
      </c>
      <c r="G193" s="59" t="n">
        <f aca="false">F193-H193</f>
        <v>1770</v>
      </c>
      <c r="H193" s="58" t="n">
        <v>0</v>
      </c>
      <c r="I193" s="9"/>
      <c r="J193" s="30"/>
      <c r="K193" s="30"/>
      <c r="L193" s="30"/>
      <c r="M193" s="30"/>
      <c r="N193" s="30"/>
      <c r="O193" s="30"/>
      <c r="P193" s="30"/>
      <c r="Q193" s="30"/>
      <c r="R193" s="30"/>
      <c r="S193" s="30"/>
      <c r="T193" s="30"/>
      <c r="U193" s="30"/>
    </row>
    <row r="194" customFormat="false" ht="20.5" hidden="false" customHeight="true" outlineLevel="0" collapsed="false">
      <c r="A194" s="0" t="n">
        <v>31</v>
      </c>
      <c r="B194" s="31" t="n">
        <v>37012</v>
      </c>
      <c r="C194" s="9" t="n">
        <v>802200</v>
      </c>
      <c r="D194" s="9" t="s">
        <v>41</v>
      </c>
      <c r="E194" s="33" t="n">
        <f aca="false">IF(D194="totale",(C194/(A194*24))/F194,IF(D194="marché libre",(C194/(A194*24))/G194,"spécifier histo"))</f>
        <v>0.609167122289047</v>
      </c>
      <c r="F194" s="59" t="n">
        <v>1770</v>
      </c>
      <c r="G194" s="59" t="n">
        <f aca="false">F194-H194</f>
        <v>1770</v>
      </c>
      <c r="H194" s="58" t="n">
        <v>0</v>
      </c>
      <c r="I194" s="9"/>
      <c r="J194" s="30"/>
      <c r="K194" s="30"/>
      <c r="L194" s="30"/>
      <c r="M194" s="30"/>
      <c r="N194" s="30"/>
      <c r="O194" s="30"/>
      <c r="P194" s="30"/>
      <c r="Q194" s="30"/>
      <c r="R194" s="30"/>
      <c r="S194" s="30"/>
      <c r="T194" s="30"/>
      <c r="U194" s="30"/>
    </row>
    <row r="195" customFormat="false" ht="20.5" hidden="false" customHeight="true" outlineLevel="0" collapsed="false">
      <c r="A195" s="0" t="n">
        <v>30</v>
      </c>
      <c r="B195" s="34" t="n">
        <v>37043</v>
      </c>
      <c r="C195" s="9" t="n">
        <v>628800</v>
      </c>
      <c r="D195" s="9" t="s">
        <v>41</v>
      </c>
      <c r="E195" s="33" t="n">
        <f aca="false">IF(D195="totale",(C195/(A195*24))/F195,IF(D195="marché libre",(C195/(A195*24))/G195,"spécifier histo"))</f>
        <v>0.493408662900188</v>
      </c>
      <c r="F195" s="59" t="n">
        <v>1770</v>
      </c>
      <c r="G195" s="59" t="n">
        <f aca="false">F195-H195</f>
        <v>1770</v>
      </c>
      <c r="H195" s="58" t="n">
        <v>0</v>
      </c>
      <c r="I195" s="9"/>
      <c r="J195" s="30"/>
      <c r="K195" s="30"/>
      <c r="L195" s="30"/>
      <c r="M195" s="30"/>
      <c r="N195" s="30"/>
      <c r="O195" s="30"/>
      <c r="P195" s="30"/>
      <c r="Q195" s="30"/>
      <c r="R195" s="30"/>
      <c r="S195" s="30"/>
      <c r="T195" s="30"/>
      <c r="U195" s="30"/>
    </row>
    <row r="196" customFormat="false" ht="20.5" hidden="false" customHeight="true" outlineLevel="0" collapsed="false">
      <c r="A196" s="0" t="n">
        <v>31</v>
      </c>
      <c r="B196" s="31" t="n">
        <v>37073</v>
      </c>
      <c r="C196" s="9" t="n">
        <v>422200</v>
      </c>
      <c r="D196" s="9" t="s">
        <v>41</v>
      </c>
      <c r="E196" s="33" t="n">
        <f aca="false">IF(D196="totale",(C196/(A196*24))/F196,IF(D196="marché libre",(C196/(A196*24))/G196,"spécifier histo"))</f>
        <v>0.320606281513881</v>
      </c>
      <c r="F196" s="59" t="n">
        <v>1770</v>
      </c>
      <c r="G196" s="59" t="n">
        <f aca="false">F196-H196</f>
        <v>1770</v>
      </c>
      <c r="H196" s="58" t="n">
        <v>0</v>
      </c>
      <c r="I196" s="9"/>
      <c r="J196" s="30"/>
      <c r="K196" s="30"/>
      <c r="L196" s="30"/>
      <c r="M196" s="30"/>
      <c r="N196" s="30"/>
      <c r="O196" s="30"/>
      <c r="P196" s="30"/>
      <c r="Q196" s="30"/>
      <c r="R196" s="30"/>
      <c r="S196" s="30"/>
      <c r="T196" s="30"/>
      <c r="U196" s="30"/>
    </row>
    <row r="197" customFormat="false" ht="20.5" hidden="false" customHeight="true" outlineLevel="0" collapsed="false">
      <c r="A197" s="0" t="n">
        <v>31</v>
      </c>
      <c r="B197" s="34" t="n">
        <v>37104</v>
      </c>
      <c r="C197" s="9" t="n">
        <v>283200</v>
      </c>
      <c r="D197" s="9" t="s">
        <v>41</v>
      </c>
      <c r="E197" s="33" t="n">
        <f aca="false">IF(D197="totale",(C197/(A197*24))/F197,IF(D197="marché libre",(C197/(A197*24))/G197,"spécifier histo"))</f>
        <v>0.21505376344086</v>
      </c>
      <c r="F197" s="59" t="n">
        <v>1770</v>
      </c>
      <c r="G197" s="59" t="n">
        <f aca="false">F197-H197</f>
        <v>1770</v>
      </c>
      <c r="H197" s="58" t="n">
        <v>0</v>
      </c>
      <c r="I197" s="9"/>
      <c r="J197" s="30"/>
      <c r="K197" s="30"/>
      <c r="L197" s="30"/>
      <c r="M197" s="30"/>
      <c r="N197" s="30"/>
      <c r="O197" s="30"/>
      <c r="P197" s="30"/>
      <c r="Q197" s="30"/>
      <c r="R197" s="30"/>
      <c r="S197" s="30"/>
      <c r="T197" s="30"/>
      <c r="U197" s="30"/>
    </row>
    <row r="198" customFormat="false" ht="20.5" hidden="false" customHeight="true" outlineLevel="0" collapsed="false">
      <c r="A198" s="0" t="n">
        <v>30</v>
      </c>
      <c r="B198" s="31" t="n">
        <v>37135</v>
      </c>
      <c r="C198" s="9" t="n">
        <v>305600</v>
      </c>
      <c r="D198" s="9" t="s">
        <v>41</v>
      </c>
      <c r="E198" s="33" t="n">
        <f aca="false">IF(D198="totale",(C198/(A198*24))/F198,IF(D198="marché libre",(C198/(A198*24))/G198,"spécifier histo"))</f>
        <v>0.239799121155053</v>
      </c>
      <c r="F198" s="59" t="n">
        <v>1770</v>
      </c>
      <c r="G198" s="59" t="n">
        <f aca="false">F198-H198</f>
        <v>1770</v>
      </c>
      <c r="H198" s="58" t="n">
        <v>0</v>
      </c>
      <c r="I198" s="9"/>
      <c r="J198" s="30"/>
      <c r="K198" s="30"/>
      <c r="L198" s="30"/>
      <c r="M198" s="30"/>
      <c r="N198" s="30"/>
      <c r="O198" s="30"/>
      <c r="P198" s="30"/>
      <c r="Q198" s="30"/>
      <c r="R198" s="30"/>
      <c r="S198" s="30"/>
      <c r="T198" s="30"/>
      <c r="U198" s="30"/>
    </row>
    <row r="199" customFormat="false" ht="20.5" hidden="false" customHeight="true" outlineLevel="0" collapsed="false">
      <c r="A199" s="0" t="n">
        <v>31</v>
      </c>
      <c r="B199" s="34" t="n">
        <v>37165</v>
      </c>
      <c r="C199" s="9" t="n">
        <v>530000</v>
      </c>
      <c r="D199" s="9" t="s">
        <v>41</v>
      </c>
      <c r="E199" s="33" t="n">
        <f aca="false">IF(D199="totale",(C199/(A199*24))/F199,IF(D199="marché libre",(C199/(A199*24))/G199,"spécifier histo"))</f>
        <v>0.402466435817994</v>
      </c>
      <c r="F199" s="59" t="n">
        <v>1770</v>
      </c>
      <c r="G199" s="59" t="n">
        <f aca="false">F199-H199</f>
        <v>1770</v>
      </c>
      <c r="H199" s="58" t="n">
        <v>0</v>
      </c>
      <c r="I199" s="9"/>
      <c r="J199" s="30"/>
      <c r="K199" s="30"/>
      <c r="L199" s="30"/>
      <c r="M199" s="30"/>
      <c r="N199" s="30"/>
      <c r="O199" s="30"/>
      <c r="P199" s="30"/>
      <c r="Q199" s="30"/>
      <c r="R199" s="30"/>
      <c r="S199" s="30"/>
      <c r="T199" s="30"/>
      <c r="U199" s="30"/>
    </row>
    <row r="200" customFormat="false" ht="20.5" hidden="false" customHeight="true" outlineLevel="0" collapsed="false">
      <c r="A200" s="0" t="n">
        <v>30</v>
      </c>
      <c r="B200" s="31" t="n">
        <v>37196</v>
      </c>
      <c r="C200" s="9" t="n">
        <v>602800</v>
      </c>
      <c r="D200" s="9" t="s">
        <v>41</v>
      </c>
      <c r="E200" s="33" t="n">
        <f aca="false">IF(D200="totale",(C200/(A200*24))/F200,IF(D200="marché libre",(C200/(A200*24))/G200,"spécifier histo"))</f>
        <v>0.473006905210295</v>
      </c>
      <c r="F200" s="59" t="n">
        <v>1770</v>
      </c>
      <c r="G200" s="59" t="n">
        <f aca="false">F200-H200</f>
        <v>1770</v>
      </c>
      <c r="H200" s="58" t="n">
        <v>0</v>
      </c>
      <c r="I200" s="9"/>
      <c r="J200" s="30"/>
      <c r="K200" s="30"/>
      <c r="L200" s="30"/>
      <c r="M200" s="30"/>
      <c r="N200" s="30"/>
      <c r="O200" s="30"/>
      <c r="P200" s="30"/>
      <c r="Q200" s="30"/>
      <c r="R200" s="30"/>
      <c r="S200" s="30"/>
      <c r="T200" s="30"/>
      <c r="U200" s="30"/>
    </row>
    <row r="201" customFormat="false" ht="20.5" hidden="false" customHeight="true" outlineLevel="0" collapsed="false">
      <c r="A201" s="0" t="n">
        <v>31</v>
      </c>
      <c r="B201" s="34" t="n">
        <v>37226</v>
      </c>
      <c r="C201" s="9" t="n">
        <v>418200</v>
      </c>
      <c r="D201" s="9" t="s">
        <v>41</v>
      </c>
      <c r="E201" s="33" t="n">
        <f aca="false">IF(D201="totale",(C201/(A201*24))/F201,IF(D201="marché libre",(C201/(A201*24))/G201,"spécifier histo"))</f>
        <v>0.317568798979406</v>
      </c>
      <c r="F201" s="59" t="n">
        <v>1770</v>
      </c>
      <c r="G201" s="59" t="n">
        <f aca="false">F201-H201</f>
        <v>1770</v>
      </c>
      <c r="H201" s="58" t="n">
        <v>0</v>
      </c>
      <c r="I201" s="9"/>
      <c r="J201" s="30"/>
      <c r="K201" s="30"/>
      <c r="L201" s="30"/>
      <c r="M201" s="30"/>
      <c r="N201" s="30"/>
      <c r="O201" s="30"/>
      <c r="P201" s="30"/>
      <c r="Q201" s="30"/>
      <c r="R201" s="30"/>
      <c r="S201" s="30"/>
      <c r="T201" s="30"/>
      <c r="U201" s="30"/>
    </row>
    <row r="202" customFormat="false" ht="20.5" hidden="false" customHeight="true" outlineLevel="0" collapsed="false">
      <c r="A202" s="0" t="n">
        <v>31</v>
      </c>
      <c r="B202" s="31" t="n">
        <v>37257</v>
      </c>
      <c r="C202" s="9" t="n">
        <v>366800</v>
      </c>
      <c r="D202" s="9" t="s">
        <v>41</v>
      </c>
      <c r="E202" s="33" t="n">
        <f aca="false">IF(D202="totale",(C202/(A202*24))/F202,IF(D202="marché libre",(C202/(A202*24))/G202,"spécifier histo"))</f>
        <v>0.278537148411397</v>
      </c>
      <c r="F202" s="59" t="n">
        <v>1770</v>
      </c>
      <c r="G202" s="59" t="n">
        <f aca="false">F202-H202</f>
        <v>1770</v>
      </c>
      <c r="H202" s="58" t="n">
        <v>0</v>
      </c>
      <c r="I202" s="9"/>
      <c r="J202" s="30"/>
      <c r="K202" s="30"/>
      <c r="L202" s="30"/>
      <c r="M202" s="30"/>
      <c r="N202" s="30"/>
      <c r="O202" s="30"/>
      <c r="P202" s="30"/>
      <c r="Q202" s="30"/>
      <c r="R202" s="30"/>
      <c r="S202" s="30"/>
      <c r="T202" s="30"/>
      <c r="U202" s="30"/>
    </row>
    <row r="203" customFormat="false" ht="20.5" hidden="false" customHeight="true" outlineLevel="0" collapsed="false">
      <c r="A203" s="0" t="n">
        <v>28</v>
      </c>
      <c r="B203" s="34" t="n">
        <v>37288</v>
      </c>
      <c r="C203" s="9" t="n">
        <v>565200</v>
      </c>
      <c r="D203" s="9" t="s">
        <v>41</v>
      </c>
      <c r="E203" s="33" t="n">
        <f aca="false">IF(D203="totale",(C203/(A203*24))/F203,IF(D203="marché libre",(C203/(A203*24))/G203,"spécifier histo"))</f>
        <v>0.475181598062954</v>
      </c>
      <c r="F203" s="59" t="n">
        <v>1770</v>
      </c>
      <c r="G203" s="59" t="n">
        <f aca="false">F203-H203</f>
        <v>1770</v>
      </c>
      <c r="H203" s="58" t="n">
        <v>0</v>
      </c>
      <c r="I203" s="9"/>
      <c r="J203" s="30"/>
      <c r="K203" s="30"/>
      <c r="L203" s="30"/>
      <c r="M203" s="30"/>
      <c r="N203" s="30"/>
      <c r="O203" s="30"/>
      <c r="P203" s="30"/>
      <c r="Q203" s="30"/>
      <c r="R203" s="30"/>
      <c r="S203" s="30"/>
      <c r="T203" s="30"/>
      <c r="U203" s="30"/>
    </row>
    <row r="204" customFormat="false" ht="20.5" hidden="false" customHeight="true" outlineLevel="0" collapsed="false">
      <c r="A204" s="0" t="n">
        <v>31</v>
      </c>
      <c r="B204" s="31" t="n">
        <v>37316</v>
      </c>
      <c r="C204" s="9" t="n">
        <v>751200</v>
      </c>
      <c r="D204" s="9" t="s">
        <v>41</v>
      </c>
      <c r="E204" s="33" t="n">
        <f aca="false">IF(D204="totale",(C204/(A204*24))/F204,IF(D204="marché libre",(C204/(A204*24))/G204,"spécifier histo"))</f>
        <v>0.570439219974485</v>
      </c>
      <c r="F204" s="59" t="n">
        <v>1770</v>
      </c>
      <c r="G204" s="59" t="n">
        <f aca="false">F204-H204</f>
        <v>1770</v>
      </c>
      <c r="H204" s="58" t="n">
        <v>0</v>
      </c>
      <c r="I204" s="9"/>
      <c r="J204" s="30"/>
      <c r="K204" s="30"/>
      <c r="L204" s="30"/>
      <c r="M204" s="30"/>
      <c r="N204" s="30"/>
      <c r="O204" s="30"/>
      <c r="P204" s="30"/>
      <c r="Q204" s="30"/>
      <c r="R204" s="30"/>
      <c r="S204" s="30"/>
      <c r="T204" s="30"/>
      <c r="U204" s="30"/>
    </row>
    <row r="205" customFormat="false" ht="20.5" hidden="false" customHeight="true" outlineLevel="0" collapsed="false">
      <c r="A205" s="0" t="n">
        <v>30</v>
      </c>
      <c r="B205" s="34" t="n">
        <v>37347</v>
      </c>
      <c r="C205" s="9" t="n">
        <v>596800</v>
      </c>
      <c r="D205" s="9" t="s">
        <v>41</v>
      </c>
      <c r="E205" s="33" t="n">
        <f aca="false">IF(D205="totale",(C205/(A205*24))/F205,IF(D205="marché libre",(C205/(A205*24))/G205,"spécifier histo"))</f>
        <v>0.468298807281858</v>
      </c>
      <c r="F205" s="59" t="n">
        <v>1770</v>
      </c>
      <c r="G205" s="59" t="n">
        <f aca="false">F205-H205</f>
        <v>1770</v>
      </c>
      <c r="H205" s="58" t="n">
        <v>0</v>
      </c>
      <c r="I205" s="9"/>
      <c r="J205" s="30"/>
      <c r="K205" s="30"/>
      <c r="L205" s="30"/>
      <c r="M205" s="30"/>
      <c r="N205" s="30"/>
      <c r="O205" s="30"/>
      <c r="P205" s="30"/>
      <c r="Q205" s="30"/>
      <c r="R205" s="30"/>
      <c r="S205" s="30"/>
      <c r="T205" s="30"/>
      <c r="U205" s="30"/>
    </row>
    <row r="206" customFormat="false" ht="20.5" hidden="false" customHeight="true" outlineLevel="0" collapsed="false">
      <c r="A206" s="0" t="n">
        <v>31</v>
      </c>
      <c r="B206" s="31" t="n">
        <v>37377</v>
      </c>
      <c r="C206" s="9" t="n">
        <v>405600</v>
      </c>
      <c r="D206" s="9" t="s">
        <v>41</v>
      </c>
      <c r="E206" s="33" t="n">
        <f aca="false">IF(D206="totale",(C206/(A206*24))/F206,IF(D206="marché libre",(C206/(A206*24))/G206,"spécifier histo"))</f>
        <v>0.308000728995808</v>
      </c>
      <c r="F206" s="59" t="n">
        <v>1770</v>
      </c>
      <c r="G206" s="59" t="n">
        <f aca="false">F206-H206</f>
        <v>1770</v>
      </c>
      <c r="H206" s="58" t="n">
        <v>0</v>
      </c>
      <c r="I206" s="9"/>
      <c r="J206" s="30"/>
      <c r="K206" s="30"/>
      <c r="L206" s="30"/>
      <c r="M206" s="30"/>
      <c r="N206" s="30"/>
      <c r="O206" s="30"/>
      <c r="P206" s="30"/>
      <c r="Q206" s="30"/>
      <c r="R206" s="30"/>
      <c r="S206" s="30"/>
      <c r="T206" s="30"/>
      <c r="U206" s="30"/>
    </row>
    <row r="207" customFormat="false" ht="20.5" hidden="false" customHeight="true" outlineLevel="0" collapsed="false">
      <c r="A207" s="0" t="n">
        <v>30</v>
      </c>
      <c r="B207" s="34" t="n">
        <v>37408</v>
      </c>
      <c r="C207" s="9" t="n">
        <v>668600</v>
      </c>
      <c r="D207" s="9" t="s">
        <v>41</v>
      </c>
      <c r="E207" s="33" t="n">
        <f aca="false">IF(D207="totale",(C207/(A207*24))/F207,IF(D207="marché libre",(C207/(A207*24))/G207,"spécifier histo"))</f>
        <v>0.524639045825486</v>
      </c>
      <c r="F207" s="59" t="n">
        <v>1770</v>
      </c>
      <c r="G207" s="59" t="n">
        <f aca="false">F207-H207</f>
        <v>1770</v>
      </c>
      <c r="H207" s="58" t="n">
        <v>0</v>
      </c>
      <c r="I207" s="9"/>
      <c r="J207" s="30"/>
      <c r="K207" s="30"/>
      <c r="L207" s="30"/>
      <c r="M207" s="30"/>
      <c r="N207" s="30"/>
      <c r="O207" s="30"/>
      <c r="P207" s="30"/>
      <c r="Q207" s="30"/>
      <c r="R207" s="30"/>
      <c r="S207" s="30"/>
      <c r="T207" s="30"/>
      <c r="U207" s="30"/>
    </row>
    <row r="208" customFormat="false" ht="20.5" hidden="false" customHeight="true" outlineLevel="0" collapsed="false">
      <c r="A208" s="0" t="n">
        <v>31</v>
      </c>
      <c r="B208" s="31" t="n">
        <v>37438</v>
      </c>
      <c r="C208" s="9" t="n">
        <v>157400</v>
      </c>
      <c r="D208" s="9" t="s">
        <v>41</v>
      </c>
      <c r="E208" s="33" t="n">
        <f aca="false">IF(D208="totale",(C208/(A208*24))/F208,IF(D208="marché libre",(C208/(A208*24))/G208,"spécifier histo"))</f>
        <v>0.119524937731608</v>
      </c>
      <c r="F208" s="59" t="n">
        <v>1770</v>
      </c>
      <c r="G208" s="59" t="n">
        <f aca="false">F208-H208</f>
        <v>1770</v>
      </c>
      <c r="H208" s="58" t="n">
        <v>0</v>
      </c>
      <c r="I208" s="9"/>
      <c r="J208" s="30"/>
      <c r="K208" s="30"/>
      <c r="L208" s="30"/>
      <c r="M208" s="30"/>
      <c r="N208" s="30"/>
      <c r="O208" s="30"/>
      <c r="P208" s="30"/>
      <c r="Q208" s="30"/>
      <c r="R208" s="30"/>
      <c r="S208" s="30"/>
      <c r="T208" s="30"/>
      <c r="U208" s="30"/>
    </row>
    <row r="209" customFormat="false" ht="20.5" hidden="false" customHeight="true" outlineLevel="0" collapsed="false">
      <c r="A209" s="0" t="n">
        <v>31</v>
      </c>
      <c r="B209" s="34" t="n">
        <v>37469</v>
      </c>
      <c r="C209" s="9" t="n">
        <v>148600</v>
      </c>
      <c r="D209" s="9" t="s">
        <v>41</v>
      </c>
      <c r="E209" s="33" t="n">
        <f aca="false">IF(D209="totale",(C209/(A209*24))/F209,IF(D209="marché libre",(C209/(A209*24))/G209,"spécifier histo"))</f>
        <v>0.112842476155762</v>
      </c>
      <c r="F209" s="59" t="n">
        <v>1770</v>
      </c>
      <c r="G209" s="59" t="n">
        <f aca="false">F209-H209</f>
        <v>1770</v>
      </c>
      <c r="H209" s="58" t="n">
        <v>0</v>
      </c>
      <c r="I209" s="9"/>
      <c r="J209" s="30"/>
      <c r="K209" s="30"/>
      <c r="L209" s="30"/>
      <c r="M209" s="30"/>
      <c r="N209" s="30"/>
      <c r="O209" s="30"/>
      <c r="P209" s="30"/>
      <c r="Q209" s="30"/>
      <c r="R209" s="30"/>
      <c r="S209" s="30"/>
      <c r="T209" s="30"/>
      <c r="U209" s="30"/>
    </row>
    <row r="210" customFormat="false" ht="20.5" hidden="false" customHeight="true" outlineLevel="0" collapsed="false">
      <c r="A210" s="0" t="n">
        <v>30</v>
      </c>
      <c r="B210" s="31" t="n">
        <v>37500</v>
      </c>
      <c r="C210" s="9" t="n">
        <v>331000</v>
      </c>
      <c r="D210" s="9" t="s">
        <v>41</v>
      </c>
      <c r="E210" s="33" t="n">
        <f aca="false">IF(D210="totale",(C210/(A210*24))/F210,IF(D210="marché libre",(C210/(A210*24))/G210,"spécifier histo"))</f>
        <v>0.259730069052103</v>
      </c>
      <c r="F210" s="59" t="n">
        <v>1770</v>
      </c>
      <c r="G210" s="59" t="n">
        <f aca="false">F210-H210</f>
        <v>1770</v>
      </c>
      <c r="H210" s="58" t="n">
        <v>0</v>
      </c>
      <c r="I210" s="9"/>
      <c r="J210" s="30"/>
      <c r="K210" s="30"/>
      <c r="L210" s="30"/>
      <c r="M210" s="30"/>
      <c r="N210" s="30"/>
      <c r="O210" s="30"/>
      <c r="P210" s="30"/>
      <c r="Q210" s="30"/>
      <c r="R210" s="30"/>
      <c r="S210" s="30"/>
      <c r="T210" s="30"/>
      <c r="U210" s="30"/>
    </row>
    <row r="211" customFormat="false" ht="20.5" hidden="false" customHeight="true" outlineLevel="0" collapsed="false">
      <c r="A211" s="0" t="n">
        <v>31</v>
      </c>
      <c r="B211" s="34" t="n">
        <v>37530</v>
      </c>
      <c r="C211" s="9" t="n">
        <v>719600</v>
      </c>
      <c r="D211" s="9" t="s">
        <v>41</v>
      </c>
      <c r="E211" s="33" t="n">
        <f aca="false">IF(D211="totale",(C211/(A211*24))/F211,IF(D211="marché libre",(C211/(A211*24))/G211,"spécifier histo"))</f>
        <v>0.546443107952129</v>
      </c>
      <c r="F211" s="59" t="n">
        <v>1770</v>
      </c>
      <c r="G211" s="59" t="n">
        <f aca="false">F211-H211</f>
        <v>1770</v>
      </c>
      <c r="H211" s="58" t="n">
        <v>0</v>
      </c>
      <c r="I211" s="9"/>
      <c r="J211" s="30"/>
      <c r="K211" s="30"/>
      <c r="L211" s="30"/>
      <c r="M211" s="30"/>
      <c r="N211" s="30"/>
      <c r="O211" s="30"/>
      <c r="P211" s="30"/>
      <c r="Q211" s="30"/>
      <c r="R211" s="30"/>
      <c r="S211" s="30"/>
      <c r="T211" s="30"/>
      <c r="U211" s="30"/>
    </row>
    <row r="212" customFormat="false" ht="20.5" hidden="false" customHeight="true" outlineLevel="0" collapsed="false">
      <c r="A212" s="0" t="n">
        <v>30</v>
      </c>
      <c r="B212" s="31" t="n">
        <v>37561</v>
      </c>
      <c r="C212" s="9" t="n">
        <v>856400</v>
      </c>
      <c r="D212" s="9" t="s">
        <v>41</v>
      </c>
      <c r="E212" s="33" t="n">
        <f aca="false">IF(D212="totale",(C212/(A212*24))/F212,IF(D212="marché libre",(C212/(A212*24))/G212,"spécifier histo"))</f>
        <v>0.672002510985562</v>
      </c>
      <c r="F212" s="59" t="n">
        <v>1770</v>
      </c>
      <c r="G212" s="59" t="n">
        <f aca="false">F212-H212</f>
        <v>1770</v>
      </c>
      <c r="H212" s="58" t="n">
        <v>0</v>
      </c>
      <c r="I212" s="9"/>
      <c r="J212" s="30"/>
      <c r="K212" s="30"/>
      <c r="L212" s="30"/>
      <c r="M212" s="30"/>
      <c r="N212" s="30"/>
      <c r="O212" s="30"/>
      <c r="P212" s="30"/>
      <c r="Q212" s="30"/>
      <c r="R212" s="30"/>
      <c r="S212" s="30"/>
      <c r="T212" s="30"/>
      <c r="U212" s="30"/>
    </row>
    <row r="213" customFormat="false" ht="20.5" hidden="false" customHeight="true" outlineLevel="0" collapsed="false">
      <c r="A213" s="0" t="n">
        <v>31</v>
      </c>
      <c r="B213" s="34" t="n">
        <v>37591</v>
      </c>
      <c r="C213" s="9" t="n">
        <v>1222400</v>
      </c>
      <c r="D213" s="9" t="s">
        <v>41</v>
      </c>
      <c r="E213" s="33" t="n">
        <f aca="false">IF(D213="totale",(C213/(A213*24))/F213,IF(D213="marché libre",(C213/(A213*24))/G213,"spécifier histo"))</f>
        <v>0.92825466253569</v>
      </c>
      <c r="F213" s="59" t="n">
        <v>1770</v>
      </c>
      <c r="G213" s="59" t="n">
        <f aca="false">F213-H213</f>
        <v>1770</v>
      </c>
      <c r="H213" s="58" t="n">
        <v>0</v>
      </c>
      <c r="I213" s="9"/>
      <c r="J213" s="30"/>
      <c r="K213" s="30"/>
      <c r="L213" s="30"/>
      <c r="M213" s="30"/>
      <c r="N213" s="30"/>
      <c r="O213" s="30"/>
      <c r="P213" s="30"/>
      <c r="Q213" s="30"/>
      <c r="R213" s="30"/>
      <c r="S213" s="30"/>
      <c r="T213" s="30"/>
      <c r="U213" s="30"/>
    </row>
    <row r="214" customFormat="false" ht="20.5" hidden="false" customHeight="true" outlineLevel="0" collapsed="false">
      <c r="A214" s="0" t="n">
        <v>31</v>
      </c>
      <c r="B214" s="31" t="n">
        <v>37622</v>
      </c>
      <c r="C214" s="9" t="n">
        <v>1205200</v>
      </c>
      <c r="D214" s="9" t="s">
        <v>41</v>
      </c>
      <c r="E214" s="33" t="n">
        <f aca="false">IF(D214="totale",(C214/(A214*24))/F214,IF(D214="marché libre",(C214/(A214*24))/G214,"spécifier histo"))</f>
        <v>0.915193487637446</v>
      </c>
      <c r="F214" s="59" t="n">
        <v>1770</v>
      </c>
      <c r="G214" s="59" t="n">
        <f aca="false">F214-H214</f>
        <v>1770</v>
      </c>
      <c r="H214" s="58" t="n">
        <v>0</v>
      </c>
      <c r="I214" s="9"/>
      <c r="J214" s="30"/>
      <c r="K214" s="30"/>
      <c r="L214" s="30"/>
      <c r="M214" s="30"/>
      <c r="N214" s="30"/>
      <c r="O214" s="30"/>
      <c r="P214" s="30"/>
      <c r="Q214" s="30"/>
      <c r="R214" s="30"/>
      <c r="S214" s="30"/>
      <c r="T214" s="30"/>
      <c r="U214" s="30"/>
    </row>
    <row r="215" customFormat="false" ht="20.5" hidden="false" customHeight="true" outlineLevel="0" collapsed="false">
      <c r="A215" s="0" t="n">
        <v>28</v>
      </c>
      <c r="B215" s="34" t="n">
        <v>37653</v>
      </c>
      <c r="C215" s="9" t="n">
        <v>1050600</v>
      </c>
      <c r="D215" s="9" t="s">
        <v>41</v>
      </c>
      <c r="E215" s="33" t="n">
        <f aca="false">IF(D215="totale",(C215/(A215*24))/F215,IF(D215="marché libre",(C215/(A215*24))/G215,"spécifier histo"))</f>
        <v>0.883272800645682</v>
      </c>
      <c r="F215" s="59" t="n">
        <v>1770</v>
      </c>
      <c r="G215" s="59" t="n">
        <f aca="false">F215-H215</f>
        <v>1770</v>
      </c>
      <c r="H215" s="58" t="n">
        <v>0</v>
      </c>
      <c r="I215" s="9"/>
      <c r="J215" s="30"/>
      <c r="K215" s="30"/>
      <c r="L215" s="30"/>
      <c r="M215" s="30"/>
      <c r="N215" s="30"/>
      <c r="O215" s="30"/>
      <c r="P215" s="30"/>
      <c r="Q215" s="30"/>
      <c r="R215" s="30"/>
      <c r="S215" s="30"/>
      <c r="T215" s="30"/>
      <c r="U215" s="30"/>
    </row>
    <row r="216" customFormat="false" ht="20.5" hidden="false" customHeight="true" outlineLevel="0" collapsed="false">
      <c r="A216" s="0" t="n">
        <v>31</v>
      </c>
      <c r="B216" s="31" t="n">
        <v>37681</v>
      </c>
      <c r="C216" s="9" t="n">
        <v>1132000</v>
      </c>
      <c r="D216" s="9" t="s">
        <v>41</v>
      </c>
      <c r="E216" s="33" t="n">
        <f aca="false">IF(D216="totale",(C216/(A216*24))/F216,IF(D216="marché libre",(C216/(A216*24))/G216,"spécifier histo"))</f>
        <v>0.859607557256546</v>
      </c>
      <c r="F216" s="59" t="n">
        <v>1770</v>
      </c>
      <c r="G216" s="59" t="n">
        <f aca="false">F216-H216</f>
        <v>1770</v>
      </c>
      <c r="H216" s="58" t="n">
        <v>0</v>
      </c>
      <c r="I216" s="9"/>
      <c r="J216" s="30"/>
      <c r="K216" s="30"/>
      <c r="L216" s="30"/>
      <c r="M216" s="30"/>
      <c r="N216" s="30"/>
      <c r="O216" s="30"/>
      <c r="P216" s="30"/>
      <c r="Q216" s="30"/>
      <c r="R216" s="30"/>
      <c r="S216" s="30"/>
      <c r="T216" s="30"/>
      <c r="U216" s="30"/>
    </row>
    <row r="217" customFormat="false" ht="20.5" hidden="false" customHeight="true" outlineLevel="0" collapsed="false">
      <c r="A217" s="0" t="n">
        <v>30</v>
      </c>
      <c r="B217" s="34" t="n">
        <v>37712</v>
      </c>
      <c r="C217" s="9" t="n">
        <v>794400</v>
      </c>
      <c r="D217" s="9" t="s">
        <v>41</v>
      </c>
      <c r="E217" s="33" t="n">
        <f aca="false">IF(D217="totale",(C217/(A217*24))/F217,IF(D217="marché libre",(C217/(A217*24))/G217,"spécifier histo"))</f>
        <v>0.623352165725047</v>
      </c>
      <c r="F217" s="59" t="n">
        <v>1770</v>
      </c>
      <c r="G217" s="59" t="n">
        <f aca="false">F217-H217</f>
        <v>1770</v>
      </c>
      <c r="H217" s="58" t="n">
        <v>0</v>
      </c>
      <c r="I217" s="9"/>
      <c r="J217" s="30"/>
      <c r="K217" s="30"/>
      <c r="L217" s="30"/>
      <c r="M217" s="30"/>
      <c r="N217" s="30"/>
      <c r="O217" s="30"/>
      <c r="P217" s="30"/>
      <c r="Q217" s="30"/>
      <c r="R217" s="30"/>
      <c r="S217" s="30"/>
      <c r="T217" s="30"/>
      <c r="U217" s="30"/>
    </row>
    <row r="218" customFormat="false" ht="20.5" hidden="false" customHeight="true" outlineLevel="0" collapsed="false">
      <c r="A218" s="0" t="n">
        <v>31</v>
      </c>
      <c r="B218" s="31" t="n">
        <v>37742</v>
      </c>
      <c r="C218" s="9" t="n">
        <v>472600</v>
      </c>
      <c r="D218" s="9" t="s">
        <v>41</v>
      </c>
      <c r="E218" s="33" t="n">
        <f aca="false">IF(D218="totale",(C218/(A218*24))/F218,IF(D218="marché libre",(C218/(A218*24))/G218,"spécifier histo"))</f>
        <v>0.358878561448272</v>
      </c>
      <c r="F218" s="59" t="n">
        <v>1770</v>
      </c>
      <c r="G218" s="59" t="n">
        <f aca="false">F218-H218</f>
        <v>1770</v>
      </c>
      <c r="H218" s="58" t="n">
        <v>0</v>
      </c>
      <c r="I218" s="9"/>
      <c r="J218" s="30"/>
      <c r="K218" s="30"/>
      <c r="L218" s="30"/>
      <c r="M218" s="30"/>
      <c r="N218" s="30"/>
      <c r="O218" s="30"/>
      <c r="P218" s="30"/>
      <c r="Q218" s="30"/>
      <c r="R218" s="30"/>
      <c r="S218" s="30"/>
      <c r="T218" s="30"/>
      <c r="U218" s="30"/>
    </row>
    <row r="219" customFormat="false" ht="20.5" hidden="false" customHeight="true" outlineLevel="0" collapsed="false">
      <c r="A219" s="0" t="n">
        <v>30</v>
      </c>
      <c r="B219" s="34" t="n">
        <v>37773</v>
      </c>
      <c r="C219" s="9" t="n">
        <v>249000</v>
      </c>
      <c r="D219" s="9" t="s">
        <v>41</v>
      </c>
      <c r="E219" s="33" t="n">
        <f aca="false">IF(D219="totale",(C219/(A219*24))/F219,IF(D219="marché libre",(C219/(A219*24))/G219,"spécifier histo"))</f>
        <v>0.195386064030132</v>
      </c>
      <c r="F219" s="59" t="n">
        <v>1770</v>
      </c>
      <c r="G219" s="59" t="n">
        <f aca="false">F219-H219</f>
        <v>1770</v>
      </c>
      <c r="H219" s="58" t="n">
        <v>0</v>
      </c>
      <c r="I219" s="9"/>
      <c r="J219" s="30"/>
      <c r="K219" s="30"/>
      <c r="L219" s="30"/>
      <c r="M219" s="30"/>
      <c r="N219" s="30"/>
      <c r="O219" s="30"/>
      <c r="P219" s="30"/>
      <c r="Q219" s="30"/>
      <c r="R219" s="30"/>
      <c r="S219" s="30"/>
      <c r="T219" s="30"/>
      <c r="U219" s="30"/>
    </row>
    <row r="220" customFormat="false" ht="20.5" hidden="false" customHeight="true" outlineLevel="0" collapsed="false">
      <c r="A220" s="0" t="n">
        <v>31</v>
      </c>
      <c r="B220" s="31" t="n">
        <v>37803</v>
      </c>
      <c r="C220" s="9" t="n">
        <v>65200</v>
      </c>
      <c r="D220" s="9" t="s">
        <v>41</v>
      </c>
      <c r="E220" s="33" t="n">
        <f aca="false">IF(D220="totale",(C220/(A220*24))/F220,IF(D220="marché libre",(C220/(A220*24))/G220,"spécifier histo"))</f>
        <v>0.0495109653119495</v>
      </c>
      <c r="F220" s="59" t="n">
        <v>1770</v>
      </c>
      <c r="G220" s="59" t="n">
        <f aca="false">F220-H220</f>
        <v>1770</v>
      </c>
      <c r="H220" s="58" t="n">
        <v>0</v>
      </c>
      <c r="I220" s="9"/>
      <c r="J220" s="30"/>
      <c r="K220" s="30"/>
      <c r="L220" s="30"/>
      <c r="M220" s="30"/>
      <c r="N220" s="30"/>
      <c r="O220" s="30"/>
      <c r="P220" s="30"/>
      <c r="Q220" s="30"/>
      <c r="R220" s="30"/>
      <c r="S220" s="30"/>
      <c r="T220" s="30"/>
      <c r="U220" s="30"/>
    </row>
    <row r="221" customFormat="false" ht="20.5" hidden="false" customHeight="true" outlineLevel="0" collapsed="false">
      <c r="A221" s="0" t="n">
        <v>31</v>
      </c>
      <c r="B221" s="34" t="n">
        <v>37834</v>
      </c>
      <c r="C221" s="9" t="n">
        <v>5000</v>
      </c>
      <c r="D221" s="9" t="s">
        <v>41</v>
      </c>
      <c r="E221" s="33" t="n">
        <f aca="false">IF(D221="totale",(C221/(A221*24))/F221,IF(D221="marché libre",(C221/(A221*24))/G221,"spécifier histo"))</f>
        <v>0.00379685316809428</v>
      </c>
      <c r="F221" s="59" t="n">
        <v>1770</v>
      </c>
      <c r="G221" s="59" t="n">
        <f aca="false">F221-H221</f>
        <v>1770</v>
      </c>
      <c r="H221" s="58" t="n">
        <v>0</v>
      </c>
      <c r="I221" s="9"/>
      <c r="J221" s="30"/>
      <c r="K221" s="30"/>
      <c r="L221" s="30"/>
      <c r="M221" s="30"/>
      <c r="N221" s="30"/>
      <c r="O221" s="30"/>
      <c r="P221" s="30"/>
      <c r="Q221" s="30"/>
      <c r="R221" s="30"/>
      <c r="S221" s="30"/>
      <c r="T221" s="30"/>
      <c r="U221" s="30"/>
    </row>
    <row r="222" customFormat="false" ht="20.5" hidden="false" customHeight="true" outlineLevel="0" collapsed="false">
      <c r="A222" s="0" t="n">
        <v>30</v>
      </c>
      <c r="B222" s="31" t="n">
        <v>37865</v>
      </c>
      <c r="C222" s="9" t="n">
        <v>129000</v>
      </c>
      <c r="D222" s="9" t="s">
        <v>41</v>
      </c>
      <c r="E222" s="33" t="n">
        <f aca="false">IF(D222="totale",(C222/(A222*24))/F222,IF(D222="marché libre",(C222/(A222*24))/G222,"spécifier histo"))</f>
        <v>0.101224105461394</v>
      </c>
      <c r="F222" s="59" t="n">
        <v>1770</v>
      </c>
      <c r="G222" s="59" t="n">
        <f aca="false">F222-H222</f>
        <v>1770</v>
      </c>
      <c r="H222" s="58" t="n">
        <v>0</v>
      </c>
      <c r="I222" s="9"/>
      <c r="J222" s="30"/>
      <c r="K222" s="30"/>
      <c r="L222" s="30"/>
      <c r="M222" s="30"/>
      <c r="N222" s="30"/>
      <c r="O222" s="30"/>
      <c r="P222" s="30"/>
      <c r="Q222" s="30"/>
      <c r="R222" s="30"/>
      <c r="S222" s="30"/>
      <c r="T222" s="30"/>
      <c r="U222" s="30"/>
    </row>
    <row r="223" customFormat="false" ht="20.5" hidden="false" customHeight="true" outlineLevel="0" collapsed="false">
      <c r="A223" s="0" t="n">
        <v>31</v>
      </c>
      <c r="B223" s="34" t="n">
        <v>37895</v>
      </c>
      <c r="C223" s="9" t="n">
        <v>343400</v>
      </c>
      <c r="D223" s="9" t="s">
        <v>41</v>
      </c>
      <c r="E223" s="33" t="n">
        <f aca="false">IF(D223="totale",(C223/(A223*24))/F223,IF(D223="marché libre",(C223/(A223*24))/G223,"spécifier histo"))</f>
        <v>0.260767875584715</v>
      </c>
      <c r="F223" s="59" t="n">
        <v>1770</v>
      </c>
      <c r="G223" s="59" t="n">
        <f aca="false">F223-H223</f>
        <v>1770</v>
      </c>
      <c r="H223" s="58" t="n">
        <v>0</v>
      </c>
      <c r="I223" s="9"/>
      <c r="J223" s="30"/>
      <c r="K223" s="30"/>
      <c r="L223" s="30"/>
      <c r="M223" s="30"/>
      <c r="N223" s="30"/>
      <c r="O223" s="30"/>
      <c r="P223" s="30"/>
      <c r="Q223" s="30"/>
      <c r="R223" s="30"/>
      <c r="S223" s="30"/>
      <c r="T223" s="30"/>
      <c r="U223" s="30"/>
    </row>
    <row r="224" customFormat="false" ht="20.5" hidden="false" customHeight="true" outlineLevel="0" collapsed="false">
      <c r="A224" s="0" t="n">
        <v>30</v>
      </c>
      <c r="B224" s="31" t="n">
        <v>37926</v>
      </c>
      <c r="C224" s="9" t="n">
        <v>750600</v>
      </c>
      <c r="D224" s="9" t="s">
        <v>41</v>
      </c>
      <c r="E224" s="33" t="n">
        <f aca="false">IF(D224="totale",(C224/(A224*24))/F224,IF(D224="marché libre",(C224/(A224*24))/G224,"spécifier histo"))</f>
        <v>0.588983050847458</v>
      </c>
      <c r="F224" s="59" t="n">
        <v>1770</v>
      </c>
      <c r="G224" s="59" t="n">
        <f aca="false">F224-H224</f>
        <v>1770</v>
      </c>
      <c r="H224" s="58" t="n">
        <v>0</v>
      </c>
      <c r="I224" s="9"/>
      <c r="J224" s="30"/>
      <c r="K224" s="30"/>
      <c r="L224" s="30"/>
      <c r="M224" s="30"/>
      <c r="N224" s="30"/>
      <c r="O224" s="30"/>
      <c r="P224" s="30"/>
      <c r="Q224" s="30"/>
      <c r="R224" s="30"/>
      <c r="S224" s="30"/>
      <c r="T224" s="30"/>
      <c r="U224" s="30"/>
    </row>
    <row r="225" customFormat="false" ht="20.5" hidden="false" customHeight="true" outlineLevel="0" collapsed="false">
      <c r="A225" s="0" t="n">
        <v>31</v>
      </c>
      <c r="B225" s="34" t="n">
        <v>37956</v>
      </c>
      <c r="C225" s="9" t="n">
        <v>920400</v>
      </c>
      <c r="D225" s="9" t="s">
        <v>41</v>
      </c>
      <c r="E225" s="33" t="n">
        <f aca="false">IF(D225="totale",(C225/(A225*24))/F225,IF(D225="marché libre",(C225/(A225*24))/G225,"spécifier histo"))</f>
        <v>0.698924731182796</v>
      </c>
      <c r="F225" s="59" t="n">
        <v>1770</v>
      </c>
      <c r="G225" s="59" t="n">
        <f aca="false">F225-H225</f>
        <v>1770</v>
      </c>
      <c r="H225" s="58" t="n">
        <v>0</v>
      </c>
      <c r="I225" s="9"/>
      <c r="J225" s="30"/>
      <c r="K225" s="30"/>
      <c r="L225" s="30"/>
      <c r="M225" s="30"/>
      <c r="N225" s="30"/>
      <c r="O225" s="30"/>
      <c r="P225" s="30"/>
      <c r="Q225" s="30"/>
      <c r="R225" s="30"/>
      <c r="S225" s="30"/>
      <c r="T225" s="30"/>
      <c r="U225" s="30"/>
    </row>
    <row r="226" customFormat="false" ht="20.5" hidden="false" customHeight="true" outlineLevel="0" collapsed="false">
      <c r="A226" s="0" t="n">
        <v>31</v>
      </c>
      <c r="B226" s="31" t="n">
        <v>37987</v>
      </c>
      <c r="C226" s="9" t="n">
        <v>1120800</v>
      </c>
      <c r="D226" s="9" t="s">
        <v>41</v>
      </c>
      <c r="E226" s="33" t="n">
        <f aca="false">IF(D226="totale",(C226/(A226*24))/F226,IF(D226="marché libre",(C226/(A226*24))/G226,"spécifier histo"))</f>
        <v>0.851102606160015</v>
      </c>
      <c r="F226" s="59" t="n">
        <v>1770</v>
      </c>
      <c r="G226" s="59" t="n">
        <f aca="false">F226-H226</f>
        <v>1770</v>
      </c>
      <c r="H226" s="58" t="n">
        <v>0</v>
      </c>
      <c r="I226" s="9"/>
      <c r="J226" s="30"/>
      <c r="K226" s="30"/>
      <c r="L226" s="30"/>
      <c r="M226" s="30"/>
      <c r="N226" s="30"/>
      <c r="O226" s="30"/>
      <c r="P226" s="30"/>
      <c r="Q226" s="30"/>
      <c r="R226" s="30"/>
      <c r="S226" s="30"/>
      <c r="T226" s="30"/>
      <c r="U226" s="30"/>
    </row>
    <row r="227" customFormat="false" ht="20.5" hidden="false" customHeight="true" outlineLevel="0" collapsed="false">
      <c r="A227" s="0" t="n">
        <v>28</v>
      </c>
      <c r="B227" s="34" t="n">
        <v>38018</v>
      </c>
      <c r="C227" s="9" t="n">
        <v>1135200</v>
      </c>
      <c r="D227" s="9" t="s">
        <v>41</v>
      </c>
      <c r="E227" s="33" t="n">
        <f aca="false">IF(D227="totale",(C227/(A227*24))/F227,IF(D227="marché libre",(C227/(A227*24))/G227,"spécifier histo"))</f>
        <v>0.954398708635997</v>
      </c>
      <c r="F227" s="59" t="n">
        <v>1770</v>
      </c>
      <c r="G227" s="59" t="n">
        <f aca="false">F227-H227</f>
        <v>1770</v>
      </c>
      <c r="H227" s="58" t="n">
        <v>0</v>
      </c>
      <c r="I227" s="9"/>
      <c r="J227" s="30"/>
      <c r="K227" s="30"/>
      <c r="L227" s="30"/>
      <c r="M227" s="30"/>
      <c r="N227" s="30"/>
      <c r="O227" s="30"/>
      <c r="P227" s="30"/>
      <c r="Q227" s="30"/>
      <c r="R227" s="30"/>
      <c r="S227" s="30"/>
      <c r="T227" s="30"/>
      <c r="U227" s="30"/>
    </row>
    <row r="228" customFormat="false" ht="20.5" hidden="false" customHeight="true" outlineLevel="0" collapsed="false">
      <c r="A228" s="0" t="n">
        <v>31</v>
      </c>
      <c r="B228" s="31" t="n">
        <v>38047</v>
      </c>
      <c r="C228" s="9" t="n">
        <v>1149200</v>
      </c>
      <c r="D228" s="9" t="s">
        <v>41</v>
      </c>
      <c r="E228" s="33" t="n">
        <f aca="false">IF(D228="totale",(C228/(A228*24))/F228,IF(D228="marché libre",(C228/(A228*24))/G228,"spécifier histo"))</f>
        <v>0.87266873215479</v>
      </c>
      <c r="F228" s="59" t="n">
        <v>1770</v>
      </c>
      <c r="G228" s="59" t="n">
        <f aca="false">F228-H228</f>
        <v>1770</v>
      </c>
      <c r="H228" s="58" t="n">
        <v>0</v>
      </c>
      <c r="I228" s="9"/>
      <c r="J228" s="30"/>
      <c r="K228" s="30"/>
      <c r="L228" s="30"/>
      <c r="M228" s="30"/>
      <c r="N228" s="30"/>
      <c r="O228" s="30"/>
      <c r="P228" s="30"/>
      <c r="Q228" s="30"/>
      <c r="R228" s="30"/>
      <c r="S228" s="30"/>
      <c r="T228" s="30"/>
      <c r="U228" s="30"/>
    </row>
    <row r="229" customFormat="false" ht="20.5" hidden="false" customHeight="true" outlineLevel="0" collapsed="false">
      <c r="A229" s="0" t="n">
        <v>30</v>
      </c>
      <c r="B229" s="34" t="n">
        <v>38078</v>
      </c>
      <c r="C229" s="9" t="n">
        <v>1122800</v>
      </c>
      <c r="D229" s="9" t="s">
        <v>41</v>
      </c>
      <c r="E229" s="33" t="n">
        <f aca="false">IF(D229="totale",(C229/(A229*24))/F229,IF(D229="marché libre",(C229/(A229*24))/G229,"spécifier histo"))</f>
        <v>0.881042059008161</v>
      </c>
      <c r="F229" s="59" t="n">
        <v>1770</v>
      </c>
      <c r="G229" s="59" t="n">
        <f aca="false">F229-H229</f>
        <v>1770</v>
      </c>
      <c r="H229" s="58" t="n">
        <v>0</v>
      </c>
      <c r="I229" s="9"/>
      <c r="J229" s="30"/>
      <c r="K229" s="30"/>
      <c r="L229" s="30"/>
      <c r="M229" s="30"/>
      <c r="N229" s="30"/>
      <c r="O229" s="30"/>
      <c r="P229" s="30"/>
      <c r="Q229" s="30"/>
      <c r="R229" s="30"/>
      <c r="S229" s="30"/>
      <c r="T229" s="30"/>
      <c r="U229" s="30"/>
    </row>
    <row r="230" customFormat="false" ht="20.5" hidden="false" customHeight="true" outlineLevel="0" collapsed="false">
      <c r="A230" s="0" t="n">
        <v>31</v>
      </c>
      <c r="B230" s="31" t="n">
        <v>38108</v>
      </c>
      <c r="C230" s="9" t="n">
        <v>983200</v>
      </c>
      <c r="D230" s="9" t="s">
        <v>41</v>
      </c>
      <c r="E230" s="33" t="n">
        <f aca="false">IF(D230="totale",(C230/(A230*24))/F230,IF(D230="marché libre",(C230/(A230*24))/G230,"spécifier histo"))</f>
        <v>0.74661320697406</v>
      </c>
      <c r="F230" s="59" t="n">
        <v>1770</v>
      </c>
      <c r="G230" s="59" t="n">
        <f aca="false">F230-H230</f>
        <v>1770</v>
      </c>
      <c r="H230" s="58" t="n">
        <v>0</v>
      </c>
      <c r="I230" s="9"/>
      <c r="J230" s="30"/>
      <c r="K230" s="30"/>
      <c r="L230" s="30"/>
      <c r="M230" s="30"/>
      <c r="N230" s="30"/>
      <c r="O230" s="30"/>
      <c r="P230" s="30"/>
      <c r="Q230" s="30"/>
      <c r="R230" s="30"/>
      <c r="S230" s="30"/>
      <c r="T230" s="30"/>
      <c r="U230" s="30"/>
    </row>
    <row r="231" customFormat="false" ht="20.5" hidden="false" customHeight="true" outlineLevel="0" collapsed="false">
      <c r="A231" s="0" t="n">
        <v>30</v>
      </c>
      <c r="B231" s="34" t="n">
        <v>38139</v>
      </c>
      <c r="C231" s="9" t="n">
        <v>418400</v>
      </c>
      <c r="D231" s="9" t="s">
        <v>41</v>
      </c>
      <c r="E231" s="33" t="n">
        <f aca="false">IF(D231="totale",(C231/(A231*24))/F231,IF(D231="marché libre",(C231/(A231*24))/G231,"spécifier histo"))</f>
        <v>0.328311362209667</v>
      </c>
      <c r="F231" s="59" t="n">
        <v>1770</v>
      </c>
      <c r="G231" s="59" t="n">
        <f aca="false">F231-H231</f>
        <v>1770</v>
      </c>
      <c r="H231" s="58" t="n">
        <v>0</v>
      </c>
      <c r="I231" s="9"/>
      <c r="J231" s="30"/>
      <c r="K231" s="30"/>
      <c r="L231" s="30"/>
      <c r="M231" s="30"/>
      <c r="N231" s="30"/>
      <c r="O231" s="30"/>
      <c r="P231" s="30"/>
      <c r="Q231" s="30"/>
      <c r="R231" s="30"/>
      <c r="S231" s="30"/>
      <c r="T231" s="30"/>
      <c r="U231" s="30"/>
    </row>
    <row r="232" customFormat="false" ht="20.5" hidden="false" customHeight="true" outlineLevel="0" collapsed="false">
      <c r="A232" s="0" t="n">
        <v>31</v>
      </c>
      <c r="B232" s="31" t="n">
        <v>38169</v>
      </c>
      <c r="C232" s="9" t="n">
        <v>53400</v>
      </c>
      <c r="D232" s="9" t="s">
        <v>41</v>
      </c>
      <c r="E232" s="33" t="n">
        <f aca="false">IF(D232="totale",(C232/(A232*24))/F232,IF(D232="marché libre",(C232/(A232*24))/G232,"spécifier histo"))</f>
        <v>0.040550391835247</v>
      </c>
      <c r="F232" s="59" t="n">
        <v>1770</v>
      </c>
      <c r="G232" s="59" t="n">
        <f aca="false">F232-H232</f>
        <v>1770</v>
      </c>
      <c r="H232" s="58" t="n">
        <v>0</v>
      </c>
      <c r="I232" s="9"/>
      <c r="J232" s="30"/>
      <c r="K232" s="30"/>
      <c r="L232" s="30"/>
      <c r="M232" s="30"/>
      <c r="N232" s="30"/>
      <c r="O232" s="30"/>
      <c r="P232" s="30"/>
      <c r="Q232" s="30"/>
      <c r="R232" s="30"/>
      <c r="S232" s="30"/>
      <c r="T232" s="30"/>
      <c r="U232" s="30"/>
    </row>
    <row r="233" customFormat="false" ht="20.5" hidden="false" customHeight="true" outlineLevel="0" collapsed="false">
      <c r="A233" s="0" t="n">
        <v>31</v>
      </c>
      <c r="B233" s="34" t="n">
        <v>38200</v>
      </c>
      <c r="C233" s="9" t="n">
        <v>139800</v>
      </c>
      <c r="D233" s="9" t="s">
        <v>41</v>
      </c>
      <c r="E233" s="33" t="n">
        <f aca="false">IF(D233="totale",(C233/(A233*24))/F233,IF(D233="marché libre",(C233/(A233*24))/G233,"spécifier histo"))</f>
        <v>0.106160014579916</v>
      </c>
      <c r="F233" s="59" t="n">
        <v>1770</v>
      </c>
      <c r="G233" s="59" t="n">
        <f aca="false">F233-H233</f>
        <v>1770</v>
      </c>
      <c r="H233" s="58" t="n">
        <v>0</v>
      </c>
      <c r="I233" s="9"/>
      <c r="J233" s="30"/>
      <c r="K233" s="30"/>
      <c r="L233" s="30"/>
      <c r="M233" s="30"/>
      <c r="N233" s="30"/>
      <c r="O233" s="30"/>
      <c r="P233" s="30"/>
      <c r="Q233" s="30"/>
      <c r="R233" s="30"/>
      <c r="S233" s="30"/>
      <c r="T233" s="30"/>
      <c r="U233" s="30"/>
    </row>
    <row r="234" customFormat="false" ht="20.5" hidden="false" customHeight="true" outlineLevel="0" collapsed="false">
      <c r="A234" s="0" t="n">
        <v>30</v>
      </c>
      <c r="B234" s="31" t="n">
        <v>38231</v>
      </c>
      <c r="C234" s="9" t="n">
        <v>201800</v>
      </c>
      <c r="D234" s="9" t="s">
        <v>41</v>
      </c>
      <c r="E234" s="33" t="n">
        <f aca="false">IF(D234="totale",(C234/(A234*24))/F234,IF(D234="marché libre",(C234/(A234*24))/G234,"spécifier histo"))</f>
        <v>0.158349026993095</v>
      </c>
      <c r="F234" s="59" t="n">
        <v>1770</v>
      </c>
      <c r="G234" s="59" t="n">
        <f aca="false">F234-H234</f>
        <v>1770</v>
      </c>
      <c r="H234" s="58" t="n">
        <v>0</v>
      </c>
      <c r="I234" s="9"/>
      <c r="J234" s="30"/>
      <c r="K234" s="30"/>
      <c r="L234" s="30"/>
      <c r="M234" s="30"/>
      <c r="N234" s="30"/>
      <c r="O234" s="30"/>
      <c r="P234" s="30"/>
      <c r="Q234" s="30"/>
      <c r="R234" s="30"/>
      <c r="S234" s="30"/>
      <c r="T234" s="30"/>
      <c r="U234" s="30"/>
    </row>
    <row r="235" customFormat="false" ht="20.5" hidden="false" customHeight="true" outlineLevel="0" collapsed="false">
      <c r="A235" s="0" t="n">
        <v>31</v>
      </c>
      <c r="B235" s="34" t="n">
        <v>38261</v>
      </c>
      <c r="C235" s="9" t="n">
        <v>284000</v>
      </c>
      <c r="D235" s="9" t="s">
        <v>41</v>
      </c>
      <c r="E235" s="33" t="n">
        <f aca="false">IF(D235="totale",(C235/(A235*24))/F235,IF(D235="marché libre",(C235/(A235*24))/G235,"spécifier histo"))</f>
        <v>0.215661259947755</v>
      </c>
      <c r="F235" s="59" t="n">
        <v>1770</v>
      </c>
      <c r="G235" s="59" t="n">
        <f aca="false">F235-H235</f>
        <v>1770</v>
      </c>
      <c r="H235" s="58" t="n">
        <v>0</v>
      </c>
      <c r="I235" s="9"/>
      <c r="J235" s="30"/>
      <c r="K235" s="30"/>
      <c r="L235" s="30"/>
      <c r="M235" s="30"/>
      <c r="N235" s="30"/>
      <c r="O235" s="30"/>
      <c r="P235" s="30"/>
      <c r="Q235" s="30"/>
      <c r="R235" s="30"/>
      <c r="S235" s="30"/>
      <c r="T235" s="30"/>
      <c r="U235" s="30"/>
    </row>
    <row r="236" customFormat="false" ht="20.5" hidden="false" customHeight="true" outlineLevel="0" collapsed="false">
      <c r="A236" s="0" t="n">
        <v>30</v>
      </c>
      <c r="B236" s="31" t="n">
        <v>38292</v>
      </c>
      <c r="C236" s="9" t="n">
        <v>594000</v>
      </c>
      <c r="D236" s="9" t="s">
        <v>41</v>
      </c>
      <c r="E236" s="33" t="n">
        <f aca="false">IF(D236="totale",(C236/(A236*24))/F236,IF(D236="marché libre",(C236/(A236*24))/G236,"spécifier histo"))</f>
        <v>0.466101694915254</v>
      </c>
      <c r="F236" s="59" t="n">
        <v>1770</v>
      </c>
      <c r="G236" s="59" t="n">
        <f aca="false">F236-H236</f>
        <v>1770</v>
      </c>
      <c r="H236" s="58" t="n">
        <v>0</v>
      </c>
      <c r="I236" s="9"/>
      <c r="J236" s="30"/>
      <c r="K236" s="30"/>
      <c r="L236" s="30"/>
      <c r="M236" s="30"/>
      <c r="N236" s="30"/>
      <c r="O236" s="30"/>
      <c r="P236" s="30"/>
      <c r="Q236" s="30"/>
      <c r="R236" s="30"/>
      <c r="S236" s="30"/>
      <c r="T236" s="30"/>
      <c r="U236" s="30"/>
    </row>
    <row r="237" customFormat="false" ht="20.5" hidden="false" customHeight="true" outlineLevel="0" collapsed="false">
      <c r="A237" s="0" t="n">
        <v>31</v>
      </c>
      <c r="B237" s="34" t="n">
        <v>38322</v>
      </c>
      <c r="C237" s="9" t="n">
        <v>557000</v>
      </c>
      <c r="D237" s="9" t="s">
        <v>41</v>
      </c>
      <c r="E237" s="33" t="n">
        <f aca="false">IF(D237="totale",(C237/(A237*24))/F237,IF(D237="marché libre",(C237/(A237*24))/G237,"spécifier histo"))</f>
        <v>0.422969442925703</v>
      </c>
      <c r="F237" s="59" t="n">
        <v>1770</v>
      </c>
      <c r="G237" s="59" t="n">
        <f aca="false">F237-H237</f>
        <v>1770</v>
      </c>
      <c r="H237" s="58" t="n">
        <v>0</v>
      </c>
      <c r="I237" s="9"/>
      <c r="J237" s="30"/>
      <c r="K237" s="30"/>
      <c r="L237" s="30"/>
      <c r="M237" s="30"/>
      <c r="N237" s="30"/>
      <c r="O237" s="30"/>
      <c r="P237" s="30"/>
      <c r="Q237" s="30"/>
      <c r="R237" s="30"/>
      <c r="S237" s="30"/>
      <c r="T237" s="30"/>
      <c r="U237" s="30"/>
    </row>
    <row r="238" customFormat="false" ht="19.85" hidden="false" customHeight="true" outlineLevel="0" collapsed="false">
      <c r="A238" s="0" t="n">
        <v>31</v>
      </c>
      <c r="B238" s="31" t="n">
        <v>38353</v>
      </c>
      <c r="C238" s="9" t="n">
        <v>689000</v>
      </c>
      <c r="D238" s="9" t="s">
        <v>41</v>
      </c>
      <c r="E238" s="33" t="n">
        <f aca="false">IF(D238="totale",(C238/(A238*24))/F238,IF(D238="marché libre",(C238/(A238*24))/G238,"spécifier histo"))</f>
        <v>0.523206366563392</v>
      </c>
      <c r="F238" s="59" t="n">
        <v>1770</v>
      </c>
      <c r="G238" s="59" t="n">
        <f aca="false">F238-H238</f>
        <v>1770</v>
      </c>
      <c r="H238" s="58" t="n">
        <v>0</v>
      </c>
      <c r="J238" s="30"/>
      <c r="K238" s="30"/>
      <c r="L238" s="30"/>
      <c r="M238" s="30"/>
      <c r="N238" s="30"/>
      <c r="O238" s="30"/>
      <c r="P238" s="30"/>
      <c r="Q238" s="30"/>
      <c r="R238" s="30"/>
      <c r="S238" s="30"/>
      <c r="T238" s="30"/>
      <c r="U238" s="30"/>
    </row>
    <row r="239" customFormat="false" ht="19.85" hidden="false" customHeight="true" outlineLevel="0" collapsed="false">
      <c r="A239" s="0" t="n">
        <v>28</v>
      </c>
      <c r="B239" s="34" t="n">
        <v>38384</v>
      </c>
      <c r="C239" s="9" t="n">
        <v>665000</v>
      </c>
      <c r="D239" s="9" t="s">
        <v>41</v>
      </c>
      <c r="E239" s="33" t="n">
        <f aca="false">IF(D239="totale",(C239/(A239*24))/F239,IF(D239="marché libre",(C239/(A239*24))/G239,"spécifier histo"))</f>
        <v>0.559086629001883</v>
      </c>
      <c r="F239" s="59" t="n">
        <v>1770</v>
      </c>
      <c r="G239" s="59" t="n">
        <f aca="false">F239-H239</f>
        <v>1770</v>
      </c>
      <c r="H239" s="58" t="n">
        <v>0</v>
      </c>
      <c r="J239" s="30"/>
      <c r="K239" s="30"/>
      <c r="L239" s="30"/>
      <c r="M239" s="30"/>
      <c r="N239" s="30"/>
      <c r="O239" s="30"/>
      <c r="P239" s="30"/>
      <c r="Q239" s="30"/>
      <c r="R239" s="30"/>
      <c r="S239" s="30"/>
      <c r="T239" s="30"/>
      <c r="U239" s="30"/>
    </row>
    <row r="240" customFormat="false" ht="19.85" hidden="false" customHeight="true" outlineLevel="0" collapsed="false">
      <c r="A240" s="0" t="n">
        <v>31</v>
      </c>
      <c r="B240" s="31" t="n">
        <v>38412</v>
      </c>
      <c r="C240" s="9" t="n">
        <v>388800</v>
      </c>
      <c r="D240" s="9" t="s">
        <v>41</v>
      </c>
      <c r="E240" s="33" t="n">
        <f aca="false">IF(D240="totale",(C240/(A240*24))/F240,IF(D240="marché libre",(C240/(A240*24))/G240,"spécifier histo"))</f>
        <v>0.295243302351011</v>
      </c>
      <c r="F240" s="59" t="n">
        <v>1770</v>
      </c>
      <c r="G240" s="59" t="n">
        <f aca="false">F240-H240</f>
        <v>1770</v>
      </c>
      <c r="H240" s="58" t="n">
        <v>0</v>
      </c>
      <c r="J240" s="30"/>
      <c r="K240" s="30"/>
      <c r="L240" s="30"/>
      <c r="M240" s="30"/>
      <c r="N240" s="30"/>
      <c r="O240" s="30"/>
      <c r="P240" s="30"/>
      <c r="Q240" s="30"/>
      <c r="R240" s="30"/>
      <c r="S240" s="30"/>
      <c r="T240" s="30"/>
      <c r="U240" s="30"/>
    </row>
    <row r="241" customFormat="false" ht="19.85" hidden="false" customHeight="true" outlineLevel="0" collapsed="false">
      <c r="A241" s="0" t="n">
        <v>30</v>
      </c>
      <c r="B241" s="34" t="n">
        <v>38443</v>
      </c>
      <c r="C241" s="9" t="n">
        <v>529400</v>
      </c>
      <c r="D241" s="9" t="s">
        <v>41</v>
      </c>
      <c r="E241" s="33" t="n">
        <f aca="false">IF(D241="totale",(C241/(A241*24))/F241,IF(D241="marché libre",(C241/(A241*24))/G241,"spécifier histo"))</f>
        <v>0.41541117388575</v>
      </c>
      <c r="F241" s="59" t="n">
        <v>1770</v>
      </c>
      <c r="G241" s="59" t="n">
        <f aca="false">F241-H241</f>
        <v>1770</v>
      </c>
      <c r="H241" s="58" t="n">
        <v>0</v>
      </c>
      <c r="J241" s="30"/>
      <c r="K241" s="30"/>
      <c r="L241" s="30"/>
      <c r="M241" s="30"/>
      <c r="N241" s="30"/>
      <c r="O241" s="30"/>
      <c r="P241" s="30"/>
      <c r="Q241" s="30"/>
      <c r="R241" s="30"/>
      <c r="S241" s="30"/>
      <c r="T241" s="30"/>
      <c r="U241" s="30"/>
    </row>
    <row r="242" customFormat="false" ht="19.85" hidden="false" customHeight="true" outlineLevel="0" collapsed="false">
      <c r="A242" s="0" t="n">
        <v>31</v>
      </c>
      <c r="B242" s="31" t="n">
        <v>38473</v>
      </c>
      <c r="C242" s="9" t="n">
        <v>455600</v>
      </c>
      <c r="D242" s="9" t="s">
        <v>41</v>
      </c>
      <c r="E242" s="33" t="n">
        <f aca="false">IF(D242="totale",(C242/(A242*24))/F242,IF(D242="marché libre",(C242/(A242*24))/G242,"spécifier histo"))</f>
        <v>0.345969260676751</v>
      </c>
      <c r="F242" s="59" t="n">
        <v>1770</v>
      </c>
      <c r="G242" s="59" t="n">
        <f aca="false">F242-H242</f>
        <v>1770</v>
      </c>
      <c r="H242" s="58" t="n">
        <v>0</v>
      </c>
      <c r="J242" s="30"/>
      <c r="K242" s="30"/>
      <c r="L242" s="30"/>
      <c r="M242" s="30"/>
      <c r="N242" s="30"/>
      <c r="O242" s="30"/>
      <c r="P242" s="30"/>
      <c r="Q242" s="30"/>
      <c r="R242" s="30"/>
      <c r="S242" s="30"/>
      <c r="T242" s="30"/>
      <c r="U242" s="30"/>
    </row>
    <row r="243" customFormat="false" ht="19.85" hidden="false" customHeight="true" outlineLevel="0" collapsed="false">
      <c r="A243" s="0" t="n">
        <v>30</v>
      </c>
      <c r="B243" s="34" t="n">
        <v>38504</v>
      </c>
      <c r="C243" s="9" t="n">
        <v>169400</v>
      </c>
      <c r="D243" s="9" t="s">
        <v>41</v>
      </c>
      <c r="E243" s="33" t="n">
        <f aca="false">IF(D243="totale",(C243/(A243*24))/F243,IF(D243="marché libre",(C243/(A243*24))/G243,"spécifier histo"))</f>
        <v>0.132925298179535</v>
      </c>
      <c r="F243" s="59" t="n">
        <v>1770</v>
      </c>
      <c r="G243" s="59" t="n">
        <f aca="false">F243-H243</f>
        <v>1770</v>
      </c>
      <c r="H243" s="58" t="n">
        <v>0</v>
      </c>
      <c r="J243" s="30"/>
      <c r="K243" s="30"/>
      <c r="L243" s="30"/>
      <c r="M243" s="30"/>
      <c r="N243" s="30"/>
      <c r="O243" s="30"/>
      <c r="P243" s="30"/>
      <c r="Q243" s="30"/>
      <c r="R243" s="30"/>
      <c r="S243" s="30"/>
      <c r="T243" s="30"/>
      <c r="U243" s="30"/>
    </row>
    <row r="244" customFormat="false" ht="19.85" hidden="false" customHeight="true" outlineLevel="0" collapsed="false">
      <c r="A244" s="0" t="n">
        <v>31</v>
      </c>
      <c r="B244" s="31" t="n">
        <v>38534</v>
      </c>
      <c r="C244" s="9" t="n">
        <v>64800</v>
      </c>
      <c r="D244" s="9" t="s">
        <v>41</v>
      </c>
      <c r="E244" s="33" t="n">
        <f aca="false">IF(D244="totale",(C244/(A244*24))/F244,IF(D244="marché libre",(C244/(A244*24))/G244,"spécifier histo"))</f>
        <v>0.0492072170585019</v>
      </c>
      <c r="F244" s="59" t="n">
        <v>1770</v>
      </c>
      <c r="G244" s="59" t="n">
        <f aca="false">F244-H244</f>
        <v>1770</v>
      </c>
      <c r="H244" s="58" t="n">
        <v>0</v>
      </c>
      <c r="J244" s="30"/>
      <c r="K244" s="30"/>
      <c r="L244" s="30"/>
      <c r="M244" s="30"/>
      <c r="N244" s="30"/>
      <c r="O244" s="30"/>
      <c r="P244" s="30"/>
      <c r="Q244" s="30"/>
      <c r="R244" s="30"/>
      <c r="S244" s="30"/>
      <c r="T244" s="30"/>
      <c r="U244" s="30"/>
    </row>
    <row r="245" customFormat="false" ht="19.85" hidden="false" customHeight="true" outlineLevel="0" collapsed="false">
      <c r="A245" s="0" t="n">
        <v>31</v>
      </c>
      <c r="B245" s="34" t="n">
        <v>38565</v>
      </c>
      <c r="C245" s="9" t="n">
        <v>17800</v>
      </c>
      <c r="D245" s="9" t="s">
        <v>41</v>
      </c>
      <c r="E245" s="33" t="n">
        <f aca="false">IF(D245="totale",(C245/(A245*24))/F245,IF(D245="marché libre",(C245/(A245*24))/G245,"spécifier histo"))</f>
        <v>0.0135167972784157</v>
      </c>
      <c r="F245" s="59" t="n">
        <v>1770</v>
      </c>
      <c r="G245" s="59" t="n">
        <f aca="false">F245-H245</f>
        <v>1770</v>
      </c>
      <c r="H245" s="58" t="n">
        <v>0</v>
      </c>
      <c r="J245" s="30"/>
      <c r="K245" s="30"/>
      <c r="L245" s="30"/>
      <c r="M245" s="30"/>
      <c r="N245" s="30"/>
      <c r="O245" s="30"/>
      <c r="P245" s="30"/>
      <c r="Q245" s="30"/>
      <c r="R245" s="30"/>
      <c r="S245" s="30"/>
      <c r="T245" s="30"/>
      <c r="U245" s="30"/>
    </row>
    <row r="246" customFormat="false" ht="19.85" hidden="false" customHeight="true" outlineLevel="0" collapsed="false">
      <c r="A246" s="0" t="n">
        <v>30</v>
      </c>
      <c r="B246" s="31" t="n">
        <v>38596</v>
      </c>
      <c r="C246" s="9" t="n">
        <v>308800</v>
      </c>
      <c r="D246" s="9" t="s">
        <v>41</v>
      </c>
      <c r="E246" s="33" t="n">
        <f aca="false">IF(D246="totale",(C246/(A246*24))/F246,IF(D246="marché libre",(C246/(A246*24))/G246,"spécifier histo"))</f>
        <v>0.242310106716886</v>
      </c>
      <c r="F246" s="59" t="n">
        <v>1770</v>
      </c>
      <c r="G246" s="59" t="n">
        <f aca="false">F246-H246</f>
        <v>1770</v>
      </c>
      <c r="H246" s="58" t="n">
        <v>0</v>
      </c>
      <c r="J246" s="30"/>
      <c r="K246" s="30"/>
      <c r="L246" s="30"/>
      <c r="M246" s="30"/>
      <c r="N246" s="30"/>
      <c r="O246" s="30"/>
      <c r="P246" s="30"/>
      <c r="Q246" s="30"/>
      <c r="R246" s="30"/>
      <c r="S246" s="30"/>
      <c r="T246" s="30"/>
      <c r="U246" s="30"/>
    </row>
    <row r="247" customFormat="false" ht="19.85" hidden="false" customHeight="true" outlineLevel="0" collapsed="false">
      <c r="A247" s="0" t="n">
        <v>31</v>
      </c>
      <c r="B247" s="34" t="n">
        <v>38626</v>
      </c>
      <c r="C247" s="9" t="n">
        <v>544000</v>
      </c>
      <c r="D247" s="9" t="s">
        <v>41</v>
      </c>
      <c r="E247" s="33" t="n">
        <f aca="false">IF(D247="totale",(C247/(A247*24))/F247,IF(D247="marché libre",(C247/(A247*24))/G247,"spécifier histo"))</f>
        <v>0.413097624688658</v>
      </c>
      <c r="F247" s="59" t="n">
        <v>1770</v>
      </c>
      <c r="G247" s="59" t="n">
        <f aca="false">F247-H247</f>
        <v>1770</v>
      </c>
      <c r="H247" s="58" t="n">
        <v>0</v>
      </c>
      <c r="J247" s="30"/>
      <c r="K247" s="30"/>
      <c r="L247" s="30"/>
      <c r="M247" s="30"/>
      <c r="N247" s="30"/>
      <c r="O247" s="30"/>
      <c r="P247" s="30"/>
      <c r="Q247" s="30"/>
      <c r="R247" s="30"/>
      <c r="S247" s="30"/>
      <c r="T247" s="30"/>
      <c r="U247" s="30"/>
      <c r="V247" s="38"/>
      <c r="W247" s="38"/>
      <c r="X247" s="38"/>
      <c r="Y247" s="38"/>
      <c r="Z247" s="38"/>
      <c r="AA247" s="38"/>
      <c r="AB247" s="38"/>
      <c r="AC247" s="38"/>
      <c r="AD247" s="38"/>
    </row>
    <row r="248" customFormat="false" ht="19.85" hidden="false" customHeight="true" outlineLevel="0" collapsed="false">
      <c r="A248" s="0" t="n">
        <v>30</v>
      </c>
      <c r="B248" s="31" t="n">
        <v>38657</v>
      </c>
      <c r="C248" s="9" t="n">
        <v>1058400</v>
      </c>
      <c r="D248" s="9" t="s">
        <v>41</v>
      </c>
      <c r="E248" s="33" t="n">
        <f aca="false">IF(D248="totale",(C248/(A248*24))/F248,IF(D248="marché libre",(C248/(A248*24))/G248,"spécifier histo"))</f>
        <v>0.830508474576271</v>
      </c>
      <c r="F248" s="59" t="n">
        <v>1770</v>
      </c>
      <c r="G248" s="59" t="n">
        <f aca="false">F248-H248</f>
        <v>1770</v>
      </c>
      <c r="H248" s="58" t="n">
        <v>0</v>
      </c>
      <c r="J248" s="30"/>
      <c r="K248" s="30"/>
      <c r="L248" s="30"/>
      <c r="M248" s="30"/>
      <c r="N248" s="30"/>
      <c r="O248" s="30"/>
      <c r="P248" s="30"/>
      <c r="Q248" s="30"/>
      <c r="R248" s="30"/>
      <c r="S248" s="30"/>
      <c r="T248" s="30"/>
      <c r="U248" s="30"/>
    </row>
    <row r="249" customFormat="false" ht="19.85" hidden="false" customHeight="true" outlineLevel="0" collapsed="false">
      <c r="A249" s="0" t="n">
        <v>31</v>
      </c>
      <c r="B249" s="34" t="n">
        <v>38687</v>
      </c>
      <c r="C249" s="9" t="n">
        <v>782200</v>
      </c>
      <c r="D249" s="9" t="s">
        <v>41</v>
      </c>
      <c r="E249" s="33" t="n">
        <f aca="false">IF(D249="totale",(C249/(A249*24))/F249,IF(D249="marché libre",(C249/(A249*24))/G249,"spécifier histo"))</f>
        <v>0.59397970961667</v>
      </c>
      <c r="F249" s="59" t="n">
        <v>1770</v>
      </c>
      <c r="G249" s="59" t="n">
        <f aca="false">F249-H249</f>
        <v>1770</v>
      </c>
      <c r="H249" s="58" t="n">
        <v>0</v>
      </c>
      <c r="J249" s="30"/>
      <c r="K249" s="30"/>
      <c r="L249" s="30"/>
      <c r="M249" s="30"/>
      <c r="N249" s="30"/>
      <c r="O249" s="30"/>
      <c r="P249" s="30"/>
      <c r="Q249" s="30"/>
      <c r="R249" s="30"/>
      <c r="S249" s="30"/>
      <c r="T249" s="30"/>
      <c r="U249" s="30"/>
    </row>
    <row r="250" customFormat="false" ht="19.85" hidden="false" customHeight="true" outlineLevel="0" collapsed="false">
      <c r="A250" s="0" t="n">
        <v>31</v>
      </c>
      <c r="B250" s="31" t="n">
        <v>38718</v>
      </c>
      <c r="C250" s="9" t="n">
        <v>805400</v>
      </c>
      <c r="D250" s="9" t="s">
        <v>41</v>
      </c>
      <c r="E250" s="33" t="n">
        <f aca="false">IF(D250="totale",(C250/(A250*24))/F250,IF(D250="marché libre",(C250/(A250*24))/G250,"spécifier histo"))</f>
        <v>0.611597108316627</v>
      </c>
      <c r="F250" s="59" t="n">
        <v>1770</v>
      </c>
      <c r="G250" s="59" t="n">
        <f aca="false">F250-H250</f>
        <v>1770</v>
      </c>
      <c r="H250" s="58" t="n">
        <v>0</v>
      </c>
      <c r="J250" s="30"/>
      <c r="K250" s="30"/>
      <c r="L250" s="30"/>
      <c r="M250" s="30"/>
      <c r="N250" s="30"/>
      <c r="O250" s="30"/>
      <c r="P250" s="30"/>
      <c r="Q250" s="30"/>
      <c r="R250" s="30"/>
      <c r="S250" s="30"/>
      <c r="T250" s="30"/>
      <c r="U250" s="30"/>
    </row>
    <row r="251" customFormat="false" ht="19.85" hidden="false" customHeight="true" outlineLevel="0" collapsed="false">
      <c r="A251" s="0" t="n">
        <v>28</v>
      </c>
      <c r="B251" s="34" t="n">
        <v>38749</v>
      </c>
      <c r="C251" s="9" t="n">
        <v>990200</v>
      </c>
      <c r="D251" s="9" t="s">
        <v>41</v>
      </c>
      <c r="E251" s="33" t="n">
        <f aca="false">IF(D251="totale",(C251/(A251*24))/F251,IF(D251="marché libre",(C251/(A251*24))/G251,"spécifier histo"))</f>
        <v>0.832492601560398</v>
      </c>
      <c r="F251" s="59" t="n">
        <v>1770</v>
      </c>
      <c r="G251" s="59" t="n">
        <f aca="false">F251-H251</f>
        <v>1770</v>
      </c>
      <c r="H251" s="58" t="n">
        <v>0</v>
      </c>
      <c r="J251" s="30"/>
      <c r="K251" s="30"/>
      <c r="L251" s="30"/>
      <c r="M251" s="30"/>
      <c r="N251" s="30"/>
      <c r="O251" s="30"/>
      <c r="P251" s="30"/>
      <c r="Q251" s="30"/>
      <c r="R251" s="30"/>
      <c r="S251" s="30"/>
      <c r="T251" s="30"/>
      <c r="U251" s="30"/>
    </row>
    <row r="252" customFormat="false" ht="19.85" hidden="false" customHeight="true" outlineLevel="0" collapsed="false">
      <c r="A252" s="0" t="n">
        <v>31</v>
      </c>
      <c r="B252" s="31" t="n">
        <v>38777</v>
      </c>
      <c r="C252" s="9" t="n">
        <v>1106000</v>
      </c>
      <c r="D252" s="9" t="s">
        <v>41</v>
      </c>
      <c r="E252" s="33" t="n">
        <f aca="false">IF(D252="totale",(C252/(A252*24))/F252,IF(D252="marché libre",(C252/(A252*24))/G252,"spécifier histo"))</f>
        <v>0.839863920782455</v>
      </c>
      <c r="F252" s="59" t="n">
        <v>1770</v>
      </c>
      <c r="G252" s="59" t="n">
        <f aca="false">F252-H252</f>
        <v>1770</v>
      </c>
      <c r="H252" s="58" t="n">
        <v>0</v>
      </c>
      <c r="J252" s="30"/>
      <c r="K252" s="30"/>
      <c r="L252" s="30"/>
      <c r="M252" s="30"/>
      <c r="N252" s="30"/>
      <c r="O252" s="30"/>
      <c r="P252" s="30"/>
      <c r="Q252" s="30"/>
      <c r="R252" s="30"/>
      <c r="S252" s="30"/>
      <c r="T252" s="30"/>
      <c r="U252" s="30"/>
    </row>
    <row r="253" customFormat="false" ht="19.85" hidden="false" customHeight="true" outlineLevel="0" collapsed="false">
      <c r="A253" s="0" t="n">
        <v>30</v>
      </c>
      <c r="B253" s="34" t="n">
        <v>38808</v>
      </c>
      <c r="C253" s="9" t="n">
        <v>891400</v>
      </c>
      <c r="D253" s="9" t="s">
        <v>41</v>
      </c>
      <c r="E253" s="33" t="n">
        <f aca="false">IF(D253="totale",(C253/(A253*24))/F253,IF(D253="marché libre",(C253/(A253*24))/G253,"spécifier histo"))</f>
        <v>0.69946641556811</v>
      </c>
      <c r="F253" s="59" t="n">
        <v>1770</v>
      </c>
      <c r="G253" s="59" t="n">
        <f aca="false">F253-H253</f>
        <v>1770</v>
      </c>
      <c r="H253" s="58" t="n">
        <v>0</v>
      </c>
      <c r="J253" s="30"/>
      <c r="K253" s="30"/>
      <c r="L253" s="30"/>
      <c r="M253" s="30"/>
      <c r="N253" s="30"/>
      <c r="O253" s="30"/>
      <c r="P253" s="30"/>
      <c r="Q253" s="30"/>
      <c r="R253" s="30"/>
      <c r="S253" s="30"/>
      <c r="T253" s="30"/>
      <c r="U253" s="30"/>
    </row>
    <row r="254" customFormat="false" ht="19.85" hidden="false" customHeight="true" outlineLevel="0" collapsed="false">
      <c r="A254" s="0" t="n">
        <v>31</v>
      </c>
      <c r="B254" s="31" t="n">
        <v>38838</v>
      </c>
      <c r="C254" s="9" t="n">
        <v>465800</v>
      </c>
      <c r="D254" s="9" t="s">
        <v>41</v>
      </c>
      <c r="E254" s="33" t="n">
        <f aca="false">IF(D254="totale",(C254/(A254*24))/F254,IF(D254="marché libre",(C254/(A254*24))/G254,"spécifier histo"))</f>
        <v>0.353714841139663</v>
      </c>
      <c r="F254" s="59" t="n">
        <v>1770</v>
      </c>
      <c r="G254" s="59" t="n">
        <f aca="false">F254-H254</f>
        <v>1770</v>
      </c>
      <c r="H254" s="58" t="n">
        <v>0</v>
      </c>
      <c r="J254" s="30"/>
      <c r="K254" s="30"/>
      <c r="L254" s="30"/>
      <c r="M254" s="30"/>
      <c r="N254" s="30"/>
      <c r="O254" s="30"/>
      <c r="P254" s="30"/>
      <c r="Q254" s="30"/>
      <c r="R254" s="30"/>
      <c r="S254" s="30"/>
      <c r="T254" s="30"/>
      <c r="U254" s="30"/>
    </row>
    <row r="255" customFormat="false" ht="19.85" hidden="false" customHeight="true" outlineLevel="0" collapsed="false">
      <c r="A255" s="0" t="n">
        <v>30</v>
      </c>
      <c r="B255" s="34" t="n">
        <v>38869</v>
      </c>
      <c r="C255" s="9" t="n">
        <v>147400</v>
      </c>
      <c r="D255" s="9" t="s">
        <v>41</v>
      </c>
      <c r="E255" s="33" t="n">
        <f aca="false">IF(D255="totale",(C255/(A255*24))/F255,IF(D255="marché libre",(C255/(A255*24))/G255,"spécifier histo"))</f>
        <v>0.115662272441933</v>
      </c>
      <c r="F255" s="59" t="n">
        <v>1770</v>
      </c>
      <c r="G255" s="59" t="n">
        <f aca="false">F255-H255</f>
        <v>1770</v>
      </c>
      <c r="H255" s="58" t="n">
        <v>0</v>
      </c>
      <c r="J255" s="30"/>
      <c r="K255" s="30"/>
      <c r="L255" s="30"/>
      <c r="M255" s="30"/>
      <c r="N255" s="30"/>
      <c r="O255" s="30"/>
      <c r="P255" s="30"/>
      <c r="Q255" s="30"/>
      <c r="R255" s="30"/>
      <c r="S255" s="30"/>
      <c r="T255" s="30"/>
      <c r="U255" s="30"/>
    </row>
    <row r="256" customFormat="false" ht="19.85" hidden="false" customHeight="true" outlineLevel="0" collapsed="false">
      <c r="A256" s="0" t="n">
        <v>31</v>
      </c>
      <c r="B256" s="31" t="n">
        <v>38899</v>
      </c>
      <c r="C256" s="9" t="n">
        <v>109400</v>
      </c>
      <c r="D256" s="9" t="s">
        <v>41</v>
      </c>
      <c r="E256" s="33" t="n">
        <f aca="false">IF(D256="totale",(C256/(A256*24))/F256,IF(D256="marché libre",(C256/(A256*24))/G256,"spécifier histo"))</f>
        <v>0.0830751473179029</v>
      </c>
      <c r="F256" s="59" t="n">
        <v>1770</v>
      </c>
      <c r="G256" s="59" t="n">
        <f aca="false">F256-H256</f>
        <v>1770</v>
      </c>
      <c r="H256" s="58" t="n">
        <v>0</v>
      </c>
      <c r="J256" s="30"/>
      <c r="K256" s="30"/>
      <c r="L256" s="30"/>
      <c r="M256" s="30"/>
      <c r="N256" s="30"/>
      <c r="O256" s="30"/>
      <c r="P256" s="30"/>
      <c r="Q256" s="30"/>
      <c r="R256" s="30"/>
      <c r="S256" s="30"/>
      <c r="T256" s="30"/>
      <c r="U256" s="30"/>
    </row>
    <row r="257" customFormat="false" ht="19.85" hidden="false" customHeight="true" outlineLevel="0" collapsed="false">
      <c r="A257" s="0" t="n">
        <v>31</v>
      </c>
      <c r="B257" s="34" t="n">
        <v>38930</v>
      </c>
      <c r="C257" s="9" t="n">
        <v>79000</v>
      </c>
      <c r="D257" s="9" t="s">
        <v>41</v>
      </c>
      <c r="E257" s="33" t="n">
        <f aca="false">IF(D257="totale",(C257/(A257*24))/F257,IF(D257="marché libre",(C257/(A257*24))/G257,"spécifier histo"))</f>
        <v>0.0599902800558897</v>
      </c>
      <c r="F257" s="59" t="n">
        <v>1770</v>
      </c>
      <c r="G257" s="59" t="n">
        <f aca="false">F257-H257</f>
        <v>1770</v>
      </c>
      <c r="H257" s="58" t="n">
        <v>0</v>
      </c>
      <c r="J257" s="30"/>
      <c r="K257" s="30"/>
      <c r="L257" s="30"/>
      <c r="M257" s="30"/>
      <c r="N257" s="30"/>
      <c r="O257" s="30"/>
      <c r="P257" s="30"/>
      <c r="Q257" s="30"/>
      <c r="R257" s="30"/>
      <c r="S257" s="30"/>
      <c r="T257" s="30"/>
      <c r="U257" s="30"/>
    </row>
    <row r="258" customFormat="false" ht="19.85" hidden="false" customHeight="true" outlineLevel="0" collapsed="false">
      <c r="A258" s="0" t="n">
        <v>30</v>
      </c>
      <c r="B258" s="31" t="n">
        <v>38961</v>
      </c>
      <c r="C258" s="9" t="n">
        <v>469800</v>
      </c>
      <c r="D258" s="9" t="s">
        <v>41</v>
      </c>
      <c r="E258" s="33" t="n">
        <f aca="false">IF(D258="totale",(C258/(A258*24))/F258,IF(D258="marché libre",(C258/(A258*24))/G258,"spécifier histo"))</f>
        <v>0.36864406779661</v>
      </c>
      <c r="F258" s="59" t="n">
        <v>1770</v>
      </c>
      <c r="G258" s="59" t="n">
        <f aca="false">F258-H258</f>
        <v>1770</v>
      </c>
      <c r="H258" s="58" t="n">
        <v>0</v>
      </c>
      <c r="J258" s="30"/>
      <c r="K258" s="30"/>
      <c r="L258" s="30"/>
      <c r="M258" s="30"/>
      <c r="N258" s="30"/>
      <c r="O258" s="30"/>
      <c r="P258" s="30"/>
      <c r="Q258" s="30"/>
      <c r="R258" s="30"/>
      <c r="S258" s="30"/>
      <c r="T258" s="30"/>
      <c r="U258" s="30"/>
    </row>
    <row r="259" customFormat="false" ht="19.85" hidden="false" customHeight="true" outlineLevel="0" collapsed="false">
      <c r="A259" s="0" t="n">
        <v>31</v>
      </c>
      <c r="B259" s="34" t="n">
        <v>38991</v>
      </c>
      <c r="C259" s="9" t="n">
        <v>800800</v>
      </c>
      <c r="D259" s="9" t="s">
        <v>41</v>
      </c>
      <c r="E259" s="33" t="n">
        <f aca="false">IF(D259="totale",(C259/(A259*24))/F259,IF(D259="marché libre",(C259/(A259*24))/G259,"spécifier histo"))</f>
        <v>0.60810400340198</v>
      </c>
      <c r="F259" s="59" t="n">
        <v>1770</v>
      </c>
      <c r="G259" s="59" t="n">
        <f aca="false">F259-H259</f>
        <v>1770</v>
      </c>
      <c r="H259" s="58" t="n">
        <v>0</v>
      </c>
      <c r="J259" s="30"/>
      <c r="K259" s="30"/>
      <c r="L259" s="30"/>
      <c r="M259" s="30"/>
      <c r="N259" s="30"/>
      <c r="O259" s="30"/>
      <c r="P259" s="30"/>
      <c r="Q259" s="30"/>
      <c r="R259" s="30"/>
      <c r="S259" s="30"/>
      <c r="T259" s="30"/>
      <c r="U259" s="30"/>
    </row>
    <row r="260" customFormat="false" ht="19.85" hidden="false" customHeight="true" outlineLevel="0" collapsed="false">
      <c r="A260" s="0" t="n">
        <v>30</v>
      </c>
      <c r="B260" s="31" t="n">
        <v>39022</v>
      </c>
      <c r="C260" s="9" t="n">
        <v>567000</v>
      </c>
      <c r="D260" s="9" t="s">
        <v>41</v>
      </c>
      <c r="E260" s="33" t="n">
        <f aca="false">IF(D260="totale",(C260/(A260*24))/F260,IF(D260="marché libre",(C260/(A260*24))/G260,"spécifier histo"))</f>
        <v>0.444915254237288</v>
      </c>
      <c r="F260" s="59" t="n">
        <v>1770</v>
      </c>
      <c r="G260" s="59" t="n">
        <f aca="false">F260-H260</f>
        <v>1770</v>
      </c>
      <c r="H260" s="58" t="n">
        <v>0</v>
      </c>
      <c r="J260" s="30"/>
      <c r="K260" s="30"/>
      <c r="L260" s="30"/>
      <c r="M260" s="30"/>
      <c r="N260" s="30"/>
      <c r="O260" s="30"/>
      <c r="P260" s="30"/>
      <c r="Q260" s="30"/>
      <c r="R260" s="30"/>
      <c r="S260" s="30"/>
      <c r="T260" s="30"/>
      <c r="U260" s="30"/>
    </row>
    <row r="261" customFormat="false" ht="19.85" hidden="false" customHeight="true" outlineLevel="0" collapsed="false">
      <c r="A261" s="0" t="n">
        <v>31</v>
      </c>
      <c r="B261" s="34" t="n">
        <v>39052</v>
      </c>
      <c r="C261" s="9" t="n">
        <v>660400</v>
      </c>
      <c r="D261" s="9" t="s">
        <v>41</v>
      </c>
      <c r="E261" s="33" t="n">
        <f aca="false">IF(D261="totale",(C261/(A261*24))/F261,IF(D261="marché libre",(C261/(A261*24))/G261,"spécifier histo"))</f>
        <v>0.501488366441893</v>
      </c>
      <c r="F261" s="59" t="n">
        <v>1770</v>
      </c>
      <c r="G261" s="59" t="n">
        <f aca="false">F261-H261</f>
        <v>1770</v>
      </c>
      <c r="H261" s="58" t="n">
        <v>0</v>
      </c>
      <c r="J261" s="30"/>
      <c r="K261" s="30"/>
      <c r="L261" s="30"/>
      <c r="M261" s="30"/>
      <c r="N261" s="30"/>
      <c r="O261" s="30"/>
      <c r="P261" s="30"/>
      <c r="Q261" s="30"/>
      <c r="R261" s="30"/>
      <c r="S261" s="30"/>
      <c r="T261" s="30"/>
      <c r="U261" s="30"/>
    </row>
    <row r="262" customFormat="false" ht="19.85" hidden="false" customHeight="true" outlineLevel="0" collapsed="false">
      <c r="A262" s="0" t="n">
        <v>31</v>
      </c>
      <c r="B262" s="31" t="n">
        <v>39083</v>
      </c>
      <c r="C262" s="9" t="n">
        <v>497400</v>
      </c>
      <c r="D262" s="9" t="s">
        <v>41</v>
      </c>
      <c r="E262" s="33" t="n">
        <f aca="false">IF(D262="totale",(C262/(A262*24))/F262,IF(D262="marché libre",(C262/(A262*24))/G262,"spécifier histo"))</f>
        <v>0.377710953162019</v>
      </c>
      <c r="F262" s="59" t="n">
        <v>1770</v>
      </c>
      <c r="G262" s="59" t="n">
        <f aca="false">F262-H262</f>
        <v>1770</v>
      </c>
      <c r="H262" s="58" t="n">
        <v>0</v>
      </c>
      <c r="J262" s="30"/>
      <c r="K262" s="30"/>
      <c r="L262" s="30"/>
      <c r="M262" s="30"/>
      <c r="N262" s="30"/>
      <c r="O262" s="30"/>
      <c r="P262" s="30"/>
      <c r="Q262" s="30"/>
      <c r="R262" s="30"/>
      <c r="S262" s="30"/>
      <c r="T262" s="30"/>
      <c r="U262" s="30"/>
    </row>
    <row r="263" customFormat="false" ht="19.85" hidden="false" customHeight="true" outlineLevel="0" collapsed="false">
      <c r="A263" s="0" t="n">
        <v>28</v>
      </c>
      <c r="B263" s="34" t="n">
        <v>39114</v>
      </c>
      <c r="C263" s="9" t="n">
        <v>879000</v>
      </c>
      <c r="D263" s="9" t="s">
        <v>41</v>
      </c>
      <c r="E263" s="33" t="n">
        <f aca="false">IF(D263="totale",(C263/(A263*24))/F263,IF(D263="marché libre",(C263/(A263*24))/G263,"spécifier histo"))</f>
        <v>0.739003228410008</v>
      </c>
      <c r="F263" s="59" t="n">
        <v>1770</v>
      </c>
      <c r="G263" s="59" t="n">
        <f aca="false">F263-H263</f>
        <v>1770</v>
      </c>
      <c r="H263" s="58" t="n">
        <v>0</v>
      </c>
      <c r="J263" s="30"/>
      <c r="K263" s="30"/>
      <c r="L263" s="30"/>
      <c r="M263" s="30"/>
      <c r="N263" s="30"/>
      <c r="O263" s="30"/>
      <c r="P263" s="30"/>
      <c r="Q263" s="30"/>
      <c r="R263" s="30"/>
      <c r="S263" s="30"/>
      <c r="T263" s="30"/>
      <c r="U263" s="30"/>
    </row>
    <row r="264" customFormat="false" ht="19.85" hidden="false" customHeight="true" outlineLevel="0" collapsed="false">
      <c r="A264" s="0" t="n">
        <v>31</v>
      </c>
      <c r="B264" s="31" t="n">
        <v>39142</v>
      </c>
      <c r="C264" s="9" t="n">
        <v>956800</v>
      </c>
      <c r="D264" s="9" t="s">
        <v>41</v>
      </c>
      <c r="E264" s="33" t="n">
        <f aca="false">IF(D264="totale",(C264/(A264*24))/F264,IF(D264="marché libre",(C264/(A264*24))/G264,"spécifier histo"))</f>
        <v>0.726565822246522</v>
      </c>
      <c r="F264" s="59" t="n">
        <v>1770</v>
      </c>
      <c r="G264" s="59" t="n">
        <f aca="false">F264-H264</f>
        <v>1770</v>
      </c>
      <c r="H264" s="58" t="n">
        <v>0</v>
      </c>
      <c r="J264" s="30"/>
      <c r="K264" s="30"/>
      <c r="L264" s="30"/>
      <c r="M264" s="30"/>
      <c r="N264" s="30"/>
      <c r="O264" s="30"/>
      <c r="P264" s="30"/>
      <c r="Q264" s="30"/>
      <c r="R264" s="30"/>
      <c r="S264" s="30"/>
      <c r="T264" s="30"/>
      <c r="U264" s="30"/>
    </row>
    <row r="265" customFormat="false" ht="19.85" hidden="false" customHeight="true" outlineLevel="0" collapsed="false">
      <c r="A265" s="0" t="n">
        <v>30</v>
      </c>
      <c r="B265" s="34" t="n">
        <v>39173</v>
      </c>
      <c r="C265" s="9" t="n">
        <v>408000</v>
      </c>
      <c r="D265" s="9" t="s">
        <v>41</v>
      </c>
      <c r="E265" s="33" t="n">
        <f aca="false">IF(D265="totale",(C265/(A265*24))/F265,IF(D265="marché libre",(C265/(A265*24))/G265,"spécifier histo"))</f>
        <v>0.32015065913371</v>
      </c>
      <c r="F265" s="59" t="n">
        <v>1770</v>
      </c>
      <c r="G265" s="59" t="n">
        <f aca="false">F265-H265</f>
        <v>1770</v>
      </c>
      <c r="H265" s="58" t="n">
        <v>0</v>
      </c>
      <c r="J265" s="30"/>
      <c r="K265" s="30"/>
      <c r="L265" s="30"/>
      <c r="M265" s="30"/>
      <c r="N265" s="30"/>
      <c r="O265" s="30"/>
      <c r="P265" s="30"/>
      <c r="Q265" s="30"/>
      <c r="R265" s="30"/>
      <c r="S265" s="30"/>
      <c r="T265" s="30"/>
      <c r="U265" s="30"/>
    </row>
    <row r="266" customFormat="false" ht="19.85" hidden="false" customHeight="true" outlineLevel="0" collapsed="false">
      <c r="A266" s="0" t="n">
        <v>31</v>
      </c>
      <c r="B266" s="31" t="n">
        <v>39203</v>
      </c>
      <c r="C266" s="9" t="n">
        <v>147000</v>
      </c>
      <c r="D266" s="9" t="s">
        <v>41</v>
      </c>
      <c r="E266" s="33" t="n">
        <f aca="false">IF(D266="totale",(C266/(A266*24))/F266,IF(D266="marché libre",(C266/(A266*24))/G266,"spécifier histo"))</f>
        <v>0.111627483141972</v>
      </c>
      <c r="F266" s="59" t="n">
        <v>1770</v>
      </c>
      <c r="G266" s="59" t="n">
        <f aca="false">F266-H266</f>
        <v>1770</v>
      </c>
      <c r="H266" s="58" t="n">
        <v>0</v>
      </c>
      <c r="J266" s="30"/>
      <c r="K266" s="30"/>
      <c r="L266" s="30"/>
      <c r="M266" s="30"/>
      <c r="N266" s="30"/>
      <c r="O266" s="30"/>
      <c r="P266" s="30"/>
      <c r="Q266" s="30"/>
      <c r="R266" s="30"/>
      <c r="S266" s="30"/>
      <c r="T266" s="30"/>
      <c r="U266" s="30"/>
    </row>
    <row r="267" customFormat="false" ht="19.85" hidden="false" customHeight="true" outlineLevel="0" collapsed="false">
      <c r="A267" s="0" t="n">
        <v>30</v>
      </c>
      <c r="B267" s="34" t="n">
        <v>39234</v>
      </c>
      <c r="C267" s="9" t="n">
        <v>779000</v>
      </c>
      <c r="D267" s="9" t="s">
        <v>41</v>
      </c>
      <c r="E267" s="33" t="n">
        <f aca="false">IF(D267="totale",(C267/(A267*24))/F267,IF(D267="marché libre",(C267/(A267*24))/G267,"spécifier histo"))</f>
        <v>0.611268047708726</v>
      </c>
      <c r="F267" s="59" t="n">
        <v>1770</v>
      </c>
      <c r="G267" s="59" t="n">
        <f aca="false">F267-H267</f>
        <v>1770</v>
      </c>
      <c r="H267" s="58" t="n">
        <v>0</v>
      </c>
      <c r="J267" s="30"/>
      <c r="K267" s="30"/>
      <c r="L267" s="30"/>
      <c r="M267" s="30"/>
      <c r="N267" s="30"/>
      <c r="O267" s="30"/>
      <c r="P267" s="30"/>
      <c r="Q267" s="30"/>
      <c r="R267" s="30"/>
      <c r="S267" s="30"/>
      <c r="T267" s="30"/>
      <c r="U267" s="30"/>
    </row>
    <row r="268" customFormat="false" ht="19.85" hidden="false" customHeight="true" outlineLevel="0" collapsed="false">
      <c r="A268" s="0" t="n">
        <v>31</v>
      </c>
      <c r="B268" s="31" t="n">
        <v>39264</v>
      </c>
      <c r="C268" s="9" t="n">
        <v>179600</v>
      </c>
      <c r="D268" s="9" t="s">
        <v>41</v>
      </c>
      <c r="E268" s="33" t="n">
        <f aca="false">IF(D268="totale",(C268/(A268*24))/F268,IF(D268="marché libre",(C268/(A268*24))/G268,"spécifier histo"))</f>
        <v>0.136382965797947</v>
      </c>
      <c r="F268" s="59" t="n">
        <v>1770</v>
      </c>
      <c r="G268" s="59" t="n">
        <f aca="false">F268-H268</f>
        <v>1770</v>
      </c>
      <c r="H268" s="58" t="n">
        <v>0</v>
      </c>
      <c r="J268" s="30"/>
      <c r="K268" s="30"/>
      <c r="L268" s="30"/>
      <c r="M268" s="30"/>
      <c r="N268" s="30"/>
      <c r="O268" s="30"/>
      <c r="P268" s="30"/>
      <c r="Q268" s="30"/>
      <c r="R268" s="30"/>
      <c r="S268" s="30"/>
      <c r="T268" s="30"/>
      <c r="U268" s="30"/>
    </row>
    <row r="269" customFormat="false" ht="19.85" hidden="false" customHeight="true" outlineLevel="0" collapsed="false">
      <c r="A269" s="0" t="n">
        <v>31</v>
      </c>
      <c r="B269" s="34" t="n">
        <v>39295</v>
      </c>
      <c r="C269" s="9" t="n">
        <v>96200</v>
      </c>
      <c r="D269" s="9" t="s">
        <v>41</v>
      </c>
      <c r="E269" s="33" t="n">
        <f aca="false">IF(D269="totale",(C269/(A269*24))/F269,IF(D269="marché libre",(C269/(A269*24))/G269,"spécifier histo"))</f>
        <v>0.073051454954134</v>
      </c>
      <c r="F269" s="59" t="n">
        <v>1770</v>
      </c>
      <c r="G269" s="59" t="n">
        <f aca="false">F269-H269</f>
        <v>1770</v>
      </c>
      <c r="H269" s="58" t="n">
        <v>0</v>
      </c>
      <c r="J269" s="30"/>
      <c r="K269" s="30"/>
      <c r="L269" s="30"/>
      <c r="M269" s="30"/>
      <c r="N269" s="30"/>
      <c r="O269" s="30"/>
      <c r="P269" s="30"/>
      <c r="Q269" s="30"/>
      <c r="R269" s="30"/>
      <c r="S269" s="30"/>
      <c r="T269" s="30"/>
      <c r="U269" s="30"/>
    </row>
    <row r="270" customFormat="false" ht="19.85" hidden="false" customHeight="true" outlineLevel="0" collapsed="false">
      <c r="A270" s="0" t="n">
        <v>30</v>
      </c>
      <c r="B270" s="31" t="n">
        <v>39326</v>
      </c>
      <c r="C270" s="9" t="n">
        <v>96200</v>
      </c>
      <c r="D270" s="9" t="s">
        <v>41</v>
      </c>
      <c r="E270" s="33" t="n">
        <f aca="false">IF(D270="totale",(C270/(A270*24))/F270,IF(D270="marché libre",(C270/(A270*24))/G270,"spécifier histo"))</f>
        <v>0.0754865034526052</v>
      </c>
      <c r="F270" s="59" t="n">
        <v>1770</v>
      </c>
      <c r="G270" s="59" t="n">
        <f aca="false">F270-H270</f>
        <v>1770</v>
      </c>
      <c r="H270" s="58" t="n">
        <v>0</v>
      </c>
      <c r="J270" s="30"/>
      <c r="K270" s="30"/>
      <c r="L270" s="30"/>
      <c r="M270" s="30"/>
      <c r="N270" s="30"/>
      <c r="O270" s="30"/>
      <c r="P270" s="30"/>
      <c r="Q270" s="30"/>
      <c r="R270" s="30"/>
      <c r="S270" s="30"/>
      <c r="T270" s="30"/>
      <c r="U270" s="30"/>
    </row>
    <row r="271" customFormat="false" ht="19.85" hidden="false" customHeight="true" outlineLevel="0" collapsed="false">
      <c r="A271" s="0" t="n">
        <v>31</v>
      </c>
      <c r="B271" s="34" t="n">
        <v>39356</v>
      </c>
      <c r="C271" s="9" t="n">
        <v>165400</v>
      </c>
      <c r="D271" s="9" t="s">
        <v>41</v>
      </c>
      <c r="E271" s="33" t="n">
        <f aca="false">IF(D271="totale",(C271/(A271*24))/F271,IF(D271="marché libre",(C271/(A271*24))/G271,"spécifier histo"))</f>
        <v>0.125599902800559</v>
      </c>
      <c r="F271" s="59" t="n">
        <v>1770</v>
      </c>
      <c r="G271" s="59" t="n">
        <f aca="false">F271-H271</f>
        <v>1770</v>
      </c>
      <c r="H271" s="58" t="n">
        <v>0</v>
      </c>
      <c r="J271" s="30"/>
      <c r="K271" s="30"/>
      <c r="L271" s="30"/>
      <c r="M271" s="30"/>
      <c r="N271" s="30"/>
      <c r="O271" s="30"/>
      <c r="P271" s="30"/>
      <c r="Q271" s="30"/>
      <c r="R271" s="30"/>
      <c r="S271" s="30"/>
      <c r="T271" s="30"/>
      <c r="U271" s="30"/>
    </row>
    <row r="272" customFormat="false" ht="19.85" hidden="false" customHeight="true" outlineLevel="0" collapsed="false">
      <c r="A272" s="0" t="n">
        <v>30</v>
      </c>
      <c r="B272" s="31" t="n">
        <v>39387</v>
      </c>
      <c r="C272" s="9" t="n">
        <v>311000</v>
      </c>
      <c r="D272" s="9" t="s">
        <v>41</v>
      </c>
      <c r="E272" s="33" t="n">
        <f aca="false">IF(D272="totale",(C272/(A272*24))/F272,IF(D272="marché libre",(C272/(A272*24))/G272,"spécifier histo"))</f>
        <v>0.244036409290647</v>
      </c>
      <c r="F272" s="59" t="n">
        <v>1770</v>
      </c>
      <c r="G272" s="59" t="n">
        <f aca="false">F272-H272</f>
        <v>1770</v>
      </c>
      <c r="H272" s="58" t="n">
        <v>0</v>
      </c>
      <c r="J272" s="30"/>
      <c r="K272" s="30"/>
      <c r="L272" s="30"/>
      <c r="M272" s="30"/>
      <c r="N272" s="30"/>
      <c r="O272" s="30"/>
      <c r="P272" s="30"/>
      <c r="Q272" s="30"/>
      <c r="R272" s="30"/>
      <c r="S272" s="30"/>
      <c r="T272" s="30"/>
      <c r="U272" s="30"/>
    </row>
    <row r="273" customFormat="false" ht="19.85" hidden="false" customHeight="true" outlineLevel="0" collapsed="false">
      <c r="A273" s="0" t="n">
        <v>31</v>
      </c>
      <c r="B273" s="34" t="n">
        <v>39417</v>
      </c>
      <c r="C273" s="9" t="n">
        <v>556800</v>
      </c>
      <c r="D273" s="9" t="s">
        <v>41</v>
      </c>
      <c r="E273" s="33" t="n">
        <f aca="false">IF(D273="totale",(C273/(A273*24))/F273,IF(D273="marché libre",(C273/(A273*24))/G273,"spécifier histo"))</f>
        <v>0.422817568798979</v>
      </c>
      <c r="F273" s="59" t="n">
        <v>1770</v>
      </c>
      <c r="G273" s="59" t="n">
        <f aca="false">F273-H273</f>
        <v>1770</v>
      </c>
      <c r="H273" s="58" t="n">
        <v>0</v>
      </c>
      <c r="J273" s="30"/>
      <c r="K273" s="30"/>
      <c r="L273" s="30"/>
      <c r="M273" s="30"/>
      <c r="N273" s="30"/>
      <c r="O273" s="30"/>
      <c r="P273" s="30"/>
      <c r="Q273" s="30"/>
      <c r="R273" s="30"/>
      <c r="S273" s="30"/>
      <c r="T273" s="30"/>
      <c r="U273" s="30"/>
    </row>
    <row r="274" customFormat="false" ht="19.85" hidden="false" customHeight="true" outlineLevel="0" collapsed="false">
      <c r="A274" s="0" t="n">
        <v>31</v>
      </c>
      <c r="B274" s="31" t="n">
        <v>39448</v>
      </c>
      <c r="C274" s="9" t="n">
        <v>1092600</v>
      </c>
      <c r="D274" s="9" t="s">
        <v>41</v>
      </c>
      <c r="E274" s="33" t="n">
        <f aca="false">IF(D274="totale",(C274/(A274*24))/F274,IF(D274="marché libre",(C274/(A274*24))/G274,"spécifier histo"))</f>
        <v>0.829688354291963</v>
      </c>
      <c r="F274" s="59" t="n">
        <v>1770</v>
      </c>
      <c r="G274" s="59" t="n">
        <f aca="false">F274-H274</f>
        <v>1770</v>
      </c>
      <c r="H274" s="58" t="n">
        <v>0</v>
      </c>
      <c r="J274" s="30"/>
      <c r="K274" s="30"/>
      <c r="L274" s="30"/>
      <c r="M274" s="30"/>
      <c r="N274" s="30"/>
      <c r="O274" s="30"/>
      <c r="P274" s="30"/>
      <c r="Q274" s="30"/>
      <c r="R274" s="30"/>
      <c r="S274" s="30"/>
      <c r="T274" s="30"/>
      <c r="U274" s="30"/>
    </row>
    <row r="275" customFormat="false" ht="19.85" hidden="false" customHeight="true" outlineLevel="0" collapsed="false">
      <c r="A275" s="0" t="n">
        <v>28</v>
      </c>
      <c r="B275" s="34" t="n">
        <v>39479</v>
      </c>
      <c r="C275" s="9" t="n">
        <v>830000</v>
      </c>
      <c r="D275" s="9" t="s">
        <v>41</v>
      </c>
      <c r="E275" s="33" t="n">
        <f aca="false">IF(D275="totale",(C275/(A275*24))/F275,IF(D275="marché libre",(C275/(A275*24))/G275,"spécifier histo"))</f>
        <v>0.697807371536185</v>
      </c>
      <c r="F275" s="59" t="n">
        <v>1770</v>
      </c>
      <c r="G275" s="59" t="n">
        <f aca="false">F275-H275</f>
        <v>1770</v>
      </c>
      <c r="H275" s="58" t="n">
        <v>0</v>
      </c>
      <c r="J275" s="30"/>
      <c r="K275" s="30"/>
      <c r="L275" s="30"/>
      <c r="M275" s="30"/>
      <c r="N275" s="30"/>
      <c r="O275" s="30"/>
      <c r="P275" s="30"/>
      <c r="Q275" s="30"/>
      <c r="R275" s="30"/>
      <c r="S275" s="30"/>
      <c r="T275" s="30"/>
      <c r="U275" s="30"/>
    </row>
    <row r="276" customFormat="false" ht="19.85" hidden="false" customHeight="true" outlineLevel="0" collapsed="false">
      <c r="A276" s="0" t="n">
        <v>31</v>
      </c>
      <c r="B276" s="31" t="n">
        <v>39508</v>
      </c>
      <c r="C276" s="9" t="n">
        <v>894200</v>
      </c>
      <c r="D276" s="9" t="s">
        <v>41</v>
      </c>
      <c r="E276" s="33" t="n">
        <f aca="false">IF(D276="totale",(C276/(A276*24))/F276,IF(D276="marché libre",(C276/(A276*24))/G276,"spécifier histo"))</f>
        <v>0.679029220581982</v>
      </c>
      <c r="F276" s="59" t="n">
        <v>1770</v>
      </c>
      <c r="G276" s="59" t="n">
        <f aca="false">F276-H276</f>
        <v>1770</v>
      </c>
      <c r="H276" s="58" t="n">
        <v>0</v>
      </c>
      <c r="J276" s="30"/>
      <c r="K276" s="30"/>
      <c r="L276" s="30"/>
      <c r="M276" s="30"/>
      <c r="N276" s="30"/>
      <c r="O276" s="30"/>
      <c r="P276" s="30"/>
      <c r="Q276" s="30"/>
      <c r="R276" s="30"/>
      <c r="S276" s="30"/>
      <c r="T276" s="30"/>
      <c r="U276" s="30"/>
    </row>
    <row r="277" customFormat="false" ht="19.85" hidden="false" customHeight="true" outlineLevel="0" collapsed="false">
      <c r="A277" s="0" t="n">
        <v>30</v>
      </c>
      <c r="B277" s="34" t="n">
        <v>39539</v>
      </c>
      <c r="C277" s="9" t="n">
        <v>1069000</v>
      </c>
      <c r="D277" s="9" t="s">
        <v>41</v>
      </c>
      <c r="E277" s="33" t="n">
        <f aca="false">IF(D277="totale",(C277/(A277*24))/F277,IF(D277="marché libre",(C277/(A277*24))/G277,"spécifier histo"))</f>
        <v>0.838826114249843</v>
      </c>
      <c r="F277" s="59" t="n">
        <v>1770</v>
      </c>
      <c r="G277" s="59" t="n">
        <f aca="false">F277-H277</f>
        <v>1770</v>
      </c>
      <c r="H277" s="58" t="n">
        <v>0</v>
      </c>
      <c r="J277" s="30"/>
      <c r="K277" s="30"/>
      <c r="L277" s="30"/>
      <c r="M277" s="30"/>
      <c r="N277" s="30"/>
      <c r="O277" s="30"/>
      <c r="P277" s="30"/>
      <c r="Q277" s="30"/>
      <c r="R277" s="30"/>
      <c r="S277" s="30"/>
      <c r="T277" s="30"/>
      <c r="U277" s="30"/>
    </row>
    <row r="278" customFormat="false" ht="19.85" hidden="false" customHeight="true" outlineLevel="0" collapsed="false">
      <c r="A278" s="0" t="n">
        <v>31</v>
      </c>
      <c r="B278" s="31" t="n">
        <v>39569</v>
      </c>
      <c r="C278" s="9" t="n">
        <v>994800</v>
      </c>
      <c r="D278" s="9" t="s">
        <v>41</v>
      </c>
      <c r="E278" s="33" t="n">
        <f aca="false">IF(D278="totale",(C278/(A278*24))/F278,IF(D278="marché libre",(C278/(A278*24))/G278,"spécifier histo"))</f>
        <v>0.755421906324039</v>
      </c>
      <c r="F278" s="59" t="n">
        <v>1770</v>
      </c>
      <c r="G278" s="59" t="n">
        <f aca="false">F278-H278</f>
        <v>1770</v>
      </c>
      <c r="H278" s="58" t="n">
        <v>0</v>
      </c>
      <c r="J278" s="30"/>
      <c r="K278" s="30"/>
      <c r="L278" s="30"/>
      <c r="M278" s="30"/>
      <c r="N278" s="30"/>
      <c r="O278" s="30"/>
      <c r="P278" s="30"/>
      <c r="Q278" s="30"/>
      <c r="R278" s="30"/>
      <c r="S278" s="30"/>
      <c r="T278" s="30"/>
      <c r="U278" s="30"/>
    </row>
    <row r="279" customFormat="false" ht="19.85" hidden="false" customHeight="true" outlineLevel="0" collapsed="false">
      <c r="A279" s="0" t="n">
        <v>30</v>
      </c>
      <c r="B279" s="34" t="n">
        <v>39600</v>
      </c>
      <c r="C279" s="9" t="n">
        <v>985600</v>
      </c>
      <c r="D279" s="9" t="s">
        <v>41</v>
      </c>
      <c r="E279" s="33" t="n">
        <f aca="false">IF(D279="totale",(C279/(A279*24))/F279,IF(D279="marché libre",(C279/(A279*24))/G279,"spécifier histo"))</f>
        <v>0.77338355304457</v>
      </c>
      <c r="F279" s="59" t="n">
        <v>1770</v>
      </c>
      <c r="G279" s="59" t="n">
        <f aca="false">F279-H279</f>
        <v>1770</v>
      </c>
      <c r="H279" s="58" t="n">
        <v>0</v>
      </c>
      <c r="J279" s="30"/>
      <c r="K279" s="30"/>
      <c r="L279" s="30"/>
      <c r="M279" s="30"/>
      <c r="N279" s="30"/>
      <c r="O279" s="30"/>
      <c r="P279" s="30"/>
      <c r="Q279" s="30"/>
      <c r="R279" s="30"/>
      <c r="S279" s="30"/>
      <c r="T279" s="30"/>
      <c r="U279" s="30"/>
    </row>
    <row r="280" customFormat="false" ht="19.85" hidden="false" customHeight="true" outlineLevel="0" collapsed="false">
      <c r="A280" s="0" t="n">
        <v>31</v>
      </c>
      <c r="B280" s="31" t="n">
        <v>39630</v>
      </c>
      <c r="C280" s="9" t="n">
        <v>353000</v>
      </c>
      <c r="D280" s="9" t="s">
        <v>41</v>
      </c>
      <c r="E280" s="33" t="n">
        <f aca="false">IF(D280="totale",(C280/(A280*24))/F280,IF(D280="marché libre",(C280/(A280*24))/G280,"spécifier histo"))</f>
        <v>0.268057833667456</v>
      </c>
      <c r="F280" s="59" t="n">
        <v>1770</v>
      </c>
      <c r="G280" s="59" t="n">
        <f aca="false">F280-H280</f>
        <v>1770</v>
      </c>
      <c r="H280" s="58" t="n">
        <v>0</v>
      </c>
      <c r="J280" s="30"/>
      <c r="K280" s="30"/>
      <c r="L280" s="30"/>
      <c r="M280" s="30"/>
      <c r="N280" s="30"/>
      <c r="O280" s="30"/>
      <c r="P280" s="30"/>
      <c r="Q280" s="30"/>
      <c r="R280" s="30"/>
      <c r="S280" s="30"/>
      <c r="T280" s="30"/>
      <c r="U280" s="30"/>
    </row>
    <row r="281" customFormat="false" ht="19.85" hidden="false" customHeight="true" outlineLevel="0" collapsed="false">
      <c r="A281" s="0" t="n">
        <v>31</v>
      </c>
      <c r="B281" s="34" t="n">
        <v>39661</v>
      </c>
      <c r="C281" s="9" t="n">
        <v>171800</v>
      </c>
      <c r="D281" s="9" t="s">
        <v>41</v>
      </c>
      <c r="E281" s="33" t="n">
        <f aca="false">IF(D281="totale",(C281/(A281*24))/F281,IF(D281="marché libre",(C281/(A281*24))/G281,"spécifier histo"))</f>
        <v>0.13045987485572</v>
      </c>
      <c r="F281" s="59" t="n">
        <v>1770</v>
      </c>
      <c r="G281" s="59" t="n">
        <f aca="false">F281-H281</f>
        <v>1770</v>
      </c>
      <c r="H281" s="58" t="n">
        <v>0</v>
      </c>
      <c r="J281" s="30"/>
      <c r="K281" s="30"/>
      <c r="L281" s="30"/>
      <c r="M281" s="30"/>
      <c r="N281" s="30"/>
      <c r="O281" s="30"/>
      <c r="P281" s="30"/>
      <c r="Q281" s="30"/>
      <c r="R281" s="30"/>
      <c r="S281" s="30"/>
      <c r="T281" s="30"/>
      <c r="U281" s="30"/>
    </row>
    <row r="282" customFormat="false" ht="19.85" hidden="false" customHeight="true" outlineLevel="0" collapsed="false">
      <c r="A282" s="0" t="n">
        <v>30</v>
      </c>
      <c r="B282" s="31" t="n">
        <v>39692</v>
      </c>
      <c r="C282" s="9" t="n">
        <v>147600</v>
      </c>
      <c r="D282" s="9" t="s">
        <v>41</v>
      </c>
      <c r="E282" s="33" t="n">
        <f aca="false">IF(D282="totale",(C282/(A282*24))/F282,IF(D282="marché libre",(C282/(A282*24))/G282,"spécifier histo"))</f>
        <v>0.115819209039548</v>
      </c>
      <c r="F282" s="59" t="n">
        <v>1770</v>
      </c>
      <c r="G282" s="59" t="n">
        <f aca="false">F282-H282</f>
        <v>1770</v>
      </c>
      <c r="H282" s="58" t="n">
        <v>0</v>
      </c>
      <c r="J282" s="30"/>
      <c r="K282" s="30"/>
      <c r="L282" s="30"/>
      <c r="M282" s="30"/>
      <c r="N282" s="30"/>
      <c r="O282" s="30"/>
      <c r="P282" s="30"/>
      <c r="Q282" s="30"/>
      <c r="R282" s="30"/>
      <c r="S282" s="30"/>
      <c r="T282" s="30"/>
      <c r="U282" s="30"/>
    </row>
    <row r="283" customFormat="false" ht="19.85" hidden="false" customHeight="true" outlineLevel="0" collapsed="false">
      <c r="A283" s="0" t="n">
        <v>31</v>
      </c>
      <c r="B283" s="34" t="n">
        <v>39722</v>
      </c>
      <c r="C283" s="9" t="n">
        <v>149800</v>
      </c>
      <c r="D283" s="9" t="s">
        <v>41</v>
      </c>
      <c r="E283" s="33" t="n">
        <f aca="false">IF(D283="totale",(C283/(A283*24))/F283,IF(D283="marché libre",(C283/(A283*24))/G283,"spécifier histo"))</f>
        <v>0.113753720916105</v>
      </c>
      <c r="F283" s="59" t="n">
        <v>1770</v>
      </c>
      <c r="G283" s="59" t="n">
        <f aca="false">F283-H283</f>
        <v>1770</v>
      </c>
      <c r="H283" s="58" t="n">
        <v>0</v>
      </c>
      <c r="J283" s="30"/>
      <c r="K283" s="30"/>
      <c r="L283" s="30"/>
      <c r="M283" s="30"/>
      <c r="N283" s="30"/>
      <c r="O283" s="30"/>
      <c r="P283" s="30"/>
      <c r="Q283" s="30"/>
      <c r="R283" s="30"/>
      <c r="S283" s="30"/>
      <c r="T283" s="30"/>
      <c r="U283" s="30"/>
    </row>
    <row r="284" customFormat="false" ht="19.85" hidden="false" customHeight="true" outlineLevel="0" collapsed="false">
      <c r="A284" s="0" t="n">
        <v>30</v>
      </c>
      <c r="B284" s="31" t="n">
        <v>39753</v>
      </c>
      <c r="C284" s="9" t="n">
        <v>697600</v>
      </c>
      <c r="D284" s="9" t="s">
        <v>41</v>
      </c>
      <c r="E284" s="33" t="n">
        <f aca="false">IF(D284="totale",(C284/(A284*24))/F284,IF(D284="marché libre",(C284/(A284*24))/G284,"spécifier histo"))</f>
        <v>0.547394852479598</v>
      </c>
      <c r="F284" s="59" t="n">
        <v>1770</v>
      </c>
      <c r="G284" s="59" t="n">
        <f aca="false">F284-H284</f>
        <v>1770</v>
      </c>
      <c r="H284" s="58" t="n">
        <v>0</v>
      </c>
      <c r="J284" s="30"/>
      <c r="K284" s="30"/>
      <c r="L284" s="30"/>
      <c r="M284" s="30"/>
      <c r="N284" s="30"/>
      <c r="O284" s="30"/>
      <c r="P284" s="30"/>
      <c r="Q284" s="30"/>
      <c r="R284" s="30"/>
      <c r="S284" s="30"/>
      <c r="T284" s="30"/>
      <c r="U284" s="30"/>
    </row>
    <row r="285" customFormat="false" ht="19.85" hidden="false" customHeight="true" outlineLevel="0" collapsed="false">
      <c r="A285" s="0" t="n">
        <v>31</v>
      </c>
      <c r="B285" s="34" t="n">
        <v>39783</v>
      </c>
      <c r="C285" s="9" t="n">
        <v>1051000</v>
      </c>
      <c r="D285" s="9" t="s">
        <v>41</v>
      </c>
      <c r="E285" s="33" t="n">
        <f aca="false">IF(D285="totale",(C285/(A285*24))/F285,IF(D285="marché libre",(C285/(A285*24))/G285,"spécifier histo"))</f>
        <v>0.798098535933418</v>
      </c>
      <c r="F285" s="59" t="n">
        <v>1770</v>
      </c>
      <c r="G285" s="59" t="n">
        <f aca="false">F285-H285</f>
        <v>1770</v>
      </c>
      <c r="H285" s="58" t="n">
        <v>0</v>
      </c>
      <c r="J285" s="30"/>
      <c r="K285" s="30"/>
      <c r="L285" s="30"/>
      <c r="M285" s="30"/>
      <c r="N285" s="30"/>
      <c r="O285" s="30"/>
      <c r="P285" s="30"/>
      <c r="Q285" s="30"/>
      <c r="R285" s="30"/>
      <c r="S285" s="30"/>
      <c r="T285" s="30"/>
      <c r="U285" s="30"/>
    </row>
    <row r="286" customFormat="false" ht="19.85" hidden="false" customHeight="true" outlineLevel="0" collapsed="false">
      <c r="A286" s="0" t="n">
        <v>31</v>
      </c>
      <c r="B286" s="31" t="n">
        <v>39814</v>
      </c>
      <c r="C286" s="9" t="n">
        <v>998600</v>
      </c>
      <c r="D286" s="9" t="s">
        <v>41</v>
      </c>
      <c r="E286" s="33" t="n">
        <f aca="false">IF(D286="totale",(C286/(A286*24))/F286,IF(D286="marché libre",(C286/(A286*24))/G286,"spécifier histo"))</f>
        <v>0.75830751473179</v>
      </c>
      <c r="F286" s="59" t="n">
        <v>1770</v>
      </c>
      <c r="G286" s="59" t="n">
        <f aca="false">F286-H286</f>
        <v>1770</v>
      </c>
      <c r="H286" s="58" t="n">
        <v>0</v>
      </c>
      <c r="J286" s="30"/>
      <c r="K286" s="30"/>
      <c r="L286" s="30"/>
      <c r="M286" s="30"/>
      <c r="N286" s="30"/>
      <c r="O286" s="30"/>
      <c r="P286" s="30"/>
      <c r="Q286" s="30"/>
      <c r="R286" s="30"/>
      <c r="S286" s="30"/>
      <c r="T286" s="30"/>
      <c r="U286" s="30"/>
    </row>
    <row r="287" customFormat="false" ht="19.85" hidden="false" customHeight="true" outlineLevel="0" collapsed="false">
      <c r="A287" s="0" t="n">
        <v>28</v>
      </c>
      <c r="B287" s="34" t="n">
        <v>39845</v>
      </c>
      <c r="C287" s="9" t="n">
        <v>1041200</v>
      </c>
      <c r="D287" s="9" t="s">
        <v>41</v>
      </c>
      <c r="E287" s="33" t="n">
        <f aca="false">IF(D287="totale",(C287/(A287*24))/F287,IF(D287="marché libre",(C287/(A287*24))/G287,"spécifier histo"))</f>
        <v>0.875369921980091</v>
      </c>
      <c r="F287" s="59" t="n">
        <v>1770</v>
      </c>
      <c r="G287" s="59" t="n">
        <f aca="false">F287-H287</f>
        <v>1770</v>
      </c>
      <c r="H287" s="58" t="n">
        <v>0</v>
      </c>
      <c r="J287" s="30"/>
      <c r="K287" s="30"/>
      <c r="L287" s="30"/>
      <c r="M287" s="30"/>
      <c r="N287" s="30"/>
      <c r="O287" s="30"/>
      <c r="P287" s="30"/>
      <c r="Q287" s="30"/>
      <c r="R287" s="30"/>
      <c r="S287" s="30"/>
      <c r="T287" s="30"/>
      <c r="U287" s="30"/>
    </row>
    <row r="288" customFormat="false" ht="19.85" hidden="false" customHeight="true" outlineLevel="0" collapsed="false">
      <c r="A288" s="0" t="n">
        <v>31</v>
      </c>
      <c r="B288" s="31" t="n">
        <v>39873</v>
      </c>
      <c r="C288" s="9" t="n">
        <v>892200</v>
      </c>
      <c r="D288" s="9" t="s">
        <v>41</v>
      </c>
      <c r="E288" s="33" t="n">
        <f aca="false">IF(D288="totale",(C288/(A288*24))/F288,IF(D288="marché libre",(C288/(A288*24))/G288,"spécifier histo"))</f>
        <v>0.677510479314744</v>
      </c>
      <c r="F288" s="59" t="n">
        <v>1770</v>
      </c>
      <c r="G288" s="59" t="n">
        <f aca="false">F288-H288</f>
        <v>1770</v>
      </c>
      <c r="H288" s="58" t="n">
        <v>0</v>
      </c>
      <c r="J288" s="30"/>
      <c r="K288" s="30"/>
      <c r="L288" s="30"/>
      <c r="M288" s="30"/>
      <c r="N288" s="30"/>
      <c r="O288" s="30"/>
      <c r="P288" s="30"/>
      <c r="Q288" s="30"/>
      <c r="R288" s="30"/>
      <c r="S288" s="30"/>
      <c r="T288" s="30"/>
      <c r="U288" s="30"/>
    </row>
    <row r="289" customFormat="false" ht="19.85" hidden="false" customHeight="true" outlineLevel="0" collapsed="false">
      <c r="A289" s="0" t="n">
        <v>30</v>
      </c>
      <c r="B289" s="34" t="n">
        <v>39904</v>
      </c>
      <c r="C289" s="9" t="n">
        <v>916000</v>
      </c>
      <c r="D289" s="9" t="s">
        <v>41</v>
      </c>
      <c r="E289" s="33" t="n">
        <f aca="false">IF(D289="totale",(C289/(A289*24))/F289,IF(D289="marché libre",(C289/(A289*24))/G289,"spécifier histo"))</f>
        <v>0.718769617074702</v>
      </c>
      <c r="F289" s="59" t="n">
        <v>1770</v>
      </c>
      <c r="G289" s="59" t="n">
        <f aca="false">F289-H289</f>
        <v>1770</v>
      </c>
      <c r="H289" s="58" t="n">
        <v>0</v>
      </c>
      <c r="J289" s="30"/>
      <c r="K289" s="30"/>
      <c r="L289" s="30"/>
      <c r="M289" s="30"/>
      <c r="N289" s="30"/>
      <c r="O289" s="30"/>
      <c r="P289" s="30"/>
      <c r="Q289" s="30"/>
      <c r="R289" s="30"/>
      <c r="S289" s="30"/>
      <c r="T289" s="30"/>
      <c r="U289" s="30"/>
    </row>
    <row r="290" customFormat="false" ht="19.85" hidden="false" customHeight="true" outlineLevel="0" collapsed="false">
      <c r="A290" s="0" t="n">
        <v>31</v>
      </c>
      <c r="B290" s="31" t="n">
        <v>39934</v>
      </c>
      <c r="C290" s="9" t="n">
        <v>1015600</v>
      </c>
      <c r="D290" s="9" t="s">
        <v>41</v>
      </c>
      <c r="E290" s="33" t="n">
        <f aca="false">IF(D290="totale",(C290/(A290*24))/F290,IF(D290="marché libre",(C290/(A290*24))/G290,"spécifier histo"))</f>
        <v>0.771216815503311</v>
      </c>
      <c r="F290" s="59" t="n">
        <v>1770</v>
      </c>
      <c r="G290" s="59" t="n">
        <f aca="false">F290-H290</f>
        <v>1770</v>
      </c>
      <c r="H290" s="58" t="n">
        <v>0</v>
      </c>
      <c r="J290" s="30"/>
      <c r="K290" s="30"/>
      <c r="L290" s="30"/>
      <c r="M290" s="30"/>
      <c r="N290" s="30"/>
      <c r="O290" s="30"/>
      <c r="P290" s="30"/>
      <c r="Q290" s="30"/>
      <c r="R290" s="30"/>
      <c r="S290" s="30"/>
      <c r="T290" s="30"/>
      <c r="U290" s="30"/>
    </row>
    <row r="291" customFormat="false" ht="19.85" hidden="false" customHeight="true" outlineLevel="0" collapsed="false">
      <c r="A291" s="0" t="n">
        <v>30</v>
      </c>
      <c r="B291" s="34" t="n">
        <v>39965</v>
      </c>
      <c r="C291" s="9" t="n">
        <v>322400</v>
      </c>
      <c r="D291" s="9" t="s">
        <v>41</v>
      </c>
      <c r="E291" s="33" t="n">
        <f aca="false">IF(D291="totale",(C291/(A291*24))/F291,IF(D291="marché libre",(C291/(A291*24))/G291,"spécifier histo"))</f>
        <v>0.252981795354677</v>
      </c>
      <c r="F291" s="59" t="n">
        <v>1770</v>
      </c>
      <c r="G291" s="59" t="n">
        <f aca="false">F291-H291</f>
        <v>1770</v>
      </c>
      <c r="H291" s="58" t="n">
        <v>0</v>
      </c>
      <c r="J291" s="30"/>
      <c r="K291" s="30"/>
      <c r="L291" s="30"/>
      <c r="M291" s="30"/>
      <c r="N291" s="30"/>
      <c r="O291" s="30"/>
      <c r="P291" s="30"/>
      <c r="Q291" s="30"/>
      <c r="R291" s="30"/>
      <c r="S291" s="30"/>
      <c r="T291" s="30"/>
      <c r="U291" s="30"/>
    </row>
    <row r="292" customFormat="false" ht="19.85" hidden="false" customHeight="true" outlineLevel="0" collapsed="false">
      <c r="A292" s="0" t="n">
        <v>31</v>
      </c>
      <c r="B292" s="31" t="n">
        <v>39995</v>
      </c>
      <c r="C292" s="9" t="n">
        <v>63800</v>
      </c>
      <c r="D292" s="9" t="s">
        <v>41</v>
      </c>
      <c r="E292" s="33" t="n">
        <f aca="false">IF(D292="totale",(C292/(A292*24))/F292,IF(D292="marché libre",(C292/(A292*24))/G292,"spécifier histo"))</f>
        <v>0.0484478464248831</v>
      </c>
      <c r="F292" s="59" t="n">
        <v>1770</v>
      </c>
      <c r="G292" s="59" t="n">
        <f aca="false">F292-H292</f>
        <v>1770</v>
      </c>
      <c r="H292" s="58" t="n">
        <v>0</v>
      </c>
      <c r="J292" s="30"/>
      <c r="K292" s="30"/>
      <c r="L292" s="30"/>
      <c r="M292" s="30"/>
      <c r="N292" s="30"/>
      <c r="O292" s="30"/>
      <c r="P292" s="30"/>
      <c r="Q292" s="30"/>
      <c r="R292" s="30"/>
      <c r="S292" s="30"/>
      <c r="T292" s="30"/>
      <c r="U292" s="30"/>
    </row>
    <row r="293" customFormat="false" ht="19.85" hidden="false" customHeight="true" outlineLevel="0" collapsed="false">
      <c r="A293" s="0" t="n">
        <v>31</v>
      </c>
      <c r="B293" s="34" t="n">
        <v>40026</v>
      </c>
      <c r="C293" s="9" t="n">
        <v>36200</v>
      </c>
      <c r="D293" s="9" t="s">
        <v>41</v>
      </c>
      <c r="E293" s="33" t="n">
        <f aca="false">IF(D293="totale",(C293/(A293*24))/F293,IF(D293="marché libre",(C293/(A293*24))/G293,"spécifier histo"))</f>
        <v>0.0274892169370026</v>
      </c>
      <c r="F293" s="59" t="n">
        <v>1770</v>
      </c>
      <c r="G293" s="59" t="n">
        <f aca="false">F293-H293</f>
        <v>1770</v>
      </c>
      <c r="H293" s="58" t="n">
        <v>0</v>
      </c>
      <c r="J293" s="30"/>
      <c r="K293" s="30"/>
      <c r="L293" s="30"/>
      <c r="M293" s="30"/>
      <c r="N293" s="30"/>
      <c r="O293" s="30"/>
      <c r="P293" s="30"/>
      <c r="Q293" s="30"/>
      <c r="R293" s="30"/>
      <c r="S293" s="30"/>
      <c r="T293" s="30"/>
      <c r="U293" s="30"/>
    </row>
    <row r="294" customFormat="false" ht="19.85" hidden="false" customHeight="true" outlineLevel="0" collapsed="false">
      <c r="A294" s="0" t="n">
        <v>30</v>
      </c>
      <c r="B294" s="31" t="n">
        <v>40057</v>
      </c>
      <c r="C294" s="9" t="n">
        <v>75200</v>
      </c>
      <c r="D294" s="9" t="s">
        <v>41</v>
      </c>
      <c r="E294" s="33" t="n">
        <f aca="false">IF(D294="totale",(C294/(A294*24))/F294,IF(D294="marché libre",(C294/(A294*24))/G294,"spécifier histo"))</f>
        <v>0.059008160703076</v>
      </c>
      <c r="F294" s="59" t="n">
        <v>1770</v>
      </c>
      <c r="G294" s="59" t="n">
        <f aca="false">F294-H294</f>
        <v>1770</v>
      </c>
      <c r="H294" s="58" t="n">
        <v>0</v>
      </c>
      <c r="J294" s="30"/>
      <c r="K294" s="30"/>
      <c r="L294" s="30"/>
      <c r="M294" s="30"/>
      <c r="N294" s="30"/>
      <c r="O294" s="30"/>
      <c r="P294" s="30"/>
      <c r="Q294" s="30"/>
      <c r="R294" s="30"/>
      <c r="S294" s="30"/>
      <c r="T294" s="30"/>
      <c r="U294" s="30"/>
    </row>
    <row r="295" customFormat="false" ht="19.85" hidden="false" customHeight="true" outlineLevel="0" collapsed="false">
      <c r="A295" s="0" t="n">
        <v>31</v>
      </c>
      <c r="B295" s="34" t="n">
        <v>40087</v>
      </c>
      <c r="C295" s="9" t="n">
        <v>240400</v>
      </c>
      <c r="D295" s="9" t="s">
        <v>41</v>
      </c>
      <c r="E295" s="33" t="n">
        <f aca="false">IF(D295="totale",(C295/(A295*24))/F295,IF(D295="marché libre",(C295/(A295*24))/G295,"spécifier histo"))</f>
        <v>0.182552700321973</v>
      </c>
      <c r="F295" s="59" t="n">
        <v>1770</v>
      </c>
      <c r="G295" s="59" t="n">
        <f aca="false">F295-H295</f>
        <v>1770</v>
      </c>
      <c r="H295" s="58" t="n">
        <v>0</v>
      </c>
      <c r="J295" s="30"/>
      <c r="K295" s="30"/>
      <c r="L295" s="30"/>
      <c r="M295" s="30"/>
      <c r="N295" s="30"/>
      <c r="O295" s="30"/>
      <c r="P295" s="30"/>
      <c r="Q295" s="30"/>
      <c r="R295" s="30"/>
      <c r="S295" s="30"/>
      <c r="T295" s="30"/>
      <c r="U295" s="30"/>
    </row>
    <row r="296" customFormat="false" ht="19.85" hidden="false" customHeight="true" outlineLevel="0" collapsed="false">
      <c r="A296" s="0" t="n">
        <v>30</v>
      </c>
      <c r="B296" s="31" t="n">
        <v>40118</v>
      </c>
      <c r="C296" s="9" t="n">
        <v>483200</v>
      </c>
      <c r="D296" s="9" t="s">
        <v>41</v>
      </c>
      <c r="E296" s="33" t="n">
        <f aca="false">IF(D296="totale",(C296/(A296*24))/F296,IF(D296="marché libre",(C296/(A296*24))/G296,"spécifier histo"))</f>
        <v>0.379158819836786</v>
      </c>
      <c r="F296" s="59" t="n">
        <v>1770</v>
      </c>
      <c r="G296" s="59" t="n">
        <f aca="false">F296-H296</f>
        <v>1770</v>
      </c>
      <c r="H296" s="58" t="n">
        <v>0</v>
      </c>
      <c r="J296" s="30"/>
      <c r="K296" s="30"/>
      <c r="L296" s="30"/>
      <c r="M296" s="30"/>
      <c r="N296" s="30"/>
      <c r="O296" s="30"/>
      <c r="P296" s="30"/>
      <c r="Q296" s="30"/>
      <c r="R296" s="30"/>
      <c r="S296" s="30"/>
      <c r="T296" s="30"/>
      <c r="U296" s="30"/>
    </row>
    <row r="297" customFormat="false" ht="19.85" hidden="false" customHeight="true" outlineLevel="0" collapsed="false">
      <c r="A297" s="0" t="n">
        <v>31</v>
      </c>
      <c r="B297" s="34" t="n">
        <v>40148</v>
      </c>
      <c r="C297" s="9" t="n">
        <v>415000</v>
      </c>
      <c r="D297" s="9" t="s">
        <v>41</v>
      </c>
      <c r="E297" s="33" t="n">
        <f aca="false">IF(D297="totale",(C297/(A297*24))/F297,IF(D297="marché libre",(C297/(A297*24))/G297,"spécifier histo"))</f>
        <v>0.315138812951825</v>
      </c>
      <c r="F297" s="59" t="n">
        <v>1770</v>
      </c>
      <c r="G297" s="59" t="n">
        <f aca="false">F297-H297</f>
        <v>1770</v>
      </c>
      <c r="H297" s="58" t="n">
        <v>0</v>
      </c>
      <c r="J297" s="30"/>
      <c r="K297" s="30"/>
      <c r="L297" s="30"/>
      <c r="M297" s="30"/>
      <c r="N297" s="30"/>
      <c r="O297" s="30"/>
      <c r="P297" s="30"/>
      <c r="Q297" s="30"/>
      <c r="R297" s="30"/>
      <c r="S297" s="30"/>
      <c r="T297" s="30"/>
      <c r="U297" s="30"/>
    </row>
    <row r="298" customFormat="false" ht="19.85" hidden="false" customHeight="true" outlineLevel="0" collapsed="false">
      <c r="A298" s="0" t="n">
        <v>31</v>
      </c>
      <c r="B298" s="31" t="n">
        <v>40179</v>
      </c>
      <c r="C298" s="9" t="n">
        <v>1004800</v>
      </c>
      <c r="D298" s="9" t="s">
        <v>41</v>
      </c>
      <c r="E298" s="33" t="n">
        <f aca="false">IF(D298="totale",(C298/(A298*24))/F298,IF(D298="marché libre",(C298/(A298*24))/G298,"spécifier histo"))</f>
        <v>0.763015612660227</v>
      </c>
      <c r="F298" s="59" t="n">
        <v>1770</v>
      </c>
      <c r="G298" s="59" t="n">
        <f aca="false">F298-H298</f>
        <v>1770</v>
      </c>
      <c r="H298" s="58" t="n">
        <v>0</v>
      </c>
      <c r="J298" s="30"/>
      <c r="K298" s="30"/>
      <c r="L298" s="30"/>
      <c r="M298" s="30"/>
      <c r="N298" s="30"/>
      <c r="O298" s="30"/>
      <c r="P298" s="30"/>
      <c r="Q298" s="30"/>
      <c r="R298" s="30"/>
      <c r="S298" s="30"/>
      <c r="T298" s="30"/>
      <c r="U298" s="30"/>
    </row>
    <row r="299" customFormat="false" ht="19.85" hidden="false" customHeight="true" outlineLevel="0" collapsed="false">
      <c r="A299" s="0" t="n">
        <v>28</v>
      </c>
      <c r="B299" s="34" t="n">
        <v>40210</v>
      </c>
      <c r="C299" s="9" t="n">
        <v>1120600</v>
      </c>
      <c r="D299" s="9" t="s">
        <v>41</v>
      </c>
      <c r="E299" s="33" t="n">
        <f aca="false">IF(D299="totale",(C299/(A299*24))/F299,IF(D299="marché libre",(C299/(A299*24))/G299,"spécifier histo"))</f>
        <v>0.942124024751143</v>
      </c>
      <c r="F299" s="59" t="n">
        <v>1770</v>
      </c>
      <c r="G299" s="59" t="n">
        <f aca="false">F299-H299</f>
        <v>1770</v>
      </c>
      <c r="H299" s="58" t="n">
        <v>0</v>
      </c>
      <c r="J299" s="30"/>
      <c r="K299" s="30"/>
      <c r="L299" s="30"/>
      <c r="M299" s="30"/>
      <c r="N299" s="30"/>
      <c r="O299" s="30"/>
      <c r="P299" s="30"/>
      <c r="Q299" s="30"/>
      <c r="R299" s="30"/>
      <c r="S299" s="30"/>
      <c r="T299" s="30"/>
      <c r="U299" s="30"/>
    </row>
    <row r="300" customFormat="false" ht="19.85" hidden="false" customHeight="true" outlineLevel="0" collapsed="false">
      <c r="A300" s="0" t="n">
        <v>31</v>
      </c>
      <c r="B300" s="31" t="n">
        <v>40238</v>
      </c>
      <c r="C300" s="9" t="n">
        <v>1089800</v>
      </c>
      <c r="D300" s="9" t="s">
        <v>41</v>
      </c>
      <c r="E300" s="33" t="n">
        <f aca="false">IF(D300="totale",(C300/(A300*24))/F300,IF(D300="marché libre",(C300/(A300*24))/G300,"spécifier histo"))</f>
        <v>0.82756211651783</v>
      </c>
      <c r="F300" s="59" t="n">
        <v>1770</v>
      </c>
      <c r="G300" s="59" t="n">
        <f aca="false">F300-H300</f>
        <v>1770</v>
      </c>
      <c r="H300" s="58" t="n">
        <v>0</v>
      </c>
      <c r="J300" s="30"/>
      <c r="K300" s="30"/>
      <c r="L300" s="30"/>
      <c r="M300" s="30"/>
      <c r="N300" s="30"/>
      <c r="O300" s="30"/>
      <c r="P300" s="30"/>
      <c r="Q300" s="30"/>
      <c r="R300" s="30"/>
      <c r="S300" s="30"/>
      <c r="T300" s="30"/>
      <c r="U300" s="30"/>
    </row>
    <row r="301" customFormat="false" ht="19.85" hidden="false" customHeight="true" outlineLevel="0" collapsed="false">
      <c r="A301" s="0" t="n">
        <v>30</v>
      </c>
      <c r="B301" s="34" t="n">
        <v>40269</v>
      </c>
      <c r="C301" s="9" t="n">
        <v>931200</v>
      </c>
      <c r="D301" s="9" t="s">
        <v>41</v>
      </c>
      <c r="E301" s="33" t="n">
        <f aca="false">IF(D301="totale",(C301/(A301*24))/F301,IF(D301="marché libre",(C301/(A301*24))/G301,"spécifier histo"))</f>
        <v>0.730696798493409</v>
      </c>
      <c r="F301" s="59" t="n">
        <v>1770</v>
      </c>
      <c r="G301" s="59" t="n">
        <f aca="false">F301-H301</f>
        <v>1770</v>
      </c>
      <c r="H301" s="58" t="n">
        <v>0</v>
      </c>
      <c r="J301" s="30"/>
      <c r="K301" s="30"/>
      <c r="L301" s="30"/>
      <c r="M301" s="30"/>
      <c r="N301" s="30"/>
      <c r="O301" s="30"/>
      <c r="P301" s="30"/>
      <c r="Q301" s="30"/>
      <c r="R301" s="30"/>
      <c r="S301" s="30"/>
      <c r="T301" s="30"/>
      <c r="U301" s="30"/>
    </row>
    <row r="302" customFormat="false" ht="19.85" hidden="false" customHeight="true" outlineLevel="0" collapsed="false">
      <c r="A302" s="0" t="n">
        <v>31</v>
      </c>
      <c r="B302" s="31" t="n">
        <v>40299</v>
      </c>
      <c r="C302" s="9" t="n">
        <v>798800</v>
      </c>
      <c r="D302" s="9" t="s">
        <v>41</v>
      </c>
      <c r="E302" s="33" t="n">
        <f aca="false">IF(D302="totale",(C302/(A302*24))/F302,IF(D302="marché libre",(C302/(A302*24))/G302,"spécifier histo"))</f>
        <v>0.606585262134743</v>
      </c>
      <c r="F302" s="59" t="n">
        <v>1770</v>
      </c>
      <c r="G302" s="59" t="n">
        <f aca="false">F302-H302</f>
        <v>1770</v>
      </c>
      <c r="H302" s="58" t="n">
        <v>0</v>
      </c>
      <c r="J302" s="30"/>
      <c r="K302" s="30"/>
      <c r="L302" s="30"/>
      <c r="M302" s="30"/>
      <c r="N302" s="30"/>
      <c r="O302" s="30"/>
      <c r="P302" s="30"/>
      <c r="Q302" s="30"/>
      <c r="R302" s="30"/>
      <c r="S302" s="30"/>
      <c r="T302" s="30"/>
      <c r="U302" s="30"/>
    </row>
    <row r="303" customFormat="false" ht="19.85" hidden="false" customHeight="true" outlineLevel="0" collapsed="false">
      <c r="A303" s="0" t="n">
        <v>30</v>
      </c>
      <c r="B303" s="34" t="n">
        <v>40330</v>
      </c>
      <c r="C303" s="9" t="n">
        <v>530000</v>
      </c>
      <c r="D303" s="9" t="s">
        <v>41</v>
      </c>
      <c r="E303" s="33" t="n">
        <f aca="false">IF(D303="totale",(C303/(A303*24))/F303,IF(D303="marché libre",(C303/(A303*24))/G303,"spécifier histo"))</f>
        <v>0.415881983678594</v>
      </c>
      <c r="F303" s="59" t="n">
        <v>1770</v>
      </c>
      <c r="G303" s="59" t="n">
        <f aca="false">F303-H303</f>
        <v>1770</v>
      </c>
      <c r="H303" s="58" t="n">
        <v>0</v>
      </c>
      <c r="J303" s="30"/>
      <c r="K303" s="30"/>
      <c r="L303" s="30"/>
      <c r="M303" s="30"/>
      <c r="N303" s="30"/>
      <c r="O303" s="30"/>
      <c r="P303" s="30"/>
      <c r="Q303" s="30"/>
      <c r="R303" s="30"/>
      <c r="S303" s="30"/>
      <c r="T303" s="30"/>
      <c r="U303" s="30"/>
    </row>
    <row r="304" customFormat="false" ht="19.85" hidden="false" customHeight="true" outlineLevel="0" collapsed="false">
      <c r="A304" s="0" t="n">
        <v>31</v>
      </c>
      <c r="B304" s="31" t="n">
        <v>40360</v>
      </c>
      <c r="C304" s="9" t="n">
        <v>187000</v>
      </c>
      <c r="D304" s="9" t="s">
        <v>41</v>
      </c>
      <c r="E304" s="33" t="n">
        <f aca="false">IF(D304="totale",(C304/(A304*24))/F304,IF(D304="marché libre",(C304/(A304*24))/G304,"spécifier histo"))</f>
        <v>0.142002308486726</v>
      </c>
      <c r="F304" s="59" t="n">
        <v>1770</v>
      </c>
      <c r="G304" s="59" t="n">
        <f aca="false">F304-H304</f>
        <v>1770</v>
      </c>
      <c r="H304" s="58" t="n">
        <v>0</v>
      </c>
      <c r="J304" s="30"/>
      <c r="K304" s="30"/>
      <c r="L304" s="30"/>
      <c r="M304" s="30"/>
      <c r="N304" s="30"/>
      <c r="O304" s="30"/>
      <c r="P304" s="30"/>
      <c r="Q304" s="30"/>
      <c r="R304" s="30"/>
      <c r="S304" s="30"/>
      <c r="T304" s="30"/>
      <c r="U304" s="30"/>
    </row>
    <row r="305" customFormat="false" ht="19.85" hidden="false" customHeight="true" outlineLevel="0" collapsed="false">
      <c r="A305" s="0" t="n">
        <v>31</v>
      </c>
      <c r="B305" s="34" t="n">
        <v>40391</v>
      </c>
      <c r="C305" s="9" t="n">
        <v>123200</v>
      </c>
      <c r="D305" s="9" t="s">
        <v>41</v>
      </c>
      <c r="E305" s="33" t="n">
        <f aca="false">IF(D305="totale",(C305/(A305*24))/F305,IF(D305="marché libre",(C305/(A305*24))/G305,"spécifier histo"))</f>
        <v>0.0935544620618431</v>
      </c>
      <c r="F305" s="59" t="n">
        <v>1770</v>
      </c>
      <c r="G305" s="59" t="n">
        <f aca="false">F305-H305</f>
        <v>1770</v>
      </c>
      <c r="H305" s="58" t="n">
        <v>0</v>
      </c>
      <c r="J305" s="30"/>
      <c r="K305" s="30"/>
      <c r="L305" s="30"/>
      <c r="M305" s="30"/>
      <c r="N305" s="30"/>
      <c r="O305" s="30"/>
      <c r="P305" s="30"/>
      <c r="Q305" s="30"/>
      <c r="R305" s="30"/>
      <c r="S305" s="30"/>
      <c r="T305" s="30"/>
      <c r="U305" s="30"/>
    </row>
    <row r="306" customFormat="false" ht="19.85" hidden="false" customHeight="true" outlineLevel="0" collapsed="false">
      <c r="A306" s="0" t="n">
        <v>30</v>
      </c>
      <c r="B306" s="31" t="n">
        <v>40422</v>
      </c>
      <c r="C306" s="9" t="n">
        <v>127400</v>
      </c>
      <c r="D306" s="9" t="s">
        <v>41</v>
      </c>
      <c r="E306" s="33" t="n">
        <f aca="false">IF(D306="totale",(C306/(A306*24))/F306,IF(D306="marché libre",(C306/(A306*24))/G306,"spécifier histo"))</f>
        <v>0.0999686126804771</v>
      </c>
      <c r="F306" s="59" t="n">
        <v>1770</v>
      </c>
      <c r="G306" s="59" t="n">
        <f aca="false">F306-H306</f>
        <v>1770</v>
      </c>
      <c r="H306" s="58" t="n">
        <v>0</v>
      </c>
      <c r="J306" s="30"/>
      <c r="K306" s="30"/>
      <c r="L306" s="30"/>
      <c r="M306" s="30"/>
      <c r="N306" s="30"/>
      <c r="O306" s="30"/>
      <c r="P306" s="30"/>
      <c r="Q306" s="30"/>
      <c r="R306" s="30"/>
      <c r="S306" s="30"/>
      <c r="T306" s="30"/>
      <c r="U306" s="30"/>
    </row>
    <row r="307" customFormat="false" ht="19.85" hidden="false" customHeight="true" outlineLevel="0" collapsed="false">
      <c r="A307" s="0" t="n">
        <v>31</v>
      </c>
      <c r="B307" s="34" t="n">
        <v>40452</v>
      </c>
      <c r="C307" s="9" t="n">
        <v>436000</v>
      </c>
      <c r="D307" s="9" t="s">
        <v>41</v>
      </c>
      <c r="E307" s="33" t="n">
        <f aca="false">IF(D307="totale",(C307/(A307*24))/F307,IF(D307="marché libre",(C307/(A307*24))/G307,"spécifier histo"))</f>
        <v>0.331085596257821</v>
      </c>
      <c r="F307" s="59" t="n">
        <v>1770</v>
      </c>
      <c r="G307" s="59" t="n">
        <f aca="false">F307-H307</f>
        <v>1770</v>
      </c>
      <c r="H307" s="58" t="n">
        <v>0</v>
      </c>
      <c r="J307" s="30"/>
      <c r="K307" s="30"/>
      <c r="L307" s="30"/>
      <c r="M307" s="30"/>
      <c r="N307" s="30"/>
      <c r="O307" s="30"/>
      <c r="P307" s="30"/>
      <c r="Q307" s="30"/>
      <c r="R307" s="30"/>
      <c r="S307" s="30"/>
      <c r="T307" s="30"/>
      <c r="U307" s="30"/>
    </row>
    <row r="308" customFormat="false" ht="19.85" hidden="false" customHeight="true" outlineLevel="0" collapsed="false">
      <c r="A308" s="0" t="n">
        <v>30</v>
      </c>
      <c r="B308" s="31" t="n">
        <v>40483</v>
      </c>
      <c r="C308" s="9" t="n">
        <v>857400</v>
      </c>
      <c r="D308" s="9" t="s">
        <v>41</v>
      </c>
      <c r="E308" s="33" t="n">
        <f aca="false">IF(D308="totale",(C308/(A308*24))/F308,IF(D308="marché libre",(C308/(A308*24))/G308,"spécifier histo"))</f>
        <v>0.672787193973635</v>
      </c>
      <c r="F308" s="59" t="n">
        <v>1770</v>
      </c>
      <c r="G308" s="59" t="n">
        <f aca="false">F308-H308</f>
        <v>1770</v>
      </c>
      <c r="H308" s="58" t="n">
        <v>0</v>
      </c>
      <c r="J308" s="30"/>
      <c r="K308" s="30"/>
      <c r="L308" s="30"/>
      <c r="M308" s="30"/>
      <c r="N308" s="30"/>
      <c r="O308" s="30"/>
      <c r="P308" s="30"/>
      <c r="Q308" s="30"/>
      <c r="R308" s="30"/>
      <c r="S308" s="30"/>
      <c r="T308" s="30"/>
      <c r="U308" s="30"/>
    </row>
    <row r="309" customFormat="false" ht="19.85" hidden="false" customHeight="true" outlineLevel="0" collapsed="false">
      <c r="A309" s="0" t="n">
        <v>31</v>
      </c>
      <c r="B309" s="34" t="n">
        <v>40513</v>
      </c>
      <c r="C309" s="9" t="n">
        <v>859600</v>
      </c>
      <c r="D309" s="9" t="s">
        <v>41</v>
      </c>
      <c r="E309" s="33" t="n">
        <f aca="false">IF(D309="totale",(C309/(A309*24))/F309,IF(D309="marché libre",(C309/(A309*24))/G309,"spécifier histo"))</f>
        <v>0.652754996658769</v>
      </c>
      <c r="F309" s="59" t="n">
        <v>1770</v>
      </c>
      <c r="G309" s="59" t="n">
        <f aca="false">F309-H309</f>
        <v>1770</v>
      </c>
      <c r="H309" s="58" t="n">
        <v>0</v>
      </c>
      <c r="J309" s="55"/>
      <c r="L309" s="0"/>
      <c r="P309" s="0"/>
    </row>
    <row r="310" customFormat="false" ht="19.85" hidden="false" customHeight="true" outlineLevel="0" collapsed="false">
      <c r="A310" s="0" t="n">
        <v>31</v>
      </c>
      <c r="B310" s="31" t="n">
        <v>40544</v>
      </c>
      <c r="C310" s="9" t="n">
        <v>738800</v>
      </c>
      <c r="D310" s="9" t="s">
        <v>41</v>
      </c>
      <c r="E310" s="33" t="n">
        <f aca="false">IF(D310="totale",(C310/(A310*24))/F310,IF(D310="marché libre",(C310/(A310*24))/G310,"spécifier histo"))</f>
        <v>0.561023024117611</v>
      </c>
      <c r="F310" s="59" t="n">
        <v>1770</v>
      </c>
      <c r="G310" s="59" t="n">
        <f aca="false">F310-H310</f>
        <v>1770</v>
      </c>
      <c r="H310" s="58" t="n">
        <v>0</v>
      </c>
      <c r="J310" s="55"/>
      <c r="L310" s="0"/>
      <c r="P310" s="0"/>
    </row>
    <row r="311" customFormat="false" ht="19.85" hidden="false" customHeight="true" outlineLevel="0" collapsed="false">
      <c r="A311" s="0" t="n">
        <v>28</v>
      </c>
      <c r="B311" s="34" t="n">
        <v>40575</v>
      </c>
      <c r="C311" s="9" t="n">
        <v>590400</v>
      </c>
      <c r="D311" s="9" t="s">
        <v>41</v>
      </c>
      <c r="E311" s="33" t="n">
        <f aca="false">IF(D311="totale",(C311/(A311*24))/F311,IF(D311="marché libre",(C311/(A311*24))/G311,"spécifier histo"))</f>
        <v>0.49636803874092</v>
      </c>
      <c r="F311" s="59" t="n">
        <v>1770</v>
      </c>
      <c r="G311" s="59" t="n">
        <f aca="false">F311-H311</f>
        <v>1770</v>
      </c>
      <c r="H311" s="58" t="n">
        <v>0</v>
      </c>
      <c r="J311" s="55"/>
      <c r="L311" s="0"/>
      <c r="P311" s="0"/>
    </row>
    <row r="312" customFormat="false" ht="19.85" hidden="false" customHeight="true" outlineLevel="0" collapsed="false">
      <c r="A312" s="0" t="n">
        <v>31</v>
      </c>
      <c r="B312" s="31" t="n">
        <v>40603</v>
      </c>
      <c r="C312" s="9" t="n">
        <v>876800</v>
      </c>
      <c r="D312" s="9" t="s">
        <v>41</v>
      </c>
      <c r="E312" s="33" t="n">
        <f aca="false">IF(D312="totale",(C312/(A312*24))/F312,IF(D312="marché libre",(C312/(A312*24))/G312,"spécifier histo"))</f>
        <v>0.665816171557014</v>
      </c>
      <c r="F312" s="59" t="n">
        <v>1770</v>
      </c>
      <c r="G312" s="59" t="n">
        <f aca="false">F312-H312</f>
        <v>1770</v>
      </c>
      <c r="H312" s="58" t="n">
        <v>0</v>
      </c>
      <c r="J312" s="55"/>
      <c r="L312" s="0"/>
      <c r="P312" s="0"/>
    </row>
    <row r="313" customFormat="false" ht="19.85" hidden="false" customHeight="true" outlineLevel="0" collapsed="false">
      <c r="A313" s="0" t="n">
        <v>30</v>
      </c>
      <c r="B313" s="34" t="n">
        <v>40634</v>
      </c>
      <c r="C313" s="9" t="n">
        <v>559000</v>
      </c>
      <c r="D313" s="9" t="s">
        <v>41</v>
      </c>
      <c r="E313" s="33" t="n">
        <f aca="false">IF(D313="totale",(C313/(A313*24))/F313,IF(D313="marché libre",(C313/(A313*24))/G313,"spécifier histo"))</f>
        <v>0.438637790332706</v>
      </c>
      <c r="F313" s="59" t="n">
        <v>1770</v>
      </c>
      <c r="G313" s="59" t="n">
        <f aca="false">F313-H313</f>
        <v>1770</v>
      </c>
      <c r="H313" s="58" t="n">
        <v>0</v>
      </c>
      <c r="J313" s="55"/>
      <c r="L313" s="0"/>
      <c r="P313" s="0"/>
    </row>
    <row r="314" customFormat="false" ht="19.85" hidden="false" customHeight="true" outlineLevel="0" collapsed="false">
      <c r="A314" s="0" t="n">
        <v>31</v>
      </c>
      <c r="B314" s="31" t="n">
        <v>40664</v>
      </c>
      <c r="C314" s="9" t="n">
        <v>224800</v>
      </c>
      <c r="D314" s="9" t="s">
        <v>41</v>
      </c>
      <c r="E314" s="33" t="n">
        <f aca="false">IF(D314="totale",(C314/(A314*24))/F314,IF(D314="marché libre",(C314/(A314*24))/G314,"spécifier histo"))</f>
        <v>0.170706518437519</v>
      </c>
      <c r="F314" s="59" t="n">
        <v>1770</v>
      </c>
      <c r="G314" s="59" t="n">
        <f aca="false">F314-H314</f>
        <v>1770</v>
      </c>
      <c r="H314" s="58" t="n">
        <v>0</v>
      </c>
      <c r="J314" s="55"/>
      <c r="L314" s="0"/>
      <c r="P314" s="0"/>
    </row>
    <row r="315" customFormat="false" ht="19.85" hidden="false" customHeight="true" outlineLevel="0" collapsed="false">
      <c r="A315" s="0" t="n">
        <v>30</v>
      </c>
      <c r="B315" s="34" t="n">
        <v>40695</v>
      </c>
      <c r="C315" s="9" t="n">
        <v>166600</v>
      </c>
      <c r="D315" s="9" t="s">
        <v>41</v>
      </c>
      <c r="E315" s="33" t="n">
        <f aca="false">IF(D315="totale",(C315/(A315*24))/F315,IF(D315="marché libre",(C315/(A315*24))/G315,"spécifier histo"))</f>
        <v>0.130728185812932</v>
      </c>
      <c r="F315" s="59" t="n">
        <v>1770</v>
      </c>
      <c r="G315" s="59" t="n">
        <f aca="false">F315-H315</f>
        <v>1770</v>
      </c>
      <c r="H315" s="58" t="n">
        <v>0</v>
      </c>
      <c r="J315" s="55"/>
      <c r="L315" s="0"/>
      <c r="P315" s="0"/>
    </row>
    <row r="316" customFormat="false" ht="19.85" hidden="false" customHeight="true" outlineLevel="0" collapsed="false">
      <c r="A316" s="0" t="n">
        <v>31</v>
      </c>
      <c r="B316" s="31" t="n">
        <v>40725</v>
      </c>
      <c r="C316" s="9" t="n">
        <v>54800</v>
      </c>
      <c r="D316" s="9" t="s">
        <v>41</v>
      </c>
      <c r="E316" s="33" t="n">
        <f aca="false">IF(D316="totale",(C316/(A316*24))/F316,IF(D316="marché libre",(C316/(A316*24))/G316,"spécifier histo"))</f>
        <v>0.0416135107223133</v>
      </c>
      <c r="F316" s="59" t="n">
        <v>1770</v>
      </c>
      <c r="G316" s="59" t="n">
        <f aca="false">F316-H316</f>
        <v>1770</v>
      </c>
      <c r="H316" s="58" t="n">
        <v>0</v>
      </c>
      <c r="J316" s="55"/>
      <c r="L316" s="0"/>
      <c r="P316" s="0"/>
    </row>
    <row r="317" customFormat="false" ht="19.85" hidden="false" customHeight="true" outlineLevel="0" collapsed="false">
      <c r="A317" s="0" t="n">
        <v>31</v>
      </c>
      <c r="B317" s="34" t="n">
        <v>40756</v>
      </c>
      <c r="C317" s="9" t="n">
        <v>52600</v>
      </c>
      <c r="D317" s="9" t="s">
        <v>41</v>
      </c>
      <c r="E317" s="33" t="n">
        <f aca="false">IF(D317="totale",(C317/(A317*24))/F317,IF(D317="marché libre",(C317/(A317*24))/G317,"spécifier histo"))</f>
        <v>0.0399428953283519</v>
      </c>
      <c r="F317" s="59" t="n">
        <v>1770</v>
      </c>
      <c r="G317" s="59" t="n">
        <f aca="false">F317-H317</f>
        <v>1770</v>
      </c>
      <c r="H317" s="58" t="n">
        <v>0</v>
      </c>
      <c r="J317" s="55"/>
      <c r="L317" s="0"/>
      <c r="P317" s="0"/>
    </row>
    <row r="318" customFormat="false" ht="19.85" hidden="false" customHeight="true" outlineLevel="0" collapsed="false">
      <c r="A318" s="0" t="n">
        <v>30</v>
      </c>
      <c r="B318" s="31" t="n">
        <v>40787</v>
      </c>
      <c r="C318" s="9" t="n">
        <v>49200</v>
      </c>
      <c r="D318" s="9" t="s">
        <v>41</v>
      </c>
      <c r="E318" s="33" t="n">
        <f aca="false">IF(D318="totale",(C318/(A318*24))/F318,IF(D318="marché libre",(C318/(A318*24))/G318,"spécifier histo"))</f>
        <v>0.0386064030131827</v>
      </c>
      <c r="F318" s="59" t="n">
        <v>1770</v>
      </c>
      <c r="G318" s="59" t="n">
        <f aca="false">F318-H318</f>
        <v>1770</v>
      </c>
      <c r="H318" s="58" t="n">
        <v>0</v>
      </c>
      <c r="J318" s="55"/>
      <c r="L318" s="0"/>
      <c r="P318" s="0"/>
    </row>
    <row r="319" customFormat="false" ht="19.85" hidden="false" customHeight="true" outlineLevel="0" collapsed="false">
      <c r="A319" s="0" t="n">
        <v>31</v>
      </c>
      <c r="B319" s="34" t="n">
        <v>40817</v>
      </c>
      <c r="C319" s="9" t="n">
        <v>50200</v>
      </c>
      <c r="D319" s="9" t="s">
        <v>41</v>
      </c>
      <c r="E319" s="33" t="n">
        <f aca="false">IF(D319="totale",(C319/(A319*24))/F319,IF(D319="marché libre",(C319/(A319*24))/G319,"spécifier histo"))</f>
        <v>0.0381204058076666</v>
      </c>
      <c r="F319" s="59" t="n">
        <v>1770</v>
      </c>
      <c r="G319" s="59" t="n">
        <f aca="false">F319-H319</f>
        <v>1770</v>
      </c>
      <c r="H319" s="58" t="n">
        <v>0</v>
      </c>
      <c r="J319" s="55"/>
      <c r="L319" s="0"/>
      <c r="P319" s="0"/>
    </row>
    <row r="320" customFormat="false" ht="19.85" hidden="false" customHeight="true" outlineLevel="0" collapsed="false">
      <c r="A320" s="0" t="n">
        <v>30</v>
      </c>
      <c r="B320" s="31" t="n">
        <v>40848</v>
      </c>
      <c r="C320" s="9" t="n">
        <v>874000</v>
      </c>
      <c r="D320" s="9" t="s">
        <v>41</v>
      </c>
      <c r="E320" s="33" t="n">
        <f aca="false">IF(D320="totale",(C320/(A320*24))/F320,IF(D320="marché libre",(C320/(A320*24))/G320,"spécifier histo"))</f>
        <v>0.685812931575643</v>
      </c>
      <c r="F320" s="59" t="n">
        <v>1770</v>
      </c>
      <c r="G320" s="59" t="n">
        <f aca="false">F320-H320</f>
        <v>1770</v>
      </c>
      <c r="H320" s="58" t="n">
        <v>0</v>
      </c>
      <c r="J320" s="55"/>
      <c r="L320" s="0"/>
    </row>
    <row r="321" customFormat="false" ht="19.85" hidden="false" customHeight="true" outlineLevel="0" collapsed="false">
      <c r="A321" s="0" t="n">
        <v>31</v>
      </c>
      <c r="B321" s="34" t="n">
        <v>40878</v>
      </c>
      <c r="C321" s="9" t="n">
        <v>876800</v>
      </c>
      <c r="D321" s="9" t="s">
        <v>41</v>
      </c>
      <c r="E321" s="33" t="n">
        <f aca="false">IF(D321="totale",(C321/(A321*24))/F321,IF(D321="marché libre",(C321/(A321*24))/G321,"spécifier histo"))</f>
        <v>0.665816171557014</v>
      </c>
      <c r="F321" s="59" t="n">
        <v>1770</v>
      </c>
      <c r="G321" s="59" t="n">
        <f aca="false">F321-H321</f>
        <v>1770</v>
      </c>
      <c r="H321" s="58" t="n">
        <v>0</v>
      </c>
      <c r="J321" s="55"/>
      <c r="L321" s="0"/>
    </row>
    <row r="322" customFormat="false" ht="19.85" hidden="false" customHeight="true" outlineLevel="0" collapsed="false">
      <c r="A322" s="0" t="n">
        <v>31</v>
      </c>
      <c r="B322" s="31" t="n">
        <v>40909</v>
      </c>
      <c r="C322" s="9" t="n">
        <v>926200</v>
      </c>
      <c r="D322" s="9" t="s">
        <v>41</v>
      </c>
      <c r="E322" s="33" t="n">
        <f aca="false">IF(D322="totale",(C322/(A322*24))/F322,IF(D322="marché libre",(C322/(A322*24))/G322,"spécifier histo"))</f>
        <v>0.703329080857785</v>
      </c>
      <c r="F322" s="59" t="n">
        <v>1770</v>
      </c>
      <c r="G322" s="59" t="n">
        <f aca="false">F322-H322</f>
        <v>1770</v>
      </c>
      <c r="H322" s="58" t="n">
        <v>0</v>
      </c>
      <c r="J322" s="55"/>
      <c r="L322" s="0"/>
    </row>
    <row r="323" customFormat="false" ht="19.85" hidden="false" customHeight="true" outlineLevel="0" collapsed="false">
      <c r="A323" s="0" t="n">
        <v>28</v>
      </c>
      <c r="B323" s="34" t="n">
        <v>40940</v>
      </c>
      <c r="C323" s="9" t="n">
        <v>597400</v>
      </c>
      <c r="D323" s="9" t="s">
        <v>41</v>
      </c>
      <c r="E323" s="33" t="n">
        <f aca="false">IF(D323="totale",(C323/(A323*24))/F323,IF(D323="marché libre",(C323/(A323*24))/G323,"spécifier histo"))</f>
        <v>0.502253161151466</v>
      </c>
      <c r="F323" s="59" t="n">
        <v>1770</v>
      </c>
      <c r="G323" s="59" t="n">
        <f aca="false">F323-H323</f>
        <v>1770</v>
      </c>
      <c r="H323" s="58" t="n">
        <v>0</v>
      </c>
      <c r="J323" s="55"/>
      <c r="L323" s="0"/>
    </row>
    <row r="324" customFormat="false" ht="19.85" hidden="false" customHeight="true" outlineLevel="0" collapsed="false">
      <c r="A324" s="0" t="n">
        <v>31</v>
      </c>
      <c r="B324" s="31" t="n">
        <v>40969</v>
      </c>
      <c r="C324" s="9" t="n">
        <v>318600</v>
      </c>
      <c r="D324" s="9" t="s">
        <v>41</v>
      </c>
      <c r="E324" s="33" t="n">
        <f aca="false">IF(D324="totale",(C324/(A324*24))/F324,IF(D324="marché libre",(C324/(A324*24))/G324,"spécifier histo"))</f>
        <v>0.241935483870968</v>
      </c>
      <c r="F324" s="239" t="n">
        <v>1770</v>
      </c>
      <c r="G324" s="239" t="n">
        <f aca="false">F324-H324</f>
        <v>920</v>
      </c>
      <c r="H324" s="371" t="n">
        <v>850</v>
      </c>
      <c r="I324" s="560" t="s">
        <v>1079</v>
      </c>
      <c r="J324" s="265"/>
      <c r="K324" s="199"/>
      <c r="L324" s="0"/>
    </row>
    <row r="325" customFormat="false" ht="19.85" hidden="false" customHeight="true" outlineLevel="0" collapsed="false">
      <c r="A325" s="0" t="n">
        <v>30</v>
      </c>
      <c r="B325" s="34" t="n">
        <v>41000</v>
      </c>
      <c r="C325" s="9" t="n">
        <v>510200</v>
      </c>
      <c r="D325" s="9" t="s">
        <v>41</v>
      </c>
      <c r="E325" s="33" t="n">
        <f aca="false">IF(D325="totale",(C325/(A325*24))/F325,IF(D325="marché libre",(C325/(A325*24))/G325,"spécifier histo"))</f>
        <v>0.400345260514752</v>
      </c>
      <c r="F325" s="59" t="n">
        <v>1770</v>
      </c>
      <c r="G325" s="59" t="n">
        <f aca="false">F325-H325</f>
        <v>920</v>
      </c>
      <c r="H325" s="58" t="n">
        <v>850</v>
      </c>
      <c r="J325" s="55"/>
      <c r="L325" s="0"/>
    </row>
    <row r="326" customFormat="false" ht="19.85" hidden="false" customHeight="true" outlineLevel="0" collapsed="false">
      <c r="A326" s="0" t="n">
        <v>31</v>
      </c>
      <c r="B326" s="31" t="n">
        <v>41030</v>
      </c>
      <c r="C326" s="9" t="n">
        <v>1178800</v>
      </c>
      <c r="D326" s="9" t="s">
        <v>41</v>
      </c>
      <c r="E326" s="33" t="n">
        <f aca="false">IF(D326="totale",(C326/(A326*24))/F326,IF(D326="marché libre",(C326/(A326*24))/G326,"spécifier histo"))</f>
        <v>0.895146102909908</v>
      </c>
      <c r="F326" s="59" t="n">
        <v>1770</v>
      </c>
      <c r="G326" s="59" t="n">
        <f aca="false">F326-H326</f>
        <v>920</v>
      </c>
      <c r="H326" s="58" t="n">
        <v>850</v>
      </c>
      <c r="J326" s="55"/>
      <c r="L326" s="0"/>
    </row>
    <row r="327" customFormat="false" ht="19.85" hidden="false" customHeight="true" outlineLevel="0" collapsed="false">
      <c r="A327" s="0" t="n">
        <v>30</v>
      </c>
      <c r="B327" s="34" t="n">
        <v>41061</v>
      </c>
      <c r="C327" s="9" t="n">
        <v>621600</v>
      </c>
      <c r="D327" s="9" t="s">
        <v>41</v>
      </c>
      <c r="E327" s="33" t="n">
        <f aca="false">IF(D327="totale",(C327/(A327*24))/F327,IF(D327="marché libre",(C327/(A327*24))/G327,"spécifier histo"))</f>
        <v>0.487758945386064</v>
      </c>
      <c r="F327" s="59" t="n">
        <v>1770</v>
      </c>
      <c r="G327" s="59" t="n">
        <f aca="false">F327-H327</f>
        <v>920</v>
      </c>
      <c r="H327" s="58" t="n">
        <v>850</v>
      </c>
      <c r="J327" s="55"/>
      <c r="L327" s="0"/>
    </row>
    <row r="328" customFormat="false" ht="19.85" hidden="false" customHeight="true" outlineLevel="0" collapsed="false">
      <c r="A328" s="0" t="n">
        <v>31</v>
      </c>
      <c r="B328" s="31" t="n">
        <v>41091</v>
      </c>
      <c r="C328" s="9" t="n">
        <v>176600</v>
      </c>
      <c r="D328" s="9" t="s">
        <v>41</v>
      </c>
      <c r="E328" s="33" t="n">
        <f aca="false">IF(D328="totale",(C328/(A328*24))/F328,IF(D328="marché libre",(C328/(A328*24))/G328,"spécifier histo"))</f>
        <v>0.13410485389709</v>
      </c>
      <c r="F328" s="59" t="n">
        <v>1770</v>
      </c>
      <c r="G328" s="59" t="n">
        <f aca="false">F328-H328</f>
        <v>920</v>
      </c>
      <c r="H328" s="58" t="n">
        <v>850</v>
      </c>
      <c r="J328" s="55"/>
      <c r="L328" s="0"/>
    </row>
    <row r="329" customFormat="false" ht="19.85" hidden="false" customHeight="true" outlineLevel="0" collapsed="false">
      <c r="A329" s="0" t="n">
        <v>31</v>
      </c>
      <c r="B329" s="34" t="n">
        <v>41122</v>
      </c>
      <c r="C329" s="9" t="n">
        <v>126000</v>
      </c>
      <c r="D329" s="9" t="s">
        <v>41</v>
      </c>
      <c r="E329" s="33" t="n">
        <f aca="false">IF(D329="totale",(C329/(A329*24))/F329,IF(D329="marché libre",(C329/(A329*24))/G329,"spécifier histo"))</f>
        <v>0.0956806998359759</v>
      </c>
      <c r="F329" s="59" t="n">
        <v>1770</v>
      </c>
      <c r="G329" s="59" t="n">
        <f aca="false">F329-H329</f>
        <v>920</v>
      </c>
      <c r="H329" s="58" t="n">
        <v>850</v>
      </c>
      <c r="J329" s="55"/>
      <c r="L329" s="0"/>
    </row>
    <row r="330" customFormat="false" ht="19.85" hidden="false" customHeight="true" outlineLevel="0" collapsed="false">
      <c r="A330" s="0" t="n">
        <v>30</v>
      </c>
      <c r="B330" s="31" t="n">
        <v>41153</v>
      </c>
      <c r="C330" s="9" t="n">
        <v>110800</v>
      </c>
      <c r="D330" s="9" t="s">
        <v>41</v>
      </c>
      <c r="E330" s="33" t="n">
        <f aca="false">IF(D330="totale",(C330/(A330*24))/F330,IF(D330="marché libre",(C330/(A330*24))/G330,"spécifier histo"))</f>
        <v>0.0869428750784683</v>
      </c>
      <c r="F330" s="59" t="n">
        <v>1770</v>
      </c>
      <c r="G330" s="59" t="n">
        <f aca="false">F330-H330</f>
        <v>920</v>
      </c>
      <c r="H330" s="58" t="n">
        <v>850</v>
      </c>
      <c r="J330" s="55"/>
      <c r="L330" s="0"/>
    </row>
    <row r="331" customFormat="false" ht="19.85" hidden="false" customHeight="true" outlineLevel="0" collapsed="false">
      <c r="A331" s="0" t="n">
        <v>31</v>
      </c>
      <c r="B331" s="34" t="n">
        <v>41183</v>
      </c>
      <c r="C331" s="9" t="n">
        <v>409838</v>
      </c>
      <c r="D331" s="9" t="s">
        <v>41</v>
      </c>
      <c r="E331" s="33" t="n">
        <f aca="false">IF(D331="totale",(C331/(A331*24))/F331,IF(D331="marché libre",(C331/(A331*24))/G331,"spécifier histo"))</f>
        <v>0.311218941741085</v>
      </c>
      <c r="F331" s="59" t="n">
        <v>1770</v>
      </c>
      <c r="G331" s="59" t="n">
        <f aca="false">F331-H331</f>
        <v>920</v>
      </c>
      <c r="H331" s="58" t="n">
        <v>850</v>
      </c>
      <c r="I331" s="180"/>
      <c r="J331" s="55"/>
      <c r="L331" s="0"/>
    </row>
    <row r="332" customFormat="false" ht="19.85" hidden="false" customHeight="true" outlineLevel="0" collapsed="false">
      <c r="A332" s="0" t="n">
        <v>30</v>
      </c>
      <c r="B332" s="31" t="n">
        <v>41214</v>
      </c>
      <c r="C332" s="9" t="n">
        <v>703781</v>
      </c>
      <c r="D332" s="9" t="s">
        <v>41</v>
      </c>
      <c r="E332" s="33" t="n">
        <f aca="false">IF(D332="totale",(C332/(A332*24))/F332,IF(D332="marché libre",(C332/(A332*24))/G332,"spécifier histo"))</f>
        <v>0.552244978028876</v>
      </c>
      <c r="F332" s="239" t="n">
        <v>1770</v>
      </c>
      <c r="G332" s="239" t="n">
        <f aca="false">F332-H332</f>
        <v>520</v>
      </c>
      <c r="H332" s="371" t="n">
        <v>1250</v>
      </c>
      <c r="I332" s="560" t="s">
        <v>1080</v>
      </c>
      <c r="J332" s="265"/>
      <c r="K332" s="199"/>
      <c r="L332" s="561" t="s">
        <v>1081</v>
      </c>
      <c r="M332" s="562"/>
      <c r="N332" s="562"/>
      <c r="O332" s="562"/>
      <c r="P332" s="562"/>
      <c r="Q332" s="562"/>
      <c r="R332" s="562"/>
      <c r="S332" s="562"/>
      <c r="T332" s="562"/>
    </row>
    <row r="333" customFormat="false" ht="19.85" hidden="false" customHeight="true" outlineLevel="0" collapsed="false">
      <c r="A333" s="0" t="n">
        <v>31</v>
      </c>
      <c r="B333" s="34" t="n">
        <v>41244</v>
      </c>
      <c r="C333" s="9" t="n">
        <v>930434</v>
      </c>
      <c r="D333" s="9" t="s">
        <v>41</v>
      </c>
      <c r="E333" s="33" t="n">
        <f aca="false">IF(D333="totale",(C333/(A333*24))/F333,IF(D333="marché libre",(C333/(A333*24))/G333,"spécifier histo"))</f>
        <v>0.706544256120527</v>
      </c>
      <c r="F333" s="59" t="n">
        <v>1770</v>
      </c>
      <c r="G333" s="59" t="n">
        <f aca="false">F333-H333</f>
        <v>520</v>
      </c>
      <c r="H333" s="58" t="n">
        <v>1250</v>
      </c>
      <c r="I333" s="563"/>
      <c r="J333" s="0"/>
      <c r="L333" s="561" t="s">
        <v>1078</v>
      </c>
      <c r="M333" s="562"/>
      <c r="N333" s="562"/>
      <c r="O333" s="562"/>
      <c r="P333" s="562"/>
      <c r="Q333" s="562"/>
      <c r="R333" s="562"/>
      <c r="S333" s="562"/>
      <c r="T333" s="562"/>
    </row>
    <row r="334" customFormat="false" ht="19.85" hidden="false" customHeight="true" outlineLevel="0" collapsed="false">
      <c r="A334" s="0" t="n">
        <v>31</v>
      </c>
      <c r="B334" s="31" t="n">
        <v>41275</v>
      </c>
      <c r="C334" s="9" t="n">
        <v>945217</v>
      </c>
      <c r="D334" s="9" t="s">
        <v>41</v>
      </c>
      <c r="E334" s="33" t="n">
        <f aca="false">IF(D334="totale",(C334/(A334*24))/F334,IF(D334="marché libre",(C334/(A334*24))/G334,"spécifier histo"))</f>
        <v>0.717770032197315</v>
      </c>
      <c r="F334" s="59" t="n">
        <v>1770</v>
      </c>
      <c r="G334" s="59" t="n">
        <f aca="false">F334-H334</f>
        <v>520</v>
      </c>
      <c r="H334" s="58" t="n">
        <v>1250</v>
      </c>
      <c r="I334" s="564"/>
      <c r="J334" s="55"/>
      <c r="L334" s="561" t="s">
        <v>1082</v>
      </c>
      <c r="M334" s="562"/>
      <c r="N334" s="562"/>
      <c r="O334" s="562"/>
      <c r="P334" s="562"/>
      <c r="Q334" s="562"/>
      <c r="R334" s="562"/>
      <c r="S334" s="562"/>
      <c r="T334" s="562"/>
    </row>
    <row r="335" customFormat="false" ht="19.85" hidden="false" customHeight="true" outlineLevel="0" collapsed="false">
      <c r="A335" s="0" t="n">
        <v>28</v>
      </c>
      <c r="B335" s="34" t="n">
        <v>41306</v>
      </c>
      <c r="C335" s="9" t="n">
        <v>1045350</v>
      </c>
      <c r="D335" s="9" t="s">
        <v>41</v>
      </c>
      <c r="E335" s="33" t="n">
        <f aca="false">IF(D335="totale",(C335/(A335*24))/F335,IF(D335="marché libre",(C335/(A335*24))/G335,"spécifier histo"))</f>
        <v>0.878858958837772</v>
      </c>
      <c r="F335" s="59" t="n">
        <v>1770</v>
      </c>
      <c r="G335" s="59" t="n">
        <f aca="false">F335-H335</f>
        <v>520</v>
      </c>
      <c r="H335" s="58" t="n">
        <v>1250</v>
      </c>
      <c r="I335" s="564"/>
      <c r="J335" s="55"/>
      <c r="L335" s="561" t="s">
        <v>1083</v>
      </c>
      <c r="M335" s="562"/>
      <c r="N335" s="562"/>
      <c r="O335" s="562"/>
      <c r="P335" s="562"/>
      <c r="Q335" s="562"/>
      <c r="R335" s="562"/>
      <c r="S335" s="562"/>
      <c r="T335" s="562"/>
    </row>
    <row r="336" customFormat="false" ht="19.85" hidden="false" customHeight="true" outlineLevel="0" collapsed="false">
      <c r="A336" s="0" t="n">
        <v>31</v>
      </c>
      <c r="B336" s="31" t="n">
        <v>41334</v>
      </c>
      <c r="C336" s="9" t="n">
        <v>1138308</v>
      </c>
      <c r="D336" s="9" t="s">
        <v>41</v>
      </c>
      <c r="E336" s="33" t="n">
        <f aca="false">IF(D336="totale",(C336/(A336*24))/F336,IF(D336="marché libre",(C336/(A336*24))/G336,"spécifier histo"))</f>
        <v>0.864397667213413</v>
      </c>
      <c r="F336" s="59" t="n">
        <v>1770</v>
      </c>
      <c r="G336" s="59" t="n">
        <f aca="false">F336-H336</f>
        <v>520</v>
      </c>
      <c r="H336" s="58" t="n">
        <v>1250</v>
      </c>
      <c r="I336" s="564"/>
      <c r="J336" s="55"/>
      <c r="L336" s="561" t="s">
        <v>1084</v>
      </c>
      <c r="M336" s="562"/>
      <c r="N336" s="562"/>
      <c r="O336" s="562"/>
      <c r="P336" s="562"/>
      <c r="Q336" s="562"/>
      <c r="R336" s="562"/>
      <c r="S336" s="562"/>
      <c r="T336" s="562"/>
    </row>
    <row r="337" customFormat="false" ht="19.85" hidden="false" customHeight="true" outlineLevel="0" collapsed="false">
      <c r="A337" s="0" t="n">
        <v>30</v>
      </c>
      <c r="B337" s="34" t="n">
        <v>41365</v>
      </c>
      <c r="C337" s="9" t="n">
        <v>1111884</v>
      </c>
      <c r="D337" s="9" t="s">
        <v>41</v>
      </c>
      <c r="E337" s="33" t="n">
        <f aca="false">IF(D337="totale",(C337/(A337*24))/F337,IF(D337="marché libre",(C337/(A337*24))/G337,"spécifier histo"))</f>
        <v>0.872476459510358</v>
      </c>
      <c r="F337" s="59" t="n">
        <v>1770</v>
      </c>
      <c r="G337" s="59" t="n">
        <f aca="false">F337-H337</f>
        <v>520</v>
      </c>
      <c r="H337" s="58" t="n">
        <v>1250</v>
      </c>
      <c r="I337" s="564"/>
      <c r="J337" s="55"/>
      <c r="L337" s="561" t="s">
        <v>1085</v>
      </c>
      <c r="M337" s="562"/>
      <c r="N337" s="562"/>
      <c r="O337" s="562"/>
      <c r="P337" s="562"/>
      <c r="Q337" s="562"/>
      <c r="R337" s="562"/>
      <c r="S337" s="562"/>
      <c r="T337" s="562"/>
    </row>
    <row r="338" customFormat="false" ht="19.85" hidden="false" customHeight="true" outlineLevel="0" collapsed="false">
      <c r="A338" s="0" t="n">
        <v>31</v>
      </c>
      <c r="B338" s="31" t="n">
        <v>41395</v>
      </c>
      <c r="C338" s="9" t="n">
        <v>1158987</v>
      </c>
      <c r="D338" s="9" t="s">
        <v>41</v>
      </c>
      <c r="E338" s="33" t="n">
        <f aca="false">IF(D338="totale",(C338/(A338*24))/F338,IF(D338="marché libre",(C338/(A338*24))/G338,"spécifier histo"))</f>
        <v>0.880100692546018</v>
      </c>
      <c r="F338" s="59" t="n">
        <v>1770</v>
      </c>
      <c r="G338" s="59" t="n">
        <f aca="false">F338-H338</f>
        <v>520</v>
      </c>
      <c r="H338" s="58" t="n">
        <v>1250</v>
      </c>
      <c r="I338" s="564"/>
      <c r="J338" s="55"/>
      <c r="L338" s="561" t="s">
        <v>1086</v>
      </c>
      <c r="M338" s="562"/>
      <c r="N338" s="562"/>
      <c r="O338" s="562"/>
      <c r="P338" s="562"/>
      <c r="Q338" s="562"/>
      <c r="R338" s="562"/>
      <c r="S338" s="562"/>
      <c r="T338" s="562"/>
    </row>
    <row r="339" customFormat="false" ht="19.85" hidden="false" customHeight="true" outlineLevel="0" collapsed="false">
      <c r="A339" s="0" t="n">
        <v>30</v>
      </c>
      <c r="B339" s="34" t="n">
        <v>41426</v>
      </c>
      <c r="C339" s="9" t="n">
        <v>866736</v>
      </c>
      <c r="D339" s="9" t="s">
        <v>41</v>
      </c>
      <c r="E339" s="33" t="n">
        <f aca="false">IF(D339="totale",(C339/(A339*24))/F339,IF(D339="marché libre",(C339/(A339*24))/G339,"spécifier histo"))</f>
        <v>0.680112994350283</v>
      </c>
      <c r="F339" s="59" t="n">
        <v>1770</v>
      </c>
      <c r="G339" s="59" t="n">
        <f aca="false">F339-H339</f>
        <v>520</v>
      </c>
      <c r="H339" s="58" t="n">
        <v>1250</v>
      </c>
      <c r="I339" s="564"/>
      <c r="J339" s="55"/>
      <c r="L339" s="561" t="s">
        <v>1087</v>
      </c>
      <c r="M339" s="562"/>
      <c r="N339" s="562"/>
      <c r="O339" s="562"/>
      <c r="P339" s="562"/>
      <c r="Q339" s="562"/>
      <c r="R339" s="562"/>
      <c r="S339" s="562"/>
      <c r="T339" s="562"/>
    </row>
    <row r="340" customFormat="false" ht="19.85" hidden="false" customHeight="true" outlineLevel="0" collapsed="false">
      <c r="A340" s="0" t="n">
        <v>31</v>
      </c>
      <c r="B340" s="31" t="n">
        <v>41456</v>
      </c>
      <c r="C340" s="9" t="n">
        <v>366382</v>
      </c>
      <c r="D340" s="9" t="s">
        <v>41</v>
      </c>
      <c r="E340" s="33" t="n">
        <f aca="false">IF(D340="totale",(C340/(A340*24))/F340,IF(D340="marché libre",(C340/(A340*24))/G340,"spécifier histo"))</f>
        <v>0.278219731486544</v>
      </c>
      <c r="F340" s="59" t="n">
        <v>1770</v>
      </c>
      <c r="G340" s="59" t="n">
        <f aca="false">F340-H340</f>
        <v>520</v>
      </c>
      <c r="H340" s="58" t="n">
        <v>1250</v>
      </c>
      <c r="I340" s="564"/>
      <c r="J340" s="55"/>
      <c r="L340" s="561"/>
      <c r="M340" s="562"/>
      <c r="N340" s="562"/>
      <c r="O340" s="562"/>
      <c r="P340" s="562"/>
      <c r="Q340" s="562"/>
      <c r="R340" s="562"/>
      <c r="S340" s="562"/>
      <c r="T340" s="562"/>
    </row>
    <row r="341" customFormat="false" ht="19.85" hidden="false" customHeight="true" outlineLevel="0" collapsed="false">
      <c r="A341" s="0" t="n">
        <v>31</v>
      </c>
      <c r="B341" s="34" t="n">
        <v>41487</v>
      </c>
      <c r="C341" s="9" t="n">
        <v>256853</v>
      </c>
      <c r="D341" s="9" t="s">
        <v>41</v>
      </c>
      <c r="E341" s="33" t="n">
        <f aca="false">IF(D341="totale",(C341/(A341*24))/F341,IF(D341="marché libre",(C341/(A341*24))/G341,"spécifier histo"))</f>
        <v>0.195046625356904</v>
      </c>
      <c r="F341" s="59" t="n">
        <v>1770</v>
      </c>
      <c r="G341" s="59" t="n">
        <f aca="false">F341-H341</f>
        <v>520</v>
      </c>
      <c r="H341" s="58" t="n">
        <v>1250</v>
      </c>
      <c r="I341" s="564"/>
      <c r="J341" s="55"/>
      <c r="L341" s="0"/>
    </row>
    <row r="342" customFormat="false" ht="19.85" hidden="false" customHeight="true" outlineLevel="0" collapsed="false">
      <c r="A342" s="0" t="n">
        <v>30</v>
      </c>
      <c r="B342" s="31" t="n">
        <v>41518</v>
      </c>
      <c r="C342" s="9" t="n">
        <v>87162</v>
      </c>
      <c r="D342" s="9" t="s">
        <v>41</v>
      </c>
      <c r="E342" s="33" t="n">
        <f aca="false">IF(D342="totale",(C342/(A342*24))/F342,IF(D342="marché libre",(C342/(A342*24))/G342,"spécifier histo"))</f>
        <v>0.068394538606403</v>
      </c>
      <c r="F342" s="59" t="n">
        <v>1770</v>
      </c>
      <c r="G342" s="59" t="n">
        <f aca="false">F342-H342</f>
        <v>520</v>
      </c>
      <c r="H342" s="58" t="n">
        <v>1250</v>
      </c>
      <c r="I342" s="564"/>
      <c r="J342" s="55"/>
      <c r="L342" s="0"/>
    </row>
    <row r="343" customFormat="false" ht="19.85" hidden="false" customHeight="true" outlineLevel="0" collapsed="false">
      <c r="A343" s="0" t="n">
        <v>31</v>
      </c>
      <c r="B343" s="34" t="n">
        <v>41548</v>
      </c>
      <c r="C343" s="9" t="n">
        <v>53047</v>
      </c>
      <c r="D343" s="9" t="s">
        <v>41</v>
      </c>
      <c r="E343" s="33" t="n">
        <f aca="false">IF(D343="totale",(C343/(A343*24))/F343,IF(D343="marché libre",(C343/(A343*24))/G343,"spécifier histo"))</f>
        <v>0.0402823340015795</v>
      </c>
      <c r="F343" s="59" t="n">
        <v>1770</v>
      </c>
      <c r="G343" s="59" t="n">
        <f aca="false">F343-H343</f>
        <v>520</v>
      </c>
      <c r="H343" s="58" t="n">
        <v>1250</v>
      </c>
      <c r="I343" s="564"/>
      <c r="J343" s="55"/>
      <c r="L343" s="0"/>
    </row>
    <row r="344" customFormat="false" ht="19.85" hidden="false" customHeight="true" outlineLevel="0" collapsed="false">
      <c r="A344" s="0" t="n">
        <v>30</v>
      </c>
      <c r="B344" s="31" t="n">
        <v>41579</v>
      </c>
      <c r="C344" s="9" t="n">
        <v>704669</v>
      </c>
      <c r="D344" s="9" t="s">
        <v>41</v>
      </c>
      <c r="E344" s="33" t="n">
        <f aca="false">IF(D344="totale",(C344/(A344*24))/F344,IF(D344="marché libre",(C344/(A344*24))/G344,"spécifier histo"))</f>
        <v>0.552941776522285</v>
      </c>
      <c r="F344" s="59" t="n">
        <v>1770</v>
      </c>
      <c r="G344" s="59" t="n">
        <f aca="false">F344-H344</f>
        <v>520</v>
      </c>
      <c r="H344" s="58" t="n">
        <v>1250</v>
      </c>
      <c r="I344" s="564"/>
      <c r="J344" s="55"/>
      <c r="L344" s="0"/>
    </row>
    <row r="345" customFormat="false" ht="19.85" hidden="false" customHeight="true" outlineLevel="0" collapsed="false">
      <c r="A345" s="0" t="n">
        <v>31</v>
      </c>
      <c r="B345" s="34" t="n">
        <v>41609</v>
      </c>
      <c r="C345" s="9" t="n">
        <v>571791</v>
      </c>
      <c r="D345" s="9" t="s">
        <v>41</v>
      </c>
      <c r="E345" s="33" t="n">
        <f aca="false">IF(D345="totale",(C345/(A345*24))/F345,IF(D345="marché libre",(C345/(A345*24))/G345,"spécifier histo"))</f>
        <v>0.43420129396756</v>
      </c>
      <c r="F345" s="59" t="n">
        <v>1770</v>
      </c>
      <c r="G345" s="59" t="n">
        <f aca="false">F345-H345</f>
        <v>520</v>
      </c>
      <c r="H345" s="58" t="n">
        <v>1250</v>
      </c>
      <c r="I345" s="564"/>
      <c r="J345" s="55"/>
      <c r="L345" s="0"/>
    </row>
    <row r="346" customFormat="false" ht="19.85" hidden="false" customHeight="true" outlineLevel="0" collapsed="false">
      <c r="A346" s="0" t="n">
        <v>31</v>
      </c>
      <c r="B346" s="31" t="n">
        <v>41640</v>
      </c>
      <c r="C346" s="9" t="n">
        <v>1062185</v>
      </c>
      <c r="D346" s="9" t="s">
        <v>41</v>
      </c>
      <c r="E346" s="33" t="n">
        <f aca="false">IF(D346="totale",(C346/(A346*24))/F346,IF(D346="marché libre",(C346/(A346*24))/G346,"spécifier histo"))</f>
        <v>0.806592096470445</v>
      </c>
      <c r="F346" s="59" t="n">
        <v>1770</v>
      </c>
      <c r="G346" s="59" t="n">
        <f aca="false">F346-H346</f>
        <v>520</v>
      </c>
      <c r="H346" s="58" t="n">
        <v>1250</v>
      </c>
      <c r="I346" s="564"/>
      <c r="J346" s="55"/>
      <c r="L346" s="0"/>
    </row>
    <row r="347" customFormat="false" ht="19.85" hidden="false" customHeight="true" outlineLevel="0" collapsed="false">
      <c r="A347" s="0" t="n">
        <v>28</v>
      </c>
      <c r="B347" s="34" t="n">
        <v>41671</v>
      </c>
      <c r="C347" s="9" t="n">
        <v>1051418</v>
      </c>
      <c r="D347" s="9" t="s">
        <v>41</v>
      </c>
      <c r="E347" s="33" t="n">
        <f aca="false">IF(D347="totale",(C347/(A347*24))/F347,IF(D347="marché libre",(C347/(A347*24))/G347,"spécifier histo"))</f>
        <v>0.883960519235943</v>
      </c>
      <c r="F347" s="59" t="n">
        <v>1770</v>
      </c>
      <c r="G347" s="59" t="n">
        <f aca="false">F347-H347</f>
        <v>520</v>
      </c>
      <c r="H347" s="58" t="n">
        <v>1250</v>
      </c>
      <c r="I347" s="564"/>
      <c r="J347" s="55"/>
      <c r="L347" s="0"/>
    </row>
    <row r="348" customFormat="false" ht="19.85" hidden="false" customHeight="true" outlineLevel="0" collapsed="false">
      <c r="A348" s="0" t="n">
        <v>31</v>
      </c>
      <c r="B348" s="31" t="n">
        <v>41699</v>
      </c>
      <c r="C348" s="9" t="n">
        <v>1018987</v>
      </c>
      <c r="D348" s="9" t="s">
        <v>41</v>
      </c>
      <c r="E348" s="33" t="n">
        <f aca="false">IF(D348="totale",(C348/(A348*24))/F348,IF(D348="marché libre",(C348/(A348*24))/G348,"spécifier histo"))</f>
        <v>0.773788803839378</v>
      </c>
      <c r="F348" s="59" t="n">
        <v>1770</v>
      </c>
      <c r="G348" s="59" t="n">
        <f aca="false">F348-H348</f>
        <v>520</v>
      </c>
      <c r="H348" s="58" t="n">
        <v>1250</v>
      </c>
      <c r="I348" s="564"/>
      <c r="J348" s="55"/>
      <c r="L348" s="0"/>
    </row>
    <row r="349" customFormat="false" ht="19.85" hidden="false" customHeight="true" outlineLevel="0" collapsed="false">
      <c r="A349" s="0" t="n">
        <v>30</v>
      </c>
      <c r="B349" s="34" t="n">
        <v>41730</v>
      </c>
      <c r="C349" s="9" t="n">
        <v>691499</v>
      </c>
      <c r="D349" s="9" t="s">
        <v>41</v>
      </c>
      <c r="E349" s="33" t="n">
        <f aca="false">IF(D349="totale",(C349/(A349*24))/F349,IF(D349="marché libre",(C349/(A349*24))/G349,"spécifier histo"))</f>
        <v>0.542607501569366</v>
      </c>
      <c r="F349" s="59" t="n">
        <v>1770</v>
      </c>
      <c r="G349" s="59" t="n">
        <f aca="false">F349-H349</f>
        <v>520</v>
      </c>
      <c r="H349" s="58" t="n">
        <v>1250</v>
      </c>
      <c r="I349" s="564"/>
      <c r="J349" s="55"/>
      <c r="L349" s="0"/>
    </row>
    <row r="350" customFormat="false" ht="19.85" hidden="false" customHeight="true" outlineLevel="0" collapsed="false">
      <c r="A350" s="0" t="n">
        <v>31</v>
      </c>
      <c r="B350" s="31" t="n">
        <v>41760</v>
      </c>
      <c r="C350" s="9" t="n">
        <v>537839</v>
      </c>
      <c r="D350" s="9" t="s">
        <v>41</v>
      </c>
      <c r="E350" s="33" t="n">
        <f aca="false">IF(D350="totale",(C350/(A350*24))/F350,IF(D350="marché libre",(C350/(A350*24))/G350,"spécifier histo"))</f>
        <v>0.408419142214932</v>
      </c>
      <c r="F350" s="59" t="n">
        <v>1770</v>
      </c>
      <c r="G350" s="59" t="n">
        <f aca="false">F350-H350</f>
        <v>520</v>
      </c>
      <c r="H350" s="58" t="n">
        <v>1250</v>
      </c>
      <c r="I350" s="564"/>
      <c r="J350" s="55"/>
      <c r="L350" s="0"/>
    </row>
    <row r="351" customFormat="false" ht="19.85" hidden="false" customHeight="true" outlineLevel="0" collapsed="false">
      <c r="A351" s="0" t="n">
        <v>30</v>
      </c>
      <c r="B351" s="34" t="n">
        <v>41791</v>
      </c>
      <c r="C351" s="9" t="n">
        <v>257110</v>
      </c>
      <c r="D351" s="9" t="s">
        <v>41</v>
      </c>
      <c r="E351" s="33" t="n">
        <f aca="false">IF(D351="totale",(C351/(A351*24))/F351,IF(D351="marché libre",(C351/(A351*24))/G351,"spécifier histo"))</f>
        <v>0.201749843063402</v>
      </c>
      <c r="F351" s="59" t="n">
        <v>1770</v>
      </c>
      <c r="G351" s="59" t="n">
        <f aca="false">F351-H351</f>
        <v>520</v>
      </c>
      <c r="H351" s="58" t="n">
        <v>1250</v>
      </c>
      <c r="I351" s="564"/>
      <c r="J351" s="55"/>
      <c r="L351" s="0"/>
    </row>
    <row r="352" customFormat="false" ht="19.85" hidden="false" customHeight="true" outlineLevel="0" collapsed="false">
      <c r="A352" s="0" t="n">
        <v>31</v>
      </c>
      <c r="B352" s="31" t="n">
        <v>41821</v>
      </c>
      <c r="C352" s="9" t="n">
        <v>371296</v>
      </c>
      <c r="D352" s="9" t="s">
        <v>41</v>
      </c>
      <c r="E352" s="33" t="n">
        <f aca="false">IF(D352="totale",(C352/(A352*24))/F352,IF(D352="marché libre",(C352/(A352*24))/G352,"spécifier histo"))</f>
        <v>0.281951278780147</v>
      </c>
      <c r="F352" s="59" t="n">
        <v>1770</v>
      </c>
      <c r="G352" s="59" t="n">
        <f aca="false">F352-H352</f>
        <v>520</v>
      </c>
      <c r="H352" s="58" t="n">
        <v>1250</v>
      </c>
      <c r="I352" s="564"/>
      <c r="J352" s="55"/>
      <c r="L352" s="0"/>
    </row>
    <row r="353" customFormat="false" ht="19.85" hidden="false" customHeight="true" outlineLevel="0" collapsed="false">
      <c r="A353" s="0" t="n">
        <v>31</v>
      </c>
      <c r="B353" s="34" t="n">
        <v>41852</v>
      </c>
      <c r="C353" s="9" t="n">
        <v>357478</v>
      </c>
      <c r="D353" s="9" t="s">
        <v>41</v>
      </c>
      <c r="E353" s="33" t="n">
        <f aca="false">IF(D353="totale",(C353/(A353*24))/F353,IF(D353="marché libre",(C353/(A353*24))/G353,"spécifier histo"))</f>
        <v>0.271458295364802</v>
      </c>
      <c r="F353" s="59" t="n">
        <v>1770</v>
      </c>
      <c r="G353" s="59" t="n">
        <f aca="false">F353-H353</f>
        <v>520</v>
      </c>
      <c r="H353" s="58" t="n">
        <v>1250</v>
      </c>
      <c r="I353" s="564"/>
      <c r="J353" s="55"/>
      <c r="L353" s="0"/>
    </row>
    <row r="354" customFormat="false" ht="19.85" hidden="false" customHeight="true" outlineLevel="0" collapsed="false">
      <c r="A354" s="0" t="n">
        <v>30</v>
      </c>
      <c r="B354" s="31" t="n">
        <v>41883</v>
      </c>
      <c r="C354" s="9" t="n">
        <v>392506</v>
      </c>
      <c r="D354" s="9" t="s">
        <v>41</v>
      </c>
      <c r="E354" s="33" t="n">
        <f aca="false">IF(D354="totale",(C354/(A354*24))/F354,IF(D354="marché libre",(C354/(A354*24))/G354,"spécifier histo"))</f>
        <v>0.30799278091651</v>
      </c>
      <c r="F354" s="59" t="n">
        <v>1770</v>
      </c>
      <c r="G354" s="59" t="n">
        <f aca="false">F354-H354</f>
        <v>520</v>
      </c>
      <c r="H354" s="58" t="n">
        <v>1250</v>
      </c>
      <c r="I354" s="564"/>
      <c r="J354" s="55"/>
      <c r="L354" s="0"/>
    </row>
    <row r="355" customFormat="false" ht="19.85" hidden="false" customHeight="true" outlineLevel="0" collapsed="false">
      <c r="A355" s="0" t="n">
        <v>31</v>
      </c>
      <c r="B355" s="34" t="n">
        <v>41913</v>
      </c>
      <c r="C355" s="9" t="n">
        <v>726785</v>
      </c>
      <c r="D355" s="9" t="s">
        <v>41</v>
      </c>
      <c r="E355" s="33" t="n">
        <f aca="false">IF(D355="totale",(C355/(A355*24))/F355,IF(D355="marché libre",(C355/(A355*24))/G355,"spécifier histo"))</f>
        <v>0.551899185954681</v>
      </c>
      <c r="F355" s="59" t="n">
        <v>1770</v>
      </c>
      <c r="G355" s="59" t="n">
        <f aca="false">F355-H355</f>
        <v>520</v>
      </c>
      <c r="H355" s="58" t="n">
        <v>1250</v>
      </c>
      <c r="I355" s="564"/>
      <c r="J355" s="55"/>
      <c r="L355" s="0"/>
    </row>
    <row r="356" customFormat="false" ht="19.85" hidden="false" customHeight="true" outlineLevel="0" collapsed="false">
      <c r="A356" s="0" t="n">
        <v>30</v>
      </c>
      <c r="B356" s="31" t="n">
        <v>41944</v>
      </c>
      <c r="C356" s="9" t="n">
        <v>750064</v>
      </c>
      <c r="D356" s="9" t="s">
        <v>41</v>
      </c>
      <c r="E356" s="33" t="n">
        <f aca="false">IF(D356="totale",(C356/(A356*24))/F356,IF(D356="marché libre",(C356/(A356*24))/G356,"spécifier histo"))</f>
        <v>0.588562460765851</v>
      </c>
      <c r="F356" s="59" t="n">
        <v>1770</v>
      </c>
      <c r="G356" s="59" t="n">
        <f aca="false">F356-H356</f>
        <v>520</v>
      </c>
      <c r="H356" s="58" t="n">
        <v>1250</v>
      </c>
      <c r="I356" s="564"/>
      <c r="J356" s="55"/>
      <c r="L356" s="0"/>
    </row>
    <row r="357" customFormat="false" ht="19.95" hidden="false" customHeight="true" outlineLevel="0" collapsed="false">
      <c r="A357" s="0" t="n">
        <v>31</v>
      </c>
      <c r="B357" s="34" t="n">
        <v>41974</v>
      </c>
      <c r="C357" s="9" t="n">
        <v>1034383</v>
      </c>
      <c r="D357" s="9" t="s">
        <v>41</v>
      </c>
      <c r="E357" s="33" t="n">
        <f aca="false">IF(D357="totale",(C357/(A357*24))/F357,IF(D357="marché libre",(C357/(A357*24))/G357,"spécifier histo"))</f>
        <v>0.785480074114574</v>
      </c>
      <c r="F357" s="59" t="n">
        <v>1770</v>
      </c>
      <c r="G357" s="59" t="n">
        <f aca="false">F357-H357</f>
        <v>520</v>
      </c>
      <c r="H357" s="58" t="n">
        <v>1250</v>
      </c>
      <c r="I357" s="564"/>
      <c r="J357" s="55"/>
      <c r="L357" s="0"/>
    </row>
    <row r="358" customFormat="false" ht="19.85" hidden="false" customHeight="true" outlineLevel="0" collapsed="false">
      <c r="A358" s="0" t="n">
        <v>31</v>
      </c>
      <c r="B358" s="31" t="n">
        <v>42005</v>
      </c>
      <c r="C358" s="9" t="n">
        <v>934875</v>
      </c>
      <c r="D358" s="9" t="s">
        <v>41</v>
      </c>
      <c r="E358" s="33" t="n">
        <f aca="false">IF(D358="totale",(C358/(A358*24))/F358,IF(D358="marché libre",(C358/(A358*24))/G358,"spécifier histo"))</f>
        <v>0.709916621104429</v>
      </c>
      <c r="F358" s="59" t="n">
        <v>1770</v>
      </c>
      <c r="G358" s="59" t="n">
        <f aca="false">F358-H358</f>
        <v>520</v>
      </c>
      <c r="H358" s="58" t="n">
        <v>1250</v>
      </c>
      <c r="I358" s="564"/>
      <c r="J358" s="55"/>
      <c r="L358" s="0"/>
    </row>
    <row r="359" customFormat="false" ht="19.85" hidden="false" customHeight="true" outlineLevel="0" collapsed="false">
      <c r="A359" s="0" t="n">
        <v>28</v>
      </c>
      <c r="B359" s="34" t="n">
        <v>42036</v>
      </c>
      <c r="C359" s="9" t="n">
        <v>967936</v>
      </c>
      <c r="D359" s="9" t="s">
        <v>41</v>
      </c>
      <c r="E359" s="33" t="n">
        <f aca="false">IF(D359="totale",(C359/(A359*24))/F359,IF(D359="marché libre",(C359/(A359*24))/G359,"spécifier histo"))</f>
        <v>0.81377454936777</v>
      </c>
      <c r="F359" s="59" t="n">
        <v>1770</v>
      </c>
      <c r="G359" s="59" t="n">
        <f aca="false">F359-H359</f>
        <v>520</v>
      </c>
      <c r="H359" s="58" t="n">
        <v>1250</v>
      </c>
      <c r="I359" s="564"/>
      <c r="J359" s="55"/>
      <c r="L359" s="0"/>
    </row>
    <row r="360" customFormat="false" ht="19.85" hidden="false" customHeight="true" outlineLevel="0" collapsed="false">
      <c r="A360" s="0" t="n">
        <v>31</v>
      </c>
      <c r="B360" s="31" t="n">
        <v>42064</v>
      </c>
      <c r="C360" s="9" t="n">
        <v>1073534</v>
      </c>
      <c r="D360" s="9" t="s">
        <v>41</v>
      </c>
      <c r="E360" s="33" t="n">
        <f aca="false">IF(D360="totale",(C360/(A360*24))/F360,IF(D360="marché libre",(C360/(A360*24))/G360,"spécifier histo"))</f>
        <v>0.815210193791386</v>
      </c>
      <c r="F360" s="59" t="n">
        <v>1770</v>
      </c>
      <c r="G360" s="59" t="n">
        <f aca="false">F360-H360</f>
        <v>520</v>
      </c>
      <c r="H360" s="58" t="n">
        <v>1250</v>
      </c>
      <c r="I360" s="564"/>
      <c r="J360" s="55"/>
      <c r="L360" s="0"/>
    </row>
    <row r="361" customFormat="false" ht="19.85" hidden="false" customHeight="true" outlineLevel="0" collapsed="false">
      <c r="A361" s="0" t="n">
        <v>30</v>
      </c>
      <c r="B361" s="34" t="n">
        <v>42095</v>
      </c>
      <c r="C361" s="9" t="n">
        <v>884284</v>
      </c>
      <c r="D361" s="9" t="s">
        <v>41</v>
      </c>
      <c r="E361" s="33" t="n">
        <f aca="false">IF(D361="totale",(C361/(A361*24))/F361,IF(D361="marché libre",(C361/(A361*24))/G361,"spécifier histo"))</f>
        <v>0.693882611424984</v>
      </c>
      <c r="F361" s="59" t="n">
        <v>1770</v>
      </c>
      <c r="G361" s="59" t="n">
        <f aca="false">F361-H361</f>
        <v>520</v>
      </c>
      <c r="H361" s="58" t="n">
        <v>1250</v>
      </c>
      <c r="I361" s="564"/>
      <c r="J361" s="55"/>
      <c r="L361" s="0"/>
    </row>
    <row r="362" customFormat="false" ht="19.85" hidden="false" customHeight="true" outlineLevel="0" collapsed="false">
      <c r="A362" s="0" t="n">
        <v>31</v>
      </c>
      <c r="B362" s="31" t="n">
        <v>42125</v>
      </c>
      <c r="C362" s="9" t="n">
        <v>717574</v>
      </c>
      <c r="D362" s="9" t="s">
        <v>41</v>
      </c>
      <c r="E362" s="33" t="n">
        <f aca="false">IF(D362="totale",(C362/(A362*24))/F362,IF(D362="marché libre",(C362/(A362*24))/G362,"spécifier histo"))</f>
        <v>0.544904623048417</v>
      </c>
      <c r="F362" s="59" t="n">
        <v>1770</v>
      </c>
      <c r="G362" s="59" t="n">
        <f aca="false">F362-H362</f>
        <v>520</v>
      </c>
      <c r="H362" s="58" t="n">
        <v>1250</v>
      </c>
      <c r="I362" s="564"/>
      <c r="J362" s="55"/>
      <c r="L362" s="0"/>
    </row>
    <row r="363" customFormat="false" ht="19.85" hidden="false" customHeight="true" outlineLevel="0" collapsed="false">
      <c r="A363" s="0" t="n">
        <v>30</v>
      </c>
      <c r="B363" s="34" t="n">
        <v>42156</v>
      </c>
      <c r="C363" s="9" t="n">
        <v>206355</v>
      </c>
      <c r="D363" s="9" t="s">
        <v>41</v>
      </c>
      <c r="E363" s="33" t="n">
        <f aca="false">IF(D363="totale",(C363/(A363*24))/F363,IF(D363="marché libre",(C363/(A363*24))/G363,"spécifier histo"))</f>
        <v>0.161923258003767</v>
      </c>
      <c r="F363" s="59" t="n">
        <v>1770</v>
      </c>
      <c r="G363" s="59" t="n">
        <f aca="false">F363-H363</f>
        <v>520</v>
      </c>
      <c r="H363" s="58" t="n">
        <v>1250</v>
      </c>
      <c r="I363" s="564"/>
      <c r="J363" s="55"/>
      <c r="L363" s="0"/>
    </row>
    <row r="364" customFormat="false" ht="19.85" hidden="false" customHeight="true" outlineLevel="0" collapsed="false">
      <c r="A364" s="0" t="n">
        <v>31</v>
      </c>
      <c r="B364" s="31" t="n">
        <v>42186</v>
      </c>
      <c r="C364" s="9" t="n">
        <v>97770</v>
      </c>
      <c r="D364" s="9" t="s">
        <v>41</v>
      </c>
      <c r="E364" s="33" t="n">
        <f aca="false">IF(D364="totale",(C364/(A364*24))/F364,IF(D364="marché libre",(C364/(A364*24))/G364,"spécifier histo"))</f>
        <v>0.0742436668489156</v>
      </c>
      <c r="F364" s="59" t="n">
        <v>1770</v>
      </c>
      <c r="G364" s="59" t="n">
        <f aca="false">F364-H364</f>
        <v>520</v>
      </c>
      <c r="H364" s="58" t="n">
        <v>1250</v>
      </c>
      <c r="I364" s="564"/>
      <c r="J364" s="55"/>
      <c r="L364" s="0"/>
    </row>
    <row r="365" customFormat="false" ht="19.85" hidden="false" customHeight="true" outlineLevel="0" collapsed="false">
      <c r="A365" s="0" t="n">
        <v>31</v>
      </c>
      <c r="B365" s="34" t="n">
        <v>42217</v>
      </c>
      <c r="C365" s="9" t="n">
        <v>142477</v>
      </c>
      <c r="D365" s="9" t="s">
        <v>41</v>
      </c>
      <c r="E365" s="33" t="n">
        <f aca="false">IF(D365="totale",(C365/(A365*24))/F365,IF(D365="marché libre",(C365/(A365*24))/G365,"spécifier histo"))</f>
        <v>0.108192849766114</v>
      </c>
      <c r="F365" s="59" t="n">
        <v>1770</v>
      </c>
      <c r="G365" s="59" t="n">
        <f aca="false">F365-H365</f>
        <v>520</v>
      </c>
      <c r="H365" s="58" t="n">
        <v>1250</v>
      </c>
      <c r="I365" s="564"/>
      <c r="J365" s="55"/>
      <c r="L365" s="0"/>
    </row>
    <row r="366" customFormat="false" ht="19.85" hidden="false" customHeight="true" outlineLevel="0" collapsed="false">
      <c r="A366" s="0" t="n">
        <v>30</v>
      </c>
      <c r="B366" s="31" t="n">
        <v>42248</v>
      </c>
      <c r="C366" s="9" t="n">
        <v>270623</v>
      </c>
      <c r="D366" s="9" t="s">
        <v>41</v>
      </c>
      <c r="E366" s="33" t="n">
        <f aca="false">IF(D366="totale",(C366/(A366*24))/F366,IF(D366="marché libre",(C366/(A366*24))/G366,"spécifier histo"))</f>
        <v>0.21235326428123</v>
      </c>
      <c r="F366" s="59" t="n">
        <v>1770</v>
      </c>
      <c r="G366" s="59" t="n">
        <f aca="false">F366-H366</f>
        <v>520</v>
      </c>
      <c r="H366" s="58" t="n">
        <v>1250</v>
      </c>
      <c r="I366" s="564"/>
      <c r="J366" s="55"/>
      <c r="L366" s="0"/>
    </row>
    <row r="367" customFormat="false" ht="19.85" hidden="false" customHeight="true" outlineLevel="0" collapsed="false">
      <c r="A367" s="0" t="n">
        <v>31</v>
      </c>
      <c r="B367" s="34" t="n">
        <v>42278</v>
      </c>
      <c r="C367" s="9" t="n">
        <v>271136</v>
      </c>
      <c r="D367" s="9" t="s">
        <v>41</v>
      </c>
      <c r="E367" s="33" t="n">
        <f aca="false">IF(D367="totale",(C367/(A367*24))/F367,IF(D367="marché libre",(C367/(A367*24))/G367,"spécifier histo"))</f>
        <v>0.205892716116882</v>
      </c>
      <c r="F367" s="59" t="n">
        <v>1770</v>
      </c>
      <c r="G367" s="59" t="n">
        <f aca="false">F367-H367</f>
        <v>520</v>
      </c>
      <c r="H367" s="58" t="n">
        <v>1250</v>
      </c>
      <c r="I367" s="564"/>
      <c r="J367" s="55"/>
      <c r="L367" s="0"/>
    </row>
    <row r="368" customFormat="false" ht="19.85" hidden="false" customHeight="true" outlineLevel="0" collapsed="false">
      <c r="A368" s="0" t="n">
        <v>30</v>
      </c>
      <c r="B368" s="31" t="n">
        <v>42309</v>
      </c>
      <c r="C368" s="9" t="n">
        <v>482383</v>
      </c>
      <c r="D368" s="9" t="s">
        <v>41</v>
      </c>
      <c r="E368" s="33" t="n">
        <f aca="false">IF(D368="totale",(C368/(A368*24))/F368,IF(D368="marché libre",(C368/(A368*24))/G368,"spécifier histo"))</f>
        <v>0.37851773383553</v>
      </c>
      <c r="F368" s="59" t="n">
        <v>1770</v>
      </c>
      <c r="G368" s="59" t="n">
        <f aca="false">F368-H368</f>
        <v>520</v>
      </c>
      <c r="H368" s="58" t="n">
        <v>1250</v>
      </c>
      <c r="I368" s="564"/>
      <c r="J368" s="55"/>
    </row>
    <row r="369" customFormat="false" ht="19.85" hidden="false" customHeight="true" outlineLevel="0" collapsed="false">
      <c r="A369" s="0" t="n">
        <v>31</v>
      </c>
      <c r="B369" s="34" t="n">
        <v>42339</v>
      </c>
      <c r="C369" s="9" t="n">
        <v>318666</v>
      </c>
      <c r="D369" s="9" t="s">
        <v>41</v>
      </c>
      <c r="E369" s="33" t="n">
        <f aca="false">IF(D369="totale",(C369/(A369*24))/F369,IF(D369="marché libre",(C369/(A369*24))/G369,"spécifier histo"))</f>
        <v>0.241985602332787</v>
      </c>
      <c r="F369" s="59" t="n">
        <v>1770</v>
      </c>
      <c r="G369" s="59" t="n">
        <f aca="false">F369-H369</f>
        <v>520</v>
      </c>
      <c r="H369" s="58" t="n">
        <v>1250</v>
      </c>
      <c r="I369" s="564"/>
      <c r="J369" s="55"/>
    </row>
    <row r="370" customFormat="false" ht="19.85" hidden="false" customHeight="true" outlineLevel="0" collapsed="false">
      <c r="A370" s="0" t="n">
        <v>31</v>
      </c>
      <c r="B370" s="31" t="n">
        <v>42370</v>
      </c>
      <c r="C370" s="9" t="n">
        <v>868535</v>
      </c>
      <c r="D370" s="9" t="s">
        <v>41</v>
      </c>
      <c r="E370" s="33" t="n">
        <f aca="false">IF(D370="totale",(C370/(A370*24))/F370,IF(D370="marché libre",(C370/(A370*24))/G370,"spécifier histo"))</f>
        <v>0.659539973270154</v>
      </c>
      <c r="F370" s="59" t="n">
        <v>1770</v>
      </c>
      <c r="G370" s="59" t="n">
        <f aca="false">F370-H370</f>
        <v>520</v>
      </c>
      <c r="H370" s="58" t="n">
        <v>1250</v>
      </c>
      <c r="I370" s="564"/>
      <c r="J370" s="55"/>
    </row>
    <row r="371" customFormat="false" ht="19.85" hidden="false" customHeight="true" outlineLevel="0" collapsed="false">
      <c r="A371" s="0" t="n">
        <v>28</v>
      </c>
      <c r="B371" s="34" t="n">
        <v>42401</v>
      </c>
      <c r="C371" s="9" t="n">
        <v>963454</v>
      </c>
      <c r="D371" s="9" t="s">
        <v>41</v>
      </c>
      <c r="E371" s="33" t="n">
        <f aca="false">IF(D371="totale",(C371/(A371*24))/F371,IF(D371="marché libre",(C371/(A371*24))/G371,"spécifier histo"))</f>
        <v>0.810006389561474</v>
      </c>
      <c r="F371" s="59" t="n">
        <v>1770</v>
      </c>
      <c r="G371" s="59" t="n">
        <f aca="false">F371-H371</f>
        <v>520</v>
      </c>
      <c r="H371" s="58" t="n">
        <v>1250</v>
      </c>
      <c r="I371" s="564"/>
      <c r="J371" s="55"/>
    </row>
    <row r="372" customFormat="false" ht="19.85" hidden="false" customHeight="true" outlineLevel="0" collapsed="false">
      <c r="A372" s="0" t="n">
        <v>31</v>
      </c>
      <c r="B372" s="31" t="n">
        <v>42430</v>
      </c>
      <c r="C372" s="9" t="n">
        <v>958810</v>
      </c>
      <c r="D372" s="9" t="s">
        <v>41</v>
      </c>
      <c r="E372" s="33" t="n">
        <f aca="false">IF(D372="totale",(C372/(A372*24))/F372,IF(D372="marché libre",(C372/(A372*24))/G372,"spécifier histo"))</f>
        <v>0.728092157220096</v>
      </c>
      <c r="F372" s="59" t="n">
        <v>1770</v>
      </c>
      <c r="G372" s="59" t="n">
        <f aca="false">F372-H372</f>
        <v>520</v>
      </c>
      <c r="H372" s="58" t="n">
        <v>1250</v>
      </c>
      <c r="I372" s="564"/>
      <c r="J372" s="55"/>
    </row>
    <row r="373" customFormat="false" ht="19.85" hidden="false" customHeight="true" outlineLevel="0" collapsed="false">
      <c r="A373" s="0" t="n">
        <v>30</v>
      </c>
      <c r="B373" s="34" t="n">
        <v>42461</v>
      </c>
      <c r="C373" s="9" t="n">
        <v>460253</v>
      </c>
      <c r="D373" s="9" t="s">
        <v>41</v>
      </c>
      <c r="E373" s="33" t="n">
        <f aca="false">IF(D373="totale",(C373/(A373*24))/F373,IF(D373="marché libre",(C373/(A373*24))/G373,"spécifier histo"))</f>
        <v>0.361152699309479</v>
      </c>
      <c r="F373" s="59" t="n">
        <v>1770</v>
      </c>
      <c r="G373" s="59" t="n">
        <f aca="false">F373-H373</f>
        <v>520</v>
      </c>
      <c r="H373" s="58" t="n">
        <v>1250</v>
      </c>
      <c r="I373" s="564"/>
      <c r="J373" s="55"/>
    </row>
    <row r="374" customFormat="false" ht="19.85" hidden="false" customHeight="true" outlineLevel="0" collapsed="false">
      <c r="A374" s="0" t="n">
        <v>31</v>
      </c>
      <c r="B374" s="31" t="n">
        <v>42491</v>
      </c>
      <c r="C374" s="9" t="n">
        <v>939678</v>
      </c>
      <c r="D374" s="9" t="s">
        <v>41</v>
      </c>
      <c r="E374" s="33" t="n">
        <f aca="false">IF(D374="totale",(C374/(A374*24))/F374,IF(D374="marché libre",(C374/(A374*24))/G374,"spécifier histo"))</f>
        <v>0.7135638782577</v>
      </c>
      <c r="F374" s="59" t="n">
        <v>1770</v>
      </c>
      <c r="G374" s="59" t="n">
        <f aca="false">F374-H374</f>
        <v>520</v>
      </c>
      <c r="H374" s="58" t="n">
        <v>1250</v>
      </c>
      <c r="I374" s="564"/>
      <c r="J374" s="55"/>
      <c r="K374" s="63"/>
    </row>
    <row r="375" customFormat="false" ht="19.85" hidden="false" customHeight="true" outlineLevel="0" collapsed="false">
      <c r="A375" s="0" t="n">
        <v>30</v>
      </c>
      <c r="B375" s="34" t="n">
        <v>42522</v>
      </c>
      <c r="C375" s="9" t="n">
        <v>746495</v>
      </c>
      <c r="D375" s="9" t="s">
        <v>41</v>
      </c>
      <c r="E375" s="33" t="n">
        <f aca="false">IF(D375="totale",(C375/(A375*24))/F375,IF(D375="marché libre",(C375/(A375*24))/G375,"spécifier histo"))</f>
        <v>0.829438888888889</v>
      </c>
      <c r="F375" s="59" t="n">
        <f aca="false">1770-520</f>
        <v>1250</v>
      </c>
      <c r="G375" s="565" t="n">
        <f aca="false">F375-H375</f>
        <v>0</v>
      </c>
      <c r="H375" s="58" t="n">
        <v>1250</v>
      </c>
      <c r="I375" s="563" t="s">
        <v>1088</v>
      </c>
      <c r="J375" s="0"/>
      <c r="K375" s="0"/>
    </row>
    <row r="376" customFormat="false" ht="19.85" hidden="false" customHeight="true" outlineLevel="0" collapsed="false">
      <c r="A376" s="0" t="n">
        <v>31</v>
      </c>
      <c r="B376" s="31" t="n">
        <v>42552</v>
      </c>
      <c r="C376" s="9" t="n">
        <v>243046</v>
      </c>
      <c r="D376" s="9" t="s">
        <v>41</v>
      </c>
      <c r="E376" s="33" t="n">
        <f aca="false">IF(D376="totale",(C376/(A376*24))/F376,IF(D376="marché libre",(C376/(A376*24))/G376,"spécifier histo"))</f>
        <v>0.261339784946237</v>
      </c>
      <c r="F376" s="59" t="n">
        <f aca="false">1770-520</f>
        <v>1250</v>
      </c>
      <c r="G376" s="565" t="n">
        <f aca="false">F376-H376</f>
        <v>0</v>
      </c>
      <c r="H376" s="58" t="n">
        <v>1250</v>
      </c>
      <c r="I376" s="563" t="s">
        <v>1088</v>
      </c>
      <c r="J376" s="55"/>
      <c r="K376" s="63"/>
    </row>
    <row r="377" customFormat="false" ht="19.85" hidden="false" customHeight="true" outlineLevel="0" collapsed="false">
      <c r="A377" s="0" t="n">
        <v>31</v>
      </c>
      <c r="B377" s="34" t="n">
        <v>42583</v>
      </c>
      <c r="C377" s="9" t="n">
        <v>128308</v>
      </c>
      <c r="D377" s="9" t="s">
        <v>41</v>
      </c>
      <c r="E377" s="33" t="n">
        <f aca="false">IF(D377="totale",(C377/(A377*24))/F377,IF(D377="marché libre",(C377/(A377*24))/G377,"spécifier histo"))</f>
        <v>0.137965591397849</v>
      </c>
      <c r="F377" s="59" t="n">
        <f aca="false">1770-520</f>
        <v>1250</v>
      </c>
      <c r="G377" s="565" t="n">
        <f aca="false">F377-H377</f>
        <v>0</v>
      </c>
      <c r="H377" s="58" t="n">
        <v>1250</v>
      </c>
      <c r="I377" s="563" t="s">
        <v>1088</v>
      </c>
      <c r="J377" s="55"/>
    </row>
    <row r="378" customFormat="false" ht="19.85" hidden="false" customHeight="true" outlineLevel="0" collapsed="false">
      <c r="A378" s="0" t="n">
        <v>30</v>
      </c>
      <c r="B378" s="31" t="n">
        <v>42614</v>
      </c>
      <c r="C378" s="9" t="n">
        <v>254234</v>
      </c>
      <c r="D378" s="9" t="s">
        <v>41</v>
      </c>
      <c r="E378" s="33" t="n">
        <f aca="false">IF(D378="totale",(C378/(A378*24))/F378,IF(D378="marché libre",(C378/(A378*24))/G378,"spécifier histo"))</f>
        <v>0.282482222222222</v>
      </c>
      <c r="F378" s="59" t="n">
        <f aca="false">1770-520</f>
        <v>1250</v>
      </c>
      <c r="G378" s="565" t="n">
        <f aca="false">F378-H378</f>
        <v>0</v>
      </c>
      <c r="H378" s="58" t="n">
        <v>1250</v>
      </c>
      <c r="I378" s="563" t="s">
        <v>1088</v>
      </c>
      <c r="J378" s="55"/>
    </row>
    <row r="379" customFormat="false" ht="19.85" hidden="false" customHeight="true" outlineLevel="0" collapsed="false">
      <c r="A379" s="0" t="n">
        <v>31</v>
      </c>
      <c r="B379" s="34" t="n">
        <v>42644</v>
      </c>
      <c r="C379" s="9" t="n">
        <v>542898</v>
      </c>
      <c r="D379" s="9" t="s">
        <v>41</v>
      </c>
      <c r="E379" s="33" t="n">
        <f aca="false">IF(D379="totale",(C379/(A379*24))/F379,IF(D379="marché libre",(C379/(A379*24))/G379,"spécifier histo"))</f>
        <v>0.583761290322581</v>
      </c>
      <c r="F379" s="59" t="n">
        <f aca="false">1770-520</f>
        <v>1250</v>
      </c>
      <c r="G379" s="565" t="n">
        <f aca="false">F379-H379</f>
        <v>0</v>
      </c>
      <c r="H379" s="58" t="n">
        <v>1250</v>
      </c>
      <c r="I379" s="563" t="s">
        <v>1088</v>
      </c>
      <c r="J379" s="55"/>
    </row>
    <row r="380" customFormat="false" ht="19.85" hidden="false" customHeight="true" outlineLevel="0" collapsed="false">
      <c r="A380" s="0" t="n">
        <v>30</v>
      </c>
      <c r="B380" s="31" t="n">
        <v>42675</v>
      </c>
      <c r="C380" s="9" t="n">
        <v>498653</v>
      </c>
      <c r="D380" s="9" t="s">
        <v>41</v>
      </c>
      <c r="E380" s="33" t="n">
        <f aca="false">IF(D380="totale",(C380/(A380*24))/F380,IF(D380="marché libre",(C380/(A380*24))/G380,"spécifier histo"))</f>
        <v>0.554058888888889</v>
      </c>
      <c r="F380" s="59" t="n">
        <f aca="false">1770-520</f>
        <v>1250</v>
      </c>
      <c r="G380" s="565" t="n">
        <f aca="false">F380-H380</f>
        <v>0</v>
      </c>
      <c r="H380" s="58" t="n">
        <v>1250</v>
      </c>
      <c r="I380" s="563" t="s">
        <v>1088</v>
      </c>
      <c r="J380" s="55"/>
    </row>
    <row r="381" customFormat="false" ht="19.85" hidden="false" customHeight="true" outlineLevel="0" collapsed="false">
      <c r="A381" s="0" t="n">
        <v>31</v>
      </c>
      <c r="B381" s="34" t="n">
        <v>42705</v>
      </c>
      <c r="C381" s="9" t="n">
        <v>860294</v>
      </c>
      <c r="D381" s="9" t="s">
        <v>41</v>
      </c>
      <c r="E381" s="33" t="n">
        <f aca="false">IF(D381="totale",(C381/(A381*24))/F381,IF(D381="marché libre",(C381/(A381*24))/G381,"spécifier histo"))</f>
        <v>0.925047311827957</v>
      </c>
      <c r="F381" s="59" t="n">
        <f aca="false">1770-520</f>
        <v>1250</v>
      </c>
      <c r="G381" s="565" t="n">
        <f aca="false">F381-H381</f>
        <v>0</v>
      </c>
      <c r="H381" s="58" t="n">
        <v>1250</v>
      </c>
      <c r="I381" s="563" t="s">
        <v>1088</v>
      </c>
      <c r="J381" s="55"/>
    </row>
    <row r="382" customFormat="false" ht="19.85" hidden="false" customHeight="true" outlineLevel="0" collapsed="false">
      <c r="A382" s="0" t="n">
        <v>31</v>
      </c>
      <c r="B382" s="31" t="n">
        <v>42736</v>
      </c>
      <c r="C382" s="9" t="n">
        <v>590896</v>
      </c>
      <c r="D382" s="9" t="s">
        <v>41</v>
      </c>
      <c r="E382" s="33" t="n">
        <f aca="false">IF(D382="totale",(C382/(A382*24))/F382,IF(D382="marché libre",(C382/(A382*24))/G382,"spécifier histo"))</f>
        <v>0.635372043010753</v>
      </c>
      <c r="F382" s="59" t="n">
        <f aca="false">1770-520</f>
        <v>1250</v>
      </c>
      <c r="G382" s="565" t="n">
        <f aca="false">F382-H382</f>
        <v>0</v>
      </c>
      <c r="H382" s="58" t="n">
        <v>1250</v>
      </c>
      <c r="I382" s="563" t="s">
        <v>1088</v>
      </c>
      <c r="J382" s="30"/>
    </row>
    <row r="383" customFormat="false" ht="19.85" hidden="false" customHeight="true" outlineLevel="0" collapsed="false">
      <c r="A383" s="0" t="n">
        <v>28</v>
      </c>
      <c r="B383" s="34" t="n">
        <v>42767</v>
      </c>
      <c r="C383" s="9" t="n">
        <v>764528</v>
      </c>
      <c r="D383" s="9" t="s">
        <v>41</v>
      </c>
      <c r="E383" s="33" t="n">
        <f aca="false">IF(D383="totale",(C383/(A383*24))/F383,IF(D383="marché libre",(C383/(A383*24))/G383,"spécifier histo"))</f>
        <v>0.910152380952381</v>
      </c>
      <c r="F383" s="59" t="n">
        <f aca="false">1770-520</f>
        <v>1250</v>
      </c>
      <c r="G383" s="565" t="n">
        <f aca="false">F383-H383</f>
        <v>0</v>
      </c>
      <c r="H383" s="58" t="n">
        <v>1250</v>
      </c>
      <c r="I383" s="563" t="s">
        <v>1088</v>
      </c>
      <c r="J383" s="55"/>
    </row>
    <row r="384" customFormat="false" ht="19.85" hidden="false" customHeight="true" outlineLevel="0" collapsed="false">
      <c r="A384" s="0" t="n">
        <v>31</v>
      </c>
      <c r="B384" s="31" t="n">
        <v>42795</v>
      </c>
      <c r="C384" s="9" t="n">
        <v>886174</v>
      </c>
      <c r="D384" s="9" t="s">
        <v>41</v>
      </c>
      <c r="E384" s="33" t="n">
        <f aca="false">IF(D384="totale",(C384/(A384*24))/F384,IF(D384="marché libre",(C384/(A384*24))/G384,"spécifier histo"))</f>
        <v>0.952875268817204</v>
      </c>
      <c r="F384" s="59" t="n">
        <f aca="false">1770-520</f>
        <v>1250</v>
      </c>
      <c r="G384" s="565" t="n">
        <f aca="false">F384-H384</f>
        <v>0</v>
      </c>
      <c r="H384" s="58" t="n">
        <v>1250</v>
      </c>
      <c r="I384" s="563" t="s">
        <v>1088</v>
      </c>
      <c r="J384" s="548" t="s">
        <v>1089</v>
      </c>
      <c r="K384" s="55"/>
    </row>
    <row r="385" customFormat="false" ht="19.85" hidden="false" customHeight="true" outlineLevel="0" collapsed="false">
      <c r="A385" s="0" t="n">
        <v>30</v>
      </c>
      <c r="B385" s="34" t="n">
        <v>42826</v>
      </c>
      <c r="C385" s="9" t="n">
        <v>660486</v>
      </c>
      <c r="D385" s="9" t="s">
        <v>41</v>
      </c>
      <c r="E385" s="33" t="n">
        <f aca="false">IF(D385="totale",(C385/(A385*24))/F385,IF(D385="marché libre",(C385/(A385*24))/G385,"spécifier histo"))</f>
        <v>0.733873333333333</v>
      </c>
      <c r="F385" s="59" t="n">
        <f aca="false">1770-520</f>
        <v>1250</v>
      </c>
      <c r="G385" s="565" t="n">
        <f aca="false">F385-H385</f>
        <v>0</v>
      </c>
      <c r="H385" s="58" t="n">
        <v>1250</v>
      </c>
      <c r="I385" s="563" t="s">
        <v>1088</v>
      </c>
      <c r="J385" s="55"/>
    </row>
    <row r="386" customFormat="false" ht="19.85" hidden="false" customHeight="true" outlineLevel="0" collapsed="false">
      <c r="A386" s="0" t="n">
        <v>31</v>
      </c>
      <c r="B386" s="31" t="n">
        <v>42856</v>
      </c>
      <c r="C386" s="9" t="n">
        <v>664494</v>
      </c>
      <c r="D386" s="9" t="s">
        <v>41</v>
      </c>
      <c r="E386" s="33" t="n">
        <f aca="false">IF(D386="totale",(C386/(A386*24))/F386,IF(D386="marché libre",(C386/(A386*24))/G386,"spécifier histo"))</f>
        <v>0.714509677419355</v>
      </c>
      <c r="F386" s="59" t="n">
        <f aca="false">1770-520</f>
        <v>1250</v>
      </c>
      <c r="G386" s="565" t="n">
        <f aca="false">F386-H386</f>
        <v>0</v>
      </c>
      <c r="H386" s="58" t="n">
        <v>1250</v>
      </c>
      <c r="I386" s="563" t="s">
        <v>1088</v>
      </c>
      <c r="J386" s="55"/>
    </row>
    <row r="387" customFormat="false" ht="22.45" hidden="false" customHeight="true" outlineLevel="0" collapsed="false">
      <c r="A387" s="0" t="n">
        <v>30</v>
      </c>
      <c r="B387" s="34" t="n">
        <v>42887</v>
      </c>
      <c r="C387" s="9" t="n">
        <v>218050</v>
      </c>
      <c r="D387" s="9" t="s">
        <v>41</v>
      </c>
      <c r="E387" s="33" t="n">
        <f aca="false">IF(D387="totale",(C387/(A387*24))/F387,IF(D387="marché libre",(C387/(A387*24))/G387,"spécifier histo"))</f>
        <v>0.242277777777778</v>
      </c>
      <c r="F387" s="59" t="n">
        <f aca="false">1770-520</f>
        <v>1250</v>
      </c>
      <c r="G387" s="565" t="n">
        <f aca="false">F387-H387</f>
        <v>0</v>
      </c>
      <c r="H387" s="58" t="n">
        <v>1250</v>
      </c>
      <c r="I387" s="563" t="s">
        <v>1088</v>
      </c>
      <c r="J387" s="0"/>
      <c r="K387" s="0"/>
    </row>
    <row r="388" customFormat="false" ht="21.65" hidden="false" customHeight="true" outlineLevel="0" collapsed="false">
      <c r="A388" s="0" t="n">
        <v>31</v>
      </c>
      <c r="B388" s="31" t="n">
        <v>42917</v>
      </c>
      <c r="C388" s="9" t="n">
        <v>127455</v>
      </c>
      <c r="D388" s="9" t="s">
        <v>41</v>
      </c>
      <c r="E388" s="33" t="n">
        <f aca="false">IF(D388="totale",(C388/(A388*24))/F388,IF(D388="marché libre",(C388/(A388*24))/G388,"spécifier histo"))</f>
        <v>0.137048387096774</v>
      </c>
      <c r="F388" s="59" t="n">
        <f aca="false">1770-520</f>
        <v>1250</v>
      </c>
      <c r="G388" s="565" t="n">
        <f aca="false">F388-H388</f>
        <v>0</v>
      </c>
      <c r="H388" s="58" t="n">
        <v>1250</v>
      </c>
      <c r="I388" s="563" t="s">
        <v>1088</v>
      </c>
      <c r="J388" s="55"/>
    </row>
    <row r="389" customFormat="false" ht="21.65" hidden="false" customHeight="true" outlineLevel="0" collapsed="false">
      <c r="A389" s="0" t="n">
        <v>31</v>
      </c>
      <c r="B389" s="34" t="n">
        <v>42948</v>
      </c>
      <c r="C389" s="9" t="n">
        <v>17271</v>
      </c>
      <c r="D389" s="9" t="s">
        <v>41</v>
      </c>
      <c r="E389" s="33" t="n">
        <f aca="false">IF(D389="totale",(C389/(A389*24))/F389,IF(D389="marché libre",(C389/(A389*24))/G389,"spécifier histo"))</f>
        <v>0.0185709677419355</v>
      </c>
      <c r="F389" s="59" t="n">
        <f aca="false">1770-520</f>
        <v>1250</v>
      </c>
      <c r="G389" s="565" t="n">
        <f aca="false">F389-H389</f>
        <v>0</v>
      </c>
      <c r="H389" s="58" t="n">
        <v>1250</v>
      </c>
      <c r="I389" s="563" t="s">
        <v>1088</v>
      </c>
      <c r="J389" s="55"/>
    </row>
    <row r="390" customFormat="false" ht="21.65" hidden="false" customHeight="true" outlineLevel="0" collapsed="false">
      <c r="A390" s="0" t="n">
        <v>30</v>
      </c>
      <c r="B390" s="31" t="n">
        <v>42979</v>
      </c>
      <c r="C390" s="9" t="n">
        <v>67679</v>
      </c>
      <c r="D390" s="9" t="s">
        <v>41</v>
      </c>
      <c r="E390" s="33" t="n">
        <f aca="false">IF(D390="totale",(C390/(A390*24))/F390,IF(D390="marché libre",(C390/(A390*24))/G390,"spécifier histo"))</f>
        <v>0.0751988888888889</v>
      </c>
      <c r="F390" s="59" t="n">
        <f aca="false">1770-520</f>
        <v>1250</v>
      </c>
      <c r="G390" s="566" t="n">
        <f aca="false">F390-H390</f>
        <v>0</v>
      </c>
      <c r="H390" s="58" t="n">
        <v>1250</v>
      </c>
      <c r="I390" s="563" t="s">
        <v>1088</v>
      </c>
      <c r="J390" s="55"/>
    </row>
    <row r="391" customFormat="false" ht="21.65" hidden="false" customHeight="true" outlineLevel="0" collapsed="false">
      <c r="A391" s="0" t="n">
        <v>31</v>
      </c>
      <c r="B391" s="34" t="n">
        <v>43009</v>
      </c>
      <c r="C391" s="9" t="n">
        <v>62950</v>
      </c>
      <c r="D391" s="9" t="s">
        <v>41</v>
      </c>
      <c r="E391" s="33" t="n">
        <f aca="false">IF(D391="totale",(C391/(A391*24))/F391,IF(D391="marché libre",(C391/(A391*24))/G391,"spécifier histo"))</f>
        <v>0.0676881720430108</v>
      </c>
      <c r="F391" s="59" t="n">
        <f aca="false">1770-520</f>
        <v>1250</v>
      </c>
      <c r="G391" s="566" t="n">
        <f aca="false">F391-H391</f>
        <v>0</v>
      </c>
      <c r="H391" s="58" t="n">
        <v>1250</v>
      </c>
      <c r="I391" s="563" t="s">
        <v>1088</v>
      </c>
      <c r="J391" s="55"/>
    </row>
    <row r="392" customFormat="false" ht="21.65" hidden="false" customHeight="true" outlineLevel="0" collapsed="false">
      <c r="A392" s="0" t="n">
        <v>30</v>
      </c>
      <c r="B392" s="31" t="n">
        <v>43040</v>
      </c>
      <c r="C392" s="9" t="n">
        <v>389408</v>
      </c>
      <c r="D392" s="9" t="s">
        <v>41</v>
      </c>
      <c r="E392" s="33" t="n">
        <f aca="false">IF(D392="totale",(C392/(A392*24))/F392,IF(D392="marché libre",(C392/(A392*24))/G392,"spécifier histo"))</f>
        <v>0.432675555555556</v>
      </c>
      <c r="F392" s="59" t="n">
        <f aca="false">1770-520</f>
        <v>1250</v>
      </c>
      <c r="G392" s="566" t="n">
        <f aca="false">F392-H392</f>
        <v>0</v>
      </c>
      <c r="H392" s="58" t="n">
        <v>1250</v>
      </c>
      <c r="I392" s="563" t="s">
        <v>1088</v>
      </c>
      <c r="J392" s="55"/>
    </row>
    <row r="393" customFormat="false" ht="21.65" hidden="false" customHeight="true" outlineLevel="0" collapsed="false">
      <c r="A393" s="0" t="n">
        <v>31</v>
      </c>
      <c r="B393" s="34" t="n">
        <v>43070</v>
      </c>
      <c r="C393" s="9" t="n">
        <v>501335</v>
      </c>
      <c r="D393" s="9" t="s">
        <v>41</v>
      </c>
      <c r="E393" s="33" t="n">
        <f aca="false">IF(D393="totale",(C393/(A393*24))/F393,IF(D393="marché libre",(C393/(A393*24))/G393,"spécifier histo"))</f>
        <v>0.38069907660531</v>
      </c>
      <c r="F393" s="59" t="n">
        <f aca="false">1770</f>
        <v>1770</v>
      </c>
      <c r="G393" s="59" t="n">
        <f aca="false">F393-H393</f>
        <v>520</v>
      </c>
      <c r="H393" s="58" t="n">
        <v>1250</v>
      </c>
      <c r="I393" s="0"/>
      <c r="J393" s="0"/>
      <c r="K393" s="63"/>
    </row>
    <row r="394" s="502" customFormat="true" ht="28.35" hidden="false" customHeight="true" outlineLevel="0" collapsed="false">
      <c r="A394" s="0" t="n">
        <v>31</v>
      </c>
      <c r="B394" s="567" t="n">
        <v>43101</v>
      </c>
      <c r="C394" s="388" t="n">
        <v>277783</v>
      </c>
      <c r="D394" s="388" t="s">
        <v>42</v>
      </c>
      <c r="E394" s="188" t="n">
        <f aca="false">IF(D394="totale",(C394/(A394*24))/F394,IF(D394="marché libre",(C394/(A394*24))/G394,"spécifier histo"))</f>
        <v>0.718008167907361</v>
      </c>
      <c r="F394" s="189" t="n">
        <f aca="false">1770</f>
        <v>1770</v>
      </c>
      <c r="G394" s="189" t="n">
        <f aca="false">F394-H394</f>
        <v>520</v>
      </c>
      <c r="H394" s="543" t="n">
        <v>1250</v>
      </c>
      <c r="J394" s="568"/>
    </row>
    <row r="395" customFormat="false" ht="28.35" hidden="false" customHeight="true" outlineLevel="0" collapsed="false">
      <c r="A395" s="0" t="n">
        <v>28</v>
      </c>
      <c r="B395" s="31" t="n">
        <v>43132</v>
      </c>
      <c r="C395" s="9" t="n">
        <v>306502</v>
      </c>
      <c r="D395" s="9" t="s">
        <v>42</v>
      </c>
      <c r="E395" s="33" t="n">
        <f aca="false">IF(D395="totale",(C395/(A395*24))/F395,IF(D395="marché libre",(C395/(A395*24))/G395,"spécifier histo"))</f>
        <v>0.877123397435897</v>
      </c>
      <c r="F395" s="57" t="n">
        <f aca="false">1770</f>
        <v>1770</v>
      </c>
      <c r="G395" s="57" t="n">
        <f aca="false">F395-H395</f>
        <v>520</v>
      </c>
      <c r="H395" s="58" t="n">
        <v>1250</v>
      </c>
    </row>
    <row r="396" customFormat="false" ht="28.35" hidden="false" customHeight="true" outlineLevel="0" collapsed="false">
      <c r="A396" s="0" t="n">
        <v>31</v>
      </c>
      <c r="B396" s="34" t="n">
        <v>43160</v>
      </c>
      <c r="C396" s="1" t="n">
        <v>336993</v>
      </c>
      <c r="D396" s="9" t="s">
        <v>42</v>
      </c>
      <c r="E396" s="33" t="n">
        <f aca="false">IF(D396="totale",(C396/(A396*24))/F396,IF(D396="marché libre",(C396/(A396*24))/G396,"spécifier histo"))</f>
        <v>0.871053039702233</v>
      </c>
      <c r="F396" s="57" t="n">
        <f aca="false">1770</f>
        <v>1770</v>
      </c>
      <c r="G396" s="57" t="n">
        <f aca="false">F396-H396</f>
        <v>520</v>
      </c>
      <c r="H396" s="58" t="n">
        <v>1250</v>
      </c>
    </row>
    <row r="397" customFormat="false" ht="28.35" hidden="false" customHeight="true" outlineLevel="0" collapsed="false">
      <c r="A397" s="0" t="n">
        <v>30</v>
      </c>
      <c r="B397" s="31" t="n">
        <v>43191</v>
      </c>
      <c r="C397" s="1" t="n">
        <v>167173</v>
      </c>
      <c r="D397" s="9" t="s">
        <v>42</v>
      </c>
      <c r="E397" s="33" t="n">
        <f aca="false">IF(D397="totale",(C397/(A397*24))/F397,IF(D397="marché libre",(C397/(A397*24))/G397,"spécifier histo"))</f>
        <v>0.446509081196581</v>
      </c>
      <c r="F397" s="57" t="n">
        <f aca="false">1770</f>
        <v>1770</v>
      </c>
      <c r="G397" s="57" t="n">
        <f aca="false">F397-H397</f>
        <v>520</v>
      </c>
      <c r="H397" s="58" t="n">
        <v>1250</v>
      </c>
    </row>
    <row r="398" customFormat="false" ht="28.35" hidden="false" customHeight="true" outlineLevel="0" collapsed="false">
      <c r="A398" s="0" t="n">
        <v>31</v>
      </c>
      <c r="B398" s="34" t="n">
        <v>43221</v>
      </c>
      <c r="C398" s="1" t="n">
        <v>257479</v>
      </c>
      <c r="D398" s="9" t="s">
        <v>42</v>
      </c>
      <c r="E398" s="33" t="n">
        <f aca="false">IF(D398="totale",(C398/(A398*24))/F398,IF(D398="marché libre",(C398/(A398*24))/G398,"spécifier histo"))</f>
        <v>0.665526778329198</v>
      </c>
      <c r="F398" s="57" t="n">
        <f aca="false">1770</f>
        <v>1770</v>
      </c>
      <c r="G398" s="57" t="n">
        <f aca="false">F398-H398</f>
        <v>520</v>
      </c>
      <c r="H398" s="58" t="n">
        <v>1250</v>
      </c>
    </row>
    <row r="399" customFormat="false" ht="28.35" hidden="false" customHeight="true" outlineLevel="0" collapsed="false">
      <c r="A399" s="0" t="n">
        <v>30</v>
      </c>
      <c r="B399" s="31" t="n">
        <v>43252</v>
      </c>
      <c r="C399" s="1" t="n">
        <v>206513</v>
      </c>
      <c r="D399" s="9" t="s">
        <v>42</v>
      </c>
      <c r="E399" s="33" t="n">
        <f aca="false">IF(D399="totale",(C399/(A399*24))/F399,IF(D399="marché libre",(C399/(A399*24))/G399,"spécifier histo"))</f>
        <v>0.551583867521368</v>
      </c>
      <c r="F399" s="57" t="n">
        <f aca="false">1770</f>
        <v>1770</v>
      </c>
      <c r="G399" s="57" t="n">
        <f aca="false">F399-H399</f>
        <v>520</v>
      </c>
      <c r="H399" s="58" t="n">
        <v>1250</v>
      </c>
    </row>
    <row r="400" customFormat="false" ht="28.35" hidden="false" customHeight="true" outlineLevel="0" collapsed="false">
      <c r="A400" s="0"/>
    </row>
    <row r="401" customFormat="false" ht="28.35" hidden="false" customHeight="true" outlineLevel="0" collapsed="false">
      <c r="A401" s="0"/>
    </row>
    <row r="402" customFormat="false" ht="28.35" hidden="false" customHeight="true" outlineLevel="0" collapsed="false">
      <c r="A402" s="0"/>
    </row>
    <row r="403" customFormat="false" ht="28.35" hidden="false" customHeight="true" outlineLevel="0" collapsed="false">
      <c r="A403" s="0"/>
    </row>
    <row r="404" customFormat="false" ht="28.35" hidden="false" customHeight="true" outlineLevel="0" collapsed="false">
      <c r="A404" s="0"/>
    </row>
    <row r="405" customFormat="false" ht="28.35" hidden="false" customHeight="true" outlineLevel="0" collapsed="false">
      <c r="A405" s="0"/>
    </row>
    <row r="406" customFormat="false" ht="12.8" hidden="false" customHeight="false" outlineLevel="0" collapsed="false">
      <c r="A406" s="0"/>
    </row>
    <row r="407" customFormat="false" ht="12.8" hidden="false" customHeight="false" outlineLevel="0" collapsed="false">
      <c r="A407" s="0"/>
    </row>
    <row r="408" customFormat="false" ht="12.8" hidden="false" customHeight="false" outlineLevel="0" collapsed="false">
      <c r="A408" s="0"/>
    </row>
    <row r="409" customFormat="false" ht="12.8" hidden="false" customHeight="false" outlineLevel="0" collapsed="false">
      <c r="A409" s="0"/>
    </row>
    <row r="410" customFormat="false" ht="12.8" hidden="false" customHeight="false" outlineLevel="0" collapsed="false">
      <c r="A410" s="0"/>
    </row>
    <row r="411" customFormat="false" ht="12.8" hidden="false" customHeight="false" outlineLevel="0" collapsed="false">
      <c r="A411" s="0"/>
    </row>
    <row r="412" customFormat="false" ht="12.8" hidden="false" customHeight="false" outlineLevel="0" collapsed="false">
      <c r="A412" s="0"/>
    </row>
    <row r="413" customFormat="false" ht="12.8" hidden="false" customHeight="false" outlineLevel="0" collapsed="false">
      <c r="A413" s="0"/>
    </row>
    <row r="414" customFormat="false" ht="12.8" hidden="false" customHeight="false" outlineLevel="0" collapsed="false">
      <c r="A414" s="0"/>
    </row>
    <row r="415" customFormat="false" ht="12.8" hidden="false" customHeight="false" outlineLevel="0" collapsed="false">
      <c r="A415" s="0"/>
    </row>
    <row r="416" customFormat="false" ht="12.8" hidden="false" customHeight="false" outlineLevel="0" collapsed="false">
      <c r="A416" s="0"/>
    </row>
    <row r="417" customFormat="false" ht="12.8" hidden="false" customHeight="false" outlineLevel="0" collapsed="false">
      <c r="A417" s="0"/>
    </row>
    <row r="418" customFormat="false" ht="12.8" hidden="false" customHeight="false" outlineLevel="0" collapsed="false">
      <c r="A418" s="0"/>
    </row>
    <row r="419" customFormat="false" ht="12.8" hidden="false" customHeight="false" outlineLevel="0" collapsed="false">
      <c r="A419" s="0"/>
    </row>
    <row r="420" customFormat="false" ht="12.8" hidden="false" customHeight="false" outlineLevel="0" collapsed="false">
      <c r="A420" s="0"/>
    </row>
    <row r="421" customFormat="false" ht="12.8" hidden="false" customHeight="false" outlineLevel="0" collapsed="false">
      <c r="A421" s="0"/>
    </row>
    <row r="422" customFormat="false" ht="12.8" hidden="false" customHeight="false" outlineLevel="0" collapsed="false">
      <c r="A422" s="0"/>
    </row>
    <row r="423" customFormat="false" ht="12.8" hidden="false" customHeight="false" outlineLevel="0" collapsed="false">
      <c r="A423" s="0"/>
    </row>
    <row r="424" customFormat="false" ht="12.8" hidden="false" customHeight="false" outlineLevel="0" collapsed="false">
      <c r="A424" s="0"/>
    </row>
    <row r="425" customFormat="false" ht="12.8" hidden="false" customHeight="false" outlineLevel="0" collapsed="false">
      <c r="A425" s="0"/>
    </row>
    <row r="426" customFormat="false" ht="12.8" hidden="false" customHeight="false" outlineLevel="0" collapsed="false">
      <c r="A426" s="0"/>
    </row>
    <row r="427" customFormat="false" ht="12.8" hidden="false" customHeight="false" outlineLevel="0" collapsed="false">
      <c r="A427" s="0"/>
    </row>
    <row r="428" customFormat="false" ht="12.8" hidden="false" customHeight="false" outlineLevel="0" collapsed="false">
      <c r="A428" s="0"/>
    </row>
    <row r="429" customFormat="false" ht="12.8" hidden="false" customHeight="false" outlineLevel="0" collapsed="false">
      <c r="A429" s="0"/>
    </row>
    <row r="430" customFormat="false" ht="12.8" hidden="false" customHeight="false" outlineLevel="0" collapsed="false">
      <c r="A430" s="0"/>
    </row>
    <row r="431" customFormat="false" ht="12.8" hidden="false" customHeight="false" outlineLevel="0" collapsed="false">
      <c r="A431" s="0"/>
    </row>
    <row r="432" customFormat="false" ht="12.8" hidden="false" customHeight="false" outlineLevel="0" collapsed="false">
      <c r="A432" s="0"/>
    </row>
    <row r="433" customFormat="false" ht="12.8" hidden="false" customHeight="false" outlineLevel="0" collapsed="false">
      <c r="A433"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399">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70.xml><?xml version="1.0" encoding="utf-8"?>
<worksheet xmlns="http://schemas.openxmlformats.org/spreadsheetml/2006/main" xmlns:r="http://schemas.openxmlformats.org/officeDocument/2006/relationships">
  <sheetPr filterMode="false">
    <pageSetUpPr fitToPage="false"/>
  </sheetPr>
  <dimension ref="A1:AA130"/>
  <sheetViews>
    <sheetView showFormulas="false" showGridLines="true" showRowColHeaders="true" showZeros="true" rightToLeft="false" tabSelected="false" showOutlineSymbols="true" defaultGridColor="true" view="normal" topLeftCell="A78" colorId="64" zoomScale="90" zoomScaleNormal="90" zoomScalePageLayoutView="100" workbookViewId="0">
      <selection pane="topLeft" activeCell="A86" activeCellId="0" sqref="A86"/>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35" t="s">
        <v>1090</v>
      </c>
      <c r="C4" s="16" t="n">
        <v>436860</v>
      </c>
      <c r="D4" s="5" t="s">
        <v>1091</v>
      </c>
      <c r="E4" s="14" t="s">
        <v>1092</v>
      </c>
      <c r="F4" s="15"/>
      <c r="G4" s="15"/>
      <c r="H4" s="15"/>
      <c r="I4" s="16"/>
      <c r="J4" s="15" t="n">
        <v>1200</v>
      </c>
      <c r="K4" s="16"/>
      <c r="L4" s="16"/>
      <c r="M4" s="16" t="n">
        <v>400</v>
      </c>
      <c r="N4" s="16"/>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c r="H6" s="19"/>
      <c r="I6" s="19"/>
      <c r="J6" s="19"/>
      <c r="K6" s="19"/>
      <c r="L6" s="19"/>
      <c r="M6" s="19"/>
      <c r="N6" s="19"/>
      <c r="P6" s="21" t="n">
        <v>43466</v>
      </c>
      <c r="Q6" s="19" t="s">
        <v>27</v>
      </c>
      <c r="R6" s="9"/>
      <c r="S6" s="22"/>
      <c r="T6" s="5" t="s">
        <v>28</v>
      </c>
    </row>
    <row r="7" customFormat="false" ht="41.65" hidden="false" customHeight="true" outlineLevel="0" collapsed="false">
      <c r="A7" s="0"/>
      <c r="B7" s="0"/>
      <c r="C7" s="126" t="s">
        <v>1093</v>
      </c>
      <c r="D7" s="126"/>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205" t="s">
        <v>40</v>
      </c>
      <c r="K9" s="206"/>
    </row>
    <row r="10" customFormat="false" ht="23" hidden="false" customHeight="true" outlineLevel="0" collapsed="false">
      <c r="A10" s="0" t="n">
        <v>31</v>
      </c>
      <c r="B10" s="31" t="n">
        <v>40909</v>
      </c>
      <c r="C10" s="15" t="n">
        <v>361210</v>
      </c>
      <c r="D10" s="1" t="s">
        <v>41</v>
      </c>
      <c r="E10" s="33" t="n">
        <f aca="false">IF(D10="totale",(C10/(A10*24))/F10,IF(D10="marché libre",(C10/(A10*24))/G10,"spécifier histo"))</f>
        <v>0.303435819892473</v>
      </c>
      <c r="F10" s="59" t="n">
        <v>1600</v>
      </c>
      <c r="G10" s="59" t="n">
        <v>1200</v>
      </c>
      <c r="H10" s="59" t="n">
        <v>400</v>
      </c>
      <c r="I10" s="9"/>
      <c r="J10" s="205"/>
      <c r="K10" s="206"/>
    </row>
    <row r="11" customFormat="false" ht="23" hidden="false" customHeight="true" outlineLevel="0" collapsed="false">
      <c r="A11" s="0" t="n">
        <v>31</v>
      </c>
      <c r="B11" s="34" t="n">
        <v>40940</v>
      </c>
      <c r="C11" s="15" t="n">
        <v>28523</v>
      </c>
      <c r="D11" s="1" t="s">
        <v>41</v>
      </c>
      <c r="E11" s="33" t="n">
        <f aca="false">IF(D11="totale",(C11/(A11*24))/F11,IF(D11="marché libre",(C11/(A11*24))/G11,"spécifier histo"))</f>
        <v>0.0239608534946237</v>
      </c>
      <c r="F11" s="59" t="n">
        <v>1600</v>
      </c>
      <c r="G11" s="59" t="n">
        <v>1200</v>
      </c>
      <c r="H11" s="59" t="n">
        <v>400</v>
      </c>
      <c r="I11" s="9"/>
      <c r="J11" s="205"/>
      <c r="K11" s="206"/>
    </row>
    <row r="12" customFormat="false" ht="23" hidden="false" customHeight="true" outlineLevel="0" collapsed="false">
      <c r="A12" s="0" t="n">
        <v>30</v>
      </c>
      <c r="B12" s="31" t="n">
        <v>40969</v>
      </c>
      <c r="C12" s="15" t="n">
        <v>93046</v>
      </c>
      <c r="D12" s="1" t="s">
        <v>41</v>
      </c>
      <c r="E12" s="33" t="n">
        <f aca="false">IF(D12="totale",(C12/(A12*24))/F12,IF(D12="marché libre",(C12/(A12*24))/G12,"spécifier histo"))</f>
        <v>0.0807690972222222</v>
      </c>
      <c r="F12" s="59" t="n">
        <v>1600</v>
      </c>
      <c r="G12" s="59" t="n">
        <v>1200</v>
      </c>
      <c r="H12" s="59" t="n">
        <v>400</v>
      </c>
      <c r="I12" s="9"/>
      <c r="J12" s="205"/>
      <c r="K12" s="206"/>
    </row>
    <row r="13" customFormat="false" ht="23" hidden="false" customHeight="true" outlineLevel="0" collapsed="false">
      <c r="A13" s="0" t="n">
        <v>31</v>
      </c>
      <c r="B13" s="34" t="n">
        <v>41000</v>
      </c>
      <c r="C13" s="15" t="n">
        <v>276141</v>
      </c>
      <c r="D13" s="1" t="s">
        <v>41</v>
      </c>
      <c r="E13" s="33" t="n">
        <f aca="false">IF(D13="totale",(C13/(A13*24))/F13,IF(D13="marché libre",(C13/(A13*24))/G13,"spécifier histo"))</f>
        <v>0.231973286290323</v>
      </c>
      <c r="F13" s="59" t="n">
        <v>1600</v>
      </c>
      <c r="G13" s="59" t="n">
        <v>1200</v>
      </c>
      <c r="H13" s="59" t="n">
        <v>400</v>
      </c>
      <c r="I13" s="9"/>
      <c r="J13" s="205"/>
      <c r="K13" s="206"/>
    </row>
    <row r="14" customFormat="false" ht="23" hidden="false" customHeight="true" outlineLevel="0" collapsed="false">
      <c r="A14" s="0" t="n">
        <v>30</v>
      </c>
      <c r="B14" s="31" t="n">
        <v>41030</v>
      </c>
      <c r="C14" s="15" t="n">
        <v>320171</v>
      </c>
      <c r="D14" s="1" t="s">
        <v>41</v>
      </c>
      <c r="E14" s="33" t="n">
        <f aca="false">IF(D14="totale",(C14/(A14*24))/F14,IF(D14="marché libre",(C14/(A14*24))/G14,"spécifier histo"))</f>
        <v>0.277926215277778</v>
      </c>
      <c r="F14" s="59" t="n">
        <v>1600</v>
      </c>
      <c r="G14" s="59" t="n">
        <v>1200</v>
      </c>
      <c r="H14" s="59" t="n">
        <v>400</v>
      </c>
      <c r="I14" s="9"/>
      <c r="J14" s="205"/>
      <c r="K14" s="206"/>
    </row>
    <row r="15" customFormat="false" ht="23" hidden="false" customHeight="true" outlineLevel="0" collapsed="false">
      <c r="A15" s="0" t="n">
        <v>31</v>
      </c>
      <c r="B15" s="34" t="n">
        <v>41061</v>
      </c>
      <c r="C15" s="15" t="n">
        <v>112695</v>
      </c>
      <c r="D15" s="1" t="s">
        <v>41</v>
      </c>
      <c r="E15" s="33" t="n">
        <f aca="false">IF(D15="totale",(C15/(A15*24))/F15,IF(D15="marché libre",(C15/(A15*24))/G15,"spécifier histo"))</f>
        <v>0.0946698588709677</v>
      </c>
      <c r="F15" s="59" t="n">
        <v>1600</v>
      </c>
      <c r="G15" s="59" t="n">
        <v>1200</v>
      </c>
      <c r="H15" s="59" t="n">
        <v>400</v>
      </c>
      <c r="I15" s="9"/>
      <c r="J15" s="205"/>
      <c r="K15" s="206"/>
    </row>
    <row r="16" customFormat="false" ht="23" hidden="false" customHeight="true" outlineLevel="0" collapsed="false">
      <c r="A16" s="0" t="n">
        <v>31</v>
      </c>
      <c r="B16" s="31" t="n">
        <v>41091</v>
      </c>
      <c r="C16" s="15" t="n">
        <v>0</v>
      </c>
      <c r="D16" s="1" t="s">
        <v>41</v>
      </c>
      <c r="E16" s="33" t="n">
        <f aca="false">IF(D16="totale",(C16/(A16*24))/F16,IF(D16="marché libre",(C16/(A16*24))/G16,"spécifier histo"))</f>
        <v>0</v>
      </c>
      <c r="F16" s="59" t="n">
        <v>1600</v>
      </c>
      <c r="G16" s="59" t="n">
        <v>1200</v>
      </c>
      <c r="H16" s="59" t="n">
        <v>400</v>
      </c>
      <c r="I16" s="9"/>
      <c r="J16" s="205"/>
      <c r="K16" s="206"/>
    </row>
    <row r="17" customFormat="false" ht="23" hidden="false" customHeight="true" outlineLevel="0" collapsed="false">
      <c r="A17" s="0" t="n">
        <v>31</v>
      </c>
      <c r="B17" s="34" t="n">
        <v>41122</v>
      </c>
      <c r="C17" s="15" t="n">
        <v>0</v>
      </c>
      <c r="D17" s="1" t="s">
        <v>41</v>
      </c>
      <c r="E17" s="33" t="n">
        <f aca="false">IF(D17="totale",(C17/(A17*24))/F17,IF(D17="marché libre",(C17/(A17*24))/G17,"spécifier histo"))</f>
        <v>0</v>
      </c>
      <c r="F17" s="59" t="n">
        <v>1600</v>
      </c>
      <c r="G17" s="59" t="n">
        <v>1200</v>
      </c>
      <c r="H17" s="59" t="n">
        <v>400</v>
      </c>
      <c r="I17" s="9"/>
      <c r="J17" s="205"/>
      <c r="K17" s="206"/>
    </row>
    <row r="18" customFormat="false" ht="23" hidden="false" customHeight="true" outlineLevel="0" collapsed="false">
      <c r="A18" s="0" t="n">
        <v>30</v>
      </c>
      <c r="B18" s="31" t="n">
        <v>41153</v>
      </c>
      <c r="C18" s="15" t="n">
        <v>0</v>
      </c>
      <c r="D18" s="1" t="s">
        <v>41</v>
      </c>
      <c r="E18" s="33" t="n">
        <f aca="false">IF(D18="totale",(C18/(A18*24))/F18,IF(D18="marché libre",(C18/(A18*24))/G18,"spécifier histo"))</f>
        <v>0</v>
      </c>
      <c r="F18" s="59" t="n">
        <v>1600</v>
      </c>
      <c r="G18" s="59" t="n">
        <v>1200</v>
      </c>
      <c r="H18" s="59" t="n">
        <v>400</v>
      </c>
      <c r="I18" s="9"/>
      <c r="J18" s="205"/>
      <c r="K18" s="206"/>
    </row>
    <row r="19" customFormat="false" ht="23" hidden="false" customHeight="true" outlineLevel="0" collapsed="false">
      <c r="A19" s="0" t="n">
        <v>31</v>
      </c>
      <c r="B19" s="34" t="n">
        <v>41183</v>
      </c>
      <c r="C19" s="15" t="n">
        <v>38282</v>
      </c>
      <c r="D19" s="1" t="s">
        <v>41</v>
      </c>
      <c r="E19" s="33" t="n">
        <f aca="false">IF(D19="totale",(C19/(A19*24))/F19,IF(D19="marché libre",(C19/(A19*24))/G19,"spécifier histo"))</f>
        <v>0.032158938172043</v>
      </c>
      <c r="F19" s="59" t="n">
        <v>1600</v>
      </c>
      <c r="G19" s="59" t="n">
        <v>1200</v>
      </c>
      <c r="H19" s="59" t="n">
        <v>400</v>
      </c>
      <c r="I19" s="9"/>
      <c r="J19" s="205"/>
      <c r="K19" s="206"/>
    </row>
    <row r="20" customFormat="false" ht="20.5" hidden="false" customHeight="true" outlineLevel="0" collapsed="false">
      <c r="A20" s="0" t="n">
        <v>30</v>
      </c>
      <c r="B20" s="31" t="n">
        <v>41214</v>
      </c>
      <c r="C20" s="15" t="n">
        <v>152968</v>
      </c>
      <c r="D20" s="1" t="s">
        <v>41</v>
      </c>
      <c r="E20" s="33" t="n">
        <f aca="false">IF(D20="totale",(C20/(A20*24))/F20,IF(D20="marché libre",(C20/(A20*24))/G20,"spécifier histo"))</f>
        <v>0.132784722222222</v>
      </c>
      <c r="F20" s="59" t="n">
        <v>1600</v>
      </c>
      <c r="G20" s="59" t="n">
        <v>1200</v>
      </c>
      <c r="H20" s="59" t="n">
        <v>400</v>
      </c>
      <c r="I20" s="9"/>
      <c r="J20" s="0"/>
      <c r="K20" s="0"/>
      <c r="L20" s="0"/>
      <c r="M20" s="0"/>
      <c r="N20" s="0"/>
      <c r="O20" s="0"/>
      <c r="P20" s="0"/>
      <c r="Q20" s="0"/>
      <c r="R20" s="0"/>
      <c r="S20" s="0"/>
      <c r="T20" s="0"/>
      <c r="U20" s="0"/>
      <c r="V20" s="0"/>
    </row>
    <row r="21" customFormat="false" ht="20.5" hidden="false" customHeight="true" outlineLevel="0" collapsed="false">
      <c r="A21" s="0" t="n">
        <v>31</v>
      </c>
      <c r="B21" s="34" t="n">
        <v>41244</v>
      </c>
      <c r="C21" s="15" t="n">
        <v>270956</v>
      </c>
      <c r="D21" s="1" t="s">
        <v>41</v>
      </c>
      <c r="E21" s="33" t="n">
        <f aca="false">IF(D21="totale",(C21/(A21*24))/F21,IF(D21="marché libre",(C21/(A21*24))/G21,"spécifier histo"))</f>
        <v>0.227617607526882</v>
      </c>
      <c r="F21" s="59" t="n">
        <v>1600</v>
      </c>
      <c r="G21" s="59" t="n">
        <v>1200</v>
      </c>
      <c r="H21" s="59" t="n">
        <v>400</v>
      </c>
      <c r="I21" s="9"/>
      <c r="J21" s="0"/>
      <c r="K21" s="0"/>
      <c r="L21" s="0"/>
      <c r="M21" s="0"/>
      <c r="N21" s="0"/>
      <c r="O21" s="0"/>
      <c r="P21" s="0"/>
      <c r="Q21" s="0"/>
      <c r="R21" s="0"/>
      <c r="S21" s="0"/>
      <c r="T21" s="0"/>
      <c r="U21" s="0"/>
      <c r="V21" s="0"/>
    </row>
    <row r="22" customFormat="false" ht="20.5" hidden="false" customHeight="true" outlineLevel="0" collapsed="false">
      <c r="A22" s="0" t="n">
        <v>31</v>
      </c>
      <c r="B22" s="31" t="n">
        <v>41275</v>
      </c>
      <c r="C22" s="15" t="n">
        <v>255233</v>
      </c>
      <c r="D22" s="1" t="s">
        <v>41</v>
      </c>
      <c r="E22" s="33" t="n">
        <f aca="false">IF(D22="totale",(C22/(A22*24))/F22,IF(D22="marché libre",(C22/(A22*24))/G22,"spécifier histo"))</f>
        <v>0.214409442204301</v>
      </c>
      <c r="F22" s="59" t="n">
        <v>1600</v>
      </c>
      <c r="G22" s="59" t="n">
        <v>1200</v>
      </c>
      <c r="H22" s="59" t="n">
        <v>400</v>
      </c>
      <c r="I22" s="9"/>
      <c r="J22" s="0"/>
      <c r="K22" s="0"/>
      <c r="L22" s="0"/>
      <c r="M22" s="0"/>
      <c r="N22" s="0"/>
      <c r="O22" s="0"/>
      <c r="P22" s="0"/>
      <c r="Q22" s="0"/>
      <c r="R22" s="0"/>
      <c r="S22" s="0"/>
      <c r="T22" s="0"/>
      <c r="U22" s="0"/>
      <c r="V22" s="0"/>
    </row>
    <row r="23" customFormat="false" ht="20.5" hidden="false" customHeight="true" outlineLevel="0" collapsed="false">
      <c r="A23" s="0" t="n">
        <v>28</v>
      </c>
      <c r="B23" s="34" t="n">
        <v>41306</v>
      </c>
      <c r="C23" s="15" t="n">
        <v>210758</v>
      </c>
      <c r="D23" s="1" t="s">
        <v>41</v>
      </c>
      <c r="E23" s="33" t="n">
        <f aca="false">IF(D23="totale",(C23/(A23*24))/F23,IF(D23="marché libre",(C23/(A23*24))/G23,"spécifier histo"))</f>
        <v>0.196017485119048</v>
      </c>
      <c r="F23" s="59" t="n">
        <v>1600</v>
      </c>
      <c r="G23" s="59" t="n">
        <v>1200</v>
      </c>
      <c r="H23" s="59" t="n">
        <v>400</v>
      </c>
      <c r="I23" s="9"/>
      <c r="J23" s="0"/>
      <c r="K23" s="0"/>
      <c r="L23" s="0"/>
      <c r="M23" s="0"/>
      <c r="N23" s="0"/>
      <c r="O23" s="0"/>
      <c r="P23" s="0"/>
      <c r="Q23" s="0"/>
      <c r="R23" s="0"/>
      <c r="S23" s="0"/>
      <c r="T23" s="0"/>
      <c r="U23" s="0"/>
      <c r="V23" s="0"/>
    </row>
    <row r="24" customFormat="false" ht="20.5" hidden="false" customHeight="true" outlineLevel="0" collapsed="false">
      <c r="A24" s="0" t="n">
        <v>31</v>
      </c>
      <c r="B24" s="31" t="n">
        <v>41334</v>
      </c>
      <c r="C24" s="15" t="n">
        <v>243971</v>
      </c>
      <c r="D24" s="1" t="s">
        <v>41</v>
      </c>
      <c r="E24" s="33" t="n">
        <f aca="false">IF(D24="totale",(C24/(A24*24))/F24,IF(D24="marché libre",(C24/(A24*24))/G24,"spécifier histo"))</f>
        <v>0.20494875672043</v>
      </c>
      <c r="F24" s="59" t="n">
        <v>1600</v>
      </c>
      <c r="G24" s="59" t="n">
        <v>1200</v>
      </c>
      <c r="H24" s="59" t="n">
        <v>400</v>
      </c>
      <c r="I24" s="9"/>
      <c r="J24" s="0"/>
      <c r="K24" s="0"/>
      <c r="L24" s="0"/>
      <c r="M24" s="0"/>
      <c r="N24" s="0"/>
      <c r="O24" s="0"/>
      <c r="P24" s="0"/>
      <c r="Q24" s="0"/>
      <c r="R24" s="0"/>
      <c r="S24" s="0"/>
      <c r="T24" s="0"/>
      <c r="U24" s="0"/>
      <c r="V24" s="0"/>
    </row>
    <row r="25" customFormat="false" ht="20.5" hidden="false" customHeight="true" outlineLevel="0" collapsed="false">
      <c r="A25" s="0" t="n">
        <v>30</v>
      </c>
      <c r="B25" s="34" t="n">
        <v>41365</v>
      </c>
      <c r="C25" s="15" t="n">
        <v>263612</v>
      </c>
      <c r="D25" s="1" t="s">
        <v>41</v>
      </c>
      <c r="E25" s="33" t="n">
        <f aca="false">IF(D25="totale",(C25/(A25*24))/F25,IF(D25="marché libre",(C25/(A25*24))/G25,"spécifier histo"))</f>
        <v>0.228829861111111</v>
      </c>
      <c r="F25" s="59" t="n">
        <v>1600</v>
      </c>
      <c r="G25" s="59" t="n">
        <v>1200</v>
      </c>
      <c r="H25" s="59" t="n">
        <v>400</v>
      </c>
      <c r="I25" s="9"/>
      <c r="J25" s="0"/>
      <c r="K25" s="0"/>
      <c r="L25" s="0"/>
      <c r="M25" s="0"/>
      <c r="N25" s="0"/>
      <c r="O25" s="0"/>
      <c r="P25" s="0"/>
      <c r="Q25" s="0"/>
      <c r="R25" s="0"/>
      <c r="S25" s="0"/>
      <c r="T25" s="0"/>
      <c r="U25" s="0"/>
      <c r="V25" s="0"/>
    </row>
    <row r="26" customFormat="false" ht="20.5" hidden="false" customHeight="true" outlineLevel="0" collapsed="false">
      <c r="A26" s="0" t="n">
        <v>31</v>
      </c>
      <c r="B26" s="31" t="n">
        <v>41395</v>
      </c>
      <c r="C26" s="15" t="n">
        <v>282071</v>
      </c>
      <c r="D26" s="1" t="s">
        <v>41</v>
      </c>
      <c r="E26" s="33" t="n">
        <f aca="false">IF(D26="totale",(C26/(A26*24))/F26,IF(D26="marché libre",(C26/(A26*24))/G26,"spécifier histo"))</f>
        <v>0.236954805107527</v>
      </c>
      <c r="F26" s="59" t="n">
        <v>1600</v>
      </c>
      <c r="G26" s="59" t="n">
        <v>1200</v>
      </c>
      <c r="H26" s="59" t="n">
        <v>400</v>
      </c>
      <c r="I26" s="9"/>
      <c r="J26" s="0"/>
      <c r="K26" s="0"/>
      <c r="L26" s="0"/>
      <c r="M26" s="0"/>
      <c r="N26" s="0"/>
      <c r="O26" s="0"/>
      <c r="P26" s="0"/>
      <c r="Q26" s="0"/>
      <c r="R26" s="0"/>
      <c r="S26" s="0"/>
      <c r="T26" s="0"/>
      <c r="U26" s="0"/>
      <c r="V26" s="0"/>
    </row>
    <row r="27" customFormat="false" ht="20.5" hidden="false" customHeight="true" outlineLevel="0" collapsed="false">
      <c r="A27" s="0" t="n">
        <v>30</v>
      </c>
      <c r="B27" s="34" t="n">
        <v>41426</v>
      </c>
      <c r="C27" s="15" t="n">
        <v>124876</v>
      </c>
      <c r="D27" s="1" t="s">
        <v>41</v>
      </c>
      <c r="E27" s="33" t="n">
        <f aca="false">IF(D27="totale",(C27/(A27*24))/F27,IF(D27="marché libre",(C27/(A27*24))/G27,"spécifier histo"))</f>
        <v>0.108399305555556</v>
      </c>
      <c r="F27" s="59" t="n">
        <v>1600</v>
      </c>
      <c r="G27" s="59" t="n">
        <v>1200</v>
      </c>
      <c r="H27" s="59" t="n">
        <v>400</v>
      </c>
      <c r="I27" s="9"/>
      <c r="J27" s="0"/>
      <c r="K27" s="0"/>
      <c r="L27" s="0"/>
      <c r="M27" s="0"/>
      <c r="N27" s="0"/>
      <c r="O27" s="0"/>
      <c r="P27" s="0"/>
      <c r="Q27" s="0"/>
      <c r="R27" s="0"/>
      <c r="S27" s="0"/>
      <c r="T27" s="0"/>
      <c r="U27" s="0"/>
      <c r="V27" s="0"/>
    </row>
    <row r="28" customFormat="false" ht="20.5" hidden="false" customHeight="true" outlineLevel="0" collapsed="false">
      <c r="A28" s="0" t="n">
        <v>31</v>
      </c>
      <c r="B28" s="31" t="n">
        <v>41456</v>
      </c>
      <c r="C28" s="15" t="n">
        <v>23404</v>
      </c>
      <c r="D28" s="1" t="s">
        <v>41</v>
      </c>
      <c r="E28" s="33" t="n">
        <f aca="false">IF(D28="totale",(C28/(A28*24))/F28,IF(D28="marché libre",(C28/(A28*24))/G28,"spécifier histo"))</f>
        <v>0.0196606182795699</v>
      </c>
      <c r="F28" s="59" t="n">
        <v>1600</v>
      </c>
      <c r="G28" s="59" t="n">
        <v>1200</v>
      </c>
      <c r="H28" s="59" t="n">
        <v>400</v>
      </c>
      <c r="I28" s="9"/>
      <c r="J28" s="0"/>
      <c r="K28" s="0"/>
      <c r="L28" s="0"/>
      <c r="M28" s="0"/>
      <c r="N28" s="0"/>
      <c r="O28" s="0"/>
      <c r="P28" s="0"/>
      <c r="Q28" s="0"/>
      <c r="R28" s="0"/>
      <c r="S28" s="0"/>
      <c r="T28" s="0"/>
      <c r="U28" s="0"/>
      <c r="V28" s="0"/>
    </row>
    <row r="29" customFormat="false" ht="20.5" hidden="false" customHeight="true" outlineLevel="0" collapsed="false">
      <c r="A29" s="0" t="n">
        <v>31</v>
      </c>
      <c r="B29" s="34" t="n">
        <v>41487</v>
      </c>
      <c r="C29" s="15" t="n">
        <v>25560</v>
      </c>
      <c r="D29" s="1" t="s">
        <v>41</v>
      </c>
      <c r="E29" s="33" t="n">
        <f aca="false">IF(D29="totale",(C29/(A29*24))/F29,IF(D29="marché libre",(C29/(A29*24))/G29,"spécifier histo"))</f>
        <v>0.0214717741935484</v>
      </c>
      <c r="F29" s="59" t="n">
        <v>1600</v>
      </c>
      <c r="G29" s="59" t="n">
        <v>1200</v>
      </c>
      <c r="H29" s="59" t="n">
        <v>400</v>
      </c>
      <c r="I29" s="9"/>
    </row>
    <row r="30" customFormat="false" ht="20.5" hidden="false" customHeight="true" outlineLevel="0" collapsed="false">
      <c r="A30" s="0" t="n">
        <v>30</v>
      </c>
      <c r="B30" s="31" t="n">
        <v>41518</v>
      </c>
      <c r="C30" s="15" t="n">
        <v>27648</v>
      </c>
      <c r="D30" s="1" t="s">
        <v>41</v>
      </c>
      <c r="E30" s="33" t="n">
        <f aca="false">IF(D30="totale",(C30/(A30*24))/F30,IF(D30="marché libre",(C30/(A30*24))/G30,"spécifier histo"))</f>
        <v>0.024</v>
      </c>
      <c r="F30" s="59" t="n">
        <v>1600</v>
      </c>
      <c r="G30" s="59" t="n">
        <v>1200</v>
      </c>
      <c r="H30" s="59" t="n">
        <v>400</v>
      </c>
      <c r="I30" s="9"/>
      <c r="L30" s="0"/>
      <c r="M30" s="0"/>
      <c r="N30" s="0"/>
      <c r="O30" s="0"/>
      <c r="P30" s="0"/>
      <c r="Q30" s="0"/>
      <c r="R30" s="0"/>
      <c r="S30" s="0"/>
      <c r="T30" s="0"/>
      <c r="U30" s="0"/>
      <c r="V30" s="0"/>
    </row>
    <row r="31" customFormat="false" ht="20.5" hidden="false" customHeight="true" outlineLevel="0" collapsed="false">
      <c r="A31" s="0" t="n">
        <v>31</v>
      </c>
      <c r="B31" s="34" t="n">
        <v>41548</v>
      </c>
      <c r="C31" s="15" t="n">
        <v>161822</v>
      </c>
      <c r="D31" s="1" t="s">
        <v>41</v>
      </c>
      <c r="E31" s="33" t="n">
        <f aca="false">IF(D31="totale",(C31/(A31*24))/F31,IF(D31="marché libre",(C31/(A31*24))/G31,"spécifier histo"))</f>
        <v>0.135939180107527</v>
      </c>
      <c r="F31" s="59" t="n">
        <v>1600</v>
      </c>
      <c r="G31" s="59" t="n">
        <v>1200</v>
      </c>
      <c r="H31" s="59" t="n">
        <v>400</v>
      </c>
      <c r="I31" s="9"/>
      <c r="L31" s="0"/>
      <c r="M31" s="0"/>
      <c r="N31" s="0"/>
      <c r="O31" s="0"/>
      <c r="P31" s="0"/>
      <c r="Q31" s="0"/>
      <c r="R31" s="0"/>
      <c r="S31" s="0"/>
      <c r="T31" s="0"/>
      <c r="U31" s="0"/>
      <c r="V31" s="0"/>
    </row>
    <row r="32" customFormat="false" ht="20.5" hidden="false" customHeight="true" outlineLevel="0" collapsed="false">
      <c r="A32" s="0" t="n">
        <v>30</v>
      </c>
      <c r="B32" s="31" t="n">
        <v>41579</v>
      </c>
      <c r="C32" s="15" t="n">
        <v>236547</v>
      </c>
      <c r="D32" s="1" t="s">
        <v>41</v>
      </c>
      <c r="E32" s="33" t="n">
        <f aca="false">IF(D32="totale",(C32/(A32*24))/F32,IF(D32="marché libre",(C32/(A32*24))/G32,"spécifier histo"))</f>
        <v>0.2053359375</v>
      </c>
      <c r="F32" s="59" t="n">
        <v>1600</v>
      </c>
      <c r="G32" s="59" t="n">
        <v>1200</v>
      </c>
      <c r="H32" s="59" t="n">
        <v>400</v>
      </c>
      <c r="I32" s="9"/>
      <c r="L32" s="0"/>
      <c r="M32" s="0"/>
      <c r="N32" s="0"/>
      <c r="O32" s="0"/>
      <c r="P32" s="0"/>
      <c r="Q32" s="0"/>
      <c r="R32" s="0"/>
      <c r="S32" s="0"/>
      <c r="T32" s="0"/>
      <c r="U32" s="0"/>
      <c r="V32" s="0"/>
    </row>
    <row r="33" customFormat="false" ht="20.5" hidden="false" customHeight="true" outlineLevel="0" collapsed="false">
      <c r="A33" s="0" t="n">
        <v>31</v>
      </c>
      <c r="B33" s="34" t="n">
        <v>41609</v>
      </c>
      <c r="C33" s="15" t="n">
        <v>173409</v>
      </c>
      <c r="D33" s="1" t="s">
        <v>41</v>
      </c>
      <c r="E33" s="33" t="n">
        <f aca="false">IF(D33="totale",(C33/(A33*24))/F33,IF(D33="marché libre",(C33/(A33*24))/G33,"spécifier histo"))</f>
        <v>0.145672883064516</v>
      </c>
      <c r="F33" s="59" t="n">
        <v>1600</v>
      </c>
      <c r="G33" s="59" t="n">
        <v>1200</v>
      </c>
      <c r="H33" s="59" t="n">
        <v>400</v>
      </c>
      <c r="I33" s="9"/>
      <c r="L33" s="0"/>
      <c r="M33" s="0"/>
      <c r="N33" s="0"/>
      <c r="O33" s="0"/>
      <c r="P33" s="0"/>
      <c r="Q33" s="0"/>
      <c r="R33" s="0"/>
      <c r="S33" s="0"/>
      <c r="T33" s="0"/>
      <c r="U33" s="0"/>
      <c r="V33" s="0"/>
    </row>
    <row r="34" customFormat="false" ht="20.5" hidden="false" customHeight="true" outlineLevel="0" collapsed="false">
      <c r="A34" s="0" t="n">
        <v>31</v>
      </c>
      <c r="B34" s="31" t="n">
        <v>41640</v>
      </c>
      <c r="C34" s="15" t="n">
        <v>295099</v>
      </c>
      <c r="D34" s="1" t="s">
        <v>41</v>
      </c>
      <c r="E34" s="33" t="n">
        <f aca="false">IF(D34="totale",(C34/(A34*24))/F34,IF(D34="marché libre",(C34/(A34*24))/G34,"spécifier histo"))</f>
        <v>0.247899025537634</v>
      </c>
      <c r="F34" s="59" t="n">
        <v>1600</v>
      </c>
      <c r="G34" s="59" t="n">
        <v>1200</v>
      </c>
      <c r="H34" s="59" t="n">
        <v>400</v>
      </c>
      <c r="I34" s="9"/>
      <c r="L34" s="0"/>
      <c r="M34" s="0"/>
      <c r="N34" s="0"/>
      <c r="O34" s="0"/>
      <c r="P34" s="0"/>
      <c r="Q34" s="0"/>
      <c r="R34" s="0"/>
      <c r="S34" s="0"/>
      <c r="T34" s="0"/>
      <c r="U34" s="0"/>
      <c r="V34" s="0"/>
    </row>
    <row r="35" customFormat="false" ht="20.5" hidden="false" customHeight="true" outlineLevel="0" collapsed="false">
      <c r="A35" s="0" t="n">
        <v>28</v>
      </c>
      <c r="B35" s="34" t="n">
        <v>41671</v>
      </c>
      <c r="C35" s="15" t="n">
        <v>267786</v>
      </c>
      <c r="D35" s="1" t="s">
        <v>41</v>
      </c>
      <c r="E35" s="33" t="n">
        <f aca="false">IF(D35="totale",(C35/(A35*24))/F35,IF(D35="marché libre",(C35/(A35*24))/G35,"spécifier histo"))</f>
        <v>0.249056919642857</v>
      </c>
      <c r="F35" s="59" t="n">
        <v>1600</v>
      </c>
      <c r="G35" s="59" t="n">
        <v>1200</v>
      </c>
      <c r="H35" s="59" t="n">
        <v>400</v>
      </c>
      <c r="I35" s="9"/>
      <c r="L35" s="0"/>
      <c r="M35" s="0"/>
      <c r="N35" s="0"/>
      <c r="O35" s="0"/>
      <c r="P35" s="0"/>
      <c r="Q35" s="0"/>
      <c r="R35" s="0"/>
      <c r="S35" s="0"/>
      <c r="T35" s="0"/>
      <c r="U35" s="0"/>
      <c r="V35" s="0"/>
    </row>
    <row r="36" customFormat="false" ht="20.5" hidden="false" customHeight="true" outlineLevel="0" collapsed="false">
      <c r="A36" s="0" t="n">
        <v>31</v>
      </c>
      <c r="B36" s="31" t="n">
        <v>41699</v>
      </c>
      <c r="C36" s="15" t="n">
        <v>287653</v>
      </c>
      <c r="D36" s="1" t="s">
        <v>41</v>
      </c>
      <c r="E36" s="33" t="n">
        <f aca="false">IF(D36="totale",(C36/(A36*24))/F36,IF(D36="marché libre",(C36/(A36*24))/G36,"spécifier histo"))</f>
        <v>0.241643985215054</v>
      </c>
      <c r="F36" s="59" t="n">
        <v>1600</v>
      </c>
      <c r="G36" s="59" t="n">
        <v>1200</v>
      </c>
      <c r="H36" s="59" t="n">
        <v>400</v>
      </c>
      <c r="I36" s="9"/>
      <c r="L36" s="0"/>
      <c r="M36" s="0"/>
      <c r="N36" s="0"/>
      <c r="O36" s="0"/>
      <c r="P36" s="0"/>
      <c r="Q36" s="0"/>
      <c r="R36" s="0"/>
      <c r="S36" s="0"/>
      <c r="T36" s="0"/>
      <c r="U36" s="0"/>
      <c r="V36" s="0"/>
    </row>
    <row r="37" customFormat="false" ht="20.5" hidden="false" customHeight="true" outlineLevel="0" collapsed="false">
      <c r="A37" s="0" t="n">
        <v>30</v>
      </c>
      <c r="B37" s="34" t="n">
        <v>41730</v>
      </c>
      <c r="C37" s="15" t="n">
        <v>198283.83</v>
      </c>
      <c r="D37" s="1" t="s">
        <v>41</v>
      </c>
      <c r="E37" s="33" t="n">
        <f aca="false">IF(D37="totale",(C37/(A37*24))/F37,IF(D37="marché libre",(C37/(A37*24))/G37,"spécifier histo"))</f>
        <v>0.172121380208333</v>
      </c>
      <c r="F37" s="59" t="n">
        <v>1600</v>
      </c>
      <c r="G37" s="59" t="n">
        <v>1200</v>
      </c>
      <c r="H37" s="59" t="n">
        <v>400</v>
      </c>
      <c r="I37" s="9"/>
      <c r="L37" s="0"/>
      <c r="M37" s="0"/>
      <c r="N37" s="0"/>
      <c r="O37" s="0"/>
      <c r="P37" s="0"/>
      <c r="Q37" s="0"/>
      <c r="R37" s="0"/>
      <c r="S37" s="0"/>
      <c r="T37" s="0"/>
      <c r="U37" s="0"/>
      <c r="V37" s="0"/>
    </row>
    <row r="38" customFormat="false" ht="20.5" hidden="false" customHeight="true" outlineLevel="0" collapsed="false">
      <c r="A38" s="0" t="n">
        <v>31</v>
      </c>
      <c r="B38" s="31" t="n">
        <v>41760</v>
      </c>
      <c r="C38" s="15" t="n">
        <v>140279</v>
      </c>
      <c r="D38" s="1" t="s">
        <v>41</v>
      </c>
      <c r="E38" s="33" t="n">
        <f aca="false">IF(D38="totale",(C38/(A38*24))/F38,IF(D38="marché libre",(C38/(A38*24))/G38,"spécifier histo"))</f>
        <v>0.11784190188172</v>
      </c>
      <c r="F38" s="59" t="n">
        <v>1600</v>
      </c>
      <c r="G38" s="59" t="n">
        <v>1200</v>
      </c>
      <c r="H38" s="59" t="n">
        <v>400</v>
      </c>
      <c r="I38" s="9"/>
      <c r="L38" s="0"/>
      <c r="M38" s="0"/>
      <c r="N38" s="0"/>
      <c r="O38" s="0"/>
      <c r="P38" s="0"/>
      <c r="Q38" s="0"/>
      <c r="R38" s="0"/>
      <c r="S38" s="0"/>
      <c r="T38" s="0"/>
      <c r="U38" s="0"/>
      <c r="V38" s="0"/>
    </row>
    <row r="39" customFormat="false" ht="20.5" hidden="false" customHeight="true" outlineLevel="0" collapsed="false">
      <c r="A39" s="0" t="n">
        <v>30</v>
      </c>
      <c r="B39" s="34" t="n">
        <v>41791</v>
      </c>
      <c r="C39" s="15"/>
      <c r="D39" s="1" t="s">
        <v>41</v>
      </c>
      <c r="E39" s="33" t="n">
        <f aca="false">IF(D39="totale",(C39/(A39*24))/F39,IF(D39="marché libre",(C39/(A39*24))/G39,"spécifier histo"))</f>
        <v>0</v>
      </c>
      <c r="F39" s="59" t="n">
        <v>1600</v>
      </c>
      <c r="G39" s="59" t="n">
        <v>1200</v>
      </c>
      <c r="H39" s="59" t="n">
        <v>400</v>
      </c>
      <c r="I39" s="9"/>
      <c r="L39" s="0"/>
      <c r="M39" s="0"/>
      <c r="N39" s="0"/>
      <c r="O39" s="0"/>
      <c r="P39" s="0"/>
      <c r="Q39" s="0"/>
      <c r="R39" s="0"/>
      <c r="S39" s="0"/>
      <c r="T39" s="0"/>
      <c r="U39" s="0"/>
      <c r="V39" s="0"/>
    </row>
    <row r="40" customFormat="false" ht="20.5" hidden="false" customHeight="true" outlineLevel="0" collapsed="false">
      <c r="A40" s="0" t="n">
        <v>31</v>
      </c>
      <c r="B40" s="31" t="n">
        <v>41821</v>
      </c>
      <c r="C40" s="15"/>
      <c r="D40" s="1" t="s">
        <v>41</v>
      </c>
      <c r="E40" s="33" t="n">
        <f aca="false">IF(D40="totale",(C40/(A40*24))/F40,IF(D40="marché libre",(C40/(A40*24))/G40,"spécifier histo"))</f>
        <v>0</v>
      </c>
      <c r="F40" s="59" t="n">
        <v>1600</v>
      </c>
      <c r="G40" s="59" t="n">
        <v>1200</v>
      </c>
      <c r="H40" s="59" t="n">
        <v>400</v>
      </c>
      <c r="I40" s="9"/>
      <c r="L40" s="0"/>
      <c r="M40" s="0"/>
      <c r="N40" s="0"/>
      <c r="O40" s="0"/>
      <c r="P40" s="0"/>
      <c r="Q40" s="0"/>
      <c r="R40" s="0"/>
      <c r="S40" s="0"/>
      <c r="T40" s="0"/>
      <c r="U40" s="0"/>
      <c r="V40" s="0"/>
    </row>
    <row r="41" customFormat="false" ht="20.5" hidden="false" customHeight="true" outlineLevel="0" collapsed="false">
      <c r="A41" s="0" t="n">
        <v>31</v>
      </c>
      <c r="B41" s="34" t="n">
        <v>41852</v>
      </c>
      <c r="C41" s="15"/>
      <c r="D41" s="1" t="s">
        <v>41</v>
      </c>
      <c r="E41" s="33" t="n">
        <f aca="false">IF(D41="totale",(C41/(A41*24))/F41,IF(D41="marché libre",(C41/(A41*24))/G41,"spécifier histo"))</f>
        <v>0</v>
      </c>
      <c r="F41" s="59" t="n">
        <v>1600</v>
      </c>
      <c r="G41" s="59" t="n">
        <v>1200</v>
      </c>
      <c r="H41" s="59" t="n">
        <v>400</v>
      </c>
      <c r="I41" s="9"/>
      <c r="L41" s="0"/>
      <c r="M41" s="0"/>
      <c r="N41" s="0"/>
      <c r="O41" s="0"/>
      <c r="P41" s="0"/>
      <c r="Q41" s="0"/>
      <c r="R41" s="0"/>
      <c r="S41" s="0"/>
      <c r="T41" s="0"/>
      <c r="U41" s="0"/>
      <c r="V41" s="0"/>
    </row>
    <row r="42" customFormat="false" ht="20.5" hidden="false" customHeight="true" outlineLevel="0" collapsed="false">
      <c r="A42" s="0" t="n">
        <v>30</v>
      </c>
      <c r="B42" s="31" t="n">
        <v>41883</v>
      </c>
      <c r="C42" s="15"/>
      <c r="D42" s="1" t="s">
        <v>41</v>
      </c>
      <c r="E42" s="33" t="n">
        <f aca="false">IF(D42="totale",(C42/(A42*24))/F42,IF(D42="marché libre",(C42/(A42*24))/G42,"spécifier histo"))</f>
        <v>0</v>
      </c>
      <c r="F42" s="59" t="n">
        <v>1600</v>
      </c>
      <c r="G42" s="59" t="n">
        <v>1200</v>
      </c>
      <c r="H42" s="59" t="n">
        <v>400</v>
      </c>
      <c r="I42" s="9"/>
      <c r="J42" s="205"/>
      <c r="K42" s="206"/>
      <c r="L42" s="0"/>
      <c r="Q42" s="0"/>
      <c r="T42" s="0"/>
    </row>
    <row r="43" customFormat="false" ht="20.5" hidden="false" customHeight="true" outlineLevel="0" collapsed="false">
      <c r="A43" s="0" t="n">
        <v>31</v>
      </c>
      <c r="B43" s="34" t="n">
        <v>41913</v>
      </c>
      <c r="C43" s="15"/>
      <c r="D43" s="1" t="s">
        <v>41</v>
      </c>
      <c r="E43" s="33" t="n">
        <f aca="false">IF(D43="totale",(C43/(A43*24))/F43,IF(D43="marché libre",(C43/(A43*24))/G43,"spécifier histo"))</f>
        <v>0</v>
      </c>
      <c r="F43" s="59" t="n">
        <v>1600</v>
      </c>
      <c r="G43" s="59" t="n">
        <v>1200</v>
      </c>
      <c r="H43" s="59" t="n">
        <v>400</v>
      </c>
      <c r="I43" s="9"/>
      <c r="J43" s="205"/>
      <c r="K43" s="206"/>
      <c r="L43" s="0"/>
      <c r="Q43" s="0"/>
      <c r="T43" s="0"/>
    </row>
    <row r="44" customFormat="false" ht="20.5" hidden="false" customHeight="true" outlineLevel="0" collapsed="false">
      <c r="A44" s="0" t="n">
        <v>30</v>
      </c>
      <c r="B44" s="31" t="n">
        <v>41944</v>
      </c>
      <c r="C44" s="15"/>
      <c r="D44" s="1" t="s">
        <v>41</v>
      </c>
      <c r="E44" s="33" t="n">
        <f aca="false">IF(D44="totale",(C44/(A44*24))/F44,IF(D44="marché libre",(C44/(A44*24))/G44,"spécifier histo"))</f>
        <v>0</v>
      </c>
      <c r="F44" s="59" t="n">
        <v>1600</v>
      </c>
      <c r="G44" s="59" t="n">
        <v>1200</v>
      </c>
      <c r="H44" s="59" t="n">
        <v>400</v>
      </c>
      <c r="I44" s="9"/>
      <c r="J44" s="205"/>
      <c r="K44" s="206"/>
      <c r="L44" s="0"/>
      <c r="Q44" s="0"/>
      <c r="T44" s="0"/>
    </row>
    <row r="45" customFormat="false" ht="20.5" hidden="false" customHeight="true" outlineLevel="0" collapsed="false">
      <c r="A45" s="0" t="n">
        <v>31</v>
      </c>
      <c r="B45" s="34" t="n">
        <v>41974</v>
      </c>
      <c r="C45" s="15"/>
      <c r="D45" s="1" t="s">
        <v>41</v>
      </c>
      <c r="E45" s="33" t="n">
        <f aca="false">IF(D45="totale",(C45/(A45*24))/F45,IF(D45="marché libre",(C45/(A45*24))/G45,"spécifier histo"))</f>
        <v>0</v>
      </c>
      <c r="F45" s="59" t="n">
        <v>1600</v>
      </c>
      <c r="G45" s="59" t="n">
        <v>1200</v>
      </c>
      <c r="H45" s="59" t="n">
        <v>400</v>
      </c>
      <c r="I45" s="9"/>
      <c r="J45" s="205"/>
      <c r="K45" s="206"/>
      <c r="L45" s="0"/>
      <c r="Q45" s="0"/>
      <c r="T45" s="0"/>
    </row>
    <row r="46" customFormat="false" ht="15.75" hidden="false" customHeight="true" outlineLevel="0" collapsed="false">
      <c r="A46" s="0" t="n">
        <v>31</v>
      </c>
      <c r="B46" s="31" t="n">
        <v>42005</v>
      </c>
      <c r="C46" s="15" t="n">
        <v>0</v>
      </c>
      <c r="D46" s="1" t="s">
        <v>42</v>
      </c>
      <c r="E46" s="33" t="n">
        <f aca="false">IF(D46="totale",(C46/(A46*24))/F46,IF(D46="marché libre",(C46/(A46*24))/G46,"spécifier histo"))</f>
        <v>0</v>
      </c>
      <c r="F46" s="59" t="n">
        <v>1600</v>
      </c>
      <c r="G46" s="59" t="n">
        <v>1200</v>
      </c>
      <c r="H46" s="59" t="n">
        <v>400</v>
      </c>
      <c r="I46" s="9"/>
      <c r="J46" s="205"/>
      <c r="K46" s="206"/>
      <c r="L46" s="0"/>
      <c r="Q46" s="0"/>
      <c r="T46" s="0"/>
    </row>
    <row r="47" customFormat="false" ht="15.75" hidden="false" customHeight="true" outlineLevel="0" collapsed="false">
      <c r="A47" s="0" t="n">
        <v>28</v>
      </c>
      <c r="B47" s="34" t="n">
        <v>42036</v>
      </c>
      <c r="C47" s="15" t="n">
        <v>286</v>
      </c>
      <c r="D47" s="1" t="s">
        <v>42</v>
      </c>
      <c r="E47" s="33" t="n">
        <f aca="false">IF(D47="totale",(C47/(A47*24))/F47,IF(D47="marché libre",(C47/(A47*24))/G47,"spécifier histo"))</f>
        <v>0.000354662698412698</v>
      </c>
      <c r="F47" s="59" t="n">
        <v>1600</v>
      </c>
      <c r="G47" s="59" t="n">
        <v>1200</v>
      </c>
      <c r="H47" s="59" t="n">
        <v>400</v>
      </c>
      <c r="I47" s="9"/>
      <c r="J47" s="205"/>
      <c r="K47" s="206"/>
      <c r="L47" s="0"/>
      <c r="Q47" s="0"/>
      <c r="T47" s="0"/>
    </row>
    <row r="48" customFormat="false" ht="15.75" hidden="false" customHeight="true" outlineLevel="0" collapsed="false">
      <c r="A48" s="0" t="n">
        <v>31</v>
      </c>
      <c r="B48" s="31" t="n">
        <v>42064</v>
      </c>
      <c r="C48" s="15" t="n">
        <v>1504</v>
      </c>
      <c r="D48" s="1" t="s">
        <v>42</v>
      </c>
      <c r="E48" s="33" t="n">
        <f aca="false">IF(D48="totale",(C48/(A48*24))/F48,IF(D48="marché libre",(C48/(A48*24))/G48,"spécifier histo"))</f>
        <v>0.00168458781362007</v>
      </c>
      <c r="F48" s="59" t="n">
        <v>1600</v>
      </c>
      <c r="G48" s="59" t="n">
        <v>1200</v>
      </c>
      <c r="H48" s="59" t="n">
        <v>400</v>
      </c>
      <c r="I48" s="9"/>
      <c r="J48" s="0"/>
      <c r="K48" s="0"/>
      <c r="L48" s="0"/>
      <c r="M48" s="0"/>
      <c r="N48" s="0"/>
      <c r="O48" s="0"/>
      <c r="P48" s="0"/>
      <c r="Q48" s="0"/>
      <c r="R48" s="0"/>
      <c r="S48" s="0"/>
      <c r="T48" s="0"/>
      <c r="U48" s="0"/>
      <c r="V48" s="0"/>
      <c r="W48" s="0"/>
      <c r="X48" s="0"/>
      <c r="Y48" s="0"/>
      <c r="Z48" s="0"/>
      <c r="AA48" s="0"/>
    </row>
    <row r="49" customFormat="false" ht="15.75" hidden="false" customHeight="true" outlineLevel="0" collapsed="false">
      <c r="A49" s="0" t="n">
        <v>30</v>
      </c>
      <c r="B49" s="31" t="n">
        <v>42095</v>
      </c>
      <c r="C49" s="15" t="n">
        <v>0</v>
      </c>
      <c r="D49" s="1" t="s">
        <v>42</v>
      </c>
      <c r="E49" s="33" t="n">
        <f aca="false">IF(D49="totale",(C49/(A49*24))/F49,IF(D49="marché libre",(C49/(A49*24))/G49,"spécifier histo"))</f>
        <v>0</v>
      </c>
      <c r="F49" s="59" t="n">
        <v>1600</v>
      </c>
      <c r="G49" s="59" t="n">
        <v>1200</v>
      </c>
      <c r="H49" s="59" t="n">
        <v>400</v>
      </c>
      <c r="I49" s="9"/>
      <c r="J49" s="0"/>
      <c r="K49" s="0"/>
      <c r="L49" s="0"/>
      <c r="M49" s="0"/>
      <c r="N49" s="0"/>
      <c r="O49" s="0"/>
      <c r="P49" s="0"/>
      <c r="Q49" s="0"/>
      <c r="R49" s="0"/>
      <c r="S49" s="0"/>
      <c r="T49" s="0"/>
      <c r="U49" s="0"/>
      <c r="V49" s="0"/>
      <c r="W49" s="0"/>
      <c r="X49" s="0"/>
      <c r="Y49" s="0"/>
      <c r="Z49" s="0"/>
      <c r="AA49" s="0"/>
    </row>
    <row r="50" customFormat="false" ht="15.75" hidden="false" customHeight="true" outlineLevel="0" collapsed="false">
      <c r="A50" s="0" t="n">
        <v>31</v>
      </c>
      <c r="B50" s="34" t="n">
        <v>42125</v>
      </c>
      <c r="C50" s="15" t="n">
        <v>170</v>
      </c>
      <c r="D50" s="1" t="s">
        <v>42</v>
      </c>
      <c r="E50" s="33" t="n">
        <f aca="false">IF(D50="totale",(C50/(A50*24))/F50,IF(D50="marché libre",(C50/(A50*24))/G50,"spécifier histo"))</f>
        <v>0.000190412186379928</v>
      </c>
      <c r="F50" s="59" t="n">
        <v>1600</v>
      </c>
      <c r="G50" s="59" t="n">
        <v>1200</v>
      </c>
      <c r="H50" s="59" t="n">
        <v>400</v>
      </c>
      <c r="I50" s="9"/>
      <c r="J50" s="0"/>
      <c r="K50" s="0"/>
      <c r="L50" s="0"/>
      <c r="M50" s="0"/>
      <c r="N50" s="0"/>
      <c r="O50" s="0"/>
      <c r="P50" s="0"/>
      <c r="Q50" s="0"/>
      <c r="R50" s="0"/>
      <c r="S50" s="0"/>
      <c r="T50" s="0"/>
      <c r="U50" s="0"/>
      <c r="V50" s="0"/>
      <c r="W50" s="0"/>
      <c r="X50" s="0"/>
      <c r="Y50" s="0"/>
      <c r="Z50" s="0"/>
      <c r="AA50" s="0"/>
    </row>
    <row r="51" customFormat="false" ht="15.75" hidden="false" customHeight="true" outlineLevel="0" collapsed="false">
      <c r="A51" s="0" t="n">
        <v>30</v>
      </c>
      <c r="B51" s="31" t="n">
        <v>42156</v>
      </c>
      <c r="C51" s="15" t="n">
        <v>0</v>
      </c>
      <c r="D51" s="1" t="s">
        <v>42</v>
      </c>
      <c r="E51" s="33" t="n">
        <f aca="false">IF(D51="totale",(C51/(A51*24))/F51,IF(D51="marché libre",(C51/(A51*24))/G51,"spécifier histo"))</f>
        <v>0</v>
      </c>
      <c r="F51" s="59" t="n">
        <v>1600</v>
      </c>
      <c r="G51" s="59" t="n">
        <v>1200</v>
      </c>
      <c r="H51" s="59" t="n">
        <v>400</v>
      </c>
      <c r="I51" s="9"/>
      <c r="J51" s="0"/>
      <c r="K51" s="0"/>
      <c r="L51" s="0"/>
      <c r="M51" s="0"/>
      <c r="N51" s="0"/>
      <c r="O51" s="0"/>
      <c r="P51" s="0"/>
      <c r="Q51" s="0"/>
      <c r="R51" s="0"/>
      <c r="S51" s="0"/>
      <c r="T51" s="0"/>
      <c r="U51" s="0"/>
      <c r="V51" s="0"/>
      <c r="W51" s="0"/>
      <c r="X51" s="0"/>
      <c r="Y51" s="0"/>
      <c r="Z51" s="0"/>
      <c r="AA51" s="0"/>
    </row>
    <row r="52" customFormat="false" ht="15.75" hidden="false" customHeight="true" outlineLevel="0" collapsed="false">
      <c r="A52" s="0" t="n">
        <v>31</v>
      </c>
      <c r="B52" s="31" t="n">
        <v>42186</v>
      </c>
      <c r="C52" s="15" t="n">
        <v>0</v>
      </c>
      <c r="D52" s="1" t="s">
        <v>42</v>
      </c>
      <c r="E52" s="33" t="n">
        <f aca="false">IF(D52="totale",(C52/(A52*24))/F52,IF(D52="marché libre",(C52/(A52*24))/G52,"spécifier histo"))</f>
        <v>0</v>
      </c>
      <c r="F52" s="59" t="n">
        <v>1600</v>
      </c>
      <c r="G52" s="59" t="n">
        <v>1200</v>
      </c>
      <c r="H52" s="59" t="n">
        <v>400</v>
      </c>
      <c r="I52" s="9"/>
      <c r="J52" s="0"/>
      <c r="K52" s="0"/>
      <c r="L52" s="0"/>
      <c r="M52" s="0"/>
      <c r="N52" s="0"/>
      <c r="O52" s="0"/>
      <c r="P52" s="0"/>
      <c r="Q52" s="0"/>
      <c r="R52" s="0"/>
      <c r="S52" s="0"/>
      <c r="T52" s="0"/>
      <c r="U52" s="0"/>
      <c r="V52" s="0"/>
      <c r="W52" s="0"/>
      <c r="X52" s="0"/>
      <c r="Y52" s="0"/>
      <c r="Z52" s="0"/>
      <c r="AA52" s="0"/>
    </row>
    <row r="53" customFormat="false" ht="15.75" hidden="false" customHeight="true" outlineLevel="0" collapsed="false">
      <c r="A53" s="0" t="n">
        <v>31</v>
      </c>
      <c r="B53" s="34" t="n">
        <v>42217</v>
      </c>
      <c r="C53" s="15" t="n">
        <v>0</v>
      </c>
      <c r="D53" s="1" t="s">
        <v>42</v>
      </c>
      <c r="E53" s="33" t="n">
        <f aca="false">IF(D53="totale",(C53/(A53*24))/F53,IF(D53="marché libre",(C53/(A53*24))/G53,"spécifier histo"))</f>
        <v>0</v>
      </c>
      <c r="F53" s="59" t="n">
        <v>1600</v>
      </c>
      <c r="G53" s="59" t="n">
        <v>1200</v>
      </c>
      <c r="H53" s="59" t="n">
        <v>400</v>
      </c>
      <c r="I53" s="9"/>
      <c r="J53" s="0"/>
      <c r="K53" s="0"/>
      <c r="L53" s="0"/>
      <c r="M53" s="0"/>
      <c r="N53" s="0"/>
      <c r="O53" s="0"/>
      <c r="P53" s="0"/>
      <c r="Q53" s="0"/>
      <c r="R53" s="0"/>
      <c r="S53" s="0"/>
      <c r="T53" s="0"/>
      <c r="U53" s="0"/>
      <c r="V53" s="0"/>
      <c r="W53" s="0"/>
      <c r="X53" s="0"/>
      <c r="Y53" s="0"/>
      <c r="Z53" s="0"/>
      <c r="AA53" s="0"/>
    </row>
    <row r="54" customFormat="false" ht="15.75" hidden="false" customHeight="true" outlineLevel="0" collapsed="false">
      <c r="A54" s="0" t="n">
        <v>30</v>
      </c>
      <c r="B54" s="31" t="n">
        <v>42248</v>
      </c>
      <c r="C54" s="15" t="n">
        <v>0</v>
      </c>
      <c r="D54" s="1" t="s">
        <v>42</v>
      </c>
      <c r="E54" s="33" t="n">
        <f aca="false">IF(D54="totale",(C54/(A54*24))/F54,IF(D54="marché libre",(C54/(A54*24))/G54,"spécifier histo"))</f>
        <v>0</v>
      </c>
      <c r="F54" s="59" t="n">
        <v>1600</v>
      </c>
      <c r="G54" s="59" t="n">
        <v>1200</v>
      </c>
      <c r="H54" s="59" t="n">
        <v>400</v>
      </c>
      <c r="I54" s="9"/>
      <c r="J54" s="0"/>
      <c r="K54" s="0"/>
      <c r="L54" s="0"/>
      <c r="M54" s="0"/>
      <c r="N54" s="0"/>
      <c r="O54" s="0"/>
      <c r="P54" s="0"/>
      <c r="Q54" s="0"/>
      <c r="R54" s="0"/>
      <c r="S54" s="0"/>
      <c r="T54" s="0"/>
      <c r="U54" s="0"/>
      <c r="V54" s="0"/>
      <c r="W54" s="0"/>
      <c r="X54" s="0"/>
      <c r="Y54" s="0"/>
      <c r="Z54" s="0"/>
      <c r="AA54" s="0"/>
    </row>
    <row r="55" customFormat="false" ht="15.75" hidden="false" customHeight="true" outlineLevel="0" collapsed="false">
      <c r="A55" s="0" t="n">
        <v>31</v>
      </c>
      <c r="B55" s="31" t="n">
        <v>42278</v>
      </c>
      <c r="C55" s="15" t="n">
        <v>0</v>
      </c>
      <c r="D55" s="1" t="s">
        <v>42</v>
      </c>
      <c r="E55" s="33" t="n">
        <f aca="false">IF(D55="totale",(C55/(A55*24))/F55,IF(D55="marché libre",(C55/(A55*24))/G55,"spécifier histo"))</f>
        <v>0</v>
      </c>
      <c r="F55" s="59" t="n">
        <v>1600</v>
      </c>
      <c r="G55" s="59" t="n">
        <v>1200</v>
      </c>
      <c r="H55" s="59" t="n">
        <v>400</v>
      </c>
      <c r="I55" s="9"/>
      <c r="J55" s="0"/>
      <c r="K55" s="0"/>
      <c r="L55" s="0"/>
      <c r="M55" s="0"/>
      <c r="N55" s="0"/>
      <c r="O55" s="0"/>
      <c r="P55" s="0"/>
      <c r="Q55" s="0"/>
      <c r="R55" s="0"/>
      <c r="S55" s="0"/>
      <c r="T55" s="0"/>
      <c r="U55" s="0"/>
      <c r="V55" s="0"/>
      <c r="W55" s="0"/>
      <c r="X55" s="0"/>
      <c r="Y55" s="0"/>
      <c r="Z55" s="0"/>
      <c r="AA55" s="292"/>
    </row>
    <row r="56" customFormat="false" ht="15.75" hidden="false" customHeight="true" outlineLevel="0" collapsed="false">
      <c r="A56" s="0" t="n">
        <v>30</v>
      </c>
      <c r="B56" s="34" t="n">
        <v>42309</v>
      </c>
      <c r="C56" s="15" t="n">
        <v>0</v>
      </c>
      <c r="D56" s="1" t="s">
        <v>42</v>
      </c>
      <c r="E56" s="33" t="n">
        <f aca="false">IF(D56="totale",(C56/(A56*24))/F56,IF(D56="marché libre",(C56/(A56*24))/G56,"spécifier histo"))</f>
        <v>0</v>
      </c>
      <c r="F56" s="59" t="n">
        <v>1600</v>
      </c>
      <c r="G56" s="59" t="n">
        <v>1200</v>
      </c>
      <c r="H56" s="59" t="n">
        <v>400</v>
      </c>
      <c r="I56" s="9"/>
      <c r="J56" s="0"/>
      <c r="K56" s="0"/>
      <c r="L56" s="0"/>
      <c r="M56" s="0"/>
      <c r="N56" s="0"/>
      <c r="O56" s="0"/>
      <c r="P56" s="0"/>
      <c r="Q56" s="0"/>
      <c r="R56" s="0"/>
      <c r="S56" s="0"/>
      <c r="T56" s="0"/>
      <c r="U56" s="0"/>
      <c r="V56" s="0"/>
      <c r="W56" s="0"/>
      <c r="X56" s="0"/>
      <c r="Y56" s="0"/>
      <c r="Z56" s="0"/>
      <c r="AA56" s="292"/>
    </row>
    <row r="57" customFormat="false" ht="15.75" hidden="false" customHeight="true" outlineLevel="0" collapsed="false">
      <c r="A57" s="0" t="n">
        <v>31</v>
      </c>
      <c r="B57" s="31" t="n">
        <v>42339</v>
      </c>
      <c r="C57" s="15" t="n">
        <v>0</v>
      </c>
      <c r="D57" s="1" t="s">
        <v>42</v>
      </c>
      <c r="E57" s="33" t="n">
        <f aca="false">IF(D57="totale",(C57/(A57*24))/F57,IF(D57="marché libre",(C57/(A57*24))/G57,"spécifier histo"))</f>
        <v>0</v>
      </c>
      <c r="F57" s="59" t="n">
        <v>1600</v>
      </c>
      <c r="G57" s="59" t="n">
        <v>1200</v>
      </c>
      <c r="H57" s="59" t="n">
        <v>400</v>
      </c>
      <c r="I57" s="9"/>
      <c r="J57" s="0"/>
      <c r="K57" s="0"/>
      <c r="L57" s="0"/>
      <c r="M57" s="0"/>
      <c r="N57" s="0"/>
      <c r="O57" s="0"/>
      <c r="P57" s="0"/>
      <c r="Q57" s="0"/>
      <c r="R57" s="0"/>
      <c r="S57" s="0"/>
      <c r="T57" s="0"/>
      <c r="U57" s="0"/>
      <c r="V57" s="0"/>
      <c r="W57" s="0"/>
      <c r="X57" s="0"/>
      <c r="Y57" s="0"/>
      <c r="Z57" s="0"/>
      <c r="AA57" s="292"/>
    </row>
    <row r="58" customFormat="false" ht="15.75" hidden="false" customHeight="true" outlineLevel="0" collapsed="false">
      <c r="A58" s="0" t="n">
        <v>31</v>
      </c>
      <c r="B58" s="31" t="n">
        <v>42370</v>
      </c>
      <c r="C58" s="15" t="n">
        <v>12936</v>
      </c>
      <c r="D58" s="1" t="s">
        <v>42</v>
      </c>
      <c r="E58" s="33" t="n">
        <f aca="false">IF(D58="totale",(C58/(A58*24))/F58,IF(D58="marché libre",(C58/(A58*24))/G58,"spécifier histo"))</f>
        <v>0.014489247311828</v>
      </c>
      <c r="F58" s="59" t="n">
        <v>1600</v>
      </c>
      <c r="G58" s="59" t="n">
        <v>1200</v>
      </c>
      <c r="H58" s="59" t="n">
        <v>400</v>
      </c>
      <c r="I58" s="9"/>
      <c r="J58" s="0"/>
      <c r="K58" s="0"/>
      <c r="L58" s="0"/>
      <c r="M58" s="0"/>
      <c r="N58" s="0"/>
      <c r="O58" s="0"/>
      <c r="P58" s="0"/>
      <c r="Q58" s="0"/>
      <c r="R58" s="0"/>
      <c r="S58" s="0"/>
      <c r="T58" s="0"/>
      <c r="U58" s="0"/>
      <c r="V58" s="0"/>
      <c r="W58" s="0"/>
      <c r="X58" s="0"/>
      <c r="Y58" s="0"/>
      <c r="Z58" s="0"/>
      <c r="AA58" s="292"/>
    </row>
    <row r="59" customFormat="false" ht="15.75" hidden="false" customHeight="true" outlineLevel="0" collapsed="false">
      <c r="A59" s="0" t="n">
        <v>28</v>
      </c>
      <c r="B59" s="34" t="n">
        <v>42401</v>
      </c>
      <c r="C59" s="15" t="n">
        <v>242428</v>
      </c>
      <c r="D59" s="1" t="s">
        <v>42</v>
      </c>
      <c r="E59" s="33" t="n">
        <f aca="false">IF(D59="totale",(C59/(A59*24))/F59,IF(D59="marché libre",(C59/(A59*24))/G59,"spécifier histo"))</f>
        <v>0.30062996031746</v>
      </c>
      <c r="F59" s="59" t="n">
        <v>1600</v>
      </c>
      <c r="G59" s="59" t="n">
        <v>1200</v>
      </c>
      <c r="H59" s="59" t="n">
        <v>400</v>
      </c>
      <c r="I59" s="9"/>
      <c r="J59" s="0"/>
      <c r="K59" s="0"/>
      <c r="L59" s="0"/>
      <c r="M59" s="0"/>
      <c r="N59" s="0"/>
      <c r="O59" s="0"/>
      <c r="P59" s="0"/>
      <c r="Q59" s="0"/>
      <c r="R59" s="0"/>
      <c r="S59" s="0"/>
      <c r="T59" s="0"/>
      <c r="U59" s="0"/>
      <c r="V59" s="0"/>
      <c r="W59" s="0"/>
      <c r="X59" s="0"/>
      <c r="Y59" s="0"/>
      <c r="Z59" s="0"/>
      <c r="AA59" s="292"/>
    </row>
    <row r="60" customFormat="false" ht="15.75" hidden="false" customHeight="true" outlineLevel="0" collapsed="false">
      <c r="A60" s="0" t="n">
        <v>31</v>
      </c>
      <c r="B60" s="31" t="n">
        <v>42430</v>
      </c>
      <c r="C60" s="15" t="n">
        <v>114762</v>
      </c>
      <c r="D60" s="1" t="s">
        <v>42</v>
      </c>
      <c r="E60" s="33" t="n">
        <f aca="false">IF(D60="totale",(C60/(A60*24))/F60,IF(D60="marché libre",(C60/(A60*24))/G60,"spécifier histo"))</f>
        <v>0.128541666666667</v>
      </c>
      <c r="F60" s="59" t="n">
        <v>1600</v>
      </c>
      <c r="G60" s="59" t="n">
        <v>1200</v>
      </c>
      <c r="H60" s="59" t="n">
        <v>400</v>
      </c>
      <c r="I60" s="9"/>
      <c r="J60" s="0"/>
      <c r="K60" s="293"/>
      <c r="L60" s="0"/>
      <c r="M60" s="292"/>
      <c r="N60" s="0"/>
      <c r="O60" s="292"/>
      <c r="P60" s="292"/>
      <c r="Q60" s="0"/>
      <c r="R60" s="292"/>
      <c r="S60" s="0"/>
      <c r="T60" s="0"/>
      <c r="U60" s="292"/>
      <c r="V60" s="0"/>
      <c r="Y60" s="0"/>
    </row>
    <row r="61" customFormat="false" ht="15.75" hidden="false" customHeight="true" outlineLevel="0" collapsed="false">
      <c r="A61" s="0" t="n">
        <v>30</v>
      </c>
      <c r="B61" s="31" t="n">
        <v>42461</v>
      </c>
      <c r="C61" s="15" t="n">
        <v>187195</v>
      </c>
      <c r="D61" s="1" t="s">
        <v>42</v>
      </c>
      <c r="E61" s="33" t="n">
        <f aca="false">IF(D61="totale",(C61/(A61*24))/F61,IF(D61="marché libre",(C61/(A61*24))/G61,"spécifier histo"))</f>
        <v>0.21666087962963</v>
      </c>
      <c r="F61" s="59" t="n">
        <v>1600</v>
      </c>
      <c r="G61" s="59" t="n">
        <v>1200</v>
      </c>
      <c r="H61" s="59" t="n">
        <v>400</v>
      </c>
      <c r="I61" s="9"/>
      <c r="J61" s="0"/>
      <c r="K61" s="293"/>
      <c r="L61" s="0"/>
      <c r="M61" s="292"/>
      <c r="N61" s="0"/>
      <c r="O61" s="292"/>
      <c r="P61" s="292"/>
      <c r="Q61" s="0"/>
      <c r="R61" s="292"/>
      <c r="S61" s="0"/>
      <c r="T61" s="0"/>
      <c r="U61" s="292"/>
      <c r="V61" s="0"/>
      <c r="Y61" s="0"/>
    </row>
    <row r="62" customFormat="false" ht="15.75" hidden="false" customHeight="true" outlineLevel="0" collapsed="false">
      <c r="A62" s="0" t="n">
        <v>31</v>
      </c>
      <c r="B62" s="34" t="n">
        <v>42491</v>
      </c>
      <c r="C62" s="15" t="n">
        <v>21793</v>
      </c>
      <c r="D62" s="1" t="s">
        <v>42</v>
      </c>
      <c r="E62" s="33" t="n">
        <f aca="false">IF(D62="totale",(C62/(A62*24))/F62,IF(D62="marché libre",(C62/(A62*24))/G62,"spécifier histo"))</f>
        <v>0.0244097222222222</v>
      </c>
      <c r="F62" s="59" t="n">
        <v>1600</v>
      </c>
      <c r="G62" s="59" t="n">
        <v>1200</v>
      </c>
      <c r="H62" s="59" t="n">
        <v>400</v>
      </c>
      <c r="I62" s="9"/>
      <c r="J62" s="0"/>
      <c r="K62" s="293"/>
      <c r="L62" s="0"/>
      <c r="M62" s="292"/>
      <c r="N62" s="0"/>
      <c r="O62" s="292"/>
      <c r="P62" s="292"/>
      <c r="Q62" s="0"/>
      <c r="R62" s="292"/>
      <c r="S62" s="0"/>
      <c r="T62" s="0"/>
      <c r="U62" s="292"/>
      <c r="V62" s="0"/>
      <c r="Y62" s="0"/>
    </row>
    <row r="63" customFormat="false" ht="15.75" hidden="false" customHeight="true" outlineLevel="0" collapsed="false">
      <c r="A63" s="0" t="n">
        <v>30</v>
      </c>
      <c r="B63" s="31" t="n">
        <v>42522</v>
      </c>
      <c r="C63" s="15" t="n">
        <v>106737</v>
      </c>
      <c r="D63" s="1" t="s">
        <v>42</v>
      </c>
      <c r="E63" s="33" t="n">
        <f aca="false">IF(D63="totale",(C63/(A63*24))/F63,IF(D63="marché libre",(C63/(A63*24))/G63,"spécifier histo"))</f>
        <v>0.123538194444444</v>
      </c>
      <c r="F63" s="59" t="n">
        <v>1600</v>
      </c>
      <c r="G63" s="59" t="n">
        <v>1200</v>
      </c>
      <c r="H63" s="59" t="n">
        <v>400</v>
      </c>
      <c r="I63" s="9"/>
      <c r="J63" s="0"/>
      <c r="K63" s="293"/>
      <c r="L63" s="0"/>
      <c r="M63" s="292"/>
      <c r="N63" s="0"/>
      <c r="O63" s="292"/>
      <c r="P63" s="292"/>
      <c r="Q63" s="0"/>
      <c r="R63" s="292"/>
      <c r="S63" s="0"/>
      <c r="T63" s="0"/>
      <c r="U63" s="292"/>
      <c r="V63" s="0"/>
      <c r="Y63" s="0"/>
    </row>
    <row r="64" customFormat="false" ht="15.75" hidden="false" customHeight="true" outlineLevel="0" collapsed="false">
      <c r="A64" s="0" t="n">
        <v>31</v>
      </c>
      <c r="B64" s="31" t="n">
        <v>42552</v>
      </c>
      <c r="C64" s="15" t="n">
        <v>0</v>
      </c>
      <c r="D64" s="1" t="s">
        <v>42</v>
      </c>
      <c r="E64" s="33" t="n">
        <f aca="false">IF(D64="totale",(C64/(A64*24))/F64,IF(D64="marché libre",(C64/(A64*24))/G64,"spécifier histo"))</f>
        <v>0</v>
      </c>
      <c r="F64" s="59" t="n">
        <v>1600</v>
      </c>
      <c r="G64" s="59" t="n">
        <v>1200</v>
      </c>
      <c r="H64" s="59" t="n">
        <v>400</v>
      </c>
      <c r="I64" s="9"/>
      <c r="J64" s="0"/>
      <c r="K64" s="293"/>
      <c r="L64" s="0"/>
      <c r="M64" s="292"/>
      <c r="N64" s="0"/>
      <c r="O64" s="292"/>
      <c r="P64" s="292"/>
      <c r="Q64" s="0"/>
      <c r="R64" s="292"/>
      <c r="S64" s="0"/>
      <c r="T64" s="0"/>
      <c r="U64" s="292"/>
      <c r="V64" s="0"/>
      <c r="Y64" s="0"/>
    </row>
    <row r="65" customFormat="false" ht="15.75" hidden="false" customHeight="true" outlineLevel="0" collapsed="false">
      <c r="A65" s="0" t="n">
        <v>31</v>
      </c>
      <c r="B65" s="34" t="n">
        <v>42583</v>
      </c>
      <c r="C65" s="15" t="n">
        <v>0</v>
      </c>
      <c r="D65" s="1" t="s">
        <v>42</v>
      </c>
      <c r="E65" s="33" t="n">
        <f aca="false">IF(D65="totale",(C65/(A65*24))/F65,IF(D65="marché libre",(C65/(A65*24))/G65,"spécifier histo"))</f>
        <v>0</v>
      </c>
      <c r="F65" s="59" t="n">
        <v>1600</v>
      </c>
      <c r="G65" s="59" t="n">
        <v>1200</v>
      </c>
      <c r="H65" s="59" t="n">
        <v>400</v>
      </c>
      <c r="I65" s="9"/>
      <c r="J65" s="0"/>
      <c r="K65" s="293"/>
      <c r="L65" s="0"/>
      <c r="M65" s="292"/>
      <c r="N65" s="0"/>
      <c r="O65" s="292"/>
      <c r="P65" s="292"/>
      <c r="Q65" s="0"/>
      <c r="R65" s="292"/>
      <c r="S65" s="0"/>
      <c r="T65" s="0"/>
      <c r="U65" s="292"/>
      <c r="V65" s="0"/>
      <c r="Y65" s="0"/>
    </row>
    <row r="66" customFormat="false" ht="15.75" hidden="false" customHeight="true" outlineLevel="0" collapsed="false">
      <c r="A66" s="0" t="n">
        <v>30</v>
      </c>
      <c r="B66" s="31" t="n">
        <v>42614</v>
      </c>
      <c r="C66" s="15" t="n">
        <v>0</v>
      </c>
      <c r="D66" s="1" t="s">
        <v>42</v>
      </c>
      <c r="E66" s="33" t="n">
        <f aca="false">IF(D66="totale",(C66/(A66*24))/F66,IF(D66="marché libre",(C66/(A66*24))/G66,"spécifier histo"))</f>
        <v>0</v>
      </c>
      <c r="F66" s="59" t="n">
        <v>1600</v>
      </c>
      <c r="G66" s="59" t="n">
        <v>1200</v>
      </c>
      <c r="H66" s="59" t="n">
        <v>400</v>
      </c>
      <c r="I66" s="9"/>
      <c r="J66" s="0"/>
      <c r="K66" s="206"/>
      <c r="L66" s="0"/>
      <c r="N66" s="0"/>
      <c r="Q66" s="0"/>
      <c r="S66" s="0"/>
      <c r="V66" s="0"/>
      <c r="Y66" s="0"/>
    </row>
    <row r="67" customFormat="false" ht="15.75" hidden="false" customHeight="true" outlineLevel="0" collapsed="false">
      <c r="A67" s="0" t="n">
        <v>31</v>
      </c>
      <c r="B67" s="31" t="n">
        <v>42644</v>
      </c>
      <c r="C67" s="15" t="n">
        <v>0</v>
      </c>
      <c r="D67" s="1" t="s">
        <v>42</v>
      </c>
      <c r="E67" s="33" t="n">
        <f aca="false">IF(D67="totale",(C67/(A67*24))/F67,IF(D67="marché libre",(C67/(A67*24))/G67,"spécifier histo"))</f>
        <v>0</v>
      </c>
      <c r="F67" s="59" t="n">
        <v>1600</v>
      </c>
      <c r="G67" s="59" t="n">
        <v>1200</v>
      </c>
      <c r="H67" s="59" t="n">
        <v>400</v>
      </c>
      <c r="I67" s="9"/>
      <c r="J67" s="0"/>
      <c r="K67" s="206"/>
      <c r="L67" s="0"/>
      <c r="N67" s="0"/>
      <c r="Q67" s="0"/>
      <c r="S67" s="0"/>
      <c r="V67" s="0"/>
      <c r="Y67" s="0"/>
    </row>
    <row r="68" customFormat="false" ht="15.75" hidden="false" customHeight="true" outlineLevel="0" collapsed="false">
      <c r="A68" s="0" t="n">
        <v>30</v>
      </c>
      <c r="B68" s="34" t="n">
        <v>42675</v>
      </c>
      <c r="C68" s="15" t="n">
        <v>0</v>
      </c>
      <c r="D68" s="1" t="s">
        <v>42</v>
      </c>
      <c r="E68" s="33" t="n">
        <f aca="false">IF(D68="totale",(C68/(A68*24))/F68,IF(D68="marché libre",(C68/(A68*24))/G68,"spécifier histo"))</f>
        <v>0</v>
      </c>
      <c r="F68" s="59" t="n">
        <v>1600</v>
      </c>
      <c r="G68" s="59" t="n">
        <v>1200</v>
      </c>
      <c r="H68" s="59" t="n">
        <v>400</v>
      </c>
      <c r="I68" s="9"/>
      <c r="J68" s="0"/>
      <c r="K68" s="206"/>
      <c r="L68" s="0"/>
      <c r="N68" s="0"/>
      <c r="Q68" s="0"/>
      <c r="S68" s="0"/>
      <c r="V68" s="0"/>
      <c r="Y68" s="0"/>
    </row>
    <row r="69" customFormat="false" ht="15.75" hidden="false" customHeight="true" outlineLevel="0" collapsed="false">
      <c r="A69" s="0" t="n">
        <v>31</v>
      </c>
      <c r="B69" s="31" t="n">
        <v>42705</v>
      </c>
      <c r="C69" s="15" t="n">
        <v>0</v>
      </c>
      <c r="D69" s="1" t="s">
        <v>42</v>
      </c>
      <c r="E69" s="33" t="n">
        <f aca="false">IF(D69="totale",(C69/(A69*24))/F69,IF(D69="marché libre",(C69/(A69*24))/G69,"spécifier histo"))</f>
        <v>0</v>
      </c>
      <c r="F69" s="59" t="n">
        <v>1600</v>
      </c>
      <c r="G69" s="59" t="n">
        <v>1200</v>
      </c>
      <c r="H69" s="59" t="n">
        <v>400</v>
      </c>
      <c r="I69" s="9"/>
      <c r="J69" s="0"/>
      <c r="K69" s="206"/>
      <c r="L69" s="0"/>
      <c r="N69" s="0"/>
      <c r="Q69" s="0"/>
      <c r="S69" s="0"/>
      <c r="V69" s="0"/>
      <c r="Y69" s="0"/>
    </row>
    <row r="70" customFormat="false" ht="15.75" hidden="false" customHeight="true" outlineLevel="0" collapsed="false">
      <c r="A70" s="0" t="n">
        <v>31</v>
      </c>
      <c r="B70" s="31" t="n">
        <v>42736</v>
      </c>
      <c r="C70" s="15" t="n">
        <v>0</v>
      </c>
      <c r="D70" s="1" t="s">
        <v>42</v>
      </c>
      <c r="E70" s="33" t="n">
        <f aca="false">IF(D70="totale",(C70/(A70*24))/F70,IF(D70="marché libre",(C70/(A70*24))/G70,"spécifier histo"))</f>
        <v>0</v>
      </c>
      <c r="F70" s="59" t="n">
        <v>1600</v>
      </c>
      <c r="G70" s="59" t="n">
        <v>1200</v>
      </c>
      <c r="H70" s="59" t="n">
        <v>400</v>
      </c>
      <c r="J70" s="0"/>
      <c r="K70" s="206"/>
      <c r="L70" s="0"/>
      <c r="N70" s="0"/>
      <c r="Q70" s="0"/>
      <c r="S70" s="0"/>
      <c r="V70" s="0"/>
      <c r="Y70" s="0"/>
    </row>
    <row r="71" customFormat="false" ht="15.75" hidden="false" customHeight="true" outlineLevel="0" collapsed="false">
      <c r="A71" s="0" t="n">
        <v>31</v>
      </c>
      <c r="B71" s="34" t="n">
        <v>42767</v>
      </c>
      <c r="C71" s="15" t="n">
        <v>111584</v>
      </c>
      <c r="D71" s="1" t="s">
        <v>42</v>
      </c>
      <c r="E71" s="33" t="n">
        <f aca="false">IF(D71="totale",(C71/(A71*24))/F71,IF(D71="marché libre",(C71/(A71*24))/G71,"spécifier histo"))</f>
        <v>0.124982078853047</v>
      </c>
      <c r="F71" s="59" t="n">
        <v>1600</v>
      </c>
      <c r="G71" s="59" t="n">
        <v>1200</v>
      </c>
      <c r="H71" s="59" t="n">
        <v>400</v>
      </c>
      <c r="I71" s="206"/>
      <c r="J71" s="0"/>
      <c r="K71" s="206"/>
      <c r="L71" s="0"/>
      <c r="M71" s="206"/>
      <c r="N71" s="0"/>
      <c r="Q71" s="0"/>
      <c r="S71" s="0"/>
      <c r="V71" s="0"/>
      <c r="Y71" s="0"/>
    </row>
    <row r="72" customFormat="false" ht="15.75" hidden="false" customHeight="true" outlineLevel="0" collapsed="false">
      <c r="A72" s="0" t="n">
        <v>30</v>
      </c>
      <c r="B72" s="31" t="n">
        <v>42795</v>
      </c>
      <c r="C72" s="15" t="n">
        <v>217982</v>
      </c>
      <c r="D72" s="1" t="s">
        <v>42</v>
      </c>
      <c r="E72" s="33" t="n">
        <f aca="false">IF(D72="totale",(C72/(A72*24))/F72,IF(D72="marché libre",(C72/(A72*24))/G72,"spécifier histo"))</f>
        <v>0.252293981481482</v>
      </c>
      <c r="F72" s="59" t="n">
        <v>1600</v>
      </c>
      <c r="G72" s="59" t="n">
        <v>1200</v>
      </c>
      <c r="H72" s="59" t="n">
        <v>400</v>
      </c>
      <c r="J72" s="0"/>
      <c r="K72" s="206"/>
      <c r="L72" s="0"/>
      <c r="N72" s="0"/>
      <c r="Q72" s="0"/>
      <c r="S72" s="0"/>
      <c r="V72" s="0"/>
      <c r="Y72" s="0"/>
    </row>
    <row r="73" customFormat="false" ht="19.85" hidden="false" customHeight="true" outlineLevel="0" collapsed="false">
      <c r="A73" s="0" t="n">
        <v>31</v>
      </c>
      <c r="B73" s="34" t="n">
        <v>42826</v>
      </c>
      <c r="C73" s="15" t="n">
        <v>0</v>
      </c>
      <c r="D73" s="1" t="s">
        <v>42</v>
      </c>
      <c r="E73" s="33" t="n">
        <f aca="false">IF(D73="totale",(C73/(A73*24))/F73,IF(D73="marché libre",(C73/(A73*24))/G73,"spécifier histo"))</f>
        <v>0</v>
      </c>
      <c r="F73" s="59" t="n">
        <v>1600</v>
      </c>
      <c r="G73" s="59" t="n">
        <v>1200</v>
      </c>
      <c r="H73" s="59" t="n">
        <v>400</v>
      </c>
      <c r="J73" s="0"/>
      <c r="K73" s="206"/>
      <c r="L73" s="0"/>
      <c r="N73" s="0"/>
      <c r="Q73" s="0"/>
      <c r="S73" s="0"/>
      <c r="V73" s="0"/>
      <c r="Y73" s="0"/>
    </row>
    <row r="74" customFormat="false" ht="19.85" hidden="false" customHeight="true" outlineLevel="0" collapsed="false">
      <c r="A74" s="0" t="n">
        <v>30</v>
      </c>
      <c r="B74" s="31" t="n">
        <v>42856</v>
      </c>
      <c r="C74" s="15" t="n">
        <v>62747</v>
      </c>
      <c r="D74" s="1" t="s">
        <v>42</v>
      </c>
      <c r="E74" s="33" t="n">
        <f aca="false">IF(D74="totale",(C74/(A74*24))/F74,IF(D74="marché libre",(C74/(A74*24))/G74,"spécifier histo"))</f>
        <v>0.0726238425925926</v>
      </c>
      <c r="F74" s="59" t="n">
        <v>1600</v>
      </c>
      <c r="G74" s="59" t="n">
        <v>1200</v>
      </c>
      <c r="H74" s="59" t="n">
        <v>400</v>
      </c>
      <c r="J74" s="0"/>
      <c r="K74" s="206"/>
      <c r="L74" s="0"/>
      <c r="N74" s="0"/>
      <c r="Q74" s="0"/>
      <c r="S74" s="0"/>
      <c r="V74" s="0"/>
      <c r="Y74" s="0"/>
    </row>
    <row r="75" customFormat="false" ht="22.45" hidden="false" customHeight="true" outlineLevel="0" collapsed="false">
      <c r="A75" s="0" t="n">
        <v>31</v>
      </c>
      <c r="B75" s="34" t="n">
        <v>42887</v>
      </c>
      <c r="C75" s="15" t="n">
        <v>34402</v>
      </c>
      <c r="D75" s="1" t="s">
        <v>42</v>
      </c>
      <c r="E75" s="33" t="n">
        <f aca="false">IF(D75="totale",(C75/(A75*24))/F75,IF(D75="marché libre",(C75/(A75*24))/G75,"spécifier histo"))</f>
        <v>0.03853270609319</v>
      </c>
      <c r="F75" s="59" t="n">
        <v>1600</v>
      </c>
      <c r="G75" s="59" t="n">
        <v>1200</v>
      </c>
      <c r="H75" s="59" t="n">
        <v>400</v>
      </c>
      <c r="J75" s="0"/>
      <c r="K75" s="206"/>
      <c r="L75" s="0"/>
      <c r="N75" s="0"/>
      <c r="Q75" s="0"/>
      <c r="S75" s="0"/>
      <c r="V75" s="0"/>
      <c r="Y75" s="0"/>
    </row>
    <row r="76" customFormat="false" ht="21.65" hidden="false" customHeight="true" outlineLevel="0" collapsed="false">
      <c r="A76" s="0" t="n">
        <v>31</v>
      </c>
      <c r="B76" s="31" t="n">
        <v>42917</v>
      </c>
      <c r="C76" s="15" t="n">
        <v>56974</v>
      </c>
      <c r="D76" s="1" t="s">
        <v>42</v>
      </c>
      <c r="E76" s="33" t="n">
        <f aca="false">IF(D76="totale",(C76/(A76*24))/F76,IF(D76="marché libre",(C76/(A76*24))/G76,"spécifier histo"))</f>
        <v>0.0638149641577061</v>
      </c>
      <c r="F76" s="59" t="n">
        <v>1600</v>
      </c>
      <c r="G76" s="59" t="n">
        <v>1200</v>
      </c>
      <c r="H76" s="59" t="n">
        <v>400</v>
      </c>
      <c r="J76" s="0"/>
      <c r="K76" s="206"/>
      <c r="L76" s="0"/>
      <c r="N76" s="0"/>
      <c r="Q76" s="0"/>
      <c r="S76" s="0"/>
      <c r="V76" s="0"/>
      <c r="Y76" s="0"/>
    </row>
    <row r="77" customFormat="false" ht="21.65" hidden="false" customHeight="true" outlineLevel="0" collapsed="false">
      <c r="A77" s="0" t="n">
        <v>31</v>
      </c>
      <c r="B77" s="34" t="n">
        <v>42948</v>
      </c>
      <c r="C77" s="15" t="n">
        <v>0</v>
      </c>
      <c r="D77" s="1" t="s">
        <v>42</v>
      </c>
      <c r="E77" s="33" t="n">
        <f aca="false">IF(D77="totale",(C77/(A77*24))/F77,IF(D77="marché libre",(C77/(A77*24))/G77,"spécifier histo"))</f>
        <v>0</v>
      </c>
      <c r="F77" s="59" t="n">
        <v>1600</v>
      </c>
      <c r="G77" s="59" t="n">
        <v>1200</v>
      </c>
      <c r="H77" s="59" t="n">
        <v>400</v>
      </c>
      <c r="J77" s="0"/>
      <c r="K77" s="206"/>
      <c r="L77" s="0"/>
      <c r="N77" s="0"/>
      <c r="Q77" s="0"/>
      <c r="S77" s="0"/>
      <c r="V77" s="0"/>
      <c r="Y77" s="0"/>
    </row>
    <row r="78" customFormat="false" ht="21.65" hidden="false" customHeight="true" outlineLevel="0" collapsed="false">
      <c r="A78" s="0" t="n">
        <v>30</v>
      </c>
      <c r="B78" s="31" t="n">
        <v>42979</v>
      </c>
      <c r="C78" s="15" t="n">
        <v>0</v>
      </c>
      <c r="D78" s="1" t="s">
        <v>42</v>
      </c>
      <c r="E78" s="33" t="n">
        <f aca="false">IF(D78="totale",(C78/(A78*24))/F78,IF(D78="marché libre",(C78/(A78*24))/G78,"spécifier histo"))</f>
        <v>0</v>
      </c>
      <c r="F78" s="59" t="n">
        <v>1600</v>
      </c>
      <c r="G78" s="59" t="n">
        <v>1200</v>
      </c>
      <c r="H78" s="59" t="n">
        <v>400</v>
      </c>
      <c r="J78" s="0"/>
      <c r="K78" s="206"/>
      <c r="L78" s="0"/>
      <c r="N78" s="0"/>
      <c r="Q78" s="0"/>
      <c r="S78" s="0"/>
      <c r="V78" s="0"/>
      <c r="Y78" s="0"/>
    </row>
    <row r="79" customFormat="false" ht="21.65" hidden="false" customHeight="true" outlineLevel="0" collapsed="false">
      <c r="A79" s="0" t="n">
        <v>31</v>
      </c>
      <c r="B79" s="34" t="n">
        <v>43009</v>
      </c>
      <c r="C79" s="15" t="n">
        <v>0</v>
      </c>
      <c r="D79" s="1" t="s">
        <v>42</v>
      </c>
      <c r="E79" s="33" t="n">
        <f aca="false">IF(D79="totale",(C79/(A79*24))/F79,IF(D79="marché libre",(C79/(A79*24))/G79,"spécifier histo"))</f>
        <v>0</v>
      </c>
      <c r="F79" s="59" t="n">
        <v>1600</v>
      </c>
      <c r="G79" s="59" t="n">
        <v>1200</v>
      </c>
      <c r="H79" s="59" t="n">
        <v>400</v>
      </c>
      <c r="J79" s="0"/>
      <c r="K79" s="206"/>
      <c r="L79" s="0"/>
      <c r="N79" s="0"/>
      <c r="Q79" s="0"/>
      <c r="S79" s="0"/>
      <c r="V79" s="0"/>
      <c r="Y79" s="0"/>
    </row>
    <row r="80" customFormat="false" ht="21.65" hidden="false" customHeight="true" outlineLevel="0" collapsed="false">
      <c r="A80" s="0" t="n">
        <v>30</v>
      </c>
      <c r="B80" s="31" t="n">
        <v>43040</v>
      </c>
      <c r="C80" s="15" t="n">
        <v>0</v>
      </c>
      <c r="D80" s="1" t="s">
        <v>42</v>
      </c>
      <c r="E80" s="33" t="n">
        <f aca="false">IF(D80="totale",(C80/(A80*24))/F80,IF(D80="marché libre",(C80/(A80*24))/G80,"spécifier histo"))</f>
        <v>0</v>
      </c>
      <c r="F80" s="59" t="n">
        <v>1600</v>
      </c>
      <c r="G80" s="59" t="n">
        <v>1200</v>
      </c>
      <c r="H80" s="59" t="n">
        <v>400</v>
      </c>
      <c r="J80" s="0"/>
      <c r="K80" s="206"/>
      <c r="L80" s="0"/>
      <c r="N80" s="0"/>
      <c r="Q80" s="0"/>
      <c r="S80" s="0"/>
      <c r="V80" s="0"/>
    </row>
    <row r="81" customFormat="false" ht="21.65" hidden="false" customHeight="true" outlineLevel="0" collapsed="false">
      <c r="A81" s="0" t="n">
        <v>31</v>
      </c>
      <c r="B81" s="34" t="n">
        <v>43070</v>
      </c>
      <c r="C81" s="15" t="n">
        <v>189224</v>
      </c>
      <c r="D81" s="1" t="s">
        <v>42</v>
      </c>
      <c r="E81" s="33" t="n">
        <f aca="false">IF(D81="totale",(C81/(A81*24))/F81,IF(D81="marché libre",(C81/(A81*24))/G81,"spécifier histo"))</f>
        <v>0.211944444444444</v>
      </c>
      <c r="F81" s="59" t="n">
        <v>1600</v>
      </c>
      <c r="G81" s="59" t="n">
        <v>1200</v>
      </c>
      <c r="H81" s="59" t="n">
        <v>400</v>
      </c>
      <c r="J81" s="0"/>
      <c r="K81" s="206"/>
      <c r="L81" s="0"/>
      <c r="N81" s="0"/>
      <c r="Q81" s="0"/>
      <c r="S81" s="0"/>
      <c r="V81" s="0"/>
    </row>
    <row r="82" customFormat="false" ht="28.35" hidden="false" customHeight="true" outlineLevel="0" collapsed="false">
      <c r="A82" s="0" t="n">
        <v>31</v>
      </c>
      <c r="B82" s="31" t="n">
        <v>43101</v>
      </c>
      <c r="C82" s="15" t="n">
        <v>266343</v>
      </c>
      <c r="D82" s="1" t="s">
        <v>42</v>
      </c>
      <c r="E82" s="33" t="n">
        <f aca="false">IF(D82="totale",(C82/(A82*24))/F82,IF(D82="marché libre",(C82/(A82*24))/G82,"spécifier histo"))</f>
        <v>0.298323252688172</v>
      </c>
      <c r="F82" s="59" t="n">
        <v>1600</v>
      </c>
      <c r="G82" s="59" t="n">
        <v>1200</v>
      </c>
      <c r="H82" s="59" t="n">
        <v>400</v>
      </c>
      <c r="J82" s="0"/>
      <c r="K82" s="206"/>
      <c r="L82" s="0"/>
      <c r="N82" s="0"/>
      <c r="Q82" s="0"/>
      <c r="S82" s="0"/>
      <c r="V82" s="0"/>
    </row>
    <row r="83" customFormat="false" ht="28.35" hidden="false" customHeight="true" outlineLevel="0" collapsed="false">
      <c r="A83" s="0" t="n">
        <v>28</v>
      </c>
      <c r="B83" s="34" t="n">
        <v>43132</v>
      </c>
      <c r="C83" s="15" t="n">
        <v>20926</v>
      </c>
      <c r="D83" s="1" t="s">
        <v>42</v>
      </c>
      <c r="E83" s="33" t="n">
        <f aca="false">IF(D83="totale",(C83/(A83*24))/F83,IF(D83="marché libre",(C83/(A83*24))/G83,"spécifier histo"))</f>
        <v>0.0259499007936508</v>
      </c>
      <c r="F83" s="59" t="n">
        <v>1600</v>
      </c>
      <c r="G83" s="59" t="n">
        <v>1200</v>
      </c>
      <c r="H83" s="59" t="n">
        <v>400</v>
      </c>
      <c r="J83" s="0"/>
      <c r="K83" s="206"/>
      <c r="L83" s="0"/>
      <c r="N83" s="0"/>
      <c r="Q83" s="0"/>
      <c r="S83" s="0"/>
      <c r="V83" s="0"/>
    </row>
    <row r="84" customFormat="false" ht="28.35" hidden="false" customHeight="true" outlineLevel="0" collapsed="false">
      <c r="A84" s="0" t="n">
        <v>31</v>
      </c>
      <c r="B84" s="31" t="n">
        <v>43160</v>
      </c>
      <c r="C84" s="15" t="n">
        <v>61707</v>
      </c>
      <c r="D84" s="1" t="s">
        <v>42</v>
      </c>
      <c r="E84" s="33" t="n">
        <f aca="false">IF(D84="totale",(C84/(A84*24))/F84,IF(D84="marché libre",(C84/(A84*24))/G84,"spécifier histo"))</f>
        <v>0.0691162634408602</v>
      </c>
      <c r="F84" s="59" t="n">
        <v>1600</v>
      </c>
      <c r="G84" s="59" t="n">
        <v>1200</v>
      </c>
      <c r="H84" s="59" t="n">
        <v>400</v>
      </c>
      <c r="J84" s="0"/>
      <c r="K84" s="206"/>
      <c r="L84" s="0"/>
      <c r="Q84" s="0"/>
      <c r="S84" s="0"/>
      <c r="V84" s="0"/>
    </row>
    <row r="85" customFormat="false" ht="28.35" hidden="false" customHeight="true" outlineLevel="0" collapsed="false">
      <c r="A85" s="0" t="n">
        <v>30</v>
      </c>
      <c r="B85" s="34" t="n">
        <v>43191</v>
      </c>
      <c r="C85" s="15" t="n">
        <v>29970</v>
      </c>
      <c r="D85" s="1" t="s">
        <v>42</v>
      </c>
      <c r="E85" s="33" t="n">
        <f aca="false">IF(D85="totale",(C85/(A85*24))/F85,IF(D85="marché libre",(C85/(A85*24))/G85,"spécifier histo"))</f>
        <v>0.0346875</v>
      </c>
      <c r="F85" s="59" t="n">
        <v>1600</v>
      </c>
      <c r="G85" s="59" t="n">
        <v>1200</v>
      </c>
      <c r="H85" s="59" t="n">
        <v>400</v>
      </c>
      <c r="J85" s="0"/>
      <c r="K85" s="206"/>
      <c r="L85" s="0"/>
      <c r="Q85" s="0"/>
      <c r="S85" s="0"/>
    </row>
    <row r="86" customFormat="false" ht="28.35" hidden="false" customHeight="true" outlineLevel="0" collapsed="false">
      <c r="A86" s="0" t="n">
        <v>31</v>
      </c>
      <c r="B86" s="31" t="n">
        <v>43221</v>
      </c>
      <c r="C86" s="15" t="n">
        <v>24035</v>
      </c>
      <c r="D86" s="1" t="s">
        <v>42</v>
      </c>
      <c r="E86" s="33" t="n">
        <f aca="false">IF(D86="totale",(C86/(A86*24))/F86,IF(D86="marché libre",(C86/(A86*24))/G86,"spécifier histo"))</f>
        <v>0.0269209229390681</v>
      </c>
      <c r="F86" s="59" t="n">
        <v>1600</v>
      </c>
      <c r="G86" s="59" t="n">
        <v>1200</v>
      </c>
      <c r="H86" s="59" t="n">
        <v>400</v>
      </c>
      <c r="J86" s="0"/>
      <c r="K86" s="206"/>
      <c r="L86" s="0"/>
      <c r="Q86" s="0"/>
      <c r="S86" s="0"/>
    </row>
    <row r="87" customFormat="false" ht="28.35" hidden="false" customHeight="true" outlineLevel="0" collapsed="false">
      <c r="A87" s="0" t="n">
        <v>30</v>
      </c>
      <c r="B87" s="34" t="n">
        <v>43252</v>
      </c>
      <c r="C87" s="15" t="n">
        <v>10263</v>
      </c>
      <c r="D87" s="1" t="s">
        <v>42</v>
      </c>
      <c r="E87" s="33" t="n">
        <f aca="false">IF(D87="totale",(C87/(A87*24))/F87,IF(D87="marché libre",(C87/(A87*24))/G87,"spécifier histo"))</f>
        <v>0.0118784722222222</v>
      </c>
      <c r="F87" s="59" t="n">
        <v>1600</v>
      </c>
      <c r="G87" s="59" t="n">
        <v>1200</v>
      </c>
      <c r="H87" s="59" t="n">
        <v>400</v>
      </c>
      <c r="J87" s="0"/>
      <c r="L87" s="0"/>
      <c r="Q87" s="0"/>
      <c r="S87" s="0"/>
    </row>
    <row r="88" customFormat="false" ht="28.35" hidden="false" customHeight="true" outlineLevel="0" collapsed="false">
      <c r="A88" s="0" t="n">
        <v>31</v>
      </c>
      <c r="B88" s="31" t="n">
        <v>43282</v>
      </c>
      <c r="C88" s="15" t="n">
        <v>0</v>
      </c>
      <c r="D88" s="1" t="s">
        <v>42</v>
      </c>
      <c r="E88" s="33" t="n">
        <f aca="false">IF(D88="totale",(C88/(A88*24))/F88,IF(D88="marché libre",(C88/(A88*24))/G88,"spécifier histo"))</f>
        <v>0</v>
      </c>
      <c r="F88" s="59" t="n">
        <v>1600</v>
      </c>
      <c r="G88" s="59" t="n">
        <v>1200</v>
      </c>
      <c r="H88" s="59" t="n">
        <v>400</v>
      </c>
      <c r="J88" s="0"/>
      <c r="L88" s="0"/>
      <c r="Q88" s="0"/>
      <c r="S88" s="0"/>
    </row>
    <row r="89" customFormat="false" ht="28.35" hidden="false" customHeight="true" outlineLevel="0" collapsed="false">
      <c r="A89" s="0" t="n">
        <v>31</v>
      </c>
      <c r="B89" s="34" t="n">
        <v>43313</v>
      </c>
      <c r="C89" s="15" t="n">
        <v>0</v>
      </c>
      <c r="D89" s="1" t="s">
        <v>42</v>
      </c>
      <c r="E89" s="33" t="n">
        <f aca="false">IF(D89="totale",(C89/(A89*24))/F89,IF(D89="marché libre",(C89/(A89*24))/G89,"spécifier histo"))</f>
        <v>0</v>
      </c>
      <c r="F89" s="59" t="n">
        <v>1600</v>
      </c>
      <c r="G89" s="59" t="n">
        <v>1200</v>
      </c>
      <c r="H89" s="59" t="n">
        <v>400</v>
      </c>
      <c r="J89" s="0"/>
      <c r="L89" s="0"/>
      <c r="Q89" s="0"/>
      <c r="S89" s="0"/>
    </row>
    <row r="90" customFormat="false" ht="28.35" hidden="false" customHeight="true" outlineLevel="0" collapsed="false">
      <c r="A90" s="0" t="n">
        <v>30</v>
      </c>
      <c r="B90" s="31" t="n">
        <v>43344</v>
      </c>
      <c r="C90" s="15" t="n">
        <v>0</v>
      </c>
      <c r="D90" s="1" t="s">
        <v>42</v>
      </c>
      <c r="E90" s="33" t="n">
        <f aca="false">IF(D90="totale",(C90/(A90*24))/F90,IF(D90="marché libre",(C90/(A90*24))/G90,"spécifier histo"))</f>
        <v>0</v>
      </c>
      <c r="F90" s="59" t="n">
        <v>1600</v>
      </c>
      <c r="G90" s="59" t="n">
        <v>1200</v>
      </c>
      <c r="H90" s="59" t="n">
        <v>400</v>
      </c>
      <c r="J90" s="0"/>
      <c r="L90" s="0"/>
      <c r="Q90" s="0"/>
      <c r="S90" s="0"/>
    </row>
    <row r="91" customFormat="false" ht="12.8" hidden="false" customHeight="false" outlineLevel="0" collapsed="false">
      <c r="C91" s="296"/>
      <c r="L91" s="0"/>
      <c r="Q91" s="0"/>
    </row>
    <row r="92" customFormat="false" ht="12.8" hidden="false" customHeight="false" outlineLevel="0" collapsed="false">
      <c r="C92" s="296"/>
      <c r="L92" s="0"/>
      <c r="Q92" s="0"/>
    </row>
    <row r="93" customFormat="false" ht="12.8" hidden="false" customHeight="false" outlineLevel="0" collapsed="false">
      <c r="C93" s="296"/>
      <c r="L93" s="0"/>
      <c r="Q93" s="0"/>
    </row>
    <row r="94" customFormat="false" ht="12.8" hidden="false" customHeight="false" outlineLevel="0" collapsed="false">
      <c r="C94" s="296"/>
      <c r="L94" s="0"/>
      <c r="Q94" s="0"/>
    </row>
    <row r="95" customFormat="false" ht="12.8" hidden="false" customHeight="false" outlineLevel="0" collapsed="false">
      <c r="C95" s="296"/>
      <c r="L95" s="0"/>
      <c r="Q95" s="0"/>
    </row>
    <row r="96" customFormat="false" ht="12.8" hidden="false" customHeight="false" outlineLevel="0" collapsed="false">
      <c r="C96" s="296"/>
      <c r="L96" s="0"/>
      <c r="Q96" s="0"/>
    </row>
    <row r="97" customFormat="false" ht="12.8" hidden="false" customHeight="false" outlineLevel="0" collapsed="false">
      <c r="C97" s="296"/>
      <c r="L97" s="0"/>
      <c r="Q97" s="0"/>
    </row>
    <row r="98" customFormat="false" ht="12.8" hidden="false" customHeight="false" outlineLevel="0" collapsed="false">
      <c r="C98" s="296"/>
      <c r="L98" s="0"/>
      <c r="Q98" s="0"/>
    </row>
    <row r="99" customFormat="false" ht="12.8" hidden="false" customHeight="false" outlineLevel="0" collapsed="false">
      <c r="C99" s="296"/>
      <c r="L99" s="0"/>
      <c r="Q99" s="0"/>
    </row>
    <row r="100" customFormat="false" ht="12.8" hidden="false" customHeight="false" outlineLevel="0" collapsed="false">
      <c r="C100" s="296"/>
      <c r="L100" s="0"/>
      <c r="Q100" s="0"/>
    </row>
    <row r="101" customFormat="false" ht="12.8" hidden="false" customHeight="false" outlineLevel="0" collapsed="false">
      <c r="C101" s="296"/>
      <c r="L101" s="0"/>
      <c r="Q101" s="0"/>
    </row>
    <row r="102" customFormat="false" ht="12.8" hidden="false" customHeight="false" outlineLevel="0" collapsed="false">
      <c r="C102" s="296"/>
      <c r="L102" s="0"/>
      <c r="Q102" s="0"/>
    </row>
    <row r="103" customFormat="false" ht="12.8" hidden="false" customHeight="false" outlineLevel="0" collapsed="false">
      <c r="C103" s="296"/>
      <c r="L103" s="0"/>
      <c r="Q103" s="0"/>
    </row>
    <row r="104" customFormat="false" ht="12.8" hidden="false" customHeight="false" outlineLevel="0" collapsed="false">
      <c r="C104" s="296"/>
      <c r="L104" s="0"/>
      <c r="Q104" s="0"/>
    </row>
    <row r="105" customFormat="false" ht="12.8" hidden="false" customHeight="false" outlineLevel="0" collapsed="false">
      <c r="C105" s="296"/>
      <c r="L105" s="0"/>
      <c r="Q105" s="0"/>
    </row>
    <row r="106" customFormat="false" ht="12.8" hidden="false" customHeight="false" outlineLevel="0" collapsed="false">
      <c r="C106" s="296"/>
      <c r="L106" s="0"/>
      <c r="Q106" s="0"/>
    </row>
    <row r="107" customFormat="false" ht="12.8" hidden="false" customHeight="false" outlineLevel="0" collapsed="false">
      <c r="C107" s="296"/>
      <c r="L107" s="0"/>
      <c r="Q107" s="0"/>
    </row>
    <row r="108" customFormat="false" ht="12.8" hidden="false" customHeight="false" outlineLevel="0" collapsed="false">
      <c r="C108" s="296"/>
      <c r="L108" s="0"/>
      <c r="Q108" s="0"/>
    </row>
    <row r="109" customFormat="false" ht="12.8" hidden="false" customHeight="false" outlineLevel="0" collapsed="false">
      <c r="C109" s="296"/>
      <c r="L109" s="0"/>
      <c r="Q109" s="0"/>
    </row>
    <row r="110" customFormat="false" ht="12.8" hidden="false" customHeight="false" outlineLevel="0" collapsed="false">
      <c r="C110" s="296"/>
      <c r="L110" s="0"/>
      <c r="Q110" s="0"/>
    </row>
    <row r="111" customFormat="false" ht="12.8" hidden="false" customHeight="false" outlineLevel="0" collapsed="false">
      <c r="C111" s="133"/>
      <c r="L111" s="0"/>
      <c r="Q111" s="0"/>
    </row>
    <row r="112" customFormat="false" ht="12.8" hidden="false" customHeight="false" outlineLevel="0" collapsed="false">
      <c r="C112" s="133"/>
      <c r="L112" s="0"/>
      <c r="Q112" s="0"/>
    </row>
    <row r="113" customFormat="false" ht="12.8" hidden="false" customHeight="false" outlineLevel="0" collapsed="false">
      <c r="L113" s="0"/>
      <c r="Q113" s="0"/>
    </row>
    <row r="114" customFormat="false" ht="12.8" hidden="false" customHeight="false" outlineLevel="0" collapsed="false">
      <c r="L114" s="0"/>
      <c r="Q114" s="0"/>
    </row>
    <row r="115" customFormat="false" ht="12.8" hidden="false" customHeight="false" outlineLevel="0" collapsed="false">
      <c r="L115" s="0"/>
      <c r="Q115" s="0"/>
    </row>
    <row r="116" customFormat="false" ht="12.8" hidden="false" customHeight="false" outlineLevel="0" collapsed="false">
      <c r="L116" s="0"/>
      <c r="Q116" s="0"/>
    </row>
    <row r="117" customFormat="false" ht="12.8" hidden="false" customHeight="false" outlineLevel="0" collapsed="false">
      <c r="L117" s="0"/>
      <c r="Q117" s="0"/>
    </row>
    <row r="118" customFormat="false" ht="12.8" hidden="false" customHeight="false" outlineLevel="0" collapsed="false">
      <c r="Q118" s="0"/>
    </row>
    <row r="119" customFormat="false" ht="12.8" hidden="false" customHeight="false" outlineLevel="0" collapsed="false">
      <c r="Q119" s="0"/>
    </row>
    <row r="120" customFormat="false" ht="12.8" hidden="false" customHeight="false" outlineLevel="0" collapsed="false">
      <c r="Q120" s="0"/>
    </row>
    <row r="121" customFormat="false" ht="12.8" hidden="false" customHeight="false" outlineLevel="0" collapsed="false">
      <c r="Q121" s="0"/>
    </row>
    <row r="122" customFormat="false" ht="12.8" hidden="false" customHeight="false" outlineLevel="0" collapsed="false">
      <c r="Q122" s="0"/>
    </row>
    <row r="123" customFormat="false" ht="12.8" hidden="false" customHeight="false" outlineLevel="0" collapsed="false">
      <c r="Q123" s="0"/>
    </row>
    <row r="124" customFormat="false" ht="12.8" hidden="false" customHeight="false" outlineLevel="0" collapsed="false">
      <c r="Q124" s="0"/>
    </row>
    <row r="125" customFormat="false" ht="12.8" hidden="false" customHeight="false" outlineLevel="0" collapsed="false">
      <c r="Q125" s="0"/>
    </row>
    <row r="126" customFormat="false" ht="12.8" hidden="false" customHeight="false" outlineLevel="0" collapsed="false">
      <c r="Q126" s="0"/>
    </row>
    <row r="127" customFormat="false" ht="12.8" hidden="false" customHeight="false" outlineLevel="0" collapsed="false">
      <c r="Q127" s="0"/>
    </row>
    <row r="128" customFormat="false" ht="12.8" hidden="false" customHeight="false" outlineLevel="0" collapsed="false">
      <c r="Q128" s="0"/>
    </row>
    <row r="129" customFormat="false" ht="12.8" hidden="false" customHeight="false" outlineLevel="0" collapsed="false">
      <c r="Q129" s="0"/>
    </row>
    <row r="130" customFormat="false" ht="12.8" hidden="false" customHeight="false" outlineLevel="0" collapsed="false">
      <c r="Q130"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9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B4" r:id="rId1" display="CT_HYDRO_164"/>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1.xml><?xml version="1.0" encoding="utf-8"?>
<worksheet xmlns="http://schemas.openxmlformats.org/spreadsheetml/2006/main" xmlns:r="http://schemas.openxmlformats.org/officeDocument/2006/relationships">
  <sheetPr filterMode="false">
    <tabColor rgb="FF00CC33"/>
    <pageSetUpPr fitToPage="false"/>
  </sheetPr>
  <dimension ref="A1:X18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67" activePane="bottomRight" state="frozen"/>
      <selection pane="topLeft" activeCell="A1" activeCellId="0" sqref="A1"/>
      <selection pane="topRight" activeCell="B1" activeCellId="0" sqref="B1"/>
      <selection pane="bottomLeft" activeCell="A67" activeCellId="0" sqref="A67"/>
      <selection pane="bottomRight" activeCell="G77" activeCellId="0" sqref="G77"/>
    </sheetView>
  </sheetViews>
  <sheetFormatPr defaultRowHeight="12.8" zeroHeight="false" outlineLevelRow="0" outlineLevelCol="0"/>
  <cols>
    <col collapsed="false" customWidth="true" hidden="false" outlineLevel="0" max="1" min="1" style="1" width="3.7"/>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18.2"/>
    <col collapsed="false" customWidth="true" hidden="false" outlineLevel="0" max="10" min="10" style="1" width="21.15"/>
    <col collapsed="false" customWidth="true" hidden="false" outlineLevel="0" max="11" min="11" style="1" width="14.2"/>
    <col collapsed="false" customWidth="true" hidden="false" outlineLevel="0" max="12" min="12" style="1" width="16.98"/>
    <col collapsed="false" customWidth="true" hidden="false" outlineLevel="0" max="13" min="13" style="1" width="24.54"/>
    <col collapsed="false" customWidth="false" hidden="false" outlineLevel="0" max="14" min="14" style="1" width="11.52"/>
    <col collapsed="false" customWidth="true" hidden="false" outlineLevel="0" max="15" min="15" style="1" width="10.8"/>
    <col collapsed="false" customWidth="true" hidden="false" outlineLevel="0" max="16" min="16" style="1" width="3.37"/>
    <col collapsed="false" customWidth="false" hidden="false" outlineLevel="0" max="17" min="17" style="1" width="11.52"/>
    <col collapsed="false" customWidth="true" hidden="false" outlineLevel="0" max="18" min="18" style="1" width="14.96"/>
    <col collapsed="false" customWidth="true" hidden="false" outlineLevel="0" max="19" min="19" style="1" width="3.24"/>
    <col collapsed="false" customWidth="false" hidden="false" outlineLevel="0" max="1025" min="20" style="1" width="11.52"/>
  </cols>
  <sheetData>
    <row r="1" customFormat="false" ht="30.8" hidden="false" customHeight="true" outlineLevel="0" collapsed="false">
      <c r="A1" s="122" t="s">
        <v>108</v>
      </c>
      <c r="B1" s="2" t="s">
        <v>0</v>
      </c>
      <c r="C1" s="2"/>
      <c r="D1" s="2"/>
      <c r="E1" s="2"/>
      <c r="F1" s="3" t="s">
        <v>1</v>
      </c>
      <c r="G1" s="3"/>
      <c r="H1" s="3"/>
      <c r="I1" s="3"/>
      <c r="J1" s="3"/>
      <c r="K1" s="3"/>
      <c r="L1" s="3"/>
      <c r="M1" s="3"/>
      <c r="N1" s="3"/>
      <c r="O1" s="3"/>
    </row>
    <row r="2" customFormat="false" ht="30.8" hidden="false" customHeight="true" outlineLevel="0" collapsed="false">
      <c r="A2" s="0" t="n">
        <v>3</v>
      </c>
      <c r="B2" s="2"/>
      <c r="C2" s="2"/>
      <c r="D2" s="2"/>
      <c r="E2" s="2"/>
      <c r="F2" s="3" t="s">
        <v>2</v>
      </c>
      <c r="G2" s="3"/>
      <c r="H2" s="3"/>
      <c r="I2" s="3"/>
      <c r="J2" s="3" t="s">
        <v>3</v>
      </c>
      <c r="K2" s="3"/>
      <c r="L2" s="3"/>
      <c r="M2" s="3" t="s">
        <v>4</v>
      </c>
      <c r="N2" s="3"/>
      <c r="O2" s="3" t="s">
        <v>5</v>
      </c>
      <c r="Q2" s="4"/>
      <c r="R2" s="5" t="s">
        <v>6</v>
      </c>
      <c r="T2" s="6"/>
      <c r="U2" s="7" t="s">
        <v>7</v>
      </c>
      <c r="V2" s="8" t="s">
        <v>8</v>
      </c>
      <c r="W2" s="9"/>
    </row>
    <row r="3" customFormat="false" ht="37.45" hidden="false" customHeight="true" outlineLevel="0" collapsed="false">
      <c r="A3" s="0"/>
      <c r="B3" s="10" t="s">
        <v>9</v>
      </c>
      <c r="C3" s="10" t="s">
        <v>10</v>
      </c>
      <c r="D3" s="10" t="s">
        <v>11</v>
      </c>
      <c r="E3" s="11" t="s">
        <v>12</v>
      </c>
      <c r="F3" s="10" t="s">
        <v>574</v>
      </c>
      <c r="G3" s="10" t="s">
        <v>14</v>
      </c>
      <c r="H3" s="10" t="s">
        <v>15</v>
      </c>
      <c r="I3" s="10" t="s">
        <v>16</v>
      </c>
      <c r="J3" s="175" t="s">
        <v>130</v>
      </c>
      <c r="K3" s="10" t="s">
        <v>18</v>
      </c>
      <c r="L3" s="480"/>
      <c r="M3" s="10" t="s">
        <v>19</v>
      </c>
      <c r="N3" s="10" t="s">
        <v>17</v>
      </c>
      <c r="O3" s="3"/>
      <c r="Q3" s="12"/>
      <c r="R3" s="5" t="s">
        <v>20</v>
      </c>
      <c r="T3" s="13"/>
      <c r="U3" s="7" t="s">
        <v>21</v>
      </c>
      <c r="V3" s="8"/>
      <c r="W3" s="9"/>
    </row>
    <row r="4" customFormat="false" ht="45.8" hidden="false" customHeight="true" outlineLevel="0" collapsed="false">
      <c r="A4" s="0"/>
      <c r="B4" s="16" t="s">
        <v>1094</v>
      </c>
      <c r="C4" s="16" t="n">
        <v>436301</v>
      </c>
      <c r="D4" s="5" t="s">
        <v>1095</v>
      </c>
      <c r="E4" s="14" t="s">
        <v>1096</v>
      </c>
      <c r="F4" s="15" t="n">
        <v>5666</v>
      </c>
      <c r="G4" s="15" t="n">
        <v>4336</v>
      </c>
      <c r="H4" s="15" t="n">
        <v>2225</v>
      </c>
      <c r="I4" s="16" t="s">
        <v>1097</v>
      </c>
      <c r="J4" s="18" t="n">
        <v>2000</v>
      </c>
      <c r="K4" s="16" t="s">
        <v>1098</v>
      </c>
      <c r="L4" s="480"/>
      <c r="M4" s="16" t="s">
        <v>48</v>
      </c>
      <c r="N4" s="16" t="n">
        <v>2400</v>
      </c>
      <c r="O4" s="4"/>
      <c r="Q4" s="17"/>
      <c r="R4" s="16" t="s">
        <v>23</v>
      </c>
      <c r="T4" s="18"/>
      <c r="U4" s="19" t="s">
        <v>24</v>
      </c>
      <c r="V4" s="19"/>
      <c r="W4" s="19"/>
    </row>
    <row r="5" customFormat="false" ht="28.35" hidden="false" customHeight="true" outlineLevel="0" collapsed="false">
      <c r="A5" s="0"/>
      <c r="F5" s="9"/>
      <c r="G5" s="0"/>
      <c r="H5" s="9"/>
      <c r="J5" s="9"/>
      <c r="K5" s="9"/>
      <c r="L5" s="346"/>
      <c r="Q5" s="9"/>
      <c r="R5" s="9"/>
    </row>
    <row r="6" customFormat="false" ht="36.65" hidden="false" customHeight="true" outlineLevel="0" collapsed="false">
      <c r="A6" s="0"/>
      <c r="B6" s="0"/>
      <c r="C6" s="10" t="s">
        <v>25</v>
      </c>
      <c r="D6" s="10"/>
      <c r="F6" s="20" t="s">
        <v>26</v>
      </c>
      <c r="G6" s="5" t="s">
        <v>1099</v>
      </c>
      <c r="H6" s="5"/>
      <c r="I6" s="5"/>
      <c r="J6" s="5"/>
      <c r="K6" s="5"/>
      <c r="L6" s="5"/>
      <c r="M6" s="5"/>
      <c r="N6" s="5"/>
      <c r="O6" s="5"/>
      <c r="Q6" s="21" t="n">
        <v>42370</v>
      </c>
      <c r="R6" s="19" t="s">
        <v>27</v>
      </c>
      <c r="S6" s="9"/>
      <c r="T6" s="22"/>
      <c r="U6" s="5" t="s">
        <v>28</v>
      </c>
    </row>
    <row r="7" customFormat="false" ht="66.9" hidden="false" customHeight="true" outlineLevel="0" collapsed="false">
      <c r="A7" s="0"/>
      <c r="B7" s="0"/>
      <c r="C7" s="126" t="s">
        <v>1100</v>
      </c>
      <c r="D7" s="126"/>
      <c r="F7" s="20"/>
      <c r="G7" s="20"/>
      <c r="H7" s="5"/>
      <c r="I7" s="5"/>
      <c r="J7" s="5"/>
      <c r="K7" s="5"/>
      <c r="L7" s="5"/>
      <c r="M7" s="5"/>
      <c r="N7" s="5"/>
      <c r="O7" s="5"/>
      <c r="Q7" s="24"/>
      <c r="R7" s="5" t="s">
        <v>29</v>
      </c>
      <c r="S7" s="9"/>
      <c r="T7" s="25"/>
      <c r="U7" s="5" t="s">
        <v>30</v>
      </c>
    </row>
    <row r="8" customFormat="false" ht="42.45" hidden="false" customHeight="true" outlineLevel="0" collapsed="false">
      <c r="A8" s="26"/>
      <c r="C8" s="0"/>
      <c r="F8" s="9"/>
      <c r="G8" s="9"/>
      <c r="H8" s="9"/>
      <c r="J8" s="9"/>
      <c r="K8" s="9"/>
      <c r="S8" s="9"/>
      <c r="T8" s="27"/>
      <c r="U8" s="16" t="s">
        <v>31</v>
      </c>
    </row>
    <row r="9" customFormat="false" ht="39.15" hidden="false" customHeight="true" outlineLevel="0" collapsed="false">
      <c r="B9" s="9" t="s">
        <v>32</v>
      </c>
      <c r="C9" s="1" t="s">
        <v>33</v>
      </c>
      <c r="D9" s="0"/>
      <c r="E9" s="1" t="s">
        <v>35</v>
      </c>
      <c r="F9" s="9" t="s">
        <v>36</v>
      </c>
      <c r="G9" s="9" t="s">
        <v>37</v>
      </c>
      <c r="H9" s="9" t="s">
        <v>38</v>
      </c>
      <c r="I9" s="9" t="s">
        <v>39</v>
      </c>
      <c r="J9" s="30" t="s">
        <v>40</v>
      </c>
      <c r="K9" s="30"/>
    </row>
    <row r="10" customFormat="false" ht="19.85" hidden="false" customHeight="true" outlineLevel="0" collapsed="false">
      <c r="A10" s="1" t="n">
        <v>31</v>
      </c>
      <c r="B10" s="34" t="n">
        <v>41183</v>
      </c>
      <c r="C10" s="56" t="n">
        <v>261906</v>
      </c>
      <c r="D10" s="29" t="s">
        <v>41</v>
      </c>
      <c r="E10" s="33" t="n">
        <f aca="false">IF(D10="totale",(C10/(A10*24))/F10,IF(D10="marché libre",(C10/(A10*24))/G10,"spécifier histo"))</f>
        <v>0.0811863915010118</v>
      </c>
      <c r="F10" s="59" t="n">
        <v>4336</v>
      </c>
      <c r="G10" s="59" t="n">
        <v>4336</v>
      </c>
      <c r="H10" s="59" t="n">
        <v>0</v>
      </c>
      <c r="J10" s="183" t="s">
        <v>1101</v>
      </c>
      <c r="K10" s="183"/>
      <c r="L10" s="183"/>
      <c r="M10" s="183"/>
      <c r="N10" s="183"/>
      <c r="O10" s="183"/>
      <c r="P10" s="183"/>
      <c r="Q10" s="183"/>
      <c r="R10" s="183"/>
    </row>
    <row r="11" customFormat="false" ht="19.85" hidden="false" customHeight="true" outlineLevel="0" collapsed="false">
      <c r="A11" s="1" t="n">
        <v>30</v>
      </c>
      <c r="B11" s="31" t="n">
        <v>41214</v>
      </c>
      <c r="C11" s="56" t="n">
        <v>128513</v>
      </c>
      <c r="D11" s="29" t="s">
        <v>41</v>
      </c>
      <c r="E11" s="33" t="n">
        <f aca="false">IF(D11="totale",(C11/(A11*24))/F11,IF(D11="marché libre",(C11/(A11*24))/G11,"spécifier histo"))</f>
        <v>0.0411647319598196</v>
      </c>
      <c r="F11" s="59" t="n">
        <v>4336</v>
      </c>
      <c r="G11" s="59" t="n">
        <v>4336</v>
      </c>
      <c r="H11" s="59" t="n">
        <v>0</v>
      </c>
      <c r="J11" s="185" t="s">
        <v>1102</v>
      </c>
      <c r="K11" s="183"/>
      <c r="L11" s="183"/>
      <c r="M11" s="183"/>
      <c r="N11" s="183"/>
      <c r="O11" s="183"/>
      <c r="P11" s="183"/>
      <c r="Q11" s="183"/>
      <c r="R11" s="183"/>
    </row>
    <row r="12" customFormat="false" ht="19.85" hidden="false" customHeight="true" outlineLevel="0" collapsed="false">
      <c r="A12" s="1" t="n">
        <v>31</v>
      </c>
      <c r="B12" s="34" t="n">
        <v>41244</v>
      </c>
      <c r="C12" s="56" t="n">
        <v>410092</v>
      </c>
      <c r="D12" s="29" t="s">
        <v>41</v>
      </c>
      <c r="E12" s="33" t="n">
        <f aca="false">IF(D12="totale",(C12/(A12*24))/F12,IF(D12="marché libre",(C12/(A12*24))/G12,"spécifier histo"))</f>
        <v>0.127121523231361</v>
      </c>
      <c r="F12" s="59" t="n">
        <v>4336</v>
      </c>
      <c r="G12" s="59" t="n">
        <v>4336</v>
      </c>
      <c r="H12" s="59" t="n">
        <v>0</v>
      </c>
      <c r="J12" s="183"/>
      <c r="K12" s="183"/>
      <c r="L12" s="183"/>
      <c r="M12" s="183"/>
      <c r="N12" s="183"/>
      <c r="O12" s="183"/>
      <c r="P12" s="183"/>
      <c r="Q12" s="183"/>
      <c r="R12" s="183"/>
    </row>
    <row r="13" customFormat="false" ht="19.85" hidden="false" customHeight="true" outlineLevel="0" collapsed="false">
      <c r="A13" s="1" t="n">
        <v>31</v>
      </c>
      <c r="B13" s="31" t="n">
        <v>41275</v>
      </c>
      <c r="C13" s="56" t="n">
        <v>532100</v>
      </c>
      <c r="D13" s="29" t="s">
        <v>41</v>
      </c>
      <c r="E13" s="33" t="n">
        <f aca="false">IF(D13="totale",(C13/(A13*24))/F13,IF(D13="marché libre",(C13/(A13*24))/G13,"spécifier histo"))</f>
        <v>0.164941921596635</v>
      </c>
      <c r="F13" s="59" t="n">
        <v>4336</v>
      </c>
      <c r="G13" s="59" t="n">
        <v>4336</v>
      </c>
      <c r="H13" s="59" t="n">
        <v>0</v>
      </c>
      <c r="J13" s="183"/>
      <c r="K13" s="183"/>
      <c r="L13" s="183"/>
      <c r="M13" s="183"/>
      <c r="N13" s="183"/>
      <c r="O13" s="183"/>
      <c r="P13" s="183"/>
      <c r="Q13" s="183"/>
      <c r="R13" s="183"/>
    </row>
    <row r="14" customFormat="false" ht="19.85" hidden="false" customHeight="true" outlineLevel="0" collapsed="false">
      <c r="A14" s="1" t="n">
        <v>28</v>
      </c>
      <c r="B14" s="34" t="n">
        <v>41306</v>
      </c>
      <c r="C14" s="56" t="n">
        <v>1118170</v>
      </c>
      <c r="D14" s="29" t="s">
        <v>41</v>
      </c>
      <c r="E14" s="33" t="n">
        <f aca="false">IF(D14="totale",(C14/(A14*24))/F14,IF(D14="marché libre",(C14/(A14*24))/G14,"spécifier histo"))</f>
        <v>0.383750796213319</v>
      </c>
      <c r="F14" s="59" t="n">
        <v>4336</v>
      </c>
      <c r="G14" s="59" t="n">
        <v>4336</v>
      </c>
      <c r="H14" s="59" t="n">
        <v>0</v>
      </c>
      <c r="J14" s="183"/>
      <c r="K14" s="183"/>
      <c r="L14" s="183"/>
      <c r="M14" s="183"/>
      <c r="N14" s="183"/>
      <c r="O14" s="183"/>
      <c r="P14" s="183"/>
      <c r="Q14" s="183"/>
      <c r="R14" s="183"/>
    </row>
    <row r="15" customFormat="false" ht="19.85" hidden="false" customHeight="true" outlineLevel="0" collapsed="false">
      <c r="A15" s="1" t="n">
        <v>31</v>
      </c>
      <c r="B15" s="31" t="n">
        <v>41334</v>
      </c>
      <c r="C15" s="56" t="n">
        <v>899467</v>
      </c>
      <c r="D15" s="29" t="s">
        <v>41</v>
      </c>
      <c r="E15" s="33" t="n">
        <f aca="false">IF(D15="totale",(C15/(A15*24))/F15,IF(D15="marché libre",(C15/(A15*24))/G15,"spécifier histo"))</f>
        <v>0.278819423778915</v>
      </c>
      <c r="F15" s="59" t="n">
        <v>4336</v>
      </c>
      <c r="G15" s="59" t="n">
        <v>4336</v>
      </c>
      <c r="H15" s="59" t="n">
        <v>0</v>
      </c>
      <c r="J15" s="183"/>
      <c r="K15" s="183"/>
      <c r="L15" s="183"/>
      <c r="M15" s="183"/>
      <c r="N15" s="183"/>
      <c r="O15" s="183"/>
      <c r="P15" s="183"/>
      <c r="Q15" s="183"/>
      <c r="R15" s="183"/>
    </row>
    <row r="16" customFormat="false" ht="19.85" hidden="false" customHeight="true" outlineLevel="0" collapsed="false">
      <c r="A16" s="1" t="n">
        <v>30</v>
      </c>
      <c r="B16" s="34" t="n">
        <v>41365</v>
      </c>
      <c r="C16" s="56" t="n">
        <v>1328222</v>
      </c>
      <c r="D16" s="29" t="s">
        <v>41</v>
      </c>
      <c r="E16" s="33" t="n">
        <f aca="false">IF(D16="totale",(C16/(A16*24))/F16,IF(D16="marché libre",(C16/(A16*24))/G16,"spécifier histo"))</f>
        <v>0.425450363878639</v>
      </c>
      <c r="F16" s="59" t="n">
        <v>4336</v>
      </c>
      <c r="G16" s="59" t="n">
        <v>4336</v>
      </c>
      <c r="H16" s="59" t="n">
        <v>0</v>
      </c>
      <c r="J16" s="183"/>
      <c r="K16" s="183"/>
      <c r="L16" s="183"/>
      <c r="M16" s="183"/>
      <c r="N16" s="183"/>
      <c r="O16" s="183"/>
      <c r="P16" s="183"/>
      <c r="Q16" s="183"/>
      <c r="R16" s="183"/>
    </row>
    <row r="17" customFormat="false" ht="19.85" hidden="false" customHeight="true" outlineLevel="0" collapsed="false">
      <c r="A17" s="1" t="n">
        <v>31</v>
      </c>
      <c r="B17" s="31" t="n">
        <v>41395</v>
      </c>
      <c r="C17" s="56" t="n">
        <v>1445150</v>
      </c>
      <c r="D17" s="29" t="s">
        <v>41</v>
      </c>
      <c r="E17" s="33" t="n">
        <f aca="false">IF(D17="totale",(C17/(A17*24))/F17,IF(D17="marché libre",(C17/(A17*24))/G17,"spécifier histo"))</f>
        <v>0.447971843629727</v>
      </c>
      <c r="F17" s="59" t="n">
        <v>4336</v>
      </c>
      <c r="G17" s="59" t="n">
        <v>4336</v>
      </c>
      <c r="H17" s="59" t="n">
        <v>0</v>
      </c>
      <c r="J17" s="183"/>
      <c r="K17" s="183"/>
      <c r="L17" s="183"/>
      <c r="M17" s="183"/>
      <c r="N17" s="183"/>
      <c r="O17" s="183"/>
      <c r="P17" s="183"/>
      <c r="Q17" s="183"/>
      <c r="R17" s="183"/>
    </row>
    <row r="18" customFormat="false" ht="19.85" hidden="false" customHeight="true" outlineLevel="0" collapsed="false">
      <c r="A18" s="1" t="n">
        <v>30</v>
      </c>
      <c r="B18" s="34" t="n">
        <v>41426</v>
      </c>
      <c r="C18" s="56" t="n">
        <v>574595</v>
      </c>
      <c r="D18" s="29" t="s">
        <v>41</v>
      </c>
      <c r="E18" s="33" t="n">
        <f aca="false">IF(D18="totale",(C18/(A18*24))/F18,IF(D18="marché libre",(C18/(A18*24))/G18,"spécifier histo"))</f>
        <v>0.184051801455515</v>
      </c>
      <c r="F18" s="59" t="n">
        <v>4336</v>
      </c>
      <c r="G18" s="59" t="n">
        <v>4336</v>
      </c>
      <c r="H18" s="59" t="n">
        <v>0</v>
      </c>
      <c r="J18" s="183"/>
      <c r="K18" s="183"/>
      <c r="L18" s="183"/>
      <c r="M18" s="183"/>
      <c r="N18" s="183"/>
      <c r="O18" s="183"/>
      <c r="P18" s="183"/>
      <c r="Q18" s="183"/>
      <c r="R18" s="183"/>
    </row>
    <row r="19" customFormat="false" ht="19.85" hidden="false" customHeight="true" outlineLevel="0" collapsed="false">
      <c r="A19" s="1" t="n">
        <v>31</v>
      </c>
      <c r="B19" s="31" t="n">
        <v>41456</v>
      </c>
      <c r="C19" s="56" t="n">
        <v>0</v>
      </c>
      <c r="D19" s="29" t="s">
        <v>41</v>
      </c>
      <c r="E19" s="33" t="n">
        <f aca="false">IF(D19="totale",(C19/(A19*24))/F19,IF(D19="marché libre",(C19/(A19*24))/G19,"spécifier histo"))</f>
        <v>0</v>
      </c>
      <c r="F19" s="239" t="n">
        <v>4336</v>
      </c>
      <c r="G19" s="239" t="n">
        <v>0</v>
      </c>
      <c r="H19" s="239" t="n">
        <v>0</v>
      </c>
      <c r="I19" s="181" t="s">
        <v>1103</v>
      </c>
      <c r="J19" s="569" t="s">
        <v>1104</v>
      </c>
      <c r="K19" s="570"/>
      <c r="L19" s="183"/>
      <c r="M19" s="290"/>
      <c r="N19" s="183"/>
      <c r="O19" s="183"/>
      <c r="P19" s="183"/>
      <c r="Q19" s="183"/>
      <c r="R19" s="183"/>
    </row>
    <row r="20" customFormat="false" ht="19.85" hidden="false" customHeight="true" outlineLevel="0" collapsed="false">
      <c r="A20" s="1" t="n">
        <v>31</v>
      </c>
      <c r="B20" s="34" t="n">
        <v>41487</v>
      </c>
      <c r="C20" s="56" t="n">
        <v>0</v>
      </c>
      <c r="D20" s="29" t="s">
        <v>41</v>
      </c>
      <c r="E20" s="33" t="n">
        <f aca="false">IF(D20="totale",(C20/(A20*24))/F20,IF(D20="marché libre",(C20/(A20*24))/G20,"spécifier histo"))</f>
        <v>0</v>
      </c>
      <c r="F20" s="239" t="n">
        <v>4336</v>
      </c>
      <c r="G20" s="239" t="n">
        <v>0</v>
      </c>
      <c r="H20" s="239" t="n">
        <v>0</v>
      </c>
      <c r="I20" s="181"/>
      <c r="J20" s="569"/>
      <c r="K20" s="183"/>
      <c r="L20" s="183"/>
      <c r="M20" s="290"/>
      <c r="N20" s="183"/>
      <c r="O20" s="183"/>
      <c r="P20" s="183"/>
      <c r="Q20" s="183"/>
      <c r="R20" s="183"/>
    </row>
    <row r="21" customFormat="false" ht="19.85" hidden="false" customHeight="true" outlineLevel="0" collapsed="false">
      <c r="A21" s="1" t="n">
        <v>30</v>
      </c>
      <c r="B21" s="31" t="n">
        <v>41518</v>
      </c>
      <c r="C21" s="56" t="n">
        <v>0</v>
      </c>
      <c r="D21" s="29" t="s">
        <v>41</v>
      </c>
      <c r="E21" s="33" t="n">
        <f aca="false">IF(D21="totale",(C21/(A21*24))/F21,IF(D21="marché libre",(C21/(A21*24))/G21,"spécifier histo"))</f>
        <v>0</v>
      </c>
      <c r="F21" s="239" t="n">
        <v>4336</v>
      </c>
      <c r="G21" s="239" t="n">
        <v>0</v>
      </c>
      <c r="H21" s="239" t="n">
        <v>0</v>
      </c>
      <c r="I21" s="181"/>
      <c r="J21" s="183"/>
      <c r="K21" s="183"/>
      <c r="L21" s="183"/>
      <c r="M21" s="290"/>
      <c r="N21" s="183"/>
      <c r="O21" s="183"/>
      <c r="P21" s="183"/>
      <c r="Q21" s="183"/>
      <c r="R21" s="183"/>
    </row>
    <row r="22" customFormat="false" ht="19.85" hidden="false" customHeight="true" outlineLevel="0" collapsed="false">
      <c r="A22" s="1" t="n">
        <v>31</v>
      </c>
      <c r="B22" s="34" t="n">
        <v>41548</v>
      </c>
      <c r="C22" s="56" t="n">
        <v>456</v>
      </c>
      <c r="D22" s="29" t="s">
        <v>41</v>
      </c>
      <c r="E22" s="33" t="n">
        <f aca="false">IF(D22="totale",(C22/(A22*24))/F22,IF(D22="marché libre",(C22/(A22*24))/G22,"spécifier histo"))</f>
        <v>0.000141352219973813</v>
      </c>
      <c r="F22" s="59" t="n">
        <v>4336</v>
      </c>
      <c r="G22" s="59" t="n">
        <f aca="false">F22-H22</f>
        <v>1936</v>
      </c>
      <c r="H22" s="59" t="n">
        <v>2400</v>
      </c>
      <c r="J22" s="183"/>
      <c r="K22" s="183"/>
      <c r="L22" s="183"/>
      <c r="M22" s="183"/>
      <c r="N22" s="183"/>
      <c r="O22" s="183"/>
      <c r="P22" s="183"/>
      <c r="Q22" s="183"/>
      <c r="R22" s="183"/>
    </row>
    <row r="23" customFormat="false" ht="19.85" hidden="false" customHeight="true" outlineLevel="0" collapsed="false">
      <c r="A23" s="1" t="n">
        <v>30</v>
      </c>
      <c r="B23" s="31" t="n">
        <v>41579</v>
      </c>
      <c r="C23" s="56" t="n">
        <v>826837</v>
      </c>
      <c r="D23" s="29" t="s">
        <v>41</v>
      </c>
      <c r="E23" s="33" t="n">
        <f aca="false">IF(D23="totale",(C23/(A23*24))/F23,IF(D23="marché libre",(C23/(A23*24))/G23,"spécifier histo"))</f>
        <v>0.264848875051251</v>
      </c>
      <c r="F23" s="59" t="n">
        <v>4336</v>
      </c>
      <c r="G23" s="59" t="n">
        <f aca="false">F23-H23</f>
        <v>1936</v>
      </c>
      <c r="H23" s="59" t="n">
        <v>2400</v>
      </c>
      <c r="J23" s="183" t="s">
        <v>1105</v>
      </c>
      <c r="K23" s="183"/>
      <c r="L23" s="183"/>
      <c r="M23" s="183"/>
      <c r="N23" s="183"/>
      <c r="O23" s="183"/>
      <c r="P23" s="183"/>
      <c r="Q23" s="183"/>
      <c r="R23" s="183"/>
    </row>
    <row r="24" customFormat="false" ht="19.85" hidden="false" customHeight="true" outlineLevel="0" collapsed="false">
      <c r="A24" s="1" t="n">
        <v>31</v>
      </c>
      <c r="B24" s="34" t="n">
        <v>41609</v>
      </c>
      <c r="C24" s="56" t="n">
        <v>239811</v>
      </c>
      <c r="D24" s="29" t="s">
        <v>41</v>
      </c>
      <c r="E24" s="33" t="n">
        <f aca="false">IF(D24="totale",(C24/(A24*24))/F24,IF(D24="marché libre",(C24/(A24*24))/G24,"spécifier histo"))</f>
        <v>0.0743373184739912</v>
      </c>
      <c r="F24" s="59" t="n">
        <v>4336</v>
      </c>
      <c r="G24" s="59" t="n">
        <f aca="false">F24-H24</f>
        <v>1936</v>
      </c>
      <c r="H24" s="59" t="n">
        <v>2400</v>
      </c>
      <c r="J24" s="183"/>
      <c r="K24" s="183"/>
      <c r="L24" s="183"/>
      <c r="M24" s="183"/>
      <c r="N24" s="183"/>
      <c r="O24" s="183"/>
      <c r="P24" s="183"/>
      <c r="Q24" s="183"/>
      <c r="R24" s="183"/>
    </row>
    <row r="25" customFormat="false" ht="19.85" hidden="false" customHeight="true" outlineLevel="0" collapsed="false">
      <c r="A25" s="1" t="n">
        <v>31</v>
      </c>
      <c r="B25" s="31" t="n">
        <v>41640</v>
      </c>
      <c r="C25" s="56" t="n">
        <v>604525</v>
      </c>
      <c r="D25" s="29" t="s">
        <v>41</v>
      </c>
      <c r="E25" s="33" t="n">
        <f aca="false">IF(D25="totale",(C25/(A25*24))/F25,IF(D25="marché libre",(C25/(A25*24))/G25,"spécifier histo"))</f>
        <v>0.187392435920327</v>
      </c>
      <c r="F25" s="59" t="n">
        <v>4336</v>
      </c>
      <c r="G25" s="59" t="n">
        <f aca="false">F25-H25</f>
        <v>1936</v>
      </c>
      <c r="H25" s="59" t="n">
        <v>2400</v>
      </c>
      <c r="J25" s="183"/>
      <c r="K25" s="183"/>
      <c r="L25" s="183"/>
    </row>
    <row r="26" customFormat="false" ht="19.85" hidden="false" customHeight="true" outlineLevel="0" collapsed="false">
      <c r="A26" s="1" t="n">
        <v>28</v>
      </c>
      <c r="B26" s="34" t="n">
        <v>41671</v>
      </c>
      <c r="C26" s="56" t="n">
        <v>984311</v>
      </c>
      <c r="D26" s="29" t="s">
        <v>41</v>
      </c>
      <c r="E26" s="33" t="n">
        <f aca="false">IF(D26="totale",(C26/(A26*24))/F26,IF(D26="marché libre",(C26/(A26*24))/G26,"spécifier histo"))</f>
        <v>0.337811003668072</v>
      </c>
      <c r="F26" s="59" t="n">
        <v>4336</v>
      </c>
      <c r="G26" s="59" t="n">
        <f aca="false">F26-H26</f>
        <v>1936</v>
      </c>
      <c r="H26" s="59" t="n">
        <v>2400</v>
      </c>
      <c r="J26" s="183"/>
      <c r="K26" s="183"/>
      <c r="L26" s="183"/>
    </row>
    <row r="27" customFormat="false" ht="19.85" hidden="false" customHeight="true" outlineLevel="0" collapsed="false">
      <c r="A27" s="1" t="n">
        <v>31</v>
      </c>
      <c r="B27" s="31" t="n">
        <v>41699</v>
      </c>
      <c r="C27" s="56" t="n">
        <v>1136173</v>
      </c>
      <c r="D27" s="29" t="s">
        <v>41</v>
      </c>
      <c r="E27" s="33" t="n">
        <f aca="false">IF(D27="totale",(C27/(A27*24))/F27,IF(D27="marché libre",(C27/(A27*24))/G27,"spécifier histo"))</f>
        <v>0.352194245228743</v>
      </c>
      <c r="F27" s="59" t="n">
        <v>4336</v>
      </c>
      <c r="G27" s="59" t="n">
        <f aca="false">F27-H27</f>
        <v>1936</v>
      </c>
      <c r="H27" s="59" t="n">
        <v>2400</v>
      </c>
      <c r="J27" s="183"/>
      <c r="K27" s="183"/>
      <c r="L27" s="183"/>
    </row>
    <row r="28" customFormat="false" ht="19.85" hidden="false" customHeight="true" outlineLevel="0" collapsed="false">
      <c r="A28" s="1" t="n">
        <v>30</v>
      </c>
      <c r="B28" s="34" t="n">
        <v>41730</v>
      </c>
      <c r="C28" s="56" t="n">
        <v>1371884</v>
      </c>
      <c r="D28" s="29" t="s">
        <v>41</v>
      </c>
      <c r="E28" s="33" t="n">
        <f aca="false">IF(D28="totale",(C28/(A28*24))/F28,IF(D28="marché libre",(C28/(A28*24))/G28,"spécifier histo"))</f>
        <v>0.439435988109881</v>
      </c>
      <c r="F28" s="59" t="n">
        <v>4336</v>
      </c>
      <c r="G28" s="59" t="n">
        <f aca="false">F28-H28</f>
        <v>1936</v>
      </c>
      <c r="H28" s="59" t="n">
        <v>2400</v>
      </c>
      <c r="J28" s="183"/>
      <c r="K28" s="183"/>
      <c r="L28" s="183"/>
    </row>
    <row r="29" customFormat="false" ht="19.85" hidden="false" customHeight="true" outlineLevel="0" collapsed="false">
      <c r="A29" s="1" t="n">
        <v>31</v>
      </c>
      <c r="B29" s="31" t="n">
        <v>41760</v>
      </c>
      <c r="C29" s="56" t="n">
        <v>1333562</v>
      </c>
      <c r="D29" s="29" t="s">
        <v>41</v>
      </c>
      <c r="E29" s="33" t="n">
        <f aca="false">IF(D29="totale",(C29/(A29*24))/F29,IF(D29="marché libre",(C29/(A29*24))/G29,"spécifier histo"))</f>
        <v>0.41338146748403</v>
      </c>
      <c r="F29" s="59" t="n">
        <v>4336</v>
      </c>
      <c r="G29" s="59" t="n">
        <f aca="false">F29-H29</f>
        <v>1936</v>
      </c>
      <c r="H29" s="59" t="n">
        <v>2400</v>
      </c>
      <c r="J29" s="183"/>
      <c r="K29" s="183"/>
      <c r="L29" s="183"/>
    </row>
    <row r="30" customFormat="false" ht="19.85" hidden="false" customHeight="true" outlineLevel="0" collapsed="false">
      <c r="A30" s="1" t="n">
        <v>30</v>
      </c>
      <c r="B30" s="34" t="n">
        <v>41791</v>
      </c>
      <c r="C30" s="56" t="n">
        <v>1324840</v>
      </c>
      <c r="D30" s="29" t="s">
        <v>41</v>
      </c>
      <c r="E30" s="33" t="n">
        <f aca="false">IF(D30="totale",(C30/(A30*24))/F30,IF(D30="marché libre",(C30/(A30*24))/G30,"spécifier histo"))</f>
        <v>0.424367056170562</v>
      </c>
      <c r="F30" s="59" t="n">
        <v>4336</v>
      </c>
      <c r="G30" s="59" t="n">
        <f aca="false">F30-H30</f>
        <v>1936</v>
      </c>
      <c r="H30" s="59" t="n">
        <v>2400</v>
      </c>
      <c r="J30" s="183"/>
      <c r="K30" s="183"/>
      <c r="L30" s="183"/>
    </row>
    <row r="31" customFormat="false" ht="19.85" hidden="false" customHeight="true" outlineLevel="0" collapsed="false">
      <c r="A31" s="1" t="n">
        <v>31</v>
      </c>
      <c r="B31" s="31" t="n">
        <v>41821</v>
      </c>
      <c r="C31" s="56" t="n">
        <v>843797</v>
      </c>
      <c r="D31" s="29" t="s">
        <v>41</v>
      </c>
      <c r="E31" s="33" t="n">
        <f aca="false">IF(D31="totale",(C31/(A31*24))/F31,IF(D31="marché libre",(C31/(A31*24))/G31,"spécifier histo"))</f>
        <v>0.261562673590446</v>
      </c>
      <c r="F31" s="59" t="n">
        <v>4336</v>
      </c>
      <c r="G31" s="59" t="n">
        <f aca="false">F31-H31</f>
        <v>1936</v>
      </c>
      <c r="H31" s="59" t="n">
        <v>2400</v>
      </c>
      <c r="J31" s="183"/>
      <c r="K31" s="183"/>
      <c r="L31" s="183"/>
    </row>
    <row r="32" customFormat="false" ht="19.85" hidden="false" customHeight="true" outlineLevel="0" collapsed="false">
      <c r="A32" s="1" t="n">
        <v>31</v>
      </c>
      <c r="B32" s="34" t="n">
        <v>41852</v>
      </c>
      <c r="C32" s="56" t="n">
        <v>131257</v>
      </c>
      <c r="D32" s="29" t="s">
        <v>41</v>
      </c>
      <c r="E32" s="33" t="n">
        <f aca="false">IF(D32="totale",(C32/(A32*24))/F32,IF(D32="marché libre",(C32/(A32*24))/G32,"spécifier histo"))</f>
        <v>0.0406874305638218</v>
      </c>
      <c r="F32" s="59" t="n">
        <v>4336</v>
      </c>
      <c r="G32" s="59" t="n">
        <f aca="false">F32-H32</f>
        <v>1936</v>
      </c>
      <c r="H32" s="59" t="n">
        <v>2400</v>
      </c>
      <c r="J32" s="183"/>
      <c r="K32" s="183"/>
      <c r="L32" s="183"/>
    </row>
    <row r="33" customFormat="false" ht="19.85" hidden="false" customHeight="true" outlineLevel="0" collapsed="false">
      <c r="A33" s="1" t="n">
        <v>30</v>
      </c>
      <c r="B33" s="31" t="n">
        <v>41883</v>
      </c>
      <c r="C33" s="56" t="n">
        <v>0</v>
      </c>
      <c r="D33" s="29" t="s">
        <v>41</v>
      </c>
      <c r="E33" s="33" t="n">
        <f aca="false">IF(D33="totale",(C33/(A33*24))/F33,IF(D33="marché libre",(C33/(A33*24))/G33,"spécifier histo"))</f>
        <v>0</v>
      </c>
      <c r="F33" s="59" t="n">
        <v>4336</v>
      </c>
      <c r="G33" s="59" t="n">
        <f aca="false">F33-H33</f>
        <v>1936</v>
      </c>
      <c r="H33" s="59" t="n">
        <v>2400</v>
      </c>
      <c r="J33" s="183"/>
      <c r="K33" s="183"/>
      <c r="L33" s="183"/>
      <c r="M33" s="183"/>
      <c r="N33" s="183"/>
      <c r="O33" s="183"/>
      <c r="P33" s="183"/>
      <c r="Q33" s="183"/>
      <c r="R33" s="183"/>
    </row>
    <row r="34" customFormat="false" ht="19.85" hidden="false" customHeight="true" outlineLevel="0" collapsed="false">
      <c r="A34" s="1" t="n">
        <v>31</v>
      </c>
      <c r="B34" s="34" t="n">
        <v>41913</v>
      </c>
      <c r="C34" s="56" t="n">
        <v>0</v>
      </c>
      <c r="D34" s="29" t="s">
        <v>41</v>
      </c>
      <c r="E34" s="33" t="n">
        <f aca="false">IF(D34="totale",(C34/(A34*24))/F34,IF(D34="marché libre",(C34/(A34*24))/G34,"spécifier histo"))</f>
        <v>0</v>
      </c>
      <c r="F34" s="59" t="n">
        <v>4336</v>
      </c>
      <c r="G34" s="59" t="n">
        <f aca="false">F34-H34</f>
        <v>1936</v>
      </c>
      <c r="H34" s="59" t="n">
        <v>2400</v>
      </c>
      <c r="J34" s="183"/>
      <c r="K34" s="183"/>
      <c r="L34" s="183"/>
      <c r="M34" s="183"/>
      <c r="N34" s="183"/>
      <c r="O34" s="183"/>
      <c r="P34" s="183"/>
      <c r="Q34" s="183"/>
      <c r="R34" s="183"/>
    </row>
    <row r="35" customFormat="false" ht="19.85" hidden="false" customHeight="true" outlineLevel="0" collapsed="false">
      <c r="A35" s="1" t="n">
        <v>30</v>
      </c>
      <c r="B35" s="31" t="n">
        <v>41944</v>
      </c>
      <c r="C35" s="56" t="n">
        <v>0</v>
      </c>
      <c r="D35" s="29" t="s">
        <v>41</v>
      </c>
      <c r="E35" s="33" t="n">
        <f aca="false">IF(D35="totale",(C35/(A35*24))/F35,IF(D35="marché libre",(C35/(A35*24))/G35,"spécifier histo"))</f>
        <v>0</v>
      </c>
      <c r="F35" s="59" t="n">
        <v>4336</v>
      </c>
      <c r="G35" s="59" t="n">
        <f aca="false">F35-H35</f>
        <v>1936</v>
      </c>
      <c r="H35" s="59" t="n">
        <v>2400</v>
      </c>
      <c r="J35" s="183"/>
      <c r="K35" s="183"/>
      <c r="L35" s="183"/>
      <c r="M35" s="571" t="s">
        <v>1106</v>
      </c>
      <c r="N35" s="571"/>
      <c r="O35" s="571"/>
      <c r="P35" s="571"/>
      <c r="Q35" s="571"/>
      <c r="R35" s="571"/>
      <c r="S35" s="571"/>
      <c r="T35" s="571"/>
      <c r="U35" s="571"/>
      <c r="V35" s="571"/>
      <c r="W35" s="571"/>
      <c r="X35" s="571"/>
    </row>
    <row r="36" customFormat="false" ht="19.85" hidden="false" customHeight="true" outlineLevel="0" collapsed="false">
      <c r="A36" s="1" t="n">
        <v>31</v>
      </c>
      <c r="B36" s="34" t="n">
        <v>41974</v>
      </c>
      <c r="C36" s="56" t="n">
        <v>336342</v>
      </c>
      <c r="D36" s="29" t="s">
        <v>41</v>
      </c>
      <c r="E36" s="33" t="n">
        <f aca="false">IF(D36="totale",(C36/(A36*24))/F36,IF(D36="marché libre",(C36/(A36*24))/G36,"spécifier histo"))</f>
        <v>0.104260281514105</v>
      </c>
      <c r="F36" s="59" t="n">
        <v>4336</v>
      </c>
      <c r="G36" s="59" t="n">
        <f aca="false">F36-H36</f>
        <v>1936</v>
      </c>
      <c r="H36" s="59" t="n">
        <v>2400</v>
      </c>
      <c r="J36" s="183"/>
      <c r="K36" s="183"/>
      <c r="L36" s="183"/>
      <c r="M36" s="571"/>
      <c r="N36" s="571"/>
      <c r="O36" s="571"/>
      <c r="P36" s="571"/>
      <c r="Q36" s="571"/>
      <c r="R36" s="571"/>
      <c r="S36" s="571"/>
      <c r="T36" s="571"/>
      <c r="U36" s="571"/>
      <c r="V36" s="571"/>
      <c r="W36" s="571"/>
      <c r="X36" s="571"/>
    </row>
    <row r="37" customFormat="false" ht="19.85" hidden="false" customHeight="true" outlineLevel="0" collapsed="false">
      <c r="A37" s="1" t="n">
        <v>31</v>
      </c>
      <c r="B37" s="31" t="n">
        <v>42005</v>
      </c>
      <c r="C37" s="56" t="n">
        <v>0</v>
      </c>
      <c r="D37" s="29" t="s">
        <v>41</v>
      </c>
      <c r="E37" s="33" t="n">
        <f aca="false">IF(D37="totale",(C37/(A37*24))/F37,IF(D37="marché libre",(C37/(A37*24))/G37,"spécifier histo"))</f>
        <v>0</v>
      </c>
      <c r="F37" s="59" t="n">
        <v>4336</v>
      </c>
      <c r="G37" s="59" t="n">
        <f aca="false">F37-H37</f>
        <v>1936</v>
      </c>
      <c r="H37" s="59" t="n">
        <v>2400</v>
      </c>
      <c r="J37" s="183"/>
      <c r="K37" s="183"/>
      <c r="L37" s="183"/>
      <c r="M37" s="571"/>
      <c r="N37" s="571"/>
      <c r="O37" s="571"/>
      <c r="P37" s="571"/>
      <c r="Q37" s="571"/>
      <c r="R37" s="571"/>
      <c r="S37" s="571"/>
      <c r="T37" s="571"/>
      <c r="U37" s="571"/>
      <c r="V37" s="571"/>
      <c r="W37" s="571"/>
      <c r="X37" s="571"/>
    </row>
    <row r="38" customFormat="false" ht="19.85" hidden="false" customHeight="true" outlineLevel="0" collapsed="false">
      <c r="A38" s="1" t="n">
        <v>28</v>
      </c>
      <c r="B38" s="34" t="n">
        <v>42036</v>
      </c>
      <c r="C38" s="56" t="n">
        <v>636707</v>
      </c>
      <c r="D38" s="29" t="s">
        <v>41</v>
      </c>
      <c r="E38" s="33" t="n">
        <f aca="false">IF(D38="totale",(C38/(A38*24))/F38,IF(D38="marché libre",(C38/(A38*24))/G38,"spécifier histo"))</f>
        <v>0.218514911153576</v>
      </c>
      <c r="F38" s="59" t="n">
        <v>4336</v>
      </c>
      <c r="G38" s="59" t="n">
        <f aca="false">F38-H38</f>
        <v>1936</v>
      </c>
      <c r="H38" s="59" t="n">
        <v>2400</v>
      </c>
      <c r="J38" s="183"/>
      <c r="K38" s="183"/>
      <c r="L38" s="183"/>
      <c r="M38" s="571"/>
      <c r="N38" s="571"/>
      <c r="O38" s="571"/>
      <c r="P38" s="571"/>
      <c r="Q38" s="571"/>
      <c r="R38" s="571"/>
      <c r="S38" s="571"/>
      <c r="T38" s="571"/>
      <c r="U38" s="571"/>
      <c r="V38" s="571"/>
      <c r="W38" s="571"/>
      <c r="X38" s="571"/>
    </row>
    <row r="39" customFormat="false" ht="19.85" hidden="false" customHeight="true" outlineLevel="0" collapsed="false">
      <c r="A39" s="1" t="n">
        <v>31</v>
      </c>
      <c r="B39" s="31" t="n">
        <v>42064</v>
      </c>
      <c r="C39" s="56" t="n">
        <v>1246290</v>
      </c>
      <c r="D39" s="29" t="s">
        <v>41</v>
      </c>
      <c r="E39" s="33" t="n">
        <f aca="false">IF(D39="totale",(C39/(A39*24))/F39,IF(D39="marché libre",(C39/(A39*24))/G39,"spécifier histo"))</f>
        <v>0.386328636471849</v>
      </c>
      <c r="F39" s="59" t="n">
        <v>4336</v>
      </c>
      <c r="G39" s="59" t="n">
        <f aca="false">F39-H39</f>
        <v>1936</v>
      </c>
      <c r="H39" s="59" t="n">
        <v>2400</v>
      </c>
      <c r="J39" s="183"/>
      <c r="K39" s="183"/>
      <c r="L39" s="183"/>
      <c r="M39" s="571"/>
      <c r="N39" s="571"/>
      <c r="O39" s="571"/>
      <c r="P39" s="571"/>
      <c r="Q39" s="571"/>
      <c r="R39" s="571"/>
      <c r="S39" s="571"/>
      <c r="T39" s="571"/>
      <c r="U39" s="571"/>
      <c r="V39" s="571"/>
      <c r="W39" s="571"/>
      <c r="X39" s="571"/>
    </row>
    <row r="40" customFormat="false" ht="19.85" hidden="false" customHeight="true" outlineLevel="0" collapsed="false">
      <c r="A40" s="1" t="n">
        <v>30</v>
      </c>
      <c r="B40" s="34" t="n">
        <v>42095</v>
      </c>
      <c r="C40" s="56" t="n">
        <v>1256443</v>
      </c>
      <c r="D40" s="29" t="s">
        <v>41</v>
      </c>
      <c r="E40" s="33" t="n">
        <f aca="false">IF(D40="totale",(C40/(A40*24))/F40,IF(D40="marché libre",(C40/(A40*24))/G40,"spécifier histo"))</f>
        <v>0.40245842302173</v>
      </c>
      <c r="F40" s="59" t="n">
        <v>4336</v>
      </c>
      <c r="G40" s="59" t="n">
        <f aca="false">F40-H40</f>
        <v>1936</v>
      </c>
      <c r="H40" s="59" t="n">
        <v>2400</v>
      </c>
      <c r="J40" s="183"/>
      <c r="K40" s="183"/>
      <c r="L40" s="183"/>
      <c r="M40" s="571"/>
      <c r="N40" s="571"/>
      <c r="O40" s="571"/>
      <c r="P40" s="571"/>
      <c r="Q40" s="571"/>
      <c r="R40" s="571"/>
      <c r="S40" s="571"/>
      <c r="T40" s="571"/>
      <c r="U40" s="571"/>
      <c r="V40" s="571"/>
      <c r="W40" s="571"/>
      <c r="X40" s="571"/>
    </row>
    <row r="41" customFormat="false" ht="19.85" hidden="false" customHeight="true" outlineLevel="0" collapsed="false">
      <c r="A41" s="1" t="n">
        <v>31</v>
      </c>
      <c r="B41" s="31" t="n">
        <v>42125</v>
      </c>
      <c r="C41" s="56" t="n">
        <v>1047285</v>
      </c>
      <c r="D41" s="29" t="s">
        <v>41</v>
      </c>
      <c r="E41" s="33" t="n">
        <f aca="false">IF(D41="totale",(C41/(A41*24))/F41,IF(D41="marché libre",(C41/(A41*24))/G41,"spécifier histo"))</f>
        <v>0.324640481787882</v>
      </c>
      <c r="F41" s="59" t="n">
        <v>4336</v>
      </c>
      <c r="G41" s="59" t="n">
        <f aca="false">F41-H41</f>
        <v>1936</v>
      </c>
      <c r="H41" s="59" t="n">
        <v>2400</v>
      </c>
      <c r="J41" s="183"/>
      <c r="K41" s="183"/>
      <c r="L41" s="183"/>
      <c r="M41" s="571"/>
      <c r="N41" s="571"/>
      <c r="O41" s="571"/>
      <c r="P41" s="571"/>
      <c r="Q41" s="571"/>
      <c r="R41" s="571"/>
      <c r="S41" s="571"/>
      <c r="T41" s="571"/>
      <c r="U41" s="571"/>
      <c r="V41" s="571"/>
      <c r="W41" s="571"/>
      <c r="X41" s="571"/>
    </row>
    <row r="42" customFormat="false" ht="19.85" hidden="false" customHeight="true" outlineLevel="0" collapsed="false">
      <c r="A42" s="1" t="n">
        <v>30</v>
      </c>
      <c r="B42" s="34" t="n">
        <v>42156</v>
      </c>
      <c r="C42" s="56" t="n">
        <v>871940</v>
      </c>
      <c r="D42" s="29" t="s">
        <v>41</v>
      </c>
      <c r="E42" s="33" t="n">
        <f aca="false">IF(D42="totale",(C42/(A42*24))/F42,IF(D42="marché libre",(C42/(A42*24))/G42,"spécifier histo"))</f>
        <v>0.279296074210742</v>
      </c>
      <c r="F42" s="59" t="n">
        <v>4336</v>
      </c>
      <c r="G42" s="59" t="n">
        <f aca="false">F42-H42</f>
        <v>1936</v>
      </c>
      <c r="H42" s="59" t="n">
        <v>2400</v>
      </c>
      <c r="J42" s="183"/>
      <c r="K42" s="183"/>
      <c r="L42" s="183"/>
      <c r="M42" s="571"/>
      <c r="N42" s="571"/>
      <c r="O42" s="571"/>
      <c r="P42" s="571"/>
      <c r="Q42" s="571"/>
      <c r="R42" s="571"/>
      <c r="S42" s="571"/>
      <c r="T42" s="571"/>
      <c r="U42" s="571"/>
      <c r="V42" s="571"/>
      <c r="W42" s="571"/>
      <c r="X42" s="571"/>
    </row>
    <row r="43" customFormat="false" ht="19.85" hidden="false" customHeight="true" outlineLevel="0" collapsed="false">
      <c r="A43" s="1" t="n">
        <v>31</v>
      </c>
      <c r="B43" s="31" t="n">
        <v>42186</v>
      </c>
      <c r="C43" s="56" t="n">
        <v>0</v>
      </c>
      <c r="D43" s="29" t="s">
        <v>41</v>
      </c>
      <c r="E43" s="33" t="n">
        <f aca="false">IF(D43="totale",(C43/(A43*24))/F43,IF(D43="marché libre",(C43/(A43*24))/G43,"spécifier histo"))</f>
        <v>0</v>
      </c>
      <c r="F43" s="59" t="n">
        <v>4336</v>
      </c>
      <c r="G43" s="59" t="n">
        <f aca="false">F43-H43</f>
        <v>1936</v>
      </c>
      <c r="H43" s="59" t="n">
        <v>2400</v>
      </c>
      <c r="J43" s="205"/>
      <c r="K43" s="183"/>
      <c r="L43" s="183"/>
      <c r="M43" s="571"/>
      <c r="N43" s="571"/>
      <c r="O43" s="571"/>
      <c r="P43" s="571"/>
      <c r="Q43" s="571"/>
      <c r="R43" s="571"/>
      <c r="S43" s="571"/>
      <c r="T43" s="571"/>
      <c r="U43" s="571"/>
      <c r="V43" s="571"/>
      <c r="W43" s="571"/>
      <c r="X43" s="571"/>
    </row>
    <row r="44" customFormat="false" ht="19.85" hidden="false" customHeight="true" outlineLevel="0" collapsed="false">
      <c r="A44" s="1" t="n">
        <v>31</v>
      </c>
      <c r="B44" s="34" t="n">
        <v>42217</v>
      </c>
      <c r="C44" s="56" t="n">
        <v>49743</v>
      </c>
      <c r="D44" s="29" t="s">
        <v>41</v>
      </c>
      <c r="E44" s="33" t="n">
        <f aca="false">IF(D44="totale",(C44/(A44*24))/F44,IF(D44="marché libre",(C44/(A44*24))/G44,"spécifier histo"))</f>
        <v>0.0154194813117486</v>
      </c>
      <c r="F44" s="59" t="n">
        <v>4336</v>
      </c>
      <c r="G44" s="59" t="n">
        <f aca="false">F44-H44</f>
        <v>1936</v>
      </c>
      <c r="H44" s="59" t="n">
        <v>2400</v>
      </c>
      <c r="J44" s="205"/>
      <c r="K44" s="183"/>
      <c r="L44" s="183"/>
      <c r="M44" s="571"/>
      <c r="N44" s="571"/>
      <c r="O44" s="571"/>
      <c r="P44" s="571"/>
      <c r="Q44" s="571"/>
      <c r="R44" s="571"/>
      <c r="S44" s="571"/>
      <c r="T44" s="571"/>
      <c r="U44" s="571"/>
      <c r="V44" s="571"/>
      <c r="W44" s="571"/>
      <c r="X44" s="571"/>
    </row>
    <row r="45" customFormat="false" ht="19.85" hidden="false" customHeight="true" outlineLevel="0" collapsed="false">
      <c r="A45" s="1" t="n">
        <v>30</v>
      </c>
      <c r="B45" s="31" t="n">
        <v>42248</v>
      </c>
      <c r="C45" s="56" t="n">
        <v>15759</v>
      </c>
      <c r="D45" s="29" t="s">
        <v>41</v>
      </c>
      <c r="E45" s="33" t="n">
        <f aca="false">IF(D45="totale",(C45/(A45*24))/F45,IF(D45="marché libre",(C45/(A45*24))/G45,"spécifier histo"))</f>
        <v>0.00504785516605166</v>
      </c>
      <c r="F45" s="59" t="n">
        <v>4336</v>
      </c>
      <c r="G45" s="59" t="n">
        <f aca="false">F45-H45</f>
        <v>1936</v>
      </c>
      <c r="H45" s="59" t="n">
        <v>2400</v>
      </c>
      <c r="J45" s="205"/>
      <c r="K45" s="183"/>
      <c r="L45" s="183"/>
      <c r="M45" s="571"/>
      <c r="N45" s="571"/>
      <c r="O45" s="571"/>
      <c r="P45" s="571"/>
      <c r="Q45" s="571"/>
      <c r="R45" s="571"/>
      <c r="S45" s="571"/>
      <c r="T45" s="571"/>
      <c r="U45" s="571"/>
      <c r="V45" s="571"/>
      <c r="W45" s="571"/>
      <c r="X45" s="571"/>
    </row>
    <row r="46" customFormat="false" ht="19.85" hidden="false" customHeight="true" outlineLevel="0" collapsed="false">
      <c r="A46" s="1" t="n">
        <v>31</v>
      </c>
      <c r="B46" s="34" t="n">
        <v>42278</v>
      </c>
      <c r="C46" s="56" t="n">
        <v>510</v>
      </c>
      <c r="D46" s="29" t="s">
        <v>41</v>
      </c>
      <c r="E46" s="33" t="n">
        <f aca="false">IF(D46="totale",(C46/(A46*24))/F46,IF(D46="marché libre",(C46/(A46*24))/G46,"spécifier histo"))</f>
        <v>0.000158091298654922</v>
      </c>
      <c r="F46" s="59" t="n">
        <v>4336</v>
      </c>
      <c r="G46" s="59" t="n">
        <f aca="false">F46-H46</f>
        <v>1936</v>
      </c>
      <c r="H46" s="59" t="n">
        <v>2400</v>
      </c>
      <c r="J46" s="205"/>
      <c r="K46" s="183"/>
      <c r="L46" s="183"/>
      <c r="M46" s="571"/>
      <c r="N46" s="571"/>
      <c r="O46" s="571"/>
      <c r="P46" s="571"/>
      <c r="Q46" s="571"/>
      <c r="R46" s="571"/>
      <c r="S46" s="571"/>
      <c r="T46" s="571"/>
      <c r="U46" s="571"/>
      <c r="V46" s="571"/>
      <c r="W46" s="571"/>
      <c r="X46" s="571"/>
    </row>
    <row r="47" customFormat="false" ht="19.85" hidden="false" customHeight="true" outlineLevel="0" collapsed="false">
      <c r="A47" s="1" t="n">
        <v>30</v>
      </c>
      <c r="B47" s="31" t="n">
        <v>42309</v>
      </c>
      <c r="C47" s="56" t="n">
        <v>165380</v>
      </c>
      <c r="D47" s="29" t="s">
        <v>41</v>
      </c>
      <c r="E47" s="33" t="n">
        <f aca="false">IF(D47="totale",(C47/(A47*24))/F47,IF(D47="marché libre",(C47/(A47*24))/G47,"spécifier histo"))</f>
        <v>0.0529738109881099</v>
      </c>
      <c r="F47" s="59" t="n">
        <v>4336</v>
      </c>
      <c r="G47" s="59" t="n">
        <f aca="false">F47-H47</f>
        <v>1936</v>
      </c>
      <c r="H47" s="59" t="n">
        <v>2400</v>
      </c>
      <c r="J47" s="205"/>
      <c r="K47" s="183"/>
      <c r="L47" s="183"/>
      <c r="M47" s="571"/>
      <c r="N47" s="571"/>
      <c r="O47" s="571"/>
      <c r="P47" s="571"/>
      <c r="Q47" s="571"/>
      <c r="R47" s="571"/>
      <c r="S47" s="571"/>
      <c r="T47" s="571"/>
      <c r="U47" s="571"/>
      <c r="V47" s="571"/>
      <c r="W47" s="571"/>
      <c r="X47" s="571"/>
    </row>
    <row r="48" customFormat="false" ht="19.85" hidden="false" customHeight="true" outlineLevel="0" collapsed="false">
      <c r="A48" s="1" t="n">
        <v>31</v>
      </c>
      <c r="B48" s="34" t="n">
        <v>42339</v>
      </c>
      <c r="C48" s="56" t="n">
        <v>5510</v>
      </c>
      <c r="D48" s="29" t="s">
        <v>41</v>
      </c>
      <c r="E48" s="33" t="n">
        <f aca="false">IF(D48="totale",(C48/(A48*24))/F48,IF(D48="marché libre",(C48/(A48*24))/G48,"spécifier histo"))</f>
        <v>0.00170800599135024</v>
      </c>
      <c r="F48" s="59" t="n">
        <v>4336</v>
      </c>
      <c r="G48" s="59" t="n">
        <f aca="false">F48-H48</f>
        <v>1936</v>
      </c>
      <c r="H48" s="59" t="n">
        <v>2400</v>
      </c>
      <c r="J48" s="205"/>
      <c r="K48" s="183"/>
      <c r="L48" s="183"/>
      <c r="M48" s="571"/>
      <c r="N48" s="571"/>
      <c r="O48" s="571"/>
      <c r="P48" s="571"/>
      <c r="Q48" s="571"/>
      <c r="R48" s="571"/>
      <c r="S48" s="571"/>
      <c r="T48" s="571"/>
      <c r="U48" s="571"/>
      <c r="V48" s="571"/>
      <c r="W48" s="571"/>
      <c r="X48" s="571"/>
    </row>
    <row r="49" customFormat="false" ht="19.85" hidden="false" customHeight="true" outlineLevel="0" collapsed="false">
      <c r="A49" s="1" t="n">
        <v>31</v>
      </c>
      <c r="B49" s="31" t="n">
        <v>42370</v>
      </c>
      <c r="C49" s="429" t="n">
        <v>109558</v>
      </c>
      <c r="D49" s="250" t="s">
        <v>42</v>
      </c>
      <c r="E49" s="33" t="n">
        <f aca="false">IF(D49="totale",(C49/(A49*24))/F49,IF(D49="marché libre",(C49/(A49*24))/G49,"spécifier histo"))</f>
        <v>0.0760616613347552</v>
      </c>
      <c r="F49" s="228" t="n">
        <v>4336</v>
      </c>
      <c r="G49" s="59" t="n">
        <f aca="false">F49-H49</f>
        <v>1936</v>
      </c>
      <c r="H49" s="59" t="n">
        <v>2400</v>
      </c>
      <c r="J49" s="183"/>
      <c r="K49" s="183"/>
      <c r="L49" s="183"/>
      <c r="M49" s="571"/>
      <c r="N49" s="571"/>
      <c r="O49" s="571"/>
      <c r="P49" s="571"/>
      <c r="Q49" s="571"/>
      <c r="R49" s="571"/>
      <c r="S49" s="571"/>
      <c r="T49" s="571"/>
      <c r="U49" s="571"/>
      <c r="V49" s="571"/>
      <c r="W49" s="571"/>
      <c r="X49" s="571"/>
    </row>
    <row r="50" customFormat="false" ht="19.85" hidden="false" customHeight="true" outlineLevel="0" collapsed="false">
      <c r="A50" s="1" t="n">
        <v>28</v>
      </c>
      <c r="B50" s="34" t="n">
        <v>42401</v>
      </c>
      <c r="C50" s="56" t="n">
        <v>597619</v>
      </c>
      <c r="D50" s="250" t="s">
        <v>42</v>
      </c>
      <c r="E50" s="33" t="n">
        <f aca="false">IF(D50="totale",(C50/(A50*24))/F50,IF(D50="marché libre",(C50/(A50*24))/G50,"spécifier histo"))</f>
        <v>0.459356398809524</v>
      </c>
      <c r="F50" s="59" t="n">
        <v>4336</v>
      </c>
      <c r="G50" s="59" t="n">
        <f aca="false">F50-H50</f>
        <v>1936</v>
      </c>
      <c r="H50" s="59" t="n">
        <v>2400</v>
      </c>
      <c r="J50" s="183"/>
      <c r="K50" s="183"/>
      <c r="L50" s="183"/>
      <c r="M50" s="571"/>
      <c r="N50" s="571"/>
      <c r="O50" s="571"/>
      <c r="P50" s="571"/>
      <c r="Q50" s="571"/>
      <c r="R50" s="571"/>
      <c r="S50" s="571"/>
      <c r="T50" s="571"/>
      <c r="U50" s="571"/>
      <c r="V50" s="571"/>
      <c r="W50" s="571"/>
      <c r="X50" s="571"/>
    </row>
    <row r="51" customFormat="false" ht="19.85" hidden="false" customHeight="true" outlineLevel="0" collapsed="false">
      <c r="A51" s="1" t="n">
        <v>31</v>
      </c>
      <c r="B51" s="31" t="n">
        <v>42430</v>
      </c>
      <c r="C51" s="56" t="n">
        <v>879284</v>
      </c>
      <c r="D51" s="250" t="s">
        <v>42</v>
      </c>
      <c r="E51" s="33" t="n">
        <f aca="false">IF(D51="totale",(C51/(A51*24))/F51,IF(D51="marché libre",(C51/(A51*24))/G51,"spécifier histo"))</f>
        <v>0.610451101928375</v>
      </c>
      <c r="F51" s="59" t="n">
        <v>4336</v>
      </c>
      <c r="G51" s="59" t="n">
        <f aca="false">F51-H51</f>
        <v>1936</v>
      </c>
      <c r="H51" s="59" t="n">
        <v>2400</v>
      </c>
      <c r="J51" s="183"/>
      <c r="K51" s="183"/>
      <c r="L51" s="183"/>
      <c r="M51" s="571"/>
      <c r="N51" s="571"/>
      <c r="O51" s="571"/>
      <c r="P51" s="571"/>
      <c r="Q51" s="571"/>
      <c r="R51" s="571"/>
      <c r="S51" s="571"/>
      <c r="T51" s="571"/>
      <c r="U51" s="571"/>
      <c r="V51" s="571"/>
      <c r="W51" s="571"/>
      <c r="X51" s="571"/>
    </row>
    <row r="52" customFormat="false" ht="19.85" hidden="false" customHeight="true" outlineLevel="0" collapsed="false">
      <c r="A52" s="1" t="n">
        <v>30</v>
      </c>
      <c r="B52" s="34" t="n">
        <v>42461</v>
      </c>
      <c r="C52" s="56" t="n">
        <v>970631</v>
      </c>
      <c r="D52" s="250" t="s">
        <v>42</v>
      </c>
      <c r="E52" s="33" t="n">
        <f aca="false">IF(D52="totale",(C52/(A52*24))/F52,IF(D52="marché libre",(C52/(A52*24))/G52,"spécifier histo"))</f>
        <v>0.696331927226814</v>
      </c>
      <c r="F52" s="59" t="n">
        <v>4336</v>
      </c>
      <c r="G52" s="59" t="n">
        <f aca="false">F52-H52</f>
        <v>1936</v>
      </c>
      <c r="H52" s="59" t="n">
        <v>2400</v>
      </c>
      <c r="J52" s="183"/>
      <c r="K52" s="183"/>
      <c r="L52" s="183"/>
      <c r="M52" s="571"/>
      <c r="N52" s="571"/>
      <c r="O52" s="571"/>
      <c r="P52" s="571"/>
      <c r="Q52" s="571"/>
      <c r="R52" s="571"/>
      <c r="S52" s="571"/>
      <c r="T52" s="571"/>
      <c r="U52" s="571"/>
      <c r="V52" s="571"/>
      <c r="W52" s="571"/>
      <c r="X52" s="571"/>
    </row>
    <row r="53" customFormat="false" ht="19.85" hidden="false" customHeight="true" outlineLevel="0" collapsed="false">
      <c r="A53" s="1" t="n">
        <v>31</v>
      </c>
      <c r="B53" s="31" t="n">
        <v>42491</v>
      </c>
      <c r="C53" s="56" t="n">
        <v>850509</v>
      </c>
      <c r="D53" s="250" t="s">
        <v>42</v>
      </c>
      <c r="E53" s="33" t="n">
        <f aca="false">IF(D53="totale",(C53/(A53*24))/F53,IF(D53="marché libre",(C53/(A53*24))/G53,"spécifier histo"))</f>
        <v>0.590473790322581</v>
      </c>
      <c r="F53" s="59" t="n">
        <v>4336</v>
      </c>
      <c r="G53" s="59" t="n">
        <f aca="false">F53-H53</f>
        <v>1936</v>
      </c>
      <c r="H53" s="59" t="n">
        <v>2400</v>
      </c>
      <c r="J53" s="183"/>
      <c r="K53" s="183"/>
      <c r="L53" s="183"/>
      <c r="M53" s="571"/>
      <c r="N53" s="571"/>
      <c r="O53" s="571"/>
      <c r="P53" s="571"/>
      <c r="Q53" s="571"/>
      <c r="R53" s="571"/>
      <c r="S53" s="571"/>
      <c r="T53" s="571"/>
      <c r="U53" s="571"/>
      <c r="V53" s="571"/>
      <c r="W53" s="571"/>
      <c r="X53" s="571"/>
    </row>
    <row r="54" customFormat="false" ht="19.85" hidden="false" customHeight="true" outlineLevel="0" collapsed="false">
      <c r="A54" s="1" t="n">
        <v>30</v>
      </c>
      <c r="B54" s="34" t="n">
        <v>42522</v>
      </c>
      <c r="C54" s="56" t="n">
        <v>491824</v>
      </c>
      <c r="D54" s="250" t="s">
        <v>42</v>
      </c>
      <c r="E54" s="33" t="n">
        <f aca="false">IF(D54="totale",(C54/(A54*24))/F54,IF(D54="marché libre",(C54/(A54*24))/G54,"spécifier histo"))</f>
        <v>0.352835169880624</v>
      </c>
      <c r="F54" s="59" t="n">
        <v>4336</v>
      </c>
      <c r="G54" s="59" t="n">
        <f aca="false">F54-H54</f>
        <v>1936</v>
      </c>
      <c r="H54" s="59" t="n">
        <v>2400</v>
      </c>
      <c r="J54" s="183"/>
      <c r="K54" s="183"/>
      <c r="L54" s="183"/>
      <c r="M54" s="571"/>
      <c r="N54" s="571"/>
      <c r="O54" s="571"/>
      <c r="P54" s="571"/>
      <c r="Q54" s="571"/>
      <c r="R54" s="571"/>
      <c r="S54" s="571"/>
      <c r="T54" s="571"/>
      <c r="U54" s="571"/>
      <c r="V54" s="571"/>
      <c r="W54" s="571"/>
      <c r="X54" s="571"/>
    </row>
    <row r="55" customFormat="false" ht="19.85" hidden="false" customHeight="true" outlineLevel="0" collapsed="false">
      <c r="A55" s="1" t="n">
        <v>31</v>
      </c>
      <c r="B55" s="31" t="n">
        <v>42552</v>
      </c>
      <c r="C55" s="56" t="n">
        <v>60140</v>
      </c>
      <c r="D55" s="250" t="s">
        <v>42</v>
      </c>
      <c r="E55" s="33" t="n">
        <f aca="false">IF(D55="totale",(C55/(A55*24))/F55,IF(D55="marché libre",(C55/(A55*24))/G55,"spécifier histo"))</f>
        <v>0.0417527548209366</v>
      </c>
      <c r="F55" s="59" t="n">
        <v>4336</v>
      </c>
      <c r="G55" s="59" t="n">
        <f aca="false">F55-H55</f>
        <v>1936</v>
      </c>
      <c r="H55" s="59" t="n">
        <v>2400</v>
      </c>
      <c r="J55" s="183"/>
      <c r="K55" s="183"/>
      <c r="L55" s="183"/>
      <c r="M55" s="571"/>
      <c r="N55" s="571"/>
      <c r="O55" s="571"/>
      <c r="P55" s="571"/>
      <c r="Q55" s="571"/>
      <c r="R55" s="571"/>
      <c r="S55" s="571"/>
      <c r="T55" s="571"/>
      <c r="U55" s="571"/>
      <c r="V55" s="571"/>
      <c r="W55" s="571"/>
      <c r="X55" s="571"/>
    </row>
    <row r="56" customFormat="false" ht="19.85" hidden="false" customHeight="true" outlineLevel="0" collapsed="false">
      <c r="A56" s="1" t="n">
        <v>31</v>
      </c>
      <c r="B56" s="34" t="n">
        <v>42583</v>
      </c>
      <c r="C56" s="56" t="n">
        <v>0</v>
      </c>
      <c r="D56" s="250" t="s">
        <v>42</v>
      </c>
      <c r="E56" s="33" t="n">
        <f aca="false">IF(D56="totale",(C56/(A56*24))/F56,IF(D56="marché libre",(C56/(A56*24))/G56,"spécifier histo"))</f>
        <v>0</v>
      </c>
      <c r="F56" s="59" t="n">
        <v>4336</v>
      </c>
      <c r="G56" s="59" t="n">
        <f aca="false">F56-H56</f>
        <v>1936</v>
      </c>
      <c r="H56" s="59" t="n">
        <v>2400</v>
      </c>
      <c r="J56" s="183" t="s">
        <v>513</v>
      </c>
      <c r="K56" s="183"/>
      <c r="L56" s="183"/>
      <c r="M56" s="571"/>
      <c r="N56" s="571"/>
      <c r="O56" s="571"/>
      <c r="P56" s="571"/>
      <c r="Q56" s="571"/>
      <c r="R56" s="571"/>
      <c r="S56" s="571"/>
      <c r="T56" s="571"/>
      <c r="U56" s="571"/>
      <c r="V56" s="571"/>
      <c r="W56" s="571"/>
      <c r="X56" s="571"/>
    </row>
    <row r="57" customFormat="false" ht="19.85" hidden="false" customHeight="true" outlineLevel="0" collapsed="false">
      <c r="A57" s="1" t="n">
        <v>30</v>
      </c>
      <c r="B57" s="31" t="n">
        <v>42614</v>
      </c>
      <c r="C57" s="56" t="n">
        <v>0</v>
      </c>
      <c r="D57" s="250" t="s">
        <v>42</v>
      </c>
      <c r="E57" s="33" t="n">
        <f aca="false">IF(D57="totale",(C57/(A57*24))/F57,IF(D57="marché libre",(C57/(A57*24))/G57,"spécifier histo"))</f>
        <v>0</v>
      </c>
      <c r="F57" s="59" t="n">
        <v>4336</v>
      </c>
      <c r="G57" s="59" t="n">
        <f aca="false">F57-H57</f>
        <v>1936</v>
      </c>
      <c r="H57" s="59" t="n">
        <v>2400</v>
      </c>
      <c r="J57" s="183" t="s">
        <v>513</v>
      </c>
      <c r="K57" s="183"/>
      <c r="L57" s="183"/>
      <c r="M57" s="571"/>
      <c r="N57" s="571"/>
      <c r="O57" s="571"/>
      <c r="P57" s="571"/>
      <c r="Q57" s="571"/>
      <c r="R57" s="571"/>
      <c r="S57" s="571"/>
      <c r="T57" s="571"/>
      <c r="U57" s="571"/>
      <c r="V57" s="571"/>
      <c r="W57" s="571"/>
      <c r="X57" s="571"/>
    </row>
    <row r="58" customFormat="false" ht="19.85" hidden="false" customHeight="true" outlineLevel="0" collapsed="false">
      <c r="A58" s="1" t="n">
        <v>31</v>
      </c>
      <c r="B58" s="34" t="n">
        <v>42644</v>
      </c>
      <c r="C58" s="56" t="n">
        <v>37071</v>
      </c>
      <c r="D58" s="250" t="s">
        <v>42</v>
      </c>
      <c r="E58" s="33" t="n">
        <f aca="false">IF(D58="totale",(C58/(A58*24))/F58,IF(D58="marché libre",(C58/(A58*24))/G58,"spécifier histo"))</f>
        <v>0.0257368868301786</v>
      </c>
      <c r="F58" s="59" t="n">
        <v>4336</v>
      </c>
      <c r="G58" s="59" t="n">
        <f aca="false">F58-H58</f>
        <v>1936</v>
      </c>
      <c r="H58" s="59" t="n">
        <v>2400</v>
      </c>
      <c r="J58" s="183"/>
      <c r="K58" s="183"/>
      <c r="L58" s="183"/>
      <c r="M58" s="572" t="s">
        <v>1107</v>
      </c>
      <c r="N58" s="200"/>
      <c r="O58" s="200"/>
      <c r="P58" s="183"/>
      <c r="Q58" s="183"/>
      <c r="R58" s="183"/>
    </row>
    <row r="59" customFormat="false" ht="19.85" hidden="false" customHeight="true" outlineLevel="0" collapsed="false">
      <c r="A59" s="1" t="n">
        <v>30</v>
      </c>
      <c r="B59" s="31" t="n">
        <v>42675</v>
      </c>
      <c r="C59" s="56" t="n">
        <v>146720</v>
      </c>
      <c r="D59" s="250" t="s">
        <v>42</v>
      </c>
      <c r="E59" s="33" t="n">
        <f aca="false">IF(D59="totale",(C59/(A59*24))/F59,IF(D59="marché libre",(C59/(A59*24))/G59,"spécifier histo"))</f>
        <v>0.105257116620753</v>
      </c>
      <c r="F59" s="59" t="n">
        <v>4336</v>
      </c>
      <c r="G59" s="59" t="n">
        <f aca="false">F59-H59</f>
        <v>1936</v>
      </c>
      <c r="H59" s="59" t="n">
        <v>2400</v>
      </c>
      <c r="J59" s="183"/>
      <c r="K59" s="183"/>
      <c r="L59" s="183"/>
      <c r="M59" s="572" t="s">
        <v>1108</v>
      </c>
      <c r="N59" s="200"/>
      <c r="O59" s="200"/>
      <c r="P59" s="183"/>
      <c r="Q59" s="183"/>
      <c r="R59" s="183"/>
    </row>
    <row r="60" customFormat="false" ht="19.85" hidden="false" customHeight="true" outlineLevel="0" collapsed="false">
      <c r="A60" s="1" t="n">
        <v>31</v>
      </c>
      <c r="B60" s="34" t="n">
        <v>42705</v>
      </c>
      <c r="C60" s="56" t="n">
        <v>0</v>
      </c>
      <c r="D60" s="250" t="s">
        <v>42</v>
      </c>
      <c r="E60" s="33" t="n">
        <f aca="false">IF(D60="totale",(C60/(A60*24))/F60,IF(D60="marché libre",(C60/(A60*24))/G60,"spécifier histo"))</f>
        <v>0</v>
      </c>
      <c r="F60" s="59" t="n">
        <v>4336</v>
      </c>
      <c r="G60" s="59" t="n">
        <f aca="false">F60-H60</f>
        <v>1936</v>
      </c>
      <c r="H60" s="59" t="n">
        <v>2400</v>
      </c>
      <c r="J60" s="183" t="s">
        <v>512</v>
      </c>
      <c r="K60" s="183"/>
      <c r="L60" s="183"/>
      <c r="M60" s="572" t="s">
        <v>1109</v>
      </c>
      <c r="N60" s="200"/>
      <c r="O60" s="200"/>
      <c r="P60" s="183"/>
      <c r="Q60" s="183"/>
      <c r="R60" s="183"/>
    </row>
    <row r="61" customFormat="false" ht="19.85" hidden="false" customHeight="true" outlineLevel="0" collapsed="false">
      <c r="A61" s="1" t="n">
        <v>31</v>
      </c>
      <c r="B61" s="31" t="n">
        <v>42736</v>
      </c>
      <c r="C61" s="56" t="n">
        <v>101144</v>
      </c>
      <c r="D61" s="250" t="s">
        <v>42</v>
      </c>
      <c r="E61" s="33" t="n">
        <f aca="false">IF(D61="totale",(C61/(A61*24))/F61,IF(D61="marché libre",(C61/(A61*24))/G61,"spécifier histo"))</f>
        <v>0.0702201635119524</v>
      </c>
      <c r="F61" s="59" t="n">
        <v>4336</v>
      </c>
      <c r="G61" s="59" t="n">
        <f aca="false">F61-H61</f>
        <v>1936</v>
      </c>
      <c r="H61" s="59" t="n">
        <v>2400</v>
      </c>
      <c r="J61" s="183"/>
      <c r="K61" s="0"/>
      <c r="L61" s="183"/>
      <c r="M61" s="573" t="s">
        <v>189</v>
      </c>
      <c r="N61" s="200"/>
      <c r="O61" s="200"/>
      <c r="P61" s="183"/>
      <c r="Q61" s="183"/>
      <c r="R61" s="183"/>
    </row>
    <row r="62" customFormat="false" ht="19.85" hidden="false" customHeight="true" outlineLevel="0" collapsed="false">
      <c r="A62" s="1" t="n">
        <v>28</v>
      </c>
      <c r="B62" s="34" t="n">
        <v>42767</v>
      </c>
      <c r="C62" s="56" t="n">
        <v>219206</v>
      </c>
      <c r="D62" s="250" t="s">
        <v>42</v>
      </c>
      <c r="E62" s="33" t="n">
        <f aca="false">IF(D62="totale",(C62/(A62*24))/F62,IF(D62="marché libre",(C62/(A62*24))/G62,"spécifier histo"))</f>
        <v>0.168491428079496</v>
      </c>
      <c r="F62" s="59" t="n">
        <v>4336</v>
      </c>
      <c r="G62" s="59" t="n">
        <f aca="false">F62-H62</f>
        <v>1936</v>
      </c>
      <c r="H62" s="59" t="n">
        <v>2400</v>
      </c>
      <c r="J62" s="183"/>
      <c r="K62" s="0"/>
      <c r="L62" s="183"/>
      <c r="M62" s="574" t="s">
        <v>1110</v>
      </c>
      <c r="N62" s="200"/>
      <c r="O62" s="200"/>
      <c r="P62" s="183"/>
      <c r="Q62" s="183"/>
      <c r="R62" s="183"/>
    </row>
    <row r="63" customFormat="false" ht="19.85" hidden="false" customHeight="true" outlineLevel="0" collapsed="false">
      <c r="A63" s="1" t="n">
        <v>31</v>
      </c>
      <c r="B63" s="31" t="n">
        <v>42795</v>
      </c>
      <c r="C63" s="56" t="n">
        <v>386193</v>
      </c>
      <c r="D63" s="250" t="s">
        <v>42</v>
      </c>
      <c r="E63" s="33" t="n">
        <f aca="false">IF(D63="totale",(C63/(A63*24))/F63,IF(D63="marché libre",(C63/(A63*24))/G63,"spécifier histo"))</f>
        <v>0.268118085177286</v>
      </c>
      <c r="F63" s="59" t="n">
        <v>4336</v>
      </c>
      <c r="G63" s="59" t="n">
        <f aca="false">F63-H63</f>
        <v>1936</v>
      </c>
      <c r="H63" s="59" t="n">
        <v>2400</v>
      </c>
      <c r="J63" s="183"/>
      <c r="K63" s="0"/>
      <c r="L63" s="183"/>
      <c r="M63" s="573" t="s">
        <v>189</v>
      </c>
      <c r="N63" s="200"/>
      <c r="O63" s="200"/>
      <c r="P63" s="183"/>
      <c r="Q63" s="183"/>
      <c r="R63" s="183"/>
    </row>
    <row r="64" customFormat="false" ht="19.85" hidden="false" customHeight="true" outlineLevel="0" collapsed="false">
      <c r="A64" s="1" t="n">
        <v>30</v>
      </c>
      <c r="B64" s="34" t="n">
        <v>42826</v>
      </c>
      <c r="C64" s="56" t="n">
        <v>405492</v>
      </c>
      <c r="D64" s="250" t="s">
        <v>42</v>
      </c>
      <c r="E64" s="33" t="n">
        <f aca="false">IF(D64="totale",(C64/(A64*24))/F64,IF(D64="marché libre",(C64/(A64*24))/G64,"spécifier histo"))</f>
        <v>0.290900482093664</v>
      </c>
      <c r="F64" s="59" t="n">
        <v>4336</v>
      </c>
      <c r="G64" s="59" t="n">
        <f aca="false">F64-H64</f>
        <v>1936</v>
      </c>
      <c r="H64" s="59" t="n">
        <v>2400</v>
      </c>
      <c r="J64" s="183"/>
      <c r="K64" s="0"/>
      <c r="L64" s="183"/>
      <c r="M64" s="573" t="s">
        <v>189</v>
      </c>
      <c r="N64" s="200"/>
      <c r="O64" s="200"/>
      <c r="P64" s="183"/>
      <c r="Q64" s="183"/>
      <c r="R64" s="183"/>
    </row>
    <row r="65" customFormat="false" ht="19.85" hidden="false" customHeight="true" outlineLevel="0" collapsed="false">
      <c r="A65" s="1" t="n">
        <v>31</v>
      </c>
      <c r="B65" s="31" t="n">
        <v>42856</v>
      </c>
      <c r="C65" s="56" t="n">
        <v>432705</v>
      </c>
      <c r="D65" s="250" t="s">
        <v>42</v>
      </c>
      <c r="E65" s="33" t="n">
        <f aca="false">IF(D65="totale",(C65/(A65*24))/F65,IF(D65="marché libre",(C65/(A65*24))/G65,"spécifier histo"))</f>
        <v>0.300409474140229</v>
      </c>
      <c r="F65" s="59" t="n">
        <v>4336</v>
      </c>
      <c r="G65" s="59" t="n">
        <f aca="false">F65-H65</f>
        <v>1936</v>
      </c>
      <c r="H65" s="59" t="n">
        <v>2400</v>
      </c>
      <c r="J65" s="183"/>
      <c r="K65" s="0"/>
      <c r="L65" s="183"/>
      <c r="M65" s="573" t="s">
        <v>189</v>
      </c>
      <c r="N65" s="200"/>
      <c r="O65" s="200"/>
      <c r="P65" s="183"/>
      <c r="Q65" s="183"/>
      <c r="R65" s="183"/>
    </row>
    <row r="66" customFormat="false" ht="19.85" hidden="false" customHeight="true" outlineLevel="0" collapsed="false">
      <c r="A66" s="1" t="n">
        <v>30</v>
      </c>
      <c r="B66" s="34" t="n">
        <v>42887</v>
      </c>
      <c r="C66" s="56" t="n">
        <v>264499</v>
      </c>
      <c r="D66" s="250" t="s">
        <v>42</v>
      </c>
      <c r="E66" s="33" t="n">
        <f aca="false">IF(D66="totale",(C66/(A66*24))/F66,IF(D66="marché libre",(C66/(A66*24))/G66,"spécifier histo"))</f>
        <v>0.189751922635445</v>
      </c>
      <c r="F66" s="59" t="n">
        <v>4336</v>
      </c>
      <c r="G66" s="59" t="n">
        <f aca="false">F66-H66</f>
        <v>1936</v>
      </c>
      <c r="H66" s="59" t="n">
        <v>2400</v>
      </c>
      <c r="J66" s="183"/>
      <c r="K66" s="0"/>
      <c r="L66" s="183"/>
      <c r="M66" s="573" t="s">
        <v>1111</v>
      </c>
      <c r="N66" s="200"/>
      <c r="O66" s="200"/>
      <c r="P66" s="183"/>
      <c r="Q66" s="183"/>
      <c r="R66" s="183"/>
    </row>
    <row r="67" customFormat="false" ht="19.85" hidden="false" customHeight="true" outlineLevel="0" collapsed="false">
      <c r="A67" s="1" t="n">
        <v>31</v>
      </c>
      <c r="B67" s="31" t="n">
        <v>42917</v>
      </c>
      <c r="C67" s="56" t="n">
        <v>0</v>
      </c>
      <c r="D67" s="250" t="s">
        <v>42</v>
      </c>
      <c r="E67" s="33" t="n">
        <f aca="false">IF(D67="totale",(C67/(A67*24))/F67,IF(D67="marché libre",(C67/(A67*24))/G67,"spécifier histo"))</f>
        <v>0</v>
      </c>
      <c r="F67" s="59" t="n">
        <v>4336</v>
      </c>
      <c r="G67" s="59" t="n">
        <f aca="false">F67-H67</f>
        <v>1936</v>
      </c>
      <c r="H67" s="59" t="n">
        <v>2400</v>
      </c>
      <c r="J67" s="183"/>
      <c r="K67" s="0"/>
      <c r="L67" s="183"/>
      <c r="M67" s="573" t="s">
        <v>189</v>
      </c>
      <c r="N67" s="200"/>
      <c r="O67" s="200"/>
      <c r="P67" s="183"/>
      <c r="Q67" s="183"/>
      <c r="R67" s="183"/>
    </row>
    <row r="68" customFormat="false" ht="19.85" hidden="false" customHeight="true" outlineLevel="0" collapsed="false">
      <c r="A68" s="1" t="n">
        <v>31</v>
      </c>
      <c r="B68" s="34" t="n">
        <v>42948</v>
      </c>
      <c r="C68" s="56" t="n">
        <v>0</v>
      </c>
      <c r="D68" s="250" t="s">
        <v>42</v>
      </c>
      <c r="E68" s="33" t="n">
        <f aca="false">IF(D68="totale",(C68/(A68*24))/F68,IF(D68="marché libre",(C68/(A68*24))/G68,"spécifier histo"))</f>
        <v>0</v>
      </c>
      <c r="F68" s="59" t="n">
        <v>4336</v>
      </c>
      <c r="G68" s="59" t="n">
        <f aca="false">F68-H68</f>
        <v>1936</v>
      </c>
      <c r="H68" s="59" t="n">
        <v>2400</v>
      </c>
      <c r="J68" s="183"/>
      <c r="K68" s="0"/>
      <c r="L68" s="183"/>
      <c r="M68" s="573" t="s">
        <v>1112</v>
      </c>
      <c r="N68" s="200"/>
      <c r="O68" s="200"/>
      <c r="P68" s="183"/>
      <c r="Q68" s="183"/>
      <c r="R68" s="183"/>
    </row>
    <row r="69" customFormat="false" ht="19.85" hidden="false" customHeight="true" outlineLevel="0" collapsed="false">
      <c r="A69" s="1" t="n">
        <v>30</v>
      </c>
      <c r="B69" s="31" t="n">
        <v>42979</v>
      </c>
      <c r="C69" s="56" t="n">
        <v>0</v>
      </c>
      <c r="D69" s="250" t="s">
        <v>42</v>
      </c>
      <c r="E69" s="33" t="n">
        <f aca="false">IF(D69="totale",(C69/(A69*24))/F69,IF(D69="marché libre",(C69/(A69*24))/G69,"spécifier histo"))</f>
        <v>0</v>
      </c>
      <c r="F69" s="59" t="n">
        <v>4336</v>
      </c>
      <c r="G69" s="59" t="n">
        <f aca="false">F69-H69</f>
        <v>1936</v>
      </c>
      <c r="H69" s="59" t="n">
        <v>2400</v>
      </c>
      <c r="J69" s="183"/>
      <c r="K69" s="0"/>
      <c r="L69" s="183"/>
      <c r="M69" s="573" t="s">
        <v>189</v>
      </c>
      <c r="N69" s="200"/>
      <c r="O69" s="200"/>
      <c r="P69" s="183"/>
      <c r="Q69" s="183"/>
      <c r="R69" s="183"/>
    </row>
    <row r="70" customFormat="false" ht="19.85" hidden="false" customHeight="true" outlineLevel="0" collapsed="false">
      <c r="A70" s="1" t="n">
        <v>31</v>
      </c>
      <c r="B70" s="34" t="n">
        <v>43009</v>
      </c>
      <c r="C70" s="56" t="n">
        <v>0</v>
      </c>
      <c r="D70" s="250" t="s">
        <v>42</v>
      </c>
      <c r="E70" s="33" t="n">
        <f aca="false">IF(D70="totale",(C70/(A70*24))/F70,IF(D70="marché libre",(C70/(A70*24))/G70,"spécifier histo"))</f>
        <v>0</v>
      </c>
      <c r="F70" s="59" t="n">
        <v>4336</v>
      </c>
      <c r="G70" s="59" t="n">
        <f aca="false">F70-H70</f>
        <v>1936</v>
      </c>
      <c r="H70" s="59" t="n">
        <v>2400</v>
      </c>
      <c r="J70" s="183"/>
      <c r="K70" s="0"/>
      <c r="L70" s="183"/>
      <c r="M70" s="575" t="s">
        <v>1113</v>
      </c>
      <c r="N70" s="575" t="n">
        <v>0</v>
      </c>
      <c r="O70" s="573" t="s">
        <v>1114</v>
      </c>
      <c r="P70" s="183"/>
      <c r="Q70" s="183"/>
      <c r="R70" s="183"/>
    </row>
    <row r="71" customFormat="false" ht="19.85" hidden="false" customHeight="true" outlineLevel="0" collapsed="false">
      <c r="A71" s="1" t="n">
        <v>30</v>
      </c>
      <c r="B71" s="31" t="n">
        <v>43040</v>
      </c>
      <c r="C71" s="56" t="n">
        <v>43980</v>
      </c>
      <c r="D71" s="250" t="s">
        <v>42</v>
      </c>
      <c r="E71" s="33" t="n">
        <f aca="false">IF(D71="totale",(C71/(A71*24))/F71,IF(D71="marché libre",(C71/(A71*24))/G71,"spécifier histo"))</f>
        <v>0.0315513085399449</v>
      </c>
      <c r="F71" s="59" t="n">
        <v>4336</v>
      </c>
      <c r="G71" s="59" t="n">
        <f aca="false">F71-H71</f>
        <v>1936</v>
      </c>
      <c r="H71" s="59" t="n">
        <v>2400</v>
      </c>
      <c r="J71" s="183"/>
      <c r="K71" s="0"/>
      <c r="L71" s="183"/>
      <c r="M71" s="576" t="s">
        <v>1115</v>
      </c>
      <c r="N71" s="575" t="n">
        <v>49743</v>
      </c>
      <c r="O71" s="573" t="s">
        <v>1114</v>
      </c>
      <c r="P71" s="183"/>
      <c r="Q71" s="183"/>
      <c r="R71" s="183"/>
    </row>
    <row r="72" customFormat="false" ht="19.85" hidden="false" customHeight="true" outlineLevel="0" collapsed="false">
      <c r="A72" s="1" t="n">
        <v>31</v>
      </c>
      <c r="B72" s="34" t="n">
        <v>43070</v>
      </c>
      <c r="C72" s="56" t="n">
        <v>407698</v>
      </c>
      <c r="D72" s="250" t="s">
        <v>42</v>
      </c>
      <c r="E72" s="33" t="n">
        <f aca="false">IF(D72="totale",(C72/(A72*24))/F72,IF(D72="marché libre",(C72/(A72*24))/G72,"spécifier histo"))</f>
        <v>0.283048131609349</v>
      </c>
      <c r="F72" s="59" t="n">
        <v>4336</v>
      </c>
      <c r="G72" s="59" t="n">
        <f aca="false">F72-H72</f>
        <v>1936</v>
      </c>
      <c r="H72" s="59" t="n">
        <v>2400</v>
      </c>
      <c r="J72" s="183"/>
      <c r="K72" s="0"/>
      <c r="L72" s="183"/>
      <c r="M72" s="575" t="s">
        <v>1116</v>
      </c>
      <c r="N72" s="575" t="n">
        <v>15759</v>
      </c>
      <c r="O72" s="573" t="s">
        <v>1114</v>
      </c>
      <c r="P72" s="183"/>
      <c r="Q72" s="183"/>
      <c r="R72" s="183"/>
    </row>
    <row r="73" customFormat="false" ht="19.85" hidden="false" customHeight="true" outlineLevel="0" collapsed="false">
      <c r="A73" s="0" t="n">
        <v>31</v>
      </c>
      <c r="B73" s="31" t="n">
        <v>43101</v>
      </c>
      <c r="C73" s="56" t="n">
        <v>952567</v>
      </c>
      <c r="D73" s="250" t="s">
        <v>42</v>
      </c>
      <c r="E73" s="33" t="n">
        <f aca="false">IF(D73="totale",(C73/(A73*24))/F73,IF(D73="marché libre",(C73/(A73*24))/G73,"spécifier histo"))</f>
        <v>0.66132850684262</v>
      </c>
      <c r="F73" s="59" t="n">
        <v>4336</v>
      </c>
      <c r="G73" s="59" t="n">
        <f aca="false">F73-H73</f>
        <v>1936</v>
      </c>
      <c r="H73" s="59" t="n">
        <v>2400</v>
      </c>
      <c r="J73" s="183"/>
      <c r="K73" s="183"/>
      <c r="L73" s="183"/>
      <c r="M73" s="575" t="s">
        <v>1117</v>
      </c>
      <c r="N73" s="575" t="n">
        <v>510</v>
      </c>
      <c r="O73" s="573" t="s">
        <v>1114</v>
      </c>
      <c r="P73" s="183"/>
      <c r="Q73" s="183"/>
      <c r="R73" s="183"/>
    </row>
    <row r="74" customFormat="false" ht="19.85" hidden="false" customHeight="true" outlineLevel="0" collapsed="false">
      <c r="A74" s="0"/>
      <c r="J74" s="183"/>
      <c r="K74" s="183"/>
      <c r="L74" s="183"/>
      <c r="M74" s="575" t="s">
        <v>1118</v>
      </c>
      <c r="N74" s="575" t="n">
        <v>165380</v>
      </c>
      <c r="O74" s="573" t="s">
        <v>1114</v>
      </c>
      <c r="P74" s="183"/>
      <c r="Q74" s="183"/>
      <c r="R74" s="183"/>
    </row>
    <row r="75" customFormat="false" ht="19.85" hidden="false" customHeight="true" outlineLevel="0" collapsed="false">
      <c r="A75" s="0"/>
      <c r="D75" s="577"/>
      <c r="J75" s="183"/>
      <c r="K75" s="183"/>
      <c r="L75" s="183"/>
      <c r="M75" s="575" t="s">
        <v>1119</v>
      </c>
      <c r="N75" s="575" t="n">
        <v>5510</v>
      </c>
      <c r="O75" s="573" t="s">
        <v>1114</v>
      </c>
      <c r="P75" s="183"/>
      <c r="Q75" s="183"/>
      <c r="R75" s="183"/>
    </row>
    <row r="76" customFormat="false" ht="19.85" hidden="false" customHeight="true" outlineLevel="0" collapsed="false">
      <c r="A76" s="0"/>
      <c r="J76" s="183"/>
      <c r="K76" s="183"/>
      <c r="L76" s="183"/>
      <c r="M76" s="573" t="s">
        <v>189</v>
      </c>
      <c r="N76" s="200"/>
      <c r="O76" s="200"/>
      <c r="P76" s="183"/>
      <c r="Q76" s="183"/>
      <c r="R76" s="183"/>
    </row>
    <row r="77" customFormat="false" ht="19.85" hidden="false" customHeight="true" outlineLevel="0" collapsed="false">
      <c r="A77" s="0"/>
      <c r="J77" s="183"/>
      <c r="K77" s="183"/>
      <c r="L77" s="183"/>
      <c r="M77" s="573" t="s">
        <v>1120</v>
      </c>
      <c r="N77" s="200"/>
      <c r="O77" s="200"/>
      <c r="P77" s="183"/>
      <c r="Q77" s="183"/>
      <c r="R77" s="183"/>
    </row>
    <row r="78" customFormat="false" ht="19.85" hidden="false" customHeight="true" outlineLevel="0" collapsed="false">
      <c r="A78" s="0"/>
      <c r="J78" s="183"/>
      <c r="K78" s="183"/>
      <c r="L78" s="183"/>
      <c r="M78" s="573" t="s">
        <v>189</v>
      </c>
      <c r="N78" s="200"/>
      <c r="O78" s="200"/>
      <c r="P78" s="183"/>
      <c r="Q78" s="183"/>
      <c r="R78" s="183"/>
    </row>
    <row r="79" customFormat="false" ht="19.85" hidden="false" customHeight="true" outlineLevel="0" collapsed="false">
      <c r="A79" s="0"/>
      <c r="J79" s="183"/>
      <c r="K79" s="183"/>
      <c r="L79" s="183"/>
      <c r="M79" s="573" t="s">
        <v>1121</v>
      </c>
      <c r="N79" s="200"/>
      <c r="O79" s="200"/>
      <c r="P79" s="183"/>
      <c r="Q79" s="183"/>
      <c r="R79" s="183"/>
    </row>
    <row r="80" customFormat="false" ht="19.85" hidden="false" customHeight="true" outlineLevel="0" collapsed="false">
      <c r="A80" s="0"/>
      <c r="J80" s="183"/>
      <c r="K80" s="183"/>
      <c r="L80" s="183"/>
      <c r="M80" s="573" t="s">
        <v>189</v>
      </c>
      <c r="N80" s="200"/>
      <c r="O80" s="200"/>
      <c r="P80" s="183"/>
      <c r="Q80" s="183"/>
      <c r="R80" s="183"/>
    </row>
    <row r="81" customFormat="false" ht="19.85" hidden="false" customHeight="true" outlineLevel="0" collapsed="false">
      <c r="A81" s="0"/>
      <c r="J81" s="183"/>
      <c r="K81" s="183"/>
      <c r="L81" s="183"/>
      <c r="M81" s="573" t="s">
        <v>1122</v>
      </c>
      <c r="N81" s="200"/>
      <c r="O81" s="200"/>
      <c r="P81" s="183"/>
      <c r="Q81" s="183"/>
      <c r="R81" s="183"/>
    </row>
    <row r="82" customFormat="false" ht="19.85" hidden="false" customHeight="true" outlineLevel="0" collapsed="false">
      <c r="A82" s="0"/>
      <c r="J82" s="183"/>
      <c r="K82" s="183"/>
      <c r="L82" s="183"/>
      <c r="M82" s="573" t="s">
        <v>1123</v>
      </c>
      <c r="N82" s="200"/>
      <c r="O82" s="200"/>
      <c r="P82" s="183"/>
      <c r="Q82" s="183"/>
      <c r="R82" s="183"/>
    </row>
    <row r="83" customFormat="false" ht="19.85" hidden="false" customHeight="true" outlineLevel="0" collapsed="false">
      <c r="A83" s="0"/>
      <c r="J83" s="183"/>
      <c r="K83" s="183"/>
      <c r="L83" s="183"/>
      <c r="M83" s="385" t="s">
        <v>189</v>
      </c>
      <c r="N83" s="0"/>
      <c r="O83" s="0"/>
      <c r="P83" s="183"/>
      <c r="Q83" s="183"/>
      <c r="R83" s="183"/>
    </row>
    <row r="84" customFormat="false" ht="19.85" hidden="false" customHeight="true" outlineLevel="0" collapsed="false">
      <c r="A84" s="0"/>
      <c r="J84" s="183"/>
      <c r="K84" s="183"/>
      <c r="L84" s="183"/>
      <c r="M84" s="183"/>
      <c r="N84" s="183"/>
      <c r="O84" s="183"/>
      <c r="P84" s="183"/>
      <c r="Q84" s="183"/>
      <c r="R84" s="183"/>
    </row>
    <row r="85" customFormat="false" ht="19.85" hidden="false" customHeight="true" outlineLevel="0" collapsed="false">
      <c r="A85" s="0"/>
      <c r="J85" s="183"/>
      <c r="K85" s="183"/>
      <c r="L85" s="183"/>
      <c r="M85" s="183"/>
      <c r="N85" s="183"/>
      <c r="O85" s="183"/>
      <c r="P85" s="183"/>
      <c r="Q85" s="183"/>
      <c r="R85" s="183"/>
    </row>
    <row r="86" customFormat="false" ht="19.85" hidden="false" customHeight="true" outlineLevel="0" collapsed="false">
      <c r="A86" s="0"/>
      <c r="J86" s="183"/>
      <c r="K86" s="183"/>
      <c r="L86" s="183"/>
      <c r="M86" s="183"/>
      <c r="N86" s="183"/>
      <c r="O86" s="183"/>
      <c r="P86" s="183"/>
      <c r="Q86" s="183"/>
      <c r="R86" s="183"/>
    </row>
    <row r="87" customFormat="false" ht="19.85" hidden="false" customHeight="true" outlineLevel="0" collapsed="false">
      <c r="A87" s="0"/>
      <c r="J87" s="183"/>
      <c r="K87" s="183"/>
      <c r="L87" s="183"/>
      <c r="M87" s="183"/>
      <c r="N87" s="183"/>
      <c r="O87" s="183"/>
      <c r="P87" s="183"/>
      <c r="Q87" s="183"/>
      <c r="R87" s="183"/>
    </row>
    <row r="88" customFormat="false" ht="19.85" hidden="false" customHeight="true" outlineLevel="0" collapsed="false">
      <c r="A88" s="0"/>
      <c r="J88" s="183"/>
      <c r="K88" s="183"/>
      <c r="L88" s="183"/>
      <c r="M88" s="183"/>
      <c r="N88" s="183"/>
      <c r="O88" s="183"/>
      <c r="P88" s="183"/>
      <c r="Q88" s="183"/>
      <c r="R88" s="183"/>
    </row>
    <row r="89" customFormat="false" ht="19.85" hidden="false" customHeight="true" outlineLevel="0" collapsed="false">
      <c r="A89" s="0"/>
      <c r="J89" s="183"/>
      <c r="K89" s="183"/>
      <c r="L89" s="183"/>
      <c r="M89" s="183"/>
      <c r="N89" s="183"/>
      <c r="O89" s="183"/>
      <c r="P89" s="183"/>
      <c r="Q89" s="183"/>
      <c r="R89" s="183"/>
    </row>
    <row r="90" customFormat="false" ht="19.85" hidden="false" customHeight="true" outlineLevel="0" collapsed="false">
      <c r="A90" s="0"/>
      <c r="J90" s="183"/>
      <c r="K90" s="183"/>
      <c r="L90" s="183"/>
      <c r="M90" s="183"/>
      <c r="N90" s="183"/>
      <c r="O90" s="183"/>
      <c r="P90" s="183"/>
      <c r="Q90" s="183"/>
      <c r="R90" s="183"/>
    </row>
    <row r="91" customFormat="false" ht="19.85" hidden="false" customHeight="true" outlineLevel="0" collapsed="false">
      <c r="A91" s="0"/>
      <c r="L91" s="183"/>
      <c r="M91" s="183"/>
      <c r="N91" s="183"/>
      <c r="O91" s="183"/>
      <c r="P91" s="183"/>
      <c r="Q91" s="183"/>
      <c r="R91" s="183"/>
    </row>
    <row r="92" customFormat="false" ht="19.85" hidden="false" customHeight="true" outlineLevel="0" collapsed="false">
      <c r="A92" s="0"/>
      <c r="L92" s="183"/>
      <c r="M92" s="183"/>
      <c r="N92" s="183"/>
      <c r="O92" s="183"/>
      <c r="P92" s="183"/>
      <c r="Q92" s="183"/>
      <c r="R92" s="183"/>
    </row>
    <row r="93" customFormat="false" ht="19.85" hidden="false" customHeight="true" outlineLevel="0" collapsed="false">
      <c r="A93" s="0"/>
      <c r="L93" s="183"/>
      <c r="M93" s="183"/>
      <c r="N93" s="183"/>
      <c r="O93" s="183"/>
      <c r="P93" s="183"/>
      <c r="Q93" s="183"/>
      <c r="R93" s="183"/>
    </row>
    <row r="94" customFormat="false" ht="19.85" hidden="false" customHeight="true" outlineLevel="0" collapsed="false">
      <c r="A94" s="0"/>
      <c r="L94" s="183"/>
      <c r="M94" s="183"/>
      <c r="N94" s="183"/>
      <c r="O94" s="183"/>
      <c r="P94" s="183"/>
      <c r="Q94" s="183"/>
      <c r="R94" s="183"/>
    </row>
    <row r="95" customFormat="false" ht="19.85" hidden="false" customHeight="true" outlineLevel="0" collapsed="false">
      <c r="A95" s="0"/>
      <c r="L95" s="183"/>
      <c r="M95" s="183"/>
      <c r="N95" s="183"/>
      <c r="O95" s="183"/>
      <c r="P95" s="183"/>
      <c r="Q95" s="183"/>
      <c r="R95" s="183"/>
    </row>
    <row r="96" customFormat="false" ht="19.85" hidden="false" customHeight="true" outlineLevel="0" collapsed="false">
      <c r="A96" s="0"/>
      <c r="L96" s="183"/>
      <c r="M96" s="183"/>
      <c r="N96" s="183"/>
      <c r="O96" s="183"/>
      <c r="P96" s="183"/>
      <c r="Q96" s="183"/>
      <c r="R96" s="183"/>
    </row>
    <row r="97" customFormat="false" ht="19.85" hidden="false" customHeight="true" outlineLevel="0" collapsed="false">
      <c r="A97" s="0"/>
      <c r="L97" s="183"/>
      <c r="M97" s="183"/>
      <c r="N97" s="183"/>
      <c r="O97" s="183"/>
      <c r="P97" s="183"/>
      <c r="Q97" s="183"/>
      <c r="R97" s="183"/>
    </row>
    <row r="98" customFormat="false" ht="19.85" hidden="false" customHeight="true" outlineLevel="0" collapsed="false">
      <c r="A98" s="0"/>
      <c r="L98" s="183"/>
      <c r="M98" s="183"/>
      <c r="N98" s="183"/>
      <c r="O98" s="183"/>
      <c r="P98" s="183"/>
      <c r="Q98" s="183"/>
      <c r="R98" s="183"/>
    </row>
    <row r="99" customFormat="false" ht="19.85" hidden="false" customHeight="true" outlineLevel="0" collapsed="false">
      <c r="A99" s="0"/>
      <c r="L99" s="183"/>
      <c r="M99" s="183"/>
      <c r="N99" s="183"/>
      <c r="O99" s="183"/>
      <c r="P99" s="183"/>
      <c r="Q99" s="183"/>
      <c r="R99" s="183"/>
    </row>
    <row r="100" customFormat="false" ht="19.85" hidden="false" customHeight="true" outlineLevel="0" collapsed="false">
      <c r="A100" s="0"/>
      <c r="L100" s="183"/>
      <c r="M100" s="183"/>
      <c r="N100" s="183"/>
      <c r="O100" s="183"/>
      <c r="P100" s="183"/>
      <c r="Q100" s="183"/>
      <c r="R100" s="183"/>
    </row>
    <row r="101" customFormat="false" ht="19.85" hidden="false" customHeight="true" outlineLevel="0" collapsed="false">
      <c r="A101" s="0"/>
      <c r="L101" s="183"/>
      <c r="M101" s="183"/>
      <c r="N101" s="183"/>
      <c r="O101" s="183"/>
      <c r="P101" s="183"/>
      <c r="Q101" s="183"/>
      <c r="R101" s="183"/>
    </row>
    <row r="102" customFormat="false" ht="19.85" hidden="false" customHeight="true" outlineLevel="0" collapsed="false">
      <c r="A102" s="0"/>
      <c r="L102" s="183"/>
      <c r="M102" s="183"/>
      <c r="N102" s="183"/>
      <c r="O102" s="183"/>
      <c r="P102" s="183"/>
      <c r="Q102" s="183"/>
      <c r="R102" s="183"/>
    </row>
    <row r="103" customFormat="false" ht="19.85" hidden="false" customHeight="true" outlineLevel="0" collapsed="false">
      <c r="A103" s="0"/>
      <c r="L103" s="183"/>
      <c r="M103" s="183"/>
      <c r="N103" s="183"/>
      <c r="O103" s="183"/>
      <c r="P103" s="183"/>
      <c r="Q103" s="183"/>
      <c r="R103" s="183"/>
    </row>
    <row r="104" customFormat="false" ht="19.85" hidden="false" customHeight="true" outlineLevel="0" collapsed="false">
      <c r="A104" s="0"/>
      <c r="L104" s="183"/>
      <c r="M104" s="183"/>
      <c r="N104" s="183"/>
      <c r="O104" s="183"/>
      <c r="P104" s="183"/>
      <c r="Q104" s="183"/>
      <c r="R104" s="183"/>
    </row>
    <row r="105" customFormat="false" ht="19.85" hidden="false" customHeight="true" outlineLevel="0" collapsed="false">
      <c r="A105" s="0"/>
      <c r="L105" s="183"/>
      <c r="M105" s="183"/>
      <c r="N105" s="183"/>
      <c r="O105" s="183"/>
      <c r="P105" s="183"/>
      <c r="Q105" s="183"/>
      <c r="R105" s="183"/>
    </row>
    <row r="106" customFormat="false" ht="19.85" hidden="false" customHeight="true" outlineLevel="0" collapsed="false">
      <c r="A106" s="0"/>
      <c r="L106" s="183"/>
      <c r="M106" s="183"/>
      <c r="N106" s="183"/>
      <c r="O106" s="183"/>
      <c r="P106" s="183"/>
      <c r="Q106" s="183"/>
      <c r="R106" s="183"/>
    </row>
    <row r="107" customFormat="false" ht="19.85" hidden="false" customHeight="true" outlineLevel="0" collapsed="false">
      <c r="A107" s="0"/>
      <c r="L107" s="183"/>
      <c r="M107" s="183"/>
      <c r="N107" s="183"/>
      <c r="O107" s="183"/>
      <c r="P107" s="183"/>
      <c r="Q107" s="183"/>
      <c r="R107" s="183"/>
    </row>
    <row r="108" customFormat="false" ht="19.85" hidden="false" customHeight="true" outlineLevel="0" collapsed="false">
      <c r="A108" s="0"/>
      <c r="L108" s="183"/>
      <c r="M108" s="183"/>
      <c r="N108" s="183"/>
      <c r="O108" s="183"/>
      <c r="P108" s="183"/>
      <c r="Q108" s="183"/>
      <c r="R108" s="183"/>
    </row>
    <row r="109" customFormat="false" ht="19.85" hidden="false" customHeight="true" outlineLevel="0" collapsed="false">
      <c r="A109" s="0"/>
      <c r="L109" s="183"/>
      <c r="M109" s="183"/>
      <c r="N109" s="183"/>
      <c r="O109" s="183"/>
      <c r="P109" s="183"/>
      <c r="Q109" s="183"/>
      <c r="R109" s="183"/>
    </row>
    <row r="110" customFormat="false" ht="19.85" hidden="false" customHeight="true" outlineLevel="0" collapsed="false">
      <c r="A110" s="0"/>
      <c r="L110" s="183"/>
      <c r="M110" s="183"/>
      <c r="N110" s="183"/>
      <c r="O110" s="183"/>
      <c r="P110" s="183"/>
      <c r="Q110" s="183"/>
      <c r="R110" s="183"/>
    </row>
    <row r="111" customFormat="false" ht="19.85" hidden="false" customHeight="true" outlineLevel="0" collapsed="false">
      <c r="A111" s="0"/>
      <c r="L111" s="183"/>
      <c r="M111" s="183"/>
      <c r="N111" s="183"/>
      <c r="O111" s="183"/>
      <c r="P111" s="183"/>
      <c r="Q111" s="183"/>
      <c r="R111" s="183"/>
    </row>
    <row r="112" customFormat="false" ht="19.85" hidden="false" customHeight="true" outlineLevel="0" collapsed="false">
      <c r="A112" s="0"/>
      <c r="L112" s="183" t="s">
        <v>1124</v>
      </c>
      <c r="M112" s="183"/>
      <c r="N112" s="183"/>
      <c r="O112" s="183"/>
      <c r="P112" s="183"/>
      <c r="Q112" s="183"/>
      <c r="R112" s="183"/>
    </row>
    <row r="113" customFormat="false" ht="19.85" hidden="false" customHeight="true" outlineLevel="0" collapsed="false">
      <c r="A113" s="0"/>
      <c r="L113" s="183"/>
      <c r="M113" s="183"/>
      <c r="N113" s="183"/>
      <c r="O113" s="183"/>
      <c r="P113" s="183"/>
      <c r="Q113" s="183"/>
      <c r="R113" s="183"/>
    </row>
    <row r="114" customFormat="false" ht="19.85" hidden="false" customHeight="true" outlineLevel="0" collapsed="false">
      <c r="A114" s="0"/>
      <c r="L114" s="183"/>
      <c r="M114" s="183"/>
      <c r="N114" s="183"/>
      <c r="O114" s="183"/>
      <c r="P114" s="183"/>
      <c r="Q114" s="183"/>
      <c r="R114" s="183"/>
    </row>
    <row r="115" customFormat="false" ht="19.85" hidden="false" customHeight="true" outlineLevel="0" collapsed="false">
      <c r="A115" s="0"/>
      <c r="L115" s="183"/>
      <c r="M115" s="183"/>
      <c r="N115" s="183"/>
      <c r="O115" s="183"/>
      <c r="P115" s="183"/>
      <c r="Q115" s="183"/>
      <c r="R115" s="183"/>
    </row>
    <row r="116" customFormat="false" ht="19.85" hidden="false" customHeight="true" outlineLevel="0" collapsed="false">
      <c r="A116" s="0"/>
      <c r="L116" s="183"/>
      <c r="M116" s="183"/>
      <c r="N116" s="183"/>
      <c r="O116" s="183"/>
      <c r="P116" s="183"/>
      <c r="Q116" s="183"/>
      <c r="R116" s="183"/>
    </row>
    <row r="117" customFormat="false" ht="19.85" hidden="false" customHeight="true" outlineLevel="0" collapsed="false">
      <c r="A117" s="0"/>
      <c r="L117" s="183"/>
      <c r="M117" s="183"/>
      <c r="N117" s="183"/>
      <c r="O117" s="183"/>
      <c r="P117" s="183"/>
      <c r="Q117" s="183"/>
      <c r="R117" s="183"/>
    </row>
    <row r="118" customFormat="false" ht="19.85" hidden="false" customHeight="true" outlineLevel="0" collapsed="false">
      <c r="A118" s="0"/>
      <c r="L118" s="183"/>
      <c r="M118" s="183"/>
      <c r="N118" s="183"/>
      <c r="O118" s="183"/>
      <c r="P118" s="183"/>
      <c r="Q118" s="183"/>
      <c r="R118" s="183"/>
    </row>
    <row r="119" customFormat="false" ht="19.85" hidden="false" customHeight="true" outlineLevel="0" collapsed="false">
      <c r="L119" s="183"/>
      <c r="M119" s="183"/>
      <c r="N119" s="183"/>
      <c r="O119" s="183"/>
      <c r="P119" s="183"/>
      <c r="Q119" s="183"/>
      <c r="R119" s="183"/>
    </row>
    <row r="120" customFormat="false" ht="19.85" hidden="false" customHeight="true" outlineLevel="0" collapsed="false">
      <c r="L120" s="183"/>
      <c r="M120" s="183"/>
      <c r="N120" s="183"/>
      <c r="O120" s="183"/>
      <c r="P120" s="183"/>
      <c r="Q120" s="183"/>
      <c r="R120" s="183"/>
    </row>
    <row r="121" customFormat="false" ht="19.85" hidden="false" customHeight="true" outlineLevel="0" collapsed="false">
      <c r="L121" s="183"/>
      <c r="M121" s="183"/>
      <c r="N121" s="183"/>
      <c r="O121" s="183"/>
      <c r="P121" s="183"/>
      <c r="Q121" s="183"/>
      <c r="R121" s="183"/>
    </row>
    <row r="122" customFormat="false" ht="19.85" hidden="false" customHeight="true" outlineLevel="0" collapsed="false">
      <c r="L122" s="183"/>
      <c r="M122" s="183"/>
      <c r="N122" s="183"/>
      <c r="O122" s="183"/>
      <c r="P122" s="183"/>
      <c r="Q122" s="183"/>
      <c r="R122" s="183"/>
    </row>
    <row r="123" customFormat="false" ht="19.85" hidden="false" customHeight="true" outlineLevel="0" collapsed="false">
      <c r="L123" s="183"/>
      <c r="M123" s="183"/>
      <c r="N123" s="183"/>
      <c r="O123" s="183"/>
      <c r="P123" s="183"/>
      <c r="Q123" s="183"/>
      <c r="R123" s="183"/>
    </row>
    <row r="124" customFormat="false" ht="19.85" hidden="false" customHeight="true" outlineLevel="0" collapsed="false">
      <c r="L124" s="183"/>
      <c r="M124" s="183"/>
      <c r="N124" s="183"/>
      <c r="O124" s="183"/>
      <c r="P124" s="183"/>
      <c r="Q124" s="183"/>
      <c r="R124" s="183"/>
    </row>
    <row r="125" customFormat="false" ht="19.85" hidden="false" customHeight="true" outlineLevel="0" collapsed="false">
      <c r="L125" s="183"/>
      <c r="M125" s="183"/>
      <c r="N125" s="183"/>
      <c r="O125" s="183"/>
      <c r="P125" s="183"/>
      <c r="Q125" s="183"/>
      <c r="R125" s="183"/>
    </row>
    <row r="126" customFormat="false" ht="19.85" hidden="false" customHeight="true" outlineLevel="0" collapsed="false">
      <c r="L126" s="183"/>
      <c r="M126" s="183"/>
      <c r="N126" s="183"/>
      <c r="O126" s="183"/>
      <c r="P126" s="183"/>
      <c r="Q126" s="183"/>
      <c r="R126" s="183"/>
    </row>
    <row r="127" customFormat="false" ht="19.85" hidden="false" customHeight="true" outlineLevel="0" collapsed="false">
      <c r="L127" s="183"/>
      <c r="M127" s="183"/>
      <c r="N127" s="183"/>
      <c r="O127" s="183"/>
      <c r="P127" s="183"/>
      <c r="Q127" s="183"/>
      <c r="R127" s="183"/>
    </row>
    <row r="128" customFormat="false" ht="19.85" hidden="false" customHeight="true" outlineLevel="0" collapsed="false">
      <c r="L128" s="183"/>
      <c r="M128" s="183"/>
      <c r="N128" s="183"/>
      <c r="O128" s="183"/>
      <c r="P128" s="183"/>
      <c r="Q128" s="183"/>
      <c r="R128" s="183"/>
    </row>
    <row r="129" customFormat="false" ht="19.85" hidden="false" customHeight="true" outlineLevel="0" collapsed="false">
      <c r="L129" s="183"/>
      <c r="M129" s="183"/>
      <c r="N129" s="183"/>
      <c r="O129" s="183"/>
      <c r="P129" s="183"/>
      <c r="Q129" s="183"/>
      <c r="R129" s="183"/>
    </row>
    <row r="130" customFormat="false" ht="19.85" hidden="false" customHeight="true" outlineLevel="0" collapsed="false">
      <c r="L130" s="183"/>
      <c r="M130" s="183"/>
      <c r="N130" s="183"/>
      <c r="O130" s="183"/>
      <c r="P130" s="183"/>
      <c r="Q130" s="183"/>
      <c r="R130" s="183"/>
    </row>
    <row r="131" customFormat="false" ht="19.85" hidden="false" customHeight="true" outlineLevel="0" collapsed="false">
      <c r="L131" s="183"/>
      <c r="M131" s="183"/>
      <c r="N131" s="183"/>
      <c r="O131" s="183"/>
      <c r="P131" s="183"/>
      <c r="Q131" s="183"/>
      <c r="R131" s="183"/>
    </row>
    <row r="132" customFormat="false" ht="19.85" hidden="false" customHeight="true" outlineLevel="0" collapsed="false">
      <c r="L132" s="183"/>
      <c r="M132" s="183"/>
      <c r="N132" s="183"/>
      <c r="O132" s="183"/>
      <c r="P132" s="183"/>
      <c r="Q132" s="183"/>
      <c r="R132" s="183"/>
    </row>
    <row r="133" customFormat="false" ht="19.85" hidden="false" customHeight="true" outlineLevel="0" collapsed="false">
      <c r="L133" s="183"/>
      <c r="M133" s="183"/>
      <c r="N133" s="183"/>
      <c r="O133" s="183"/>
      <c r="P133" s="183"/>
      <c r="Q133" s="183"/>
      <c r="R133" s="183"/>
    </row>
    <row r="134" customFormat="false" ht="19.85" hidden="false" customHeight="true" outlineLevel="0" collapsed="false">
      <c r="L134" s="183"/>
      <c r="M134" s="183"/>
      <c r="N134" s="183"/>
      <c r="O134" s="183"/>
      <c r="P134" s="183"/>
      <c r="Q134" s="183"/>
      <c r="R134" s="183"/>
    </row>
    <row r="135" customFormat="false" ht="19.85" hidden="false" customHeight="true" outlineLevel="0" collapsed="false">
      <c r="L135" s="183"/>
      <c r="M135" s="183"/>
      <c r="N135" s="183"/>
      <c r="O135" s="183"/>
      <c r="P135" s="183"/>
      <c r="Q135" s="183"/>
      <c r="R135" s="183"/>
    </row>
    <row r="136" customFormat="false" ht="19.85" hidden="false" customHeight="true" outlineLevel="0" collapsed="false">
      <c r="L136" s="183"/>
      <c r="M136" s="183"/>
      <c r="N136" s="183"/>
      <c r="O136" s="183"/>
      <c r="P136" s="183"/>
      <c r="Q136" s="183"/>
      <c r="R136" s="183"/>
    </row>
    <row r="137" customFormat="false" ht="19.85" hidden="false" customHeight="true" outlineLevel="0" collapsed="false">
      <c r="L137" s="183"/>
      <c r="M137" s="183"/>
      <c r="N137" s="183"/>
      <c r="O137" s="183"/>
      <c r="P137" s="183"/>
      <c r="Q137" s="183"/>
      <c r="R137" s="183"/>
    </row>
    <row r="138" customFormat="false" ht="19.85" hidden="false" customHeight="true" outlineLevel="0" collapsed="false">
      <c r="L138" s="183"/>
      <c r="M138" s="183"/>
      <c r="N138" s="183"/>
      <c r="O138" s="183"/>
      <c r="P138" s="183"/>
      <c r="Q138" s="183"/>
      <c r="R138" s="183"/>
    </row>
    <row r="139" customFormat="false" ht="19.85" hidden="false" customHeight="true" outlineLevel="0" collapsed="false">
      <c r="L139" s="183"/>
      <c r="M139" s="183"/>
      <c r="N139" s="183"/>
      <c r="O139" s="183"/>
      <c r="P139" s="183"/>
      <c r="Q139" s="183"/>
      <c r="R139" s="183"/>
    </row>
    <row r="140" customFormat="false" ht="19.85" hidden="false" customHeight="true" outlineLevel="0" collapsed="false">
      <c r="L140" s="183"/>
      <c r="M140" s="183"/>
      <c r="N140" s="183"/>
      <c r="O140" s="183"/>
      <c r="P140" s="183"/>
      <c r="Q140" s="183"/>
      <c r="R140" s="183"/>
    </row>
    <row r="141" customFormat="false" ht="19.85" hidden="false" customHeight="true" outlineLevel="0" collapsed="false">
      <c r="L141" s="183"/>
      <c r="M141" s="183"/>
      <c r="N141" s="183"/>
      <c r="O141" s="183"/>
      <c r="P141" s="183"/>
      <c r="Q141" s="183"/>
      <c r="R141" s="183"/>
    </row>
    <row r="142" customFormat="false" ht="19.85" hidden="false" customHeight="true" outlineLevel="0" collapsed="false">
      <c r="L142" s="183"/>
      <c r="M142" s="183"/>
      <c r="N142" s="183"/>
      <c r="O142" s="183"/>
      <c r="P142" s="183"/>
      <c r="Q142" s="183"/>
      <c r="R142" s="183"/>
    </row>
    <row r="143" customFormat="false" ht="19.85" hidden="false" customHeight="true" outlineLevel="0" collapsed="false">
      <c r="L143" s="183"/>
      <c r="M143" s="183"/>
      <c r="N143" s="183"/>
      <c r="O143" s="183"/>
      <c r="P143" s="183"/>
      <c r="Q143" s="183"/>
      <c r="R143" s="183"/>
    </row>
    <row r="144" customFormat="false" ht="19.85" hidden="false" customHeight="true" outlineLevel="0" collapsed="false">
      <c r="L144" s="183"/>
      <c r="M144" s="183"/>
      <c r="N144" s="183"/>
      <c r="O144" s="183"/>
      <c r="P144" s="183"/>
      <c r="Q144" s="183"/>
      <c r="R144" s="183"/>
    </row>
    <row r="145" customFormat="false" ht="19.85" hidden="false" customHeight="true" outlineLevel="0" collapsed="false">
      <c r="L145" s="183"/>
      <c r="M145" s="183"/>
      <c r="N145" s="183"/>
      <c r="O145" s="183"/>
      <c r="P145" s="183"/>
      <c r="Q145" s="183"/>
      <c r="R145" s="183"/>
    </row>
    <row r="146" customFormat="false" ht="19.85" hidden="false" customHeight="true" outlineLevel="0" collapsed="false">
      <c r="L146" s="183"/>
      <c r="M146" s="183"/>
      <c r="N146" s="183"/>
      <c r="O146" s="183"/>
      <c r="P146" s="183"/>
      <c r="Q146" s="183"/>
      <c r="R146" s="183"/>
    </row>
    <row r="147" customFormat="false" ht="19.85" hidden="false" customHeight="true" outlineLevel="0" collapsed="false">
      <c r="L147" s="183"/>
      <c r="M147" s="183"/>
      <c r="N147" s="183"/>
      <c r="O147" s="183"/>
      <c r="P147" s="183"/>
      <c r="Q147" s="183"/>
      <c r="R147" s="183"/>
    </row>
    <row r="148" customFormat="false" ht="19.85" hidden="false" customHeight="true" outlineLevel="0" collapsed="false">
      <c r="L148" s="183"/>
      <c r="M148" s="183"/>
      <c r="N148" s="183"/>
      <c r="O148" s="183"/>
      <c r="P148" s="183"/>
      <c r="Q148" s="183"/>
      <c r="R148" s="183"/>
    </row>
    <row r="149" customFormat="false" ht="19.85" hidden="false" customHeight="true" outlineLevel="0" collapsed="false">
      <c r="L149" s="183"/>
      <c r="M149" s="183"/>
      <c r="N149" s="183"/>
      <c r="O149" s="183"/>
      <c r="P149" s="183"/>
      <c r="Q149" s="183"/>
      <c r="R149" s="183"/>
    </row>
    <row r="150" customFormat="false" ht="19.85" hidden="false" customHeight="true" outlineLevel="0" collapsed="false">
      <c r="L150" s="183"/>
      <c r="M150" s="183"/>
      <c r="N150" s="183"/>
      <c r="O150" s="183"/>
      <c r="P150" s="183"/>
      <c r="Q150" s="183"/>
      <c r="R150" s="183"/>
    </row>
    <row r="151" customFormat="false" ht="19.85" hidden="false" customHeight="true" outlineLevel="0" collapsed="false">
      <c r="L151" s="183"/>
      <c r="M151" s="183"/>
      <c r="N151" s="183"/>
      <c r="O151" s="183"/>
      <c r="P151" s="183"/>
      <c r="Q151" s="183"/>
      <c r="R151" s="183"/>
    </row>
    <row r="152" customFormat="false" ht="19.85" hidden="false" customHeight="true" outlineLevel="0" collapsed="false">
      <c r="L152" s="183"/>
      <c r="M152" s="183"/>
      <c r="N152" s="183"/>
      <c r="O152" s="183"/>
      <c r="P152" s="183"/>
      <c r="Q152" s="183"/>
      <c r="R152" s="183"/>
    </row>
    <row r="153" customFormat="false" ht="19.85" hidden="false" customHeight="true" outlineLevel="0" collapsed="false">
      <c r="L153" s="183"/>
      <c r="M153" s="183"/>
      <c r="N153" s="183"/>
      <c r="O153" s="183"/>
      <c r="P153" s="183"/>
      <c r="Q153" s="183"/>
      <c r="R153" s="183"/>
    </row>
    <row r="154" customFormat="false" ht="19.85" hidden="false" customHeight="true" outlineLevel="0" collapsed="false">
      <c r="L154" s="183"/>
      <c r="M154" s="183"/>
      <c r="N154" s="183"/>
      <c r="O154" s="183"/>
      <c r="P154" s="183"/>
      <c r="Q154" s="183"/>
      <c r="R154" s="183"/>
    </row>
    <row r="155" customFormat="false" ht="19.85" hidden="false" customHeight="true" outlineLevel="0" collapsed="false">
      <c r="L155" s="183"/>
      <c r="M155" s="183"/>
      <c r="N155" s="183"/>
      <c r="O155" s="183"/>
      <c r="P155" s="183"/>
      <c r="Q155" s="183"/>
      <c r="R155" s="183"/>
    </row>
    <row r="156" customFormat="false" ht="19.85" hidden="false" customHeight="true" outlineLevel="0" collapsed="false">
      <c r="L156" s="183"/>
      <c r="M156" s="183"/>
      <c r="N156" s="183"/>
      <c r="O156" s="183"/>
      <c r="P156" s="183"/>
      <c r="Q156" s="183"/>
      <c r="R156" s="183"/>
    </row>
    <row r="157" customFormat="false" ht="19.85" hidden="false" customHeight="true" outlineLevel="0" collapsed="false">
      <c r="L157" s="183"/>
      <c r="M157" s="183"/>
      <c r="N157" s="183"/>
      <c r="O157" s="183"/>
      <c r="P157" s="183"/>
      <c r="Q157" s="183"/>
      <c r="R157" s="183"/>
    </row>
    <row r="158" customFormat="false" ht="19.85" hidden="false" customHeight="true" outlineLevel="0" collapsed="false">
      <c r="L158" s="183"/>
      <c r="M158" s="183"/>
      <c r="N158" s="183"/>
      <c r="O158" s="183"/>
      <c r="P158" s="183"/>
      <c r="Q158" s="183"/>
      <c r="R158" s="183"/>
    </row>
    <row r="159" customFormat="false" ht="22.45" hidden="false" customHeight="true" outlineLevel="0" collapsed="false">
      <c r="L159" s="183"/>
      <c r="M159" s="183"/>
      <c r="N159" s="183"/>
      <c r="O159" s="183"/>
      <c r="P159" s="183"/>
      <c r="Q159" s="183"/>
      <c r="R159" s="183"/>
    </row>
    <row r="160" customFormat="false" ht="21.65" hidden="false" customHeight="true" outlineLevel="0" collapsed="false">
      <c r="L160" s="183"/>
      <c r="M160" s="183"/>
      <c r="N160" s="183"/>
      <c r="O160" s="183"/>
      <c r="P160" s="183"/>
      <c r="Q160" s="183"/>
      <c r="R160" s="183"/>
    </row>
    <row r="161" customFormat="false" ht="21.65" hidden="false" customHeight="true" outlineLevel="0" collapsed="false">
      <c r="L161" s="183"/>
      <c r="M161" s="183"/>
      <c r="N161" s="183"/>
      <c r="O161" s="183"/>
      <c r="P161" s="183"/>
      <c r="Q161" s="183"/>
      <c r="R161" s="183"/>
    </row>
    <row r="162" customFormat="false" ht="21.65" hidden="false" customHeight="true" outlineLevel="0" collapsed="false">
      <c r="L162" s="183"/>
      <c r="M162" s="183"/>
      <c r="N162" s="183"/>
      <c r="O162" s="183"/>
      <c r="P162" s="183"/>
      <c r="Q162" s="183"/>
      <c r="R162" s="183"/>
    </row>
    <row r="163" customFormat="false" ht="21.65" hidden="false" customHeight="true" outlineLevel="0" collapsed="false">
      <c r="L163" s="183"/>
      <c r="M163" s="183"/>
      <c r="N163" s="183"/>
      <c r="O163" s="183"/>
      <c r="P163" s="183"/>
      <c r="Q163" s="183"/>
      <c r="R163" s="183"/>
    </row>
    <row r="164" customFormat="false" ht="21.65" hidden="false" customHeight="true" outlineLevel="0" collapsed="false">
      <c r="L164" s="183"/>
      <c r="M164" s="183"/>
      <c r="N164" s="183"/>
      <c r="O164" s="183"/>
      <c r="P164" s="183"/>
      <c r="Q164" s="183"/>
      <c r="R164" s="183"/>
    </row>
    <row r="165" customFormat="false" ht="21.65" hidden="false" customHeight="true" outlineLevel="0" collapsed="false">
      <c r="L165" s="183"/>
      <c r="M165" s="183"/>
      <c r="N165" s="183"/>
      <c r="O165" s="183"/>
      <c r="P165" s="183"/>
      <c r="Q165" s="183"/>
      <c r="R165" s="183"/>
    </row>
    <row r="166" customFormat="false" ht="28.35" hidden="false" customHeight="true" outlineLevel="0" collapsed="false">
      <c r="L166" s="183"/>
      <c r="M166" s="183"/>
      <c r="N166" s="183"/>
      <c r="O166" s="183"/>
      <c r="P166" s="183"/>
      <c r="Q166" s="183"/>
      <c r="R166" s="183"/>
    </row>
    <row r="167" customFormat="false" ht="28.35" hidden="false" customHeight="true" outlineLevel="0" collapsed="false">
      <c r="L167" s="183"/>
      <c r="M167" s="183"/>
      <c r="N167" s="183"/>
      <c r="O167" s="183"/>
      <c r="P167" s="183"/>
      <c r="Q167" s="183"/>
      <c r="R167" s="183"/>
    </row>
    <row r="168" customFormat="false" ht="28.35" hidden="false" customHeight="true" outlineLevel="0" collapsed="false">
      <c r="L168" s="183"/>
      <c r="M168" s="183"/>
      <c r="N168" s="183"/>
      <c r="O168" s="183"/>
      <c r="P168" s="183"/>
      <c r="Q168" s="183"/>
      <c r="R168" s="183"/>
    </row>
    <row r="169" customFormat="false" ht="28.35" hidden="false" customHeight="true" outlineLevel="0" collapsed="false">
      <c r="L169" s="183"/>
      <c r="M169" s="183"/>
      <c r="N169" s="183"/>
      <c r="O169" s="183"/>
      <c r="P169" s="183"/>
      <c r="Q169" s="183"/>
      <c r="R169" s="183"/>
    </row>
    <row r="170" customFormat="false" ht="28.35" hidden="false" customHeight="true" outlineLevel="0" collapsed="false">
      <c r="L170" s="183"/>
      <c r="M170" s="183"/>
      <c r="N170" s="183"/>
      <c r="O170" s="183"/>
      <c r="P170" s="183"/>
      <c r="Q170" s="183"/>
      <c r="R170" s="183"/>
    </row>
    <row r="171" customFormat="false" ht="28.35" hidden="false" customHeight="true" outlineLevel="0" collapsed="false">
      <c r="L171" s="183"/>
      <c r="M171" s="183"/>
      <c r="N171" s="183"/>
      <c r="O171" s="183"/>
      <c r="P171" s="183"/>
      <c r="Q171" s="183"/>
      <c r="R171" s="183"/>
    </row>
    <row r="172" customFormat="false" ht="28.35" hidden="false" customHeight="true" outlineLevel="0" collapsed="false">
      <c r="L172" s="183"/>
      <c r="M172" s="183"/>
      <c r="N172" s="183"/>
      <c r="O172" s="183"/>
      <c r="P172" s="183"/>
      <c r="Q172" s="183"/>
      <c r="R172" s="183"/>
    </row>
    <row r="173" customFormat="false" ht="28.35" hidden="false" customHeight="true" outlineLevel="0" collapsed="false">
      <c r="L173" s="183"/>
      <c r="M173" s="183"/>
      <c r="N173" s="183"/>
      <c r="O173" s="183"/>
      <c r="P173" s="183"/>
      <c r="Q173" s="183"/>
      <c r="R173" s="183"/>
    </row>
    <row r="174" customFormat="false" ht="28.35" hidden="false" customHeight="true" outlineLevel="0" collapsed="false">
      <c r="L174" s="183"/>
      <c r="M174" s="183"/>
      <c r="N174" s="183"/>
      <c r="O174" s="183"/>
      <c r="P174" s="183"/>
      <c r="Q174" s="183"/>
      <c r="R174" s="183"/>
    </row>
    <row r="175" customFormat="false" ht="28.35" hidden="false" customHeight="true" outlineLevel="0" collapsed="false">
      <c r="L175" s="183"/>
      <c r="M175" s="183"/>
      <c r="N175" s="183"/>
      <c r="O175" s="183"/>
      <c r="P175" s="183"/>
      <c r="Q175" s="183"/>
      <c r="R175" s="183"/>
    </row>
    <row r="176" customFormat="false" ht="28.35" hidden="false" customHeight="true" outlineLevel="0" collapsed="false">
      <c r="L176" s="183"/>
      <c r="M176" s="183"/>
      <c r="N176" s="183"/>
      <c r="O176" s="183"/>
      <c r="P176" s="183"/>
      <c r="Q176" s="183"/>
      <c r="R176" s="183"/>
    </row>
    <row r="177" customFormat="false" ht="28.35" hidden="false" customHeight="true" outlineLevel="0" collapsed="false">
      <c r="L177" s="183"/>
      <c r="M177" s="183"/>
      <c r="N177" s="183"/>
      <c r="O177" s="183"/>
      <c r="P177" s="183"/>
      <c r="Q177" s="183"/>
      <c r="R177" s="183"/>
    </row>
    <row r="178" customFormat="false" ht="28.35" hidden="false" customHeight="true" outlineLevel="0" collapsed="false">
      <c r="L178" s="183"/>
      <c r="M178" s="183"/>
      <c r="N178" s="183"/>
      <c r="O178" s="183"/>
      <c r="P178" s="183"/>
      <c r="Q178" s="183"/>
      <c r="R178" s="183"/>
    </row>
    <row r="179" customFormat="false" ht="28.35" hidden="false" customHeight="true" outlineLevel="0" collapsed="false">
      <c r="L179" s="183"/>
      <c r="M179" s="183"/>
      <c r="N179" s="183"/>
      <c r="O179" s="183"/>
      <c r="P179" s="183"/>
      <c r="Q179" s="183"/>
      <c r="R179" s="183"/>
    </row>
    <row r="180" customFormat="false" ht="28.35" hidden="false" customHeight="true" outlineLevel="0" collapsed="false">
      <c r="L180" s="183"/>
      <c r="M180" s="183"/>
      <c r="N180" s="183"/>
      <c r="O180" s="183"/>
      <c r="P180" s="183"/>
      <c r="Q180" s="183"/>
      <c r="R180" s="183"/>
    </row>
    <row r="181" customFormat="false" ht="28.35" hidden="false" customHeight="true" outlineLevel="0" collapsed="false">
      <c r="L181" s="183"/>
      <c r="M181" s="183"/>
      <c r="N181" s="183"/>
      <c r="O181" s="183"/>
      <c r="P181" s="183"/>
      <c r="Q181" s="183"/>
      <c r="R181" s="183"/>
    </row>
    <row r="182" customFormat="false" ht="28.35" hidden="false" customHeight="true" outlineLevel="0" collapsed="false">
      <c r="L182" s="183"/>
      <c r="M182" s="183"/>
      <c r="N182" s="183"/>
      <c r="O182" s="183"/>
      <c r="P182" s="183"/>
      <c r="Q182" s="183"/>
      <c r="R182" s="183"/>
    </row>
    <row r="183" customFormat="false" ht="28.35" hidden="false" customHeight="true" outlineLevel="0" collapsed="false">
      <c r="L183" s="183"/>
      <c r="M183" s="183"/>
      <c r="N183" s="183"/>
      <c r="O183" s="183"/>
      <c r="P183" s="183"/>
      <c r="Q183" s="183"/>
      <c r="R183" s="183"/>
    </row>
  </sheetData>
  <mergeCells count="15">
    <mergeCell ref="B1:E2"/>
    <mergeCell ref="F1:O1"/>
    <mergeCell ref="F2:I2"/>
    <mergeCell ref="J2:L2"/>
    <mergeCell ref="M2:N2"/>
    <mergeCell ref="O2:O3"/>
    <mergeCell ref="V2:V3"/>
    <mergeCell ref="U4:W4"/>
    <mergeCell ref="C6:D6"/>
    <mergeCell ref="F6:F7"/>
    <mergeCell ref="G6:O7"/>
    <mergeCell ref="C7:D7"/>
    <mergeCell ref="I19:I21"/>
    <mergeCell ref="J19:J20"/>
    <mergeCell ref="M35:X57"/>
  </mergeCells>
  <conditionalFormatting sqref="E12:E2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73">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72.xml><?xml version="1.0" encoding="utf-8"?>
<worksheet xmlns="http://schemas.openxmlformats.org/spreadsheetml/2006/main" xmlns:r="http://schemas.openxmlformats.org/officeDocument/2006/relationships">
  <sheetPr filterMode="false">
    <tabColor rgb="FF00CC33"/>
    <pageSetUpPr fitToPage="false"/>
  </sheetPr>
  <dimension ref="A1:V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364" activePane="bottomRight" state="frozen"/>
      <selection pane="topLeft" activeCell="A1" activeCellId="0" sqref="A1"/>
      <selection pane="topRight" activeCell="B1" activeCellId="0" sqref="B1"/>
      <selection pane="bottomLeft" activeCell="A364" activeCellId="0" sqref="A364"/>
      <selection pane="bottomRight" activeCell="B367" activeCellId="0" sqref="B367"/>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56" width="24.68"/>
    <col collapsed="false" customWidth="true" hidden="false" outlineLevel="0" max="11" min="11" style="256" width="19.45"/>
    <col collapsed="false" customWidth="true" hidden="false" outlineLevel="0" max="12" min="12" style="256" width="24.54"/>
    <col collapsed="false" customWidth="false" hidden="false" outlineLevel="0" max="13" min="13" style="256" width="11.52"/>
    <col collapsed="false" customWidth="true" hidden="false" outlineLevel="0" max="14" min="14" style="256" width="10.8"/>
    <col collapsed="false" customWidth="true" hidden="false" outlineLevel="0" max="15" min="15" style="256" width="4.02"/>
    <col collapsed="false" customWidth="false" hidden="false" outlineLevel="0" max="16" min="16" style="256" width="11.52"/>
    <col collapsed="false" customWidth="true" hidden="false" outlineLevel="0" max="17" min="17" style="256" width="15.28"/>
    <col collapsed="false" customWidth="true" hidden="false" outlineLevel="0" max="18" min="18" style="256" width="3.85"/>
    <col collapsed="false" customWidth="false" hidden="false" outlineLevel="0" max="20" min="19" style="256" width="11.52"/>
    <col collapsed="false" customWidth="false" hidden="false" outlineLevel="0" max="1025" min="21" style="1" width="11.52"/>
  </cols>
  <sheetData>
    <row r="1" s="1" customFormat="true" ht="30.8" hidden="false" customHeight="true" outlineLevel="0" collapsed="false">
      <c r="A1" s="0"/>
      <c r="B1" s="2" t="s">
        <v>0</v>
      </c>
      <c r="C1" s="2"/>
      <c r="D1" s="2"/>
      <c r="E1" s="2"/>
      <c r="F1" s="3" t="s">
        <v>1</v>
      </c>
      <c r="G1" s="3"/>
      <c r="H1" s="3"/>
      <c r="I1" s="3"/>
      <c r="J1" s="3"/>
      <c r="K1" s="3"/>
      <c r="L1" s="3"/>
      <c r="M1" s="3"/>
      <c r="N1" s="3"/>
    </row>
    <row r="2" s="1" customFormat="true" ht="30.8" hidden="false" customHeight="true" outlineLevel="0" collapsed="false">
      <c r="A2" s="0"/>
      <c r="B2" s="2"/>
      <c r="C2" s="2"/>
      <c r="D2" s="2"/>
      <c r="E2" s="2"/>
      <c r="F2" s="3" t="s">
        <v>305</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5" t="s">
        <v>1125</v>
      </c>
      <c r="C4" s="5" t="n">
        <v>437159</v>
      </c>
      <c r="D4" s="5" t="s">
        <v>1126</v>
      </c>
      <c r="E4" s="14" t="s">
        <v>1127</v>
      </c>
      <c r="F4" s="15" t="n">
        <v>1665</v>
      </c>
      <c r="G4" s="15" t="n">
        <v>1180</v>
      </c>
      <c r="H4" s="15" t="n">
        <v>700</v>
      </c>
      <c r="I4" s="5"/>
      <c r="J4" s="15" t="n">
        <v>1180</v>
      </c>
      <c r="K4" s="578" t="s">
        <v>1128</v>
      </c>
      <c r="L4" s="16" t="s">
        <v>66</v>
      </c>
      <c r="M4" s="16" t="s">
        <v>1129</v>
      </c>
      <c r="N4" s="16"/>
      <c r="P4" s="17"/>
      <c r="Q4" s="16" t="s">
        <v>23</v>
      </c>
      <c r="S4" s="18"/>
      <c r="T4" s="19" t="s">
        <v>24</v>
      </c>
      <c r="U4" s="19"/>
      <c r="V4" s="19"/>
    </row>
    <row r="5" s="1" customFormat="true" ht="28.35" hidden="false" customHeight="true" outlineLevel="0" collapsed="false">
      <c r="A5" s="0"/>
      <c r="E5" s="9"/>
      <c r="F5" s="9"/>
      <c r="G5" s="9"/>
      <c r="H5" s="9"/>
      <c r="J5" s="9"/>
      <c r="P5" s="9"/>
      <c r="Q5" s="9"/>
    </row>
    <row r="6" s="1" customFormat="true" ht="28.35" hidden="false" customHeight="true" outlineLevel="0" collapsed="false">
      <c r="A6" s="0"/>
      <c r="B6" s="0"/>
      <c r="C6" s="10" t="s">
        <v>25</v>
      </c>
      <c r="D6" s="10"/>
      <c r="E6" s="9"/>
      <c r="F6" s="20" t="s">
        <v>26</v>
      </c>
      <c r="G6" s="579" t="s">
        <v>1130</v>
      </c>
      <c r="H6" s="579"/>
      <c r="I6" s="579"/>
      <c r="J6" s="579"/>
      <c r="K6" s="579"/>
      <c r="L6" s="579"/>
      <c r="M6" s="579"/>
      <c r="N6" s="579"/>
      <c r="P6" s="21" t="n">
        <v>42736</v>
      </c>
      <c r="Q6" s="19" t="s">
        <v>27</v>
      </c>
      <c r="R6" s="9"/>
      <c r="S6" s="22"/>
      <c r="T6" s="5" t="s">
        <v>28</v>
      </c>
    </row>
    <row r="7" s="1" customFormat="true" ht="41.65" hidden="false" customHeight="true" outlineLevel="0" collapsed="false">
      <c r="A7" s="0"/>
      <c r="B7" s="0"/>
      <c r="C7" s="7" t="s">
        <v>1131</v>
      </c>
      <c r="D7" s="7"/>
      <c r="E7" s="9"/>
      <c r="F7" s="20"/>
      <c r="G7" s="20"/>
      <c r="H7" s="579"/>
      <c r="I7" s="579"/>
      <c r="J7" s="579"/>
      <c r="K7" s="579"/>
      <c r="L7" s="579"/>
      <c r="M7" s="579"/>
      <c r="N7" s="579"/>
      <c r="P7" s="24"/>
      <c r="Q7" s="5" t="s">
        <v>29</v>
      </c>
      <c r="R7" s="9"/>
      <c r="S7" s="25"/>
      <c r="T7" s="5" t="s">
        <v>30</v>
      </c>
    </row>
    <row r="8" s="1" customFormat="true" ht="42.45" hidden="false" customHeight="true" outlineLevel="0" collapsed="false">
      <c r="A8" s="26"/>
      <c r="E8" s="9"/>
      <c r="F8" s="9"/>
      <c r="G8" s="9"/>
      <c r="H8" s="9"/>
      <c r="J8" s="9"/>
      <c r="R8" s="9"/>
      <c r="S8" s="27"/>
      <c r="T8" s="16" t="s">
        <v>31</v>
      </c>
    </row>
    <row r="9" s="1" customFormat="true" ht="36.65" hidden="false" customHeight="true" outlineLevel="0" collapsed="false">
      <c r="A9" s="26"/>
      <c r="B9" s="9" t="s">
        <v>32</v>
      </c>
      <c r="C9" s="28" t="s">
        <v>33</v>
      </c>
      <c r="D9" s="29"/>
      <c r="E9" s="346" t="s">
        <v>35</v>
      </c>
      <c r="F9" s="9" t="s">
        <v>36</v>
      </c>
      <c r="G9" s="9" t="s">
        <v>37</v>
      </c>
      <c r="H9" s="9" t="s">
        <v>38</v>
      </c>
      <c r="I9" s="9" t="s">
        <v>39</v>
      </c>
      <c r="J9" s="205" t="s">
        <v>40</v>
      </c>
    </row>
    <row r="10" s="1" customFormat="true" ht="19.65" hidden="false" customHeight="true" outlineLevel="0" collapsed="false">
      <c r="A10" s="0" t="n">
        <v>31</v>
      </c>
      <c r="B10" s="34" t="n">
        <v>32478</v>
      </c>
      <c r="C10" s="28" t="n">
        <v>60000</v>
      </c>
      <c r="D10" s="29" t="s">
        <v>41</v>
      </c>
      <c r="E10" s="580" t="n">
        <f aca="false">IF(D10="totale",(C10/(A10*24))/F10,IF(D10="marché libre",(C10/(A10*24))/G10,"spécifier histo"))</f>
        <v>0.0683433570256971</v>
      </c>
      <c r="F10" s="59" t="n">
        <v>1180</v>
      </c>
      <c r="G10" s="59" t="n">
        <f aca="false">F10-H10</f>
        <v>0</v>
      </c>
      <c r="H10" s="9" t="n">
        <v>1180</v>
      </c>
      <c r="I10" s="9"/>
      <c r="J10" s="205"/>
    </row>
    <row r="11" s="1" customFormat="true" ht="19.65" hidden="false" customHeight="true" outlineLevel="0" collapsed="false">
      <c r="A11" s="0" t="n">
        <v>31</v>
      </c>
      <c r="B11" s="31" t="n">
        <v>32509</v>
      </c>
      <c r="C11" s="28" t="n">
        <v>211500</v>
      </c>
      <c r="D11" s="29" t="s">
        <v>41</v>
      </c>
      <c r="E11" s="580" t="n">
        <f aca="false">IF(D11="totale",(C11/(A11*24))/F11,IF(D11="marché libre",(C11/(A11*24))/G11,"spécifier histo"))</f>
        <v>0.240910333515582</v>
      </c>
      <c r="F11" s="59" t="n">
        <v>1180</v>
      </c>
      <c r="G11" s="59" t="n">
        <f aca="false">F11-H11</f>
        <v>0</v>
      </c>
      <c r="H11" s="9" t="n">
        <v>1180</v>
      </c>
      <c r="I11" s="9"/>
      <c r="J11" s="205"/>
    </row>
    <row r="12" s="1" customFormat="true" ht="19.65" hidden="false" customHeight="true" outlineLevel="0" collapsed="false">
      <c r="A12" s="0" t="n">
        <v>28</v>
      </c>
      <c r="B12" s="34" t="n">
        <v>32540</v>
      </c>
      <c r="C12" s="28" t="n">
        <v>172800</v>
      </c>
      <c r="D12" s="29" t="s">
        <v>41</v>
      </c>
      <c r="E12" s="580" t="n">
        <f aca="false">IF(D12="totale",(C12/(A12*24))/F12,IF(D12="marché libre",(C12/(A12*24))/G12,"spécifier histo"))</f>
        <v>0.217917675544794</v>
      </c>
      <c r="F12" s="59" t="n">
        <v>1180</v>
      </c>
      <c r="G12" s="59" t="n">
        <f aca="false">F12-H12</f>
        <v>0</v>
      </c>
      <c r="H12" s="9" t="n">
        <v>1180</v>
      </c>
      <c r="I12" s="9"/>
      <c r="J12" s="205"/>
    </row>
    <row r="13" s="1" customFormat="true" ht="19.65" hidden="false" customHeight="true" outlineLevel="0" collapsed="false">
      <c r="A13" s="0" t="n">
        <v>31</v>
      </c>
      <c r="B13" s="31" t="n">
        <v>32568</v>
      </c>
      <c r="C13" s="28" t="n">
        <v>468900</v>
      </c>
      <c r="D13" s="29" t="s">
        <v>41</v>
      </c>
      <c r="E13" s="580" t="n">
        <f aca="false">IF(D13="totale",(C13/(A13*24))/F13,IF(D13="marché libre",(C13/(A13*24))/G13,"spécifier histo"))</f>
        <v>0.534103335155823</v>
      </c>
      <c r="F13" s="59" t="n">
        <v>1180</v>
      </c>
      <c r="G13" s="59" t="n">
        <f aca="false">F13-H13</f>
        <v>0</v>
      </c>
      <c r="H13" s="9" t="n">
        <v>1180</v>
      </c>
      <c r="I13" s="9"/>
      <c r="J13" s="205"/>
    </row>
    <row r="14" s="1" customFormat="true" ht="19.65" hidden="false" customHeight="true" outlineLevel="0" collapsed="false">
      <c r="A14" s="0" t="n">
        <v>30</v>
      </c>
      <c r="B14" s="34" t="n">
        <v>32599</v>
      </c>
      <c r="C14" s="28" t="n">
        <v>323300</v>
      </c>
      <c r="D14" s="29" t="s">
        <v>41</v>
      </c>
      <c r="E14" s="580" t="n">
        <f aca="false">IF(D14="totale",(C14/(A14*24))/F14,IF(D14="marché libre",(C14/(A14*24))/G14,"spécifier histo"))</f>
        <v>0.380532015065913</v>
      </c>
      <c r="F14" s="59" t="n">
        <v>1180</v>
      </c>
      <c r="G14" s="59" t="n">
        <f aca="false">F14-H14</f>
        <v>0</v>
      </c>
      <c r="H14" s="9" t="n">
        <v>1180</v>
      </c>
      <c r="I14" s="9"/>
      <c r="J14" s="205"/>
    </row>
    <row r="15" s="1" customFormat="true" ht="19.65" hidden="false" customHeight="true" outlineLevel="0" collapsed="false">
      <c r="A15" s="0" t="n">
        <v>31</v>
      </c>
      <c r="B15" s="31" t="n">
        <v>32629</v>
      </c>
      <c r="C15" s="28" t="n">
        <v>355300</v>
      </c>
      <c r="D15" s="29" t="s">
        <v>41</v>
      </c>
      <c r="E15" s="580" t="n">
        <f aca="false">IF(D15="totale",(C15/(A15*24))/F15,IF(D15="marché libre",(C15/(A15*24))/G15,"spécifier histo"))</f>
        <v>0.40470657918717</v>
      </c>
      <c r="F15" s="59" t="n">
        <v>1180</v>
      </c>
      <c r="G15" s="59" t="n">
        <f aca="false">F15-H15</f>
        <v>0</v>
      </c>
      <c r="H15" s="9" t="n">
        <v>1180</v>
      </c>
      <c r="I15" s="9"/>
      <c r="J15" s="205"/>
    </row>
    <row r="16" s="1" customFormat="true" ht="19.65" hidden="false" customHeight="true" outlineLevel="0" collapsed="false">
      <c r="A16" s="0" t="n">
        <v>30</v>
      </c>
      <c r="B16" s="34" t="n">
        <v>32660</v>
      </c>
      <c r="C16" s="28" t="n">
        <v>93100</v>
      </c>
      <c r="D16" s="29" t="s">
        <v>41</v>
      </c>
      <c r="E16" s="580" t="n">
        <f aca="false">IF(D16="totale",(C16/(A16*24))/F16,IF(D16="marché libre",(C16/(A16*24))/G16,"spécifier histo"))</f>
        <v>0.109580979284369</v>
      </c>
      <c r="F16" s="59" t="n">
        <v>1180</v>
      </c>
      <c r="G16" s="59" t="n">
        <f aca="false">F16-H16</f>
        <v>0</v>
      </c>
      <c r="H16" s="9" t="n">
        <v>1180</v>
      </c>
      <c r="I16" s="9"/>
      <c r="J16" s="205"/>
    </row>
    <row r="17" s="1" customFormat="true" ht="19.65" hidden="false" customHeight="true" outlineLevel="0" collapsed="false">
      <c r="A17" s="0" t="n">
        <v>31</v>
      </c>
      <c r="B17" s="31" t="n">
        <v>32690</v>
      </c>
      <c r="C17" s="28" t="n">
        <v>43800</v>
      </c>
      <c r="D17" s="29" t="s">
        <v>41</v>
      </c>
      <c r="E17" s="580" t="n">
        <f aca="false">IF(D17="totale",(C17/(A17*24))/F17,IF(D17="marché libre",(C17/(A17*24))/G17,"spécifier histo"))</f>
        <v>0.0498906506287589</v>
      </c>
      <c r="F17" s="59" t="n">
        <v>1180</v>
      </c>
      <c r="G17" s="59" t="n">
        <f aca="false">F17-H17</f>
        <v>0</v>
      </c>
      <c r="H17" s="9" t="n">
        <v>1180</v>
      </c>
      <c r="I17" s="9"/>
      <c r="J17" s="205"/>
    </row>
    <row r="18" s="1" customFormat="true" ht="19.65" hidden="false" customHeight="true" outlineLevel="0" collapsed="false">
      <c r="A18" s="0" t="n">
        <v>31</v>
      </c>
      <c r="B18" s="34" t="n">
        <v>32721</v>
      </c>
      <c r="C18" s="28" t="n">
        <v>0</v>
      </c>
      <c r="D18" s="29" t="s">
        <v>41</v>
      </c>
      <c r="E18" s="580" t="n">
        <f aca="false">IF(D18="totale",(C18/(A18*24))/F18,IF(D18="marché libre",(C18/(A18*24))/G18,"spécifier histo"))</f>
        <v>0</v>
      </c>
      <c r="F18" s="59" t="n">
        <v>1180</v>
      </c>
      <c r="G18" s="59" t="n">
        <f aca="false">F18-H18</f>
        <v>0</v>
      </c>
      <c r="H18" s="9" t="n">
        <v>1180</v>
      </c>
      <c r="I18" s="9"/>
      <c r="J18" s="205"/>
    </row>
    <row r="19" s="1" customFormat="true" ht="19.65" hidden="false" customHeight="true" outlineLevel="0" collapsed="false">
      <c r="A19" s="0" t="n">
        <v>30</v>
      </c>
      <c r="B19" s="31" t="n">
        <v>32752</v>
      </c>
      <c r="C19" s="28" t="n">
        <v>4900</v>
      </c>
      <c r="D19" s="29" t="s">
        <v>41</v>
      </c>
      <c r="E19" s="580" t="n">
        <f aca="false">IF(D19="totale",(C19/(A19*24))/F19,IF(D19="marché libre",(C19/(A19*24))/G19,"spécifier histo"))</f>
        <v>0.00576741996233522</v>
      </c>
      <c r="F19" s="59" t="n">
        <v>1180</v>
      </c>
      <c r="G19" s="59" t="n">
        <f aca="false">F19-H19</f>
        <v>0</v>
      </c>
      <c r="H19" s="9" t="n">
        <v>1180</v>
      </c>
      <c r="I19" s="9"/>
      <c r="J19" s="205"/>
    </row>
    <row r="20" s="1" customFormat="true" ht="19.65" hidden="false" customHeight="true" outlineLevel="0" collapsed="false">
      <c r="A20" s="0" t="n">
        <v>31</v>
      </c>
      <c r="B20" s="34" t="n">
        <v>32782</v>
      </c>
      <c r="C20" s="28" t="n">
        <v>20400</v>
      </c>
      <c r="D20" s="29" t="s">
        <v>41</v>
      </c>
      <c r="E20" s="580" t="n">
        <f aca="false">IF(D20="totale",(C20/(A20*24))/F20,IF(D20="marché libre",(C20/(A20*24))/G20,"spécifier histo"))</f>
        <v>0.023236741388737</v>
      </c>
      <c r="F20" s="59" t="n">
        <v>1180</v>
      </c>
      <c r="G20" s="59" t="n">
        <f aca="false">F20-H20</f>
        <v>0</v>
      </c>
      <c r="H20" s="9" t="n">
        <v>1180</v>
      </c>
      <c r="I20" s="9"/>
      <c r="J20" s="205"/>
    </row>
    <row r="21" s="1" customFormat="true" ht="19.65" hidden="false" customHeight="true" outlineLevel="0" collapsed="false">
      <c r="A21" s="0" t="n">
        <v>30</v>
      </c>
      <c r="B21" s="31" t="n">
        <v>32813</v>
      </c>
      <c r="C21" s="28" t="n">
        <v>259039</v>
      </c>
      <c r="D21" s="29" t="s">
        <v>41</v>
      </c>
      <c r="E21" s="580" t="n">
        <f aca="false">IF(D21="totale",(C21/(A21*24))/F21,IF(D21="marché libre",(C21/(A21*24))/G21,"spécifier histo"))</f>
        <v>0.304895244821092</v>
      </c>
      <c r="F21" s="59" t="n">
        <v>1180</v>
      </c>
      <c r="G21" s="59" t="n">
        <f aca="false">F21-H21</f>
        <v>0</v>
      </c>
      <c r="H21" s="9" t="n">
        <v>1180</v>
      </c>
      <c r="I21" s="9"/>
      <c r="J21" s="205"/>
    </row>
    <row r="22" s="1" customFormat="true" ht="19.65" hidden="false" customHeight="true" outlineLevel="0" collapsed="false">
      <c r="A22" s="0" t="n">
        <v>31</v>
      </c>
      <c r="B22" s="34" t="n">
        <v>32843</v>
      </c>
      <c r="C22" s="28" t="n">
        <v>211680</v>
      </c>
      <c r="D22" s="29" t="s">
        <v>41</v>
      </c>
      <c r="E22" s="580" t="n">
        <f aca="false">IF(D22="totale",(C22/(A22*24))/F22,IF(D22="marché libre",(C22/(A22*24))/G22,"spécifier histo"))</f>
        <v>0.241115363586659</v>
      </c>
      <c r="F22" s="59" t="n">
        <v>1180</v>
      </c>
      <c r="G22" s="59" t="n">
        <f aca="false">F22-H22</f>
        <v>0</v>
      </c>
      <c r="H22" s="9" t="n">
        <v>1180</v>
      </c>
      <c r="I22" s="9"/>
      <c r="J22" s="205"/>
    </row>
    <row r="23" s="1" customFormat="true" ht="19.65" hidden="false" customHeight="true" outlineLevel="0" collapsed="false">
      <c r="A23" s="0" t="n">
        <v>31</v>
      </c>
      <c r="B23" s="31" t="n">
        <v>32874</v>
      </c>
      <c r="C23" s="28" t="n">
        <v>375039</v>
      </c>
      <c r="D23" s="29" t="s">
        <v>41</v>
      </c>
      <c r="E23" s="580" t="n">
        <f aca="false">IF(D23="totale",(C23/(A23*24))/F23,IF(D23="marché libre",(C23/(A23*24))/G23,"spécifier histo"))</f>
        <v>0.427190404592674</v>
      </c>
      <c r="F23" s="59" t="n">
        <v>1180</v>
      </c>
      <c r="G23" s="59" t="n">
        <f aca="false">F23-H23</f>
        <v>0</v>
      </c>
      <c r="H23" s="9" t="n">
        <v>1180</v>
      </c>
      <c r="I23" s="9"/>
      <c r="J23" s="205"/>
    </row>
    <row r="24" s="1" customFormat="true" ht="19.65" hidden="false" customHeight="true" outlineLevel="0" collapsed="false">
      <c r="A24" s="0" t="n">
        <v>28</v>
      </c>
      <c r="B24" s="34" t="n">
        <v>32905</v>
      </c>
      <c r="C24" s="28" t="n">
        <v>345119</v>
      </c>
      <c r="D24" s="29" t="s">
        <v>41</v>
      </c>
      <c r="E24" s="580" t="n">
        <f aca="false">IF(D24="totale",(C24/(A24*24))/F24,IF(D24="marché libre",(C24/(A24*24))/G24,"spécifier histo"))</f>
        <v>0.435228763115416</v>
      </c>
      <c r="F24" s="59" t="n">
        <v>1180</v>
      </c>
      <c r="G24" s="59" t="n">
        <f aca="false">F24-H24</f>
        <v>0</v>
      </c>
      <c r="H24" s="9" t="n">
        <v>1180</v>
      </c>
      <c r="I24" s="9"/>
      <c r="J24" s="205"/>
    </row>
    <row r="25" s="1" customFormat="true" ht="19.65" hidden="false" customHeight="true" outlineLevel="0" collapsed="false">
      <c r="A25" s="0" t="n">
        <v>31</v>
      </c>
      <c r="B25" s="31" t="n">
        <v>32933</v>
      </c>
      <c r="C25" s="28" t="n">
        <v>171600</v>
      </c>
      <c r="D25" s="29" t="s">
        <v>41</v>
      </c>
      <c r="E25" s="580" t="n">
        <f aca="false">IF(D25="totale",(C25/(A25*24))/F25,IF(D25="marché libre",(C25/(A25*24))/G25,"spécifier histo"))</f>
        <v>0.195462001093494</v>
      </c>
      <c r="F25" s="59" t="n">
        <v>1180</v>
      </c>
      <c r="G25" s="59" t="n">
        <f aca="false">F25-H25</f>
        <v>0</v>
      </c>
      <c r="H25" s="9" t="n">
        <v>1180</v>
      </c>
      <c r="I25" s="9"/>
      <c r="J25" s="205"/>
    </row>
    <row r="26" s="1" customFormat="true" ht="19.65" hidden="false" customHeight="true" outlineLevel="0" collapsed="false">
      <c r="A26" s="0" t="n">
        <v>30</v>
      </c>
      <c r="B26" s="34" t="n">
        <v>32964</v>
      </c>
      <c r="C26" s="28" t="n">
        <v>291000</v>
      </c>
      <c r="D26" s="29" t="s">
        <v>41</v>
      </c>
      <c r="E26" s="580" t="n">
        <f aca="false">IF(D26="totale",(C26/(A26*24))/F26,IF(D26="marché libre",(C26/(A26*24))/G26,"spécifier histo"))</f>
        <v>0.342514124293785</v>
      </c>
      <c r="F26" s="59" t="n">
        <v>1180</v>
      </c>
      <c r="G26" s="59" t="n">
        <f aca="false">F26-H26</f>
        <v>0</v>
      </c>
      <c r="H26" s="9" t="n">
        <v>1180</v>
      </c>
      <c r="I26" s="9"/>
      <c r="J26" s="205"/>
    </row>
    <row r="27" s="1" customFormat="true" ht="19.65" hidden="false" customHeight="true" outlineLevel="0" collapsed="false">
      <c r="A27" s="0" t="n">
        <v>31</v>
      </c>
      <c r="B27" s="31" t="n">
        <v>32994</v>
      </c>
      <c r="C27" s="28" t="n">
        <v>159680</v>
      </c>
      <c r="D27" s="29" t="s">
        <v>41</v>
      </c>
      <c r="E27" s="580" t="n">
        <f aca="false">IF(D27="totale",(C27/(A27*24))/F27,IF(D27="marché libre",(C27/(A27*24))/G27,"spécifier histo"))</f>
        <v>0.181884454164389</v>
      </c>
      <c r="F27" s="59" t="n">
        <v>1180</v>
      </c>
      <c r="G27" s="59" t="n">
        <f aca="false">F27-H27</f>
        <v>0</v>
      </c>
      <c r="H27" s="9" t="n">
        <v>1180</v>
      </c>
      <c r="I27" s="9"/>
      <c r="J27" s="205"/>
    </row>
    <row r="28" s="1" customFormat="true" ht="19.65" hidden="false" customHeight="true" outlineLevel="0" collapsed="false">
      <c r="A28" s="0" t="n">
        <v>30</v>
      </c>
      <c r="B28" s="34" t="n">
        <v>33025</v>
      </c>
      <c r="C28" s="28" t="n">
        <v>232800</v>
      </c>
      <c r="D28" s="29" t="s">
        <v>41</v>
      </c>
      <c r="E28" s="580" t="n">
        <f aca="false">IF(D28="totale",(C28/(A28*24))/F28,IF(D28="marché libre",(C28/(A28*24))/G28,"spécifier histo"))</f>
        <v>0.274011299435028</v>
      </c>
      <c r="F28" s="59" t="n">
        <v>1180</v>
      </c>
      <c r="G28" s="59" t="n">
        <f aca="false">F28-H28</f>
        <v>0</v>
      </c>
      <c r="H28" s="9" t="n">
        <v>1180</v>
      </c>
      <c r="I28" s="9"/>
      <c r="J28" s="205"/>
    </row>
    <row r="29" s="1" customFormat="true" ht="19.65" hidden="false" customHeight="true" outlineLevel="0" collapsed="false">
      <c r="A29" s="0" t="n">
        <v>31</v>
      </c>
      <c r="B29" s="31" t="n">
        <v>33055</v>
      </c>
      <c r="C29" s="28" t="n">
        <v>228600</v>
      </c>
      <c r="D29" s="29" t="s">
        <v>41</v>
      </c>
      <c r="E29" s="580" t="n">
        <f aca="false">IF(D29="totale",(C29/(A29*24))/F29,IF(D29="marché libre",(C29/(A29*24))/G29,"spécifier histo"))</f>
        <v>0.260388190267906</v>
      </c>
      <c r="F29" s="59" t="n">
        <v>1180</v>
      </c>
      <c r="G29" s="59" t="n">
        <f aca="false">F29-H29</f>
        <v>0</v>
      </c>
      <c r="H29" s="9" t="n">
        <v>1180</v>
      </c>
      <c r="I29" s="9"/>
      <c r="J29" s="205"/>
    </row>
    <row r="30" s="1" customFormat="true" ht="19.65" hidden="false" customHeight="true" outlineLevel="0" collapsed="false">
      <c r="A30" s="0" t="n">
        <v>31</v>
      </c>
      <c r="B30" s="34" t="n">
        <v>33086</v>
      </c>
      <c r="C30" s="28" t="n">
        <v>0</v>
      </c>
      <c r="D30" s="29" t="s">
        <v>41</v>
      </c>
      <c r="E30" s="580" t="n">
        <f aca="false">IF(D30="totale",(C30/(A30*24))/F30,IF(D30="marché libre",(C30/(A30*24))/G30,"spécifier histo"))</f>
        <v>0</v>
      </c>
      <c r="F30" s="59" t="n">
        <v>1180</v>
      </c>
      <c r="G30" s="59" t="n">
        <f aca="false">F30-H30</f>
        <v>0</v>
      </c>
      <c r="H30" s="9" t="n">
        <v>1180</v>
      </c>
      <c r="I30" s="9"/>
      <c r="J30" s="205"/>
    </row>
    <row r="31" s="1" customFormat="true" ht="19.65" hidden="false" customHeight="true" outlineLevel="0" collapsed="false">
      <c r="A31" s="0" t="n">
        <v>30</v>
      </c>
      <c r="B31" s="31" t="n">
        <v>33117</v>
      </c>
      <c r="C31" s="28" t="n">
        <v>30561</v>
      </c>
      <c r="D31" s="29" t="s">
        <v>41</v>
      </c>
      <c r="E31" s="580" t="n">
        <f aca="false">IF(D31="totale",(C31/(A31*24))/F31,IF(D31="marché libre",(C31/(A31*24))/G31,"spécifier histo"))</f>
        <v>0.0359710451977401</v>
      </c>
      <c r="F31" s="59" t="n">
        <v>1180</v>
      </c>
      <c r="G31" s="59" t="n">
        <f aca="false">F31-H31</f>
        <v>0</v>
      </c>
      <c r="H31" s="9" t="n">
        <v>1180</v>
      </c>
      <c r="I31" s="9"/>
      <c r="J31" s="205"/>
    </row>
    <row r="32" s="1" customFormat="true" ht="19.65" hidden="false" customHeight="true" outlineLevel="0" collapsed="false">
      <c r="A32" s="0" t="n">
        <v>31</v>
      </c>
      <c r="B32" s="34" t="n">
        <v>33147</v>
      </c>
      <c r="C32" s="28" t="n">
        <v>121440</v>
      </c>
      <c r="D32" s="29" t="s">
        <v>41</v>
      </c>
      <c r="E32" s="580" t="n">
        <f aca="false">IF(D32="totale",(C32/(A32*24))/F32,IF(D32="marché libre",(C32/(A32*24))/G32,"spécifier histo"))</f>
        <v>0.138326954620011</v>
      </c>
      <c r="F32" s="59" t="n">
        <v>1180</v>
      </c>
      <c r="G32" s="59" t="n">
        <f aca="false">F32-H32</f>
        <v>0</v>
      </c>
      <c r="H32" s="9" t="n">
        <v>1180</v>
      </c>
      <c r="I32" s="9"/>
      <c r="J32" s="205"/>
    </row>
    <row r="33" s="1" customFormat="true" ht="19.65" hidden="false" customHeight="true" outlineLevel="0" collapsed="false">
      <c r="A33" s="0" t="n">
        <v>30</v>
      </c>
      <c r="B33" s="31" t="n">
        <v>33178</v>
      </c>
      <c r="C33" s="28" t="n">
        <v>412321</v>
      </c>
      <c r="D33" s="29" t="s">
        <v>41</v>
      </c>
      <c r="E33" s="580" t="n">
        <f aca="false">IF(D33="totale",(C33/(A33*24))/F33,IF(D33="marché libre",(C33/(A33*24))/G33,"spécifier histo"))</f>
        <v>0.485311911487759</v>
      </c>
      <c r="F33" s="59" t="n">
        <v>1180</v>
      </c>
      <c r="G33" s="59" t="n">
        <f aca="false">F33-H33</f>
        <v>0</v>
      </c>
      <c r="H33" s="9" t="n">
        <v>1180</v>
      </c>
      <c r="I33" s="9"/>
      <c r="J33" s="205"/>
    </row>
    <row r="34" s="1" customFormat="true" ht="19.65" hidden="false" customHeight="true" outlineLevel="0" collapsed="false">
      <c r="A34" s="0" t="n">
        <v>31</v>
      </c>
      <c r="B34" s="34" t="n">
        <v>33208</v>
      </c>
      <c r="C34" s="28" t="n">
        <v>347841</v>
      </c>
      <c r="D34" s="29" t="s">
        <v>41</v>
      </c>
      <c r="E34" s="580" t="n">
        <f aca="false">IF(D34="totale",(C34/(A34*24))/F34,IF(D34="marché libre",(C34/(A34*24))/G34,"spécifier histo"))</f>
        <v>0.396210360852925</v>
      </c>
      <c r="F34" s="59" t="n">
        <v>1180</v>
      </c>
      <c r="G34" s="59" t="n">
        <f aca="false">F34-H34</f>
        <v>0</v>
      </c>
      <c r="H34" s="9" t="n">
        <v>1180</v>
      </c>
      <c r="I34" s="9"/>
      <c r="J34" s="205"/>
    </row>
    <row r="35" s="1" customFormat="true" ht="19.65" hidden="false" customHeight="true" outlineLevel="0" collapsed="false">
      <c r="A35" s="0" t="n">
        <v>31</v>
      </c>
      <c r="B35" s="31" t="n">
        <v>33239</v>
      </c>
      <c r="C35" s="28" t="n">
        <v>428480</v>
      </c>
      <c r="D35" s="29" t="s">
        <v>41</v>
      </c>
      <c r="E35" s="580" t="n">
        <f aca="false">IF(D35="totale",(C35/(A35*24))/F35,IF(D35="marché libre",(C35/(A35*24))/G35,"spécifier histo"))</f>
        <v>0.488062693639512</v>
      </c>
      <c r="F35" s="59" t="n">
        <v>1180</v>
      </c>
      <c r="G35" s="59" t="n">
        <f aca="false">F35-H35</f>
        <v>0</v>
      </c>
      <c r="H35" s="9" t="n">
        <v>1180</v>
      </c>
      <c r="I35" s="9"/>
      <c r="J35" s="205"/>
    </row>
    <row r="36" s="1" customFormat="true" ht="19.65" hidden="false" customHeight="true" outlineLevel="0" collapsed="false">
      <c r="A36" s="0" t="n">
        <v>28</v>
      </c>
      <c r="B36" s="34" t="n">
        <v>33270</v>
      </c>
      <c r="C36" s="28" t="n">
        <v>230000</v>
      </c>
      <c r="D36" s="29" t="s">
        <v>41</v>
      </c>
      <c r="E36" s="580" t="n">
        <f aca="false">IF(D36="totale",(C36/(A36*24))/F36,IF(D36="marché libre",(C36/(A36*24))/G36,"spécifier histo"))</f>
        <v>0.290052461662631</v>
      </c>
      <c r="F36" s="59" t="n">
        <v>1180</v>
      </c>
      <c r="G36" s="59" t="n">
        <f aca="false">F36-H36</f>
        <v>0</v>
      </c>
      <c r="H36" s="9" t="n">
        <v>1180</v>
      </c>
      <c r="I36" s="9"/>
      <c r="J36" s="205"/>
    </row>
    <row r="37" s="1" customFormat="true" ht="19.65" hidden="false" customHeight="true" outlineLevel="0" collapsed="false">
      <c r="A37" s="0" t="n">
        <v>31</v>
      </c>
      <c r="B37" s="31" t="n">
        <v>33298</v>
      </c>
      <c r="C37" s="28" t="n">
        <v>452000</v>
      </c>
      <c r="D37" s="29" t="s">
        <v>41</v>
      </c>
      <c r="E37" s="580" t="n">
        <f aca="false">IF(D37="totale",(C37/(A37*24))/F37,IF(D37="marché libre",(C37/(A37*24))/G37,"spécifier histo"))</f>
        <v>0.514853289593585</v>
      </c>
      <c r="F37" s="59" t="n">
        <v>1180</v>
      </c>
      <c r="G37" s="59" t="n">
        <f aca="false">F37-H37</f>
        <v>0</v>
      </c>
      <c r="H37" s="9" t="n">
        <v>1180</v>
      </c>
      <c r="I37" s="9"/>
      <c r="J37" s="205"/>
    </row>
    <row r="38" s="1" customFormat="true" ht="19.65" hidden="false" customHeight="true" outlineLevel="0" collapsed="false">
      <c r="A38" s="0" t="n">
        <v>30</v>
      </c>
      <c r="B38" s="34" t="n">
        <v>33329</v>
      </c>
      <c r="C38" s="28" t="n">
        <v>174900</v>
      </c>
      <c r="D38" s="29" t="s">
        <v>41</v>
      </c>
      <c r="E38" s="580" t="n">
        <f aca="false">IF(D38="totale",(C38/(A38*24))/F38,IF(D38="marché libre",(C38/(A38*24))/G38,"spécifier histo"))</f>
        <v>0.205861581920904</v>
      </c>
      <c r="F38" s="59" t="n">
        <v>1180</v>
      </c>
      <c r="G38" s="59" t="n">
        <f aca="false">F38-H38</f>
        <v>0</v>
      </c>
      <c r="H38" s="9" t="n">
        <v>1180</v>
      </c>
      <c r="I38" s="9"/>
      <c r="J38" s="205"/>
    </row>
    <row r="39" s="1" customFormat="true" ht="19.65" hidden="false" customHeight="true" outlineLevel="0" collapsed="false">
      <c r="A39" s="0" t="n">
        <v>31</v>
      </c>
      <c r="B39" s="31" t="n">
        <v>33359</v>
      </c>
      <c r="C39" s="28" t="n">
        <v>254881</v>
      </c>
      <c r="D39" s="29" t="s">
        <v>41</v>
      </c>
      <c r="E39" s="580" t="n">
        <f aca="false">IF(D39="totale",(C39/(A39*24))/F39,IF(D39="marché libre",(C39/(A39*24))/G39,"spécifier histo"))</f>
        <v>0.290323719701112</v>
      </c>
      <c r="F39" s="59" t="n">
        <v>1180</v>
      </c>
      <c r="G39" s="59" t="n">
        <f aca="false">F39-H39</f>
        <v>0</v>
      </c>
      <c r="H39" s="9" t="n">
        <v>1180</v>
      </c>
      <c r="I39" s="9"/>
      <c r="J39" s="205"/>
    </row>
    <row r="40" s="1" customFormat="true" ht="19.65" hidden="false" customHeight="true" outlineLevel="0" collapsed="false">
      <c r="A40" s="0" t="n">
        <v>30</v>
      </c>
      <c r="B40" s="34" t="n">
        <v>33390</v>
      </c>
      <c r="C40" s="28" t="n">
        <v>96640</v>
      </c>
      <c r="D40" s="29" t="s">
        <v>41</v>
      </c>
      <c r="E40" s="580" t="n">
        <f aca="false">IF(D40="totale",(C40/(A40*24))/F40,IF(D40="marché libre",(C40/(A40*24))/G40,"spécifier histo"))</f>
        <v>0.113747645951036</v>
      </c>
      <c r="F40" s="59" t="n">
        <v>1180</v>
      </c>
      <c r="G40" s="59" t="n">
        <f aca="false">F40-H40</f>
        <v>0</v>
      </c>
      <c r="H40" s="9" t="n">
        <v>1180</v>
      </c>
      <c r="I40" s="9"/>
      <c r="J40" s="205"/>
    </row>
    <row r="41" s="1" customFormat="true" ht="19.65" hidden="false" customHeight="true" outlineLevel="0" collapsed="false">
      <c r="A41" s="0" t="n">
        <v>31</v>
      </c>
      <c r="B41" s="31" t="n">
        <v>33420</v>
      </c>
      <c r="C41" s="28" t="n">
        <v>63360</v>
      </c>
      <c r="D41" s="29" t="s">
        <v>41</v>
      </c>
      <c r="E41" s="580" t="n">
        <f aca="false">IF(D41="totale",(C41/(A41*24))/F41,IF(D41="marché libre",(C41/(A41*24))/G41,"spécifier histo"))</f>
        <v>0.0721705850191361</v>
      </c>
      <c r="F41" s="59" t="n">
        <v>1180</v>
      </c>
      <c r="G41" s="59" t="n">
        <f aca="false">F41-H41</f>
        <v>0</v>
      </c>
      <c r="H41" s="9" t="n">
        <v>1180</v>
      </c>
      <c r="I41" s="9"/>
      <c r="J41" s="205"/>
    </row>
    <row r="42" s="1" customFormat="true" ht="19.65" hidden="false" customHeight="true" outlineLevel="0" collapsed="false">
      <c r="A42" s="0" t="n">
        <v>31</v>
      </c>
      <c r="B42" s="34" t="n">
        <v>33451</v>
      </c>
      <c r="C42" s="28" t="n">
        <v>0</v>
      </c>
      <c r="D42" s="29" t="s">
        <v>41</v>
      </c>
      <c r="E42" s="580" t="n">
        <f aca="false">IF(D42="totale",(C42/(A42*24))/F42,IF(D42="marché libre",(C42/(A42*24))/G42,"spécifier histo"))</f>
        <v>0</v>
      </c>
      <c r="F42" s="59" t="n">
        <v>1180</v>
      </c>
      <c r="G42" s="59" t="n">
        <f aca="false">F42-H42</f>
        <v>0</v>
      </c>
      <c r="H42" s="9" t="n">
        <v>1180</v>
      </c>
      <c r="I42" s="9"/>
      <c r="J42" s="205"/>
    </row>
    <row r="43" s="1" customFormat="true" ht="19.65" hidden="false" customHeight="true" outlineLevel="0" collapsed="false">
      <c r="A43" s="0" t="n">
        <v>30</v>
      </c>
      <c r="B43" s="31" t="n">
        <v>33482</v>
      </c>
      <c r="C43" s="28" t="n">
        <v>82560</v>
      </c>
      <c r="D43" s="29" t="s">
        <v>41</v>
      </c>
      <c r="E43" s="580" t="n">
        <f aca="false">IF(D43="totale",(C43/(A43*24))/F43,IF(D43="marché libre",(C43/(A43*24))/G43,"spécifier histo"))</f>
        <v>0.0971751412429379</v>
      </c>
      <c r="F43" s="59" t="n">
        <v>1180</v>
      </c>
      <c r="G43" s="59" t="n">
        <f aca="false">F43-H43</f>
        <v>0</v>
      </c>
      <c r="H43" s="9" t="n">
        <v>1180</v>
      </c>
      <c r="I43" s="9"/>
      <c r="J43" s="205"/>
    </row>
    <row r="44" s="1" customFormat="true" ht="19.65" hidden="false" customHeight="true" outlineLevel="0" collapsed="false">
      <c r="A44" s="0" t="n">
        <v>31</v>
      </c>
      <c r="B44" s="34" t="n">
        <v>33512</v>
      </c>
      <c r="C44" s="28" t="n">
        <v>379841</v>
      </c>
      <c r="D44" s="29" t="s">
        <v>41</v>
      </c>
      <c r="E44" s="580" t="n">
        <f aca="false">IF(D44="totale",(C44/(A44*24))/F44,IF(D44="marché libre",(C44/(A44*24))/G44,"spécifier histo"))</f>
        <v>0.43266015126663</v>
      </c>
      <c r="F44" s="59" t="n">
        <v>1180</v>
      </c>
      <c r="G44" s="59" t="n">
        <f aca="false">F44-H44</f>
        <v>0</v>
      </c>
      <c r="H44" s="9" t="n">
        <v>1180</v>
      </c>
      <c r="I44" s="9"/>
      <c r="J44" s="205"/>
    </row>
    <row r="45" s="1" customFormat="true" ht="19.65" hidden="false" customHeight="true" outlineLevel="0" collapsed="false">
      <c r="A45" s="0" t="n">
        <v>30</v>
      </c>
      <c r="B45" s="31" t="n">
        <v>33543</v>
      </c>
      <c r="C45" s="28" t="n">
        <v>389442</v>
      </c>
      <c r="D45" s="29" t="s">
        <v>41</v>
      </c>
      <c r="E45" s="580" t="n">
        <f aca="false">IF(D45="totale",(C45/(A45*24))/F45,IF(D45="marché libre",(C45/(A45*24))/G45,"spécifier histo"))</f>
        <v>0.458382768361582</v>
      </c>
      <c r="F45" s="59" t="n">
        <v>1180</v>
      </c>
      <c r="G45" s="59" t="n">
        <f aca="false">F45-H45</f>
        <v>0</v>
      </c>
      <c r="H45" s="9" t="n">
        <v>1180</v>
      </c>
      <c r="I45" s="9"/>
      <c r="J45" s="205"/>
    </row>
    <row r="46" s="1" customFormat="true" ht="19.65" hidden="false" customHeight="true" outlineLevel="0" collapsed="false">
      <c r="A46" s="0" t="n">
        <v>31</v>
      </c>
      <c r="B46" s="34" t="n">
        <v>33573</v>
      </c>
      <c r="C46" s="28" t="n">
        <v>331840</v>
      </c>
      <c r="D46" s="29" t="s">
        <v>41</v>
      </c>
      <c r="E46" s="580" t="n">
        <f aca="false">IF(D46="totale",(C46/(A46*24))/F46,IF(D46="marché libre",(C46/(A46*24))/G46,"spécifier histo"))</f>
        <v>0.377984326590122</v>
      </c>
      <c r="F46" s="59" t="n">
        <v>1180</v>
      </c>
      <c r="G46" s="59" t="n">
        <f aca="false">F46-H46</f>
        <v>0</v>
      </c>
      <c r="H46" s="9" t="n">
        <v>1180</v>
      </c>
      <c r="I46" s="9"/>
      <c r="J46" s="205"/>
    </row>
    <row r="47" s="1" customFormat="true" ht="19.65" hidden="false" customHeight="true" outlineLevel="0" collapsed="false">
      <c r="A47" s="0" t="n">
        <v>31</v>
      </c>
      <c r="B47" s="31" t="n">
        <v>33604</v>
      </c>
      <c r="C47" s="28" t="n">
        <v>276800</v>
      </c>
      <c r="D47" s="29" t="s">
        <v>41</v>
      </c>
      <c r="E47" s="580" t="n">
        <f aca="false">IF(D47="totale",(C47/(A47*24))/F47,IF(D47="marché libre",(C47/(A47*24))/G47,"spécifier histo"))</f>
        <v>0.315290687078549</v>
      </c>
      <c r="F47" s="59" t="n">
        <v>1180</v>
      </c>
      <c r="G47" s="59" t="n">
        <f aca="false">F47-H47</f>
        <v>0</v>
      </c>
      <c r="H47" s="9" t="n">
        <v>1180</v>
      </c>
      <c r="I47" s="9"/>
      <c r="J47" s="205"/>
    </row>
    <row r="48" s="1" customFormat="true" ht="19.65" hidden="false" customHeight="true" outlineLevel="0" collapsed="false">
      <c r="A48" s="0" t="n">
        <v>28</v>
      </c>
      <c r="B48" s="34" t="n">
        <v>33635</v>
      </c>
      <c r="C48" s="28" t="n">
        <v>365280</v>
      </c>
      <c r="D48" s="29" t="s">
        <v>41</v>
      </c>
      <c r="E48" s="580" t="n">
        <f aca="false">IF(D48="totale",(C48/(A48*24))/F48,IF(D48="marché libre",(C48/(A48*24))/G48,"spécifier histo"))</f>
        <v>0.460653753026634</v>
      </c>
      <c r="F48" s="59" t="n">
        <v>1180</v>
      </c>
      <c r="G48" s="59" t="n">
        <f aca="false">F48-H48</f>
        <v>0</v>
      </c>
      <c r="H48" s="9" t="n">
        <v>1180</v>
      </c>
      <c r="I48" s="9"/>
      <c r="J48" s="205"/>
    </row>
    <row r="49" s="1" customFormat="true" ht="19.65" hidden="false" customHeight="true" outlineLevel="0" collapsed="false">
      <c r="A49" s="0" t="n">
        <v>31</v>
      </c>
      <c r="B49" s="31" t="n">
        <v>33664</v>
      </c>
      <c r="C49" s="28" t="n">
        <v>475521</v>
      </c>
      <c r="D49" s="29" t="s">
        <v>41</v>
      </c>
      <c r="E49" s="580" t="n">
        <f aca="false">IF(D49="totale",(C49/(A49*24))/F49,IF(D49="marché libre",(C49/(A49*24))/G49,"spécifier histo"))</f>
        <v>0.541645024603609</v>
      </c>
      <c r="F49" s="59" t="n">
        <v>1180</v>
      </c>
      <c r="G49" s="59" t="n">
        <f aca="false">F49-H49</f>
        <v>0</v>
      </c>
      <c r="H49" s="9" t="n">
        <v>1180</v>
      </c>
      <c r="I49" s="9"/>
      <c r="J49" s="205"/>
    </row>
    <row r="50" s="1" customFormat="true" ht="19.65" hidden="false" customHeight="true" outlineLevel="0" collapsed="false">
      <c r="A50" s="0" t="n">
        <v>30</v>
      </c>
      <c r="B50" s="34" t="n">
        <v>33695</v>
      </c>
      <c r="C50" s="28" t="n">
        <v>404799</v>
      </c>
      <c r="D50" s="29" t="s">
        <v>41</v>
      </c>
      <c r="E50" s="580" t="n">
        <f aca="false">IF(D50="totale",(C50/(A50*24))/F50,IF(D50="marché libre",(C50/(A50*24))/G50,"spécifier histo"))</f>
        <v>0.476458333333333</v>
      </c>
      <c r="F50" s="59" t="n">
        <v>1180</v>
      </c>
      <c r="G50" s="59" t="n">
        <f aca="false">F50-H50</f>
        <v>0</v>
      </c>
      <c r="H50" s="9" t="n">
        <v>1180</v>
      </c>
      <c r="I50" s="9"/>
      <c r="J50" s="205"/>
    </row>
    <row r="51" s="1" customFormat="true" ht="19.65" hidden="false" customHeight="true" outlineLevel="0" collapsed="false">
      <c r="A51" s="0" t="n">
        <v>31</v>
      </c>
      <c r="B51" s="31" t="n">
        <v>33725</v>
      </c>
      <c r="C51" s="28" t="n">
        <v>357920</v>
      </c>
      <c r="D51" s="29" t="s">
        <v>41</v>
      </c>
      <c r="E51" s="580" t="n">
        <f aca="false">IF(D51="totale",(C51/(A51*24))/F51,IF(D51="marché libre",(C51/(A51*24))/G51,"spécifier histo"))</f>
        <v>0.407690905777292</v>
      </c>
      <c r="F51" s="59" t="n">
        <v>1180</v>
      </c>
      <c r="G51" s="59" t="n">
        <f aca="false">F51-H51</f>
        <v>0</v>
      </c>
      <c r="H51" s="9" t="n">
        <v>1180</v>
      </c>
      <c r="I51" s="9"/>
      <c r="J51" s="205"/>
    </row>
    <row r="52" s="1" customFormat="true" ht="19.65" hidden="false" customHeight="true" outlineLevel="0" collapsed="false">
      <c r="A52" s="0" t="n">
        <v>30</v>
      </c>
      <c r="B52" s="34" t="n">
        <v>33756</v>
      </c>
      <c r="C52" s="28" t="n">
        <v>272800</v>
      </c>
      <c r="D52" s="29" t="s">
        <v>41</v>
      </c>
      <c r="E52" s="580" t="n">
        <f aca="false">IF(D52="totale",(C52/(A52*24))/F52,IF(D52="marché libre",(C52/(A52*24))/G52,"spécifier histo"))</f>
        <v>0.321092278719397</v>
      </c>
      <c r="F52" s="59" t="n">
        <v>1180</v>
      </c>
      <c r="G52" s="59" t="n">
        <f aca="false">F52-H52</f>
        <v>0</v>
      </c>
      <c r="H52" s="9" t="n">
        <v>1180</v>
      </c>
      <c r="I52" s="9"/>
      <c r="J52" s="205"/>
    </row>
    <row r="53" s="1" customFormat="true" ht="19.65" hidden="false" customHeight="true" outlineLevel="0" collapsed="false">
      <c r="A53" s="0" t="n">
        <v>31</v>
      </c>
      <c r="B53" s="31" t="n">
        <v>33786</v>
      </c>
      <c r="C53" s="28" t="n">
        <v>100480</v>
      </c>
      <c r="D53" s="29" t="s">
        <v>41</v>
      </c>
      <c r="E53" s="580" t="n">
        <f aca="false">IF(D53="totale",(C53/(A53*24))/F53,IF(D53="marché libre",(C53/(A53*24))/G53,"spécifier histo"))</f>
        <v>0.114452341899034</v>
      </c>
      <c r="F53" s="59" t="n">
        <v>1180</v>
      </c>
      <c r="G53" s="59" t="n">
        <f aca="false">F53-H53</f>
        <v>0</v>
      </c>
      <c r="H53" s="9" t="n">
        <v>1180</v>
      </c>
      <c r="I53" s="9"/>
      <c r="J53" s="205"/>
    </row>
    <row r="54" s="1" customFormat="true" ht="19.65" hidden="false" customHeight="true" outlineLevel="0" collapsed="false">
      <c r="A54" s="0" t="n">
        <v>31</v>
      </c>
      <c r="B54" s="34" t="n">
        <v>33817</v>
      </c>
      <c r="C54" s="28" t="n">
        <v>0</v>
      </c>
      <c r="D54" s="29" t="s">
        <v>41</v>
      </c>
      <c r="E54" s="580" t="n">
        <f aca="false">IF(D54="totale",(C54/(A54*24))/F54,IF(D54="marché libre",(C54/(A54*24))/G54,"spécifier histo"))</f>
        <v>0</v>
      </c>
      <c r="F54" s="59" t="n">
        <v>1180</v>
      </c>
      <c r="G54" s="59" t="n">
        <f aca="false">F54-H54</f>
        <v>0</v>
      </c>
      <c r="H54" s="9" t="n">
        <v>1180</v>
      </c>
      <c r="I54" s="9"/>
      <c r="J54" s="205"/>
    </row>
    <row r="55" s="1" customFormat="true" ht="19.65" hidden="false" customHeight="true" outlineLevel="0" collapsed="false">
      <c r="A55" s="0" t="n">
        <v>30</v>
      </c>
      <c r="B55" s="31" t="n">
        <v>33848</v>
      </c>
      <c r="C55" s="28" t="n">
        <v>74560</v>
      </c>
      <c r="D55" s="29" t="s">
        <v>41</v>
      </c>
      <c r="E55" s="580" t="n">
        <f aca="false">IF(D55="totale",(C55/(A55*24))/F55,IF(D55="marché libre",(C55/(A55*24))/G55,"spécifier histo"))</f>
        <v>0.087758945386064</v>
      </c>
      <c r="F55" s="59" t="n">
        <v>1180</v>
      </c>
      <c r="G55" s="59" t="n">
        <f aca="false">F55-H55</f>
        <v>0</v>
      </c>
      <c r="H55" s="9" t="n">
        <v>1180</v>
      </c>
      <c r="I55" s="9"/>
      <c r="J55" s="205"/>
    </row>
    <row r="56" s="1" customFormat="true" ht="19.65" hidden="false" customHeight="true" outlineLevel="0" collapsed="false">
      <c r="A56" s="0" t="n">
        <v>31</v>
      </c>
      <c r="B56" s="34" t="n">
        <v>33878</v>
      </c>
      <c r="C56" s="28" t="n">
        <v>43680</v>
      </c>
      <c r="D56" s="29" t="s">
        <v>41</v>
      </c>
      <c r="E56" s="580" t="n">
        <f aca="false">IF(D56="totale",(C56/(A56*24))/F56,IF(D56="marché libre",(C56/(A56*24))/G56,"spécifier histo"))</f>
        <v>0.0497539639147075</v>
      </c>
      <c r="F56" s="59" t="n">
        <v>1180</v>
      </c>
      <c r="G56" s="59" t="n">
        <f aca="false">F56-H56</f>
        <v>0</v>
      </c>
      <c r="H56" s="9" t="n">
        <v>1180</v>
      </c>
      <c r="I56" s="9"/>
      <c r="J56" s="205"/>
    </row>
    <row r="57" s="1" customFormat="true" ht="19.65" hidden="false" customHeight="true" outlineLevel="0" collapsed="false">
      <c r="A57" s="0" t="n">
        <v>30</v>
      </c>
      <c r="B57" s="31" t="n">
        <v>33909</v>
      </c>
      <c r="C57" s="28" t="n">
        <v>404802</v>
      </c>
      <c r="D57" s="29" t="s">
        <v>41</v>
      </c>
      <c r="E57" s="580" t="n">
        <f aca="false">IF(D57="totale",(C57/(A57*24))/F57,IF(D57="marché libre",(C57/(A57*24))/G57,"spécifier histo"))</f>
        <v>0.47646186440678</v>
      </c>
      <c r="F57" s="59" t="n">
        <v>1180</v>
      </c>
      <c r="G57" s="59" t="n">
        <f aca="false">F57-H57</f>
        <v>0</v>
      </c>
      <c r="H57" s="9" t="n">
        <v>1180</v>
      </c>
      <c r="I57" s="9"/>
      <c r="J57" s="205"/>
    </row>
    <row r="58" s="1" customFormat="true" ht="19.65" hidden="false" customHeight="true" outlineLevel="0" collapsed="false">
      <c r="A58" s="0" t="n">
        <v>31</v>
      </c>
      <c r="B58" s="34" t="n">
        <v>33939</v>
      </c>
      <c r="C58" s="28" t="n">
        <v>494080</v>
      </c>
      <c r="D58" s="29" t="s">
        <v>41</v>
      </c>
      <c r="E58" s="580" t="n">
        <f aca="false">IF(D58="totale",(C58/(A58*24))/F58,IF(D58="marché libre",(C58/(A58*24))/G58,"spécifier histo"))</f>
        <v>0.562784763987607</v>
      </c>
      <c r="F58" s="59" t="n">
        <v>1180</v>
      </c>
      <c r="G58" s="59" t="n">
        <f aca="false">F58-H58</f>
        <v>0</v>
      </c>
      <c r="H58" s="9" t="n">
        <v>1180</v>
      </c>
      <c r="I58" s="9"/>
      <c r="J58" s="205"/>
    </row>
    <row r="59" s="1" customFormat="true" ht="19.65" hidden="false" customHeight="true" outlineLevel="0" collapsed="false">
      <c r="A59" s="0" t="n">
        <v>31</v>
      </c>
      <c r="B59" s="31" t="n">
        <v>33970</v>
      </c>
      <c r="C59" s="28" t="n">
        <v>361121</v>
      </c>
      <c r="D59" s="29" t="s">
        <v>41</v>
      </c>
      <c r="E59" s="580" t="n">
        <f aca="false">IF(D59="totale",(C59/(A59*24))/F59,IF(D59="marché libre",(C59/(A59*24))/G59,"spécifier histo"))</f>
        <v>0.411337023874613</v>
      </c>
      <c r="F59" s="59" t="n">
        <v>1180</v>
      </c>
      <c r="G59" s="59" t="n">
        <f aca="false">F59-H59</f>
        <v>0</v>
      </c>
      <c r="H59" s="9" t="n">
        <v>1180</v>
      </c>
      <c r="I59" s="9"/>
      <c r="J59" s="205"/>
    </row>
    <row r="60" s="1" customFormat="true" ht="19.65" hidden="false" customHeight="true" outlineLevel="0" collapsed="false">
      <c r="A60" s="0" t="n">
        <v>28</v>
      </c>
      <c r="B60" s="34" t="n">
        <v>34001</v>
      </c>
      <c r="C60" s="28" t="n">
        <v>407518</v>
      </c>
      <c r="D60" s="29" t="s">
        <v>41</v>
      </c>
      <c r="E60" s="580" t="n">
        <f aca="false">IF(D60="totale",(C60/(A60*24))/F60,IF(D60="marché libre",(C60/(A60*24))/G60,"spécifier histo"))</f>
        <v>0.513919995964487</v>
      </c>
      <c r="F60" s="59" t="n">
        <v>1180</v>
      </c>
      <c r="G60" s="59" t="n">
        <f aca="false">F60-H60</f>
        <v>0</v>
      </c>
      <c r="H60" s="9" t="n">
        <v>1180</v>
      </c>
      <c r="I60" s="9"/>
      <c r="J60" s="205"/>
    </row>
    <row r="61" s="1" customFormat="true" ht="19.65" hidden="false" customHeight="true" outlineLevel="0" collapsed="false">
      <c r="A61" s="0" t="n">
        <v>31</v>
      </c>
      <c r="B61" s="31" t="n">
        <v>34029</v>
      </c>
      <c r="C61" s="28" t="n">
        <v>290400</v>
      </c>
      <c r="D61" s="29" t="s">
        <v>41</v>
      </c>
      <c r="E61" s="580" t="n">
        <f aca="false">IF(D61="totale",(C61/(A61*24))/F61,IF(D61="marché libre",(C61/(A61*24))/G61,"spécifier histo"))</f>
        <v>0.330781848004374</v>
      </c>
      <c r="F61" s="59" t="n">
        <v>1180</v>
      </c>
      <c r="G61" s="59" t="n">
        <f aca="false">F61-H61</f>
        <v>0</v>
      </c>
      <c r="H61" s="9" t="n">
        <v>1180</v>
      </c>
      <c r="I61" s="9"/>
      <c r="J61" s="205"/>
    </row>
    <row r="62" s="1" customFormat="true" ht="19.65" hidden="false" customHeight="true" outlineLevel="0" collapsed="false">
      <c r="A62" s="0" t="n">
        <v>30</v>
      </c>
      <c r="B62" s="34" t="n">
        <v>34060</v>
      </c>
      <c r="C62" s="28" t="n">
        <v>245600</v>
      </c>
      <c r="D62" s="29" t="s">
        <v>41</v>
      </c>
      <c r="E62" s="580" t="n">
        <f aca="false">IF(D62="totale",(C62/(A62*24))/F62,IF(D62="marché libre",(C62/(A62*24))/G62,"spécifier histo"))</f>
        <v>0.289077212806026</v>
      </c>
      <c r="F62" s="59" t="n">
        <v>1180</v>
      </c>
      <c r="G62" s="59" t="n">
        <f aca="false">F62-H62</f>
        <v>0</v>
      </c>
      <c r="H62" s="9" t="n">
        <v>1180</v>
      </c>
      <c r="I62" s="9"/>
      <c r="J62" s="205"/>
    </row>
    <row r="63" s="1" customFormat="true" ht="19.65" hidden="false" customHeight="true" outlineLevel="0" collapsed="false">
      <c r="A63" s="0" t="n">
        <v>31</v>
      </c>
      <c r="B63" s="31" t="n">
        <v>34090</v>
      </c>
      <c r="C63" s="28" t="n">
        <v>146722</v>
      </c>
      <c r="D63" s="29" t="s">
        <v>41</v>
      </c>
      <c r="E63" s="580" t="n">
        <f aca="false">IF(D63="totale",(C63/(A63*24))/F63,IF(D63="marché libre",(C63/(A63*24))/G63,"spécifier histo"))</f>
        <v>0.167124567158739</v>
      </c>
      <c r="F63" s="59" t="n">
        <v>1180</v>
      </c>
      <c r="G63" s="59" t="n">
        <f aca="false">F63-H63</f>
        <v>0</v>
      </c>
      <c r="H63" s="9" t="n">
        <v>1180</v>
      </c>
      <c r="I63" s="9"/>
      <c r="J63" s="205"/>
    </row>
    <row r="64" s="1" customFormat="true" ht="19.65" hidden="false" customHeight="true" outlineLevel="0" collapsed="false">
      <c r="A64" s="0" t="n">
        <v>30</v>
      </c>
      <c r="B64" s="34" t="n">
        <v>34121</v>
      </c>
      <c r="C64" s="28" t="n">
        <v>262560</v>
      </c>
      <c r="D64" s="29" t="s">
        <v>41</v>
      </c>
      <c r="E64" s="580" t="n">
        <f aca="false">IF(D64="totale",(C64/(A64*24))/F64,IF(D64="marché libre",(C64/(A64*24))/G64,"spécifier histo"))</f>
        <v>0.309039548022599</v>
      </c>
      <c r="F64" s="59" t="n">
        <v>1180</v>
      </c>
      <c r="G64" s="59" t="n">
        <f aca="false">F64-H64</f>
        <v>0</v>
      </c>
      <c r="H64" s="9" t="n">
        <v>1180</v>
      </c>
      <c r="I64" s="9"/>
      <c r="J64" s="205"/>
    </row>
    <row r="65" s="1" customFormat="true" ht="19.65" hidden="false" customHeight="true" outlineLevel="0" collapsed="false">
      <c r="A65" s="0" t="n">
        <v>31</v>
      </c>
      <c r="B65" s="31" t="n">
        <v>34151</v>
      </c>
      <c r="C65" s="28" t="n">
        <v>173600</v>
      </c>
      <c r="D65" s="29" t="s">
        <v>41</v>
      </c>
      <c r="E65" s="580" t="n">
        <f aca="false">IF(D65="totale",(C65/(A65*24))/F65,IF(D65="marché libre",(C65/(A65*24))/G65,"spécifier histo"))</f>
        <v>0.19774011299435</v>
      </c>
      <c r="F65" s="59" t="n">
        <v>1180</v>
      </c>
      <c r="G65" s="59" t="n">
        <f aca="false">F65-H65</f>
        <v>0</v>
      </c>
      <c r="H65" s="9" t="n">
        <v>1180</v>
      </c>
      <c r="I65" s="9"/>
      <c r="J65" s="205"/>
    </row>
    <row r="66" s="1" customFormat="true" ht="19.65" hidden="false" customHeight="true" outlineLevel="0" collapsed="false">
      <c r="A66" s="0" t="n">
        <v>31</v>
      </c>
      <c r="B66" s="34" t="n">
        <v>34182</v>
      </c>
      <c r="C66" s="28" t="n">
        <v>97440</v>
      </c>
      <c r="D66" s="29" t="s">
        <v>41</v>
      </c>
      <c r="E66" s="580" t="n">
        <f aca="false">IF(D66="totale",(C66/(A66*24))/F66,IF(D66="marché libre",(C66/(A66*24))/G66,"spécifier histo"))</f>
        <v>0.110989611809732</v>
      </c>
      <c r="F66" s="59" t="n">
        <v>1180</v>
      </c>
      <c r="G66" s="59" t="n">
        <f aca="false">F66-H66</f>
        <v>0</v>
      </c>
      <c r="H66" s="9" t="n">
        <v>1180</v>
      </c>
      <c r="I66" s="9"/>
      <c r="J66" s="205"/>
    </row>
    <row r="67" s="1" customFormat="true" ht="19.65" hidden="false" customHeight="true" outlineLevel="0" collapsed="false">
      <c r="A67" s="0" t="n">
        <v>30</v>
      </c>
      <c r="B67" s="31" t="n">
        <v>34213</v>
      </c>
      <c r="C67" s="28" t="n">
        <v>203040</v>
      </c>
      <c r="D67" s="29" t="s">
        <v>41</v>
      </c>
      <c r="E67" s="580" t="n">
        <f aca="false">IF(D67="totale",(C67/(A67*24))/F67,IF(D67="marché libre",(C67/(A67*24))/G67,"spécifier histo"))</f>
        <v>0.238983050847458</v>
      </c>
      <c r="F67" s="59" t="n">
        <v>1180</v>
      </c>
      <c r="G67" s="59" t="n">
        <f aca="false">F67-H67</f>
        <v>0</v>
      </c>
      <c r="H67" s="9" t="n">
        <v>1180</v>
      </c>
      <c r="I67" s="9"/>
      <c r="J67" s="205"/>
    </row>
    <row r="68" s="1" customFormat="true" ht="19.65" hidden="false" customHeight="true" outlineLevel="0" collapsed="false">
      <c r="A68" s="0" t="n">
        <v>31</v>
      </c>
      <c r="B68" s="34" t="n">
        <v>34243</v>
      </c>
      <c r="C68" s="28" t="n">
        <v>370559</v>
      </c>
      <c r="D68" s="29" t="s">
        <v>41</v>
      </c>
      <c r="E68" s="580" t="n">
        <f aca="false">IF(D68="totale",(C68/(A68*24))/F68,IF(D68="marché libre",(C68/(A68*24))/G68,"spécifier histo"))</f>
        <v>0.422087433934755</v>
      </c>
      <c r="F68" s="59" t="n">
        <v>1180</v>
      </c>
      <c r="G68" s="59" t="n">
        <f aca="false">F68-H68</f>
        <v>0</v>
      </c>
      <c r="H68" s="9" t="n">
        <v>1180</v>
      </c>
      <c r="I68" s="9"/>
      <c r="J68" s="205"/>
    </row>
    <row r="69" s="1" customFormat="true" ht="19.65" hidden="false" customHeight="true" outlineLevel="0" collapsed="false">
      <c r="A69" s="0" t="n">
        <v>30</v>
      </c>
      <c r="B69" s="31" t="n">
        <v>34274</v>
      </c>
      <c r="C69" s="28" t="n">
        <v>424160</v>
      </c>
      <c r="D69" s="29" t="s">
        <v>41</v>
      </c>
      <c r="E69" s="580" t="n">
        <f aca="false">IF(D69="totale",(C69/(A69*24))/F69,IF(D69="marché libre",(C69/(A69*24))/G69,"spécifier histo"))</f>
        <v>0.49924670433145</v>
      </c>
      <c r="F69" s="59" t="n">
        <v>1180</v>
      </c>
      <c r="G69" s="59" t="n">
        <f aca="false">F69-H69</f>
        <v>0</v>
      </c>
      <c r="H69" s="9" t="n">
        <v>1180</v>
      </c>
      <c r="I69" s="9"/>
      <c r="J69" s="205"/>
    </row>
    <row r="70" s="1" customFormat="true" ht="19.65" hidden="false" customHeight="true" outlineLevel="0" collapsed="false">
      <c r="A70" s="0" t="n">
        <v>31</v>
      </c>
      <c r="B70" s="34" t="n">
        <v>34304</v>
      </c>
      <c r="C70" s="28" t="n">
        <v>356800</v>
      </c>
      <c r="D70" s="29" t="s">
        <v>41</v>
      </c>
      <c r="E70" s="580" t="n">
        <f aca="false">IF(D70="totale",(C70/(A70*24))/F70,IF(D70="marché libre",(C70/(A70*24))/G70,"spécifier histo"))</f>
        <v>0.406415163112812</v>
      </c>
      <c r="F70" s="59" t="n">
        <v>1180</v>
      </c>
      <c r="G70" s="59" t="n">
        <f aca="false">F70-H70</f>
        <v>0</v>
      </c>
      <c r="H70" s="9" t="n">
        <v>1180</v>
      </c>
      <c r="I70" s="9"/>
      <c r="J70" s="205"/>
    </row>
    <row r="71" s="1" customFormat="true" ht="19.65" hidden="false" customHeight="true" outlineLevel="0" collapsed="false">
      <c r="A71" s="0" t="n">
        <v>31</v>
      </c>
      <c r="B71" s="31" t="n">
        <v>34335</v>
      </c>
      <c r="C71" s="28" t="n">
        <v>391500</v>
      </c>
      <c r="D71" s="29" t="s">
        <v>41</v>
      </c>
      <c r="E71" s="580" t="n">
        <f aca="false">IF(D71="totale",(C71/(A71*24))/F71,IF(D71="marché libre",(C71/(A71*24))/G71,"spécifier histo"))</f>
        <v>0.445940404592674</v>
      </c>
      <c r="F71" s="59" t="n">
        <v>1180</v>
      </c>
      <c r="G71" s="59" t="n">
        <f aca="false">F71-H71</f>
        <v>0</v>
      </c>
      <c r="H71" s="9" t="n">
        <v>1180</v>
      </c>
      <c r="I71" s="9"/>
      <c r="J71" s="205"/>
    </row>
    <row r="72" s="1" customFormat="true" ht="19.65" hidden="false" customHeight="true" outlineLevel="0" collapsed="false">
      <c r="A72" s="0" t="n">
        <v>28</v>
      </c>
      <c r="B72" s="34" t="n">
        <v>34366</v>
      </c>
      <c r="C72" s="28" t="n">
        <v>518562</v>
      </c>
      <c r="D72" s="29" t="s">
        <v>41</v>
      </c>
      <c r="E72" s="580" t="n">
        <f aca="false">IF(D72="totale",(C72/(A72*24))/F72,IF(D72="marché libre",(C72/(A72*24))/G72,"spécifier histo"))</f>
        <v>0.653957324455206</v>
      </c>
      <c r="F72" s="59" t="n">
        <v>1180</v>
      </c>
      <c r="G72" s="59" t="n">
        <f aca="false">F72-H72</f>
        <v>0</v>
      </c>
      <c r="H72" s="9" t="n">
        <v>1180</v>
      </c>
      <c r="I72" s="9"/>
      <c r="J72" s="205"/>
    </row>
    <row r="73" s="1" customFormat="true" ht="19.65" hidden="false" customHeight="true" outlineLevel="0" collapsed="false">
      <c r="A73" s="0" t="n">
        <v>31</v>
      </c>
      <c r="B73" s="31" t="n">
        <v>34394</v>
      </c>
      <c r="C73" s="28" t="n">
        <v>505762</v>
      </c>
      <c r="D73" s="29" t="s">
        <v>41</v>
      </c>
      <c r="E73" s="580" t="n">
        <f aca="false">IF(D73="totale",(C73/(A73*24))/F73,IF(D73="marché libre",(C73/(A73*24))/G73,"spécifier histo"))</f>
        <v>0.57609121560051</v>
      </c>
      <c r="F73" s="59" t="n">
        <v>1180</v>
      </c>
      <c r="G73" s="59" t="n">
        <f aca="false">F73-H73</f>
        <v>0</v>
      </c>
      <c r="H73" s="9" t="n">
        <v>1180</v>
      </c>
      <c r="I73" s="9"/>
      <c r="J73" s="205"/>
    </row>
    <row r="74" s="1" customFormat="true" ht="19.65" hidden="false" customHeight="true" outlineLevel="0" collapsed="false">
      <c r="A74" s="0" t="n">
        <v>30</v>
      </c>
      <c r="B74" s="34" t="n">
        <v>34425</v>
      </c>
      <c r="C74" s="28" t="n">
        <v>0</v>
      </c>
      <c r="D74" s="29" t="s">
        <v>41</v>
      </c>
      <c r="E74" s="580" t="n">
        <f aca="false">IF(D74="totale",(C74/(A74*24))/F74,IF(D74="marché libre",(C74/(A74*24))/G74,"spécifier histo"))</f>
        <v>0</v>
      </c>
      <c r="F74" s="59" t="n">
        <v>1180</v>
      </c>
      <c r="G74" s="59" t="n">
        <f aca="false">F74-H74</f>
        <v>0</v>
      </c>
      <c r="H74" s="9" t="n">
        <v>1180</v>
      </c>
      <c r="I74" s="9"/>
      <c r="J74" s="205"/>
    </row>
    <row r="75" s="1" customFormat="true" ht="19.65" hidden="false" customHeight="true" outlineLevel="0" collapsed="false">
      <c r="A75" s="0" t="n">
        <v>31</v>
      </c>
      <c r="B75" s="31" t="n">
        <v>34455</v>
      </c>
      <c r="C75" s="28" t="n">
        <v>0</v>
      </c>
      <c r="D75" s="29" t="s">
        <v>41</v>
      </c>
      <c r="E75" s="580" t="n">
        <f aca="false">IF(D75="totale",(C75/(A75*24))/F75,IF(D75="marché libre",(C75/(A75*24))/G75,"spécifier histo"))</f>
        <v>0</v>
      </c>
      <c r="F75" s="59" t="n">
        <v>1180</v>
      </c>
      <c r="G75" s="59" t="n">
        <f aca="false">F75-H75</f>
        <v>0</v>
      </c>
      <c r="H75" s="9" t="n">
        <v>1180</v>
      </c>
      <c r="I75" s="9"/>
      <c r="J75" s="205"/>
    </row>
    <row r="76" s="1" customFormat="true" ht="19.65" hidden="false" customHeight="true" outlineLevel="0" collapsed="false">
      <c r="A76" s="0" t="n">
        <v>30</v>
      </c>
      <c r="B76" s="34" t="n">
        <v>34486</v>
      </c>
      <c r="C76" s="28" t="n">
        <v>0</v>
      </c>
      <c r="D76" s="29" t="s">
        <v>41</v>
      </c>
      <c r="E76" s="580" t="n">
        <f aca="false">IF(D76="totale",(C76/(A76*24))/F76,IF(D76="marché libre",(C76/(A76*24))/G76,"spécifier histo"))</f>
        <v>0</v>
      </c>
      <c r="F76" s="59" t="n">
        <v>1180</v>
      </c>
      <c r="G76" s="59" t="n">
        <f aca="false">F76-H76</f>
        <v>0</v>
      </c>
      <c r="H76" s="9" t="n">
        <v>1180</v>
      </c>
      <c r="I76" s="9"/>
      <c r="J76" s="205"/>
    </row>
    <row r="77" s="1" customFormat="true" ht="19.65" hidden="false" customHeight="true" outlineLevel="0" collapsed="false">
      <c r="A77" s="0" t="n">
        <v>31</v>
      </c>
      <c r="B77" s="31" t="n">
        <v>34516</v>
      </c>
      <c r="C77" s="28" t="n">
        <v>0</v>
      </c>
      <c r="D77" s="29" t="s">
        <v>41</v>
      </c>
      <c r="E77" s="580" t="n">
        <f aca="false">IF(D77="totale",(C77/(A77*24))/F77,IF(D77="marché libre",(C77/(A77*24))/G77,"spécifier histo"))</f>
        <v>0</v>
      </c>
      <c r="F77" s="59" t="n">
        <v>1180</v>
      </c>
      <c r="G77" s="59" t="n">
        <f aca="false">F77-H77</f>
        <v>0</v>
      </c>
      <c r="H77" s="9" t="n">
        <v>1180</v>
      </c>
      <c r="I77" s="9"/>
      <c r="J77" s="205"/>
    </row>
    <row r="78" s="1" customFormat="true" ht="19.65" hidden="false" customHeight="true" outlineLevel="0" collapsed="false">
      <c r="A78" s="0" t="n">
        <v>31</v>
      </c>
      <c r="B78" s="34" t="n">
        <v>34547</v>
      </c>
      <c r="C78" s="28" t="n">
        <v>0</v>
      </c>
      <c r="D78" s="29" t="s">
        <v>41</v>
      </c>
      <c r="E78" s="580" t="n">
        <f aca="false">IF(D78="totale",(C78/(A78*24))/F78,IF(D78="marché libre",(C78/(A78*24))/G78,"spécifier histo"))</f>
        <v>0</v>
      </c>
      <c r="F78" s="59" t="n">
        <v>1180</v>
      </c>
      <c r="G78" s="59" t="n">
        <f aca="false">F78-H78</f>
        <v>0</v>
      </c>
      <c r="H78" s="9" t="n">
        <v>1180</v>
      </c>
      <c r="I78" s="9"/>
      <c r="J78" s="205"/>
    </row>
    <row r="79" s="1" customFormat="true" ht="19.65" hidden="false" customHeight="true" outlineLevel="0" collapsed="false">
      <c r="A79" s="0" t="n">
        <v>30</v>
      </c>
      <c r="B79" s="31" t="n">
        <v>34578</v>
      </c>
      <c r="C79" s="28" t="n">
        <v>215200</v>
      </c>
      <c r="D79" s="29" t="s">
        <v>41</v>
      </c>
      <c r="E79" s="580" t="n">
        <f aca="false">IF(D79="totale",(C79/(A79*24))/F79,IF(D79="marché libre",(C79/(A79*24))/G79,"spécifier histo"))</f>
        <v>0.253295668549906</v>
      </c>
      <c r="F79" s="59" t="n">
        <v>1180</v>
      </c>
      <c r="G79" s="59" t="n">
        <f aca="false">F79-H79</f>
        <v>0</v>
      </c>
      <c r="H79" s="9" t="n">
        <v>1180</v>
      </c>
      <c r="I79" s="9"/>
      <c r="J79" s="205"/>
    </row>
    <row r="80" s="1" customFormat="true" ht="19.65" hidden="false" customHeight="true" outlineLevel="0" collapsed="false">
      <c r="A80" s="0" t="n">
        <v>31</v>
      </c>
      <c r="B80" s="34" t="n">
        <v>34608</v>
      </c>
      <c r="C80" s="28" t="n">
        <v>157759</v>
      </c>
      <c r="D80" s="29" t="s">
        <v>41</v>
      </c>
      <c r="E80" s="580" t="n">
        <f aca="false">IF(D80="totale",(C80/(A80*24))/F80,IF(D80="marché libre",(C80/(A80*24))/G80,"spécifier histo"))</f>
        <v>0.179696327683616</v>
      </c>
      <c r="F80" s="59" t="n">
        <v>1180</v>
      </c>
      <c r="G80" s="59" t="n">
        <f aca="false">F80-H80</f>
        <v>0</v>
      </c>
      <c r="H80" s="9" t="n">
        <v>1180</v>
      </c>
      <c r="I80" s="9"/>
      <c r="J80" s="205"/>
    </row>
    <row r="81" s="1" customFormat="true" ht="19.65" hidden="false" customHeight="true" outlineLevel="0" collapsed="false">
      <c r="A81" s="0" t="n">
        <v>30</v>
      </c>
      <c r="B81" s="31" t="n">
        <v>34639</v>
      </c>
      <c r="C81" s="28" t="n">
        <v>195755</v>
      </c>
      <c r="D81" s="29" t="s">
        <v>41</v>
      </c>
      <c r="E81" s="580" t="n">
        <f aca="false">IF(D81="totale",(C81/(A81*24))/F81,IF(D81="marché libre",(C81/(A81*24))/G81,"spécifier histo"))</f>
        <v>0.230408427495292</v>
      </c>
      <c r="F81" s="59" t="n">
        <v>1180</v>
      </c>
      <c r="G81" s="59" t="n">
        <f aca="false">F81-H81</f>
        <v>0</v>
      </c>
      <c r="H81" s="9" t="n">
        <v>1180</v>
      </c>
      <c r="I81" s="9"/>
      <c r="J81" s="205"/>
    </row>
    <row r="82" s="1" customFormat="true" ht="19.65" hidden="false" customHeight="true" outlineLevel="0" collapsed="false">
      <c r="A82" s="0" t="n">
        <v>31</v>
      </c>
      <c r="B82" s="34" t="n">
        <v>34669</v>
      </c>
      <c r="C82" s="28" t="n">
        <v>174823</v>
      </c>
      <c r="D82" s="29" t="s">
        <v>41</v>
      </c>
      <c r="E82" s="580" t="n">
        <f aca="false">IF(D82="totale",(C82/(A82*24))/F82,IF(D82="marché libre",(C82/(A82*24))/G82,"spécifier histo"))</f>
        <v>0.199133178421724</v>
      </c>
      <c r="F82" s="59" t="n">
        <v>1180</v>
      </c>
      <c r="G82" s="59" t="n">
        <f aca="false">F82-H82</f>
        <v>0</v>
      </c>
      <c r="H82" s="9" t="n">
        <v>1180</v>
      </c>
      <c r="I82" s="9"/>
      <c r="J82" s="205"/>
    </row>
    <row r="83" s="1" customFormat="true" ht="19.65" hidden="false" customHeight="true" outlineLevel="0" collapsed="false">
      <c r="A83" s="0" t="n">
        <v>31</v>
      </c>
      <c r="B83" s="31" t="n">
        <v>34700</v>
      </c>
      <c r="C83" s="28" t="n">
        <v>272657</v>
      </c>
      <c r="D83" s="29" t="s">
        <v>41</v>
      </c>
      <c r="E83" s="580" t="n">
        <f aca="false">IF(D83="totale",(C83/(A83*24))/F83,IF(D83="marché libre",(C83/(A83*24))/G83,"spécifier histo"))</f>
        <v>0.310571578275925</v>
      </c>
      <c r="F83" s="59" t="n">
        <v>1180</v>
      </c>
      <c r="G83" s="59" t="n">
        <f aca="false">F83-H83</f>
        <v>0</v>
      </c>
      <c r="H83" s="9" t="n">
        <v>1180</v>
      </c>
      <c r="I83" s="9"/>
      <c r="J83" s="205"/>
    </row>
    <row r="84" s="1" customFormat="true" ht="19.65" hidden="false" customHeight="true" outlineLevel="0" collapsed="false">
      <c r="A84" s="0" t="n">
        <v>28</v>
      </c>
      <c r="B84" s="34" t="n">
        <v>34731</v>
      </c>
      <c r="C84" s="28" t="n">
        <v>261412</v>
      </c>
      <c r="D84" s="29" t="s">
        <v>41</v>
      </c>
      <c r="E84" s="580" t="n">
        <f aca="false">IF(D84="totale",(C84/(A84*24))/F84,IF(D84="marché libre",(C84/(A84*24))/G84,"spécifier histo"))</f>
        <v>0.32966606133979</v>
      </c>
      <c r="F84" s="59" t="n">
        <v>1180</v>
      </c>
      <c r="G84" s="59" t="n">
        <f aca="false">F84-H84</f>
        <v>0</v>
      </c>
      <c r="H84" s="9" t="n">
        <v>1180</v>
      </c>
      <c r="I84" s="9"/>
      <c r="J84" s="205"/>
    </row>
    <row r="85" s="1" customFormat="true" ht="19.65" hidden="false" customHeight="true" outlineLevel="0" collapsed="false">
      <c r="A85" s="0" t="n">
        <v>31</v>
      </c>
      <c r="B85" s="31" t="n">
        <v>34759</v>
      </c>
      <c r="C85" s="28" t="n">
        <v>301295</v>
      </c>
      <c r="D85" s="29" t="s">
        <v>41</v>
      </c>
      <c r="E85" s="580" t="n">
        <f aca="false">IF(D85="totale",(C85/(A85*24))/F85,IF(D85="marché libre",(C85/(A85*24))/G85,"spécifier histo"))</f>
        <v>0.34319186258429</v>
      </c>
      <c r="F85" s="59" t="n">
        <v>1180</v>
      </c>
      <c r="G85" s="59" t="n">
        <f aca="false">F85-H85</f>
        <v>0</v>
      </c>
      <c r="H85" s="9" t="n">
        <v>1180</v>
      </c>
      <c r="I85" s="9"/>
      <c r="J85" s="205"/>
    </row>
    <row r="86" s="1" customFormat="true" ht="19.65" hidden="false" customHeight="true" outlineLevel="0" collapsed="false">
      <c r="A86" s="0" t="n">
        <v>30</v>
      </c>
      <c r="B86" s="34" t="n">
        <v>34790</v>
      </c>
      <c r="C86" s="28" t="n">
        <v>167991</v>
      </c>
      <c r="D86" s="29" t="s">
        <v>41</v>
      </c>
      <c r="E86" s="580" t="n">
        <f aca="false">IF(D86="totale",(C86/(A86*24))/F86,IF(D86="marché libre",(C86/(A86*24))/G86,"spécifier histo"))</f>
        <v>0.197729519774011</v>
      </c>
      <c r="F86" s="59" t="n">
        <v>1180</v>
      </c>
      <c r="G86" s="59" t="n">
        <f aca="false">F86-H86</f>
        <v>0</v>
      </c>
      <c r="H86" s="9" t="n">
        <v>1180</v>
      </c>
      <c r="I86" s="9"/>
      <c r="J86" s="205"/>
    </row>
    <row r="87" s="1" customFormat="true" ht="19.65" hidden="false" customHeight="true" outlineLevel="0" collapsed="false">
      <c r="A87" s="0" t="n">
        <v>31</v>
      </c>
      <c r="B87" s="31" t="n">
        <v>34820</v>
      </c>
      <c r="C87" s="28" t="n">
        <v>212146</v>
      </c>
      <c r="D87" s="29" t="s">
        <v>41</v>
      </c>
      <c r="E87" s="580" t="n">
        <f aca="false">IF(D87="totale",(C87/(A87*24))/F87,IF(D87="marché libre",(C87/(A87*24))/G87,"spécifier histo"))</f>
        <v>0.241646163659559</v>
      </c>
      <c r="F87" s="59" t="n">
        <v>1180</v>
      </c>
      <c r="G87" s="59" t="n">
        <f aca="false">F87-H87</f>
        <v>0</v>
      </c>
      <c r="H87" s="9" t="n">
        <v>1180</v>
      </c>
      <c r="I87" s="9"/>
      <c r="J87" s="205"/>
    </row>
    <row r="88" s="1" customFormat="true" ht="19.65" hidden="false" customHeight="true" outlineLevel="0" collapsed="false">
      <c r="A88" s="0" t="n">
        <v>30</v>
      </c>
      <c r="B88" s="34" t="n">
        <v>34851</v>
      </c>
      <c r="C88" s="28" t="n">
        <v>190496</v>
      </c>
      <c r="D88" s="29" t="s">
        <v>41</v>
      </c>
      <c r="E88" s="580" t="n">
        <f aca="false">IF(D88="totale",(C88/(A88*24))/F88,IF(D88="marché libre",(C88/(A88*24))/G88,"spécifier histo"))</f>
        <v>0.224218455743879</v>
      </c>
      <c r="F88" s="59" t="n">
        <v>1180</v>
      </c>
      <c r="G88" s="59" t="n">
        <f aca="false">F88-H88</f>
        <v>0</v>
      </c>
      <c r="H88" s="9" t="n">
        <v>1180</v>
      </c>
      <c r="I88" s="9"/>
      <c r="J88" s="205"/>
    </row>
    <row r="89" s="1" customFormat="true" ht="19.65" hidden="false" customHeight="true" outlineLevel="0" collapsed="false">
      <c r="A89" s="0" t="n">
        <v>31</v>
      </c>
      <c r="B89" s="31" t="n">
        <v>34881</v>
      </c>
      <c r="C89" s="28" t="n">
        <v>5556</v>
      </c>
      <c r="D89" s="29" t="s">
        <v>41</v>
      </c>
      <c r="E89" s="580" t="n">
        <f aca="false">IF(D89="totale",(C89/(A89*24))/F89,IF(D89="marché libre",(C89/(A89*24))/G89,"spécifier histo"))</f>
        <v>0.00632859486057955</v>
      </c>
      <c r="F89" s="59" t="n">
        <v>1180</v>
      </c>
      <c r="G89" s="59" t="n">
        <f aca="false">F89-H89</f>
        <v>0</v>
      </c>
      <c r="H89" s="9" t="n">
        <v>1180</v>
      </c>
      <c r="I89" s="9"/>
      <c r="J89" s="205"/>
    </row>
    <row r="90" s="1" customFormat="true" ht="19.65" hidden="false" customHeight="true" outlineLevel="0" collapsed="false">
      <c r="A90" s="0" t="n">
        <v>31</v>
      </c>
      <c r="B90" s="34" t="n">
        <v>34912</v>
      </c>
      <c r="C90" s="28" t="n">
        <v>0</v>
      </c>
      <c r="D90" s="29" t="s">
        <v>41</v>
      </c>
      <c r="E90" s="580" t="n">
        <f aca="false">IF(D90="totale",(C90/(A90*24))/F90,IF(D90="marché libre",(C90/(A90*24))/G90,"spécifier histo"))</f>
        <v>0</v>
      </c>
      <c r="F90" s="59" t="n">
        <v>1180</v>
      </c>
      <c r="G90" s="59" t="n">
        <f aca="false">F90-H90</f>
        <v>0</v>
      </c>
      <c r="H90" s="9" t="n">
        <v>1180</v>
      </c>
      <c r="I90" s="9"/>
      <c r="J90" s="205"/>
    </row>
    <row r="91" s="1" customFormat="true" ht="19.65" hidden="false" customHeight="true" outlineLevel="0" collapsed="false">
      <c r="A91" s="0" t="n">
        <v>30</v>
      </c>
      <c r="B91" s="31" t="n">
        <v>34943</v>
      </c>
      <c r="C91" s="28" t="n">
        <v>43575</v>
      </c>
      <c r="D91" s="29" t="s">
        <v>41</v>
      </c>
      <c r="E91" s="580" t="n">
        <f aca="false">IF(D91="totale",(C91/(A91*24))/F91,IF(D91="marché libre",(C91/(A91*24))/G91,"spécifier histo"))</f>
        <v>0.0512888418079096</v>
      </c>
      <c r="F91" s="59" t="n">
        <v>1180</v>
      </c>
      <c r="G91" s="59" t="n">
        <f aca="false">F91-H91</f>
        <v>0</v>
      </c>
      <c r="H91" s="9" t="n">
        <v>1180</v>
      </c>
      <c r="I91" s="9"/>
      <c r="J91" s="205"/>
    </row>
    <row r="92" s="1" customFormat="true" ht="19.65" hidden="false" customHeight="true" outlineLevel="0" collapsed="false">
      <c r="A92" s="0" t="n">
        <v>31</v>
      </c>
      <c r="B92" s="34" t="n">
        <v>34973</v>
      </c>
      <c r="C92" s="28" t="n">
        <v>89697</v>
      </c>
      <c r="D92" s="29" t="s">
        <v>41</v>
      </c>
      <c r="E92" s="580" t="n">
        <f aca="false">IF(D92="totale",(C92/(A92*24))/F92,IF(D92="marché libre",(C92/(A92*24))/G92,"spécifier histo"))</f>
        <v>0.102169901585566</v>
      </c>
      <c r="F92" s="59" t="n">
        <v>1180</v>
      </c>
      <c r="G92" s="59" t="n">
        <f aca="false">F92-H92</f>
        <v>0</v>
      </c>
      <c r="H92" s="9" t="n">
        <v>1180</v>
      </c>
      <c r="I92" s="9"/>
      <c r="J92" s="205"/>
    </row>
    <row r="93" s="1" customFormat="true" ht="19.65" hidden="false" customHeight="true" outlineLevel="0" collapsed="false">
      <c r="A93" s="0" t="n">
        <v>30</v>
      </c>
      <c r="B93" s="31" t="n">
        <v>35004</v>
      </c>
      <c r="C93" s="28" t="n">
        <v>147947</v>
      </c>
      <c r="D93" s="29" t="s">
        <v>41</v>
      </c>
      <c r="E93" s="580" t="n">
        <f aca="false">IF(D93="totale",(C93/(A93*24))/F93,IF(D93="marché libre",(C93/(A93*24))/G93,"spécifier histo"))</f>
        <v>0.174137241054614</v>
      </c>
      <c r="F93" s="59" t="n">
        <v>1180</v>
      </c>
      <c r="G93" s="59" t="n">
        <f aca="false">F93-H93</f>
        <v>0</v>
      </c>
      <c r="H93" s="9" t="n">
        <v>1180</v>
      </c>
      <c r="I93" s="9"/>
      <c r="J93" s="205"/>
    </row>
    <row r="94" s="1" customFormat="true" ht="19.65" hidden="false" customHeight="true" outlineLevel="0" collapsed="false">
      <c r="A94" s="0" t="n">
        <v>31</v>
      </c>
      <c r="B94" s="34" t="n">
        <v>35034</v>
      </c>
      <c r="C94" s="28" t="n">
        <v>131934</v>
      </c>
      <c r="D94" s="29" t="s">
        <v>41</v>
      </c>
      <c r="E94" s="580" t="n">
        <f aca="false">IF(D94="totale",(C94/(A94*24))/F94,IF(D94="marché libre",(C94/(A94*24))/G94,"spécifier histo"))</f>
        <v>0.150280207763805</v>
      </c>
      <c r="F94" s="59" t="n">
        <v>1180</v>
      </c>
      <c r="G94" s="59" t="n">
        <f aca="false">F94-H94</f>
        <v>0</v>
      </c>
      <c r="H94" s="9" t="n">
        <v>1180</v>
      </c>
      <c r="I94" s="9"/>
      <c r="J94" s="205"/>
    </row>
    <row r="95" s="1" customFormat="true" ht="19.65" hidden="false" customHeight="true" outlineLevel="0" collapsed="false">
      <c r="A95" s="0" t="n">
        <v>31</v>
      </c>
      <c r="B95" s="31" t="n">
        <v>35065</v>
      </c>
      <c r="C95" s="28" t="n">
        <v>105043</v>
      </c>
      <c r="D95" s="29" t="s">
        <v>41</v>
      </c>
      <c r="E95" s="580" t="n">
        <f aca="false">IF(D95="totale",(C95/(A95*24))/F95,IF(D95="marché libre",(C95/(A95*24))/G95,"spécifier histo"))</f>
        <v>0.119649854200838</v>
      </c>
      <c r="F95" s="59" t="n">
        <v>1180</v>
      </c>
      <c r="G95" s="59" t="n">
        <f aca="false">F95-H95</f>
        <v>0</v>
      </c>
      <c r="H95" s="9" t="n">
        <v>1180</v>
      </c>
      <c r="I95" s="9"/>
      <c r="J95" s="205"/>
    </row>
    <row r="96" s="1" customFormat="true" ht="19.65" hidden="false" customHeight="true" outlineLevel="0" collapsed="false">
      <c r="A96" s="0" t="n">
        <v>28</v>
      </c>
      <c r="B96" s="34" t="n">
        <v>35096</v>
      </c>
      <c r="C96" s="28" t="n">
        <v>90438</v>
      </c>
      <c r="D96" s="29" t="s">
        <v>41</v>
      </c>
      <c r="E96" s="580" t="n">
        <f aca="false">IF(D96="totale",(C96/(A96*24))/F96,IF(D96="marché libre",(C96/(A96*24))/G96,"spécifier histo"))</f>
        <v>0.114051150121065</v>
      </c>
      <c r="F96" s="59" t="n">
        <v>1180</v>
      </c>
      <c r="G96" s="59" t="n">
        <f aca="false">F96-H96</f>
        <v>0</v>
      </c>
      <c r="H96" s="9" t="n">
        <v>1180</v>
      </c>
      <c r="I96" s="9"/>
      <c r="J96" s="205"/>
    </row>
    <row r="97" s="1" customFormat="true" ht="19.65" hidden="false" customHeight="true" outlineLevel="0" collapsed="false">
      <c r="A97" s="0" t="n">
        <v>31</v>
      </c>
      <c r="B97" s="31" t="n">
        <v>35125</v>
      </c>
      <c r="C97" s="28" t="n">
        <v>145486</v>
      </c>
      <c r="D97" s="29" t="s">
        <v>41</v>
      </c>
      <c r="E97" s="580" t="n">
        <f aca="false">IF(D97="totale",(C97/(A97*24))/F97,IF(D97="marché libre",(C97/(A97*24))/G97,"spécifier histo"))</f>
        <v>0.165716694004009</v>
      </c>
      <c r="F97" s="59" t="n">
        <v>1180</v>
      </c>
      <c r="G97" s="59" t="n">
        <f aca="false">F97-H97</f>
        <v>0</v>
      </c>
      <c r="H97" s="9" t="n">
        <v>1180</v>
      </c>
      <c r="I97" s="9"/>
      <c r="J97" s="205"/>
    </row>
    <row r="98" s="1" customFormat="true" ht="19.65" hidden="false" customHeight="true" outlineLevel="0" collapsed="false">
      <c r="A98" s="0" t="n">
        <v>30</v>
      </c>
      <c r="B98" s="34" t="n">
        <v>35156</v>
      </c>
      <c r="C98" s="28" t="n">
        <v>36626</v>
      </c>
      <c r="D98" s="29" t="s">
        <v>41</v>
      </c>
      <c r="E98" s="580" t="n">
        <f aca="false">IF(D98="totale",(C98/(A98*24))/F98,IF(D98="marché libre",(C98/(A98*24))/G98,"spécifier histo"))</f>
        <v>0.0431096986817326</v>
      </c>
      <c r="F98" s="59" t="n">
        <v>1180</v>
      </c>
      <c r="G98" s="59" t="n">
        <f aca="false">F98-H98</f>
        <v>0</v>
      </c>
      <c r="H98" s="9" t="n">
        <v>1180</v>
      </c>
      <c r="I98" s="9"/>
      <c r="J98" s="205"/>
    </row>
    <row r="99" s="1" customFormat="true" ht="19.65" hidden="false" customHeight="true" outlineLevel="0" collapsed="false">
      <c r="A99" s="0" t="n">
        <v>31</v>
      </c>
      <c r="B99" s="31" t="n">
        <v>35186</v>
      </c>
      <c r="C99" s="28" t="n">
        <v>79147</v>
      </c>
      <c r="D99" s="29" t="s">
        <v>41</v>
      </c>
      <c r="E99" s="580" t="n">
        <f aca="false">IF(D99="totale",(C99/(A99*24))/F99,IF(D99="marché libre",(C99/(A99*24))/G99,"spécifier histo"))</f>
        <v>0.0901528613085475</v>
      </c>
      <c r="F99" s="59" t="n">
        <v>1180</v>
      </c>
      <c r="G99" s="59" t="n">
        <f aca="false">F99-H99</f>
        <v>0</v>
      </c>
      <c r="H99" s="9" t="n">
        <v>1180</v>
      </c>
      <c r="I99" s="9"/>
      <c r="J99" s="205"/>
    </row>
    <row r="100" s="1" customFormat="true" ht="19.65" hidden="false" customHeight="true" outlineLevel="0" collapsed="false">
      <c r="A100" s="0" t="n">
        <v>30</v>
      </c>
      <c r="B100" s="34" t="n">
        <v>35217</v>
      </c>
      <c r="C100" s="28" t="n">
        <v>92511</v>
      </c>
      <c r="D100" s="29" t="s">
        <v>41</v>
      </c>
      <c r="E100" s="580" t="n">
        <f aca="false">IF(D100="totale",(C100/(A100*24))/F100,IF(D100="marché libre",(C100/(A100*24))/G100,"spécifier histo"))</f>
        <v>0.108887711864407</v>
      </c>
      <c r="F100" s="59" t="n">
        <v>1180</v>
      </c>
      <c r="G100" s="59" t="n">
        <f aca="false">F100-H100</f>
        <v>0</v>
      </c>
      <c r="H100" s="9" t="n">
        <v>1180</v>
      </c>
      <c r="I100" s="9"/>
      <c r="J100" s="205"/>
    </row>
    <row r="101" s="1" customFormat="true" ht="19.65" hidden="false" customHeight="true" outlineLevel="0" collapsed="false">
      <c r="A101" s="0" t="n">
        <v>31</v>
      </c>
      <c r="B101" s="31" t="n">
        <v>35247</v>
      </c>
      <c r="C101" s="28" t="n">
        <v>40360</v>
      </c>
      <c r="D101" s="29" t="s">
        <v>41</v>
      </c>
      <c r="E101" s="580" t="n">
        <f aca="false">IF(D101="totale",(C101/(A101*24))/F101,IF(D101="marché libre",(C101/(A101*24))/G101,"spécifier histo"))</f>
        <v>0.0459722981592856</v>
      </c>
      <c r="F101" s="59" t="n">
        <v>1180</v>
      </c>
      <c r="G101" s="59" t="n">
        <f aca="false">F101-H101</f>
        <v>0</v>
      </c>
      <c r="H101" s="9" t="n">
        <v>1180</v>
      </c>
      <c r="I101" s="9"/>
      <c r="J101" s="205"/>
    </row>
    <row r="102" s="1" customFormat="true" ht="19.65" hidden="false" customHeight="true" outlineLevel="0" collapsed="false">
      <c r="A102" s="0" t="n">
        <v>31</v>
      </c>
      <c r="B102" s="34" t="n">
        <v>35278</v>
      </c>
      <c r="C102" s="28" t="n">
        <v>0</v>
      </c>
      <c r="D102" s="29" t="s">
        <v>41</v>
      </c>
      <c r="E102" s="580" t="n">
        <f aca="false">IF(D102="totale",(C102/(A102*24))/F102,IF(D102="marché libre",(C102/(A102*24))/G102,"spécifier histo"))</f>
        <v>0</v>
      </c>
      <c r="F102" s="59" t="n">
        <v>1180</v>
      </c>
      <c r="G102" s="59" t="n">
        <f aca="false">F102-H102</f>
        <v>0</v>
      </c>
      <c r="H102" s="9" t="n">
        <v>1180</v>
      </c>
      <c r="I102" s="9"/>
      <c r="J102" s="205"/>
    </row>
    <row r="103" s="1" customFormat="true" ht="19.65" hidden="false" customHeight="true" outlineLevel="0" collapsed="false">
      <c r="A103" s="0" t="n">
        <v>30</v>
      </c>
      <c r="B103" s="31" t="n">
        <v>35309</v>
      </c>
      <c r="C103" s="28" t="n">
        <v>0</v>
      </c>
      <c r="D103" s="29" t="s">
        <v>41</v>
      </c>
      <c r="E103" s="580" t="n">
        <f aca="false">IF(D103="totale",(C103/(A103*24))/F103,IF(D103="marché libre",(C103/(A103*24))/G103,"spécifier histo"))</f>
        <v>0</v>
      </c>
      <c r="F103" s="59" t="n">
        <v>1180</v>
      </c>
      <c r="G103" s="59" t="n">
        <f aca="false">F103-H103</f>
        <v>0</v>
      </c>
      <c r="H103" s="9" t="n">
        <v>1180</v>
      </c>
      <c r="I103" s="9"/>
      <c r="J103" s="205"/>
    </row>
    <row r="104" s="1" customFormat="true" ht="19.65" hidden="false" customHeight="true" outlineLevel="0" collapsed="false">
      <c r="A104" s="0" t="n">
        <v>31</v>
      </c>
      <c r="B104" s="34" t="n">
        <v>35339</v>
      </c>
      <c r="C104" s="28" t="n">
        <v>44607</v>
      </c>
      <c r="D104" s="29" t="s">
        <v>41</v>
      </c>
      <c r="E104" s="580" t="n">
        <f aca="false">IF(D104="totale",(C104/(A104*24))/F104,IF(D104="marché libre",(C104/(A104*24))/G104,"spécifier histo"))</f>
        <v>0.0508098687807545</v>
      </c>
      <c r="F104" s="59" t="n">
        <v>1180</v>
      </c>
      <c r="G104" s="59" t="n">
        <f aca="false">F104-H104</f>
        <v>0</v>
      </c>
      <c r="H104" s="9" t="n">
        <v>1180</v>
      </c>
      <c r="I104" s="9"/>
      <c r="J104" s="205"/>
    </row>
    <row r="105" s="1" customFormat="true" ht="19.65" hidden="false" customHeight="true" outlineLevel="0" collapsed="false">
      <c r="A105" s="0" t="n">
        <v>30</v>
      </c>
      <c r="B105" s="31" t="n">
        <v>35370</v>
      </c>
      <c r="C105" s="28" t="n">
        <v>201223</v>
      </c>
      <c r="D105" s="29" t="s">
        <v>41</v>
      </c>
      <c r="E105" s="580" t="n">
        <f aca="false">IF(D105="totale",(C105/(A105*24))/F105,IF(D105="marché libre",(C105/(A105*24))/G105,"spécifier histo"))</f>
        <v>0.236844397363465</v>
      </c>
      <c r="F105" s="59" t="n">
        <v>1180</v>
      </c>
      <c r="G105" s="59" t="n">
        <f aca="false">F105-H105</f>
        <v>0</v>
      </c>
      <c r="H105" s="9" t="n">
        <v>1180</v>
      </c>
      <c r="I105" s="9"/>
      <c r="J105" s="205"/>
    </row>
    <row r="106" s="1" customFormat="true" ht="19.65" hidden="false" customHeight="true" outlineLevel="0" collapsed="false">
      <c r="A106" s="0" t="n">
        <v>31</v>
      </c>
      <c r="B106" s="34" t="n">
        <v>35400</v>
      </c>
      <c r="C106" s="28" t="n">
        <v>238835</v>
      </c>
      <c r="D106" s="29" t="s">
        <v>41</v>
      </c>
      <c r="E106" s="580" t="n">
        <f aca="false">IF(D106="totale",(C106/(A106*24))/F106,IF(D106="marché libre",(C106/(A106*24))/G106,"spécifier histo"))</f>
        <v>0.272046427920539</v>
      </c>
      <c r="F106" s="59" t="n">
        <v>1180</v>
      </c>
      <c r="G106" s="59" t="n">
        <f aca="false">F106-H106</f>
        <v>0</v>
      </c>
      <c r="H106" s="9" t="n">
        <v>1180</v>
      </c>
      <c r="I106" s="9"/>
      <c r="J106" s="205"/>
    </row>
    <row r="107" s="1" customFormat="true" ht="19.65" hidden="false" customHeight="true" outlineLevel="0" collapsed="false">
      <c r="A107" s="0" t="n">
        <v>31</v>
      </c>
      <c r="B107" s="31" t="n">
        <v>35431</v>
      </c>
      <c r="C107" s="28" t="n">
        <v>196831</v>
      </c>
      <c r="D107" s="29" t="s">
        <v>41</v>
      </c>
      <c r="E107" s="580" t="n">
        <f aca="false">IF(D107="totale",(C107/(A107*24))/F107,IF(D107="marché libre",(C107/(A107*24))/G107,"spécifier histo"))</f>
        <v>0.22420152177875</v>
      </c>
      <c r="F107" s="59" t="n">
        <v>1180</v>
      </c>
      <c r="G107" s="59" t="n">
        <f aca="false">F107-H107</f>
        <v>0</v>
      </c>
      <c r="H107" s="9" t="n">
        <v>1180</v>
      </c>
      <c r="I107" s="9"/>
      <c r="J107" s="205"/>
    </row>
    <row r="108" s="1" customFormat="true" ht="19.65" hidden="false" customHeight="true" outlineLevel="0" collapsed="false">
      <c r="A108" s="0" t="n">
        <v>28</v>
      </c>
      <c r="B108" s="34" t="n">
        <v>35462</v>
      </c>
      <c r="C108" s="28" t="n">
        <v>184130</v>
      </c>
      <c r="D108" s="29" t="s">
        <v>41</v>
      </c>
      <c r="E108" s="580" t="n">
        <f aca="false">IF(D108="totale",(C108/(A108*24))/F108,IF(D108="marché libre",(C108/(A108*24))/G108,"spécifier histo"))</f>
        <v>0.232205912025827</v>
      </c>
      <c r="F108" s="59" t="n">
        <v>1180</v>
      </c>
      <c r="G108" s="59" t="n">
        <f aca="false">F108-H108</f>
        <v>0</v>
      </c>
      <c r="H108" s="9" t="n">
        <v>1180</v>
      </c>
      <c r="I108" s="9"/>
      <c r="J108" s="205"/>
    </row>
    <row r="109" s="1" customFormat="true" ht="19.65" hidden="false" customHeight="true" outlineLevel="0" collapsed="false">
      <c r="A109" s="0" t="n">
        <v>31</v>
      </c>
      <c r="B109" s="31" t="n">
        <v>35490</v>
      </c>
      <c r="C109" s="28" t="n">
        <v>265615</v>
      </c>
      <c r="D109" s="29" t="s">
        <v>41</v>
      </c>
      <c r="E109" s="580" t="n">
        <f aca="false">IF(D109="totale",(C109/(A109*24))/F109,IF(D109="marché libre",(C109/(A109*24))/G109,"spécifier histo"))</f>
        <v>0.302550346273009</v>
      </c>
      <c r="F109" s="59" t="n">
        <v>1180</v>
      </c>
      <c r="G109" s="59" t="n">
        <f aca="false">F109-H109</f>
        <v>0</v>
      </c>
      <c r="H109" s="9" t="n">
        <v>1180</v>
      </c>
      <c r="I109" s="9"/>
      <c r="J109" s="205"/>
    </row>
    <row r="110" s="1" customFormat="true" ht="19.65" hidden="false" customHeight="true" outlineLevel="0" collapsed="false">
      <c r="A110" s="0" t="n">
        <v>30</v>
      </c>
      <c r="B110" s="34" t="n">
        <v>35521</v>
      </c>
      <c r="C110" s="28" t="n">
        <v>66509</v>
      </c>
      <c r="D110" s="29" t="s">
        <v>41</v>
      </c>
      <c r="E110" s="580" t="n">
        <f aca="false">IF(D110="totale",(C110/(A110*24))/F110,IF(D110="marché libre",(C110/(A110*24))/G110,"spécifier histo"))</f>
        <v>0.0782827212806026</v>
      </c>
      <c r="F110" s="59" t="n">
        <v>1180</v>
      </c>
      <c r="G110" s="59" t="n">
        <f aca="false">F110-H110</f>
        <v>0</v>
      </c>
      <c r="H110" s="9" t="n">
        <v>1180</v>
      </c>
      <c r="I110" s="9"/>
      <c r="J110" s="205"/>
    </row>
    <row r="111" s="1" customFormat="true" ht="19.65" hidden="false" customHeight="true" outlineLevel="0" collapsed="false">
      <c r="A111" s="0" t="n">
        <v>31</v>
      </c>
      <c r="B111" s="31" t="n">
        <v>35551</v>
      </c>
      <c r="C111" s="28" t="n">
        <v>181252</v>
      </c>
      <c r="D111" s="29" t="s">
        <v>41</v>
      </c>
      <c r="E111" s="580" t="n">
        <f aca="false">IF(D111="totale",(C111/(A111*24))/F111,IF(D111="marché libre",(C111/(A111*24))/G111,"spécifier histo"))</f>
        <v>0.206456169127027</v>
      </c>
      <c r="F111" s="59" t="n">
        <v>1180</v>
      </c>
      <c r="G111" s="59" t="n">
        <f aca="false">F111-H111</f>
        <v>0</v>
      </c>
      <c r="H111" s="9" t="n">
        <v>1180</v>
      </c>
      <c r="I111" s="9"/>
      <c r="J111" s="205"/>
    </row>
    <row r="112" s="1" customFormat="true" ht="19.65" hidden="false" customHeight="true" outlineLevel="0" collapsed="false">
      <c r="A112" s="0" t="n">
        <v>30</v>
      </c>
      <c r="B112" s="34" t="n">
        <v>35582</v>
      </c>
      <c r="C112" s="28" t="n">
        <v>61345</v>
      </c>
      <c r="D112" s="29" t="s">
        <v>41</v>
      </c>
      <c r="E112" s="580" t="n">
        <f aca="false">IF(D112="totale",(C112/(A112*24))/F112,IF(D112="marché libre",(C112/(A112*24))/G112,"spécifier histo"))</f>
        <v>0.0722045668549906</v>
      </c>
      <c r="F112" s="59" t="n">
        <v>1180</v>
      </c>
      <c r="G112" s="59" t="n">
        <f aca="false">F112-H112</f>
        <v>0</v>
      </c>
      <c r="H112" s="9" t="n">
        <v>1180</v>
      </c>
      <c r="I112" s="9"/>
      <c r="J112" s="205"/>
    </row>
    <row r="113" s="1" customFormat="true" ht="19.65" hidden="false" customHeight="true" outlineLevel="0" collapsed="false">
      <c r="A113" s="0" t="n">
        <v>31</v>
      </c>
      <c r="B113" s="31" t="n">
        <v>35612</v>
      </c>
      <c r="C113" s="28" t="n">
        <v>51708</v>
      </c>
      <c r="D113" s="29" t="s">
        <v>41</v>
      </c>
      <c r="E113" s="580" t="n">
        <f aca="false">IF(D113="totale",(C113/(A113*24))/F113,IF(D113="marché libre",(C113/(A113*24))/G113,"spécifier histo"))</f>
        <v>0.0588983050847458</v>
      </c>
      <c r="F113" s="59" t="n">
        <v>1180</v>
      </c>
      <c r="G113" s="59" t="n">
        <f aca="false">F113-H113</f>
        <v>0</v>
      </c>
      <c r="H113" s="9" t="n">
        <v>1180</v>
      </c>
      <c r="I113" s="9"/>
      <c r="J113" s="205"/>
    </row>
    <row r="114" s="1" customFormat="true" ht="19.65" hidden="false" customHeight="true" outlineLevel="0" collapsed="false">
      <c r="A114" s="0" t="n">
        <v>31</v>
      </c>
      <c r="B114" s="34" t="n">
        <v>35643</v>
      </c>
      <c r="C114" s="28" t="n">
        <v>1712</v>
      </c>
      <c r="D114" s="29" t="s">
        <v>41</v>
      </c>
      <c r="E114" s="580" t="n">
        <f aca="false">IF(D114="totale",(C114/(A114*24))/F114,IF(D114="marché libre",(C114/(A114*24))/G114,"spécifier histo"))</f>
        <v>0.00195006378713322</v>
      </c>
      <c r="F114" s="59" t="n">
        <v>1180</v>
      </c>
      <c r="G114" s="59" t="n">
        <f aca="false">F114-H114</f>
        <v>0</v>
      </c>
      <c r="H114" s="9" t="n">
        <v>1180</v>
      </c>
      <c r="I114" s="9"/>
      <c r="J114" s="205"/>
    </row>
    <row r="115" s="1" customFormat="true" ht="19.65" hidden="false" customHeight="true" outlineLevel="0" collapsed="false">
      <c r="A115" s="0" t="n">
        <v>30</v>
      </c>
      <c r="B115" s="31" t="n">
        <v>35674</v>
      </c>
      <c r="C115" s="28" t="n">
        <v>0</v>
      </c>
      <c r="D115" s="29" t="s">
        <v>41</v>
      </c>
      <c r="E115" s="580" t="n">
        <f aca="false">IF(D115="totale",(C115/(A115*24))/F115,IF(D115="marché libre",(C115/(A115*24))/G115,"spécifier histo"))</f>
        <v>0</v>
      </c>
      <c r="F115" s="59" t="n">
        <v>1180</v>
      </c>
      <c r="G115" s="59" t="n">
        <f aca="false">F115-H115</f>
        <v>0</v>
      </c>
      <c r="H115" s="9" t="n">
        <v>1180</v>
      </c>
      <c r="I115" s="9"/>
      <c r="J115" s="205"/>
    </row>
    <row r="116" s="1" customFormat="true" ht="19.65" hidden="false" customHeight="true" outlineLevel="0" collapsed="false">
      <c r="A116" s="0" t="n">
        <v>31</v>
      </c>
      <c r="B116" s="34" t="n">
        <v>35704</v>
      </c>
      <c r="C116" s="28" t="n">
        <v>71978</v>
      </c>
      <c r="D116" s="29" t="s">
        <v>41</v>
      </c>
      <c r="E116" s="580" t="n">
        <f aca="false">IF(D116="totale",(C116/(A116*24))/F116,IF(D116="marché libre",(C116/(A116*24))/G116,"spécifier histo"))</f>
        <v>0.0819869691999271</v>
      </c>
      <c r="F116" s="59" t="n">
        <v>1180</v>
      </c>
      <c r="G116" s="59" t="n">
        <f aca="false">F116-H116</f>
        <v>0</v>
      </c>
      <c r="H116" s="9" t="n">
        <v>1180</v>
      </c>
      <c r="I116" s="9"/>
      <c r="J116" s="205"/>
    </row>
    <row r="117" s="1" customFormat="true" ht="19.65" hidden="false" customHeight="true" outlineLevel="0" collapsed="false">
      <c r="A117" s="0" t="n">
        <v>30</v>
      </c>
      <c r="B117" s="31" t="n">
        <v>35735</v>
      </c>
      <c r="C117" s="28" t="n">
        <v>182127</v>
      </c>
      <c r="D117" s="29" t="s">
        <v>41</v>
      </c>
      <c r="E117" s="580" t="n">
        <f aca="false">IF(D117="totale",(C117/(A117*24))/F117,IF(D117="marché libre",(C117/(A117*24))/G117,"spécifier histo"))</f>
        <v>0.214367937853107</v>
      </c>
      <c r="F117" s="59" t="n">
        <v>1180</v>
      </c>
      <c r="G117" s="59" t="n">
        <f aca="false">F117-H117</f>
        <v>0</v>
      </c>
      <c r="H117" s="9" t="n">
        <v>1180</v>
      </c>
      <c r="I117" s="9"/>
      <c r="J117" s="205"/>
    </row>
    <row r="118" s="1" customFormat="true" ht="19.65" hidden="false" customHeight="true" outlineLevel="0" collapsed="false">
      <c r="A118" s="0" t="n">
        <v>31</v>
      </c>
      <c r="B118" s="34" t="n">
        <v>35765</v>
      </c>
      <c r="C118" s="28" t="n">
        <v>186318</v>
      </c>
      <c r="D118" s="29" t="s">
        <v>41</v>
      </c>
      <c r="E118" s="580" t="n">
        <f aca="false">IF(D118="totale",(C118/(A118*24))/F118,IF(D118="marché libre",(C118/(A118*24))/G118,"spécifier histo"))</f>
        <v>0.212226626571897</v>
      </c>
      <c r="F118" s="59" t="n">
        <v>1180</v>
      </c>
      <c r="G118" s="59" t="n">
        <f aca="false">F118-H118</f>
        <v>0</v>
      </c>
      <c r="H118" s="9" t="n">
        <v>1180</v>
      </c>
      <c r="I118" s="9"/>
      <c r="J118" s="205"/>
    </row>
    <row r="119" s="1" customFormat="true" ht="19.65" hidden="false" customHeight="true" outlineLevel="0" collapsed="false">
      <c r="A119" s="0" t="n">
        <v>31</v>
      </c>
      <c r="B119" s="31" t="n">
        <v>35796</v>
      </c>
      <c r="C119" s="28" t="n">
        <v>305152</v>
      </c>
      <c r="D119" s="29" t="s">
        <v>41</v>
      </c>
      <c r="E119" s="580" t="n">
        <f aca="false">IF(D119="totale",(C119/(A119*24))/F119,IF(D119="marché libre",(C119/(A119*24))/G119,"spécifier histo"))</f>
        <v>0.347585201385092</v>
      </c>
      <c r="F119" s="59" t="n">
        <v>1180</v>
      </c>
      <c r="G119" s="59" t="n">
        <f aca="false">F119-H119</f>
        <v>0</v>
      </c>
      <c r="H119" s="9" t="n">
        <v>1180</v>
      </c>
      <c r="I119" s="9"/>
      <c r="J119" s="205"/>
    </row>
    <row r="120" s="1" customFormat="true" ht="19.65" hidden="false" customHeight="true" outlineLevel="0" collapsed="false">
      <c r="A120" s="0" t="n">
        <v>28</v>
      </c>
      <c r="B120" s="34" t="n">
        <v>35827</v>
      </c>
      <c r="C120" s="28" t="n">
        <v>143759</v>
      </c>
      <c r="D120" s="29" t="s">
        <v>41</v>
      </c>
      <c r="E120" s="580" t="n">
        <f aca="false">IF(D120="totale",(C120/(A120*24))/F120,IF(D120="marché libre",(C120/(A120*24))/G120,"spécifier histo"))</f>
        <v>0.181294138418079</v>
      </c>
      <c r="F120" s="59" t="n">
        <v>1180</v>
      </c>
      <c r="G120" s="59" t="n">
        <f aca="false">F120-H120</f>
        <v>0</v>
      </c>
      <c r="H120" s="9" t="n">
        <v>1180</v>
      </c>
      <c r="I120" s="9"/>
      <c r="J120" s="205"/>
    </row>
    <row r="121" s="1" customFormat="true" ht="19.65" hidden="false" customHeight="true" outlineLevel="0" collapsed="false">
      <c r="A121" s="0" t="n">
        <v>31</v>
      </c>
      <c r="B121" s="31" t="n">
        <v>35855</v>
      </c>
      <c r="C121" s="28" t="n">
        <v>264493</v>
      </c>
      <c r="D121" s="29" t="s">
        <v>41</v>
      </c>
      <c r="E121" s="580" t="n">
        <f aca="false">IF(D121="totale",(C121/(A121*24))/F121,IF(D121="marché libre",(C121/(A121*24))/G121,"spécifier histo"))</f>
        <v>0.301272325496628</v>
      </c>
      <c r="F121" s="59" t="n">
        <v>1180</v>
      </c>
      <c r="G121" s="59" t="n">
        <f aca="false">F121-H121</f>
        <v>0</v>
      </c>
      <c r="H121" s="9" t="n">
        <v>1180</v>
      </c>
      <c r="I121" s="9"/>
      <c r="J121" s="205"/>
    </row>
    <row r="122" s="1" customFormat="true" ht="19.65" hidden="false" customHeight="true" outlineLevel="0" collapsed="false">
      <c r="A122" s="0" t="n">
        <v>30</v>
      </c>
      <c r="B122" s="34" t="n">
        <v>35886</v>
      </c>
      <c r="C122" s="28" t="n">
        <v>228086</v>
      </c>
      <c r="D122" s="29" t="s">
        <v>41</v>
      </c>
      <c r="E122" s="580" t="n">
        <f aca="false">IF(D122="totale",(C122/(A122*24))/F122,IF(D122="marché libre",(C122/(A122*24))/G122,"spécifier histo"))</f>
        <v>0.268462806026365</v>
      </c>
      <c r="F122" s="59" t="n">
        <v>1180</v>
      </c>
      <c r="G122" s="59" t="n">
        <f aca="false">F122-H122</f>
        <v>0</v>
      </c>
      <c r="H122" s="9" t="n">
        <v>1180</v>
      </c>
      <c r="I122" s="9"/>
      <c r="J122" s="205"/>
    </row>
    <row r="123" s="1" customFormat="true" ht="19.65" hidden="false" customHeight="true" outlineLevel="0" collapsed="false">
      <c r="A123" s="0" t="n">
        <v>31</v>
      </c>
      <c r="B123" s="31" t="n">
        <v>35916</v>
      </c>
      <c r="C123" s="28" t="n">
        <v>183603</v>
      </c>
      <c r="D123" s="29" t="s">
        <v>41</v>
      </c>
      <c r="E123" s="580" t="n">
        <f aca="false">IF(D123="totale",(C123/(A123*24))/F123,IF(D123="marché libre",(C123/(A123*24))/G123,"spécifier histo"))</f>
        <v>0.209134089666484</v>
      </c>
      <c r="F123" s="59" t="n">
        <v>1180</v>
      </c>
      <c r="G123" s="59" t="n">
        <f aca="false">F123-H123</f>
        <v>0</v>
      </c>
      <c r="H123" s="9" t="n">
        <v>1180</v>
      </c>
      <c r="I123" s="9"/>
      <c r="J123" s="205"/>
    </row>
    <row r="124" s="1" customFormat="true" ht="19.65" hidden="false" customHeight="true" outlineLevel="0" collapsed="false">
      <c r="A124" s="0" t="n">
        <v>30</v>
      </c>
      <c r="B124" s="34" t="n">
        <v>35947</v>
      </c>
      <c r="C124" s="28" t="n">
        <v>63777</v>
      </c>
      <c r="D124" s="29" t="s">
        <v>41</v>
      </c>
      <c r="E124" s="580" t="n">
        <f aca="false">IF(D124="totale",(C124/(A124*24))/F124,IF(D124="marché libre",(C124/(A124*24))/G124,"spécifier histo"))</f>
        <v>0.0750670903954802</v>
      </c>
      <c r="F124" s="59" t="n">
        <v>1180</v>
      </c>
      <c r="G124" s="59" t="n">
        <f aca="false">F124-H124</f>
        <v>0</v>
      </c>
      <c r="H124" s="9" t="n">
        <v>1180</v>
      </c>
      <c r="I124" s="9"/>
      <c r="J124" s="205"/>
    </row>
    <row r="125" s="1" customFormat="true" ht="19.65" hidden="false" customHeight="true" outlineLevel="0" collapsed="false">
      <c r="A125" s="0" t="n">
        <v>31</v>
      </c>
      <c r="B125" s="31" t="n">
        <v>35977</v>
      </c>
      <c r="C125" s="28" t="n">
        <v>2464</v>
      </c>
      <c r="D125" s="29" t="s">
        <v>41</v>
      </c>
      <c r="E125" s="580" t="n">
        <f aca="false">IF(D125="totale",(C125/(A125*24))/F125,IF(D125="marché libre",(C125/(A125*24))/G125,"spécifier histo"))</f>
        <v>0.00280663386185529</v>
      </c>
      <c r="F125" s="59" t="n">
        <v>1180</v>
      </c>
      <c r="G125" s="59" t="n">
        <f aca="false">F125-H125</f>
        <v>0</v>
      </c>
      <c r="H125" s="9" t="n">
        <v>1180</v>
      </c>
      <c r="I125" s="9"/>
      <c r="J125" s="205"/>
    </row>
    <row r="126" s="1" customFormat="true" ht="19.65" hidden="false" customHeight="true" outlineLevel="0" collapsed="false">
      <c r="A126" s="0" t="n">
        <v>31</v>
      </c>
      <c r="B126" s="34" t="n">
        <v>36008</v>
      </c>
      <c r="C126" s="28" t="n">
        <v>0</v>
      </c>
      <c r="D126" s="29" t="s">
        <v>41</v>
      </c>
      <c r="E126" s="580" t="n">
        <f aca="false">IF(D126="totale",(C126/(A126*24))/F126,IF(D126="marché libre",(C126/(A126*24))/G126,"spécifier histo"))</f>
        <v>0</v>
      </c>
      <c r="F126" s="59" t="n">
        <v>1180</v>
      </c>
      <c r="G126" s="59" t="n">
        <f aca="false">F126-H126</f>
        <v>0</v>
      </c>
      <c r="H126" s="9" t="n">
        <v>1180</v>
      </c>
      <c r="I126" s="9"/>
      <c r="J126" s="205"/>
    </row>
    <row r="127" s="1" customFormat="true" ht="19.65" hidden="false" customHeight="true" outlineLevel="0" collapsed="false">
      <c r="A127" s="0" t="n">
        <v>30</v>
      </c>
      <c r="B127" s="31" t="n">
        <v>36039</v>
      </c>
      <c r="C127" s="28" t="n">
        <v>87509</v>
      </c>
      <c r="D127" s="29" t="s">
        <v>41</v>
      </c>
      <c r="E127" s="580" t="n">
        <f aca="false">IF(D127="totale",(C127/(A127*24))/F127,IF(D127="marché libre",(C127/(A127*24))/G127,"spécifier histo"))</f>
        <v>0.103000235404896</v>
      </c>
      <c r="F127" s="59" t="n">
        <v>1180</v>
      </c>
      <c r="G127" s="59" t="n">
        <f aca="false">F127-H127</f>
        <v>0</v>
      </c>
      <c r="H127" s="9" t="n">
        <v>1180</v>
      </c>
      <c r="I127" s="9"/>
      <c r="J127" s="205"/>
    </row>
    <row r="128" s="1" customFormat="true" ht="19.65" hidden="false" customHeight="true" outlineLevel="0" collapsed="false">
      <c r="A128" s="0" t="n">
        <v>31</v>
      </c>
      <c r="B128" s="34" t="n">
        <v>36069</v>
      </c>
      <c r="C128" s="28" t="n">
        <v>174015</v>
      </c>
      <c r="D128" s="29" t="s">
        <v>41</v>
      </c>
      <c r="E128" s="580" t="n">
        <f aca="false">IF(D128="totale",(C128/(A128*24))/F128,IF(D128="marché libre",(C128/(A128*24))/G128,"spécifier histo"))</f>
        <v>0.198212821213778</v>
      </c>
      <c r="F128" s="59" t="n">
        <v>1180</v>
      </c>
      <c r="G128" s="59" t="n">
        <f aca="false">F128-H128</f>
        <v>0</v>
      </c>
      <c r="H128" s="9" t="n">
        <v>1180</v>
      </c>
      <c r="I128" s="9"/>
      <c r="J128" s="205"/>
    </row>
    <row r="129" s="1" customFormat="true" ht="19.65" hidden="false" customHeight="true" outlineLevel="0" collapsed="false">
      <c r="A129" s="0" t="n">
        <v>30</v>
      </c>
      <c r="B129" s="31" t="n">
        <v>36100</v>
      </c>
      <c r="C129" s="28" t="n">
        <v>253841</v>
      </c>
      <c r="D129" s="29" t="s">
        <v>41</v>
      </c>
      <c r="E129" s="580" t="n">
        <f aca="false">IF(D129="totale",(C129/(A129*24))/F129,IF(D129="marché libre",(C129/(A129*24))/G129,"spécifier histo"))</f>
        <v>0.298777071563088</v>
      </c>
      <c r="F129" s="59" t="n">
        <v>1180</v>
      </c>
      <c r="G129" s="59" t="n">
        <f aca="false">F129-H129</f>
        <v>0</v>
      </c>
      <c r="H129" s="9" t="n">
        <v>1180</v>
      </c>
      <c r="I129" s="9"/>
      <c r="J129" s="205"/>
    </row>
    <row r="130" s="1" customFormat="true" ht="19.65" hidden="false" customHeight="true" outlineLevel="0" collapsed="false">
      <c r="A130" s="0" t="n">
        <v>31</v>
      </c>
      <c r="B130" s="34" t="n">
        <v>36130</v>
      </c>
      <c r="C130" s="28" t="n">
        <v>202832</v>
      </c>
      <c r="D130" s="29" t="s">
        <v>41</v>
      </c>
      <c r="E130" s="580" t="n">
        <f aca="false">IF(D130="totale",(C130/(A130*24))/F130,IF(D130="marché libre",(C130/(A130*24))/G130,"spécifier histo"))</f>
        <v>0.23103699653727</v>
      </c>
      <c r="F130" s="59" t="n">
        <v>1180</v>
      </c>
      <c r="G130" s="59" t="n">
        <f aca="false">F130-H130</f>
        <v>0</v>
      </c>
      <c r="H130" s="9" t="n">
        <v>1180</v>
      </c>
      <c r="I130" s="9"/>
      <c r="J130" s="205"/>
    </row>
    <row r="131" s="1" customFormat="true" ht="19.65" hidden="false" customHeight="true" outlineLevel="0" collapsed="false">
      <c r="A131" s="0" t="n">
        <v>31</v>
      </c>
      <c r="B131" s="31" t="n">
        <v>36161</v>
      </c>
      <c r="C131" s="28" t="n">
        <v>250778</v>
      </c>
      <c r="D131" s="29" t="s">
        <v>41</v>
      </c>
      <c r="E131" s="580" t="n">
        <f aca="false">IF(D131="totale",(C131/(A131*24))/F131,IF(D131="marché libre",(C131/(A131*24))/G131,"spécifier histo"))</f>
        <v>0.285650173136504</v>
      </c>
      <c r="F131" s="59" t="n">
        <v>1180</v>
      </c>
      <c r="G131" s="59" t="n">
        <f aca="false">F131-H131</f>
        <v>0</v>
      </c>
      <c r="H131" s="9" t="n">
        <v>1180</v>
      </c>
      <c r="I131" s="9"/>
      <c r="J131" s="205"/>
    </row>
    <row r="132" s="1" customFormat="true" ht="19.65" hidden="false" customHeight="true" outlineLevel="0" collapsed="false">
      <c r="A132" s="0" t="n">
        <v>28</v>
      </c>
      <c r="B132" s="34" t="n">
        <v>36192</v>
      </c>
      <c r="C132" s="28" t="n">
        <v>265982</v>
      </c>
      <c r="D132" s="29" t="s">
        <v>41</v>
      </c>
      <c r="E132" s="580" t="n">
        <f aca="false">IF(D132="totale",(C132/(A132*24))/F132,IF(D132="marché libre",(C132/(A132*24))/G132,"spécifier histo"))</f>
        <v>0.335429277643261</v>
      </c>
      <c r="F132" s="59" t="n">
        <v>1180</v>
      </c>
      <c r="G132" s="59" t="n">
        <f aca="false">F132-H132</f>
        <v>0</v>
      </c>
      <c r="H132" s="9" t="n">
        <v>1180</v>
      </c>
      <c r="I132" s="9"/>
      <c r="J132" s="205"/>
    </row>
    <row r="133" s="1" customFormat="true" ht="19.65" hidden="false" customHeight="true" outlineLevel="0" collapsed="false">
      <c r="A133" s="0" t="n">
        <v>31</v>
      </c>
      <c r="B133" s="31" t="n">
        <v>36220</v>
      </c>
      <c r="C133" s="28" t="n">
        <v>352607</v>
      </c>
      <c r="D133" s="29" t="s">
        <v>41</v>
      </c>
      <c r="E133" s="580" t="n">
        <f aca="false">IF(D133="totale",(C133/(A133*24))/F133,IF(D133="marché libre",(C133/(A133*24))/G133,"spécifier histo"))</f>
        <v>0.401639101512666</v>
      </c>
      <c r="F133" s="59" t="n">
        <v>1180</v>
      </c>
      <c r="G133" s="59" t="n">
        <f aca="false">F133-H133</f>
        <v>0</v>
      </c>
      <c r="H133" s="9" t="n">
        <v>1180</v>
      </c>
      <c r="I133" s="9"/>
      <c r="J133" s="205"/>
    </row>
    <row r="134" s="1" customFormat="true" ht="19.65" hidden="false" customHeight="true" outlineLevel="0" collapsed="false">
      <c r="A134" s="0" t="n">
        <v>30</v>
      </c>
      <c r="B134" s="34" t="n">
        <v>36251</v>
      </c>
      <c r="C134" s="28" t="n">
        <v>280844</v>
      </c>
      <c r="D134" s="29" t="s">
        <v>41</v>
      </c>
      <c r="E134" s="580" t="n">
        <f aca="false">IF(D134="totale",(C134/(A134*24))/F134,IF(D134="marché libre",(C134/(A134*24))/G134,"spécifier histo"))</f>
        <v>0.330560263653484</v>
      </c>
      <c r="F134" s="59" t="n">
        <v>1180</v>
      </c>
      <c r="G134" s="59" t="n">
        <f aca="false">F134-H134</f>
        <v>0</v>
      </c>
      <c r="H134" s="9" t="n">
        <v>1180</v>
      </c>
      <c r="I134" s="9"/>
      <c r="J134" s="205"/>
    </row>
    <row r="135" s="1" customFormat="true" ht="19.65" hidden="false" customHeight="true" outlineLevel="0" collapsed="false">
      <c r="A135" s="0" t="n">
        <v>31</v>
      </c>
      <c r="B135" s="31" t="n">
        <v>36281</v>
      </c>
      <c r="C135" s="28" t="n">
        <v>307096</v>
      </c>
      <c r="D135" s="29" t="s">
        <v>41</v>
      </c>
      <c r="E135" s="580" t="n">
        <f aca="false">IF(D135="totale",(C135/(A135*24))/F135,IF(D135="marché libre",(C135/(A135*24))/G135,"spécifier histo"))</f>
        <v>0.349799526152725</v>
      </c>
      <c r="F135" s="59" t="n">
        <v>1180</v>
      </c>
      <c r="G135" s="59" t="n">
        <f aca="false">F135-H135</f>
        <v>0</v>
      </c>
      <c r="H135" s="9" t="n">
        <v>1180</v>
      </c>
      <c r="I135" s="9"/>
      <c r="J135" s="205"/>
    </row>
    <row r="136" s="1" customFormat="true" ht="19.65" hidden="false" customHeight="true" outlineLevel="0" collapsed="false">
      <c r="A136" s="0" t="n">
        <v>30</v>
      </c>
      <c r="B136" s="34" t="n">
        <v>36312</v>
      </c>
      <c r="C136" s="28" t="n">
        <v>141010</v>
      </c>
      <c r="D136" s="29" t="s">
        <v>41</v>
      </c>
      <c r="E136" s="580" t="n">
        <f aca="false">IF(D136="totale",(C136/(A136*24))/F136,IF(D136="marché libre",(C136/(A136*24))/G136,"spécifier histo"))</f>
        <v>0.165972222222222</v>
      </c>
      <c r="F136" s="59" t="n">
        <v>1180</v>
      </c>
      <c r="G136" s="59" t="n">
        <f aca="false">F136-H136</f>
        <v>0</v>
      </c>
      <c r="H136" s="9" t="n">
        <v>1180</v>
      </c>
      <c r="I136" s="9"/>
      <c r="J136" s="205"/>
    </row>
    <row r="137" s="1" customFormat="true" ht="19.65" hidden="false" customHeight="true" outlineLevel="0" collapsed="false">
      <c r="A137" s="0" t="n">
        <v>31</v>
      </c>
      <c r="B137" s="31" t="n">
        <v>36342</v>
      </c>
      <c r="C137" s="28" t="n">
        <v>16236</v>
      </c>
      <c r="D137" s="29" t="s">
        <v>41</v>
      </c>
      <c r="E137" s="580" t="n">
        <f aca="false">IF(D137="totale",(C137/(A137*24))/F137,IF(D137="marché libre",(C137/(A137*24))/G137,"spécifier histo"))</f>
        <v>0.0184937124111536</v>
      </c>
      <c r="F137" s="59" t="n">
        <v>1180</v>
      </c>
      <c r="G137" s="59" t="n">
        <f aca="false">F137-H137</f>
        <v>0</v>
      </c>
      <c r="H137" s="9" t="n">
        <v>1180</v>
      </c>
      <c r="I137" s="9"/>
      <c r="J137" s="205"/>
    </row>
    <row r="138" s="1" customFormat="true" ht="19.65" hidden="false" customHeight="true" outlineLevel="0" collapsed="false">
      <c r="A138" s="0" t="n">
        <v>31</v>
      </c>
      <c r="B138" s="34" t="n">
        <v>36373</v>
      </c>
      <c r="C138" s="28" t="n">
        <v>3936</v>
      </c>
      <c r="D138" s="29" t="s">
        <v>41</v>
      </c>
      <c r="E138" s="580" t="n">
        <f aca="false">IF(D138="totale",(C138/(A138*24))/F138,IF(D138="marché libre",(C138/(A138*24))/G138,"spécifier histo"))</f>
        <v>0.00448332422088573</v>
      </c>
      <c r="F138" s="59" t="n">
        <v>1180</v>
      </c>
      <c r="G138" s="59" t="n">
        <f aca="false">F138-H138</f>
        <v>0</v>
      </c>
      <c r="H138" s="9" t="n">
        <v>1180</v>
      </c>
      <c r="I138" s="9"/>
      <c r="J138" s="205"/>
    </row>
    <row r="139" s="1" customFormat="true" ht="19.65" hidden="false" customHeight="true" outlineLevel="0" collapsed="false">
      <c r="A139" s="0" t="n">
        <v>30</v>
      </c>
      <c r="B139" s="31" t="n">
        <v>36404</v>
      </c>
      <c r="C139" s="28" t="n">
        <v>17877</v>
      </c>
      <c r="D139" s="29" t="s">
        <v>41</v>
      </c>
      <c r="E139" s="580" t="n">
        <f aca="false">IF(D139="totale",(C139/(A139*24))/F139,IF(D139="marché libre",(C139/(A139*24))/G139,"spécifier histo"))</f>
        <v>0.0210416666666667</v>
      </c>
      <c r="F139" s="59" t="n">
        <v>1180</v>
      </c>
      <c r="G139" s="59" t="n">
        <f aca="false">F139-H139</f>
        <v>0</v>
      </c>
      <c r="H139" s="9" t="n">
        <v>1180</v>
      </c>
      <c r="I139" s="9"/>
      <c r="J139" s="205"/>
    </row>
    <row r="140" s="1" customFormat="true" ht="19.65" hidden="false" customHeight="true" outlineLevel="0" collapsed="false">
      <c r="A140" s="0" t="n">
        <v>31</v>
      </c>
      <c r="B140" s="34" t="n">
        <v>36434</v>
      </c>
      <c r="C140" s="28" t="n">
        <v>157813</v>
      </c>
      <c r="D140" s="29" t="s">
        <v>41</v>
      </c>
      <c r="E140" s="580" t="n">
        <f aca="false">IF(D140="totale",(C140/(A140*24))/F140,IF(D140="marché libre",(C140/(A140*24))/G140,"spécifier histo"))</f>
        <v>0.179757836704939</v>
      </c>
      <c r="F140" s="59" t="n">
        <v>1180</v>
      </c>
      <c r="G140" s="59" t="n">
        <f aca="false">F140-H140</f>
        <v>0</v>
      </c>
      <c r="H140" s="9" t="n">
        <v>1180</v>
      </c>
      <c r="I140" s="9"/>
      <c r="J140" s="205"/>
    </row>
    <row r="141" s="1" customFormat="true" ht="19.65" hidden="false" customHeight="true" outlineLevel="0" collapsed="false">
      <c r="A141" s="0" t="n">
        <v>30</v>
      </c>
      <c r="B141" s="31" t="n">
        <v>36465</v>
      </c>
      <c r="C141" s="28" t="n">
        <v>215360</v>
      </c>
      <c r="D141" s="29" t="s">
        <v>41</v>
      </c>
      <c r="E141" s="580" t="n">
        <f aca="false">IF(D141="totale",(C141/(A141*24))/F141,IF(D141="marché libre",(C141/(A141*24))/G141,"spécifier histo"))</f>
        <v>0.253483992467043</v>
      </c>
      <c r="F141" s="59" t="n">
        <v>1180</v>
      </c>
      <c r="G141" s="59" t="n">
        <f aca="false">F141-H141</f>
        <v>0</v>
      </c>
      <c r="H141" s="9" t="n">
        <v>1180</v>
      </c>
      <c r="I141" s="9"/>
      <c r="J141" s="205"/>
    </row>
    <row r="142" s="1" customFormat="true" ht="19.65" hidden="false" customHeight="true" outlineLevel="0" collapsed="false">
      <c r="A142" s="0" t="n">
        <v>31</v>
      </c>
      <c r="B142" s="34" t="n">
        <v>36495</v>
      </c>
      <c r="C142" s="28" t="n">
        <v>214385</v>
      </c>
      <c r="D142" s="29" t="s">
        <v>41</v>
      </c>
      <c r="E142" s="580" t="n">
        <f aca="false">IF(D142="totale",(C142/(A142*24))/F142,IF(D142="marché libre",(C142/(A142*24))/G142,"spécifier histo"))</f>
        <v>0.244196509932568</v>
      </c>
      <c r="F142" s="59" t="n">
        <v>1180</v>
      </c>
      <c r="G142" s="59" t="n">
        <f aca="false">F142-H142</f>
        <v>0</v>
      </c>
      <c r="H142" s="9" t="n">
        <v>1180</v>
      </c>
      <c r="I142" s="9"/>
      <c r="J142" s="205"/>
    </row>
    <row r="143" s="1" customFormat="true" ht="19.65" hidden="false" customHeight="true" outlineLevel="0" collapsed="false">
      <c r="A143" s="0" t="n">
        <v>31</v>
      </c>
      <c r="B143" s="31" t="n">
        <v>36526</v>
      </c>
      <c r="C143" s="28" t="n">
        <v>263107</v>
      </c>
      <c r="D143" s="29" t="s">
        <v>41</v>
      </c>
      <c r="E143" s="580" t="n">
        <f aca="false">IF(D143="totale",(C143/(A143*24))/F143,IF(D143="marché libre",(C143/(A143*24))/G143,"spécifier histo"))</f>
        <v>0.299693593949335</v>
      </c>
      <c r="F143" s="59" t="n">
        <v>1180</v>
      </c>
      <c r="G143" s="59" t="n">
        <f aca="false">F143-H143</f>
        <v>0</v>
      </c>
      <c r="H143" s="9" t="n">
        <v>1180</v>
      </c>
      <c r="I143" s="9"/>
      <c r="J143" s="205"/>
    </row>
    <row r="144" s="1" customFormat="true" ht="19.65" hidden="false" customHeight="true" outlineLevel="0" collapsed="false">
      <c r="A144" s="0" t="n">
        <v>28</v>
      </c>
      <c r="B144" s="34" t="n">
        <v>36557</v>
      </c>
      <c r="C144" s="28" t="n">
        <v>263939</v>
      </c>
      <c r="D144" s="29" t="s">
        <v>41</v>
      </c>
      <c r="E144" s="580" t="n">
        <f aca="false">IF(D144="totale",(C144/(A144*24))/F144,IF(D144="marché libre",(C144/(A144*24))/G144,"spécifier histo"))</f>
        <v>0.332852855125101</v>
      </c>
      <c r="F144" s="59" t="n">
        <v>1180</v>
      </c>
      <c r="G144" s="59" t="n">
        <f aca="false">F144-H144</f>
        <v>0</v>
      </c>
      <c r="H144" s="9" t="n">
        <v>1180</v>
      </c>
      <c r="I144" s="9"/>
      <c r="J144" s="205"/>
    </row>
    <row r="145" s="1" customFormat="true" ht="19.65" hidden="false" customHeight="true" outlineLevel="0" collapsed="false">
      <c r="A145" s="0" t="n">
        <v>31</v>
      </c>
      <c r="B145" s="31" t="n">
        <v>36586</v>
      </c>
      <c r="C145" s="28" t="n">
        <v>298078</v>
      </c>
      <c r="D145" s="29" t="s">
        <v>41</v>
      </c>
      <c r="E145" s="580" t="n">
        <f aca="false">IF(D145="totale",(C145/(A145*24))/F145,IF(D145="marché libre",(C145/(A145*24))/G145,"spécifier histo"))</f>
        <v>0.339527519591762</v>
      </c>
      <c r="F145" s="59" t="n">
        <v>1180</v>
      </c>
      <c r="G145" s="59" t="n">
        <f aca="false">F145-H145</f>
        <v>0</v>
      </c>
      <c r="H145" s="9" t="n">
        <v>1180</v>
      </c>
      <c r="I145" s="9"/>
      <c r="J145" s="205"/>
    </row>
    <row r="146" s="1" customFormat="true" ht="19.65" hidden="false" customHeight="true" outlineLevel="0" collapsed="false">
      <c r="A146" s="0" t="n">
        <v>30</v>
      </c>
      <c r="B146" s="34" t="n">
        <v>36617</v>
      </c>
      <c r="C146" s="28" t="n">
        <v>168652</v>
      </c>
      <c r="D146" s="29" t="s">
        <v>41</v>
      </c>
      <c r="E146" s="580" t="n">
        <f aca="false">IF(D146="totale",(C146/(A146*24))/F146,IF(D146="marché libre",(C146/(A146*24))/G146,"spécifier histo"))</f>
        <v>0.198507532956685</v>
      </c>
      <c r="F146" s="59" t="n">
        <v>1180</v>
      </c>
      <c r="G146" s="59" t="n">
        <f aca="false">F146-H146</f>
        <v>0</v>
      </c>
      <c r="H146" s="9" t="n">
        <v>1180</v>
      </c>
      <c r="I146" s="9"/>
      <c r="J146" s="205"/>
    </row>
    <row r="147" s="1" customFormat="true" ht="19.65" hidden="false" customHeight="true" outlineLevel="0" collapsed="false">
      <c r="A147" s="0" t="n">
        <v>31</v>
      </c>
      <c r="B147" s="31" t="n">
        <v>36647</v>
      </c>
      <c r="C147" s="28" t="n">
        <v>174872</v>
      </c>
      <c r="D147" s="29" t="s">
        <v>41</v>
      </c>
      <c r="E147" s="580" t="n">
        <f aca="false">IF(D147="totale",(C147/(A147*24))/F147,IF(D147="marché libre",(C147/(A147*24))/G147,"spécifier histo"))</f>
        <v>0.199188992163295</v>
      </c>
      <c r="F147" s="59" t="n">
        <v>1180</v>
      </c>
      <c r="G147" s="59" t="n">
        <f aca="false">F147-H147</f>
        <v>0</v>
      </c>
      <c r="H147" s="9" t="n">
        <v>1180</v>
      </c>
      <c r="I147" s="9"/>
      <c r="J147" s="205"/>
    </row>
    <row r="148" s="1" customFormat="true" ht="19.65" hidden="false" customHeight="true" outlineLevel="0" collapsed="false">
      <c r="A148" s="0" t="n">
        <v>30</v>
      </c>
      <c r="B148" s="34" t="n">
        <v>36678</v>
      </c>
      <c r="C148" s="28" t="n">
        <v>143594</v>
      </c>
      <c r="D148" s="29" t="s">
        <v>41</v>
      </c>
      <c r="E148" s="580" t="n">
        <f aca="false">IF(D148="totale",(C148/(A148*24))/F148,IF(D148="marché libre",(C148/(A148*24))/G148,"spécifier histo"))</f>
        <v>0.169013653483992</v>
      </c>
      <c r="F148" s="59" t="n">
        <v>1180</v>
      </c>
      <c r="G148" s="59" t="n">
        <f aca="false">F148-H148</f>
        <v>0</v>
      </c>
      <c r="H148" s="9" t="n">
        <v>1180</v>
      </c>
      <c r="I148" s="9"/>
      <c r="J148" s="205"/>
    </row>
    <row r="149" s="1" customFormat="true" ht="19.65" hidden="false" customHeight="true" outlineLevel="0" collapsed="false">
      <c r="A149" s="0" t="n">
        <v>31</v>
      </c>
      <c r="B149" s="31" t="n">
        <v>36708</v>
      </c>
      <c r="C149" s="28" t="n">
        <v>58522</v>
      </c>
      <c r="D149" s="29" t="s">
        <v>41</v>
      </c>
      <c r="E149" s="580" t="n">
        <f aca="false">IF(D149="totale",(C149/(A149*24))/F149,IF(D149="marché libre",(C149/(A149*24))/G149,"spécifier histo"))</f>
        <v>0.0666598323309641</v>
      </c>
      <c r="F149" s="59" t="n">
        <v>1180</v>
      </c>
      <c r="G149" s="59" t="n">
        <f aca="false">F149-H149</f>
        <v>0</v>
      </c>
      <c r="H149" s="9" t="n">
        <v>1180</v>
      </c>
      <c r="I149" s="9"/>
      <c r="J149" s="205"/>
    </row>
    <row r="150" s="1" customFormat="true" ht="19.65" hidden="false" customHeight="true" outlineLevel="0" collapsed="false">
      <c r="A150" s="0" t="n">
        <v>31</v>
      </c>
      <c r="B150" s="34" t="n">
        <v>36739</v>
      </c>
      <c r="C150" s="28" t="n">
        <v>14128</v>
      </c>
      <c r="D150" s="29" t="s">
        <v>41</v>
      </c>
      <c r="E150" s="580" t="n">
        <f aca="false">IF(D150="totale",(C150/(A150*24))/F150,IF(D150="marché libre",(C150/(A150*24))/G150,"spécifier histo"))</f>
        <v>0.0160925824676508</v>
      </c>
      <c r="F150" s="59" t="n">
        <v>1180</v>
      </c>
      <c r="G150" s="59" t="n">
        <f aca="false">F150-H150</f>
        <v>0</v>
      </c>
      <c r="H150" s="9" t="n">
        <v>1180</v>
      </c>
      <c r="I150" s="9"/>
      <c r="J150" s="205"/>
    </row>
    <row r="151" s="1" customFormat="true" ht="19.65" hidden="false" customHeight="true" outlineLevel="0" collapsed="false">
      <c r="A151" s="0" t="n">
        <v>30</v>
      </c>
      <c r="B151" s="31" t="n">
        <v>36770</v>
      </c>
      <c r="C151" s="28" t="n">
        <v>39505</v>
      </c>
      <c r="D151" s="29" t="s">
        <v>41</v>
      </c>
      <c r="E151" s="580" t="n">
        <f aca="false">IF(D151="totale",(C151/(A151*24))/F151,IF(D151="marché libre",(C151/(A151*24))/G151,"spécifier histo"))</f>
        <v>0.0464983521657251</v>
      </c>
      <c r="F151" s="59" t="n">
        <v>1180</v>
      </c>
      <c r="G151" s="59" t="n">
        <f aca="false">F151-H151</f>
        <v>0</v>
      </c>
      <c r="H151" s="9" t="n">
        <v>1180</v>
      </c>
      <c r="I151" s="9"/>
      <c r="J151" s="205"/>
    </row>
    <row r="152" s="1" customFormat="true" ht="19.65" hidden="false" customHeight="true" outlineLevel="0" collapsed="false">
      <c r="A152" s="0" t="n">
        <v>31</v>
      </c>
      <c r="B152" s="34" t="n">
        <v>36800</v>
      </c>
      <c r="C152" s="28" t="n">
        <v>112999</v>
      </c>
      <c r="D152" s="29" t="s">
        <v>41</v>
      </c>
      <c r="E152" s="580" t="n">
        <f aca="false">IF(D152="totale",(C152/(A152*24))/F152,IF(D152="marché libre",(C152/(A152*24))/G152,"spécifier histo"))</f>
        <v>0.128712183342446</v>
      </c>
      <c r="F152" s="59" t="n">
        <v>1180</v>
      </c>
      <c r="G152" s="59" t="n">
        <f aca="false">F152-H152</f>
        <v>0</v>
      </c>
      <c r="H152" s="9" t="n">
        <v>1180</v>
      </c>
      <c r="I152" s="9"/>
      <c r="J152" s="205"/>
    </row>
    <row r="153" s="1" customFormat="true" ht="19.65" hidden="false" customHeight="true" outlineLevel="0" collapsed="false">
      <c r="A153" s="0" t="n">
        <v>30</v>
      </c>
      <c r="B153" s="31" t="n">
        <v>36831</v>
      </c>
      <c r="C153" s="28" t="n">
        <v>284742</v>
      </c>
      <c r="D153" s="29" t="s">
        <v>41</v>
      </c>
      <c r="E153" s="580" t="n">
        <f aca="false">IF(D153="totale",(C153/(A153*24))/F153,IF(D153="marché libre",(C153/(A153*24))/G153,"spécifier histo"))</f>
        <v>0.335148305084746</v>
      </c>
      <c r="F153" s="59" t="n">
        <v>1180</v>
      </c>
      <c r="G153" s="59" t="n">
        <f aca="false">F153-H153</f>
        <v>0</v>
      </c>
      <c r="H153" s="9" t="n">
        <v>1180</v>
      </c>
      <c r="I153" s="9"/>
      <c r="J153" s="205"/>
    </row>
    <row r="154" s="1" customFormat="true" ht="19.65" hidden="false" customHeight="true" outlineLevel="0" collapsed="false">
      <c r="A154" s="0" t="n">
        <v>31</v>
      </c>
      <c r="B154" s="34" t="n">
        <v>36861</v>
      </c>
      <c r="C154" s="28" t="n">
        <v>227923</v>
      </c>
      <c r="D154" s="29" t="s">
        <v>41</v>
      </c>
      <c r="E154" s="580" t="n">
        <f aca="false">IF(D154="totale",(C154/(A154*24))/F154,IF(D154="marché libre",(C154/(A154*24))/G154,"spécifier histo"))</f>
        <v>0.259617049389466</v>
      </c>
      <c r="F154" s="59" t="n">
        <v>1180</v>
      </c>
      <c r="G154" s="59" t="n">
        <f aca="false">F154-H154</f>
        <v>0</v>
      </c>
      <c r="H154" s="9" t="n">
        <v>1180</v>
      </c>
      <c r="I154" s="9"/>
      <c r="J154" s="205"/>
    </row>
    <row r="155" s="1" customFormat="true" ht="19.65" hidden="false" customHeight="true" outlineLevel="0" collapsed="false">
      <c r="A155" s="0" t="n">
        <v>31</v>
      </c>
      <c r="B155" s="31" t="n">
        <v>36892</v>
      </c>
      <c r="C155" s="28" t="n">
        <v>276219</v>
      </c>
      <c r="D155" s="29" t="s">
        <v>41</v>
      </c>
      <c r="E155" s="580" t="n">
        <f aca="false">IF(D155="totale",(C155/(A155*24))/F155,IF(D155="marché libre",(C155/(A155*24))/G155,"spécifier histo"))</f>
        <v>0.31462889557135</v>
      </c>
      <c r="F155" s="59" t="n">
        <v>1180</v>
      </c>
      <c r="G155" s="59" t="n">
        <f aca="false">F155-H155</f>
        <v>0</v>
      </c>
      <c r="H155" s="9" t="n">
        <v>1180</v>
      </c>
      <c r="I155" s="9"/>
      <c r="J155" s="205"/>
    </row>
    <row r="156" s="1" customFormat="true" ht="19.65" hidden="false" customHeight="true" outlineLevel="0" collapsed="false">
      <c r="A156" s="0" t="n">
        <v>28</v>
      </c>
      <c r="B156" s="34" t="n">
        <v>36923</v>
      </c>
      <c r="C156" s="28" t="n">
        <v>237590</v>
      </c>
      <c r="D156" s="29" t="s">
        <v>41</v>
      </c>
      <c r="E156" s="580" t="n">
        <f aca="false">IF(D156="totale",(C156/(A156*24))/F156,IF(D156="marché libre",(C156/(A156*24))/G156,"spécifier histo"))</f>
        <v>0.299624192897498</v>
      </c>
      <c r="F156" s="59" t="n">
        <v>1180</v>
      </c>
      <c r="G156" s="59" t="n">
        <f aca="false">F156-H156</f>
        <v>0</v>
      </c>
      <c r="H156" s="9" t="n">
        <v>1180</v>
      </c>
      <c r="I156" s="9"/>
      <c r="J156" s="205"/>
    </row>
    <row r="157" s="1" customFormat="true" ht="19.65" hidden="false" customHeight="true" outlineLevel="0" collapsed="false">
      <c r="A157" s="0" t="n">
        <v>31</v>
      </c>
      <c r="B157" s="31" t="n">
        <v>36951</v>
      </c>
      <c r="C157" s="28" t="n">
        <v>307877</v>
      </c>
      <c r="D157" s="29" t="s">
        <v>41</v>
      </c>
      <c r="E157" s="580" t="n">
        <f aca="false">IF(D157="totale",(C157/(A157*24))/F157,IF(D157="marché libre",(C157/(A157*24))/G157,"spécifier histo"))</f>
        <v>0.350689128850009</v>
      </c>
      <c r="F157" s="59" t="n">
        <v>1180</v>
      </c>
      <c r="G157" s="59" t="n">
        <f aca="false">F157-H157</f>
        <v>0</v>
      </c>
      <c r="H157" s="9" t="n">
        <v>1180</v>
      </c>
      <c r="I157" s="9"/>
      <c r="J157" s="205"/>
    </row>
    <row r="158" s="1" customFormat="true" ht="19.65" hidden="false" customHeight="true" outlineLevel="0" collapsed="false">
      <c r="A158" s="0" t="n">
        <v>30</v>
      </c>
      <c r="B158" s="34" t="n">
        <v>36982</v>
      </c>
      <c r="C158" s="28" t="n">
        <v>254002</v>
      </c>
      <c r="D158" s="29" t="s">
        <v>41</v>
      </c>
      <c r="E158" s="580" t="n">
        <f aca="false">IF(D158="totale",(C158/(A158*24))/F158,IF(D158="marché libre",(C158/(A158*24))/G158,"spécifier histo"))</f>
        <v>0.298966572504708</v>
      </c>
      <c r="F158" s="59" t="n">
        <v>1180</v>
      </c>
      <c r="G158" s="59" t="n">
        <f aca="false">F158-H158</f>
        <v>0</v>
      </c>
      <c r="H158" s="9" t="n">
        <v>1180</v>
      </c>
      <c r="I158" s="9"/>
      <c r="J158" s="205"/>
    </row>
    <row r="159" s="1" customFormat="true" ht="19.65" hidden="false" customHeight="true" outlineLevel="0" collapsed="false">
      <c r="A159" s="0" t="n">
        <v>31</v>
      </c>
      <c r="B159" s="31" t="n">
        <v>37012</v>
      </c>
      <c r="C159" s="28" t="n">
        <v>254123</v>
      </c>
      <c r="D159" s="29" t="s">
        <v>41</v>
      </c>
      <c r="E159" s="580" t="n">
        <f aca="false">IF(D159="totale",(C159/(A159*24))/F159,IF(D159="marché libre",(C159/(A159*24))/G159,"spécifier histo"))</f>
        <v>0.289460315290687</v>
      </c>
      <c r="F159" s="59" t="n">
        <v>1180</v>
      </c>
      <c r="G159" s="59" t="n">
        <f aca="false">F159-H159</f>
        <v>0</v>
      </c>
      <c r="H159" s="9" t="n">
        <v>1180</v>
      </c>
      <c r="I159" s="9"/>
      <c r="J159" s="205"/>
    </row>
    <row r="160" s="1" customFormat="true" ht="19.65" hidden="false" customHeight="true" outlineLevel="0" collapsed="false">
      <c r="A160" s="0" t="n">
        <v>30</v>
      </c>
      <c r="B160" s="34" t="n">
        <v>37043</v>
      </c>
      <c r="C160" s="28" t="n">
        <v>143518</v>
      </c>
      <c r="D160" s="29" t="s">
        <v>41</v>
      </c>
      <c r="E160" s="580" t="n">
        <f aca="false">IF(D160="totale",(C160/(A160*24))/F160,IF(D160="marché libre",(C160/(A160*24))/G160,"spécifier histo"))</f>
        <v>0.168924199623352</v>
      </c>
      <c r="F160" s="59" t="n">
        <v>1180</v>
      </c>
      <c r="G160" s="59" t="n">
        <f aca="false">F160-H160</f>
        <v>0</v>
      </c>
      <c r="H160" s="9" t="n">
        <v>1180</v>
      </c>
      <c r="I160" s="9"/>
      <c r="J160" s="205"/>
    </row>
    <row r="161" s="1" customFormat="true" ht="19.65" hidden="false" customHeight="true" outlineLevel="0" collapsed="false">
      <c r="A161" s="0" t="n">
        <v>31</v>
      </c>
      <c r="B161" s="31" t="n">
        <v>37073</v>
      </c>
      <c r="C161" s="28" t="n">
        <v>31476</v>
      </c>
      <c r="D161" s="29" t="s">
        <v>41</v>
      </c>
      <c r="E161" s="580" t="n">
        <f aca="false">IF(D161="totale",(C161/(A161*24))/F161,IF(D161="marché libre",(C161/(A161*24))/G161,"spécifier histo"))</f>
        <v>0.0358529250956807</v>
      </c>
      <c r="F161" s="59" t="n">
        <v>1180</v>
      </c>
      <c r="G161" s="59" t="n">
        <f aca="false">F161-H161</f>
        <v>0</v>
      </c>
      <c r="H161" s="9" t="n">
        <v>1180</v>
      </c>
      <c r="I161" s="9"/>
      <c r="J161" s="205"/>
    </row>
    <row r="162" s="1" customFormat="true" ht="19.65" hidden="false" customHeight="true" outlineLevel="0" collapsed="false">
      <c r="A162" s="0" t="n">
        <v>31</v>
      </c>
      <c r="B162" s="34" t="n">
        <v>37104</v>
      </c>
      <c r="C162" s="28" t="n">
        <v>22176</v>
      </c>
      <c r="D162" s="29" t="s">
        <v>41</v>
      </c>
      <c r="E162" s="580" t="n">
        <f aca="false">IF(D162="totale",(C162/(A162*24))/F162,IF(D162="marché libre",(C162/(A162*24))/G162,"spécifier histo"))</f>
        <v>0.0252597047566976</v>
      </c>
      <c r="F162" s="59" t="n">
        <v>1180</v>
      </c>
      <c r="G162" s="59" t="n">
        <f aca="false">F162-H162</f>
        <v>0</v>
      </c>
      <c r="H162" s="9" t="n">
        <v>1180</v>
      </c>
      <c r="I162" s="9"/>
      <c r="J162" s="205"/>
    </row>
    <row r="163" s="1" customFormat="true" ht="19.65" hidden="false" customHeight="true" outlineLevel="0" collapsed="false">
      <c r="A163" s="0" t="n">
        <v>30</v>
      </c>
      <c r="B163" s="31" t="n">
        <v>37135</v>
      </c>
      <c r="C163" s="28" t="n">
        <v>92897</v>
      </c>
      <c r="D163" s="29" t="s">
        <v>41</v>
      </c>
      <c r="E163" s="580" t="n">
        <f aca="false">IF(D163="totale",(C163/(A163*24))/F163,IF(D163="marché libre",(C163/(A163*24))/G163,"spécifier histo"))</f>
        <v>0.109342043314501</v>
      </c>
      <c r="F163" s="59" t="n">
        <v>1180</v>
      </c>
      <c r="G163" s="59" t="n">
        <f aca="false">F163-H163</f>
        <v>0</v>
      </c>
      <c r="H163" s="9" t="n">
        <v>1180</v>
      </c>
      <c r="I163" s="9"/>
      <c r="J163" s="205"/>
    </row>
    <row r="164" s="1" customFormat="true" ht="19.65" hidden="false" customHeight="true" outlineLevel="0" collapsed="false">
      <c r="A164" s="0" t="n">
        <v>31</v>
      </c>
      <c r="B164" s="34" t="n">
        <v>37165</v>
      </c>
      <c r="C164" s="28" t="n">
        <v>165328</v>
      </c>
      <c r="D164" s="29" t="s">
        <v>41</v>
      </c>
      <c r="E164" s="580" t="n">
        <f aca="false">IF(D164="totale",(C164/(A164*24))/F164,IF(D164="marché libre",(C164/(A164*24))/G164,"spécifier histo"))</f>
        <v>0.188317842172408</v>
      </c>
      <c r="F164" s="59" t="n">
        <v>1180</v>
      </c>
      <c r="G164" s="59" t="n">
        <f aca="false">F164-H164</f>
        <v>0</v>
      </c>
      <c r="H164" s="9" t="n">
        <v>1180</v>
      </c>
      <c r="I164" s="9"/>
      <c r="J164" s="205"/>
    </row>
    <row r="165" s="1" customFormat="true" ht="19.65" hidden="false" customHeight="true" outlineLevel="0" collapsed="false">
      <c r="A165" s="0" t="n">
        <v>30</v>
      </c>
      <c r="B165" s="31" t="n">
        <v>37196</v>
      </c>
      <c r="C165" s="28" t="n">
        <v>214413</v>
      </c>
      <c r="D165" s="29" t="s">
        <v>41</v>
      </c>
      <c r="E165" s="580" t="n">
        <f aca="false">IF(D165="totale",(C165/(A165*24))/F165,IF(D165="marché libre",(C165/(A165*24))/G165,"spécifier histo"))</f>
        <v>0.252369350282486</v>
      </c>
      <c r="F165" s="59" t="n">
        <v>1180</v>
      </c>
      <c r="G165" s="59" t="n">
        <f aca="false">F165-H165</f>
        <v>0</v>
      </c>
      <c r="H165" s="9" t="n">
        <v>1180</v>
      </c>
      <c r="I165" s="9"/>
      <c r="J165" s="205"/>
    </row>
    <row r="166" s="1" customFormat="true" ht="19.65" hidden="false" customHeight="true" outlineLevel="0" collapsed="false">
      <c r="A166" s="0" t="n">
        <v>31</v>
      </c>
      <c r="B166" s="34" t="n">
        <v>37226</v>
      </c>
      <c r="C166" s="28" t="n">
        <v>168812</v>
      </c>
      <c r="D166" s="29" t="s">
        <v>41</v>
      </c>
      <c r="E166" s="580" t="n">
        <f aca="false">IF(D166="totale",(C166/(A166*24))/F166,IF(D166="marché libre",(C166/(A166*24))/G166,"spécifier histo"))</f>
        <v>0.1922863131037</v>
      </c>
      <c r="F166" s="59" t="n">
        <v>1180</v>
      </c>
      <c r="G166" s="59" t="n">
        <f aca="false">F166-H166</f>
        <v>0</v>
      </c>
      <c r="H166" s="9" t="n">
        <v>1180</v>
      </c>
      <c r="I166" s="9"/>
      <c r="J166" s="205"/>
    </row>
    <row r="167" s="1" customFormat="true" ht="19.65" hidden="false" customHeight="true" outlineLevel="0" collapsed="false">
      <c r="A167" s="0" t="n">
        <v>31</v>
      </c>
      <c r="B167" s="31" t="n">
        <v>37257</v>
      </c>
      <c r="C167" s="28" t="n">
        <v>233817</v>
      </c>
      <c r="D167" s="29" t="s">
        <v>41</v>
      </c>
      <c r="E167" s="580" t="n">
        <f aca="false">IF(D167="totale",(C167/(A167*24))/F167,IF(D167="marché libre",(C167/(A167*24))/G167,"spécifier histo"))</f>
        <v>0.26633064516129</v>
      </c>
      <c r="F167" s="59" t="n">
        <v>1180</v>
      </c>
      <c r="G167" s="59" t="n">
        <f aca="false">F167-H167</f>
        <v>0</v>
      </c>
      <c r="H167" s="9" t="n">
        <v>1180</v>
      </c>
      <c r="I167" s="9"/>
      <c r="J167" s="205"/>
    </row>
    <row r="168" s="1" customFormat="true" ht="19.65" hidden="false" customHeight="true" outlineLevel="0" collapsed="false">
      <c r="A168" s="0" t="n">
        <v>28</v>
      </c>
      <c r="B168" s="34" t="n">
        <v>37288</v>
      </c>
      <c r="C168" s="28" t="n">
        <v>236897</v>
      </c>
      <c r="D168" s="29" t="s">
        <v>41</v>
      </c>
      <c r="E168" s="580" t="n">
        <f aca="false">IF(D168="totale",(C168/(A168*24))/F168,IF(D168="marché libre",(C168/(A168*24))/G168,"spécifier histo"))</f>
        <v>0.298750252219532</v>
      </c>
      <c r="F168" s="59" t="n">
        <v>1180</v>
      </c>
      <c r="G168" s="59" t="n">
        <f aca="false">F168-H168</f>
        <v>0</v>
      </c>
      <c r="H168" s="9" t="n">
        <v>1180</v>
      </c>
      <c r="I168" s="9"/>
      <c r="J168" s="205"/>
    </row>
    <row r="169" s="1" customFormat="true" ht="19.65" hidden="false" customHeight="true" outlineLevel="0" collapsed="false">
      <c r="A169" s="0" t="n">
        <v>31</v>
      </c>
      <c r="B169" s="31" t="n">
        <v>37316</v>
      </c>
      <c r="C169" s="28" t="n">
        <v>264418</v>
      </c>
      <c r="D169" s="29" t="s">
        <v>41</v>
      </c>
      <c r="E169" s="580" t="n">
        <f aca="false">IF(D169="totale",(C169/(A169*24))/F169,IF(D169="marché libre",(C169/(A169*24))/G169,"spécifier histo"))</f>
        <v>0.301186896300346</v>
      </c>
      <c r="F169" s="59" t="n">
        <v>1180</v>
      </c>
      <c r="G169" s="59" t="n">
        <f aca="false">F169-H169</f>
        <v>0</v>
      </c>
      <c r="H169" s="9" t="n">
        <v>1180</v>
      </c>
      <c r="I169" s="9"/>
      <c r="J169" s="205"/>
    </row>
    <row r="170" s="1" customFormat="true" ht="19.65" hidden="false" customHeight="true" outlineLevel="0" collapsed="false">
      <c r="A170" s="0" t="n">
        <v>30</v>
      </c>
      <c r="B170" s="34" t="n">
        <v>37347</v>
      </c>
      <c r="C170" s="28" t="n">
        <v>118274</v>
      </c>
      <c r="D170" s="29" t="s">
        <v>41</v>
      </c>
      <c r="E170" s="580" t="n">
        <f aca="false">IF(D170="totale",(C170/(A170*24))/F170,IF(D170="marché libre",(C170/(A170*24))/G170,"spécifier histo"))</f>
        <v>0.139211393596987</v>
      </c>
      <c r="F170" s="59" t="n">
        <v>1180</v>
      </c>
      <c r="G170" s="59" t="n">
        <f aca="false">F170-H170</f>
        <v>0</v>
      </c>
      <c r="H170" s="9" t="n">
        <v>1180</v>
      </c>
      <c r="I170" s="9"/>
      <c r="J170" s="205"/>
    </row>
    <row r="171" s="1" customFormat="true" ht="19.65" hidden="false" customHeight="true" outlineLevel="0" collapsed="false">
      <c r="A171" s="0" t="n">
        <v>31</v>
      </c>
      <c r="B171" s="31" t="n">
        <v>37377</v>
      </c>
      <c r="C171" s="28" t="n">
        <v>198966</v>
      </c>
      <c r="D171" s="29" t="s">
        <v>41</v>
      </c>
      <c r="E171" s="580" t="n">
        <f aca="false">IF(D171="totale",(C171/(A171*24))/F171,IF(D171="marché libre",(C171/(A171*24))/G171,"spécifier histo"))</f>
        <v>0.226633406232914</v>
      </c>
      <c r="F171" s="59" t="n">
        <v>1180</v>
      </c>
      <c r="G171" s="59" t="n">
        <f aca="false">F171-H171</f>
        <v>0</v>
      </c>
      <c r="H171" s="9" t="n">
        <v>1180</v>
      </c>
      <c r="I171" s="9"/>
      <c r="J171" s="205"/>
    </row>
    <row r="172" s="1" customFormat="true" ht="19.65" hidden="false" customHeight="true" outlineLevel="0" collapsed="false">
      <c r="A172" s="0" t="n">
        <v>30</v>
      </c>
      <c r="B172" s="34" t="n">
        <v>37408</v>
      </c>
      <c r="C172" s="28" t="n">
        <v>87266</v>
      </c>
      <c r="D172" s="29" t="s">
        <v>41</v>
      </c>
      <c r="E172" s="580" t="n">
        <f aca="false">IF(D172="totale",(C172/(A172*24))/F172,IF(D172="marché libre",(C172/(A172*24))/G172,"spécifier histo"))</f>
        <v>0.102714218455744</v>
      </c>
      <c r="F172" s="59" t="n">
        <v>1180</v>
      </c>
      <c r="G172" s="59" t="n">
        <f aca="false">F172-H172</f>
        <v>0</v>
      </c>
      <c r="H172" s="9" t="n">
        <v>1180</v>
      </c>
      <c r="I172" s="9"/>
      <c r="J172" s="205"/>
    </row>
    <row r="173" s="1" customFormat="true" ht="19.65" hidden="false" customHeight="true" outlineLevel="0" collapsed="false">
      <c r="A173" s="0" t="n">
        <v>31</v>
      </c>
      <c r="B173" s="31" t="n">
        <v>37438</v>
      </c>
      <c r="C173" s="28" t="n">
        <v>14205</v>
      </c>
      <c r="D173" s="29" t="s">
        <v>41</v>
      </c>
      <c r="E173" s="580" t="n">
        <f aca="false">IF(D173="totale",(C173/(A173*24))/F173,IF(D173="marché libre",(C173/(A173*24))/G173,"spécifier histo"))</f>
        <v>0.0161802897758338</v>
      </c>
      <c r="F173" s="59" t="n">
        <v>1180</v>
      </c>
      <c r="G173" s="59" t="n">
        <f aca="false">F173-H173</f>
        <v>0</v>
      </c>
      <c r="H173" s="9" t="n">
        <v>1180</v>
      </c>
      <c r="I173" s="9"/>
      <c r="J173" s="205"/>
    </row>
    <row r="174" s="1" customFormat="true" ht="19.65" hidden="false" customHeight="true" outlineLevel="0" collapsed="false">
      <c r="A174" s="0" t="n">
        <v>31</v>
      </c>
      <c r="B174" s="34" t="n">
        <v>37469</v>
      </c>
      <c r="C174" s="28" t="n">
        <v>2608</v>
      </c>
      <c r="D174" s="29" t="s">
        <v>41</v>
      </c>
      <c r="E174" s="580" t="n">
        <f aca="false">IF(D174="totale",(C174/(A174*24))/F174,IF(D174="marché libre",(C174/(A174*24))/G174,"spécifier histo"))</f>
        <v>0.00297065791871697</v>
      </c>
      <c r="F174" s="59" t="n">
        <v>1180</v>
      </c>
      <c r="G174" s="59" t="n">
        <f aca="false">F174-H174</f>
        <v>0</v>
      </c>
      <c r="H174" s="9" t="n">
        <v>1180</v>
      </c>
      <c r="I174" s="9"/>
      <c r="J174" s="205"/>
    </row>
    <row r="175" s="1" customFormat="true" ht="19.65" hidden="false" customHeight="true" outlineLevel="0" collapsed="false">
      <c r="A175" s="0" t="n">
        <v>30</v>
      </c>
      <c r="B175" s="31" t="n">
        <v>37500</v>
      </c>
      <c r="C175" s="28" t="n">
        <v>22626</v>
      </c>
      <c r="D175" s="29" t="s">
        <v>41</v>
      </c>
      <c r="E175" s="580" t="n">
        <f aca="false">IF(D175="totale",(C175/(A175*24))/F175,IF(D175="marché libre",(C175/(A175*24))/G175,"spécifier histo"))</f>
        <v>0.0266313559322034</v>
      </c>
      <c r="F175" s="59" t="n">
        <v>1180</v>
      </c>
      <c r="G175" s="59" t="n">
        <f aca="false">F175-H175</f>
        <v>0</v>
      </c>
      <c r="H175" s="9" t="n">
        <v>1180</v>
      </c>
      <c r="I175" s="9"/>
      <c r="J175" s="205"/>
    </row>
    <row r="176" s="1" customFormat="true" ht="19.65" hidden="false" customHeight="true" outlineLevel="0" collapsed="false">
      <c r="A176" s="0" t="n">
        <v>31</v>
      </c>
      <c r="B176" s="34" t="n">
        <v>37530</v>
      </c>
      <c r="C176" s="28" t="n">
        <v>141473</v>
      </c>
      <c r="D176" s="29" t="s">
        <v>41</v>
      </c>
      <c r="E176" s="580" t="n">
        <f aca="false">IF(D176="totale",(C176/(A176*24))/F176,IF(D176="marché libre",(C176/(A176*24))/G176,"spécifier histo"))</f>
        <v>0.161145662474941</v>
      </c>
      <c r="F176" s="59" t="n">
        <v>1180</v>
      </c>
      <c r="G176" s="59" t="n">
        <f aca="false">F176-H176</f>
        <v>0</v>
      </c>
      <c r="H176" s="9" t="n">
        <v>1180</v>
      </c>
      <c r="I176" s="9"/>
      <c r="J176" s="205"/>
    </row>
    <row r="177" s="1" customFormat="true" ht="19.65" hidden="false" customHeight="true" outlineLevel="0" collapsed="false">
      <c r="A177" s="0" t="n">
        <v>30</v>
      </c>
      <c r="B177" s="31" t="n">
        <v>37561</v>
      </c>
      <c r="C177" s="28" t="n">
        <v>252602</v>
      </c>
      <c r="D177" s="29" t="s">
        <v>41</v>
      </c>
      <c r="E177" s="580" t="n">
        <f aca="false">IF(D177="totale",(C177/(A177*24))/F177,IF(D177="marché libre",(C177/(A177*24))/G177,"spécifier histo"))</f>
        <v>0.297318738229755</v>
      </c>
      <c r="F177" s="59" t="n">
        <v>1180</v>
      </c>
      <c r="G177" s="59" t="n">
        <f aca="false">F177-H177</f>
        <v>0</v>
      </c>
      <c r="H177" s="9" t="n">
        <v>1180</v>
      </c>
      <c r="I177" s="9"/>
      <c r="J177" s="205"/>
    </row>
    <row r="178" s="1" customFormat="true" ht="19.65" hidden="false" customHeight="true" outlineLevel="0" collapsed="false">
      <c r="A178" s="0" t="n">
        <v>31</v>
      </c>
      <c r="B178" s="34" t="n">
        <v>37591</v>
      </c>
      <c r="C178" s="28" t="n">
        <v>229440</v>
      </c>
      <c r="D178" s="29" t="s">
        <v>41</v>
      </c>
      <c r="E178" s="580" t="n">
        <f aca="false">IF(D178="totale",(C178/(A178*24))/F178,IF(D178="marché libre",(C178/(A178*24))/G178,"spécifier histo"))</f>
        <v>0.261344997266266</v>
      </c>
      <c r="F178" s="59" t="n">
        <v>1180</v>
      </c>
      <c r="G178" s="59" t="n">
        <f aca="false">F178-H178</f>
        <v>0</v>
      </c>
      <c r="H178" s="9" t="n">
        <v>1180</v>
      </c>
      <c r="I178" s="9"/>
      <c r="J178" s="205"/>
    </row>
    <row r="179" s="1" customFormat="true" ht="22.45" hidden="false" customHeight="true" outlineLevel="0" collapsed="false">
      <c r="A179" s="0" t="n">
        <v>31</v>
      </c>
      <c r="B179" s="31" t="n">
        <v>37622</v>
      </c>
      <c r="C179" s="26" t="n">
        <v>296784</v>
      </c>
      <c r="D179" s="29" t="s">
        <v>41</v>
      </c>
      <c r="E179" s="580" t="n">
        <f aca="false">IF(D179="totale",(C179/(A179*24))/F179,IF(D179="marché libre",(C179/(A179*24))/G179,"spécifier histo"))</f>
        <v>0.338053581191908</v>
      </c>
      <c r="F179" s="59" t="n">
        <v>1180</v>
      </c>
      <c r="G179" s="59" t="n">
        <f aca="false">F179-H179</f>
        <v>0</v>
      </c>
      <c r="H179" s="9" t="n">
        <v>1180</v>
      </c>
      <c r="I179" s="9"/>
      <c r="J179" s="205"/>
    </row>
    <row r="180" s="1" customFormat="true" ht="22.45" hidden="false" customHeight="true" outlineLevel="0" collapsed="false">
      <c r="A180" s="0" t="n">
        <v>28</v>
      </c>
      <c r="B180" s="34" t="n">
        <v>37653</v>
      </c>
      <c r="C180" s="26" t="n">
        <v>244294</v>
      </c>
      <c r="D180" s="29" t="s">
        <v>41</v>
      </c>
      <c r="E180" s="580" t="n">
        <f aca="false">IF(D180="totale",(C180/(A180*24))/F180,IF(D180="marché libre",(C180/(A180*24))/G180,"spécifier histo"))</f>
        <v>0.308078591606134</v>
      </c>
      <c r="F180" s="59" t="n">
        <v>1180</v>
      </c>
      <c r="G180" s="59" t="n">
        <f aca="false">F180-H180</f>
        <v>0</v>
      </c>
      <c r="H180" s="9" t="n">
        <v>1180</v>
      </c>
      <c r="I180" s="9"/>
      <c r="J180" s="205"/>
    </row>
    <row r="181" s="1" customFormat="true" ht="22.45" hidden="false" customHeight="true" outlineLevel="0" collapsed="false">
      <c r="A181" s="0" t="n">
        <v>31</v>
      </c>
      <c r="B181" s="31" t="n">
        <v>37681</v>
      </c>
      <c r="C181" s="26" t="n">
        <v>265005</v>
      </c>
      <c r="D181" s="29" t="s">
        <v>41</v>
      </c>
      <c r="E181" s="580" t="n">
        <f aca="false">IF(D181="totale",(C181/(A181*24))/F181,IF(D181="marché libre",(C181/(A181*24))/G181,"spécifier histo"))</f>
        <v>0.301855522143248</v>
      </c>
      <c r="F181" s="59" t="n">
        <v>1180</v>
      </c>
      <c r="G181" s="59" t="n">
        <f aca="false">F181-H181</f>
        <v>0</v>
      </c>
      <c r="H181" s="9" t="n">
        <v>1180</v>
      </c>
      <c r="I181" s="9"/>
      <c r="J181" s="205"/>
    </row>
    <row r="182" s="1" customFormat="true" ht="22.45" hidden="false" customHeight="true" outlineLevel="0" collapsed="false">
      <c r="A182" s="0" t="n">
        <v>30</v>
      </c>
      <c r="B182" s="34" t="n">
        <v>37712</v>
      </c>
      <c r="C182" s="26" t="n">
        <v>91328</v>
      </c>
      <c r="D182" s="29" t="s">
        <v>41</v>
      </c>
      <c r="E182" s="580" t="n">
        <f aca="false">IF(D182="totale",(C182/(A182*24))/F182,IF(D182="marché libre",(C182/(A182*24))/G182,"spécifier histo"))</f>
        <v>0.107495291902072</v>
      </c>
      <c r="F182" s="59" t="n">
        <v>1180</v>
      </c>
      <c r="G182" s="59" t="n">
        <f aca="false">F182-H182</f>
        <v>0</v>
      </c>
      <c r="H182" s="9" t="n">
        <v>1180</v>
      </c>
      <c r="I182" s="9"/>
      <c r="J182" s="205"/>
    </row>
    <row r="183" s="1" customFormat="true" ht="22.45" hidden="false" customHeight="true" outlineLevel="0" collapsed="false">
      <c r="A183" s="0" t="n">
        <v>31</v>
      </c>
      <c r="B183" s="31" t="n">
        <v>37742</v>
      </c>
      <c r="C183" s="26" t="n">
        <v>93814</v>
      </c>
      <c r="D183" s="29" t="s">
        <v>41</v>
      </c>
      <c r="E183" s="580" t="n">
        <f aca="false">IF(D183="totale",(C183/(A183*24))/F183,IF(D183="marché libre",(C183/(A183*24))/G183,"spécifier histo"))</f>
        <v>0.106859394933479</v>
      </c>
      <c r="F183" s="59" t="n">
        <v>1180</v>
      </c>
      <c r="G183" s="59" t="n">
        <f aca="false">F183-H183</f>
        <v>0</v>
      </c>
      <c r="H183" s="9" t="n">
        <v>1180</v>
      </c>
      <c r="I183" s="9"/>
      <c r="J183" s="205"/>
    </row>
    <row r="184" s="1" customFormat="true" ht="22.45" hidden="false" customHeight="true" outlineLevel="0" collapsed="false">
      <c r="A184" s="0" t="n">
        <v>30</v>
      </c>
      <c r="B184" s="34" t="n">
        <v>37773</v>
      </c>
      <c r="C184" s="26" t="n">
        <v>14950</v>
      </c>
      <c r="D184" s="29" t="s">
        <v>41</v>
      </c>
      <c r="E184" s="580" t="n">
        <f aca="false">IF(D184="totale",(C184/(A184*24))/F184,IF(D184="marché libre",(C184/(A184*24))/G184,"spécifier histo"))</f>
        <v>0.017596516007533</v>
      </c>
      <c r="F184" s="59" t="n">
        <v>1180</v>
      </c>
      <c r="G184" s="59" t="n">
        <f aca="false">F184-H184</f>
        <v>0</v>
      </c>
      <c r="H184" s="9" t="n">
        <v>1180</v>
      </c>
      <c r="I184" s="9"/>
      <c r="J184" s="205"/>
    </row>
    <row r="185" s="1" customFormat="true" ht="22.45" hidden="false" customHeight="true" outlineLevel="0" collapsed="false">
      <c r="A185" s="0" t="n">
        <v>31</v>
      </c>
      <c r="B185" s="31" t="n">
        <v>37803</v>
      </c>
      <c r="C185" s="26" t="n">
        <v>1658</v>
      </c>
      <c r="D185" s="29" t="s">
        <v>41</v>
      </c>
      <c r="E185" s="580" t="n">
        <f aca="false">IF(D185="totale",(C185/(A185*24))/F185,IF(D185="marché libre",(C185/(A185*24))/G185,"spécifier histo"))</f>
        <v>0.0018885547658101</v>
      </c>
      <c r="F185" s="59" t="n">
        <v>1180</v>
      </c>
      <c r="G185" s="59" t="n">
        <f aca="false">F185-H185</f>
        <v>0</v>
      </c>
      <c r="H185" s="9" t="n">
        <v>1180</v>
      </c>
      <c r="I185" s="9"/>
      <c r="J185" s="205"/>
    </row>
    <row r="186" s="1" customFormat="true" ht="22.45" hidden="false" customHeight="true" outlineLevel="0" collapsed="false">
      <c r="A186" s="0" t="n">
        <v>31</v>
      </c>
      <c r="B186" s="34" t="n">
        <v>37834</v>
      </c>
      <c r="C186" s="26" t="n">
        <v>0</v>
      </c>
      <c r="D186" s="29" t="s">
        <v>41</v>
      </c>
      <c r="E186" s="580" t="n">
        <f aca="false">IF(D186="totale",(C186/(A186*24))/F186,IF(D186="marché libre",(C186/(A186*24))/G186,"spécifier histo"))</f>
        <v>0</v>
      </c>
      <c r="F186" s="59" t="n">
        <v>1180</v>
      </c>
      <c r="G186" s="59" t="n">
        <f aca="false">F186-H186</f>
        <v>0</v>
      </c>
      <c r="H186" s="9" t="n">
        <v>1180</v>
      </c>
      <c r="I186" s="9"/>
      <c r="J186" s="205"/>
    </row>
    <row r="187" s="1" customFormat="true" ht="22.45" hidden="false" customHeight="true" outlineLevel="0" collapsed="false">
      <c r="A187" s="0" t="n">
        <v>30</v>
      </c>
      <c r="B187" s="31" t="n">
        <v>37865</v>
      </c>
      <c r="C187" s="26" t="n">
        <v>0</v>
      </c>
      <c r="D187" s="29" t="s">
        <v>41</v>
      </c>
      <c r="E187" s="580" t="n">
        <f aca="false">IF(D187="totale",(C187/(A187*24))/F187,IF(D187="marché libre",(C187/(A187*24))/G187,"spécifier histo"))</f>
        <v>0</v>
      </c>
      <c r="F187" s="59" t="n">
        <v>1180</v>
      </c>
      <c r="G187" s="59" t="n">
        <f aca="false">F187-H187</f>
        <v>0</v>
      </c>
      <c r="H187" s="9" t="n">
        <v>1180</v>
      </c>
      <c r="I187" s="9"/>
      <c r="J187" s="205"/>
    </row>
    <row r="188" s="1" customFormat="true" ht="22.45" hidden="false" customHeight="true" outlineLevel="0" collapsed="false">
      <c r="A188" s="0" t="n">
        <v>31</v>
      </c>
      <c r="B188" s="34" t="n">
        <v>37895</v>
      </c>
      <c r="C188" s="26" t="n">
        <v>79488</v>
      </c>
      <c r="D188" s="29" t="s">
        <v>41</v>
      </c>
      <c r="E188" s="580" t="n">
        <f aca="false">IF(D188="totale",(C188/(A188*24))/F188,IF(D188="marché libre",(C188/(A188*24))/G188,"spécifier histo"))</f>
        <v>0.0905412793876435</v>
      </c>
      <c r="F188" s="59" t="n">
        <v>1180</v>
      </c>
      <c r="G188" s="59" t="n">
        <f aca="false">F188-H188</f>
        <v>0</v>
      </c>
      <c r="H188" s="9" t="n">
        <v>1180</v>
      </c>
      <c r="I188" s="9"/>
      <c r="J188" s="205"/>
    </row>
    <row r="189" s="1" customFormat="true" ht="22.45" hidden="false" customHeight="true" outlineLevel="0" collapsed="false">
      <c r="A189" s="0" t="n">
        <v>30</v>
      </c>
      <c r="B189" s="31" t="n">
        <v>37926</v>
      </c>
      <c r="C189" s="26" t="n">
        <v>155981</v>
      </c>
      <c r="D189" s="29" t="s">
        <v>41</v>
      </c>
      <c r="E189" s="580" t="n">
        <f aca="false">IF(D189="totale",(C189/(A189*24))/F189,IF(D189="marché libre",(C189/(A189*24))/G189,"spécifier histo"))</f>
        <v>0.183593455743879</v>
      </c>
      <c r="F189" s="59" t="n">
        <v>1180</v>
      </c>
      <c r="G189" s="59" t="n">
        <f aca="false">F189-H189</f>
        <v>0</v>
      </c>
      <c r="H189" s="9" t="n">
        <v>1180</v>
      </c>
      <c r="I189" s="9"/>
      <c r="J189" s="205"/>
    </row>
    <row r="190" s="1" customFormat="true" ht="22.45" hidden="false" customHeight="true" outlineLevel="0" collapsed="false">
      <c r="A190" s="0" t="n">
        <v>31</v>
      </c>
      <c r="B190" s="34" t="n">
        <v>37956</v>
      </c>
      <c r="C190" s="26" t="n">
        <v>152179</v>
      </c>
      <c r="D190" s="29" t="s">
        <v>41</v>
      </c>
      <c r="E190" s="580" t="n">
        <f aca="false">IF(D190="totale",(C190/(A190*24))/F190,IF(D190="marché libre",(C190/(A190*24))/G190,"spécifier histo"))</f>
        <v>0.173340395480226</v>
      </c>
      <c r="F190" s="59" t="n">
        <v>1180</v>
      </c>
      <c r="G190" s="59" t="n">
        <f aca="false">F190-H190</f>
        <v>0</v>
      </c>
      <c r="H190" s="9" t="n">
        <v>1180</v>
      </c>
      <c r="I190" s="9"/>
      <c r="J190" s="205"/>
    </row>
    <row r="191" s="1" customFormat="true" ht="22.45" hidden="false" customHeight="true" outlineLevel="0" collapsed="false">
      <c r="A191" s="0" t="n">
        <v>31</v>
      </c>
      <c r="B191" s="31" t="n">
        <v>37987</v>
      </c>
      <c r="C191" s="26" t="n">
        <v>235440</v>
      </c>
      <c r="D191" s="29" t="s">
        <v>41</v>
      </c>
      <c r="E191" s="580" t="n">
        <f aca="false">IF(D191="totale",(C191/(A191*24))/F191,IF(D191="marché libre",(C191/(A191*24))/G191,"spécifier histo"))</f>
        <v>0.268179332968835</v>
      </c>
      <c r="F191" s="59" t="n">
        <v>1180</v>
      </c>
      <c r="G191" s="59" t="n">
        <f aca="false">F191-H191</f>
        <v>0</v>
      </c>
      <c r="H191" s="9" t="n">
        <v>1180</v>
      </c>
      <c r="I191" s="9"/>
      <c r="J191" s="205"/>
    </row>
    <row r="192" s="1" customFormat="true" ht="22.45" hidden="false" customHeight="true" outlineLevel="0" collapsed="false">
      <c r="A192" s="0" t="n">
        <v>28</v>
      </c>
      <c r="B192" s="34" t="n">
        <v>38018</v>
      </c>
      <c r="C192" s="26" t="n">
        <v>273616</v>
      </c>
      <c r="D192" s="29" t="s">
        <v>41</v>
      </c>
      <c r="E192" s="580" t="n">
        <f aca="false">IF(D192="totale",(C192/(A192*24))/F192,IF(D192="marché libre",(C192/(A192*24))/G192,"spécifier histo"))</f>
        <v>0.345056497175141</v>
      </c>
      <c r="F192" s="59" t="n">
        <v>1180</v>
      </c>
      <c r="G192" s="59" t="n">
        <f aca="false">F192-H192</f>
        <v>0</v>
      </c>
      <c r="H192" s="9" t="n">
        <v>1180</v>
      </c>
      <c r="I192" s="9"/>
      <c r="J192" s="205"/>
    </row>
    <row r="193" s="1" customFormat="true" ht="22.45" hidden="false" customHeight="true" outlineLevel="0" collapsed="false">
      <c r="A193" s="0" t="n">
        <v>31</v>
      </c>
      <c r="B193" s="31" t="n">
        <v>38047</v>
      </c>
      <c r="C193" s="26" t="n">
        <v>201461</v>
      </c>
      <c r="D193" s="29" t="s">
        <v>41</v>
      </c>
      <c r="E193" s="580" t="n">
        <f aca="false">IF(D193="totale",(C193/(A193*24))/F193,IF(D193="marché libre",(C193/(A193*24))/G193,"spécifier histo"))</f>
        <v>0.229475350829233</v>
      </c>
      <c r="F193" s="59" t="n">
        <v>1180</v>
      </c>
      <c r="G193" s="59" t="n">
        <f aca="false">F193-H193</f>
        <v>0</v>
      </c>
      <c r="H193" s="9" t="n">
        <v>1180</v>
      </c>
      <c r="I193" s="9"/>
      <c r="J193" s="205"/>
    </row>
    <row r="194" s="1" customFormat="true" ht="22.45" hidden="false" customHeight="true" outlineLevel="0" collapsed="false">
      <c r="A194" s="0" t="n">
        <v>30</v>
      </c>
      <c r="B194" s="34" t="n">
        <v>38078</v>
      </c>
      <c r="C194" s="26" t="n">
        <v>145152</v>
      </c>
      <c r="D194" s="29" t="s">
        <v>41</v>
      </c>
      <c r="E194" s="580" t="n">
        <f aca="false">IF(D194="totale",(C194/(A194*24))/F194,IF(D194="marché libre",(C194/(A194*24))/G194,"spécifier histo"))</f>
        <v>0.170847457627119</v>
      </c>
      <c r="F194" s="59" t="n">
        <v>1180</v>
      </c>
      <c r="G194" s="59" t="n">
        <f aca="false">F194-H194</f>
        <v>0</v>
      </c>
      <c r="H194" s="9" t="n">
        <v>1180</v>
      </c>
      <c r="I194" s="9"/>
      <c r="J194" s="205"/>
    </row>
    <row r="195" s="1" customFormat="true" ht="22.45" hidden="false" customHeight="true" outlineLevel="0" collapsed="false">
      <c r="A195" s="0" t="n">
        <v>31</v>
      </c>
      <c r="B195" s="31" t="n">
        <v>38108</v>
      </c>
      <c r="C195" s="26" t="n">
        <v>110170</v>
      </c>
      <c r="D195" s="29" t="s">
        <v>41</v>
      </c>
      <c r="E195" s="580" t="n">
        <f aca="false">IF(D195="totale",(C195/(A195*24))/F195,IF(D195="marché libre",(C195/(A195*24))/G195,"spécifier histo"))</f>
        <v>0.125489794058684</v>
      </c>
      <c r="F195" s="59" t="n">
        <v>1180</v>
      </c>
      <c r="G195" s="59" t="n">
        <f aca="false">F195-H195</f>
        <v>0</v>
      </c>
      <c r="H195" s="9" t="n">
        <v>1180</v>
      </c>
      <c r="I195" s="9"/>
      <c r="J195" s="205"/>
    </row>
    <row r="196" s="1" customFormat="true" ht="22.45" hidden="false" customHeight="true" outlineLevel="0" collapsed="false">
      <c r="A196" s="0" t="n">
        <v>30</v>
      </c>
      <c r="B196" s="34" t="n">
        <v>38139</v>
      </c>
      <c r="C196" s="26" t="n">
        <v>44749</v>
      </c>
      <c r="D196" s="29" t="s">
        <v>41</v>
      </c>
      <c r="E196" s="580" t="n">
        <f aca="false">IF(D196="totale",(C196/(A196*24))/F196,IF(D196="marché libre",(C196/(A196*24))/G196,"spécifier histo"))</f>
        <v>0.0526706685499058</v>
      </c>
      <c r="F196" s="59" t="n">
        <v>1180</v>
      </c>
      <c r="G196" s="59" t="n">
        <f aca="false">F196-H196</f>
        <v>0</v>
      </c>
      <c r="H196" s="9" t="n">
        <v>1180</v>
      </c>
      <c r="I196" s="9"/>
      <c r="J196" s="205"/>
    </row>
    <row r="197" s="1" customFormat="true" ht="22.45" hidden="false" customHeight="true" outlineLevel="0" collapsed="false">
      <c r="A197" s="0" t="n">
        <v>31</v>
      </c>
      <c r="B197" s="31" t="n">
        <v>38169</v>
      </c>
      <c r="C197" s="26" t="n">
        <v>3069</v>
      </c>
      <c r="D197" s="29" t="s">
        <v>41</v>
      </c>
      <c r="E197" s="580" t="n">
        <f aca="false">IF(D197="totale",(C197/(A197*24))/F197,IF(D197="marché libre",(C197/(A197*24))/G197,"spécifier histo"))</f>
        <v>0.00349576271186441</v>
      </c>
      <c r="F197" s="59" t="n">
        <v>1180</v>
      </c>
      <c r="G197" s="59" t="n">
        <f aca="false">F197-H197</f>
        <v>0</v>
      </c>
      <c r="H197" s="9" t="n">
        <v>1180</v>
      </c>
      <c r="I197" s="9"/>
      <c r="J197" s="205"/>
    </row>
    <row r="198" s="1" customFormat="true" ht="22.45" hidden="false" customHeight="true" outlineLevel="0" collapsed="false">
      <c r="A198" s="0" t="n">
        <v>31</v>
      </c>
      <c r="B198" s="34" t="n">
        <v>38200</v>
      </c>
      <c r="C198" s="26" t="n">
        <v>2923</v>
      </c>
      <c r="D198" s="29" t="s">
        <v>41</v>
      </c>
      <c r="E198" s="580" t="n">
        <f aca="false">IF(D198="totale",(C198/(A198*24))/F198,IF(D198="marché libre",(C198/(A198*24))/G198,"spécifier histo"))</f>
        <v>0.00332946054310188</v>
      </c>
      <c r="F198" s="59" t="n">
        <v>1180</v>
      </c>
      <c r="G198" s="59" t="n">
        <f aca="false">F198-H198</f>
        <v>0</v>
      </c>
      <c r="H198" s="9" t="n">
        <v>1180</v>
      </c>
      <c r="I198" s="9"/>
      <c r="J198" s="205"/>
    </row>
    <row r="199" s="1" customFormat="true" ht="22.45" hidden="false" customHeight="true" outlineLevel="0" collapsed="false">
      <c r="A199" s="0" t="n">
        <v>30</v>
      </c>
      <c r="B199" s="31" t="n">
        <v>38231</v>
      </c>
      <c r="C199" s="26" t="n">
        <v>35059</v>
      </c>
      <c r="D199" s="29" t="s">
        <v>41</v>
      </c>
      <c r="E199" s="580" t="n">
        <f aca="false">IF(D199="totale",(C199/(A199*24))/F199,IF(D199="marché libre",(C199/(A199*24))/G199,"spécifier histo"))</f>
        <v>0.0412653013182674</v>
      </c>
      <c r="F199" s="59" t="n">
        <v>1180</v>
      </c>
      <c r="G199" s="59" t="n">
        <f aca="false">F199-H199</f>
        <v>0</v>
      </c>
      <c r="H199" s="9" t="n">
        <v>1180</v>
      </c>
      <c r="I199" s="9"/>
      <c r="J199" s="205"/>
    </row>
    <row r="200" s="1" customFormat="true" ht="22.45" hidden="false" customHeight="true" outlineLevel="0" collapsed="false">
      <c r="A200" s="0" t="n">
        <v>31</v>
      </c>
      <c r="B200" s="34" t="n">
        <v>38261</v>
      </c>
      <c r="C200" s="26" t="n">
        <v>193789</v>
      </c>
      <c r="D200" s="29" t="s">
        <v>41</v>
      </c>
      <c r="E200" s="580" t="n">
        <f aca="false">IF(D200="totale",(C200/(A200*24))/F200,IF(D200="marché libre",(C200/(A200*24))/G200,"spécifier histo"))</f>
        <v>0.220736513577547</v>
      </c>
      <c r="F200" s="59" t="n">
        <v>1180</v>
      </c>
      <c r="G200" s="59" t="n">
        <f aca="false">F200-H200</f>
        <v>0</v>
      </c>
      <c r="H200" s="9" t="n">
        <v>1180</v>
      </c>
      <c r="I200" s="9"/>
      <c r="J200" s="205"/>
    </row>
    <row r="201" s="1" customFormat="true" ht="22.45" hidden="false" customHeight="true" outlineLevel="0" collapsed="false">
      <c r="A201" s="0" t="n">
        <v>30</v>
      </c>
      <c r="B201" s="31" t="n">
        <v>38292</v>
      </c>
      <c r="C201" s="26" t="n">
        <v>250752</v>
      </c>
      <c r="D201" s="29" t="s">
        <v>41</v>
      </c>
      <c r="E201" s="580" t="n">
        <f aca="false">IF(D201="totale",(C201/(A201*24))/F201,IF(D201="marché libre",(C201/(A201*24))/G201,"spécifier histo"))</f>
        <v>0.295141242937853</v>
      </c>
      <c r="F201" s="59" t="n">
        <v>1180</v>
      </c>
      <c r="G201" s="59" t="n">
        <f aca="false">F201-H201</f>
        <v>0</v>
      </c>
      <c r="H201" s="9" t="n">
        <v>1180</v>
      </c>
      <c r="I201" s="9"/>
      <c r="J201" s="205"/>
    </row>
    <row r="202" s="1" customFormat="true" ht="22.45" hidden="false" customHeight="true" outlineLevel="0" collapsed="false">
      <c r="A202" s="0" t="n">
        <v>31</v>
      </c>
      <c r="B202" s="34" t="n">
        <v>38322</v>
      </c>
      <c r="C202" s="26" t="n">
        <v>183226</v>
      </c>
      <c r="D202" s="29" t="s">
        <v>41</v>
      </c>
      <c r="E202" s="580" t="n">
        <f aca="false">IF(D202="totale",(C202/(A202*24))/F202,IF(D202="marché libre",(C202/(A202*24))/G202,"spécifier histo"))</f>
        <v>0.208704665573173</v>
      </c>
      <c r="F202" s="59" t="n">
        <v>1180</v>
      </c>
      <c r="G202" s="59" t="n">
        <f aca="false">F202-H202</f>
        <v>0</v>
      </c>
      <c r="H202" s="9" t="n">
        <v>1180</v>
      </c>
      <c r="I202" s="9"/>
      <c r="J202" s="205"/>
    </row>
    <row r="203" customFormat="false" ht="19.85" hidden="false" customHeight="true" outlineLevel="0" collapsed="false">
      <c r="A203" s="0" t="n">
        <v>31</v>
      </c>
      <c r="B203" s="31" t="n">
        <v>38353</v>
      </c>
      <c r="C203" s="26" t="n">
        <v>257616</v>
      </c>
      <c r="D203" s="29" t="s">
        <v>41</v>
      </c>
      <c r="E203" s="580" t="n">
        <f aca="false">IF(D203="totale",(C203/(A203*24))/F203,IF(D203="marché libre",(C203/(A203*24))/G203,"spécifier histo"))</f>
        <v>0.293439037725533</v>
      </c>
      <c r="F203" s="59" t="n">
        <v>1180</v>
      </c>
      <c r="G203" s="59" t="n">
        <f aca="false">F203-H203</f>
        <v>0</v>
      </c>
      <c r="H203" s="9" t="n">
        <v>1180</v>
      </c>
      <c r="J203" s="70"/>
    </row>
    <row r="204" customFormat="false" ht="19.85" hidden="false" customHeight="true" outlineLevel="0" collapsed="false">
      <c r="A204" s="0" t="n">
        <v>28</v>
      </c>
      <c r="B204" s="34" t="n">
        <v>38384</v>
      </c>
      <c r="C204" s="26" t="n">
        <v>258642</v>
      </c>
      <c r="D204" s="29" t="s">
        <v>41</v>
      </c>
      <c r="E204" s="580" t="n">
        <f aca="false">IF(D204="totale",(C204/(A204*24))/F204,IF(D204="marché libre",(C204/(A204*24))/G204,"spécifier histo"))</f>
        <v>0.326172820823245</v>
      </c>
      <c r="F204" s="59" t="n">
        <v>1180</v>
      </c>
      <c r="G204" s="59" t="n">
        <f aca="false">F204-H204</f>
        <v>0</v>
      </c>
      <c r="H204" s="9" t="n">
        <v>1180</v>
      </c>
      <c r="J204" s="70"/>
    </row>
    <row r="205" customFormat="false" ht="19.85" hidden="false" customHeight="true" outlineLevel="0" collapsed="false">
      <c r="A205" s="0" t="n">
        <v>31</v>
      </c>
      <c r="B205" s="31" t="n">
        <v>38412</v>
      </c>
      <c r="C205" s="26" t="n">
        <v>236053</v>
      </c>
      <c r="D205" s="29" t="s">
        <v>41</v>
      </c>
      <c r="E205" s="580" t="n">
        <f aca="false">IF(D205="totale",(C205/(A205*24))/F205,IF(D205="marché libre",(C205/(A205*24))/G205,"spécifier histo"))</f>
        <v>0.268877574266448</v>
      </c>
      <c r="F205" s="59" t="n">
        <v>1180</v>
      </c>
      <c r="G205" s="59" t="n">
        <f aca="false">F205-H205</f>
        <v>0</v>
      </c>
      <c r="H205" s="9" t="n">
        <v>1180</v>
      </c>
      <c r="J205" s="70"/>
    </row>
    <row r="206" customFormat="false" ht="19.85" hidden="false" customHeight="true" outlineLevel="0" collapsed="false">
      <c r="A206" s="0" t="n">
        <v>30</v>
      </c>
      <c r="B206" s="34" t="n">
        <v>38443</v>
      </c>
      <c r="C206" s="26" t="n">
        <v>227264</v>
      </c>
      <c r="D206" s="29" t="s">
        <v>41</v>
      </c>
      <c r="E206" s="580" t="n">
        <f aca="false">IF(D206="totale",(C206/(A206*24))/F206,IF(D206="marché libre",(C206/(A206*24))/G206,"spécifier histo"))</f>
        <v>0.267495291902072</v>
      </c>
      <c r="F206" s="59" t="n">
        <v>1180</v>
      </c>
      <c r="G206" s="59" t="n">
        <f aca="false">F206-H206</f>
        <v>0</v>
      </c>
      <c r="H206" s="9" t="n">
        <v>1180</v>
      </c>
      <c r="J206" s="70"/>
      <c r="K206" s="0"/>
      <c r="L206" s="0"/>
      <c r="M206" s="0"/>
      <c r="N206" s="0"/>
      <c r="O206" s="0"/>
      <c r="P206" s="0"/>
      <c r="Q206" s="0"/>
      <c r="R206" s="0"/>
      <c r="S206" s="0"/>
      <c r="T206" s="0"/>
      <c r="U206" s="0"/>
      <c r="V206" s="0"/>
    </row>
    <row r="207" customFormat="false" ht="19.85" hidden="false" customHeight="true" outlineLevel="0" collapsed="false">
      <c r="A207" s="0" t="n">
        <v>31</v>
      </c>
      <c r="B207" s="31" t="n">
        <v>38473</v>
      </c>
      <c r="C207" s="26" t="n">
        <v>211888</v>
      </c>
      <c r="D207" s="29" t="s">
        <v>41</v>
      </c>
      <c r="E207" s="580" t="n">
        <f aca="false">IF(D207="totale",(C207/(A207*24))/F207,IF(D207="marché libre",(C207/(A207*24))/G207,"spécifier histo"))</f>
        <v>0.241352287224348</v>
      </c>
      <c r="F207" s="59" t="n">
        <v>1180</v>
      </c>
      <c r="G207" s="59" t="n">
        <f aca="false">F207-H207</f>
        <v>0</v>
      </c>
      <c r="H207" s="9" t="n">
        <v>1180</v>
      </c>
      <c r="J207" s="70"/>
      <c r="K207" s="0"/>
      <c r="L207" s="0"/>
      <c r="M207" s="0"/>
      <c r="N207" s="0"/>
      <c r="O207" s="0"/>
      <c r="P207" s="0"/>
      <c r="Q207" s="0"/>
      <c r="R207" s="0"/>
      <c r="S207" s="0"/>
      <c r="T207" s="0"/>
      <c r="U207" s="0"/>
      <c r="V207" s="0"/>
    </row>
    <row r="208" customFormat="false" ht="19.85" hidden="false" customHeight="true" outlineLevel="0" collapsed="false">
      <c r="A208" s="0" t="n">
        <v>30</v>
      </c>
      <c r="B208" s="34" t="n">
        <v>38504</v>
      </c>
      <c r="C208" s="26" t="n">
        <v>45312</v>
      </c>
      <c r="D208" s="29" t="s">
        <v>41</v>
      </c>
      <c r="E208" s="580" t="n">
        <f aca="false">IF(D208="totale",(C208/(A208*24))/F208,IF(D208="marché libre",(C208/(A208*24))/G208,"spécifier histo"))</f>
        <v>0.0533333333333333</v>
      </c>
      <c r="F208" s="59" t="n">
        <v>1180</v>
      </c>
      <c r="G208" s="59" t="n">
        <f aca="false">F208-H208</f>
        <v>0</v>
      </c>
      <c r="H208" s="9" t="n">
        <v>1180</v>
      </c>
      <c r="J208" s="70"/>
      <c r="K208" s="0"/>
      <c r="L208" s="0"/>
      <c r="M208" s="0"/>
      <c r="N208" s="0"/>
      <c r="O208" s="0"/>
      <c r="P208" s="0"/>
      <c r="Q208" s="0"/>
      <c r="R208" s="0"/>
      <c r="S208" s="0"/>
      <c r="T208" s="0"/>
      <c r="U208" s="0"/>
      <c r="V208" s="0"/>
    </row>
    <row r="209" customFormat="false" ht="19.85" hidden="false" customHeight="true" outlineLevel="0" collapsed="false">
      <c r="A209" s="0" t="n">
        <v>31</v>
      </c>
      <c r="B209" s="31" t="n">
        <v>38534</v>
      </c>
      <c r="C209" s="26" t="n">
        <v>5869</v>
      </c>
      <c r="D209" s="29" t="s">
        <v>41</v>
      </c>
      <c r="E209" s="580" t="n">
        <f aca="false">IF(D209="totale",(C209/(A209*24))/F209,IF(D209="marché libre",(C209/(A209*24))/G209,"spécifier histo"))</f>
        <v>0.00668511937306361</v>
      </c>
      <c r="F209" s="59" t="n">
        <v>1180</v>
      </c>
      <c r="G209" s="59" t="n">
        <f aca="false">F209-H209</f>
        <v>0</v>
      </c>
      <c r="H209" s="9" t="n">
        <v>1180</v>
      </c>
      <c r="J209" s="70"/>
      <c r="K209" s="0"/>
      <c r="L209" s="0"/>
      <c r="M209" s="0"/>
      <c r="N209" s="0"/>
      <c r="O209" s="0"/>
      <c r="P209" s="0"/>
      <c r="Q209" s="0"/>
      <c r="R209" s="0"/>
      <c r="S209" s="0"/>
      <c r="T209" s="0"/>
      <c r="U209" s="0"/>
      <c r="V209" s="0"/>
    </row>
    <row r="210" customFormat="false" ht="19.85" hidden="false" customHeight="true" outlineLevel="0" collapsed="false">
      <c r="A210" s="0" t="n">
        <v>31</v>
      </c>
      <c r="B210" s="34" t="n">
        <v>38565</v>
      </c>
      <c r="C210" s="26" t="n">
        <v>4608</v>
      </c>
      <c r="D210" s="29" t="s">
        <v>41</v>
      </c>
      <c r="E210" s="580" t="n">
        <f aca="false">IF(D210="totale",(C210/(A210*24))/F210,IF(D210="marché libre",(C210/(A210*24))/G210,"spécifier histo"))</f>
        <v>0.00524876981957354</v>
      </c>
      <c r="F210" s="59" t="n">
        <v>1180</v>
      </c>
      <c r="G210" s="59" t="n">
        <f aca="false">F210-H210</f>
        <v>0</v>
      </c>
      <c r="H210" s="9" t="n">
        <v>1180</v>
      </c>
      <c r="J210" s="70"/>
      <c r="K210" s="0"/>
      <c r="L210" s="0"/>
      <c r="M210" s="0"/>
      <c r="N210" s="0"/>
      <c r="O210" s="0"/>
      <c r="P210" s="0"/>
      <c r="Q210" s="0"/>
      <c r="R210" s="0"/>
      <c r="S210" s="0"/>
      <c r="T210" s="0"/>
      <c r="U210" s="0"/>
      <c r="V210" s="0"/>
    </row>
    <row r="211" customFormat="false" ht="19.85" hidden="false" customHeight="true" outlineLevel="0" collapsed="false">
      <c r="A211" s="0" t="n">
        <v>30</v>
      </c>
      <c r="B211" s="31" t="n">
        <v>38596</v>
      </c>
      <c r="C211" s="26" t="n">
        <v>26576</v>
      </c>
      <c r="D211" s="29" t="s">
        <v>41</v>
      </c>
      <c r="E211" s="580" t="n">
        <f aca="false">IF(D211="totale",(C211/(A211*24))/F211,IF(D211="marché libre",(C211/(A211*24))/G211,"spécifier histo"))</f>
        <v>0.0312806026365348</v>
      </c>
      <c r="F211" s="59" t="n">
        <v>1180</v>
      </c>
      <c r="G211" s="59" t="n">
        <f aca="false">F211-H211</f>
        <v>0</v>
      </c>
      <c r="H211" s="9" t="n">
        <v>1180</v>
      </c>
      <c r="J211" s="70"/>
      <c r="K211" s="0"/>
      <c r="L211" s="0"/>
      <c r="M211" s="0"/>
      <c r="N211" s="0"/>
      <c r="O211" s="0"/>
      <c r="P211" s="0"/>
      <c r="Q211" s="0"/>
      <c r="R211" s="0"/>
      <c r="S211" s="0"/>
      <c r="T211" s="0"/>
      <c r="U211" s="0"/>
      <c r="V211" s="0"/>
    </row>
    <row r="212" customFormat="false" ht="19.85" hidden="false" customHeight="true" outlineLevel="0" collapsed="false">
      <c r="A212" s="0" t="n">
        <v>31</v>
      </c>
      <c r="B212" s="34" t="n">
        <v>38626</v>
      </c>
      <c r="C212" s="26" t="n">
        <v>31501</v>
      </c>
      <c r="D212" s="29" t="s">
        <v>41</v>
      </c>
      <c r="E212" s="580" t="n">
        <f aca="false">IF(D212="totale",(C212/(A212*24))/F212,IF(D212="marché libre",(C212/(A212*24))/G212,"spécifier histo"))</f>
        <v>0.0358814014944414</v>
      </c>
      <c r="F212" s="59" t="n">
        <v>1180</v>
      </c>
      <c r="G212" s="59" t="n">
        <f aca="false">F212-H212</f>
        <v>0</v>
      </c>
      <c r="H212" s="9" t="n">
        <v>1180</v>
      </c>
      <c r="J212" s="70"/>
      <c r="K212" s="0"/>
      <c r="L212" s="0"/>
      <c r="M212" s="0"/>
      <c r="N212" s="0"/>
      <c r="O212" s="0"/>
      <c r="P212" s="0"/>
      <c r="Q212" s="0"/>
      <c r="R212" s="0"/>
      <c r="S212" s="0"/>
      <c r="T212" s="0"/>
      <c r="U212" s="0"/>
      <c r="V212" s="0"/>
    </row>
    <row r="213" customFormat="false" ht="19.85" hidden="false" customHeight="true" outlineLevel="0" collapsed="false">
      <c r="A213" s="0" t="n">
        <v>30</v>
      </c>
      <c r="B213" s="31" t="n">
        <v>38657</v>
      </c>
      <c r="C213" s="26" t="n">
        <v>43392</v>
      </c>
      <c r="D213" s="29" t="s">
        <v>41</v>
      </c>
      <c r="E213" s="580" t="n">
        <f aca="false">IF(D213="totale",(C213/(A213*24))/F213,IF(D213="marché libre",(C213/(A213*24))/G213,"spécifier histo"))</f>
        <v>0.0510734463276836</v>
      </c>
      <c r="F213" s="59" t="n">
        <v>1180</v>
      </c>
      <c r="G213" s="59" t="n">
        <f aca="false">F213-H213</f>
        <v>0</v>
      </c>
      <c r="H213" s="9" t="n">
        <v>1180</v>
      </c>
      <c r="J213" s="70"/>
      <c r="K213" s="0"/>
      <c r="L213" s="0"/>
      <c r="M213" s="0"/>
      <c r="N213" s="0"/>
      <c r="O213" s="0"/>
      <c r="P213" s="0"/>
      <c r="Q213" s="0"/>
      <c r="R213" s="0"/>
      <c r="S213" s="0"/>
      <c r="T213" s="0"/>
      <c r="U213" s="0"/>
      <c r="V213" s="0"/>
    </row>
    <row r="214" customFormat="false" ht="19.85" hidden="false" customHeight="true" outlineLevel="0" collapsed="false">
      <c r="A214" s="0" t="n">
        <v>31</v>
      </c>
      <c r="B214" s="34" t="n">
        <v>38687</v>
      </c>
      <c r="C214" s="26" t="n">
        <v>147110</v>
      </c>
      <c r="D214" s="29" t="s">
        <v>41</v>
      </c>
      <c r="E214" s="580" t="n">
        <f aca="false">IF(D214="totale",(C214/(A214*24))/F214,IF(D214="marché libre",(C214/(A214*24))/G214,"spécifier histo"))</f>
        <v>0.167566520867505</v>
      </c>
      <c r="F214" s="59" t="n">
        <v>1180</v>
      </c>
      <c r="G214" s="59" t="n">
        <f aca="false">F214-H214</f>
        <v>0</v>
      </c>
      <c r="H214" s="9" t="n">
        <v>1180</v>
      </c>
      <c r="J214" s="70"/>
      <c r="K214" s="0"/>
      <c r="L214" s="0"/>
      <c r="M214" s="0"/>
      <c r="N214" s="0"/>
      <c r="O214" s="0"/>
      <c r="P214" s="0"/>
      <c r="Q214" s="0"/>
      <c r="R214" s="0"/>
      <c r="S214" s="0"/>
      <c r="T214" s="0"/>
      <c r="U214" s="0"/>
      <c r="V214" s="0"/>
    </row>
    <row r="215" customFormat="false" ht="19.85" hidden="false" customHeight="true" outlineLevel="0" collapsed="false">
      <c r="A215" s="0" t="n">
        <v>31</v>
      </c>
      <c r="B215" s="31" t="n">
        <v>38718</v>
      </c>
      <c r="C215" s="26" t="n">
        <v>211392</v>
      </c>
      <c r="D215" s="29" t="s">
        <v>41</v>
      </c>
      <c r="E215" s="580" t="n">
        <f aca="false">IF(D215="totale",(C215/(A215*24))/F215,IF(D215="marché libre",(C215/(A215*24))/G215,"spécifier histo"))</f>
        <v>0.240787315472936</v>
      </c>
      <c r="F215" s="59" t="n">
        <v>1180</v>
      </c>
      <c r="G215" s="59" t="n">
        <f aca="false">F215-H215</f>
        <v>0</v>
      </c>
      <c r="H215" s="9" t="n">
        <v>1180</v>
      </c>
      <c r="J215" s="55"/>
      <c r="K215" s="0"/>
      <c r="L215" s="0"/>
      <c r="M215" s="0"/>
      <c r="N215" s="0"/>
      <c r="O215" s="0"/>
      <c r="P215" s="0"/>
      <c r="Q215" s="0"/>
      <c r="R215" s="0"/>
      <c r="S215" s="0"/>
      <c r="T215" s="0"/>
      <c r="U215" s="0"/>
      <c r="V215" s="0"/>
    </row>
    <row r="216" customFormat="false" ht="19.85" hidden="false" customHeight="true" outlineLevel="0" collapsed="false">
      <c r="A216" s="0" t="n">
        <v>28</v>
      </c>
      <c r="B216" s="34" t="n">
        <v>38749</v>
      </c>
      <c r="C216" s="26" t="n">
        <v>205016</v>
      </c>
      <c r="D216" s="29" t="s">
        <v>41</v>
      </c>
      <c r="E216" s="580" t="n">
        <f aca="false">IF(D216="totale",(C216/(A216*24))/F216,IF(D216="marché libre",(C216/(A216*24))/G216,"spécifier histo"))</f>
        <v>0.258545197740113</v>
      </c>
      <c r="F216" s="59" t="n">
        <v>1180</v>
      </c>
      <c r="G216" s="59" t="n">
        <f aca="false">F216-H216</f>
        <v>0</v>
      </c>
      <c r="H216" s="9" t="n">
        <v>1180</v>
      </c>
      <c r="J216" s="55"/>
      <c r="K216" s="0"/>
      <c r="L216" s="0"/>
      <c r="M216" s="0"/>
      <c r="N216" s="0"/>
      <c r="O216" s="0"/>
      <c r="P216" s="0"/>
      <c r="Q216" s="0"/>
      <c r="R216" s="0"/>
      <c r="S216" s="0"/>
      <c r="T216" s="0"/>
      <c r="U216" s="0"/>
    </row>
    <row r="217" customFormat="false" ht="19.85" hidden="false" customHeight="true" outlineLevel="0" collapsed="false">
      <c r="A217" s="0" t="n">
        <v>31</v>
      </c>
      <c r="B217" s="31" t="n">
        <v>38777</v>
      </c>
      <c r="C217" s="26" t="n">
        <v>248611</v>
      </c>
      <c r="D217" s="29" t="s">
        <v>41</v>
      </c>
      <c r="E217" s="580" t="n">
        <f aca="false">IF(D217="totale",(C217/(A217*24))/F217,IF(D217="marché libre",(C217/(A217*24))/G217,"spécifier histo"))</f>
        <v>0.283181838891926</v>
      </c>
      <c r="F217" s="59" t="n">
        <v>1180</v>
      </c>
      <c r="G217" s="59" t="n">
        <f aca="false">F217-H217</f>
        <v>0</v>
      </c>
      <c r="H217" s="9" t="n">
        <v>1180</v>
      </c>
      <c r="J217" s="55"/>
      <c r="K217" s="0"/>
      <c r="L217" s="0"/>
      <c r="M217" s="0"/>
      <c r="N217" s="0"/>
      <c r="O217" s="0"/>
      <c r="P217" s="0"/>
      <c r="Q217" s="0"/>
      <c r="R217" s="0"/>
      <c r="S217" s="0"/>
      <c r="T217" s="0"/>
      <c r="U217" s="0"/>
    </row>
    <row r="218" customFormat="false" ht="19.85" hidden="false" customHeight="true" outlineLevel="0" collapsed="false">
      <c r="A218" s="0" t="n">
        <v>30</v>
      </c>
      <c r="B218" s="34" t="n">
        <v>38808</v>
      </c>
      <c r="C218" s="26" t="n">
        <v>248384</v>
      </c>
      <c r="D218" s="29" t="s">
        <v>41</v>
      </c>
      <c r="E218" s="580" t="n">
        <f aca="false">IF(D218="totale",(C218/(A218*24))/F218,IF(D218="marché libre",(C218/(A218*24))/G218,"spécifier histo"))</f>
        <v>0.292354048964218</v>
      </c>
      <c r="F218" s="59" t="n">
        <v>1180</v>
      </c>
      <c r="G218" s="59" t="n">
        <f aca="false">F218-H218</f>
        <v>0</v>
      </c>
      <c r="H218" s="9" t="n">
        <v>1180</v>
      </c>
      <c r="J218" s="55"/>
      <c r="Q218" s="0"/>
      <c r="S218" s="0"/>
    </row>
    <row r="219" customFormat="false" ht="19.85" hidden="false" customHeight="true" outlineLevel="0" collapsed="false">
      <c r="A219" s="0" t="n">
        <v>31</v>
      </c>
      <c r="B219" s="31" t="n">
        <v>38838</v>
      </c>
      <c r="C219" s="26" t="n">
        <v>187386</v>
      </c>
      <c r="D219" s="29" t="s">
        <v>41</v>
      </c>
      <c r="E219" s="580" t="n">
        <f aca="false">IF(D219="totale",(C219/(A219*24))/F219,IF(D219="marché libre",(C219/(A219*24))/G219,"spécifier histo"))</f>
        <v>0.213443138326955</v>
      </c>
      <c r="F219" s="59" t="n">
        <v>1180</v>
      </c>
      <c r="G219" s="59" t="n">
        <f aca="false">F219-H219</f>
        <v>0</v>
      </c>
      <c r="H219" s="9" t="n">
        <v>1180</v>
      </c>
      <c r="J219" s="55"/>
      <c r="Q219" s="0"/>
      <c r="S219" s="0"/>
    </row>
    <row r="220" customFormat="false" ht="19.85" hidden="false" customHeight="true" outlineLevel="0" collapsed="false">
      <c r="A220" s="0" t="n">
        <v>30</v>
      </c>
      <c r="B220" s="34" t="n">
        <v>38869</v>
      </c>
      <c r="C220" s="26" t="n">
        <v>105626</v>
      </c>
      <c r="D220" s="29" t="s">
        <v>41</v>
      </c>
      <c r="E220" s="580" t="n">
        <f aca="false">IF(D220="totale",(C220/(A220*24))/F220,IF(D220="marché libre",(C220/(A220*24))/G220,"spécifier histo"))</f>
        <v>0.124324387947269</v>
      </c>
      <c r="F220" s="59" t="n">
        <v>1180</v>
      </c>
      <c r="G220" s="59" t="n">
        <f aca="false">F220-H220</f>
        <v>0</v>
      </c>
      <c r="H220" s="9" t="n">
        <v>1180</v>
      </c>
      <c r="J220" s="55"/>
      <c r="Q220" s="0"/>
      <c r="S220" s="0"/>
    </row>
    <row r="221" customFormat="false" ht="19.85" hidden="false" customHeight="true" outlineLevel="0" collapsed="false">
      <c r="A221" s="0" t="n">
        <v>31</v>
      </c>
      <c r="B221" s="31" t="n">
        <v>38899</v>
      </c>
      <c r="C221" s="26" t="n">
        <v>7840</v>
      </c>
      <c r="D221" s="29" t="s">
        <v>41</v>
      </c>
      <c r="E221" s="580" t="n">
        <f aca="false">IF(D221="totale",(C221/(A221*24))/F221,IF(D221="marché libre",(C221/(A221*24))/G221,"spécifier histo"))</f>
        <v>0.00893019865135775</v>
      </c>
      <c r="F221" s="59" t="n">
        <v>1180</v>
      </c>
      <c r="G221" s="59" t="n">
        <f aca="false">F221-H221</f>
        <v>0</v>
      </c>
      <c r="H221" s="9" t="n">
        <v>1180</v>
      </c>
      <c r="J221" s="55"/>
      <c r="Q221" s="0"/>
      <c r="S221" s="0"/>
    </row>
    <row r="222" customFormat="false" ht="19.85" hidden="false" customHeight="true" outlineLevel="0" collapsed="false">
      <c r="A222" s="0" t="n">
        <v>31</v>
      </c>
      <c r="B222" s="34" t="n">
        <v>38930</v>
      </c>
      <c r="C222" s="26" t="n">
        <v>30427</v>
      </c>
      <c r="D222" s="29" t="s">
        <v>41</v>
      </c>
      <c r="E222" s="580" t="n">
        <f aca="false">IF(D222="totale",(C222/(A222*24))/F222,IF(D222="marché libre",(C222/(A222*24))/G222,"spécifier histo"))</f>
        <v>0.0346580554036814</v>
      </c>
      <c r="F222" s="59" t="n">
        <v>1180</v>
      </c>
      <c r="G222" s="59" t="n">
        <f aca="false">F222-H222</f>
        <v>0</v>
      </c>
      <c r="H222" s="9" t="n">
        <v>1180</v>
      </c>
      <c r="J222" s="55"/>
      <c r="Q222" s="0"/>
      <c r="S222" s="0"/>
    </row>
    <row r="223" customFormat="false" ht="19.85" hidden="false" customHeight="true" outlineLevel="0" collapsed="false">
      <c r="A223" s="0" t="n">
        <v>30</v>
      </c>
      <c r="B223" s="31" t="n">
        <v>38961</v>
      </c>
      <c r="C223" s="26" t="n">
        <v>63501</v>
      </c>
      <c r="D223" s="29" t="s">
        <v>41</v>
      </c>
      <c r="E223" s="580" t="n">
        <f aca="false">IF(D223="totale",(C223/(A223*24))/F223,IF(D223="marché libre",(C223/(A223*24))/G223,"spécifier histo"))</f>
        <v>0.0747422316384181</v>
      </c>
      <c r="F223" s="59" t="n">
        <v>1180</v>
      </c>
      <c r="G223" s="59" t="n">
        <f aca="false">F223-H223</f>
        <v>0</v>
      </c>
      <c r="H223" s="9" t="n">
        <v>1180</v>
      </c>
      <c r="J223" s="55"/>
      <c r="Q223" s="0"/>
      <c r="S223" s="0"/>
    </row>
    <row r="224" customFormat="false" ht="19.85" hidden="false" customHeight="true" outlineLevel="0" collapsed="false">
      <c r="A224" s="0" t="n">
        <v>31</v>
      </c>
      <c r="B224" s="34" t="n">
        <v>38991</v>
      </c>
      <c r="C224" s="26" t="n">
        <v>245088</v>
      </c>
      <c r="D224" s="29" t="s">
        <v>41</v>
      </c>
      <c r="E224" s="580" t="n">
        <f aca="false">IF(D224="totale",(C224/(A224*24))/F224,IF(D224="marché libre",(C224/(A224*24))/G224,"spécifier histo"))</f>
        <v>0.279168944778567</v>
      </c>
      <c r="F224" s="59" t="n">
        <v>1180</v>
      </c>
      <c r="G224" s="59" t="n">
        <f aca="false">F224-H224</f>
        <v>0</v>
      </c>
      <c r="H224" s="9" t="n">
        <v>1180</v>
      </c>
      <c r="J224" s="55"/>
      <c r="Q224" s="0"/>
      <c r="S224" s="0"/>
    </row>
    <row r="225" customFormat="false" ht="19.85" hidden="false" customHeight="true" outlineLevel="0" collapsed="false">
      <c r="A225" s="0" t="n">
        <v>30</v>
      </c>
      <c r="B225" s="31" t="n">
        <v>39022</v>
      </c>
      <c r="C225" s="26" t="n">
        <v>192691</v>
      </c>
      <c r="D225" s="29" t="s">
        <v>41</v>
      </c>
      <c r="E225" s="580" t="n">
        <f aca="false">IF(D225="totale",(C225/(A225*24))/F225,IF(D225="marché libre",(C225/(A225*24))/G225,"spécifier histo"))</f>
        <v>0.226802024482109</v>
      </c>
      <c r="F225" s="59" t="n">
        <v>1180</v>
      </c>
      <c r="G225" s="59" t="n">
        <f aca="false">F225-H225</f>
        <v>0</v>
      </c>
      <c r="H225" s="9" t="n">
        <v>1180</v>
      </c>
      <c r="J225" s="55"/>
      <c r="Q225" s="0"/>
      <c r="S225" s="0"/>
    </row>
    <row r="226" customFormat="false" ht="19.85" hidden="false" customHeight="true" outlineLevel="0" collapsed="false">
      <c r="A226" s="0" t="n">
        <v>31</v>
      </c>
      <c r="B226" s="34" t="n">
        <v>39052</v>
      </c>
      <c r="C226" s="26" t="n">
        <v>154080</v>
      </c>
      <c r="D226" s="29" t="s">
        <v>41</v>
      </c>
      <c r="E226" s="580" t="n">
        <f aca="false">IF(D226="totale",(C226/(A226*24))/F226,IF(D226="marché libre",(C226/(A226*24))/G226,"spécifier histo"))</f>
        <v>0.17550574084199</v>
      </c>
      <c r="F226" s="59" t="n">
        <v>1180</v>
      </c>
      <c r="G226" s="59" t="n">
        <f aca="false">F226-H226</f>
        <v>0</v>
      </c>
      <c r="H226" s="9" t="n">
        <v>1180</v>
      </c>
      <c r="J226" s="55"/>
      <c r="Q226" s="0"/>
      <c r="S226" s="0"/>
    </row>
    <row r="227" customFormat="false" ht="19.85" hidden="false" customHeight="true" outlineLevel="0" collapsed="false">
      <c r="A227" s="0" t="n">
        <v>31</v>
      </c>
      <c r="B227" s="31" t="n">
        <v>39083</v>
      </c>
      <c r="C227" s="26" t="n">
        <v>300672</v>
      </c>
      <c r="D227" s="29" t="s">
        <v>41</v>
      </c>
      <c r="E227" s="580" t="n">
        <f aca="false">IF(D227="totale",(C227/(A227*24))/F227,IF(D227="marché libre",(C227/(A227*24))/G227,"spécifier histo"))</f>
        <v>0.342482230727173</v>
      </c>
      <c r="F227" s="59" t="n">
        <v>1180</v>
      </c>
      <c r="G227" s="59" t="n">
        <f aca="false">F227-H227</f>
        <v>0</v>
      </c>
      <c r="H227" s="9" t="n">
        <v>1180</v>
      </c>
      <c r="J227" s="55"/>
      <c r="Q227" s="0"/>
      <c r="S227" s="0"/>
    </row>
    <row r="228" customFormat="false" ht="19.85" hidden="false" customHeight="true" outlineLevel="0" collapsed="false">
      <c r="A228" s="0" t="n">
        <v>28</v>
      </c>
      <c r="B228" s="34" t="n">
        <v>39114</v>
      </c>
      <c r="C228" s="26" t="n">
        <v>254330</v>
      </c>
      <c r="D228" s="29" t="s">
        <v>41</v>
      </c>
      <c r="E228" s="580" t="n">
        <f aca="false">IF(D228="totale",(C228/(A228*24))/F228,IF(D228="marché libre",(C228/(A228*24))/G228,"spécifier histo"))</f>
        <v>0.3207349677159</v>
      </c>
      <c r="F228" s="59" t="n">
        <v>1180</v>
      </c>
      <c r="G228" s="59" t="n">
        <f aca="false">F228-H228</f>
        <v>0</v>
      </c>
      <c r="H228" s="9" t="n">
        <v>1180</v>
      </c>
      <c r="J228" s="55"/>
      <c r="Q228" s="0"/>
      <c r="S228" s="0"/>
    </row>
    <row r="229" customFormat="false" ht="19.85" hidden="false" customHeight="true" outlineLevel="0" collapsed="false">
      <c r="A229" s="0" t="n">
        <v>31</v>
      </c>
      <c r="B229" s="31" t="n">
        <v>39142</v>
      </c>
      <c r="C229" s="26" t="n">
        <v>266058</v>
      </c>
      <c r="D229" s="29" t="s">
        <v>41</v>
      </c>
      <c r="E229" s="580" t="n">
        <f aca="false">IF(D229="totale",(C229/(A229*24))/F229,IF(D229="marché libre",(C229/(A229*24))/G229,"spécifier histo"))</f>
        <v>0.303054948059049</v>
      </c>
      <c r="F229" s="59" t="n">
        <v>1180</v>
      </c>
      <c r="G229" s="59" t="n">
        <f aca="false">F229-H229</f>
        <v>0</v>
      </c>
      <c r="H229" s="9" t="n">
        <v>1180</v>
      </c>
      <c r="J229" s="55"/>
      <c r="Q229" s="0"/>
      <c r="S229" s="0"/>
    </row>
    <row r="230" customFormat="false" ht="19.85" hidden="false" customHeight="true" outlineLevel="0" collapsed="false">
      <c r="A230" s="0" t="n">
        <v>30</v>
      </c>
      <c r="B230" s="34" t="n">
        <v>39173</v>
      </c>
      <c r="C230" s="26" t="n">
        <v>115328</v>
      </c>
      <c r="D230" s="29" t="s">
        <v>41</v>
      </c>
      <c r="E230" s="580" t="n">
        <f aca="false">IF(D230="totale",(C230/(A230*24))/F230,IF(D230="marché libre",(C230/(A230*24))/G230,"spécifier histo"))</f>
        <v>0.135743879472693</v>
      </c>
      <c r="F230" s="59" t="n">
        <v>1180</v>
      </c>
      <c r="G230" s="59" t="n">
        <f aca="false">F230-H230</f>
        <v>0</v>
      </c>
      <c r="H230" s="9" t="n">
        <v>1180</v>
      </c>
      <c r="J230" s="55"/>
      <c r="S230" s="0"/>
    </row>
    <row r="231" customFormat="false" ht="19.85" hidden="false" customHeight="true" outlineLevel="0" collapsed="false">
      <c r="A231" s="0" t="n">
        <v>31</v>
      </c>
      <c r="B231" s="31" t="n">
        <v>39203</v>
      </c>
      <c r="C231" s="26" t="n">
        <v>108650</v>
      </c>
      <c r="D231" s="29" t="s">
        <v>41</v>
      </c>
      <c r="E231" s="580" t="n">
        <f aca="false">IF(D231="totale",(C231/(A231*24))/F231,IF(D231="marché libre",(C231/(A231*24))/G231,"spécifier histo"))</f>
        <v>0.123758429014033</v>
      </c>
      <c r="F231" s="59" t="n">
        <v>1180</v>
      </c>
      <c r="G231" s="59" t="n">
        <f aca="false">F231-H231</f>
        <v>0</v>
      </c>
      <c r="H231" s="9" t="n">
        <v>1180</v>
      </c>
      <c r="J231" s="55"/>
      <c r="S231" s="0"/>
    </row>
    <row r="232" customFormat="false" ht="19.85" hidden="false" customHeight="true" outlineLevel="0" collapsed="false">
      <c r="A232" s="0" t="n">
        <v>30</v>
      </c>
      <c r="B232" s="34" t="n">
        <v>39234</v>
      </c>
      <c r="C232" s="26" t="n">
        <v>132762</v>
      </c>
      <c r="D232" s="29" t="s">
        <v>41</v>
      </c>
      <c r="E232" s="580" t="n">
        <f aca="false">IF(D232="totale",(C232/(A232*24))/F232,IF(D232="marché libre",(C232/(A232*24))/G232,"spécifier histo"))</f>
        <v>0.156264124293785</v>
      </c>
      <c r="F232" s="59" t="n">
        <v>1180</v>
      </c>
      <c r="G232" s="59" t="n">
        <f aca="false">F232-H232</f>
        <v>0</v>
      </c>
      <c r="H232" s="9" t="n">
        <v>1180</v>
      </c>
      <c r="J232" s="55"/>
      <c r="S232" s="0"/>
    </row>
    <row r="233" customFormat="false" ht="19.85" hidden="false" customHeight="true" outlineLevel="0" collapsed="false">
      <c r="A233" s="0" t="n">
        <v>31</v>
      </c>
      <c r="B233" s="31" t="n">
        <v>39264</v>
      </c>
      <c r="C233" s="26" t="n">
        <v>62944</v>
      </c>
      <c r="D233" s="29" t="s">
        <v>41</v>
      </c>
      <c r="E233" s="580" t="n">
        <f aca="false">IF(D233="totale",(C233/(A233*24))/F233,IF(D233="marché libre",(C233/(A233*24))/G233,"spécifier histo"))</f>
        <v>0.071696737743758</v>
      </c>
      <c r="F233" s="59" t="n">
        <v>1180</v>
      </c>
      <c r="G233" s="59" t="n">
        <f aca="false">F233-H233</f>
        <v>0</v>
      </c>
      <c r="H233" s="9" t="n">
        <v>1180</v>
      </c>
      <c r="J233" s="55"/>
      <c r="S233" s="0"/>
    </row>
    <row r="234" customFormat="false" ht="19.85" hidden="false" customHeight="true" outlineLevel="0" collapsed="false">
      <c r="A234" s="0" t="n">
        <v>31</v>
      </c>
      <c r="B234" s="34" t="n">
        <v>39295</v>
      </c>
      <c r="C234" s="26" t="n">
        <v>35568</v>
      </c>
      <c r="D234" s="29" t="s">
        <v>41</v>
      </c>
      <c r="E234" s="580" t="n">
        <f aca="false">IF(D234="totale",(C234/(A234*24))/F234,IF(D234="marché libre",(C234/(A234*24))/G234,"spécifier histo"))</f>
        <v>0.0405139420448332</v>
      </c>
      <c r="F234" s="59" t="n">
        <v>1180</v>
      </c>
      <c r="G234" s="59" t="n">
        <f aca="false">F234-H234</f>
        <v>0</v>
      </c>
      <c r="H234" s="9" t="n">
        <v>1180</v>
      </c>
      <c r="J234" s="55"/>
      <c r="S234" s="0"/>
    </row>
    <row r="235" customFormat="false" ht="19.85" hidden="false" customHeight="true" outlineLevel="0" collapsed="false">
      <c r="A235" s="0" t="n">
        <v>30</v>
      </c>
      <c r="B235" s="31" t="n">
        <v>39326</v>
      </c>
      <c r="C235" s="26" t="n">
        <v>42944</v>
      </c>
      <c r="D235" s="29" t="s">
        <v>41</v>
      </c>
      <c r="E235" s="580" t="n">
        <f aca="false">IF(D235="totale",(C235/(A235*24))/F235,IF(D235="marché libre",(C235/(A235*24))/G235,"spécifier histo"))</f>
        <v>0.0505461393596987</v>
      </c>
      <c r="F235" s="59" t="n">
        <v>1180</v>
      </c>
      <c r="G235" s="59" t="n">
        <f aca="false">F235-H235</f>
        <v>0</v>
      </c>
      <c r="H235" s="9" t="n">
        <v>1180</v>
      </c>
      <c r="J235" s="55"/>
      <c r="S235" s="0"/>
    </row>
    <row r="236" customFormat="false" ht="19.85" hidden="false" customHeight="true" outlineLevel="0" collapsed="false">
      <c r="A236" s="0" t="n">
        <v>31</v>
      </c>
      <c r="B236" s="34" t="n">
        <v>39356</v>
      </c>
      <c r="C236" s="26" t="n">
        <v>56230</v>
      </c>
      <c r="D236" s="29" t="s">
        <v>41</v>
      </c>
      <c r="E236" s="580" t="n">
        <f aca="false">IF(D236="totale",(C236/(A236*24))/F236,IF(D236="marché libre",(C236/(A236*24))/G236,"spécifier histo"))</f>
        <v>0.0640491160925825</v>
      </c>
      <c r="F236" s="59" t="n">
        <v>1180</v>
      </c>
      <c r="G236" s="59" t="n">
        <f aca="false">F236-H236</f>
        <v>0</v>
      </c>
      <c r="H236" s="9" t="n">
        <v>1180</v>
      </c>
      <c r="J236" s="55"/>
      <c r="S236" s="0"/>
    </row>
    <row r="237" customFormat="false" ht="19.85" hidden="false" customHeight="true" outlineLevel="0" collapsed="false">
      <c r="A237" s="0" t="n">
        <v>30</v>
      </c>
      <c r="B237" s="31" t="n">
        <v>39387</v>
      </c>
      <c r="C237" s="26" t="n">
        <v>159590</v>
      </c>
      <c r="D237" s="29" t="s">
        <v>41</v>
      </c>
      <c r="E237" s="580" t="n">
        <f aca="false">IF(D237="totale",(C237/(A237*24))/F237,IF(D237="marché libre",(C237/(A237*24))/G237,"spécifier histo"))</f>
        <v>0.187841337099812</v>
      </c>
      <c r="F237" s="59" t="n">
        <v>1180</v>
      </c>
      <c r="G237" s="59" t="n">
        <f aca="false">F237-H237</f>
        <v>0</v>
      </c>
      <c r="H237" s="9" t="n">
        <v>1180</v>
      </c>
      <c r="J237" s="55"/>
      <c r="S237" s="0"/>
    </row>
    <row r="238" customFormat="false" ht="19.85" hidden="false" customHeight="true" outlineLevel="0" collapsed="false">
      <c r="A238" s="0" t="n">
        <v>31</v>
      </c>
      <c r="B238" s="34" t="n">
        <v>39417</v>
      </c>
      <c r="C238" s="26" t="n">
        <v>179424</v>
      </c>
      <c r="D238" s="29" t="s">
        <v>41</v>
      </c>
      <c r="E238" s="580" t="n">
        <f aca="false">IF(D238="totale",(C238/(A238*24))/F238,IF(D238="marché libre",(C238/(A238*24))/G238,"spécifier histo"))</f>
        <v>0.204373974849645</v>
      </c>
      <c r="F238" s="59" t="n">
        <v>1180</v>
      </c>
      <c r="G238" s="59" t="n">
        <f aca="false">F238-H238</f>
        <v>0</v>
      </c>
      <c r="H238" s="9" t="n">
        <v>1180</v>
      </c>
      <c r="J238" s="55"/>
      <c r="S238" s="0"/>
    </row>
    <row r="239" customFormat="false" ht="19.85" hidden="false" customHeight="true" outlineLevel="0" collapsed="false">
      <c r="A239" s="0" t="n">
        <v>31</v>
      </c>
      <c r="B239" s="31" t="n">
        <v>39448</v>
      </c>
      <c r="C239" s="26" t="n">
        <v>289080</v>
      </c>
      <c r="D239" s="29" t="s">
        <v>41</v>
      </c>
      <c r="E239" s="580" t="n">
        <f aca="false">IF(D239="totale",(C239/(A239*24))/F239,IF(D239="marché libre",(C239/(A239*24))/G239,"spécifier histo"))</f>
        <v>0.329278294149809</v>
      </c>
      <c r="F239" s="59" t="n">
        <v>1180</v>
      </c>
      <c r="G239" s="59" t="n">
        <f aca="false">F239-H239</f>
        <v>0</v>
      </c>
      <c r="H239" s="9" t="n">
        <v>1180</v>
      </c>
      <c r="J239" s="55"/>
      <c r="S239" s="0"/>
    </row>
    <row r="240" customFormat="false" ht="19.85" hidden="false" customHeight="true" outlineLevel="0" collapsed="false">
      <c r="A240" s="0" t="n">
        <v>28</v>
      </c>
      <c r="B240" s="34" t="n">
        <v>39479</v>
      </c>
      <c r="C240" s="26" t="n">
        <v>239747</v>
      </c>
      <c r="D240" s="29" t="s">
        <v>41</v>
      </c>
      <c r="E240" s="580" t="n">
        <f aca="false">IF(D240="totale",(C240/(A240*24))/F240,IF(D240="marché libre",(C240/(A240*24))/G240,"spécifier histo"))</f>
        <v>0.30234438054883</v>
      </c>
      <c r="F240" s="59" t="n">
        <v>1180</v>
      </c>
      <c r="G240" s="59" t="n">
        <f aca="false">F240-H240</f>
        <v>0</v>
      </c>
      <c r="H240" s="9" t="n">
        <v>1180</v>
      </c>
      <c r="J240" s="55"/>
      <c r="S240" s="0"/>
    </row>
    <row r="241" customFormat="false" ht="19.85" hidden="false" customHeight="true" outlineLevel="0" collapsed="false">
      <c r="A241" s="0" t="n">
        <v>31</v>
      </c>
      <c r="B241" s="31" t="n">
        <v>39508</v>
      </c>
      <c r="C241" s="26" t="n">
        <v>319525</v>
      </c>
      <c r="D241" s="29" t="s">
        <v>41</v>
      </c>
      <c r="E241" s="580" t="n">
        <f aca="false">IF(D241="totale",(C241/(A241*24))/F241,IF(D241="marché libre",(C241/(A241*24))/G241,"spécifier histo"))</f>
        <v>0.363956852560598</v>
      </c>
      <c r="F241" s="59" t="n">
        <v>1180</v>
      </c>
      <c r="G241" s="59" t="n">
        <f aca="false">F241-H241</f>
        <v>0</v>
      </c>
      <c r="H241" s="9" t="n">
        <v>1180</v>
      </c>
      <c r="J241" s="55"/>
      <c r="S241" s="0"/>
    </row>
    <row r="242" customFormat="false" ht="19.85" hidden="false" customHeight="true" outlineLevel="0" collapsed="false">
      <c r="A242" s="0" t="n">
        <v>30</v>
      </c>
      <c r="B242" s="34" t="n">
        <v>39539</v>
      </c>
      <c r="C242" s="26" t="n">
        <v>269376</v>
      </c>
      <c r="D242" s="29" t="s">
        <v>41</v>
      </c>
      <c r="E242" s="580" t="n">
        <f aca="false">IF(D242="totale",(C242/(A242*24))/F242,IF(D242="marché libre",(C242/(A242*24))/G242,"spécifier histo"))</f>
        <v>0.317062146892655</v>
      </c>
      <c r="F242" s="59" t="n">
        <v>1180</v>
      </c>
      <c r="G242" s="59" t="n">
        <f aca="false">F242-H242</f>
        <v>0</v>
      </c>
      <c r="H242" s="9" t="n">
        <v>1180</v>
      </c>
      <c r="J242" s="55"/>
      <c r="S242" s="0"/>
    </row>
    <row r="243" customFormat="false" ht="19.85" hidden="false" customHeight="true" outlineLevel="0" collapsed="false">
      <c r="A243" s="0" t="n">
        <v>31</v>
      </c>
      <c r="B243" s="31" t="n">
        <v>39569</v>
      </c>
      <c r="C243" s="26" t="n">
        <v>107798</v>
      </c>
      <c r="D243" s="29" t="s">
        <v>41</v>
      </c>
      <c r="E243" s="580" t="n">
        <f aca="false">IF(D243="totale",(C243/(A243*24))/F243,IF(D243="marché libre",(C243/(A243*24))/G243,"spécifier histo"))</f>
        <v>0.122787953344268</v>
      </c>
      <c r="F243" s="59" t="n">
        <v>1180</v>
      </c>
      <c r="G243" s="59" t="n">
        <f aca="false">F243-H243</f>
        <v>0</v>
      </c>
      <c r="H243" s="9" t="n">
        <v>1180</v>
      </c>
      <c r="J243" s="55"/>
      <c r="S243" s="0"/>
    </row>
    <row r="244" customFormat="false" ht="19.85" hidden="false" customHeight="true" outlineLevel="0" collapsed="false">
      <c r="A244" s="0" t="n">
        <v>30</v>
      </c>
      <c r="B244" s="34" t="n">
        <v>39600</v>
      </c>
      <c r="C244" s="26" t="n">
        <v>67174</v>
      </c>
      <c r="D244" s="29" t="s">
        <v>41</v>
      </c>
      <c r="E244" s="580" t="n">
        <f aca="false">IF(D244="totale",(C244/(A244*24))/F244,IF(D244="marché libre",(C244/(A244*24))/G244,"spécifier histo"))</f>
        <v>0.0790654425612053</v>
      </c>
      <c r="F244" s="59" t="n">
        <v>1180</v>
      </c>
      <c r="G244" s="59" t="n">
        <f aca="false">F244-H244</f>
        <v>0</v>
      </c>
      <c r="H244" s="9" t="n">
        <v>1180</v>
      </c>
      <c r="J244" s="55"/>
      <c r="S244" s="0"/>
    </row>
    <row r="245" customFormat="false" ht="19.85" hidden="false" customHeight="true" outlineLevel="0" collapsed="false">
      <c r="A245" s="0" t="n">
        <v>31</v>
      </c>
      <c r="B245" s="31" t="n">
        <v>39630</v>
      </c>
      <c r="C245" s="26" t="n">
        <v>4726</v>
      </c>
      <c r="D245" s="29" t="s">
        <v>41</v>
      </c>
      <c r="E245" s="580" t="n">
        <f aca="false">IF(D245="totale",(C245/(A245*24))/F245,IF(D245="marché libre",(C245/(A245*24))/G245,"spécifier histo"))</f>
        <v>0.00538317842172408</v>
      </c>
      <c r="F245" s="59" t="n">
        <v>1180</v>
      </c>
      <c r="G245" s="59" t="n">
        <f aca="false">F245-H245</f>
        <v>0</v>
      </c>
      <c r="H245" s="9" t="n">
        <v>1180</v>
      </c>
      <c r="J245" s="55"/>
      <c r="S245" s="0"/>
    </row>
    <row r="246" customFormat="false" ht="19.85" hidden="false" customHeight="true" outlineLevel="0" collapsed="false">
      <c r="A246" s="0" t="n">
        <v>31</v>
      </c>
      <c r="B246" s="34" t="n">
        <v>39661</v>
      </c>
      <c r="C246" s="26" t="n">
        <v>10973</v>
      </c>
      <c r="D246" s="29" t="s">
        <v>41</v>
      </c>
      <c r="E246" s="580" t="n">
        <f aca="false">IF(D246="totale",(C246/(A246*24))/F246,IF(D246="marché libre",(C246/(A246*24))/G246,"spécifier histo"))</f>
        <v>0.0124988609440496</v>
      </c>
      <c r="F246" s="59" t="n">
        <v>1180</v>
      </c>
      <c r="G246" s="59" t="n">
        <f aca="false">F246-H246</f>
        <v>0</v>
      </c>
      <c r="H246" s="9" t="n">
        <v>1180</v>
      </c>
      <c r="J246" s="55"/>
      <c r="S246" s="0"/>
    </row>
    <row r="247" customFormat="false" ht="19.85" hidden="false" customHeight="true" outlineLevel="0" collapsed="false">
      <c r="A247" s="0" t="n">
        <v>30</v>
      </c>
      <c r="B247" s="31" t="n">
        <v>39692</v>
      </c>
      <c r="C247" s="26" t="n">
        <v>77299</v>
      </c>
      <c r="D247" s="29" t="s">
        <v>41</v>
      </c>
      <c r="E247" s="580" t="n">
        <f aca="false">IF(D247="totale",(C247/(A247*24))/F247,IF(D247="marché libre",(C247/(A247*24))/G247,"spécifier histo"))</f>
        <v>0.0909828154425612</v>
      </c>
      <c r="F247" s="59" t="n">
        <v>1180</v>
      </c>
      <c r="G247" s="59" t="n">
        <f aca="false">F247-H247</f>
        <v>0</v>
      </c>
      <c r="H247" s="9" t="n">
        <v>1180</v>
      </c>
      <c r="J247" s="55"/>
      <c r="S247" s="0"/>
    </row>
    <row r="248" customFormat="false" ht="19.85" hidden="false" customHeight="true" outlineLevel="0" collapsed="false">
      <c r="A248" s="0" t="n">
        <v>31</v>
      </c>
      <c r="B248" s="34" t="n">
        <v>39722</v>
      </c>
      <c r="C248" s="26" t="n">
        <v>183926</v>
      </c>
      <c r="D248" s="29" t="s">
        <v>41</v>
      </c>
      <c r="E248" s="580" t="n">
        <f aca="false">IF(D248="totale",(C248/(A248*24))/F248,IF(D248="marché libre",(C248/(A248*24))/G248,"spécifier histo"))</f>
        <v>0.209502004738473</v>
      </c>
      <c r="F248" s="59" t="n">
        <v>1180</v>
      </c>
      <c r="G248" s="59" t="n">
        <f aca="false">F248-H248</f>
        <v>0</v>
      </c>
      <c r="H248" s="9" t="n">
        <v>1180</v>
      </c>
      <c r="J248" s="55"/>
      <c r="S248" s="0"/>
    </row>
    <row r="249" customFormat="false" ht="19.85" hidden="false" customHeight="true" outlineLevel="0" collapsed="false">
      <c r="A249" s="0" t="n">
        <v>30</v>
      </c>
      <c r="B249" s="31" t="n">
        <v>39753</v>
      </c>
      <c r="C249" s="26" t="n">
        <v>222413</v>
      </c>
      <c r="D249" s="29" t="s">
        <v>41</v>
      </c>
      <c r="E249" s="580" t="n">
        <f aca="false">IF(D249="totale",(C249/(A249*24))/F249,IF(D249="marché libre",(C249/(A249*24))/G249,"spécifier histo"))</f>
        <v>0.26178554613936</v>
      </c>
      <c r="F249" s="59" t="n">
        <v>1180</v>
      </c>
      <c r="G249" s="59" t="n">
        <f aca="false">F249-H249</f>
        <v>0</v>
      </c>
      <c r="H249" s="9" t="n">
        <v>1180</v>
      </c>
      <c r="J249" s="55"/>
      <c r="S249" s="0"/>
    </row>
    <row r="250" customFormat="false" ht="19.85" hidden="false" customHeight="true" outlineLevel="0" collapsed="false">
      <c r="A250" s="0" t="n">
        <v>31</v>
      </c>
      <c r="B250" s="34" t="n">
        <v>39783</v>
      </c>
      <c r="C250" s="26" t="n">
        <v>215424</v>
      </c>
      <c r="D250" s="29" t="s">
        <v>41</v>
      </c>
      <c r="E250" s="580" t="n">
        <f aca="false">IF(D250="totale",(C250/(A250*24))/F250,IF(D250="marché libre",(C250/(A250*24))/G250,"spécifier histo"))</f>
        <v>0.245379989065063</v>
      </c>
      <c r="F250" s="59" t="n">
        <v>1180</v>
      </c>
      <c r="G250" s="59" t="n">
        <f aca="false">F250-H250</f>
        <v>0</v>
      </c>
      <c r="H250" s="9" t="n">
        <v>1180</v>
      </c>
      <c r="J250" s="55"/>
      <c r="S250" s="0"/>
    </row>
    <row r="251" customFormat="false" ht="19.85" hidden="false" customHeight="true" outlineLevel="0" collapsed="false">
      <c r="A251" s="0" t="n">
        <v>31</v>
      </c>
      <c r="B251" s="31" t="n">
        <v>39814</v>
      </c>
      <c r="C251" s="26" t="n">
        <v>177264</v>
      </c>
      <c r="D251" s="29" t="s">
        <v>41</v>
      </c>
      <c r="E251" s="580" t="n">
        <f aca="false">IF(D251="totale",(C251/(A251*24))/F251,IF(D251="marché libre",(C251/(A251*24))/G251,"spécifier histo"))</f>
        <v>0.201913613996719</v>
      </c>
      <c r="F251" s="59" t="n">
        <v>1180</v>
      </c>
      <c r="G251" s="59" t="n">
        <f aca="false">F251-H251</f>
        <v>0</v>
      </c>
      <c r="H251" s="9" t="n">
        <v>1180</v>
      </c>
      <c r="J251" s="55"/>
      <c r="S251" s="0"/>
    </row>
    <row r="252" customFormat="false" ht="19.85" hidden="false" customHeight="true" outlineLevel="0" collapsed="false">
      <c r="A252" s="0" t="n">
        <v>28</v>
      </c>
      <c r="B252" s="34" t="n">
        <v>39845</v>
      </c>
      <c r="C252" s="26" t="n">
        <v>244373</v>
      </c>
      <c r="D252" s="29" t="s">
        <v>41</v>
      </c>
      <c r="E252" s="580" t="n">
        <f aca="false">IF(D252="totale",(C252/(A252*24))/F252,IF(D252="marché libre",(C252/(A252*24))/G252,"spécifier histo"))</f>
        <v>0.308178218321227</v>
      </c>
      <c r="F252" s="59" t="n">
        <v>1180</v>
      </c>
      <c r="G252" s="59" t="n">
        <f aca="false">F252-H252</f>
        <v>0</v>
      </c>
      <c r="H252" s="9" t="n">
        <v>1180</v>
      </c>
      <c r="J252" s="55"/>
    </row>
    <row r="253" customFormat="false" ht="19.85" hidden="false" customHeight="true" outlineLevel="0" collapsed="false">
      <c r="A253" s="0" t="n">
        <v>31</v>
      </c>
      <c r="B253" s="31" t="n">
        <v>39873</v>
      </c>
      <c r="C253" s="26" t="n">
        <v>318773</v>
      </c>
      <c r="D253" s="29" t="s">
        <v>41</v>
      </c>
      <c r="E253" s="580" t="n">
        <f aca="false">IF(D253="totale",(C253/(A253*24))/F253,IF(D253="marché libre",(C253/(A253*24))/G253,"spécifier histo"))</f>
        <v>0.363100282485876</v>
      </c>
      <c r="F253" s="59" t="n">
        <v>1180</v>
      </c>
      <c r="G253" s="59" t="n">
        <f aca="false">F253-H253</f>
        <v>0</v>
      </c>
      <c r="H253" s="9" t="n">
        <v>1180</v>
      </c>
      <c r="J253" s="55"/>
    </row>
    <row r="254" customFormat="false" ht="19.85" hidden="false" customHeight="true" outlineLevel="0" collapsed="false">
      <c r="A254" s="0" t="n">
        <v>30</v>
      </c>
      <c r="B254" s="34" t="n">
        <v>39904</v>
      </c>
      <c r="C254" s="26" t="n">
        <v>227456</v>
      </c>
      <c r="D254" s="29" t="s">
        <v>41</v>
      </c>
      <c r="E254" s="580" t="n">
        <f aca="false">IF(D254="totale",(C254/(A254*24))/F254,IF(D254="marché libre",(C254/(A254*24))/G254,"spécifier histo"))</f>
        <v>0.267721280602636</v>
      </c>
      <c r="F254" s="59" t="n">
        <v>1180</v>
      </c>
      <c r="G254" s="59" t="n">
        <f aca="false">F254-H254</f>
        <v>0</v>
      </c>
      <c r="H254" s="9" t="n">
        <v>1180</v>
      </c>
      <c r="J254" s="55"/>
    </row>
    <row r="255" customFormat="false" ht="19.85" hidden="false" customHeight="true" outlineLevel="0" collapsed="false">
      <c r="A255" s="0" t="n">
        <v>31</v>
      </c>
      <c r="B255" s="31" t="n">
        <v>39934</v>
      </c>
      <c r="C255" s="26" t="n">
        <v>48214</v>
      </c>
      <c r="D255" s="29" t="s">
        <v>41</v>
      </c>
      <c r="E255" s="580" t="n">
        <f aca="false">IF(D255="totale",(C255/(A255*24))/F255,IF(D255="marché libre",(C255/(A255*24))/G255,"spécifier histo"))</f>
        <v>0.0549184435939493</v>
      </c>
      <c r="F255" s="59" t="n">
        <v>1180</v>
      </c>
      <c r="G255" s="59" t="n">
        <f aca="false">F255-H255</f>
        <v>0</v>
      </c>
      <c r="H255" s="9" t="n">
        <v>1180</v>
      </c>
      <c r="J255" s="55"/>
    </row>
    <row r="256" customFormat="false" ht="19.85" hidden="false" customHeight="true" outlineLevel="0" collapsed="false">
      <c r="A256" s="0" t="n">
        <v>30</v>
      </c>
      <c r="B256" s="34" t="n">
        <v>39965</v>
      </c>
      <c r="C256" s="26" t="n">
        <v>24115</v>
      </c>
      <c r="D256" s="29" t="s">
        <v>41</v>
      </c>
      <c r="E256" s="580" t="n">
        <f aca="false">IF(D256="totale",(C256/(A256*24))/F256,IF(D256="marché libre",(C256/(A256*24))/G256,"spécifier histo"))</f>
        <v>0.028383945386064</v>
      </c>
      <c r="F256" s="59" t="n">
        <v>1180</v>
      </c>
      <c r="G256" s="59" t="n">
        <f aca="false">F256-H256</f>
        <v>0</v>
      </c>
      <c r="H256" s="9" t="n">
        <v>1180</v>
      </c>
      <c r="J256" s="55"/>
    </row>
    <row r="257" customFormat="false" ht="19.85" hidden="false" customHeight="true" outlineLevel="0" collapsed="false">
      <c r="A257" s="0" t="n">
        <v>31</v>
      </c>
      <c r="B257" s="31" t="n">
        <v>39995</v>
      </c>
      <c r="C257" s="26" t="n">
        <v>16912</v>
      </c>
      <c r="D257" s="29" t="s">
        <v>41</v>
      </c>
      <c r="E257" s="580" t="n">
        <f aca="false">IF(D257="totale",(C257/(A257*24))/F257,IF(D257="marché libre",(C257/(A257*24))/G257,"spécifier histo"))</f>
        <v>0.0192637142336432</v>
      </c>
      <c r="F257" s="59" t="n">
        <v>1180</v>
      </c>
      <c r="G257" s="59" t="n">
        <f aca="false">F257-H257</f>
        <v>0</v>
      </c>
      <c r="H257" s="9" t="n">
        <v>1180</v>
      </c>
      <c r="J257" s="55"/>
    </row>
    <row r="258" customFormat="false" ht="19.85" hidden="false" customHeight="true" outlineLevel="0" collapsed="false">
      <c r="A258" s="0" t="n">
        <v>31</v>
      </c>
      <c r="B258" s="34" t="n">
        <v>40026</v>
      </c>
      <c r="C258" s="26" t="n">
        <v>2549</v>
      </c>
      <c r="D258" s="29" t="s">
        <v>41</v>
      </c>
      <c r="E258" s="580" t="n">
        <f aca="false">IF(D258="totale",(C258/(A258*24))/F258,IF(D258="marché libre",(C258/(A258*24))/G258,"spécifier histo"))</f>
        <v>0.0029034536176417</v>
      </c>
      <c r="F258" s="59" t="n">
        <v>1180</v>
      </c>
      <c r="G258" s="59" t="n">
        <f aca="false">F258-H258</f>
        <v>0</v>
      </c>
      <c r="H258" s="9" t="n">
        <v>1180</v>
      </c>
      <c r="J258" s="55"/>
    </row>
    <row r="259" customFormat="false" ht="19.85" hidden="false" customHeight="true" outlineLevel="0" collapsed="false">
      <c r="A259" s="0" t="n">
        <v>30</v>
      </c>
      <c r="B259" s="31" t="n">
        <v>40057</v>
      </c>
      <c r="C259" s="26" t="n">
        <v>0</v>
      </c>
      <c r="D259" s="29" t="s">
        <v>41</v>
      </c>
      <c r="E259" s="580" t="n">
        <f aca="false">IF(D259="totale",(C259/(A259*24))/F259,IF(D259="marché libre",(C259/(A259*24))/G259,"spécifier histo"))</f>
        <v>0</v>
      </c>
      <c r="F259" s="59" t="n">
        <v>1180</v>
      </c>
      <c r="G259" s="59" t="n">
        <f aca="false">F259-H259</f>
        <v>0</v>
      </c>
      <c r="H259" s="9" t="n">
        <v>1180</v>
      </c>
      <c r="J259" s="55"/>
    </row>
    <row r="260" customFormat="false" ht="19.85" hidden="false" customHeight="true" outlineLevel="0" collapsed="false">
      <c r="A260" s="0" t="n">
        <v>31</v>
      </c>
      <c r="B260" s="34" t="n">
        <v>40087</v>
      </c>
      <c r="C260" s="26" t="n">
        <v>8096</v>
      </c>
      <c r="D260" s="29" t="s">
        <v>41</v>
      </c>
      <c r="E260" s="580" t="n">
        <f aca="false">IF(D260="totale",(C260/(A260*24))/F260,IF(D260="marché libre",(C260/(A260*24))/G260,"spécifier histo"))</f>
        <v>0.0092217969746674</v>
      </c>
      <c r="F260" s="59" t="n">
        <v>1180</v>
      </c>
      <c r="G260" s="59" t="n">
        <f aca="false">F260-H260</f>
        <v>0</v>
      </c>
      <c r="H260" s="9" t="n">
        <v>1180</v>
      </c>
      <c r="J260" s="55"/>
    </row>
    <row r="261" customFormat="false" ht="19.85" hidden="false" customHeight="true" outlineLevel="0" collapsed="false">
      <c r="A261" s="0" t="n">
        <v>30</v>
      </c>
      <c r="B261" s="31" t="n">
        <v>40118</v>
      </c>
      <c r="C261" s="26" t="n">
        <v>209664</v>
      </c>
      <c r="D261" s="29" t="s">
        <v>41</v>
      </c>
      <c r="E261" s="580" t="n">
        <f aca="false">IF(D261="totale",(C261/(A261*24))/F261,IF(D261="marché libre",(C261/(A261*24))/G261,"spécifier histo"))</f>
        <v>0.246779661016949</v>
      </c>
      <c r="F261" s="59" t="n">
        <v>1180</v>
      </c>
      <c r="G261" s="59" t="n">
        <f aca="false">F261-H261</f>
        <v>0</v>
      </c>
      <c r="H261" s="9" t="n">
        <v>1180</v>
      </c>
      <c r="J261" s="55"/>
    </row>
    <row r="262" customFormat="false" ht="19.85" hidden="false" customHeight="true" outlineLevel="0" collapsed="false">
      <c r="A262" s="0" t="n">
        <v>31</v>
      </c>
      <c r="B262" s="34" t="n">
        <v>40148</v>
      </c>
      <c r="C262" s="26" t="n">
        <v>196934</v>
      </c>
      <c r="D262" s="29" t="s">
        <v>41</v>
      </c>
      <c r="E262" s="580" t="n">
        <f aca="false">IF(D262="totale",(C262/(A262*24))/F262,IF(D262="marché libre",(C262/(A262*24))/G262,"spécifier histo"))</f>
        <v>0.224318844541644</v>
      </c>
      <c r="F262" s="59" t="n">
        <v>1180</v>
      </c>
      <c r="G262" s="59" t="n">
        <f aca="false">F262-H262</f>
        <v>0</v>
      </c>
      <c r="H262" s="9" t="n">
        <v>1180</v>
      </c>
      <c r="J262" s="55"/>
    </row>
    <row r="263" customFormat="false" ht="19.85" hidden="false" customHeight="true" outlineLevel="0" collapsed="false">
      <c r="A263" s="0" t="n">
        <v>31</v>
      </c>
      <c r="B263" s="31" t="n">
        <v>40179</v>
      </c>
      <c r="C263" s="26" t="n">
        <v>262152</v>
      </c>
      <c r="D263" s="29" t="s">
        <v>41</v>
      </c>
      <c r="E263" s="580" t="n">
        <f aca="false">IF(D263="totale",(C263/(A263*24))/F263,IF(D263="marché libre",(C263/(A263*24))/G263,"spécifier histo"))</f>
        <v>0.298605795516676</v>
      </c>
      <c r="F263" s="59" t="n">
        <v>1180</v>
      </c>
      <c r="G263" s="59" t="n">
        <f aca="false">F263-H263</f>
        <v>0</v>
      </c>
      <c r="H263" s="9" t="n">
        <v>1180</v>
      </c>
      <c r="J263" s="55"/>
    </row>
    <row r="264" customFormat="false" ht="19.85" hidden="false" customHeight="true" outlineLevel="0" collapsed="false">
      <c r="A264" s="0" t="n">
        <v>28</v>
      </c>
      <c r="B264" s="34" t="n">
        <v>40210</v>
      </c>
      <c r="C264" s="26" t="n">
        <v>253859</v>
      </c>
      <c r="D264" s="29" t="s">
        <v>41</v>
      </c>
      <c r="E264" s="580" t="n">
        <f aca="false">IF(D264="totale",(C264/(A264*24))/F264,IF(D264="marché libre",(C264/(A264*24))/G264,"spécifier histo"))</f>
        <v>0.320140990718321</v>
      </c>
      <c r="F264" s="59" t="n">
        <v>1180</v>
      </c>
      <c r="G264" s="59" t="n">
        <f aca="false">F264-H264</f>
        <v>0</v>
      </c>
      <c r="H264" s="9" t="n">
        <v>1180</v>
      </c>
      <c r="J264" s="55"/>
    </row>
    <row r="265" customFormat="false" ht="19.85" hidden="false" customHeight="true" outlineLevel="0" collapsed="false">
      <c r="A265" s="0" t="n">
        <v>31</v>
      </c>
      <c r="B265" s="31" t="n">
        <v>40238</v>
      </c>
      <c r="C265" s="26" t="n">
        <v>301853</v>
      </c>
      <c r="D265" s="29" t="s">
        <v>41</v>
      </c>
      <c r="E265" s="580" t="n">
        <f aca="false">IF(D265="totale",(C265/(A265*24))/F265,IF(D265="marché libre",(C265/(A265*24))/G265,"spécifier histo"))</f>
        <v>0.343827455804629</v>
      </c>
      <c r="F265" s="59" t="n">
        <v>1180</v>
      </c>
      <c r="G265" s="59" t="n">
        <f aca="false">F265-H265</f>
        <v>0</v>
      </c>
      <c r="H265" s="9" t="n">
        <v>1180</v>
      </c>
      <c r="J265" s="55"/>
    </row>
    <row r="266" customFormat="false" ht="19.85" hidden="false" customHeight="true" outlineLevel="0" collapsed="false">
      <c r="A266" s="0" t="n">
        <v>30</v>
      </c>
      <c r="B266" s="34" t="n">
        <v>40269</v>
      </c>
      <c r="C266" s="26" t="n">
        <v>175616</v>
      </c>
      <c r="D266" s="29" t="s">
        <v>41</v>
      </c>
      <c r="E266" s="580" t="n">
        <f aca="false">IF(D266="totale",(C266/(A266*24))/F266,IF(D266="marché libre",(C266/(A266*24))/G266,"spécifier histo"))</f>
        <v>0.206704331450094</v>
      </c>
      <c r="F266" s="59" t="n">
        <v>1180</v>
      </c>
      <c r="G266" s="59" t="n">
        <f aca="false">F266-H266</f>
        <v>0</v>
      </c>
      <c r="H266" s="9" t="n">
        <v>1180</v>
      </c>
      <c r="J266" s="55"/>
    </row>
    <row r="267" customFormat="false" ht="19.85" hidden="false" customHeight="true" outlineLevel="0" collapsed="false">
      <c r="A267" s="0" t="n">
        <v>31</v>
      </c>
      <c r="B267" s="31" t="n">
        <v>40299</v>
      </c>
      <c r="C267" s="26" t="n">
        <v>81715</v>
      </c>
      <c r="D267" s="29" t="s">
        <v>41</v>
      </c>
      <c r="E267" s="580" t="n">
        <f aca="false">IF(D267="totale",(C267/(A267*24))/F267,IF(D267="marché libre",(C267/(A267*24))/G267,"spécifier histo"))</f>
        <v>0.0930779569892473</v>
      </c>
      <c r="F267" s="59" t="n">
        <v>1180</v>
      </c>
      <c r="G267" s="59" t="n">
        <f aca="false">F267-H267</f>
        <v>0</v>
      </c>
      <c r="H267" s="9" t="n">
        <v>1180</v>
      </c>
      <c r="J267" s="55"/>
    </row>
    <row r="268" customFormat="false" ht="19.85" hidden="false" customHeight="true" outlineLevel="0" collapsed="false">
      <c r="A268" s="0" t="n">
        <v>30</v>
      </c>
      <c r="B268" s="34" t="n">
        <v>40330</v>
      </c>
      <c r="C268" s="26" t="n">
        <v>62874</v>
      </c>
      <c r="D268" s="29" t="s">
        <v>41</v>
      </c>
      <c r="E268" s="580" t="n">
        <f aca="false">IF(D268="totale",(C268/(A268*24))/F268,IF(D268="marché libre",(C268/(A268*24))/G268,"spécifier histo"))</f>
        <v>0.0740042372881356</v>
      </c>
      <c r="F268" s="59" t="n">
        <v>1180</v>
      </c>
      <c r="G268" s="59" t="n">
        <f aca="false">F268-H268</f>
        <v>0</v>
      </c>
      <c r="H268" s="9" t="n">
        <v>1180</v>
      </c>
      <c r="J268" s="55"/>
    </row>
    <row r="269" customFormat="false" ht="19.85" hidden="false" customHeight="true" outlineLevel="0" collapsed="false">
      <c r="A269" s="0" t="n">
        <v>31</v>
      </c>
      <c r="B269" s="31" t="n">
        <v>40360</v>
      </c>
      <c r="C269" s="26" t="n">
        <v>2195</v>
      </c>
      <c r="D269" s="29" t="s">
        <v>41</v>
      </c>
      <c r="E269" s="580" t="n">
        <f aca="false">IF(D269="totale",(C269/(A269*24))/F269,IF(D269="marché libre",(C269/(A269*24))/G269,"spécifier histo"))</f>
        <v>0.00250022781119009</v>
      </c>
      <c r="F269" s="59" t="n">
        <v>1180</v>
      </c>
      <c r="G269" s="59" t="n">
        <f aca="false">F269-H269</f>
        <v>0</v>
      </c>
      <c r="H269" s="9" t="n">
        <v>1180</v>
      </c>
      <c r="J269" s="55"/>
    </row>
    <row r="270" customFormat="false" ht="19.85" hidden="false" customHeight="true" outlineLevel="0" collapsed="false">
      <c r="A270" s="0" t="n">
        <v>31</v>
      </c>
      <c r="B270" s="34" t="n">
        <v>40391</v>
      </c>
      <c r="C270" s="26" t="n">
        <v>18029</v>
      </c>
      <c r="D270" s="29" t="s">
        <v>41</v>
      </c>
      <c r="E270" s="580" t="n">
        <f aca="false">IF(D270="totale",(C270/(A270*24))/F270,IF(D270="marché libre",(C270/(A270*24))/G270,"spécifier histo"))</f>
        <v>0.0205360397302716</v>
      </c>
      <c r="F270" s="59" t="n">
        <v>1180</v>
      </c>
      <c r="G270" s="59" t="n">
        <f aca="false">F270-H270</f>
        <v>0</v>
      </c>
      <c r="H270" s="9" t="n">
        <v>1180</v>
      </c>
      <c r="J270" s="55"/>
    </row>
    <row r="271" customFormat="false" ht="19.85" hidden="false" customHeight="true" outlineLevel="0" collapsed="false">
      <c r="A271" s="0" t="n">
        <v>30</v>
      </c>
      <c r="B271" s="31" t="n">
        <v>40422</v>
      </c>
      <c r="C271" s="26" t="n">
        <v>63818</v>
      </c>
      <c r="D271" s="29" t="s">
        <v>41</v>
      </c>
      <c r="E271" s="580" t="n">
        <f aca="false">IF(D271="totale",(C271/(A271*24))/F271,IF(D271="marché libre",(C271/(A271*24))/G271,"spécifier histo"))</f>
        <v>0.0751153483992467</v>
      </c>
      <c r="F271" s="59" t="n">
        <v>1180</v>
      </c>
      <c r="G271" s="59" t="n">
        <f aca="false">F271-H271</f>
        <v>0</v>
      </c>
      <c r="H271" s="9" t="n">
        <v>1180</v>
      </c>
      <c r="J271" s="55"/>
    </row>
    <row r="272" customFormat="false" ht="19.85" hidden="false" customHeight="true" outlineLevel="0" collapsed="false">
      <c r="A272" s="0" t="n">
        <v>31</v>
      </c>
      <c r="B272" s="34" t="n">
        <v>40452</v>
      </c>
      <c r="C272" s="26" t="n">
        <v>78531</v>
      </c>
      <c r="D272" s="29" t="s">
        <v>41</v>
      </c>
      <c r="E272" s="580" t="n">
        <f aca="false">IF(D272="totale",(C272/(A272*24))/F272,IF(D272="marché libre",(C272/(A272*24))/G272,"spécifier histo"))</f>
        <v>0.0894512028430836</v>
      </c>
      <c r="F272" s="59" t="n">
        <v>1180</v>
      </c>
      <c r="G272" s="59" t="n">
        <f aca="false">F272-H272</f>
        <v>0</v>
      </c>
      <c r="H272" s="9" t="n">
        <v>1180</v>
      </c>
      <c r="J272" s="55"/>
    </row>
    <row r="273" customFormat="false" ht="19.85" hidden="false" customHeight="true" outlineLevel="0" collapsed="false">
      <c r="A273" s="0" t="n">
        <v>30</v>
      </c>
      <c r="B273" s="31" t="n">
        <v>40483</v>
      </c>
      <c r="C273" s="26" t="n">
        <v>243149</v>
      </c>
      <c r="D273" s="29" t="s">
        <v>41</v>
      </c>
      <c r="E273" s="580" t="n">
        <f aca="false">IF(D273="totale",(C273/(A273*24))/F273,IF(D273="marché libre",(C273/(A273*24))/G273,"spécifier histo"))</f>
        <v>0.286192325800377</v>
      </c>
      <c r="F273" s="59" t="n">
        <v>1180</v>
      </c>
      <c r="G273" s="59" t="n">
        <f aca="false">F273-H273</f>
        <v>0</v>
      </c>
      <c r="H273" s="9" t="n">
        <v>1180</v>
      </c>
      <c r="J273" s="55"/>
    </row>
    <row r="274" customFormat="false" ht="19.85" hidden="false" customHeight="true" outlineLevel="0" collapsed="false">
      <c r="A274" s="0" t="n">
        <v>31</v>
      </c>
      <c r="B274" s="34" t="n">
        <v>40513</v>
      </c>
      <c r="C274" s="26" t="n">
        <v>204365</v>
      </c>
      <c r="D274" s="29" t="s">
        <v>41</v>
      </c>
      <c r="E274" s="580" t="n">
        <f aca="false">IF(D274="totale",(C274/(A274*24))/F274,IF(D274="marché libre",(C274/(A274*24))/G274,"spécifier histo"))</f>
        <v>0.232783169309276</v>
      </c>
      <c r="F274" s="59" t="n">
        <v>1180</v>
      </c>
      <c r="G274" s="59" t="n">
        <f aca="false">F274-H274</f>
        <v>0</v>
      </c>
      <c r="H274" s="9" t="n">
        <v>1180</v>
      </c>
      <c r="J274" s="55"/>
    </row>
    <row r="275" customFormat="false" ht="19.85" hidden="false" customHeight="true" outlineLevel="0" collapsed="false">
      <c r="A275" s="0" t="n">
        <v>31</v>
      </c>
      <c r="B275" s="31" t="n">
        <v>40544</v>
      </c>
      <c r="C275" s="26" t="n">
        <v>279504</v>
      </c>
      <c r="D275" s="29" t="s">
        <v>41</v>
      </c>
      <c r="E275" s="580" t="n">
        <f aca="false">IF(D275="totale",(C275/(A275*24))/F275,IF(D275="marché libre",(C275/(A275*24))/G275,"spécifier histo"))</f>
        <v>0.318370694368507</v>
      </c>
      <c r="F275" s="59" t="n">
        <v>1180</v>
      </c>
      <c r="G275" s="59" t="n">
        <f aca="false">F275-H275</f>
        <v>0</v>
      </c>
      <c r="H275" s="9" t="n">
        <v>1180</v>
      </c>
      <c r="J275" s="55"/>
    </row>
    <row r="276" customFormat="false" ht="19.85" hidden="false" customHeight="true" outlineLevel="0" collapsed="false">
      <c r="A276" s="0" t="n">
        <v>28</v>
      </c>
      <c r="B276" s="34" t="n">
        <v>40575</v>
      </c>
      <c r="C276" s="26" t="n">
        <v>162994</v>
      </c>
      <c r="D276" s="29" t="s">
        <v>41</v>
      </c>
      <c r="E276" s="580" t="n">
        <f aca="false">IF(D276="totale",(C276/(A276*24))/F276,IF(D276="marché libre",(C276/(A276*24))/G276,"spécifier histo"))</f>
        <v>0.205551351896691</v>
      </c>
      <c r="F276" s="59" t="n">
        <v>1180</v>
      </c>
      <c r="G276" s="59" t="n">
        <f aca="false">F276-H276</f>
        <v>0</v>
      </c>
      <c r="H276" s="9" t="n">
        <v>1180</v>
      </c>
      <c r="J276" s="55"/>
    </row>
    <row r="277" customFormat="false" ht="19.85" hidden="false" customHeight="true" outlineLevel="0" collapsed="false">
      <c r="A277" s="0" t="n">
        <v>31</v>
      </c>
      <c r="B277" s="31" t="n">
        <v>40603</v>
      </c>
      <c r="C277" s="26" t="n">
        <v>128893</v>
      </c>
      <c r="D277" s="29" t="s">
        <v>41</v>
      </c>
      <c r="E277" s="580" t="n">
        <f aca="false">IF(D277="totale",(C277/(A277*24))/F277,IF(D277="marché libre",(C277/(A277*24))/G277,"spécifier histo"))</f>
        <v>0.146816338618553</v>
      </c>
      <c r="F277" s="59" t="n">
        <v>1180</v>
      </c>
      <c r="G277" s="59" t="n">
        <f aca="false">F277-H277</f>
        <v>0</v>
      </c>
      <c r="H277" s="9" t="n">
        <v>1180</v>
      </c>
      <c r="J277" s="55"/>
    </row>
    <row r="278" customFormat="false" ht="19.85" hidden="false" customHeight="true" outlineLevel="0" collapsed="false">
      <c r="A278" s="0" t="n">
        <v>30</v>
      </c>
      <c r="B278" s="34" t="n">
        <v>40634</v>
      </c>
      <c r="C278" s="26" t="n">
        <v>70656</v>
      </c>
      <c r="D278" s="29" t="s">
        <v>41</v>
      </c>
      <c r="E278" s="580" t="n">
        <f aca="false">IF(D278="totale",(C278/(A278*24))/F278,IF(D278="marché libre",(C278/(A278*24))/G278,"spécifier histo"))</f>
        <v>0.0831638418079096</v>
      </c>
      <c r="F278" s="59" t="n">
        <v>1180</v>
      </c>
      <c r="G278" s="59" t="n">
        <f aca="false">F278-H278</f>
        <v>0</v>
      </c>
      <c r="H278" s="9" t="n">
        <v>1180</v>
      </c>
      <c r="J278" s="55"/>
    </row>
    <row r="279" customFormat="false" ht="19.85" hidden="false" customHeight="true" outlineLevel="0" collapsed="false">
      <c r="A279" s="0" t="n">
        <v>31</v>
      </c>
      <c r="B279" s="31" t="n">
        <v>40664</v>
      </c>
      <c r="C279" s="26" t="n">
        <v>12221</v>
      </c>
      <c r="D279" s="29" t="s">
        <v>41</v>
      </c>
      <c r="E279" s="580" t="n">
        <f aca="false">IF(D279="totale",(C279/(A279*24))/F279,IF(D279="marché libre",(C279/(A279*24))/G279,"spécifier histo"))</f>
        <v>0.0139204027701841</v>
      </c>
      <c r="F279" s="59" t="n">
        <v>1180</v>
      </c>
      <c r="G279" s="59" t="n">
        <f aca="false">F279-H279</f>
        <v>0</v>
      </c>
      <c r="H279" s="9" t="n">
        <v>1180</v>
      </c>
      <c r="J279" s="55"/>
    </row>
    <row r="280" customFormat="false" ht="19.85" hidden="false" customHeight="true" outlineLevel="0" collapsed="false">
      <c r="A280" s="0" t="n">
        <v>30</v>
      </c>
      <c r="B280" s="34" t="n">
        <v>40695</v>
      </c>
      <c r="C280" s="26" t="n">
        <v>34202</v>
      </c>
      <c r="D280" s="29" t="s">
        <v>41</v>
      </c>
      <c r="E280" s="580" t="n">
        <f aca="false">IF(D280="totale",(C280/(A280*24))/F280,IF(D280="marché libre",(C280/(A280*24))/G280,"spécifier histo"))</f>
        <v>0.0402565913370998</v>
      </c>
      <c r="F280" s="59" t="n">
        <v>1180</v>
      </c>
      <c r="G280" s="59" t="n">
        <f aca="false">F280-H280</f>
        <v>0</v>
      </c>
      <c r="H280" s="9" t="n">
        <v>1180</v>
      </c>
      <c r="J280" s="55"/>
    </row>
    <row r="281" customFormat="false" ht="19.85" hidden="false" customHeight="true" outlineLevel="0" collapsed="false">
      <c r="A281" s="0" t="n">
        <v>31</v>
      </c>
      <c r="B281" s="31" t="n">
        <v>40725</v>
      </c>
      <c r="C281" s="26" t="n">
        <v>34272</v>
      </c>
      <c r="D281" s="29" t="s">
        <v>41</v>
      </c>
      <c r="E281" s="580" t="n">
        <f aca="false">IF(D281="totale",(C281/(A281*24))/F281,IF(D281="marché libre",(C281/(A281*24))/G281,"spécifier histo"))</f>
        <v>0.0390377255330782</v>
      </c>
      <c r="F281" s="59" t="n">
        <v>1180</v>
      </c>
      <c r="G281" s="59" t="n">
        <f aca="false">F281-H281</f>
        <v>0</v>
      </c>
      <c r="H281" s="9" t="n">
        <v>1180</v>
      </c>
      <c r="J281" s="55"/>
    </row>
    <row r="282" customFormat="false" ht="19.85" hidden="false" customHeight="true" outlineLevel="0" collapsed="false">
      <c r="A282" s="0" t="n">
        <v>31</v>
      </c>
      <c r="B282" s="34" t="n">
        <v>40756</v>
      </c>
      <c r="C282" s="26" t="n">
        <v>15394</v>
      </c>
      <c r="D282" s="29" t="s">
        <v>41</v>
      </c>
      <c r="E282" s="580" t="n">
        <f aca="false">IF(D282="totale",(C282/(A282*24))/F282,IF(D282="marché libre",(C282/(A282*24))/G282,"spécifier histo"))</f>
        <v>0.017534627300893</v>
      </c>
      <c r="F282" s="59" t="n">
        <v>1180</v>
      </c>
      <c r="G282" s="59" t="n">
        <f aca="false">F282-H282</f>
        <v>0</v>
      </c>
      <c r="H282" s="9" t="n">
        <v>1180</v>
      </c>
      <c r="J282" s="55"/>
    </row>
    <row r="283" customFormat="false" ht="19.85" hidden="false" customHeight="true" outlineLevel="0" collapsed="false">
      <c r="A283" s="0" t="n">
        <v>30</v>
      </c>
      <c r="B283" s="31" t="n">
        <v>40787</v>
      </c>
      <c r="C283" s="26" t="n">
        <v>23302</v>
      </c>
      <c r="D283" s="29" t="s">
        <v>41</v>
      </c>
      <c r="E283" s="580" t="n">
        <f aca="false">IF(D283="totale",(C283/(A283*24))/F283,IF(D283="marché libre",(C283/(A283*24))/G283,"spécifier histo"))</f>
        <v>0.0274270244821092</v>
      </c>
      <c r="F283" s="59" t="n">
        <v>1180</v>
      </c>
      <c r="G283" s="59" t="n">
        <f aca="false">F283-H283</f>
        <v>0</v>
      </c>
      <c r="H283" s="9" t="n">
        <v>1180</v>
      </c>
      <c r="J283" s="55"/>
    </row>
    <row r="284" customFormat="false" ht="19.85" hidden="false" customHeight="true" outlineLevel="0" collapsed="false">
      <c r="A284" s="0" t="n">
        <v>31</v>
      </c>
      <c r="B284" s="34" t="n">
        <v>40817</v>
      </c>
      <c r="C284" s="26" t="n">
        <v>57114</v>
      </c>
      <c r="D284" s="29" t="s">
        <v>41</v>
      </c>
      <c r="E284" s="580" t="n">
        <f aca="false">IF(D284="totale",(C284/(A284*24))/F284,IF(D284="marché libre",(C284/(A284*24))/G284,"spécifier histo"))</f>
        <v>0.0650560415527611</v>
      </c>
      <c r="F284" s="59" t="n">
        <v>1180</v>
      </c>
      <c r="G284" s="59" t="n">
        <f aca="false">F284-H284</f>
        <v>0</v>
      </c>
      <c r="H284" s="9" t="n">
        <v>1180</v>
      </c>
      <c r="J284" s="55"/>
    </row>
    <row r="285" customFormat="false" ht="19.85" hidden="false" customHeight="true" outlineLevel="0" collapsed="false">
      <c r="A285" s="0" t="n">
        <v>30</v>
      </c>
      <c r="B285" s="31" t="n">
        <v>40848</v>
      </c>
      <c r="C285" s="26" t="n">
        <v>11290</v>
      </c>
      <c r="D285" s="29" t="s">
        <v>41</v>
      </c>
      <c r="E285" s="580" t="n">
        <f aca="false">IF(D285="totale",(C285/(A285*24))/F285,IF(D285="marché libre",(C285/(A285*24))/G285,"spécifier histo"))</f>
        <v>0.0132886064030132</v>
      </c>
      <c r="F285" s="59" t="n">
        <v>1180</v>
      </c>
      <c r="G285" s="59" t="n">
        <f aca="false">F285-H285</f>
        <v>0</v>
      </c>
      <c r="H285" s="9" t="n">
        <v>1180</v>
      </c>
      <c r="J285" s="55"/>
    </row>
    <row r="286" customFormat="false" ht="19.85" hidden="false" customHeight="true" outlineLevel="0" collapsed="false">
      <c r="A286" s="0" t="n">
        <v>31</v>
      </c>
      <c r="B286" s="34" t="n">
        <v>40878</v>
      </c>
      <c r="C286" s="26" t="n">
        <v>118022</v>
      </c>
      <c r="D286" s="29" t="s">
        <v>41</v>
      </c>
      <c r="E286" s="580" t="n">
        <f aca="false">IF(D286="totale",(C286/(A286*24))/F286,IF(D286="marché libre",(C286/(A286*24))/G286,"spécifier histo"))</f>
        <v>0.134433661381447</v>
      </c>
      <c r="F286" s="59" t="n">
        <v>1180</v>
      </c>
      <c r="G286" s="59" t="n">
        <f aca="false">F286-H286</f>
        <v>0</v>
      </c>
      <c r="H286" s="9" t="n">
        <v>1180</v>
      </c>
      <c r="J286" s="55"/>
    </row>
    <row r="287" customFormat="false" ht="19.85" hidden="false" customHeight="true" outlineLevel="0" collapsed="false">
      <c r="A287" s="0" t="n">
        <v>31</v>
      </c>
      <c r="B287" s="31" t="n">
        <v>40909</v>
      </c>
      <c r="C287" s="26" t="n">
        <v>242856</v>
      </c>
      <c r="D287" s="29" t="s">
        <v>41</v>
      </c>
      <c r="E287" s="580" t="n">
        <f aca="false">IF(D287="totale",(C287/(A287*24))/F287,IF(D287="marché libre",(C287/(A287*24))/G287,"spécifier histo"))</f>
        <v>0.276626571897212</v>
      </c>
      <c r="F287" s="59" t="n">
        <v>1180</v>
      </c>
      <c r="G287" s="59" t="n">
        <f aca="false">F287-H287</f>
        <v>0</v>
      </c>
      <c r="H287" s="9" t="n">
        <v>1180</v>
      </c>
      <c r="J287" s="55"/>
    </row>
    <row r="288" customFormat="false" ht="19.85" hidden="false" customHeight="true" outlineLevel="0" collapsed="false">
      <c r="A288" s="0" t="n">
        <v>28</v>
      </c>
      <c r="B288" s="34" t="n">
        <v>40940</v>
      </c>
      <c r="C288" s="26" t="n">
        <v>147470</v>
      </c>
      <c r="D288" s="29" t="s">
        <v>41</v>
      </c>
      <c r="E288" s="580" t="n">
        <f aca="false">IF(D288="totale",(C288/(A288*24))/F288,IF(D288="marché libre",(C288/(A288*24))/G288,"spécifier histo"))</f>
        <v>0.185974071832123</v>
      </c>
      <c r="F288" s="59" t="n">
        <v>1180</v>
      </c>
      <c r="G288" s="59" t="n">
        <f aca="false">F288-H288</f>
        <v>0</v>
      </c>
      <c r="H288" s="9" t="n">
        <v>1180</v>
      </c>
      <c r="J288" s="55"/>
    </row>
    <row r="289" customFormat="false" ht="19.85" hidden="false" customHeight="true" outlineLevel="0" collapsed="false">
      <c r="A289" s="0" t="n">
        <v>31</v>
      </c>
      <c r="B289" s="31" t="n">
        <v>40969</v>
      </c>
      <c r="C289" s="26" t="n">
        <v>146866</v>
      </c>
      <c r="D289" s="29" t="s">
        <v>41</v>
      </c>
      <c r="E289" s="580" t="n">
        <f aca="false">IF(D289="totale",(C289/(A289*24))/F289,IF(D289="marché libre",(C289/(A289*24))/G289,"spécifier histo"))</f>
        <v>0.167288591215601</v>
      </c>
      <c r="F289" s="59" t="n">
        <v>1180</v>
      </c>
      <c r="G289" s="59" t="n">
        <f aca="false">F289-H289</f>
        <v>0</v>
      </c>
      <c r="H289" s="9" t="n">
        <v>1180</v>
      </c>
      <c r="J289" s="55"/>
    </row>
    <row r="290" customFormat="false" ht="19.85" hidden="false" customHeight="true" outlineLevel="0" collapsed="false">
      <c r="A290" s="0" t="n">
        <v>30</v>
      </c>
      <c r="B290" s="34" t="n">
        <v>41000</v>
      </c>
      <c r="C290" s="26" t="n">
        <v>106432</v>
      </c>
      <c r="D290" s="29" t="s">
        <v>41</v>
      </c>
      <c r="E290" s="580" t="n">
        <f aca="false">IF(D290="totale",(C290/(A290*24))/F290,IF(D290="marché libre",(C290/(A290*24))/G290,"spécifier histo"))</f>
        <v>0.125273069679849</v>
      </c>
      <c r="F290" s="59" t="n">
        <v>1180</v>
      </c>
      <c r="G290" s="59" t="n">
        <f aca="false">F290-H290</f>
        <v>0</v>
      </c>
      <c r="H290" s="9" t="n">
        <v>1180</v>
      </c>
      <c r="J290" s="55"/>
    </row>
    <row r="291" customFormat="false" ht="19.85" hidden="false" customHeight="true" outlineLevel="0" collapsed="false">
      <c r="A291" s="0" t="n">
        <v>31</v>
      </c>
      <c r="B291" s="31" t="n">
        <v>41030</v>
      </c>
      <c r="C291" s="26" t="n">
        <v>103664</v>
      </c>
      <c r="D291" s="29" t="s">
        <v>41</v>
      </c>
      <c r="E291" s="580" t="n">
        <f aca="false">IF(D291="totale",(C291/(A291*24))/F291,IF(D291="marché libre",(C291/(A291*24))/G291,"spécifier histo"))</f>
        <v>0.118079096045198</v>
      </c>
      <c r="F291" s="59" t="n">
        <v>1180</v>
      </c>
      <c r="G291" s="59" t="n">
        <f aca="false">F291-H291</f>
        <v>0</v>
      </c>
      <c r="H291" s="9" t="n">
        <v>1180</v>
      </c>
      <c r="J291" s="55"/>
    </row>
    <row r="292" customFormat="false" ht="19.85" hidden="false" customHeight="true" outlineLevel="0" collapsed="false">
      <c r="A292" s="0" t="n">
        <v>30</v>
      </c>
      <c r="B292" s="34" t="n">
        <v>41061</v>
      </c>
      <c r="C292" s="26" t="n">
        <v>134731</v>
      </c>
      <c r="D292" s="29" t="s">
        <v>41</v>
      </c>
      <c r="E292" s="580" t="n">
        <f aca="false">IF(D292="totale",(C292/(A292*24))/F292,IF(D292="marché libre",(C292/(A292*24))/G292,"spécifier histo"))</f>
        <v>0.158581685499058</v>
      </c>
      <c r="F292" s="59" t="n">
        <v>1180</v>
      </c>
      <c r="G292" s="59" t="n">
        <f aca="false">F292-H292</f>
        <v>0</v>
      </c>
      <c r="H292" s="9" t="n">
        <v>1180</v>
      </c>
      <c r="J292" s="55"/>
    </row>
    <row r="293" customFormat="false" ht="19.85" hidden="false" customHeight="true" outlineLevel="0" collapsed="false">
      <c r="A293" s="0" t="n">
        <v>31</v>
      </c>
      <c r="B293" s="31" t="n">
        <v>41091</v>
      </c>
      <c r="C293" s="26" t="n">
        <v>22810</v>
      </c>
      <c r="D293" s="29" t="s">
        <v>41</v>
      </c>
      <c r="E293" s="580" t="n">
        <f aca="false">IF(D293="totale",(C293/(A293*24))/F293,IF(D293="marché libre",(C293/(A293*24))/G293,"spécifier histo"))</f>
        <v>0.0259818662292692</v>
      </c>
      <c r="F293" s="59" t="n">
        <v>1180</v>
      </c>
      <c r="G293" s="59" t="n">
        <f aca="false">F293-H293</f>
        <v>0</v>
      </c>
      <c r="H293" s="9" t="n">
        <v>1180</v>
      </c>
      <c r="J293" s="55"/>
    </row>
    <row r="294" customFormat="false" ht="19.85" hidden="false" customHeight="true" outlineLevel="0" collapsed="false">
      <c r="A294" s="0" t="n">
        <v>31</v>
      </c>
      <c r="B294" s="34" t="n">
        <v>41122</v>
      </c>
      <c r="C294" s="26" t="n">
        <v>565</v>
      </c>
      <c r="D294" s="29" t="s">
        <v>41</v>
      </c>
      <c r="E294" s="580" t="n">
        <f aca="false">IF(D294="totale",(C294/(A294*24))/F294,IF(D294="marché libre",(C294/(A294*24))/G294,"spécifier histo"))</f>
        <v>0.000643566611991981</v>
      </c>
      <c r="F294" s="59" t="n">
        <v>1180</v>
      </c>
      <c r="G294" s="59" t="n">
        <f aca="false">F294-H294</f>
        <v>0</v>
      </c>
      <c r="H294" s="9" t="n">
        <v>1180</v>
      </c>
      <c r="J294" s="55"/>
    </row>
    <row r="295" customFormat="false" ht="19.85" hidden="false" customHeight="true" outlineLevel="0" collapsed="false">
      <c r="A295" s="0" t="n">
        <v>30</v>
      </c>
      <c r="B295" s="31" t="n">
        <v>41153</v>
      </c>
      <c r="C295" s="26" t="n">
        <v>13730</v>
      </c>
      <c r="D295" s="29" t="s">
        <v>41</v>
      </c>
      <c r="E295" s="580" t="n">
        <f aca="false">IF(D295="totale",(C295/(A295*24))/F295,IF(D295="marché libre",(C295/(A295*24))/G295,"spécifier histo"))</f>
        <v>0.0161605461393597</v>
      </c>
      <c r="F295" s="59" t="n">
        <v>1180</v>
      </c>
      <c r="G295" s="59" t="n">
        <f aca="false">F295-H295</f>
        <v>0</v>
      </c>
      <c r="H295" s="9" t="n">
        <v>1180</v>
      </c>
      <c r="J295" s="55"/>
    </row>
    <row r="296" customFormat="false" ht="19.85" hidden="false" customHeight="true" outlineLevel="0" collapsed="false">
      <c r="A296" s="0" t="n">
        <v>31</v>
      </c>
      <c r="B296" s="34" t="n">
        <v>41183</v>
      </c>
      <c r="C296" s="26" t="n">
        <v>98040</v>
      </c>
      <c r="D296" s="29" t="s">
        <v>41</v>
      </c>
      <c r="E296" s="580" t="n">
        <f aca="false">IF(D296="totale",(C296/(A296*24))/F296,IF(D296="marché libre",(C296/(A296*24))/G296,"spécifier histo"))</f>
        <v>0.111673045379989</v>
      </c>
      <c r="F296" s="59" t="n">
        <v>1180</v>
      </c>
      <c r="G296" s="59" t="n">
        <f aca="false">F296-H296</f>
        <v>0</v>
      </c>
      <c r="H296" s="9" t="n">
        <v>1180</v>
      </c>
      <c r="J296" s="55"/>
    </row>
    <row r="297" customFormat="false" ht="19.85" hidden="false" customHeight="true" outlineLevel="0" collapsed="false">
      <c r="A297" s="0" t="n">
        <v>30</v>
      </c>
      <c r="B297" s="31" t="n">
        <v>41214</v>
      </c>
      <c r="C297" s="26" t="n">
        <v>226200</v>
      </c>
      <c r="D297" s="29" t="s">
        <v>41</v>
      </c>
      <c r="E297" s="580" t="n">
        <f aca="false">IF(D297="totale",(C297/(A297*24))/F297,IF(D297="marché libre",(C297/(A297*24))/G297,"spécifier histo"))</f>
        <v>0.266242937853107</v>
      </c>
      <c r="F297" s="59" t="n">
        <v>1180</v>
      </c>
      <c r="G297" s="59" t="n">
        <f aca="false">F297-H297</f>
        <v>0</v>
      </c>
      <c r="H297" s="9" t="n">
        <v>1180</v>
      </c>
      <c r="J297" s="55"/>
    </row>
    <row r="298" customFormat="false" ht="19.85" hidden="false" customHeight="true" outlineLevel="0" collapsed="false">
      <c r="A298" s="0" t="n">
        <v>31</v>
      </c>
      <c r="B298" s="34" t="n">
        <v>41244</v>
      </c>
      <c r="C298" s="26" t="n">
        <v>149206</v>
      </c>
      <c r="D298" s="29" t="s">
        <v>41</v>
      </c>
      <c r="E298" s="580" t="n">
        <f aca="false">IF(D298="totale",(C298/(A298*24))/F298,IF(D298="marché libre",(C298/(A298*24))/G298,"spécifier histo"))</f>
        <v>0.169953982139603</v>
      </c>
      <c r="F298" s="59" t="n">
        <v>1180</v>
      </c>
      <c r="G298" s="59" t="n">
        <f aca="false">F298-H298</f>
        <v>0</v>
      </c>
      <c r="H298" s="9" t="n">
        <v>1180</v>
      </c>
      <c r="J298" s="55"/>
    </row>
    <row r="299" customFormat="false" ht="19.85" hidden="false" customHeight="true" outlineLevel="0" collapsed="false">
      <c r="A299" s="0" t="n">
        <v>31</v>
      </c>
      <c r="B299" s="31" t="n">
        <v>41275</v>
      </c>
      <c r="C299" s="26" t="n">
        <v>211479</v>
      </c>
      <c r="D299" s="29" t="s">
        <v>42</v>
      </c>
      <c r="E299" s="580" t="n">
        <f aca="false">IF(D299="totale",(C299/(A299*24))/F299,IF(D299="marché libre",(C299/(A299*24))/G299,"spécifier histo"))</f>
        <v>0.406065668202765</v>
      </c>
      <c r="F299" s="59" t="n">
        <v>1180</v>
      </c>
      <c r="G299" s="57" t="n">
        <v>700</v>
      </c>
      <c r="H299" s="9" t="n">
        <f aca="false">F299-G299</f>
        <v>480</v>
      </c>
      <c r="I299" s="300"/>
      <c r="J299" s="55"/>
    </row>
    <row r="300" customFormat="false" ht="19.85" hidden="false" customHeight="true" outlineLevel="0" collapsed="false">
      <c r="A300" s="0" t="n">
        <v>28</v>
      </c>
      <c r="B300" s="34" t="n">
        <v>41306</v>
      </c>
      <c r="C300" s="26" t="n">
        <v>180083</v>
      </c>
      <c r="D300" s="29" t="s">
        <v>42</v>
      </c>
      <c r="E300" s="580" t="n">
        <f aca="false">IF(D300="totale",(C300/(A300*24))/F300,IF(D300="marché libre",(C300/(A300*24))/G300,"spécifier histo"))</f>
        <v>0.382829506802721</v>
      </c>
      <c r="F300" s="59" t="n">
        <v>1180</v>
      </c>
      <c r="G300" s="59" t="n">
        <v>700</v>
      </c>
      <c r="H300" s="9" t="n">
        <f aca="false">F300-G300</f>
        <v>480</v>
      </c>
      <c r="J300" s="55"/>
    </row>
    <row r="301" customFormat="false" ht="19.85" hidden="false" customHeight="true" outlineLevel="0" collapsed="false">
      <c r="A301" s="0" t="n">
        <v>31</v>
      </c>
      <c r="B301" s="31" t="n">
        <v>41334</v>
      </c>
      <c r="C301" s="26" t="n">
        <v>234904</v>
      </c>
      <c r="D301" s="29" t="s">
        <v>42</v>
      </c>
      <c r="E301" s="580" t="n">
        <f aca="false">IF(D301="totale",(C301/(A301*24))/F301,IF(D301="marché libre",(C301/(A301*24))/G301,"spécifier histo"))</f>
        <v>0.451044546850998</v>
      </c>
      <c r="F301" s="59" t="n">
        <v>1180</v>
      </c>
      <c r="G301" s="57" t="n">
        <v>700</v>
      </c>
      <c r="H301" s="9" t="n">
        <f aca="false">F301-G301</f>
        <v>480</v>
      </c>
      <c r="J301" s="55"/>
    </row>
    <row r="302" customFormat="false" ht="19.85" hidden="false" customHeight="true" outlineLevel="0" collapsed="false">
      <c r="A302" s="0" t="n">
        <v>30</v>
      </c>
      <c r="B302" s="34" t="n">
        <v>41365</v>
      </c>
      <c r="C302" s="26" t="n">
        <v>171589</v>
      </c>
      <c r="D302" s="29" t="s">
        <v>42</v>
      </c>
      <c r="E302" s="580" t="n">
        <f aca="false">IF(D302="totale",(C302/(A302*24))/F302,IF(D302="marché libre",(C302/(A302*24))/G302,"spécifier histo"))</f>
        <v>0.340454365079365</v>
      </c>
      <c r="F302" s="59" t="n">
        <v>1180</v>
      </c>
      <c r="G302" s="59" t="n">
        <v>700</v>
      </c>
      <c r="H302" s="9" t="n">
        <f aca="false">F302-G302</f>
        <v>480</v>
      </c>
      <c r="J302" s="55"/>
    </row>
    <row r="303" customFormat="false" ht="19.85" hidden="false" customHeight="true" outlineLevel="0" collapsed="false">
      <c r="A303" s="0" t="n">
        <v>31</v>
      </c>
      <c r="B303" s="31" t="n">
        <v>41395</v>
      </c>
      <c r="C303" s="26" t="n">
        <v>305152</v>
      </c>
      <c r="D303" s="29" t="s">
        <v>42</v>
      </c>
      <c r="E303" s="580" t="n">
        <f aca="false">IF(D303="totale",(C303/(A303*24))/F303,IF(D303="marché libre",(C303/(A303*24))/G303,"spécifier histo"))</f>
        <v>0.585929339477727</v>
      </c>
      <c r="F303" s="59" t="n">
        <v>1180</v>
      </c>
      <c r="G303" s="57" t="n">
        <v>700</v>
      </c>
      <c r="H303" s="9" t="n">
        <f aca="false">F303-G303</f>
        <v>480</v>
      </c>
      <c r="J303" s="55"/>
    </row>
    <row r="304" customFormat="false" ht="19.85" hidden="false" customHeight="true" outlineLevel="0" collapsed="false">
      <c r="A304" s="0" t="n">
        <v>30</v>
      </c>
      <c r="B304" s="34" t="n">
        <v>41426</v>
      </c>
      <c r="C304" s="26" t="n">
        <v>130663</v>
      </c>
      <c r="D304" s="29" t="s">
        <v>42</v>
      </c>
      <c r="E304" s="580" t="n">
        <f aca="false">IF(D304="totale",(C304/(A304*24))/F304,IF(D304="marché libre",(C304/(A304*24))/G304,"spécifier histo"))</f>
        <v>0.259251984126984</v>
      </c>
      <c r="F304" s="59" t="n">
        <v>1180</v>
      </c>
      <c r="G304" s="59" t="n">
        <v>700</v>
      </c>
      <c r="H304" s="9" t="n">
        <f aca="false">F304-G304</f>
        <v>480</v>
      </c>
      <c r="J304" s="55"/>
    </row>
    <row r="305" customFormat="false" ht="19.85" hidden="false" customHeight="true" outlineLevel="0" collapsed="false">
      <c r="A305" s="0" t="n">
        <v>31</v>
      </c>
      <c r="B305" s="31" t="n">
        <v>41456</v>
      </c>
      <c r="C305" s="26" t="n">
        <v>11336</v>
      </c>
      <c r="D305" s="29" t="s">
        <v>42</v>
      </c>
      <c r="E305" s="580" t="n">
        <f aca="false">IF(D305="totale",(C305/(A305*24))/F305,IF(D305="marché libre",(C305/(A305*24))/G305,"spécifier histo"))</f>
        <v>0.0217665130568356</v>
      </c>
      <c r="F305" s="59" t="n">
        <v>1180</v>
      </c>
      <c r="G305" s="57" t="n">
        <v>700</v>
      </c>
      <c r="H305" s="9" t="n">
        <f aca="false">F305-G305</f>
        <v>480</v>
      </c>
      <c r="J305" s="55"/>
    </row>
    <row r="306" customFormat="false" ht="19.85" hidden="false" customHeight="true" outlineLevel="0" collapsed="false">
      <c r="A306" s="0" t="n">
        <v>31</v>
      </c>
      <c r="B306" s="34" t="n">
        <v>41487</v>
      </c>
      <c r="C306" s="26" t="n">
        <v>0</v>
      </c>
      <c r="D306" s="29" t="s">
        <v>42</v>
      </c>
      <c r="E306" s="580" t="n">
        <f aca="false">IF(D306="totale",(C306/(A306*24))/F306,IF(D306="marché libre",(C306/(A306*24))/G306,"spécifier histo"))</f>
        <v>0</v>
      </c>
      <c r="F306" s="59" t="n">
        <v>1180</v>
      </c>
      <c r="G306" s="59" t="n">
        <v>700</v>
      </c>
      <c r="H306" s="9" t="n">
        <f aca="false">F306-G306</f>
        <v>480</v>
      </c>
      <c r="J306" s="55"/>
    </row>
    <row r="307" customFormat="false" ht="19.85" hidden="false" customHeight="true" outlineLevel="0" collapsed="false">
      <c r="A307" s="0" t="n">
        <v>30</v>
      </c>
      <c r="B307" s="31" t="n">
        <v>41518</v>
      </c>
      <c r="C307" s="26" t="n">
        <v>57123</v>
      </c>
      <c r="D307" s="29" t="s">
        <v>42</v>
      </c>
      <c r="E307" s="580" t="n">
        <f aca="false">IF(D307="totale",(C307/(A307*24))/F307,IF(D307="marché libre",(C307/(A307*24))/G307,"spécifier histo"))</f>
        <v>0.113339285714286</v>
      </c>
      <c r="F307" s="59" t="n">
        <v>1180</v>
      </c>
      <c r="G307" s="57" t="n">
        <v>700</v>
      </c>
      <c r="H307" s="9" t="n">
        <f aca="false">F307-G307</f>
        <v>480</v>
      </c>
      <c r="J307" s="55"/>
    </row>
    <row r="308" customFormat="false" ht="19.85" hidden="false" customHeight="true" outlineLevel="0" collapsed="false">
      <c r="A308" s="0" t="n">
        <v>31</v>
      </c>
      <c r="B308" s="34" t="n">
        <v>41548</v>
      </c>
      <c r="C308" s="26" t="n">
        <v>252981</v>
      </c>
      <c r="D308" s="29" t="s">
        <v>42</v>
      </c>
      <c r="E308" s="580" t="n">
        <f aca="false">IF(D308="totale",(C308/(A308*24))/F308,IF(D308="marché libre",(C308/(A308*24))/G308,"spécifier histo"))</f>
        <v>0.485754608294931</v>
      </c>
      <c r="F308" s="59" t="n">
        <v>1180</v>
      </c>
      <c r="G308" s="59" t="n">
        <v>700</v>
      </c>
      <c r="H308" s="9" t="n">
        <f aca="false">F308-G308</f>
        <v>480</v>
      </c>
      <c r="J308" s="55"/>
    </row>
    <row r="309" customFormat="false" ht="19.85" hidden="false" customHeight="true" outlineLevel="0" collapsed="false">
      <c r="A309" s="0" t="n">
        <v>30</v>
      </c>
      <c r="B309" s="31" t="n">
        <v>41579</v>
      </c>
      <c r="C309" s="26" t="n">
        <v>265608</v>
      </c>
      <c r="D309" s="29" t="s">
        <v>42</v>
      </c>
      <c r="E309" s="580" t="n">
        <f aca="false">IF(D309="totale",(C309/(A309*24))/F309,IF(D309="marché libre",(C309/(A309*24))/G309,"spécifier histo"))</f>
        <v>0.527</v>
      </c>
      <c r="F309" s="59" t="n">
        <v>1180</v>
      </c>
      <c r="G309" s="57" t="n">
        <v>700</v>
      </c>
      <c r="H309" s="9" t="n">
        <f aca="false">F309-G309</f>
        <v>480</v>
      </c>
      <c r="J309" s="55"/>
    </row>
    <row r="310" customFormat="false" ht="19.85" hidden="false" customHeight="true" outlineLevel="0" collapsed="false">
      <c r="A310" s="0" t="n">
        <v>31</v>
      </c>
      <c r="B310" s="34" t="n">
        <v>41609</v>
      </c>
      <c r="C310" s="26" t="n">
        <v>81707</v>
      </c>
      <c r="D310" s="29" t="s">
        <v>42</v>
      </c>
      <c r="E310" s="580" t="n">
        <f aca="false">IF(D310="totale",(C310/(A310*24))/F310,IF(D310="marché libre",(C310/(A310*24))/G310,"spécifier histo"))</f>
        <v>0.156887480798771</v>
      </c>
      <c r="F310" s="59" t="n">
        <v>1180</v>
      </c>
      <c r="G310" s="59" t="n">
        <v>700</v>
      </c>
      <c r="H310" s="9" t="n">
        <f aca="false">F310-G310</f>
        <v>480</v>
      </c>
      <c r="J310" s="55"/>
    </row>
    <row r="311" customFormat="false" ht="19.85" hidden="false" customHeight="true" outlineLevel="0" collapsed="false">
      <c r="A311" s="0" t="n">
        <v>31</v>
      </c>
      <c r="B311" s="31" t="n">
        <v>41640</v>
      </c>
      <c r="C311" s="26" t="n">
        <v>243669</v>
      </c>
      <c r="D311" s="29" t="s">
        <v>42</v>
      </c>
      <c r="E311" s="580" t="n">
        <f aca="false">IF(D311="totale",(C311/(A311*24))/F311,IF(D311="marché libre",(C311/(A311*24))/G311,"spécifier histo"))</f>
        <v>0.467874423963134</v>
      </c>
      <c r="F311" s="59" t="n">
        <v>1180</v>
      </c>
      <c r="G311" s="57" t="n">
        <v>700</v>
      </c>
      <c r="H311" s="9" t="n">
        <f aca="false">F311-G311</f>
        <v>480</v>
      </c>
      <c r="J311" s="55"/>
    </row>
    <row r="312" customFormat="false" ht="19.85" hidden="false" customHeight="true" outlineLevel="0" collapsed="false">
      <c r="A312" s="0" t="n">
        <v>28</v>
      </c>
      <c r="B312" s="34" t="n">
        <v>41671</v>
      </c>
      <c r="C312" s="26" t="n">
        <v>285967</v>
      </c>
      <c r="D312" s="29" t="s">
        <v>42</v>
      </c>
      <c r="E312" s="580" t="n">
        <f aca="false">IF(D312="totale",(C312/(A312*24))/F312,IF(D312="marché libre",(C312/(A312*24))/G312,"spécifier histo"))</f>
        <v>0.607923044217687</v>
      </c>
      <c r="F312" s="59" t="n">
        <v>1180</v>
      </c>
      <c r="G312" s="59" t="n">
        <v>700</v>
      </c>
      <c r="H312" s="9" t="n">
        <f aca="false">F312-G312</f>
        <v>480</v>
      </c>
      <c r="J312" s="55"/>
    </row>
    <row r="313" customFormat="false" ht="19.85" hidden="false" customHeight="true" outlineLevel="0" collapsed="false">
      <c r="A313" s="0" t="n">
        <v>31</v>
      </c>
      <c r="B313" s="31" t="n">
        <v>41699</v>
      </c>
      <c r="C313" s="26" t="n">
        <v>88132</v>
      </c>
      <c r="D313" s="29" t="s">
        <v>42</v>
      </c>
      <c r="E313" s="580" t="n">
        <f aca="false">IF(D313="totale",(C313/(A313*24))/F313,IF(D313="marché libre",(C313/(A313*24))/G313,"spécifier histo"))</f>
        <v>0.169224270353303</v>
      </c>
      <c r="F313" s="59" t="n">
        <v>1180</v>
      </c>
      <c r="G313" s="57" t="n">
        <v>700</v>
      </c>
      <c r="H313" s="9" t="n">
        <f aca="false">F313-G313</f>
        <v>480</v>
      </c>
      <c r="J313" s="55"/>
    </row>
    <row r="314" customFormat="false" ht="19.85" hidden="false" customHeight="true" outlineLevel="0" collapsed="false">
      <c r="A314" s="0" t="n">
        <v>30</v>
      </c>
      <c r="B314" s="34" t="n">
        <v>41730</v>
      </c>
      <c r="C314" s="26" t="n">
        <v>0</v>
      </c>
      <c r="D314" s="29" t="s">
        <v>42</v>
      </c>
      <c r="E314" s="580" t="n">
        <f aca="false">IF(D314="totale",(C314/(A314*24))/F314,IF(D314="marché libre",(C314/(A314*24))/G314,"spécifier histo"))</f>
        <v>0</v>
      </c>
      <c r="F314" s="59" t="n">
        <v>1180</v>
      </c>
      <c r="G314" s="59" t="n">
        <v>700</v>
      </c>
      <c r="H314" s="9" t="n">
        <f aca="false">F314-G314</f>
        <v>480</v>
      </c>
      <c r="J314" s="55"/>
    </row>
    <row r="315" customFormat="false" ht="19.85" hidden="false" customHeight="true" outlineLevel="0" collapsed="false">
      <c r="A315" s="0" t="n">
        <v>31</v>
      </c>
      <c r="B315" s="31" t="n">
        <v>41760</v>
      </c>
      <c r="C315" s="26" t="n">
        <v>160</v>
      </c>
      <c r="D315" s="29" t="s">
        <v>42</v>
      </c>
      <c r="E315" s="580" t="n">
        <f aca="false">IF(D315="totale",(C315/(A315*24))/F315,IF(D315="marché libre",(C315/(A315*24))/G315,"spécifier histo"))</f>
        <v>0.000307219662058372</v>
      </c>
      <c r="F315" s="59" t="n">
        <v>1180</v>
      </c>
      <c r="G315" s="57" t="n">
        <v>700</v>
      </c>
      <c r="H315" s="9" t="n">
        <f aca="false">F315-G315</f>
        <v>480</v>
      </c>
      <c r="J315" s="55"/>
    </row>
    <row r="316" customFormat="false" ht="19.85" hidden="false" customHeight="true" outlineLevel="0" collapsed="false">
      <c r="A316" s="0" t="n">
        <v>30</v>
      </c>
      <c r="B316" s="34" t="n">
        <v>41791</v>
      </c>
      <c r="C316" s="26" t="n">
        <v>0</v>
      </c>
      <c r="D316" s="29" t="s">
        <v>42</v>
      </c>
      <c r="E316" s="580" t="n">
        <f aca="false">IF(D316="totale",(C316/(A316*24))/F316,IF(D316="marché libre",(C316/(A316*24))/G316,"spécifier histo"))</f>
        <v>0</v>
      </c>
      <c r="F316" s="59" t="n">
        <v>1180</v>
      </c>
      <c r="G316" s="59" t="n">
        <v>700</v>
      </c>
      <c r="H316" s="9" t="n">
        <f aca="false">F316-G316</f>
        <v>480</v>
      </c>
      <c r="J316" s="55"/>
    </row>
    <row r="317" customFormat="false" ht="19.85" hidden="false" customHeight="true" outlineLevel="0" collapsed="false">
      <c r="A317" s="0" t="n">
        <v>31</v>
      </c>
      <c r="B317" s="31" t="n">
        <v>41821</v>
      </c>
      <c r="C317" s="26" t="n">
        <v>61765</v>
      </c>
      <c r="D317" s="29" t="s">
        <v>42</v>
      </c>
      <c r="E317" s="580" t="n">
        <f aca="false">IF(D317="totale",(C317/(A317*24))/F317,IF(D317="marché libre",(C317/(A317*24))/G317,"spécifier histo"))</f>
        <v>0.118596390168971</v>
      </c>
      <c r="F317" s="59" t="n">
        <v>1180</v>
      </c>
      <c r="G317" s="57" t="n">
        <v>700</v>
      </c>
      <c r="H317" s="9" t="n">
        <f aca="false">F317-G317</f>
        <v>480</v>
      </c>
      <c r="J317" s="55"/>
    </row>
    <row r="318" customFormat="false" ht="19.85" hidden="false" customHeight="true" outlineLevel="0" collapsed="false">
      <c r="A318" s="0" t="n">
        <v>31</v>
      </c>
      <c r="B318" s="34" t="n">
        <v>41852</v>
      </c>
      <c r="C318" s="26" t="n">
        <v>76327</v>
      </c>
      <c r="D318" s="29" t="s">
        <v>42</v>
      </c>
      <c r="E318" s="580" t="n">
        <f aca="false">IF(D318="totale",(C318/(A318*24))/F318,IF(D318="marché libre",(C318/(A318*24))/G318,"spécifier histo"))</f>
        <v>0.146557219662058</v>
      </c>
      <c r="F318" s="59" t="n">
        <v>1180</v>
      </c>
      <c r="G318" s="59" t="n">
        <v>700</v>
      </c>
      <c r="H318" s="9" t="n">
        <f aca="false">F318-G318</f>
        <v>480</v>
      </c>
      <c r="J318" s="55"/>
    </row>
    <row r="319" customFormat="false" ht="19.85" hidden="false" customHeight="true" outlineLevel="0" collapsed="false">
      <c r="A319" s="0" t="n">
        <v>30</v>
      </c>
      <c r="B319" s="31" t="n">
        <v>41883</v>
      </c>
      <c r="C319" s="26" t="n">
        <v>215</v>
      </c>
      <c r="D319" s="29" t="s">
        <v>42</v>
      </c>
      <c r="E319" s="580" t="n">
        <f aca="false">IF(D319="totale",(C319/(A319*24))/F319,IF(D319="marché libre",(C319/(A319*24))/G319,"spécifier histo"))</f>
        <v>0.000426587301587302</v>
      </c>
      <c r="F319" s="59" t="n">
        <v>1180</v>
      </c>
      <c r="G319" s="57" t="n">
        <v>700</v>
      </c>
      <c r="H319" s="9" t="n">
        <f aca="false">F319-G319</f>
        <v>480</v>
      </c>
      <c r="J319" s="55"/>
    </row>
    <row r="320" customFormat="false" ht="19.85" hidden="false" customHeight="true" outlineLevel="0" collapsed="false">
      <c r="A320" s="0" t="n">
        <v>31</v>
      </c>
      <c r="B320" s="34" t="n">
        <v>41913</v>
      </c>
      <c r="C320" s="26" t="n">
        <v>70419</v>
      </c>
      <c r="D320" s="29" t="s">
        <v>42</v>
      </c>
      <c r="E320" s="580" t="n">
        <f aca="false">IF(D320="totale",(C320/(A320*24))/F320,IF(D320="marché libre",(C320/(A320*24))/G320,"spécifier histo"))</f>
        <v>0.135213133640553</v>
      </c>
      <c r="F320" s="59" t="n">
        <v>1180</v>
      </c>
      <c r="G320" s="59" t="n">
        <v>700</v>
      </c>
      <c r="H320" s="9" t="n">
        <f aca="false">F320-G320</f>
        <v>480</v>
      </c>
      <c r="J320" s="55"/>
    </row>
    <row r="321" customFormat="false" ht="19.85" hidden="false" customHeight="true" outlineLevel="0" collapsed="false">
      <c r="A321" s="0" t="n">
        <v>30</v>
      </c>
      <c r="B321" s="31" t="n">
        <v>41944</v>
      </c>
      <c r="C321" s="26" t="n">
        <v>75893</v>
      </c>
      <c r="D321" s="29" t="s">
        <v>42</v>
      </c>
      <c r="E321" s="580" t="n">
        <f aca="false">IF(D321="totale",(C321/(A321*24))/F321,IF(D321="marché libre",(C321/(A321*24))/G321,"spécifier histo"))</f>
        <v>0.150581349206349</v>
      </c>
      <c r="F321" s="57" t="n">
        <v>1180</v>
      </c>
      <c r="G321" s="57" t="n">
        <v>700</v>
      </c>
      <c r="H321" s="59" t="n">
        <f aca="false">F321-G321</f>
        <v>480</v>
      </c>
      <c r="I321" s="0"/>
      <c r="J321" s="55"/>
    </row>
    <row r="322" customFormat="false" ht="19.95" hidden="false" customHeight="true" outlineLevel="0" collapsed="false">
      <c r="A322" s="0" t="n">
        <v>31</v>
      </c>
      <c r="B322" s="34" t="n">
        <v>41974</v>
      </c>
      <c r="C322" s="26" t="n">
        <v>194022</v>
      </c>
      <c r="D322" s="29" t="s">
        <v>42</v>
      </c>
      <c r="E322" s="580" t="n">
        <f aca="false">IF(D322="totale",(C322/(A322*24))/F322,IF(D322="marché libre",(C322/(A322*24))/G322,"spécifier histo"))</f>
        <v>0.372546082949309</v>
      </c>
      <c r="F322" s="59" t="n">
        <v>1180</v>
      </c>
      <c r="G322" s="59" t="n">
        <v>700</v>
      </c>
      <c r="H322" s="59" t="n">
        <f aca="false">F322-G322</f>
        <v>480</v>
      </c>
      <c r="I322" s="0"/>
      <c r="J322" s="55"/>
      <c r="N322" s="0"/>
      <c r="O322" s="0"/>
    </row>
    <row r="323" customFormat="false" ht="19.85" hidden="false" customHeight="true" outlineLevel="0" collapsed="false">
      <c r="A323" s="0" t="n">
        <v>31</v>
      </c>
      <c r="B323" s="31" t="n">
        <v>42005</v>
      </c>
      <c r="C323" s="26" t="n">
        <v>364673</v>
      </c>
      <c r="D323" s="29" t="s">
        <v>42</v>
      </c>
      <c r="E323" s="580" t="n">
        <f aca="false">IF(D323="totale",(C323/(A323*24))/F323,IF(D323="marché libre",(C323/(A323*24))/G323,"spécifier histo"))</f>
        <v>0.700216973886329</v>
      </c>
      <c r="F323" s="59" t="n">
        <v>1180</v>
      </c>
      <c r="G323" s="59" t="n">
        <v>700</v>
      </c>
      <c r="H323" s="59" t="n">
        <f aca="false">F323-G323</f>
        <v>480</v>
      </c>
      <c r="J323" s="55"/>
      <c r="N323" s="0"/>
      <c r="O323" s="0"/>
    </row>
    <row r="324" customFormat="false" ht="19.85" hidden="false" customHeight="true" outlineLevel="0" collapsed="false">
      <c r="A324" s="0" t="n">
        <v>28</v>
      </c>
      <c r="B324" s="34" t="n">
        <v>42036</v>
      </c>
      <c r="C324" s="26" t="n">
        <v>169399</v>
      </c>
      <c r="D324" s="29" t="s">
        <v>42</v>
      </c>
      <c r="E324" s="580" t="n">
        <f aca="false">IF(D324="totale",(C324/(A324*24))/F324,IF(D324="marché libre",(C324/(A324*24))/G324,"spécifier histo"))</f>
        <v>0.360116921768707</v>
      </c>
      <c r="F324" s="59" t="n">
        <v>1180</v>
      </c>
      <c r="G324" s="59" t="n">
        <v>700</v>
      </c>
      <c r="H324" s="59" t="n">
        <f aca="false">F324-G324</f>
        <v>480</v>
      </c>
      <c r="J324" s="55"/>
      <c r="N324" s="0"/>
      <c r="O324" s="0"/>
    </row>
    <row r="325" customFormat="false" ht="19.85" hidden="false" customHeight="true" outlineLevel="0" collapsed="false">
      <c r="A325" s="0" t="n">
        <v>31</v>
      </c>
      <c r="B325" s="31" t="n">
        <v>42064</v>
      </c>
      <c r="C325" s="26" t="n">
        <v>209697</v>
      </c>
      <c r="D325" s="29" t="s">
        <v>42</v>
      </c>
      <c r="E325" s="580" t="n">
        <f aca="false">IF(D325="totale",(C325/(A325*24))/F325,IF(D325="marché libre",(C325/(A325*24))/G325,"spécifier histo"))</f>
        <v>0.40264400921659</v>
      </c>
      <c r="F325" s="59" t="n">
        <v>1180</v>
      </c>
      <c r="G325" s="59" t="n">
        <v>700</v>
      </c>
      <c r="H325" s="59" t="n">
        <f aca="false">F325-G325</f>
        <v>480</v>
      </c>
      <c r="J325" s="55"/>
      <c r="N325" s="0"/>
      <c r="O325" s="0"/>
    </row>
    <row r="326" customFormat="false" ht="19.85" hidden="false" customHeight="true" outlineLevel="0" collapsed="false">
      <c r="A326" s="0" t="n">
        <v>30</v>
      </c>
      <c r="B326" s="34" t="n">
        <v>42095</v>
      </c>
      <c r="C326" s="26" t="n">
        <v>153216</v>
      </c>
      <c r="D326" s="29" t="s">
        <v>42</v>
      </c>
      <c r="E326" s="580" t="n">
        <f aca="false">IF(D326="totale",(C326/(A326*24))/F326,IF(D326="marché libre",(C326/(A326*24))/G326,"spécifier histo"))</f>
        <v>0.304</v>
      </c>
      <c r="F326" s="59" t="n">
        <v>1180</v>
      </c>
      <c r="G326" s="59" t="n">
        <v>700</v>
      </c>
      <c r="H326" s="59" t="n">
        <f aca="false">F326-G326</f>
        <v>480</v>
      </c>
      <c r="J326" s="55"/>
      <c r="N326" s="0"/>
      <c r="O326" s="0"/>
    </row>
    <row r="327" customFormat="false" ht="19.85" hidden="false" customHeight="true" outlineLevel="0" collapsed="false">
      <c r="A327" s="0" t="n">
        <v>31</v>
      </c>
      <c r="B327" s="31" t="n">
        <v>42125</v>
      </c>
      <c r="C327" s="26" t="n">
        <v>124118</v>
      </c>
      <c r="D327" s="29" t="s">
        <v>42</v>
      </c>
      <c r="E327" s="580" t="n">
        <f aca="false">IF(D327="totale",(C327/(A327*24))/F327,IF(D327="marché libre",(C327/(A327*24))/G327,"spécifier histo"))</f>
        <v>0.238321812596006</v>
      </c>
      <c r="F327" s="59" t="n">
        <v>1180</v>
      </c>
      <c r="G327" s="59" t="n">
        <v>700</v>
      </c>
      <c r="H327" s="59" t="n">
        <f aca="false">F327-G327</f>
        <v>480</v>
      </c>
      <c r="J327" s="55"/>
      <c r="N327" s="0"/>
      <c r="O327" s="0"/>
    </row>
    <row r="328" customFormat="false" ht="19.85" hidden="false" customHeight="true" outlineLevel="0" collapsed="false">
      <c r="A328" s="0" t="n">
        <v>30</v>
      </c>
      <c r="B328" s="34" t="n">
        <v>42156</v>
      </c>
      <c r="C328" s="26" t="n">
        <v>0</v>
      </c>
      <c r="D328" s="29" t="s">
        <v>42</v>
      </c>
      <c r="E328" s="580" t="n">
        <f aca="false">IF(D328="totale",(C328/(A328*24))/F328,IF(D328="marché libre",(C328/(A328*24))/G328,"spécifier histo"))</f>
        <v>0</v>
      </c>
      <c r="F328" s="59" t="n">
        <v>1180</v>
      </c>
      <c r="G328" s="59" t="n">
        <v>700</v>
      </c>
      <c r="H328" s="59" t="n">
        <f aca="false">F328-G328</f>
        <v>480</v>
      </c>
      <c r="J328" s="55"/>
      <c r="N328" s="0"/>
      <c r="O328" s="0"/>
    </row>
    <row r="329" customFormat="false" ht="19.85" hidden="false" customHeight="true" outlineLevel="0" collapsed="false">
      <c r="A329" s="0" t="n">
        <v>31</v>
      </c>
      <c r="B329" s="31" t="n">
        <v>42186</v>
      </c>
      <c r="C329" s="26" t="n">
        <v>0</v>
      </c>
      <c r="D329" s="29" t="s">
        <v>42</v>
      </c>
      <c r="E329" s="580" t="n">
        <f aca="false">IF(D329="totale",(C329/(A329*24))/F329,IF(D329="marché libre",(C329/(A329*24))/G329,"spécifier histo"))</f>
        <v>0</v>
      </c>
      <c r="F329" s="59" t="n">
        <v>1180</v>
      </c>
      <c r="G329" s="59" t="n">
        <v>700</v>
      </c>
      <c r="H329" s="59" t="n">
        <f aca="false">F329-G329</f>
        <v>480</v>
      </c>
      <c r="J329" s="55"/>
      <c r="N329" s="0"/>
      <c r="O329" s="0"/>
    </row>
    <row r="330" customFormat="false" ht="19.85" hidden="false" customHeight="true" outlineLevel="0" collapsed="false">
      <c r="A330" s="0" t="n">
        <v>31</v>
      </c>
      <c r="B330" s="34" t="n">
        <v>42217</v>
      </c>
      <c r="C330" s="26" t="n">
        <v>0</v>
      </c>
      <c r="D330" s="29" t="s">
        <v>42</v>
      </c>
      <c r="E330" s="580" t="n">
        <f aca="false">IF(D330="totale",(C330/(A330*24))/F330,IF(D330="marché libre",(C330/(A330*24))/G330,"spécifier histo"))</f>
        <v>0</v>
      </c>
      <c r="F330" s="59" t="n">
        <v>1180</v>
      </c>
      <c r="G330" s="59" t="n">
        <v>700</v>
      </c>
      <c r="H330" s="59" t="n">
        <f aca="false">F330-G330</f>
        <v>480</v>
      </c>
      <c r="J330" s="55"/>
      <c r="N330" s="0"/>
      <c r="O330" s="0"/>
    </row>
    <row r="331" customFormat="false" ht="19.85" hidden="false" customHeight="true" outlineLevel="0" collapsed="false">
      <c r="A331" s="0" t="n">
        <v>30</v>
      </c>
      <c r="B331" s="31" t="n">
        <v>42248</v>
      </c>
      <c r="C331" s="26" t="n">
        <v>0</v>
      </c>
      <c r="D331" s="29" t="s">
        <v>42</v>
      </c>
      <c r="E331" s="580" t="n">
        <f aca="false">IF(D331="totale",(C331/(A331*24))/F331,IF(D331="marché libre",(C331/(A331*24))/G331,"spécifier histo"))</f>
        <v>0</v>
      </c>
      <c r="F331" s="59" t="n">
        <v>1180</v>
      </c>
      <c r="G331" s="59" t="n">
        <v>700</v>
      </c>
      <c r="H331" s="59" t="n">
        <f aca="false">F331-G331</f>
        <v>480</v>
      </c>
      <c r="J331" s="55"/>
      <c r="N331" s="0"/>
      <c r="O331" s="0"/>
    </row>
    <row r="332" customFormat="false" ht="19.85" hidden="false" customHeight="true" outlineLevel="0" collapsed="false">
      <c r="A332" s="0" t="n">
        <v>31</v>
      </c>
      <c r="B332" s="34" t="n">
        <v>42278</v>
      </c>
      <c r="C332" s="26" t="n">
        <v>0</v>
      </c>
      <c r="D332" s="29" t="s">
        <v>42</v>
      </c>
      <c r="E332" s="580" t="n">
        <f aca="false">IF(D332="totale",(C332/(A332*24))/F332,IF(D332="marché libre",(C332/(A332*24))/G332,"spécifier histo"))</f>
        <v>0</v>
      </c>
      <c r="F332" s="59" t="n">
        <v>1180</v>
      </c>
      <c r="G332" s="59" t="n">
        <v>700</v>
      </c>
      <c r="H332" s="59" t="n">
        <f aca="false">F332-G332</f>
        <v>480</v>
      </c>
      <c r="J332" s="55"/>
      <c r="N332" s="0"/>
      <c r="O332" s="0"/>
    </row>
    <row r="333" customFormat="false" ht="19.85" hidden="false" customHeight="true" outlineLevel="0" collapsed="false">
      <c r="A333" s="0" t="n">
        <v>30</v>
      </c>
      <c r="B333" s="31" t="n">
        <v>42309</v>
      </c>
      <c r="C333" s="26" t="n">
        <v>69448</v>
      </c>
      <c r="D333" s="29" t="s">
        <v>42</v>
      </c>
      <c r="E333" s="580" t="n">
        <f aca="false">IF(D333="totale",(C333/(A333*24))/F333,IF(D333="marché libre",(C333/(A333*24))/G333,"spécifier histo"))</f>
        <v>0.137793650793651</v>
      </c>
      <c r="F333" s="59" t="n">
        <v>1180</v>
      </c>
      <c r="G333" s="59" t="n">
        <v>700</v>
      </c>
      <c r="H333" s="59" t="n">
        <f aca="false">F333-G333</f>
        <v>480</v>
      </c>
      <c r="J333" s="55"/>
      <c r="N333" s="0"/>
      <c r="O333" s="0"/>
    </row>
    <row r="334" customFormat="false" ht="19.85" hidden="false" customHeight="true" outlineLevel="0" collapsed="false">
      <c r="A334" s="0" t="n">
        <v>31</v>
      </c>
      <c r="B334" s="34" t="n">
        <v>42339</v>
      </c>
      <c r="C334" s="26" t="n">
        <v>74398</v>
      </c>
      <c r="D334" s="29" t="s">
        <v>42</v>
      </c>
      <c r="E334" s="580" t="n">
        <f aca="false">IF(D334="totale",(C334/(A334*24))/F334,IF(D334="marché libre",(C334/(A334*24))/G334,"spécifier histo"))</f>
        <v>0.142853302611367</v>
      </c>
      <c r="F334" s="59" t="n">
        <v>1180</v>
      </c>
      <c r="G334" s="59" t="n">
        <v>700</v>
      </c>
      <c r="H334" s="59" t="n">
        <f aca="false">F334-G334</f>
        <v>480</v>
      </c>
      <c r="J334" s="55"/>
      <c r="N334" s="0"/>
      <c r="O334" s="0"/>
    </row>
    <row r="335" customFormat="false" ht="19.85" hidden="false" customHeight="true" outlineLevel="0" collapsed="false">
      <c r="A335" s="0" t="n">
        <v>31</v>
      </c>
      <c r="B335" s="31" t="n">
        <v>42370</v>
      </c>
      <c r="C335" s="217" t="n">
        <v>282497</v>
      </c>
      <c r="D335" s="29" t="s">
        <v>42</v>
      </c>
      <c r="E335" s="580" t="n">
        <f aca="false">IF(D335="totale",(C335/(A335*24))/F335,IF(D335="marché libre",(C335/(A335*24))/G335,"spécifier histo"))</f>
        <v>0.542428955453149</v>
      </c>
      <c r="F335" s="59" t="n">
        <v>1180</v>
      </c>
      <c r="G335" s="59" t="n">
        <v>700</v>
      </c>
      <c r="H335" s="59" t="n">
        <f aca="false">F335-G335</f>
        <v>480</v>
      </c>
      <c r="J335" s="55"/>
    </row>
    <row r="336" customFormat="false" ht="19.85" hidden="false" customHeight="true" outlineLevel="0" collapsed="false">
      <c r="A336" s="0" t="n">
        <v>28</v>
      </c>
      <c r="B336" s="34" t="n">
        <v>42401</v>
      </c>
      <c r="C336" s="217" t="n">
        <v>344864</v>
      </c>
      <c r="D336" s="29" t="s">
        <v>42</v>
      </c>
      <c r="E336" s="580" t="n">
        <f aca="false">IF(D336="totale",(C336/(A336*24))/F336,IF(D336="marché libre",(C336/(A336*24))/G336,"spécifier histo"))</f>
        <v>0.73312925170068</v>
      </c>
      <c r="F336" s="59" t="n">
        <v>1180</v>
      </c>
      <c r="G336" s="59" t="n">
        <v>700</v>
      </c>
      <c r="H336" s="59" t="n">
        <f aca="false">F336-G336</f>
        <v>480</v>
      </c>
      <c r="J336" s="55"/>
    </row>
    <row r="337" customFormat="false" ht="19.85" hidden="false" customHeight="true" outlineLevel="0" collapsed="false">
      <c r="A337" s="0" t="n">
        <v>31</v>
      </c>
      <c r="B337" s="31" t="n">
        <v>42430</v>
      </c>
      <c r="C337" s="217" t="n">
        <v>277682</v>
      </c>
      <c r="D337" s="29" t="s">
        <v>42</v>
      </c>
      <c r="E337" s="580" t="n">
        <f aca="false">IF(D337="totale",(C337/(A337*24))/F337,IF(D337="marché libre",(C337/(A337*24))/G337,"spécifier histo"))</f>
        <v>0.53318356374808</v>
      </c>
      <c r="F337" s="59" t="n">
        <v>1180</v>
      </c>
      <c r="G337" s="59" t="n">
        <v>700</v>
      </c>
      <c r="H337" s="59" t="n">
        <f aca="false">F337-G337</f>
        <v>480</v>
      </c>
      <c r="J337" s="55"/>
    </row>
    <row r="338" customFormat="false" ht="19.85" hidden="false" customHeight="true" outlineLevel="0" collapsed="false">
      <c r="A338" s="0" t="n">
        <v>30</v>
      </c>
      <c r="B338" s="34" t="n">
        <v>42461</v>
      </c>
      <c r="C338" s="217" t="n">
        <v>303742</v>
      </c>
      <c r="D338" s="29" t="s">
        <v>42</v>
      </c>
      <c r="E338" s="580" t="n">
        <f aca="false">IF(D338="totale",(C338/(A338*24))/F338,IF(D338="marché libre",(C338/(A338*24))/G338,"spécifier histo"))</f>
        <v>0.602662698412698</v>
      </c>
      <c r="F338" s="59" t="n">
        <v>1180</v>
      </c>
      <c r="G338" s="59" t="n">
        <v>700</v>
      </c>
      <c r="H338" s="59" t="n">
        <f aca="false">F338-G338</f>
        <v>480</v>
      </c>
      <c r="J338" s="55"/>
    </row>
    <row r="339" customFormat="false" ht="19.85" hidden="false" customHeight="true" outlineLevel="0" collapsed="false">
      <c r="A339" s="0" t="n">
        <v>31</v>
      </c>
      <c r="B339" s="31" t="n">
        <v>42491</v>
      </c>
      <c r="C339" s="217" t="n">
        <v>166565</v>
      </c>
      <c r="D339" s="29" t="s">
        <v>42</v>
      </c>
      <c r="E339" s="580" t="n">
        <f aca="false">IF(D339="totale",(C339/(A339*24))/F339,IF(D339="marché libre",(C339/(A339*24))/G339,"spécifier histo"))</f>
        <v>0.319825268817204</v>
      </c>
      <c r="F339" s="59" t="n">
        <v>1180</v>
      </c>
      <c r="G339" s="59" t="n">
        <v>700</v>
      </c>
      <c r="H339" s="59" t="n">
        <f aca="false">F339-G339</f>
        <v>480</v>
      </c>
      <c r="J339" s="55"/>
    </row>
    <row r="340" customFormat="false" ht="19.85" hidden="false" customHeight="true" outlineLevel="0" collapsed="false">
      <c r="A340" s="0" t="n">
        <v>30</v>
      </c>
      <c r="B340" s="34" t="n">
        <v>42522</v>
      </c>
      <c r="C340" s="217" t="n">
        <v>356569</v>
      </c>
      <c r="D340" s="29" t="s">
        <v>42</v>
      </c>
      <c r="E340" s="580" t="n">
        <f aca="false">IF(D340="totale",(C340/(A340*24))/F340,IF(D340="marché libre",(C340/(A340*24))/G340,"spécifier histo"))</f>
        <v>0.707478174603175</v>
      </c>
      <c r="F340" s="59" t="n">
        <v>1180</v>
      </c>
      <c r="G340" s="59" t="n">
        <v>700</v>
      </c>
      <c r="H340" s="59" t="n">
        <f aca="false">F340-G340</f>
        <v>480</v>
      </c>
      <c r="J340" s="55"/>
    </row>
    <row r="341" customFormat="false" ht="19.85" hidden="false" customHeight="true" outlineLevel="0" collapsed="false">
      <c r="A341" s="0" t="n">
        <v>31</v>
      </c>
      <c r="B341" s="31" t="n">
        <v>42552</v>
      </c>
      <c r="C341" s="217" t="n">
        <v>16757</v>
      </c>
      <c r="D341" s="29" t="s">
        <v>42</v>
      </c>
      <c r="E341" s="580" t="n">
        <f aca="false">IF(D341="totale",(C341/(A341*24))/F341,IF(D341="marché libre",(C341/(A341*24))/G341,"spécifier histo"))</f>
        <v>0.0321754992319508</v>
      </c>
      <c r="F341" s="59" t="n">
        <v>1180</v>
      </c>
      <c r="G341" s="59" t="n">
        <v>700</v>
      </c>
      <c r="H341" s="59" t="n">
        <f aca="false">F341-G341</f>
        <v>480</v>
      </c>
      <c r="J341" s="55"/>
    </row>
    <row r="342" customFormat="false" ht="19.85" hidden="false" customHeight="true" outlineLevel="0" collapsed="false">
      <c r="A342" s="0" t="n">
        <v>31</v>
      </c>
      <c r="B342" s="34" t="n">
        <v>42583</v>
      </c>
      <c r="C342" s="217" t="n">
        <v>0</v>
      </c>
      <c r="D342" s="29" t="s">
        <v>42</v>
      </c>
      <c r="E342" s="580" t="n">
        <f aca="false">IF(D342="totale",(C342/(A342*24))/F342,IF(D342="marché libre",(C342/(A342*24))/G342,"spécifier histo"))</f>
        <v>0</v>
      </c>
      <c r="F342" s="59" t="n">
        <v>1180</v>
      </c>
      <c r="G342" s="59" t="n">
        <v>700</v>
      </c>
      <c r="H342" s="59" t="n">
        <f aca="false">F342-G342</f>
        <v>480</v>
      </c>
      <c r="J342" s="55"/>
    </row>
    <row r="343" customFormat="false" ht="19.85" hidden="false" customHeight="true" outlineLevel="0" collapsed="false">
      <c r="A343" s="0" t="n">
        <v>30</v>
      </c>
      <c r="B343" s="31" t="n">
        <v>42614</v>
      </c>
      <c r="C343" s="217" t="n">
        <v>0</v>
      </c>
      <c r="D343" s="29" t="s">
        <v>42</v>
      </c>
      <c r="E343" s="580" t="n">
        <f aca="false">IF(D343="totale",(C343/(A343*24))/F343,IF(D343="marché libre",(C343/(A343*24))/G343,"spécifier histo"))</f>
        <v>0</v>
      </c>
      <c r="F343" s="59" t="n">
        <v>1180</v>
      </c>
      <c r="G343" s="59" t="n">
        <v>700</v>
      </c>
      <c r="H343" s="59" t="n">
        <f aca="false">F343-G343</f>
        <v>480</v>
      </c>
      <c r="J343" s="55"/>
    </row>
    <row r="344" customFormat="false" ht="19.85" hidden="false" customHeight="true" outlineLevel="0" collapsed="false">
      <c r="A344" s="0" t="n">
        <v>31</v>
      </c>
      <c r="B344" s="34" t="n">
        <v>42644</v>
      </c>
      <c r="C344" s="217" t="n">
        <v>0</v>
      </c>
      <c r="D344" s="29" t="s">
        <v>42</v>
      </c>
      <c r="E344" s="580" t="n">
        <f aca="false">IF(D344="totale",(C344/(A344*24))/F344,IF(D344="marché libre",(C344/(A344*24))/G344,"spécifier histo"))</f>
        <v>0</v>
      </c>
      <c r="F344" s="59" t="n">
        <v>1180</v>
      </c>
      <c r="G344" s="59" t="n">
        <v>700</v>
      </c>
      <c r="H344" s="59" t="n">
        <f aca="false">F344-G344</f>
        <v>480</v>
      </c>
      <c r="J344" s="55"/>
    </row>
    <row r="345" customFormat="false" ht="19.85" hidden="false" customHeight="true" outlineLevel="0" collapsed="false">
      <c r="A345" s="0" t="n">
        <v>30</v>
      </c>
      <c r="B345" s="31" t="n">
        <v>42675</v>
      </c>
      <c r="C345" s="217" t="n">
        <v>58959</v>
      </c>
      <c r="D345" s="29" t="s">
        <v>42</v>
      </c>
      <c r="E345" s="580" t="n">
        <f aca="false">IF(D345="totale",(C345/(A345*24))/F345,IF(D345="marché libre",(C345/(A345*24))/G345,"spécifier histo"))</f>
        <v>0.116982142857143</v>
      </c>
      <c r="F345" s="59" t="n">
        <v>1180</v>
      </c>
      <c r="G345" s="59" t="n">
        <v>700</v>
      </c>
      <c r="H345" s="59" t="n">
        <f aca="false">F345-G345</f>
        <v>480</v>
      </c>
      <c r="J345" s="55"/>
    </row>
    <row r="346" customFormat="false" ht="19.85" hidden="false" customHeight="true" outlineLevel="0" collapsed="false">
      <c r="A346" s="0" t="n">
        <v>31</v>
      </c>
      <c r="B346" s="34" t="n">
        <v>42705</v>
      </c>
      <c r="C346" s="217" t="n">
        <v>0</v>
      </c>
      <c r="D346" s="29" t="s">
        <v>42</v>
      </c>
      <c r="E346" s="580" t="n">
        <f aca="false">IF(D346="totale",(C346/(A346*24))/F346,IF(D346="marché libre",(C346/(A346*24))/G346,"spécifier histo"))</f>
        <v>0</v>
      </c>
      <c r="F346" s="59" t="n">
        <v>1180</v>
      </c>
      <c r="G346" s="59" t="n">
        <v>700</v>
      </c>
      <c r="H346" s="59" t="n">
        <f aca="false">F346-G346</f>
        <v>480</v>
      </c>
      <c r="J346" s="55"/>
    </row>
    <row r="347" customFormat="false" ht="19.85" hidden="false" customHeight="true" outlineLevel="0" collapsed="false">
      <c r="A347" s="0" t="n">
        <v>31</v>
      </c>
      <c r="B347" s="31" t="n">
        <v>42736</v>
      </c>
      <c r="C347" s="309" t="n">
        <v>7911</v>
      </c>
      <c r="D347" s="246" t="s">
        <v>42</v>
      </c>
      <c r="E347" s="581" t="n">
        <f aca="false">IF(D347="totale",(C347/(A347*24))/F347,IF(D347="marché libre",(C347/(A347*24))/G347,"spécifier histo"))</f>
        <v>0.0151900921658986</v>
      </c>
      <c r="F347" s="232" t="n">
        <v>1180</v>
      </c>
      <c r="G347" s="232" t="n">
        <v>700</v>
      </c>
      <c r="H347" s="232" t="n">
        <f aca="false">F347-G347</f>
        <v>480</v>
      </c>
      <c r="J347" s="55"/>
    </row>
    <row r="348" customFormat="false" ht="19.85" hidden="false" customHeight="true" outlineLevel="0" collapsed="false">
      <c r="A348" s="0" t="n">
        <v>28</v>
      </c>
      <c r="B348" s="34" t="n">
        <v>42767</v>
      </c>
      <c r="C348" s="56" t="n">
        <v>243476</v>
      </c>
      <c r="D348" s="29" t="s">
        <v>42</v>
      </c>
      <c r="E348" s="580" t="n">
        <f aca="false">IF(D348="totale",(C348/(A348*24))/F348,IF(D348="marché libre",(C348/(A348*24))/G348,"spécifier histo"))</f>
        <v>0.517593537414966</v>
      </c>
      <c r="F348" s="59" t="n">
        <v>1180</v>
      </c>
      <c r="G348" s="59" t="n">
        <v>700</v>
      </c>
      <c r="H348" s="59" t="n">
        <f aca="false">F348-G348</f>
        <v>480</v>
      </c>
      <c r="J348" s="55"/>
    </row>
    <row r="349" customFormat="false" ht="19.85" hidden="false" customHeight="true" outlineLevel="0" collapsed="false">
      <c r="A349" s="0" t="n">
        <v>31</v>
      </c>
      <c r="B349" s="31" t="n">
        <v>42795</v>
      </c>
      <c r="C349" s="56" t="n">
        <v>284880</v>
      </c>
      <c r="D349" s="29" t="s">
        <v>42</v>
      </c>
      <c r="E349" s="580" t="n">
        <f aca="false">IF(D349="totale",(C349/(A349*24))/F349,IF(D349="marché libre",(C349/(A349*24))/G349,"spécifier histo"))</f>
        <v>0.547004608294931</v>
      </c>
      <c r="F349" s="59" t="n">
        <v>1180</v>
      </c>
      <c r="G349" s="59" t="n">
        <v>700</v>
      </c>
      <c r="H349" s="59" t="n">
        <f aca="false">F349-G349</f>
        <v>480</v>
      </c>
      <c r="J349" s="55"/>
    </row>
    <row r="350" customFormat="false" ht="19.85" hidden="false" customHeight="true" outlineLevel="0" collapsed="false">
      <c r="A350" s="0" t="n">
        <v>30</v>
      </c>
      <c r="B350" s="34" t="n">
        <v>42826</v>
      </c>
      <c r="C350" s="56" t="n">
        <v>0</v>
      </c>
      <c r="D350" s="29" t="s">
        <v>42</v>
      </c>
      <c r="E350" s="580" t="n">
        <f aca="false">IF(D350="totale",(C350/(A350*24))/F350,IF(D350="marché libre",(C350/(A350*24))/G350,"spécifier histo"))</f>
        <v>0</v>
      </c>
      <c r="F350" s="59" t="n">
        <v>1180</v>
      </c>
      <c r="G350" s="59" t="n">
        <v>700</v>
      </c>
      <c r="H350" s="59" t="n">
        <f aca="false">F350-G350</f>
        <v>480</v>
      </c>
      <c r="J350" s="55"/>
    </row>
    <row r="351" customFormat="false" ht="19.85" hidden="false" customHeight="true" outlineLevel="0" collapsed="false">
      <c r="A351" s="0" t="n">
        <v>31</v>
      </c>
      <c r="B351" s="31" t="n">
        <v>42856</v>
      </c>
      <c r="C351" s="9" t="n">
        <v>24395</v>
      </c>
      <c r="D351" s="29" t="s">
        <v>42</v>
      </c>
      <c r="E351" s="580" t="n">
        <f aca="false">IF(D351="totale",(C351/(A351*24))/F351,IF(D351="marché libre",(C351/(A351*24))/G351,"spécifier histo"))</f>
        <v>0.0468413978494624</v>
      </c>
      <c r="F351" s="59" t="n">
        <v>1180</v>
      </c>
      <c r="G351" s="59" t="n">
        <v>700</v>
      </c>
      <c r="H351" s="59" t="n">
        <f aca="false">F351-G351</f>
        <v>480</v>
      </c>
      <c r="J351" s="55"/>
    </row>
    <row r="352" customFormat="false" ht="22.45" hidden="false" customHeight="true" outlineLevel="0" collapsed="false">
      <c r="A352" s="0" t="n">
        <v>30</v>
      </c>
      <c r="B352" s="34" t="n">
        <v>42887</v>
      </c>
      <c r="C352" s="9" t="n">
        <v>0</v>
      </c>
      <c r="D352" s="29" t="s">
        <v>42</v>
      </c>
      <c r="E352" s="580" t="n">
        <f aca="false">IF(D352="totale",(C352/(A352*24))/F352,IF(D352="marché libre",(C352/(A352*24))/G352,"spécifier histo"))</f>
        <v>0</v>
      </c>
      <c r="F352" s="59" t="n">
        <v>1180</v>
      </c>
      <c r="G352" s="59" t="n">
        <v>700</v>
      </c>
      <c r="H352" s="59" t="n">
        <f aca="false">F352-G352</f>
        <v>480</v>
      </c>
      <c r="J352" s="55"/>
    </row>
    <row r="353" customFormat="false" ht="21.65" hidden="false" customHeight="true" outlineLevel="0" collapsed="false">
      <c r="A353" s="0" t="n">
        <v>31</v>
      </c>
      <c r="B353" s="31" t="n">
        <v>42917</v>
      </c>
      <c r="C353" s="9" t="n">
        <v>0</v>
      </c>
      <c r="D353" s="29" t="s">
        <v>42</v>
      </c>
      <c r="E353" s="580" t="n">
        <f aca="false">IF(D353="totale",(C353/(A353*24))/F353,IF(D353="marché libre",(C353/(A353*24))/G353,"spécifier histo"))</f>
        <v>0</v>
      </c>
      <c r="F353" s="59" t="n">
        <v>1180</v>
      </c>
      <c r="G353" s="59" t="n">
        <v>700</v>
      </c>
      <c r="H353" s="59" t="n">
        <f aca="false">F353-G353</f>
        <v>480</v>
      </c>
      <c r="J353" s="55"/>
    </row>
    <row r="354" customFormat="false" ht="21.65" hidden="false" customHeight="true" outlineLevel="0" collapsed="false">
      <c r="A354" s="0" t="n">
        <v>31</v>
      </c>
      <c r="B354" s="34" t="n">
        <v>42948</v>
      </c>
      <c r="C354" s="9" t="n">
        <v>0</v>
      </c>
      <c r="D354" s="29" t="s">
        <v>42</v>
      </c>
      <c r="E354" s="580" t="n">
        <f aca="false">IF(D354="totale",(C354/(A354*24))/F354,IF(D354="marché libre",(C354/(A354*24))/G354,"spécifier histo"))</f>
        <v>0</v>
      </c>
      <c r="F354" s="59" t="n">
        <v>1180</v>
      </c>
      <c r="G354" s="59" t="n">
        <v>700</v>
      </c>
      <c r="H354" s="59" t="n">
        <f aca="false">F354-G354</f>
        <v>480</v>
      </c>
      <c r="J354" s="55"/>
    </row>
    <row r="355" customFormat="false" ht="21.65" hidden="false" customHeight="true" outlineLevel="0" collapsed="false">
      <c r="A355" s="0" t="n">
        <v>30</v>
      </c>
      <c r="B355" s="31" t="n">
        <v>42979</v>
      </c>
      <c r="C355" s="9" t="n">
        <v>3</v>
      </c>
      <c r="D355" s="29" t="s">
        <v>42</v>
      </c>
      <c r="E355" s="580" t="n">
        <f aca="false">IF(D355="totale",(C355/(A355*24))/F355,IF(D355="marché libre",(C355/(A355*24))/G355,"spécifier histo"))</f>
        <v>5.95238095238095E-006</v>
      </c>
      <c r="F355" s="59" t="n">
        <v>1180</v>
      </c>
      <c r="G355" s="59" t="n">
        <v>700</v>
      </c>
      <c r="H355" s="59" t="n">
        <f aca="false">F355-G355</f>
        <v>480</v>
      </c>
      <c r="J355" s="55"/>
    </row>
    <row r="356" customFormat="false" ht="21.65" hidden="false" customHeight="true" outlineLevel="0" collapsed="false">
      <c r="A356" s="0" t="n">
        <v>31</v>
      </c>
      <c r="B356" s="34" t="n">
        <v>43009</v>
      </c>
      <c r="C356" s="9" t="n">
        <v>1932.83</v>
      </c>
      <c r="D356" s="29" t="s">
        <v>42</v>
      </c>
      <c r="E356" s="580" t="n">
        <f aca="false">IF(D356="totale",(C356/(A356*24))/F356,IF(D356="marché libre",(C356/(A356*24))/G356,"spécifier histo"))</f>
        <v>0.00371127112135177</v>
      </c>
      <c r="F356" s="59" t="n">
        <v>1180</v>
      </c>
      <c r="G356" s="59" t="n">
        <v>700</v>
      </c>
      <c r="H356" s="59" t="n">
        <f aca="false">F356-G356</f>
        <v>480</v>
      </c>
      <c r="J356" s="55"/>
    </row>
    <row r="357" customFormat="false" ht="21.65" hidden="false" customHeight="true" outlineLevel="0" collapsed="false">
      <c r="A357" s="0" t="n">
        <v>30</v>
      </c>
      <c r="B357" s="31" t="n">
        <v>43040</v>
      </c>
      <c r="C357" s="9" t="n">
        <v>175092</v>
      </c>
      <c r="D357" s="29" t="s">
        <v>42</v>
      </c>
      <c r="E357" s="580" t="n">
        <f aca="false">IF(D357="totale",(C357/(A357*24))/F357,IF(D357="marché libre",(C357/(A357*24))/G357,"spécifier histo"))</f>
        <v>0.347404761904762</v>
      </c>
      <c r="F357" s="59" t="n">
        <v>1180</v>
      </c>
      <c r="G357" s="59" t="n">
        <v>700</v>
      </c>
      <c r="H357" s="59" t="n">
        <f aca="false">F357-G357</f>
        <v>480</v>
      </c>
      <c r="J357" s="55"/>
    </row>
    <row r="358" customFormat="false" ht="21.65" hidden="false" customHeight="true" outlineLevel="0" collapsed="false">
      <c r="A358" s="0" t="n">
        <v>31</v>
      </c>
      <c r="B358" s="34" t="n">
        <v>43070</v>
      </c>
      <c r="C358" s="9" t="n">
        <v>316384</v>
      </c>
      <c r="D358" s="29" t="s">
        <v>42</v>
      </c>
      <c r="E358" s="580" t="n">
        <f aca="false">IF(D358="totale",(C358/(A358*24))/F358,IF(D358="marché libre",(C358/(A358*24))/G358,"spécifier histo"))</f>
        <v>0.607496159754224</v>
      </c>
      <c r="F358" s="59" t="n">
        <v>1180</v>
      </c>
      <c r="G358" s="59" t="n">
        <v>700</v>
      </c>
      <c r="H358" s="59" t="n">
        <f aca="false">F358-G358</f>
        <v>480</v>
      </c>
      <c r="J358" s="55"/>
    </row>
    <row r="359" customFormat="false" ht="28.35" hidden="false" customHeight="true" outlineLevel="0" collapsed="false">
      <c r="A359" s="0" t="n">
        <v>31</v>
      </c>
      <c r="B359" s="31" t="n">
        <v>43101</v>
      </c>
      <c r="C359" s="1" t="n">
        <v>274681</v>
      </c>
      <c r="D359" s="29" t="s">
        <v>42</v>
      </c>
      <c r="E359" s="580" t="n">
        <f aca="false">IF(D359="totale",(C359/(A359*24))/F359,IF(D359="marché libre",(C359/(A359*24))/G359,"spécifier histo"))</f>
        <v>0.527421274961598</v>
      </c>
      <c r="F359" s="59" t="n">
        <v>1180</v>
      </c>
      <c r="G359" s="59" t="n">
        <v>700</v>
      </c>
      <c r="H359" s="59" t="n">
        <f aca="false">F359-G359</f>
        <v>480</v>
      </c>
      <c r="J359" s="55"/>
    </row>
    <row r="360" customFormat="false" ht="28.35" hidden="false" customHeight="true" outlineLevel="0" collapsed="false">
      <c r="A360" s="0" t="n">
        <v>31</v>
      </c>
      <c r="B360" s="34" t="n">
        <v>43132</v>
      </c>
      <c r="C360" s="1" t="n">
        <v>266139</v>
      </c>
      <c r="D360" s="29" t="s">
        <v>42</v>
      </c>
      <c r="E360" s="580" t="n">
        <f aca="false">IF(D360="totale",(C360/(A360*24))/F360,IF(D360="marché libre",(C360/(A360*24))/G360,"spécifier histo"))</f>
        <v>0.511019585253456</v>
      </c>
      <c r="F360" s="59" t="n">
        <v>1180</v>
      </c>
      <c r="G360" s="59" t="n">
        <v>700</v>
      </c>
      <c r="H360" s="59" t="n">
        <f aca="false">F360-G360</f>
        <v>480</v>
      </c>
    </row>
    <row r="361" customFormat="false" ht="28.35" hidden="false" customHeight="true" outlineLevel="0" collapsed="false">
      <c r="A361" s="0" t="n">
        <v>28</v>
      </c>
      <c r="B361" s="31" t="n">
        <v>43160</v>
      </c>
      <c r="C361" s="1" t="n">
        <v>210491</v>
      </c>
      <c r="D361" s="29" t="s">
        <v>42</v>
      </c>
      <c r="E361" s="580" t="n">
        <f aca="false">IF(D361="totale",(C361/(A361*24))/F361,IF(D361="marché libre",(C361/(A361*24))/G361,"spécifier histo"))</f>
        <v>0.447472363945578</v>
      </c>
      <c r="F361" s="59" t="n">
        <v>1180</v>
      </c>
      <c r="G361" s="59" t="n">
        <v>700</v>
      </c>
      <c r="H361" s="59" t="n">
        <f aca="false">F361-G361</f>
        <v>480</v>
      </c>
    </row>
    <row r="362" customFormat="false" ht="28.35" hidden="false" customHeight="true" outlineLevel="0" collapsed="false">
      <c r="A362" s="0" t="n">
        <v>31</v>
      </c>
      <c r="B362" s="34" t="n">
        <v>43191</v>
      </c>
      <c r="C362" s="1" t="n">
        <v>121069</v>
      </c>
      <c r="D362" s="29" t="s">
        <v>42</v>
      </c>
      <c r="E362" s="580" t="n">
        <f aca="false">IF(D362="totale",(C362/(A362*24))/F362,IF(D362="marché libre",(C362/(A362*24))/G362,"spécifier histo"))</f>
        <v>0.232467357910906</v>
      </c>
      <c r="F362" s="59" t="n">
        <v>1180</v>
      </c>
      <c r="G362" s="59" t="n">
        <v>700</v>
      </c>
      <c r="H362" s="59" t="n">
        <f aca="false">F362-G362</f>
        <v>480</v>
      </c>
    </row>
    <row r="363" customFormat="false" ht="28.35" hidden="false" customHeight="true" outlineLevel="0" collapsed="false">
      <c r="A363" s="0" t="n">
        <v>30</v>
      </c>
      <c r="B363" s="31" t="n">
        <v>43221</v>
      </c>
      <c r="C363" s="1" t="n">
        <v>8334</v>
      </c>
      <c r="D363" s="29" t="s">
        <v>42</v>
      </c>
      <c r="E363" s="580" t="n">
        <f aca="false">IF(D363="totale",(C363/(A363*24))/F363,IF(D363="marché libre",(C363/(A363*24))/G363,"spécifier histo"))</f>
        <v>0.0165357142857143</v>
      </c>
      <c r="F363" s="59" t="n">
        <v>1180</v>
      </c>
      <c r="G363" s="59" t="n">
        <v>700</v>
      </c>
      <c r="H363" s="59" t="n">
        <f aca="false">F363-G363</f>
        <v>480</v>
      </c>
    </row>
    <row r="364" customFormat="false" ht="28.35" hidden="false" customHeight="true" outlineLevel="0" collapsed="false">
      <c r="A364" s="0" t="n">
        <v>31</v>
      </c>
      <c r="B364" s="34" t="n">
        <v>43252</v>
      </c>
      <c r="C364" s="1" t="n">
        <v>26023</v>
      </c>
      <c r="D364" s="29" t="s">
        <v>42</v>
      </c>
      <c r="E364" s="580" t="n">
        <f aca="false">IF(D364="totale",(C364/(A364*24))/F364,IF(D364="marché libre",(C364/(A364*24))/G364,"spécifier histo"))</f>
        <v>0.0499673579109063</v>
      </c>
      <c r="F364" s="59" t="n">
        <v>1180</v>
      </c>
      <c r="G364" s="59" t="n">
        <v>700</v>
      </c>
      <c r="H364" s="59" t="n">
        <f aca="false">F364-G364</f>
        <v>480</v>
      </c>
    </row>
    <row r="365" customFormat="false" ht="28.35" hidden="false" customHeight="true" outlineLevel="0" collapsed="false">
      <c r="A365" s="0" t="n">
        <v>30</v>
      </c>
      <c r="B365" s="31" t="n">
        <v>43282</v>
      </c>
      <c r="C365" s="1" t="n">
        <v>0</v>
      </c>
      <c r="D365" s="29" t="s">
        <v>42</v>
      </c>
      <c r="E365" s="580" t="n">
        <f aca="false">IF(D365="totale",(C365/(A365*24))/F365,IF(D365="marché libre",(C365/(A365*24))/G365,"spécifier histo"))</f>
        <v>0</v>
      </c>
      <c r="F365" s="59" t="n">
        <v>1180</v>
      </c>
      <c r="G365" s="59" t="n">
        <v>700</v>
      </c>
      <c r="H365" s="59" t="n">
        <f aca="false">F365-G365</f>
        <v>480</v>
      </c>
    </row>
    <row r="366" customFormat="false" ht="28.35" hidden="false" customHeight="true" outlineLevel="0" collapsed="false">
      <c r="A366" s="0" t="n">
        <v>31</v>
      </c>
      <c r="B366" s="34" t="n">
        <v>43313</v>
      </c>
      <c r="C366" s="1" t="n">
        <v>0</v>
      </c>
      <c r="D366" s="29" t="s">
        <v>42</v>
      </c>
      <c r="E366" s="580" t="n">
        <f aca="false">IF(D366="totale",(C366/(A366*24))/F366,IF(D366="marché libre",(C366/(A366*24))/G366,"spécifier histo"))</f>
        <v>0</v>
      </c>
      <c r="F366" s="59" t="n">
        <v>1180</v>
      </c>
      <c r="G366" s="59" t="n">
        <v>700</v>
      </c>
      <c r="H366" s="59" t="n">
        <f aca="false">F366-G366</f>
        <v>480</v>
      </c>
    </row>
    <row r="367" customFormat="false" ht="28.35" hidden="false" customHeight="true" outlineLevel="0" collapsed="false">
      <c r="A367" s="0"/>
    </row>
    <row r="368" customFormat="false" ht="28.35" hidden="false" customHeight="true" outlineLevel="0" collapsed="false">
      <c r="A368" s="0"/>
    </row>
    <row r="369" customFormat="false" ht="28.35" hidden="false" customHeight="true" outlineLevel="0" collapsed="false">
      <c r="A369" s="0"/>
    </row>
    <row r="370" customFormat="false" ht="28.35" hidden="false" customHeight="true" outlineLevel="0" collapsed="false">
      <c r="A370" s="0"/>
    </row>
    <row r="371" customFormat="false" ht="28.35" hidden="false" customHeight="true" outlineLevel="0" collapsed="false">
      <c r="A371" s="0"/>
    </row>
    <row r="372" customFormat="false" ht="28.35" hidden="false" customHeight="true" outlineLevel="0" collapsed="false">
      <c r="A372" s="0"/>
    </row>
    <row r="373" customFormat="false" ht="28.35" hidden="false" customHeight="true" outlineLevel="0" collapsed="false">
      <c r="A373" s="0"/>
    </row>
    <row r="374" customFormat="false" ht="28.35" hidden="false" customHeight="true" outlineLevel="0" collapsed="false">
      <c r="A374" s="0"/>
    </row>
    <row r="375" customFormat="false" ht="28.35" hidden="false" customHeight="true" outlineLevel="0" collapsed="false">
      <c r="A375" s="0"/>
    </row>
    <row r="376" customFormat="false" ht="28.35" hidden="false" customHeight="true" outlineLevel="0" collapsed="false">
      <c r="A376" s="0"/>
    </row>
    <row r="377" customFormat="false" ht="28.35" hidden="false" customHeight="true" outlineLevel="0" collapsed="false">
      <c r="A377" s="0"/>
    </row>
    <row r="378" customFormat="false" ht="28.35" hidden="false" customHeight="true" outlineLevel="0" collapsed="false">
      <c r="A378" s="0"/>
    </row>
    <row r="379" customFormat="false" ht="28.35" hidden="false" customHeight="true" outlineLevel="0" collapsed="false">
      <c r="A379" s="0"/>
    </row>
    <row r="380" customFormat="false" ht="28.35" hidden="false" customHeight="true" outlineLevel="0" collapsed="false">
      <c r="A380" s="0"/>
    </row>
    <row r="381" customFormat="false" ht="28.35" hidden="false" customHeight="true" outlineLevel="0" collapsed="false">
      <c r="A381" s="0"/>
    </row>
    <row r="382" customFormat="false" ht="28.35" hidden="false" customHeight="true" outlineLevel="0" collapsed="false">
      <c r="A382" s="0"/>
    </row>
    <row r="383" customFormat="false" ht="28.35" hidden="false" customHeight="true" outlineLevel="0" collapsed="false">
      <c r="A383" s="0"/>
    </row>
    <row r="384" customFormat="false" ht="28.35" hidden="false" customHeight="true" outlineLevel="0" collapsed="false">
      <c r="A384" s="0"/>
    </row>
    <row r="385" customFormat="false" ht="28.35" hidden="false" customHeight="true" outlineLevel="0" collapsed="false">
      <c r="A385" s="0"/>
    </row>
    <row r="386" customFormat="false" ht="28.35" hidden="false" customHeight="true" outlineLevel="0" collapsed="false">
      <c r="A386" s="0"/>
    </row>
    <row r="387" customFormat="false" ht="28.35" hidden="false" customHeight="true" outlineLevel="0" collapsed="false">
      <c r="A387" s="0"/>
    </row>
    <row r="388" customFormat="false" ht="28.35" hidden="false" customHeight="true" outlineLevel="0" collapsed="false">
      <c r="A388" s="0"/>
    </row>
    <row r="389" customFormat="false" ht="28.35" hidden="false" customHeight="true" outlineLevel="0" collapsed="false">
      <c r="A389" s="0"/>
    </row>
    <row r="390" customFormat="false" ht="28.35" hidden="false" customHeight="true" outlineLevel="0" collapsed="false">
      <c r="A390" s="0"/>
    </row>
    <row r="391" customFormat="false" ht="28.35" hidden="false" customHeight="true" outlineLevel="0" collapsed="false">
      <c r="A391" s="0"/>
    </row>
    <row r="392" customFormat="false" ht="28.35" hidden="false" customHeight="true" outlineLevel="0" collapsed="false">
      <c r="A392" s="0"/>
    </row>
    <row r="393" customFormat="false" ht="28.35" hidden="false" customHeight="true" outlineLevel="0" collapsed="false">
      <c r="A393" s="0"/>
    </row>
    <row r="394" customFormat="false" ht="28.35" hidden="false" customHeight="true" outlineLevel="0" collapsed="false">
      <c r="A394" s="0"/>
    </row>
    <row r="395" customFormat="false" ht="28.35" hidden="false" customHeight="true" outlineLevel="0" collapsed="false">
      <c r="A395" s="0"/>
    </row>
    <row r="396" customFormat="false" ht="28.35" hidden="false" customHeight="true" outlineLevel="0" collapsed="false">
      <c r="A396" s="0"/>
    </row>
    <row r="397" customFormat="false" ht="28.35" hidden="false" customHeight="true" outlineLevel="0" collapsed="false">
      <c r="A397" s="0"/>
    </row>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9:E366 E2:E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73.xml><?xml version="1.0" encoding="utf-8"?>
<worksheet xmlns="http://schemas.openxmlformats.org/spreadsheetml/2006/main" xmlns:r="http://schemas.openxmlformats.org/officeDocument/2006/relationships">
  <sheetPr filterMode="false">
    <tabColor rgb="FF00CC33"/>
    <pageSetUpPr fitToPage="false"/>
  </sheetPr>
  <dimension ref="A1:X22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90" activePane="bottomRight" state="frozen"/>
      <selection pane="topLeft" activeCell="A1" activeCellId="0" sqref="A1"/>
      <selection pane="topRight" activeCell="B1" activeCellId="0" sqref="B1"/>
      <selection pane="bottomLeft" activeCell="A190" activeCellId="0" sqref="A190"/>
      <selection pane="bottomRight" activeCell="B193" activeCellId="0" sqref="B193"/>
    </sheetView>
  </sheetViews>
  <sheetFormatPr defaultRowHeight="12.8" zeroHeight="false" outlineLevelRow="0" outlineLevelCol="0"/>
  <cols>
    <col collapsed="false" customWidth="true" hidden="false" outlineLevel="0" max="1" min="1" style="1" width="4.78"/>
    <col collapsed="false" customWidth="true" hidden="false" outlineLevel="0" max="3" min="2" style="1" width="17.13"/>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18.2"/>
    <col collapsed="false" customWidth="true" hidden="false" outlineLevel="0" max="10" min="10" style="1" width="25.33"/>
    <col collapsed="false" customWidth="true" hidden="false" outlineLevel="0" max="11" min="11" style="1" width="16.98"/>
    <col collapsed="false" customWidth="true" hidden="false" outlineLevel="0" max="12" min="12" style="1" width="24.54"/>
    <col collapsed="false" customWidth="true" hidden="false" outlineLevel="0" max="13" min="13" style="1" width="16.36"/>
    <col collapsed="false" customWidth="true" hidden="false" outlineLevel="0" max="14" min="14" style="1" width="10.8"/>
    <col collapsed="false" customWidth="true" hidden="false" outlineLevel="0" max="15" min="15" style="1" width="4.63"/>
    <col collapsed="false" customWidth="false" hidden="false" outlineLevel="0" max="16" min="16" style="1" width="11.52"/>
    <col collapsed="false" customWidth="true" hidden="false" outlineLevel="0" max="17" min="17" style="1" width="15.28"/>
    <col collapsed="false" customWidth="true" hidden="false" outlineLevel="0" max="18" min="18" style="1" width="3.7"/>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0.8" hidden="false" customHeight="true" outlineLevel="0" collapsed="false">
      <c r="A4" s="0"/>
      <c r="B4" s="5" t="s">
        <v>1132</v>
      </c>
      <c r="C4" s="16" t="n">
        <v>438926</v>
      </c>
      <c r="D4" s="5" t="s">
        <v>1133</v>
      </c>
      <c r="E4" s="14" t="s">
        <v>45</v>
      </c>
      <c r="F4" s="15" t="n">
        <v>3504</v>
      </c>
      <c r="G4" s="15" t="n">
        <v>3504</v>
      </c>
      <c r="H4" s="15" t="n">
        <v>1500</v>
      </c>
      <c r="I4" s="5" t="s">
        <v>1134</v>
      </c>
      <c r="J4" s="15" t="n">
        <v>1500</v>
      </c>
      <c r="K4" s="5" t="s">
        <v>1135</v>
      </c>
      <c r="L4" s="5" t="s">
        <v>48</v>
      </c>
      <c r="M4" s="5" t="n">
        <v>1500</v>
      </c>
      <c r="N4" s="4"/>
      <c r="O4" s="135"/>
      <c r="P4" s="17"/>
      <c r="Q4" s="16" t="s">
        <v>23</v>
      </c>
      <c r="R4" s="135"/>
      <c r="S4" s="18"/>
      <c r="T4" s="19" t="s">
        <v>24</v>
      </c>
      <c r="U4" s="19"/>
      <c r="V4" s="19"/>
      <c r="W4" s="135"/>
      <c r="X4" s="135"/>
    </row>
    <row r="5" customFormat="false" ht="37.45" hidden="false" customHeight="true" outlineLevel="0" collapsed="false">
      <c r="A5" s="0"/>
      <c r="F5" s="9"/>
      <c r="G5" s="9"/>
      <c r="H5" s="9"/>
      <c r="J5" s="9"/>
      <c r="P5" s="9"/>
      <c r="Q5" s="9"/>
    </row>
    <row r="6" customFormat="false" ht="49.95" hidden="false" customHeight="true" outlineLevel="0" collapsed="false">
      <c r="A6" s="0"/>
      <c r="B6" s="0"/>
      <c r="C6" s="10" t="s">
        <v>25</v>
      </c>
      <c r="D6" s="10"/>
      <c r="F6" s="20" t="s">
        <v>26</v>
      </c>
      <c r="G6" s="19" t="s">
        <v>1136</v>
      </c>
      <c r="H6" s="19"/>
      <c r="I6" s="19"/>
      <c r="J6" s="19"/>
      <c r="K6" s="19"/>
      <c r="L6" s="19"/>
      <c r="M6" s="19"/>
      <c r="N6" s="19"/>
      <c r="P6" s="21" t="n">
        <v>42370</v>
      </c>
      <c r="Q6" s="19" t="s">
        <v>27</v>
      </c>
      <c r="R6" s="9"/>
      <c r="S6" s="22"/>
      <c r="T6" s="5" t="s">
        <v>28</v>
      </c>
    </row>
    <row r="7" customFormat="false" ht="78.1" hidden="false" customHeight="true" outlineLevel="0" collapsed="false">
      <c r="A7" s="0"/>
      <c r="B7" s="0"/>
      <c r="C7" s="23" t="s">
        <v>1137</v>
      </c>
      <c r="D7" s="23"/>
      <c r="F7" s="20"/>
      <c r="G7" s="20"/>
      <c r="H7" s="19"/>
      <c r="I7" s="19"/>
      <c r="J7" s="19"/>
      <c r="K7" s="19"/>
      <c r="L7" s="19"/>
      <c r="M7" s="19"/>
      <c r="N7" s="19"/>
      <c r="P7" s="24"/>
      <c r="Q7" s="5" t="s">
        <v>29</v>
      </c>
      <c r="R7" s="9"/>
      <c r="S7" s="25"/>
      <c r="T7" s="5" t="s">
        <v>30</v>
      </c>
    </row>
    <row r="8" customFormat="false" ht="38.3" hidden="false" customHeight="true" outlineLevel="0" collapsed="false">
      <c r="A8" s="26"/>
      <c r="F8" s="9"/>
      <c r="G8" s="9"/>
      <c r="H8" s="9"/>
      <c r="J8" s="9"/>
      <c r="R8" s="9"/>
      <c r="S8" s="27"/>
      <c r="T8" s="16" t="s">
        <v>31</v>
      </c>
    </row>
    <row r="9" customFormat="false" ht="38.3" hidden="false" customHeight="true" outlineLevel="0" collapsed="false">
      <c r="B9" s="9" t="s">
        <v>32</v>
      </c>
      <c r="C9" s="9" t="s">
        <v>51</v>
      </c>
      <c r="D9" s="29" t="s">
        <v>52</v>
      </c>
      <c r="E9" s="1" t="s">
        <v>35</v>
      </c>
      <c r="F9" s="9" t="s">
        <v>36</v>
      </c>
      <c r="G9" s="9" t="s">
        <v>37</v>
      </c>
      <c r="H9" s="9" t="s">
        <v>38</v>
      </c>
      <c r="I9" s="9" t="s">
        <v>39</v>
      </c>
      <c r="J9" s="30" t="s">
        <v>40</v>
      </c>
    </row>
    <row r="10" customFormat="false" ht="19.95" hidden="false" customHeight="true" outlineLevel="0" collapsed="false">
      <c r="A10" s="1" t="n">
        <v>31</v>
      </c>
      <c r="B10" s="430" t="n">
        <v>37622</v>
      </c>
      <c r="C10" s="9" t="n">
        <v>1664800</v>
      </c>
      <c r="D10" s="26" t="s">
        <v>41</v>
      </c>
      <c r="E10" s="33" t="n">
        <f aca="false">IF(D10="totale",(C10/(A10*24))/F10,IF(D10="marché libre",(C10/(A10*24))/G10,"spécifier histo"))</f>
        <v>0.639324116743472</v>
      </c>
      <c r="F10" s="59" t="n">
        <f aca="false">1500+2000</f>
        <v>3500</v>
      </c>
      <c r="G10" s="59" t="n">
        <f aca="false">F10-H10</f>
        <v>0</v>
      </c>
      <c r="H10" s="59" t="n">
        <f aca="false">1500+2000</f>
        <v>3500</v>
      </c>
      <c r="I10" s="9"/>
      <c r="J10" s="237"/>
    </row>
    <row r="11" customFormat="false" ht="19.95" hidden="false" customHeight="true" outlineLevel="0" collapsed="false">
      <c r="A11" s="1" t="n">
        <v>28</v>
      </c>
      <c r="B11" s="431" t="n">
        <v>37653</v>
      </c>
      <c r="C11" s="9" t="n">
        <v>936000</v>
      </c>
      <c r="D11" s="26" t="s">
        <v>41</v>
      </c>
      <c r="E11" s="33" t="n">
        <f aca="false">IF(D11="totale",(C11/(A11*24))/F11,IF(D11="marché libre",(C11/(A11*24))/G11,"spécifier histo"))</f>
        <v>0.397959183673469</v>
      </c>
      <c r="F11" s="59" t="n">
        <f aca="false">1500+2000</f>
        <v>3500</v>
      </c>
      <c r="G11" s="59" t="n">
        <f aca="false">F11-H11</f>
        <v>0</v>
      </c>
      <c r="H11" s="59" t="n">
        <f aca="false">1500+2000</f>
        <v>3500</v>
      </c>
      <c r="I11" s="9"/>
      <c r="J11" s="30"/>
    </row>
    <row r="12" customFormat="false" ht="19.95" hidden="false" customHeight="true" outlineLevel="0" collapsed="false">
      <c r="A12" s="1" t="n">
        <v>31</v>
      </c>
      <c r="B12" s="432" t="n">
        <v>37681</v>
      </c>
      <c r="C12" s="9" t="n">
        <v>1513600</v>
      </c>
      <c r="D12" s="26" t="s">
        <v>41</v>
      </c>
      <c r="E12" s="33" t="n">
        <f aca="false">IF(D12="totale",(C12/(A12*24))/F12,IF(D12="marché libre",(C12/(A12*24))/G12,"spécifier histo"))</f>
        <v>0.581259600614439</v>
      </c>
      <c r="F12" s="59" t="n">
        <f aca="false">1500+2000</f>
        <v>3500</v>
      </c>
      <c r="G12" s="59" t="n">
        <f aca="false">F12-H12</f>
        <v>0</v>
      </c>
      <c r="H12" s="59" t="n">
        <f aca="false">1500+2000</f>
        <v>3500</v>
      </c>
      <c r="I12" s="9"/>
      <c r="J12" s="70" t="s">
        <v>1138</v>
      </c>
    </row>
    <row r="13" customFormat="false" ht="19.95" hidden="false" customHeight="true" outlineLevel="0" collapsed="false">
      <c r="A13" s="1" t="n">
        <v>30</v>
      </c>
      <c r="B13" s="433" t="n">
        <v>37712</v>
      </c>
      <c r="C13" s="9" t="n">
        <v>1374000</v>
      </c>
      <c r="D13" s="26" t="s">
        <v>41</v>
      </c>
      <c r="E13" s="33" t="n">
        <f aca="false">IF(D13="totale",(C13/(A13*24))/F13,IF(D13="marché libre",(C13/(A13*24))/G13,"spécifier histo"))</f>
        <v>0.545238095238095</v>
      </c>
      <c r="F13" s="59" t="n">
        <f aca="false">1500+2000</f>
        <v>3500</v>
      </c>
      <c r="G13" s="59" t="n">
        <f aca="false">F13-H13</f>
        <v>0</v>
      </c>
      <c r="H13" s="59" t="n">
        <f aca="false">1500+2000</f>
        <v>3500</v>
      </c>
      <c r="I13" s="9"/>
      <c r="J13" s="30"/>
    </row>
    <row r="14" customFormat="false" ht="19.95" hidden="false" customHeight="true" outlineLevel="0" collapsed="false">
      <c r="A14" s="1" t="n">
        <v>31</v>
      </c>
      <c r="B14" s="434" t="n">
        <v>37742</v>
      </c>
      <c r="C14" s="9" t="n">
        <v>1704400</v>
      </c>
      <c r="D14" s="26" t="s">
        <v>41</v>
      </c>
      <c r="E14" s="33" t="n">
        <f aca="false">IF(D14="totale",(C14/(A14*24))/F14,IF(D14="marché libre",(C14/(A14*24))/G14,"spécifier histo"))</f>
        <v>0.654531490015361</v>
      </c>
      <c r="F14" s="59" t="n">
        <f aca="false">1500+2000</f>
        <v>3500</v>
      </c>
      <c r="G14" s="59" t="n">
        <f aca="false">F14-H14</f>
        <v>0</v>
      </c>
      <c r="H14" s="59" t="n">
        <f aca="false">1500+2000</f>
        <v>3500</v>
      </c>
      <c r="I14" s="9"/>
      <c r="J14" s="30"/>
    </row>
    <row r="15" customFormat="false" ht="19.95" hidden="false" customHeight="true" outlineLevel="0" collapsed="false">
      <c r="A15" s="1" t="n">
        <v>30</v>
      </c>
      <c r="B15" s="435" t="n">
        <v>37773</v>
      </c>
      <c r="C15" s="9" t="n">
        <v>1143200</v>
      </c>
      <c r="D15" s="26" t="s">
        <v>41</v>
      </c>
      <c r="E15" s="33" t="n">
        <f aca="false">IF(D15="totale",(C15/(A15*24))/F15,IF(D15="marché libre",(C15/(A15*24))/G15,"spécifier histo"))</f>
        <v>0.453650793650794</v>
      </c>
      <c r="F15" s="59" t="n">
        <f aca="false">1500+2000</f>
        <v>3500</v>
      </c>
      <c r="G15" s="59" t="n">
        <f aca="false">F15-H15</f>
        <v>0</v>
      </c>
      <c r="H15" s="59" t="n">
        <f aca="false">1500+2000</f>
        <v>3500</v>
      </c>
      <c r="I15" s="9"/>
      <c r="J15" s="30"/>
    </row>
    <row r="16" customFormat="false" ht="19.95" hidden="false" customHeight="true" outlineLevel="0" collapsed="false">
      <c r="A16" s="1" t="n">
        <v>31</v>
      </c>
      <c r="B16" s="436" t="s">
        <v>1139</v>
      </c>
      <c r="C16" s="9" t="n">
        <v>150000</v>
      </c>
      <c r="D16" s="26" t="s">
        <v>41</v>
      </c>
      <c r="E16" s="33" t="n">
        <f aca="false">IF(D16="totale",(C16/(A16*24))/F16,IF(D16="marché libre",(C16/(A16*24))/G16,"spécifier histo"))</f>
        <v>0.0576036866359447</v>
      </c>
      <c r="F16" s="59" t="n">
        <f aca="false">1500+2000</f>
        <v>3500</v>
      </c>
      <c r="G16" s="59" t="n">
        <f aca="false">F16-H16</f>
        <v>0</v>
      </c>
      <c r="H16" s="59" t="n">
        <f aca="false">1500+2000</f>
        <v>3500</v>
      </c>
      <c r="I16" s="9"/>
      <c r="J16" s="30"/>
    </row>
    <row r="17" customFormat="false" ht="19.95" hidden="false" customHeight="true" outlineLevel="0" collapsed="false">
      <c r="A17" s="1" t="n">
        <v>31</v>
      </c>
      <c r="B17" s="437" t="n">
        <v>37834</v>
      </c>
      <c r="C17" s="9" t="n">
        <v>0</v>
      </c>
      <c r="D17" s="26" t="s">
        <v>41</v>
      </c>
      <c r="E17" s="33" t="n">
        <f aca="false">IF(D17="totale",(C17/(A17*24))/F17,IF(D17="marché libre",(C17/(A17*24))/G17,"spécifier histo"))</f>
        <v>0</v>
      </c>
      <c r="F17" s="59" t="n">
        <f aca="false">1500+2000</f>
        <v>3500</v>
      </c>
      <c r="G17" s="59" t="n">
        <f aca="false">F17-H17</f>
        <v>0</v>
      </c>
      <c r="H17" s="59" t="n">
        <f aca="false">1500+2000</f>
        <v>3500</v>
      </c>
      <c r="I17" s="9" t="s">
        <v>1140</v>
      </c>
      <c r="J17" s="30"/>
    </row>
    <row r="18" customFormat="false" ht="19.95" hidden="false" customHeight="true" outlineLevel="0" collapsed="false">
      <c r="A18" s="1" t="n">
        <v>30</v>
      </c>
      <c r="B18" s="438" t="n">
        <v>37865</v>
      </c>
      <c r="C18" s="9" t="n">
        <v>527600</v>
      </c>
      <c r="D18" s="26" t="s">
        <v>41</v>
      </c>
      <c r="E18" s="33" t="n">
        <f aca="false">IF(D18="totale",(C18/(A18*24))/F18,IF(D18="marché libre",(C18/(A18*24))/G18,"spécifier histo"))</f>
        <v>0.209365079365079</v>
      </c>
      <c r="F18" s="59" t="n">
        <f aca="false">1500+2000</f>
        <v>3500</v>
      </c>
      <c r="G18" s="59" t="n">
        <f aca="false">F18-H18</f>
        <v>0</v>
      </c>
      <c r="H18" s="59" t="n">
        <f aca="false">1500+2000</f>
        <v>3500</v>
      </c>
      <c r="I18" s="9"/>
      <c r="J18" s="30"/>
    </row>
    <row r="19" customFormat="false" ht="19.95" hidden="false" customHeight="true" outlineLevel="0" collapsed="false">
      <c r="A19" s="1" t="n">
        <v>31</v>
      </c>
      <c r="B19" s="439" t="n">
        <v>37895</v>
      </c>
      <c r="C19" s="9" t="n">
        <v>814400</v>
      </c>
      <c r="D19" s="26" t="s">
        <v>41</v>
      </c>
      <c r="E19" s="33" t="n">
        <f aca="false">IF(D19="totale",(C19/(A19*24))/F19,IF(D19="marché libre",(C19/(A19*24))/G19,"spécifier histo"))</f>
        <v>0.312749615975422</v>
      </c>
      <c r="F19" s="59" t="n">
        <f aca="false">1500+2000</f>
        <v>3500</v>
      </c>
      <c r="G19" s="59" t="n">
        <f aca="false">F19-H19</f>
        <v>0</v>
      </c>
      <c r="H19" s="59" t="n">
        <f aca="false">1500+2000</f>
        <v>3500</v>
      </c>
      <c r="I19" s="9"/>
      <c r="J19" s="30"/>
    </row>
    <row r="20" customFormat="false" ht="19.95" hidden="false" customHeight="true" outlineLevel="0" collapsed="false">
      <c r="A20" s="1" t="n">
        <v>30</v>
      </c>
      <c r="B20" s="440" t="n">
        <v>37926</v>
      </c>
      <c r="C20" s="9" t="n">
        <v>1272000</v>
      </c>
      <c r="D20" s="26" t="s">
        <v>41</v>
      </c>
      <c r="E20" s="33" t="n">
        <f aca="false">IF(D20="totale",(C20/(A20*24))/F20,IF(D20="marché libre",(C20/(A20*24))/G20,"spécifier histo"))</f>
        <v>0.504761904761905</v>
      </c>
      <c r="F20" s="59" t="n">
        <f aca="false">1500+2000</f>
        <v>3500</v>
      </c>
      <c r="G20" s="59" t="n">
        <f aca="false">F20-H20</f>
        <v>0</v>
      </c>
      <c r="H20" s="59" t="n">
        <f aca="false">1500+2000</f>
        <v>3500</v>
      </c>
      <c r="I20" s="9"/>
      <c r="J20" s="30"/>
    </row>
    <row r="21" customFormat="false" ht="19.95" hidden="false" customHeight="true" outlineLevel="0" collapsed="false">
      <c r="A21" s="1" t="n">
        <v>31</v>
      </c>
      <c r="B21" s="441" t="n">
        <v>37956</v>
      </c>
      <c r="C21" s="9" t="n">
        <v>1241600</v>
      </c>
      <c r="D21" s="26" t="s">
        <v>41</v>
      </c>
      <c r="E21" s="33" t="n">
        <f aca="false">IF(D21="totale",(C21/(A21*24))/F21,IF(D21="marché libre",(C21/(A21*24))/G21,"spécifier histo"))</f>
        <v>0.476804915514593</v>
      </c>
      <c r="F21" s="59" t="n">
        <f aca="false">1500+2000</f>
        <v>3500</v>
      </c>
      <c r="G21" s="59" t="n">
        <f aca="false">F21-H21</f>
        <v>0</v>
      </c>
      <c r="H21" s="59" t="n">
        <f aca="false">1500+2000</f>
        <v>3500</v>
      </c>
      <c r="I21" s="9"/>
      <c r="J21" s="30"/>
    </row>
    <row r="22" customFormat="false" ht="19.95" hidden="false" customHeight="true" outlineLevel="0" collapsed="false">
      <c r="A22" s="1" t="n">
        <v>31</v>
      </c>
      <c r="B22" s="430" t="n">
        <v>37987</v>
      </c>
      <c r="C22" s="9" t="n">
        <v>1460400</v>
      </c>
      <c r="D22" s="26" t="s">
        <v>41</v>
      </c>
      <c r="E22" s="33" t="n">
        <f aca="false">IF(D22="totale",(C22/(A22*24))/F22,IF(D22="marché libre",(C22/(A22*24))/G22,"spécifier histo"))</f>
        <v>0.560829493087558</v>
      </c>
      <c r="F22" s="59" t="n">
        <f aca="false">1500+2000</f>
        <v>3500</v>
      </c>
      <c r="G22" s="59" t="n">
        <f aca="false">F22-H22</f>
        <v>0</v>
      </c>
      <c r="H22" s="59" t="n">
        <f aca="false">1500+2000</f>
        <v>3500</v>
      </c>
      <c r="I22" s="9"/>
      <c r="J22" s="30"/>
    </row>
    <row r="23" customFormat="false" ht="19.95" hidden="false" customHeight="true" outlineLevel="0" collapsed="false">
      <c r="A23" s="1" t="n">
        <v>28</v>
      </c>
      <c r="B23" s="431" t="n">
        <v>38018</v>
      </c>
      <c r="C23" s="9" t="n">
        <v>1008000</v>
      </c>
      <c r="D23" s="26" t="s">
        <v>41</v>
      </c>
      <c r="E23" s="33" t="n">
        <f aca="false">IF(D23="totale",(C23/(A23*24))/F23,IF(D23="marché libre",(C23/(A23*24))/G23,"spécifier histo"))</f>
        <v>0.428571428571429</v>
      </c>
      <c r="F23" s="59" t="n">
        <f aca="false">1500+2000</f>
        <v>3500</v>
      </c>
      <c r="G23" s="59" t="n">
        <f aca="false">F23-H23</f>
        <v>0</v>
      </c>
      <c r="H23" s="59" t="n">
        <f aca="false">1500+2000</f>
        <v>3500</v>
      </c>
      <c r="I23" s="9"/>
      <c r="J23" s="30"/>
    </row>
    <row r="24" customFormat="false" ht="19.95" hidden="false" customHeight="true" outlineLevel="0" collapsed="false">
      <c r="A24" s="1" t="n">
        <v>31</v>
      </c>
      <c r="B24" s="432" t="n">
        <v>38047</v>
      </c>
      <c r="C24" s="9" t="n">
        <v>1497200</v>
      </c>
      <c r="D24" s="26" t="s">
        <v>41</v>
      </c>
      <c r="E24" s="33" t="n">
        <f aca="false">IF(D24="totale",(C24/(A24*24))/F24,IF(D24="marché libre",(C24/(A24*24))/G24,"spécifier histo"))</f>
        <v>0.574961597542243</v>
      </c>
      <c r="F24" s="59" t="n">
        <f aca="false">1500+2000</f>
        <v>3500</v>
      </c>
      <c r="G24" s="59" t="n">
        <f aca="false">F24-H24</f>
        <v>0</v>
      </c>
      <c r="H24" s="59" t="n">
        <f aca="false">1500+2000</f>
        <v>3500</v>
      </c>
      <c r="I24" s="9"/>
      <c r="J24" s="30"/>
    </row>
    <row r="25" customFormat="false" ht="19.95" hidden="false" customHeight="true" outlineLevel="0" collapsed="false">
      <c r="A25" s="1" t="n">
        <v>30</v>
      </c>
      <c r="B25" s="433" t="n">
        <v>38078</v>
      </c>
      <c r="C25" s="9" t="n">
        <v>1501200</v>
      </c>
      <c r="D25" s="26" t="s">
        <v>41</v>
      </c>
      <c r="E25" s="33" t="n">
        <f aca="false">IF(D25="totale",(C25/(A25*24))/F25,IF(D25="marché libre",(C25/(A25*24))/G25,"spécifier histo"))</f>
        <v>0.595714285714286</v>
      </c>
      <c r="F25" s="59" t="n">
        <f aca="false">1500+2000</f>
        <v>3500</v>
      </c>
      <c r="G25" s="59" t="n">
        <f aca="false">F25-H25</f>
        <v>0</v>
      </c>
      <c r="H25" s="59" t="n">
        <f aca="false">1500+2000</f>
        <v>3500</v>
      </c>
      <c r="I25" s="9"/>
      <c r="J25" s="30"/>
    </row>
    <row r="26" customFormat="false" ht="19.95" hidden="false" customHeight="true" outlineLevel="0" collapsed="false">
      <c r="A26" s="1" t="n">
        <v>31</v>
      </c>
      <c r="B26" s="434" t="n">
        <v>38108</v>
      </c>
      <c r="C26" s="9" t="n">
        <v>1450574</v>
      </c>
      <c r="D26" s="26" t="s">
        <v>41</v>
      </c>
      <c r="E26" s="33" t="n">
        <f aca="false">IF(D26="totale",(C26/(A26*24))/F26,IF(D26="marché libre",(C26/(A26*24))/G26,"spécifier histo"))</f>
        <v>0.557056067588326</v>
      </c>
      <c r="F26" s="59" t="n">
        <f aca="false">1500+2000</f>
        <v>3500</v>
      </c>
      <c r="G26" s="59" t="n">
        <f aca="false">F26-H26</f>
        <v>0</v>
      </c>
      <c r="H26" s="59" t="n">
        <f aca="false">1500+2000</f>
        <v>3500</v>
      </c>
      <c r="I26" s="9"/>
      <c r="J26" s="30"/>
    </row>
    <row r="27" customFormat="false" ht="19.95" hidden="false" customHeight="true" outlineLevel="0" collapsed="false">
      <c r="A27" s="1" t="n">
        <v>30</v>
      </c>
      <c r="B27" s="435" t="n">
        <v>38139</v>
      </c>
      <c r="C27" s="9" t="n">
        <v>1534138</v>
      </c>
      <c r="D27" s="26" t="s">
        <v>41</v>
      </c>
      <c r="E27" s="33" t="n">
        <f aca="false">IF(D27="totale",(C27/(A27*24))/F27,IF(D27="marché libre",(C27/(A27*24))/G27,"spécifier histo"))</f>
        <v>0.608784920634921</v>
      </c>
      <c r="F27" s="59" t="n">
        <f aca="false">1500+2000</f>
        <v>3500</v>
      </c>
      <c r="G27" s="59" t="n">
        <f aca="false">F27-H27</f>
        <v>0</v>
      </c>
      <c r="H27" s="59" t="n">
        <f aca="false">1500+2000</f>
        <v>3500</v>
      </c>
      <c r="I27" s="9"/>
      <c r="J27" s="30"/>
    </row>
    <row r="28" customFormat="false" ht="19.95" hidden="false" customHeight="true" outlineLevel="0" collapsed="false">
      <c r="A28" s="1" t="n">
        <v>31</v>
      </c>
      <c r="B28" s="436" t="n">
        <v>38169</v>
      </c>
      <c r="C28" s="9" t="n">
        <v>741486</v>
      </c>
      <c r="D28" s="26" t="s">
        <v>41</v>
      </c>
      <c r="E28" s="33" t="n">
        <f aca="false">IF(D28="totale",(C28/(A28*24))/F28,IF(D28="marché libre",(C28/(A28*24))/G28,"spécifier histo"))</f>
        <v>0.284748847926267</v>
      </c>
      <c r="F28" s="59" t="n">
        <f aca="false">1500+2000</f>
        <v>3500</v>
      </c>
      <c r="G28" s="59" t="n">
        <f aca="false">F28-H28</f>
        <v>0</v>
      </c>
      <c r="H28" s="59" t="n">
        <f aca="false">1500+2000</f>
        <v>3500</v>
      </c>
      <c r="I28" s="9"/>
      <c r="J28" s="30"/>
    </row>
    <row r="29" customFormat="false" ht="19.95" hidden="false" customHeight="true" outlineLevel="0" collapsed="false">
      <c r="A29" s="1" t="n">
        <v>31</v>
      </c>
      <c r="B29" s="437" t="n">
        <v>38200</v>
      </c>
      <c r="C29" s="9" t="n">
        <v>291301</v>
      </c>
      <c r="D29" s="26" t="s">
        <v>41</v>
      </c>
      <c r="E29" s="33" t="n">
        <f aca="false">IF(D29="totale",(C29/(A29*24))/F29,IF(D29="marché libre",(C29/(A29*24))/G29,"spécifier histo"))</f>
        <v>0.111866743471582</v>
      </c>
      <c r="F29" s="59" t="n">
        <f aca="false">1500+2000</f>
        <v>3500</v>
      </c>
      <c r="G29" s="59" t="n">
        <f aca="false">F29-H29</f>
        <v>0</v>
      </c>
      <c r="H29" s="59" t="n">
        <f aca="false">1500+2000</f>
        <v>3500</v>
      </c>
      <c r="I29" s="9"/>
      <c r="J29" s="30"/>
    </row>
    <row r="30" customFormat="false" ht="19.95" hidden="false" customHeight="true" outlineLevel="0" collapsed="false">
      <c r="A30" s="1" t="n">
        <v>30</v>
      </c>
      <c r="B30" s="438" t="s">
        <v>1141</v>
      </c>
      <c r="C30" s="9" t="n">
        <v>83163</v>
      </c>
      <c r="D30" s="26" t="s">
        <v>41</v>
      </c>
      <c r="E30" s="33" t="n">
        <f aca="false">IF(D30="totale",(C30/(A30*24))/F30,IF(D30="marché libre",(C30/(A30*24))/G30,"spécifier histo"))</f>
        <v>0.0330011904761905</v>
      </c>
      <c r="F30" s="59" t="n">
        <f aca="false">1500+2000</f>
        <v>3500</v>
      </c>
      <c r="G30" s="59" t="n">
        <f aca="false">F30-H30</f>
        <v>0</v>
      </c>
      <c r="H30" s="59" t="n">
        <f aca="false">1500+2000</f>
        <v>3500</v>
      </c>
      <c r="I30" s="9"/>
      <c r="J30" s="30"/>
    </row>
    <row r="31" customFormat="false" ht="19.95" hidden="false" customHeight="true" outlineLevel="0" collapsed="false">
      <c r="A31" s="1" t="n">
        <v>31</v>
      </c>
      <c r="B31" s="439" t="n">
        <v>38261</v>
      </c>
      <c r="C31" s="9" t="n">
        <v>316416</v>
      </c>
      <c r="D31" s="26" t="s">
        <v>41</v>
      </c>
      <c r="E31" s="33" t="n">
        <f aca="false">IF(D31="totale",(C31/(A31*24))/F31,IF(D31="marché libre",(C31/(A31*24))/G31,"spécifier histo"))</f>
        <v>0.121511520737327</v>
      </c>
      <c r="F31" s="59" t="n">
        <f aca="false">1500+2000</f>
        <v>3500</v>
      </c>
      <c r="G31" s="59" t="n">
        <f aca="false">F31-H31</f>
        <v>0</v>
      </c>
      <c r="H31" s="59" t="n">
        <f aca="false">1500+2000</f>
        <v>3500</v>
      </c>
      <c r="I31" s="9"/>
      <c r="J31" s="30"/>
    </row>
    <row r="32" customFormat="false" ht="19.95" hidden="false" customHeight="true" outlineLevel="0" collapsed="false">
      <c r="A32" s="1" t="n">
        <v>30</v>
      </c>
      <c r="B32" s="440" t="n">
        <v>38292</v>
      </c>
      <c r="C32" s="9" t="n">
        <v>830689</v>
      </c>
      <c r="D32" s="26" t="s">
        <v>41</v>
      </c>
      <c r="E32" s="33" t="n">
        <f aca="false">IF(D32="totale",(C32/(A32*24))/F32,IF(D32="marché libre",(C32/(A32*24))/G32,"spécifier histo"))</f>
        <v>0.329638492063492</v>
      </c>
      <c r="F32" s="59" t="n">
        <f aca="false">1500+2000</f>
        <v>3500</v>
      </c>
      <c r="G32" s="59" t="n">
        <f aca="false">F32-H32</f>
        <v>0</v>
      </c>
      <c r="H32" s="59" t="n">
        <f aca="false">1500+2000</f>
        <v>3500</v>
      </c>
      <c r="I32" s="9"/>
      <c r="J32" s="30"/>
    </row>
    <row r="33" customFormat="false" ht="19.95" hidden="false" customHeight="true" outlineLevel="0" collapsed="false">
      <c r="A33" s="1" t="n">
        <v>31</v>
      </c>
      <c r="B33" s="441" t="n">
        <v>38322</v>
      </c>
      <c r="C33" s="9" t="n">
        <v>848349</v>
      </c>
      <c r="D33" s="26" t="s">
        <v>41</v>
      </c>
      <c r="E33" s="33" t="n">
        <f aca="false">IF(D33="totale",(C33/(A33*24))/F33,IF(D33="marché libre",(C33/(A33*24))/G33,"spécifier histo"))</f>
        <v>0.325786866359447</v>
      </c>
      <c r="F33" s="59" t="n">
        <f aca="false">1500+2000</f>
        <v>3500</v>
      </c>
      <c r="G33" s="59" t="n">
        <f aca="false">F33-H33</f>
        <v>0</v>
      </c>
      <c r="H33" s="59" t="n">
        <f aca="false">1500+2000</f>
        <v>3500</v>
      </c>
      <c r="I33" s="9"/>
      <c r="J33" s="30"/>
    </row>
    <row r="34" customFormat="false" ht="19.85" hidden="false" customHeight="true" outlineLevel="0" collapsed="false">
      <c r="A34" s="1" t="n">
        <v>31</v>
      </c>
      <c r="B34" s="414" t="s">
        <v>660</v>
      </c>
      <c r="C34" s="56" t="n">
        <v>797302</v>
      </c>
      <c r="D34" s="26" t="s">
        <v>41</v>
      </c>
      <c r="E34" s="33" t="n">
        <f aca="false">IF(D34="totale",(C34/(A34*24))/F34,IF(D34="marché libre",(C34/(A34*24))/G34,"spécifier histo"))</f>
        <v>0.30618356374808</v>
      </c>
      <c r="F34" s="59" t="n">
        <f aca="false">1500+2000</f>
        <v>3500</v>
      </c>
      <c r="G34" s="59" t="n">
        <f aca="false">F34-H34</f>
        <v>0</v>
      </c>
      <c r="H34" s="59" t="n">
        <f aca="false">1500+2000</f>
        <v>3500</v>
      </c>
      <c r="J34" s="70" t="s">
        <v>1142</v>
      </c>
    </row>
    <row r="35" customFormat="false" ht="19.85" hidden="false" customHeight="true" outlineLevel="0" collapsed="false">
      <c r="A35" s="1" t="n">
        <v>28</v>
      </c>
      <c r="B35" s="416" t="s">
        <v>661</v>
      </c>
      <c r="C35" s="56" t="n">
        <v>390637</v>
      </c>
      <c r="D35" s="26" t="s">
        <v>41</v>
      </c>
      <c r="E35" s="33" t="n">
        <f aca="false">IF(D35="totale",(C35/(A35*24))/F35,IF(D35="marché libre",(C35/(A35*24))/G35,"spécifier histo"))</f>
        <v>0.166087159863946</v>
      </c>
      <c r="F35" s="59" t="n">
        <f aca="false">1500+2000</f>
        <v>3500</v>
      </c>
      <c r="G35" s="59" t="n">
        <f aca="false">F35-H35</f>
        <v>0</v>
      </c>
      <c r="H35" s="59" t="n">
        <f aca="false">1500+2000</f>
        <v>3500</v>
      </c>
      <c r="J35" s="70"/>
    </row>
    <row r="36" customFormat="false" ht="19.85" hidden="false" customHeight="true" outlineLevel="0" collapsed="false">
      <c r="A36" s="1" t="n">
        <v>31</v>
      </c>
      <c r="B36" s="417" t="s">
        <v>662</v>
      </c>
      <c r="C36" s="56" t="n">
        <v>911464</v>
      </c>
      <c r="D36" s="26" t="s">
        <v>41</v>
      </c>
      <c r="E36" s="33" t="n">
        <f aca="false">IF(D36="totale",(C36/(A36*24))/F36,IF(D36="marché libre",(C36/(A36*24))/G36,"spécifier histo"))</f>
        <v>0.350024577572965</v>
      </c>
      <c r="F36" s="59" t="n">
        <f aca="false">1500+2000</f>
        <v>3500</v>
      </c>
      <c r="G36" s="59" t="n">
        <f aca="false">F36-H36</f>
        <v>0</v>
      </c>
      <c r="H36" s="59" t="n">
        <f aca="false">1500+2000</f>
        <v>3500</v>
      </c>
      <c r="J36" s="237"/>
    </row>
    <row r="37" customFormat="false" ht="19.85" hidden="false" customHeight="true" outlineLevel="0" collapsed="false">
      <c r="A37" s="1" t="n">
        <v>30</v>
      </c>
      <c r="B37" s="418" t="s">
        <v>664</v>
      </c>
      <c r="C37" s="56" t="n">
        <v>1483153</v>
      </c>
      <c r="D37" s="26" t="s">
        <v>41</v>
      </c>
      <c r="E37" s="33" t="n">
        <f aca="false">IF(D37="totale",(C37/(A37*24))/F37,IF(D37="marché libre",(C37/(A37*24))/G37,"spécifier histo"))</f>
        <v>0.588552777777778</v>
      </c>
      <c r="F37" s="59" t="n">
        <f aca="false">1500+2000</f>
        <v>3500</v>
      </c>
      <c r="G37" s="59" t="n">
        <f aca="false">F37-H37</f>
        <v>0</v>
      </c>
      <c r="H37" s="59" t="n">
        <f aca="false">1500+2000</f>
        <v>3500</v>
      </c>
      <c r="J37" s="70"/>
    </row>
    <row r="38" customFormat="false" ht="19.85" hidden="false" customHeight="true" outlineLevel="0" collapsed="false">
      <c r="A38" s="1" t="n">
        <v>31</v>
      </c>
      <c r="B38" s="419" t="s">
        <v>665</v>
      </c>
      <c r="C38" s="56" t="n">
        <v>1481118</v>
      </c>
      <c r="D38" s="26" t="s">
        <v>41</v>
      </c>
      <c r="E38" s="33" t="n">
        <f aca="false">IF(D38="totale",(C38/(A38*24))/F38,IF(D38="marché libre",(C38/(A38*24))/G38,"spécifier histo"))</f>
        <v>0.568785714285714</v>
      </c>
      <c r="F38" s="59" t="n">
        <f aca="false">1500+2000</f>
        <v>3500</v>
      </c>
      <c r="G38" s="59" t="n">
        <f aca="false">F38-H38</f>
        <v>0</v>
      </c>
      <c r="H38" s="59" t="n">
        <f aca="false">1500+2000</f>
        <v>3500</v>
      </c>
      <c r="J38" s="0"/>
    </row>
    <row r="39" customFormat="false" ht="19.85" hidden="false" customHeight="true" outlineLevel="0" collapsed="false">
      <c r="A39" s="1" t="n">
        <v>30</v>
      </c>
      <c r="B39" s="420" t="s">
        <v>666</v>
      </c>
      <c r="C39" s="56" t="n">
        <v>1027425</v>
      </c>
      <c r="D39" s="26" t="s">
        <v>41</v>
      </c>
      <c r="E39" s="33" t="n">
        <f aca="false">IF(D39="totale",(C39/(A39*24))/F39,IF(D39="marché libre",(C39/(A39*24))/G39,"spécifier histo"))</f>
        <v>0.407708333333333</v>
      </c>
      <c r="F39" s="59" t="n">
        <f aca="false">1500+2000</f>
        <v>3500</v>
      </c>
      <c r="G39" s="59" t="n">
        <f aca="false">F39-H39</f>
        <v>0</v>
      </c>
      <c r="H39" s="59" t="n">
        <f aca="false">1500+2000</f>
        <v>3500</v>
      </c>
      <c r="J39" s="70"/>
    </row>
    <row r="40" customFormat="false" ht="19.85" hidden="false" customHeight="true" outlineLevel="0" collapsed="false">
      <c r="A40" s="1" t="n">
        <v>31</v>
      </c>
      <c r="B40" s="421" t="s">
        <v>667</v>
      </c>
      <c r="C40" s="56" t="n">
        <v>288168</v>
      </c>
      <c r="D40" s="26" t="s">
        <v>41</v>
      </c>
      <c r="E40" s="33" t="n">
        <f aca="false">IF(D40="totale",(C40/(A40*24))/F40,IF(D40="marché libre",(C40/(A40*24))/G40,"spécifier histo"))</f>
        <v>0.110663594470046</v>
      </c>
      <c r="F40" s="59" t="n">
        <f aca="false">1500+2000</f>
        <v>3500</v>
      </c>
      <c r="G40" s="59" t="n">
        <f aca="false">F40-H40</f>
        <v>0</v>
      </c>
      <c r="H40" s="59" t="n">
        <f aca="false">1500+2000</f>
        <v>3500</v>
      </c>
      <c r="J40" s="70"/>
    </row>
    <row r="41" customFormat="false" ht="19.85" hidden="false" customHeight="true" outlineLevel="0" collapsed="false">
      <c r="A41" s="1" t="n">
        <v>31</v>
      </c>
      <c r="B41" s="422" t="s">
        <v>670</v>
      </c>
      <c r="C41" s="56" t="n">
        <v>280547</v>
      </c>
      <c r="D41" s="26" t="s">
        <v>41</v>
      </c>
      <c r="E41" s="33" t="n">
        <f aca="false">IF(D41="totale",(C41/(A41*24))/F41,IF(D41="marché libre",(C41/(A41*24))/G41,"spécifier histo"))</f>
        <v>0.107736943164363</v>
      </c>
      <c r="F41" s="59" t="n">
        <f aca="false">1500+2000</f>
        <v>3500</v>
      </c>
      <c r="G41" s="59" t="n">
        <f aca="false">F41-H41</f>
        <v>0</v>
      </c>
      <c r="H41" s="59" t="n">
        <f aca="false">1500+2000</f>
        <v>3500</v>
      </c>
      <c r="J41" s="70"/>
    </row>
    <row r="42" customFormat="false" ht="19.85" hidden="false" customHeight="true" outlineLevel="0" collapsed="false">
      <c r="A42" s="1" t="n">
        <v>30</v>
      </c>
      <c r="B42" s="423" t="s">
        <v>671</v>
      </c>
      <c r="C42" s="56" t="n">
        <v>617565</v>
      </c>
      <c r="D42" s="26" t="s">
        <v>41</v>
      </c>
      <c r="E42" s="33" t="n">
        <f aca="false">IF(D42="totale",(C42/(A42*24))/F42,IF(D42="marché libre",(C42/(A42*24))/G42,"spécifier histo"))</f>
        <v>0.245065476190476</v>
      </c>
      <c r="F42" s="59" t="n">
        <f aca="false">1500+2000</f>
        <v>3500</v>
      </c>
      <c r="G42" s="59" t="n">
        <f aca="false">F42-H42</f>
        <v>0</v>
      </c>
      <c r="H42" s="59" t="n">
        <f aca="false">1500+2000</f>
        <v>3500</v>
      </c>
      <c r="J42" s="70"/>
    </row>
    <row r="43" customFormat="false" ht="19.85" hidden="false" customHeight="true" outlineLevel="0" collapsed="false">
      <c r="A43" s="1" t="n">
        <v>31</v>
      </c>
      <c r="B43" s="424" t="s">
        <v>672</v>
      </c>
      <c r="C43" s="56" t="n">
        <v>438814</v>
      </c>
      <c r="D43" s="26" t="s">
        <v>41</v>
      </c>
      <c r="E43" s="33" t="n">
        <f aca="false">IF(D43="totale",(C43/(A43*24))/F43,IF(D43="marché libre",(C43/(A43*24))/G43,"spécifier histo"))</f>
        <v>0.168515360983103</v>
      </c>
      <c r="F43" s="59" t="n">
        <f aca="false">1500+2000</f>
        <v>3500</v>
      </c>
      <c r="G43" s="59" t="n">
        <f aca="false">F43-H43</f>
        <v>0</v>
      </c>
      <c r="H43" s="59" t="n">
        <f aca="false">1500+2000</f>
        <v>3500</v>
      </c>
      <c r="J43" s="70"/>
    </row>
    <row r="44" customFormat="false" ht="19.85" hidden="false" customHeight="true" outlineLevel="0" collapsed="false">
      <c r="A44" s="1" t="n">
        <v>30</v>
      </c>
      <c r="B44" s="425" t="s">
        <v>673</v>
      </c>
      <c r="C44" s="56" t="n">
        <v>949063</v>
      </c>
      <c r="D44" s="26" t="s">
        <v>41</v>
      </c>
      <c r="E44" s="33" t="n">
        <f aca="false">IF(D44="totale",(C44/(A44*24))/F44,IF(D44="marché libre",(C44/(A44*24))/G44,"spécifier histo"))</f>
        <v>0.376612301587302</v>
      </c>
      <c r="F44" s="59" t="n">
        <f aca="false">1500+2000</f>
        <v>3500</v>
      </c>
      <c r="G44" s="59" t="n">
        <f aca="false">F44-H44</f>
        <v>0</v>
      </c>
      <c r="H44" s="59" t="n">
        <f aca="false">1500+2000</f>
        <v>3500</v>
      </c>
      <c r="J44" s="70"/>
    </row>
    <row r="45" customFormat="false" ht="19.85" hidden="false" customHeight="true" outlineLevel="0" collapsed="false">
      <c r="A45" s="1" t="n">
        <v>31</v>
      </c>
      <c r="B45" s="426" t="s">
        <v>674</v>
      </c>
      <c r="C45" s="56" t="n">
        <v>857399</v>
      </c>
      <c r="D45" s="26" t="s">
        <v>41</v>
      </c>
      <c r="E45" s="33" t="n">
        <f aca="false">IF(D45="totale",(C45/(A45*24))/F45,IF(D45="marché libre",(C45/(A45*24))/G45,"spécifier histo"))</f>
        <v>0.329262288786482</v>
      </c>
      <c r="F45" s="59" t="n">
        <f aca="false">1500+2000</f>
        <v>3500</v>
      </c>
      <c r="G45" s="59" t="n">
        <f aca="false">F45-H45</f>
        <v>0</v>
      </c>
      <c r="H45" s="59" t="n">
        <f aca="false">1500+2000</f>
        <v>3500</v>
      </c>
      <c r="J45" s="70"/>
    </row>
    <row r="46" customFormat="false" ht="19.85" hidden="false" customHeight="true" outlineLevel="0" collapsed="false">
      <c r="A46" s="1" t="n">
        <v>31</v>
      </c>
      <c r="B46" s="414" t="s">
        <v>675</v>
      </c>
      <c r="C46" s="56" t="n">
        <v>590567</v>
      </c>
      <c r="D46" s="26" t="s">
        <v>41</v>
      </c>
      <c r="E46" s="33" t="n">
        <f aca="false">IF(D46="totale",(C46/(A46*24))/F46,IF(D46="marché libre",(C46/(A46*24))/G46,"spécifier histo"))</f>
        <v>0.226792242703533</v>
      </c>
      <c r="F46" s="59" t="n">
        <f aca="false">1500+2000</f>
        <v>3500</v>
      </c>
      <c r="G46" s="59" t="n">
        <f aca="false">F46-H46</f>
        <v>0</v>
      </c>
      <c r="H46" s="59" t="n">
        <f aca="false">1500+2000</f>
        <v>3500</v>
      </c>
      <c r="J46" s="70" t="s">
        <v>1143</v>
      </c>
    </row>
    <row r="47" customFormat="false" ht="19.85" hidden="false" customHeight="true" outlineLevel="0" collapsed="false">
      <c r="A47" s="1" t="n">
        <v>28</v>
      </c>
      <c r="B47" s="416" t="s">
        <v>676</v>
      </c>
      <c r="C47" s="56" t="n">
        <v>459505</v>
      </c>
      <c r="D47" s="26" t="s">
        <v>41</v>
      </c>
      <c r="E47" s="33" t="n">
        <f aca="false">IF(D47="totale",(C47/(A47*24))/F47,IF(D47="marché libre",(C47/(A47*24))/G47,"spécifier histo"))</f>
        <v>0.195367772108844</v>
      </c>
      <c r="F47" s="59" t="n">
        <f aca="false">1500+2000</f>
        <v>3500</v>
      </c>
      <c r="G47" s="59" t="n">
        <f aca="false">F47-H47</f>
        <v>0</v>
      </c>
      <c r="H47" s="59" t="n">
        <f aca="false">1500+2000</f>
        <v>3500</v>
      </c>
      <c r="J47" s="55"/>
    </row>
    <row r="48" customFormat="false" ht="19.85" hidden="false" customHeight="true" outlineLevel="0" collapsed="false">
      <c r="A48" s="1" t="n">
        <v>31</v>
      </c>
      <c r="B48" s="417" t="s">
        <v>677</v>
      </c>
      <c r="C48" s="56" t="n">
        <v>1779287</v>
      </c>
      <c r="D48" s="26" t="s">
        <v>41</v>
      </c>
      <c r="E48" s="33" t="n">
        <f aca="false">IF(D48="totale",(C48/(A48*24))/F48,IF(D48="marché libre",(C48/(A48*24))/G48,"spécifier histo"))</f>
        <v>0.683289938556068</v>
      </c>
      <c r="F48" s="59" t="n">
        <f aca="false">1500+2000</f>
        <v>3500</v>
      </c>
      <c r="G48" s="59" t="n">
        <f aca="false">F48-H48</f>
        <v>0</v>
      </c>
      <c r="H48" s="59" t="n">
        <f aca="false">1500+2000</f>
        <v>3500</v>
      </c>
      <c r="J48" s="55"/>
    </row>
    <row r="49" customFormat="false" ht="19.85" hidden="false" customHeight="true" outlineLevel="0" collapsed="false">
      <c r="A49" s="1" t="n">
        <v>30</v>
      </c>
      <c r="B49" s="418" t="s">
        <v>678</v>
      </c>
      <c r="C49" s="56" t="n">
        <v>1994321</v>
      </c>
      <c r="D49" s="26" t="s">
        <v>41</v>
      </c>
      <c r="E49" s="33" t="n">
        <f aca="false">IF(D49="totale",(C49/(A49*24))/F49,IF(D49="marché libre",(C49/(A49*24))/G49,"spécifier histo"))</f>
        <v>0.791397222222222</v>
      </c>
      <c r="F49" s="59" t="n">
        <f aca="false">1500+2000</f>
        <v>3500</v>
      </c>
      <c r="G49" s="59" t="n">
        <f aca="false">F49-H49</f>
        <v>0</v>
      </c>
      <c r="H49" s="59" t="n">
        <f aca="false">1500+2000</f>
        <v>3500</v>
      </c>
      <c r="J49" s="55"/>
    </row>
    <row r="50" customFormat="false" ht="19.85" hidden="false" customHeight="true" outlineLevel="0" collapsed="false">
      <c r="A50" s="1" t="n">
        <v>31</v>
      </c>
      <c r="B50" s="419" t="s">
        <v>679</v>
      </c>
      <c r="C50" s="56" t="n">
        <v>1669405</v>
      </c>
      <c r="D50" s="26" t="s">
        <v>41</v>
      </c>
      <c r="E50" s="33" t="n">
        <f aca="false">IF(D50="totale",(C50/(A50*24))/F50,IF(D50="marché libre",(C50/(A50*24))/G50,"spécifier histo"))</f>
        <v>0.641092549923195</v>
      </c>
      <c r="F50" s="59" t="n">
        <f aca="false">1500+2000</f>
        <v>3500</v>
      </c>
      <c r="G50" s="59" t="n">
        <f aca="false">F50-H50</f>
        <v>0</v>
      </c>
      <c r="H50" s="59" t="n">
        <f aca="false">1500+2000</f>
        <v>3500</v>
      </c>
      <c r="J50" s="55"/>
    </row>
    <row r="51" customFormat="false" ht="19.85" hidden="false" customHeight="true" outlineLevel="0" collapsed="false">
      <c r="A51" s="1" t="n">
        <v>30</v>
      </c>
      <c r="B51" s="420" t="s">
        <v>680</v>
      </c>
      <c r="C51" s="56" t="n">
        <v>706130</v>
      </c>
      <c r="D51" s="26" t="s">
        <v>41</v>
      </c>
      <c r="E51" s="33" t="n">
        <f aca="false">IF(D51="totale",(C51/(A51*24))/F51,IF(D51="marché libre",(C51/(A51*24))/G51,"spécifier histo"))</f>
        <v>0.280210317460317</v>
      </c>
      <c r="F51" s="59" t="n">
        <f aca="false">1500+2000</f>
        <v>3500</v>
      </c>
      <c r="G51" s="59" t="n">
        <f aca="false">F51-H51</f>
        <v>0</v>
      </c>
      <c r="H51" s="59" t="n">
        <f aca="false">1500+2000</f>
        <v>3500</v>
      </c>
      <c r="J51" s="55"/>
    </row>
    <row r="52" customFormat="false" ht="19.85" hidden="false" customHeight="true" outlineLevel="0" collapsed="false">
      <c r="A52" s="1" t="n">
        <v>31</v>
      </c>
      <c r="B52" s="421" t="s">
        <v>681</v>
      </c>
      <c r="C52" s="56" t="n">
        <v>515758</v>
      </c>
      <c r="D52" s="26" t="s">
        <v>41</v>
      </c>
      <c r="E52" s="33" t="n">
        <f aca="false">IF(D52="totale",(C52/(A52*24))/F52,IF(D52="marché libre",(C52/(A52*24))/G52,"spécifier histo"))</f>
        <v>0.198063748079877</v>
      </c>
      <c r="F52" s="59" t="n">
        <f aca="false">1500+2000</f>
        <v>3500</v>
      </c>
      <c r="G52" s="59" t="n">
        <f aca="false">F52-H52</f>
        <v>0</v>
      </c>
      <c r="H52" s="59" t="n">
        <f aca="false">1500+2000</f>
        <v>3500</v>
      </c>
      <c r="J52" s="55"/>
    </row>
    <row r="53" customFormat="false" ht="19.85" hidden="false" customHeight="true" outlineLevel="0" collapsed="false">
      <c r="A53" s="1" t="n">
        <v>31</v>
      </c>
      <c r="B53" s="422" t="s">
        <v>682</v>
      </c>
      <c r="C53" s="56" t="n">
        <v>68380</v>
      </c>
      <c r="D53" s="26" t="s">
        <v>41</v>
      </c>
      <c r="E53" s="33" t="n">
        <f aca="false">IF(D53="totale",(C53/(A53*24))/F53,IF(D53="marché libre",(C53/(A53*24))/G53,"spécifier histo"))</f>
        <v>0.0262596006144393</v>
      </c>
      <c r="F53" s="59" t="n">
        <f aca="false">1500+2000</f>
        <v>3500</v>
      </c>
      <c r="G53" s="59" t="n">
        <f aca="false">F53-H53</f>
        <v>0</v>
      </c>
      <c r="H53" s="59" t="n">
        <f aca="false">1500+2000</f>
        <v>3500</v>
      </c>
      <c r="J53" s="55"/>
    </row>
    <row r="54" customFormat="false" ht="19.85" hidden="false" customHeight="true" outlineLevel="0" collapsed="false">
      <c r="A54" s="1" t="n">
        <v>30</v>
      </c>
      <c r="B54" s="423" t="s">
        <v>683</v>
      </c>
      <c r="C54" s="56" t="n">
        <v>1012475</v>
      </c>
      <c r="D54" s="26" t="s">
        <v>41</v>
      </c>
      <c r="E54" s="33" t="n">
        <f aca="false">IF(D54="totale",(C54/(A54*24))/F54,IF(D54="marché libre",(C54/(A54*24))/G54,"spécifier histo"))</f>
        <v>0.401775793650794</v>
      </c>
      <c r="F54" s="59" t="n">
        <f aca="false">1500+2000</f>
        <v>3500</v>
      </c>
      <c r="G54" s="59" t="n">
        <f aca="false">F54-H54</f>
        <v>0</v>
      </c>
      <c r="H54" s="59" t="n">
        <f aca="false">1500+2000</f>
        <v>3500</v>
      </c>
      <c r="J54" s="55"/>
    </row>
    <row r="55" customFormat="false" ht="19.85" hidden="false" customHeight="true" outlineLevel="0" collapsed="false">
      <c r="A55" s="1" t="n">
        <v>31</v>
      </c>
      <c r="B55" s="424" t="s">
        <v>684</v>
      </c>
      <c r="C55" s="56" t="n">
        <v>883182</v>
      </c>
      <c r="D55" s="26" t="s">
        <v>41</v>
      </c>
      <c r="E55" s="33" t="n">
        <f aca="false">IF(D55="totale",(C55/(A55*24))/F55,IF(D55="marché libre",(C55/(A55*24))/G55,"spécifier histo"))</f>
        <v>0.339163594470046</v>
      </c>
      <c r="F55" s="59" t="n">
        <f aca="false">1500+2000</f>
        <v>3500</v>
      </c>
      <c r="G55" s="59" t="n">
        <f aca="false">F55-H55</f>
        <v>0</v>
      </c>
      <c r="H55" s="59" t="n">
        <f aca="false">1500+2000</f>
        <v>3500</v>
      </c>
      <c r="J55" s="55"/>
    </row>
    <row r="56" customFormat="false" ht="19.85" hidden="false" customHeight="true" outlineLevel="0" collapsed="false">
      <c r="A56" s="1" t="n">
        <v>30</v>
      </c>
      <c r="B56" s="425" t="s">
        <v>685</v>
      </c>
      <c r="C56" s="56" t="n">
        <v>838682</v>
      </c>
      <c r="D56" s="26" t="s">
        <v>41</v>
      </c>
      <c r="E56" s="33" t="n">
        <f aca="false">IF(D56="totale",(C56/(A56*24))/F56,IF(D56="marché libre",(C56/(A56*24))/G56,"spécifier histo"))</f>
        <v>0.332810317460317</v>
      </c>
      <c r="F56" s="59" t="n">
        <f aca="false">1500+2000</f>
        <v>3500</v>
      </c>
      <c r="G56" s="59" t="n">
        <f aca="false">F56-H56</f>
        <v>0</v>
      </c>
      <c r="H56" s="59" t="n">
        <f aca="false">1500+2000</f>
        <v>3500</v>
      </c>
      <c r="J56" s="55"/>
    </row>
    <row r="57" customFormat="false" ht="19.85" hidden="false" customHeight="true" outlineLevel="0" collapsed="false">
      <c r="A57" s="1" t="n">
        <v>31</v>
      </c>
      <c r="B57" s="426" t="s">
        <v>686</v>
      </c>
      <c r="C57" s="56" t="n">
        <v>957109</v>
      </c>
      <c r="D57" s="26" t="s">
        <v>41</v>
      </c>
      <c r="E57" s="33" t="n">
        <f aca="false">IF(D57="totale",(C57/(A57*24))/F57,IF(D57="marché libre",(C57/(A57*24))/G57,"spécifier histo"))</f>
        <v>0.367553379416283</v>
      </c>
      <c r="F57" s="59" t="n">
        <f aca="false">1500+2000</f>
        <v>3500</v>
      </c>
      <c r="G57" s="59" t="n">
        <f aca="false">F57-H57</f>
        <v>0</v>
      </c>
      <c r="H57" s="59" t="n">
        <f aca="false">1500+2000</f>
        <v>3500</v>
      </c>
      <c r="J57" s="55"/>
    </row>
    <row r="58" customFormat="false" ht="19.85" hidden="false" customHeight="true" outlineLevel="0" collapsed="false">
      <c r="A58" s="1" t="n">
        <v>31</v>
      </c>
      <c r="B58" s="414" t="s">
        <v>687</v>
      </c>
      <c r="C58" s="56" t="n">
        <v>402975</v>
      </c>
      <c r="D58" s="26" t="s">
        <v>41</v>
      </c>
      <c r="E58" s="33" t="n">
        <f aca="false">IF(D58="totale",(C58/(A58*24))/F58,IF(D58="marché libre",(C58/(A58*24))/G58,"spécifier histo"))</f>
        <v>0.154752304147465</v>
      </c>
      <c r="F58" s="59" t="n">
        <f aca="false">1500+2000</f>
        <v>3500</v>
      </c>
      <c r="G58" s="59" t="n">
        <f aca="false">F58-H58</f>
        <v>0</v>
      </c>
      <c r="H58" s="59" t="n">
        <f aca="false">1500+2000</f>
        <v>3500</v>
      </c>
      <c r="J58" s="55"/>
    </row>
    <row r="59" customFormat="false" ht="19.85" hidden="false" customHeight="true" outlineLevel="0" collapsed="false">
      <c r="A59" s="1" t="n">
        <v>28</v>
      </c>
      <c r="B59" s="416" t="s">
        <v>688</v>
      </c>
      <c r="C59" s="56" t="n">
        <v>858075</v>
      </c>
      <c r="D59" s="26" t="s">
        <v>41</v>
      </c>
      <c r="E59" s="33" t="n">
        <f aca="false">IF(D59="totale",(C59/(A59*24))/F59,IF(D59="marché libre",(C59/(A59*24))/G59,"spécifier histo"))</f>
        <v>0.364827806122449</v>
      </c>
      <c r="F59" s="59" t="n">
        <f aca="false">1500+2000</f>
        <v>3500</v>
      </c>
      <c r="G59" s="59" t="n">
        <f aca="false">F59-H59</f>
        <v>0</v>
      </c>
      <c r="H59" s="59" t="n">
        <f aca="false">1500+2000</f>
        <v>3500</v>
      </c>
      <c r="J59" s="55"/>
    </row>
    <row r="60" customFormat="false" ht="19.85" hidden="false" customHeight="true" outlineLevel="0" collapsed="false">
      <c r="A60" s="1" t="n">
        <v>31</v>
      </c>
      <c r="B60" s="417" t="s">
        <v>689</v>
      </c>
      <c r="C60" s="56" t="n">
        <v>1444935</v>
      </c>
      <c r="D60" s="26" t="s">
        <v>41</v>
      </c>
      <c r="E60" s="33" t="n">
        <f aca="false">IF(D60="totale",(C60/(A60*24))/F60,IF(D60="marché libre",(C60/(A60*24))/G60,"spécifier histo"))</f>
        <v>0.554890552995392</v>
      </c>
      <c r="F60" s="59" t="n">
        <f aca="false">1500+2000</f>
        <v>3500</v>
      </c>
      <c r="G60" s="59" t="n">
        <f aca="false">F60-H60</f>
        <v>0</v>
      </c>
      <c r="H60" s="59" t="n">
        <f aca="false">1500+2000</f>
        <v>3500</v>
      </c>
      <c r="J60" s="55"/>
    </row>
    <row r="61" customFormat="false" ht="19.85" hidden="false" customHeight="true" outlineLevel="0" collapsed="false">
      <c r="A61" s="1" t="n">
        <v>30</v>
      </c>
      <c r="B61" s="418" t="s">
        <v>690</v>
      </c>
      <c r="C61" s="56" t="n">
        <v>2343200</v>
      </c>
      <c r="D61" s="26" t="s">
        <v>41</v>
      </c>
      <c r="E61" s="33" t="n">
        <f aca="false">IF(D61="totale",(C61/(A61*24))/F61,IF(D61="marché libre",(C61/(A61*24))/G61,"spécifier histo"))</f>
        <v>0.92984126984127</v>
      </c>
      <c r="F61" s="59" t="n">
        <f aca="false">1500+2000</f>
        <v>3500</v>
      </c>
      <c r="G61" s="59" t="n">
        <f aca="false">F61-H61</f>
        <v>0</v>
      </c>
      <c r="H61" s="59" t="n">
        <f aca="false">1500+2000</f>
        <v>3500</v>
      </c>
      <c r="J61" s="55"/>
    </row>
    <row r="62" customFormat="false" ht="19.85" hidden="false" customHeight="true" outlineLevel="0" collapsed="false">
      <c r="A62" s="1" t="n">
        <v>31</v>
      </c>
      <c r="B62" s="419" t="s">
        <v>691</v>
      </c>
      <c r="C62" s="56" t="n">
        <v>2512238</v>
      </c>
      <c r="D62" s="26" t="s">
        <v>41</v>
      </c>
      <c r="E62" s="33" t="n">
        <f aca="false">IF(D62="totale",(C62/(A62*24))/F62,IF(D62="marché libre",(C62/(A62*24))/G62,"spécifier histo"))</f>
        <v>0.96476113671275</v>
      </c>
      <c r="F62" s="59" t="n">
        <f aca="false">1500+2000</f>
        <v>3500</v>
      </c>
      <c r="G62" s="59" t="n">
        <f aca="false">F62-H62</f>
        <v>0</v>
      </c>
      <c r="H62" s="59" t="n">
        <f aca="false">1500+2000</f>
        <v>3500</v>
      </c>
      <c r="J62" s="55"/>
    </row>
    <row r="63" customFormat="false" ht="19.85" hidden="false" customHeight="true" outlineLevel="0" collapsed="false">
      <c r="A63" s="1" t="n">
        <v>30</v>
      </c>
      <c r="B63" s="420" t="s">
        <v>692</v>
      </c>
      <c r="C63" s="56" t="n">
        <v>1481305</v>
      </c>
      <c r="D63" s="26" t="s">
        <v>41</v>
      </c>
      <c r="E63" s="33" t="n">
        <f aca="false">IF(D63="totale",(C63/(A63*24))/F63,IF(D63="marché libre",(C63/(A63*24))/G63,"spécifier histo"))</f>
        <v>0.587819444444444</v>
      </c>
      <c r="F63" s="59" t="n">
        <f aca="false">1500+2000</f>
        <v>3500</v>
      </c>
      <c r="G63" s="59" t="n">
        <f aca="false">F63-H63</f>
        <v>0</v>
      </c>
      <c r="H63" s="59" t="n">
        <f aca="false">1500+2000</f>
        <v>3500</v>
      </c>
      <c r="J63" s="55"/>
    </row>
    <row r="64" customFormat="false" ht="19.85" hidden="false" customHeight="true" outlineLevel="0" collapsed="false">
      <c r="A64" s="1" t="n">
        <v>31</v>
      </c>
      <c r="B64" s="421" t="s">
        <v>693</v>
      </c>
      <c r="C64" s="56" t="n">
        <v>284069</v>
      </c>
      <c r="D64" s="26" t="s">
        <v>41</v>
      </c>
      <c r="E64" s="33" t="n">
        <f aca="false">IF(D64="totale",(C64/(A64*24))/F64,IF(D64="marché libre",(C64/(A64*24))/G64,"spécifier histo"))</f>
        <v>0.109089477726575</v>
      </c>
      <c r="F64" s="59" t="n">
        <f aca="false">1500+2000</f>
        <v>3500</v>
      </c>
      <c r="G64" s="59" t="n">
        <f aca="false">F64-H64</f>
        <v>0</v>
      </c>
      <c r="H64" s="59" t="n">
        <f aca="false">1500+2000</f>
        <v>3500</v>
      </c>
      <c r="J64" s="55"/>
    </row>
    <row r="65" customFormat="false" ht="19.85" hidden="false" customHeight="true" outlineLevel="0" collapsed="false">
      <c r="A65" s="1" t="n">
        <v>31</v>
      </c>
      <c r="B65" s="422" t="s">
        <v>694</v>
      </c>
      <c r="C65" s="56" t="n">
        <v>515636</v>
      </c>
      <c r="D65" s="26" t="s">
        <v>41</v>
      </c>
      <c r="E65" s="33" t="n">
        <f aca="false">IF(D65="totale",(C65/(A65*24))/F65,IF(D65="marché libre",(C65/(A65*24))/G65,"spécifier histo"))</f>
        <v>0.198016897081413</v>
      </c>
      <c r="F65" s="59" t="n">
        <f aca="false">1500+2000</f>
        <v>3500</v>
      </c>
      <c r="G65" s="59" t="n">
        <f aca="false">F65-H65</f>
        <v>0</v>
      </c>
      <c r="H65" s="59" t="n">
        <f aca="false">1500+2000</f>
        <v>3500</v>
      </c>
      <c r="J65" s="55"/>
    </row>
    <row r="66" customFormat="false" ht="19.85" hidden="false" customHeight="true" outlineLevel="0" collapsed="false">
      <c r="A66" s="1" t="n">
        <v>30</v>
      </c>
      <c r="B66" s="423" t="s">
        <v>695</v>
      </c>
      <c r="C66" s="56" t="n">
        <v>370528</v>
      </c>
      <c r="D66" s="26" t="s">
        <v>41</v>
      </c>
      <c r="E66" s="33" t="n">
        <f aca="false">IF(D66="totale",(C66/(A66*24))/F66,IF(D66="marché libre",(C66/(A66*24))/G66,"spécifier histo"))</f>
        <v>0.147034920634921</v>
      </c>
      <c r="F66" s="59" t="n">
        <f aca="false">1500+2000</f>
        <v>3500</v>
      </c>
      <c r="G66" s="59" t="n">
        <f aca="false">F66-H66</f>
        <v>0</v>
      </c>
      <c r="H66" s="59" t="n">
        <f aca="false">1500+2000</f>
        <v>3500</v>
      </c>
      <c r="J66" s="55"/>
    </row>
    <row r="67" customFormat="false" ht="19.85" hidden="false" customHeight="true" outlineLevel="0" collapsed="false">
      <c r="A67" s="1" t="n">
        <v>31</v>
      </c>
      <c r="B67" s="424" t="s">
        <v>696</v>
      </c>
      <c r="C67" s="56" t="n">
        <v>763426</v>
      </c>
      <c r="D67" s="26" t="s">
        <v>41</v>
      </c>
      <c r="E67" s="33" t="n">
        <f aca="false">IF(D67="totale",(C67/(A67*24))/F67,IF(D67="marché libre",(C67/(A67*24))/G67,"spécifier histo"))</f>
        <v>0.293174347158218</v>
      </c>
      <c r="F67" s="59" t="n">
        <f aca="false">1500+2000</f>
        <v>3500</v>
      </c>
      <c r="G67" s="59" t="n">
        <f aca="false">F67-H67</f>
        <v>0</v>
      </c>
      <c r="H67" s="59" t="n">
        <f aca="false">1500+2000</f>
        <v>3500</v>
      </c>
      <c r="J67" s="55"/>
    </row>
    <row r="68" customFormat="false" ht="19.85" hidden="false" customHeight="true" outlineLevel="0" collapsed="false">
      <c r="A68" s="1" t="n">
        <v>30</v>
      </c>
      <c r="B68" s="425" t="s">
        <v>697</v>
      </c>
      <c r="C68" s="56" t="n">
        <v>323280</v>
      </c>
      <c r="D68" s="26" t="s">
        <v>41</v>
      </c>
      <c r="E68" s="33" t="n">
        <f aca="false">IF(D68="totale",(C68/(A68*24))/F68,IF(D68="marché libre",(C68/(A68*24))/G68,"spécifier histo"))</f>
        <v>0.128285714285714</v>
      </c>
      <c r="F68" s="59" t="n">
        <f aca="false">1500+2000</f>
        <v>3500</v>
      </c>
      <c r="G68" s="59" t="n">
        <f aca="false">F68-H68</f>
        <v>0</v>
      </c>
      <c r="H68" s="59" t="n">
        <f aca="false">1500+2000</f>
        <v>3500</v>
      </c>
      <c r="J68" s="55"/>
    </row>
    <row r="69" customFormat="false" ht="19.85" hidden="false" customHeight="true" outlineLevel="0" collapsed="false">
      <c r="A69" s="1" t="n">
        <v>31</v>
      </c>
      <c r="B69" s="426" t="s">
        <v>698</v>
      </c>
      <c r="C69" s="56" t="n">
        <v>989681</v>
      </c>
      <c r="D69" s="26" t="s">
        <v>41</v>
      </c>
      <c r="E69" s="33" t="n">
        <f aca="false">IF(D69="totale",(C69/(A69*24))/F69,IF(D69="marché libre",(C69/(A69*24))/G69,"spécifier histo"))</f>
        <v>0.380061827956989</v>
      </c>
      <c r="F69" s="59" t="n">
        <f aca="false">1500+2000</f>
        <v>3500</v>
      </c>
      <c r="G69" s="59" t="n">
        <f aca="false">F69-H69</f>
        <v>0</v>
      </c>
      <c r="H69" s="59" t="n">
        <f aca="false">1500+2000</f>
        <v>3500</v>
      </c>
      <c r="J69" s="55"/>
    </row>
    <row r="70" customFormat="false" ht="19.85" hidden="false" customHeight="true" outlineLevel="0" collapsed="false">
      <c r="A70" s="1" t="n">
        <v>31</v>
      </c>
      <c r="B70" s="414" t="s">
        <v>699</v>
      </c>
      <c r="C70" s="56" t="n">
        <v>1035181</v>
      </c>
      <c r="D70" s="26" t="s">
        <v>41</v>
      </c>
      <c r="E70" s="33" t="n">
        <f aca="false">IF(D70="totale",(C70/(A70*24))/F70,IF(D70="marché libre",(C70/(A70*24))/G70,"spécifier histo"))</f>
        <v>0.397534946236559</v>
      </c>
      <c r="F70" s="59" t="n">
        <f aca="false">1500+2000</f>
        <v>3500</v>
      </c>
      <c r="G70" s="59" t="n">
        <f aca="false">F70-H70</f>
        <v>0</v>
      </c>
      <c r="H70" s="59" t="n">
        <f aca="false">1500+2000</f>
        <v>3500</v>
      </c>
      <c r="J70" s="55"/>
    </row>
    <row r="71" customFormat="false" ht="19.85" hidden="false" customHeight="true" outlineLevel="0" collapsed="false">
      <c r="A71" s="1" t="n">
        <v>28</v>
      </c>
      <c r="B71" s="416" t="s">
        <v>700</v>
      </c>
      <c r="C71" s="56" t="n">
        <v>326298</v>
      </c>
      <c r="D71" s="26" t="s">
        <v>41</v>
      </c>
      <c r="E71" s="33" t="n">
        <f aca="false">IF(D71="totale",(C71/(A71*24))/F71,IF(D71="marché libre",(C71/(A71*24))/G71,"spécifier histo"))</f>
        <v>0.138732142857143</v>
      </c>
      <c r="F71" s="59" t="n">
        <f aca="false">1500+2000</f>
        <v>3500</v>
      </c>
      <c r="G71" s="59" t="n">
        <f aca="false">F71-H71</f>
        <v>0</v>
      </c>
      <c r="H71" s="59" t="n">
        <f aca="false">1500+2000</f>
        <v>3500</v>
      </c>
      <c r="J71" s="55"/>
    </row>
    <row r="72" customFormat="false" ht="19.85" hidden="false" customHeight="true" outlineLevel="0" collapsed="false">
      <c r="A72" s="1" t="n">
        <v>31</v>
      </c>
      <c r="B72" s="417" t="s">
        <v>701</v>
      </c>
      <c r="C72" s="56" t="n">
        <v>1440986</v>
      </c>
      <c r="D72" s="26" t="s">
        <v>41</v>
      </c>
      <c r="E72" s="33" t="n">
        <f aca="false">IF(D72="totale",(C72/(A72*24))/F72,IF(D72="marché libre",(C72/(A72*24))/G72,"spécifier histo"))</f>
        <v>0.553374039938556</v>
      </c>
      <c r="F72" s="59" t="n">
        <f aca="false">1500+2000</f>
        <v>3500</v>
      </c>
      <c r="G72" s="59" t="n">
        <f aca="false">F72-H72</f>
        <v>0</v>
      </c>
      <c r="H72" s="59" t="n">
        <f aca="false">1500+2000</f>
        <v>3500</v>
      </c>
      <c r="J72" s="55"/>
    </row>
    <row r="73" customFormat="false" ht="19.85" hidden="false" customHeight="true" outlineLevel="0" collapsed="false">
      <c r="A73" s="1" t="n">
        <v>30</v>
      </c>
      <c r="B73" s="418" t="s">
        <v>702</v>
      </c>
      <c r="C73" s="56" t="n">
        <v>2375001</v>
      </c>
      <c r="D73" s="26" t="s">
        <v>41</v>
      </c>
      <c r="E73" s="33" t="n">
        <f aca="false">IF(D73="totale",(C73/(A73*24))/F73,IF(D73="marché libre",(C73/(A73*24))/G73,"spécifier histo"))</f>
        <v>0.942460714285714</v>
      </c>
      <c r="F73" s="59" t="n">
        <f aca="false">1500+2000</f>
        <v>3500</v>
      </c>
      <c r="G73" s="59" t="n">
        <f aca="false">F73-H73</f>
        <v>0</v>
      </c>
      <c r="H73" s="59" t="n">
        <f aca="false">1500+2000</f>
        <v>3500</v>
      </c>
      <c r="J73" s="55"/>
    </row>
    <row r="74" customFormat="false" ht="19.85" hidden="false" customHeight="true" outlineLevel="0" collapsed="false">
      <c r="A74" s="1" t="n">
        <v>31</v>
      </c>
      <c r="B74" s="419" t="s">
        <v>703</v>
      </c>
      <c r="C74" s="56" t="n">
        <v>2342922</v>
      </c>
      <c r="D74" s="26" t="s">
        <v>41</v>
      </c>
      <c r="E74" s="33" t="n">
        <f aca="false">IF(D74="totale",(C74/(A74*24))/F74,IF(D74="marché libre",(C74/(A74*24))/G74,"spécifier histo"))</f>
        <v>0.899739631336406</v>
      </c>
      <c r="F74" s="59" t="n">
        <f aca="false">1500+2000</f>
        <v>3500</v>
      </c>
      <c r="G74" s="59" t="n">
        <f aca="false">F74-H74</f>
        <v>0</v>
      </c>
      <c r="H74" s="59" t="n">
        <f aca="false">1500+2000</f>
        <v>3500</v>
      </c>
      <c r="J74" s="55"/>
    </row>
    <row r="75" customFormat="false" ht="19.85" hidden="false" customHeight="true" outlineLevel="0" collapsed="false">
      <c r="A75" s="1" t="n">
        <v>30</v>
      </c>
      <c r="B75" s="420" t="s">
        <v>704</v>
      </c>
      <c r="C75" s="56" t="n">
        <v>2343420</v>
      </c>
      <c r="D75" s="26" t="s">
        <v>41</v>
      </c>
      <c r="E75" s="33" t="n">
        <f aca="false">IF(D75="totale",(C75/(A75*24))/F75,IF(D75="marché libre",(C75/(A75*24))/G75,"spécifier histo"))</f>
        <v>0.929928571428571</v>
      </c>
      <c r="F75" s="59" t="n">
        <f aca="false">1500+2000</f>
        <v>3500</v>
      </c>
      <c r="G75" s="59" t="n">
        <f aca="false">F75-H75</f>
        <v>0</v>
      </c>
      <c r="H75" s="59" t="n">
        <f aca="false">1500+2000</f>
        <v>3500</v>
      </c>
      <c r="J75" s="55"/>
    </row>
    <row r="76" customFormat="false" ht="19.85" hidden="false" customHeight="true" outlineLevel="0" collapsed="false">
      <c r="A76" s="1" t="n">
        <v>31</v>
      </c>
      <c r="B76" s="421" t="s">
        <v>705</v>
      </c>
      <c r="C76" s="56" t="n">
        <v>861138</v>
      </c>
      <c r="D76" s="26" t="s">
        <v>41</v>
      </c>
      <c r="E76" s="33" t="n">
        <f aca="false">IF(D76="totale",(C76/(A76*24))/F76,IF(D76="marché libre",(C76/(A76*24))/G76,"spécifier histo"))</f>
        <v>0.330698156682028</v>
      </c>
      <c r="F76" s="59" t="n">
        <f aca="false">1500+2000</f>
        <v>3500</v>
      </c>
      <c r="G76" s="59" t="n">
        <f aca="false">F76-H76</f>
        <v>0</v>
      </c>
      <c r="H76" s="59" t="n">
        <f aca="false">1500+2000</f>
        <v>3500</v>
      </c>
      <c r="J76" s="55"/>
    </row>
    <row r="77" customFormat="false" ht="19.85" hidden="false" customHeight="true" outlineLevel="0" collapsed="false">
      <c r="A77" s="1" t="n">
        <v>31</v>
      </c>
      <c r="B77" s="422" t="s">
        <v>706</v>
      </c>
      <c r="C77" s="56" t="n">
        <v>413616</v>
      </c>
      <c r="D77" s="26" t="s">
        <v>41</v>
      </c>
      <c r="E77" s="33" t="n">
        <f aca="false">IF(D77="totale",(C77/(A77*24))/F77,IF(D77="marché libre",(C77/(A77*24))/G77,"spécifier histo"))</f>
        <v>0.158838709677419</v>
      </c>
      <c r="F77" s="59" t="n">
        <f aca="false">1500+2000</f>
        <v>3500</v>
      </c>
      <c r="G77" s="59" t="n">
        <f aca="false">F77-H77</f>
        <v>0</v>
      </c>
      <c r="H77" s="59" t="n">
        <f aca="false">1500+2000</f>
        <v>3500</v>
      </c>
      <c r="J77" s="55"/>
    </row>
    <row r="78" customFormat="false" ht="19.85" hidden="false" customHeight="true" outlineLevel="0" collapsed="false">
      <c r="A78" s="1" t="n">
        <v>30</v>
      </c>
      <c r="B78" s="423" t="s">
        <v>707</v>
      </c>
      <c r="C78" s="56" t="n">
        <v>285332</v>
      </c>
      <c r="D78" s="26" t="s">
        <v>41</v>
      </c>
      <c r="E78" s="33" t="n">
        <f aca="false">IF(D78="totale",(C78/(A78*24))/F78,IF(D78="marché libre",(C78/(A78*24))/G78,"spécifier histo"))</f>
        <v>0.113226984126984</v>
      </c>
      <c r="F78" s="59" t="n">
        <f aca="false">1500+2000</f>
        <v>3500</v>
      </c>
      <c r="G78" s="59" t="n">
        <f aca="false">F78-H78</f>
        <v>0</v>
      </c>
      <c r="H78" s="59" t="n">
        <f aca="false">1500+2000</f>
        <v>3500</v>
      </c>
      <c r="I78" s="1" t="s">
        <v>1140</v>
      </c>
      <c r="J78" s="55"/>
    </row>
    <row r="79" customFormat="false" ht="19.85" hidden="false" customHeight="true" outlineLevel="0" collapsed="false">
      <c r="A79" s="1" t="n">
        <v>31</v>
      </c>
      <c r="B79" s="424" t="s">
        <v>708</v>
      </c>
      <c r="C79" s="56" t="n">
        <v>564729</v>
      </c>
      <c r="D79" s="26" t="s">
        <v>41</v>
      </c>
      <c r="E79" s="33" t="n">
        <f aca="false">IF(D79="totale",(C79/(A79*24))/F79,IF(D79="marché libre",(C79/(A79*24))/G79,"spécifier histo"))</f>
        <v>0.216869815668203</v>
      </c>
      <c r="F79" s="59" t="n">
        <f aca="false">1500+2000</f>
        <v>3500</v>
      </c>
      <c r="G79" s="59" t="n">
        <f aca="false">F79-H79</f>
        <v>0</v>
      </c>
      <c r="H79" s="59" t="n">
        <f aca="false">1500+2000</f>
        <v>3500</v>
      </c>
      <c r="J79" s="55"/>
    </row>
    <row r="80" customFormat="false" ht="19.85" hidden="false" customHeight="true" outlineLevel="0" collapsed="false">
      <c r="A80" s="1" t="n">
        <v>30</v>
      </c>
      <c r="B80" s="425" t="s">
        <v>709</v>
      </c>
      <c r="C80" s="56" t="n">
        <v>1853937</v>
      </c>
      <c r="D80" s="26" t="s">
        <v>41</v>
      </c>
      <c r="E80" s="33" t="n">
        <f aca="false">IF(D80="totale",(C80/(A80*24))/F80,IF(D80="marché libre",(C80/(A80*24))/G80,"spécifier histo"))</f>
        <v>0.735689285714286</v>
      </c>
      <c r="F80" s="59" t="n">
        <f aca="false">1500+2000</f>
        <v>3500</v>
      </c>
      <c r="G80" s="59" t="n">
        <f aca="false">F80-H80</f>
        <v>0</v>
      </c>
      <c r="H80" s="59" t="n">
        <f aca="false">1500+2000</f>
        <v>3500</v>
      </c>
      <c r="J80" s="55"/>
    </row>
    <row r="81" customFormat="false" ht="19.85" hidden="false" customHeight="true" outlineLevel="0" collapsed="false">
      <c r="A81" s="1" t="n">
        <v>31</v>
      </c>
      <c r="B81" s="426" t="s">
        <v>710</v>
      </c>
      <c r="C81" s="56" t="n">
        <v>885328</v>
      </c>
      <c r="D81" s="26" t="s">
        <v>41</v>
      </c>
      <c r="E81" s="33" t="n">
        <f aca="false">IF(D81="totale",(C81/(A81*24))/F81,IF(D81="marché libre",(C81/(A81*24))/G81,"spécifier histo"))</f>
        <v>0.339987711213518</v>
      </c>
      <c r="F81" s="59" t="n">
        <f aca="false">1500+2000</f>
        <v>3500</v>
      </c>
      <c r="G81" s="59" t="n">
        <f aca="false">F81-H81</f>
        <v>0</v>
      </c>
      <c r="H81" s="59" t="n">
        <f aca="false">1500+2000</f>
        <v>3500</v>
      </c>
      <c r="J81" s="55"/>
    </row>
    <row r="82" customFormat="false" ht="19.85" hidden="false" customHeight="true" outlineLevel="0" collapsed="false">
      <c r="A82" s="1" t="n">
        <v>31</v>
      </c>
      <c r="B82" s="414" t="s">
        <v>711</v>
      </c>
      <c r="C82" s="56" t="n">
        <v>898973</v>
      </c>
      <c r="D82" s="26" t="s">
        <v>41</v>
      </c>
      <c r="E82" s="33" t="n">
        <f aca="false">IF(D82="totale",(C82/(A82*24))/F82,IF(D82="marché libre",(C82/(A82*24))/G82,"spécifier histo"))</f>
        <v>0.345227726574501</v>
      </c>
      <c r="F82" s="59" t="n">
        <f aca="false">1500+2000</f>
        <v>3500</v>
      </c>
      <c r="G82" s="59" t="n">
        <f aca="false">F82-H82</f>
        <v>0</v>
      </c>
      <c r="H82" s="59" t="n">
        <f aca="false">1500+2000</f>
        <v>3500</v>
      </c>
      <c r="J82" s="55"/>
    </row>
    <row r="83" customFormat="false" ht="19.85" hidden="false" customHeight="true" outlineLevel="0" collapsed="false">
      <c r="A83" s="1" t="n">
        <v>28</v>
      </c>
      <c r="B83" s="416" t="s">
        <v>712</v>
      </c>
      <c r="C83" s="56" t="n">
        <v>1096345</v>
      </c>
      <c r="D83" s="26" t="s">
        <v>41</v>
      </c>
      <c r="E83" s="33" t="n">
        <f aca="false">IF(D83="totale",(C83/(A83*24))/F83,IF(D83="marché libre",(C83/(A83*24))/G83,"spécifier histo"))</f>
        <v>0.466133078231293</v>
      </c>
      <c r="F83" s="59" t="n">
        <f aca="false">1500+2000</f>
        <v>3500</v>
      </c>
      <c r="G83" s="59" t="n">
        <f aca="false">F83-H83</f>
        <v>0</v>
      </c>
      <c r="H83" s="59" t="n">
        <f aca="false">1500+2000</f>
        <v>3500</v>
      </c>
      <c r="J83" s="55"/>
    </row>
    <row r="84" customFormat="false" ht="19.85" hidden="false" customHeight="true" outlineLevel="0" collapsed="false">
      <c r="A84" s="1" t="n">
        <v>31</v>
      </c>
      <c r="B84" s="417" t="s">
        <v>713</v>
      </c>
      <c r="C84" s="56" t="n">
        <v>1375131</v>
      </c>
      <c r="D84" s="26" t="s">
        <v>41</v>
      </c>
      <c r="E84" s="33" t="n">
        <f aca="false">IF(D84="totale",(C84/(A84*24))/F84,IF(D84="marché libre",(C84/(A84*24))/G84,"spécifier histo"))</f>
        <v>0.528084101382489</v>
      </c>
      <c r="F84" s="59" t="n">
        <f aca="false">1500+2000</f>
        <v>3500</v>
      </c>
      <c r="G84" s="59" t="n">
        <f aca="false">F84-H84</f>
        <v>0</v>
      </c>
      <c r="H84" s="59" t="n">
        <f aca="false">1500+2000</f>
        <v>3500</v>
      </c>
      <c r="J84" s="55"/>
    </row>
    <row r="85" customFormat="false" ht="19.85" hidden="false" customHeight="true" outlineLevel="0" collapsed="false">
      <c r="A85" s="1" t="n">
        <v>30</v>
      </c>
      <c r="B85" s="418" t="s">
        <v>714</v>
      </c>
      <c r="C85" s="56" t="n">
        <v>1989479</v>
      </c>
      <c r="D85" s="26" t="s">
        <v>41</v>
      </c>
      <c r="E85" s="33" t="n">
        <f aca="false">IF(D85="totale",(C85/(A85*24))/F85,IF(D85="marché libre",(C85/(A85*24))/G85,"spécifier histo"))</f>
        <v>0.789475793650794</v>
      </c>
      <c r="F85" s="59" t="n">
        <f aca="false">1500+2000</f>
        <v>3500</v>
      </c>
      <c r="G85" s="59" t="n">
        <f aca="false">F85-H85</f>
        <v>0</v>
      </c>
      <c r="H85" s="59" t="n">
        <f aca="false">1500+2000</f>
        <v>3500</v>
      </c>
      <c r="J85" s="55"/>
    </row>
    <row r="86" customFormat="false" ht="19.85" hidden="false" customHeight="true" outlineLevel="0" collapsed="false">
      <c r="A86" s="1" t="n">
        <v>31</v>
      </c>
      <c r="B86" s="419" t="s">
        <v>715</v>
      </c>
      <c r="C86" s="56" t="n">
        <v>2194577</v>
      </c>
      <c r="D86" s="26" t="s">
        <v>41</v>
      </c>
      <c r="E86" s="33" t="n">
        <f aca="false">IF(D86="totale",(C86/(A86*24))/F86,IF(D86="marché libre",(C86/(A86*24))/G86,"spécifier histo"))</f>
        <v>0.842771505376344</v>
      </c>
      <c r="F86" s="59" t="n">
        <f aca="false">1500+2000</f>
        <v>3500</v>
      </c>
      <c r="G86" s="59" t="n">
        <f aca="false">F86-H86</f>
        <v>0</v>
      </c>
      <c r="H86" s="59" t="n">
        <f aca="false">1500+2000</f>
        <v>3500</v>
      </c>
      <c r="J86" s="55"/>
    </row>
    <row r="87" customFormat="false" ht="19.85" hidden="false" customHeight="true" outlineLevel="0" collapsed="false">
      <c r="A87" s="1" t="n">
        <v>30</v>
      </c>
      <c r="B87" s="420" t="s">
        <v>716</v>
      </c>
      <c r="C87" s="56" t="n">
        <v>1848412</v>
      </c>
      <c r="D87" s="26" t="s">
        <v>41</v>
      </c>
      <c r="E87" s="33" t="n">
        <f aca="false">IF(D87="totale",(C87/(A87*24))/F87,IF(D87="marché libre",(C87/(A87*24))/G87,"spécifier histo"))</f>
        <v>0.733496825396825</v>
      </c>
      <c r="F87" s="59" t="n">
        <f aca="false">1500+2000</f>
        <v>3500</v>
      </c>
      <c r="G87" s="59" t="n">
        <f aca="false">F87-H87</f>
        <v>0</v>
      </c>
      <c r="H87" s="59" t="n">
        <f aca="false">1500+2000</f>
        <v>3500</v>
      </c>
      <c r="J87" s="55"/>
    </row>
    <row r="88" customFormat="false" ht="19.85" hidden="false" customHeight="true" outlineLevel="0" collapsed="false">
      <c r="A88" s="1" t="n">
        <v>31</v>
      </c>
      <c r="B88" s="421" t="s">
        <v>717</v>
      </c>
      <c r="C88" s="56" t="n">
        <v>929492</v>
      </c>
      <c r="D88" s="26" t="s">
        <v>41</v>
      </c>
      <c r="E88" s="33" t="n">
        <f aca="false">IF(D88="totale",(C88/(A88*24))/F88,IF(D88="marché libre",(C88/(A88*24))/G88,"spécifier histo"))</f>
        <v>0.35694777265745</v>
      </c>
      <c r="F88" s="59" t="n">
        <f aca="false">1500+2000</f>
        <v>3500</v>
      </c>
      <c r="G88" s="59" t="n">
        <f aca="false">F88-H88</f>
        <v>0</v>
      </c>
      <c r="H88" s="59" t="n">
        <f aca="false">1500+2000</f>
        <v>3500</v>
      </c>
      <c r="J88" s="55"/>
    </row>
    <row r="89" customFormat="false" ht="19.85" hidden="false" customHeight="true" outlineLevel="0" collapsed="false">
      <c r="A89" s="1" t="n">
        <v>31</v>
      </c>
      <c r="B89" s="422" t="s">
        <v>718</v>
      </c>
      <c r="C89" s="56" t="n">
        <v>419916</v>
      </c>
      <c r="D89" s="26" t="s">
        <v>41</v>
      </c>
      <c r="E89" s="33" t="n">
        <f aca="false">IF(D89="totale",(C89/(A89*24))/F89,IF(D89="marché libre",(C89/(A89*24))/G89,"spécifier histo"))</f>
        <v>0.161258064516129</v>
      </c>
      <c r="F89" s="59" t="n">
        <f aca="false">1500+2000</f>
        <v>3500</v>
      </c>
      <c r="G89" s="59" t="n">
        <f aca="false">F89-H89</f>
        <v>0</v>
      </c>
      <c r="H89" s="59" t="n">
        <f aca="false">1500+2000</f>
        <v>3500</v>
      </c>
      <c r="J89" s="55"/>
    </row>
    <row r="90" customFormat="false" ht="19.85" hidden="false" customHeight="true" outlineLevel="0" collapsed="false">
      <c r="A90" s="1" t="n">
        <v>30</v>
      </c>
      <c r="B90" s="423" t="s">
        <v>719</v>
      </c>
      <c r="C90" s="56" t="n">
        <v>166072</v>
      </c>
      <c r="D90" s="26" t="s">
        <v>41</v>
      </c>
      <c r="E90" s="33" t="n">
        <f aca="false">IF(D90="totale",(C90/(A90*24))/F90,IF(D90="marché libre",(C90/(A90*24))/G90,"spécifier histo"))</f>
        <v>0.0659015873015873</v>
      </c>
      <c r="F90" s="59" t="n">
        <f aca="false">1500+2000</f>
        <v>3500</v>
      </c>
      <c r="G90" s="59" t="n">
        <f aca="false">F90-H90</f>
        <v>0</v>
      </c>
      <c r="H90" s="59" t="n">
        <f aca="false">1500+2000</f>
        <v>3500</v>
      </c>
      <c r="J90" s="55"/>
    </row>
    <row r="91" customFormat="false" ht="19.85" hidden="false" customHeight="true" outlineLevel="0" collapsed="false">
      <c r="A91" s="1" t="n">
        <v>31</v>
      </c>
      <c r="B91" s="424" t="s">
        <v>720</v>
      </c>
      <c r="C91" s="56" t="n">
        <v>580230</v>
      </c>
      <c r="D91" s="26" t="s">
        <v>41</v>
      </c>
      <c r="E91" s="33" t="n">
        <f aca="false">IF(D91="totale",(C91/(A91*24))/F91,IF(D91="marché libre",(C91/(A91*24))/G91,"spécifier histo"))</f>
        <v>0.222822580645161</v>
      </c>
      <c r="F91" s="59" t="n">
        <f aca="false">1500+2000</f>
        <v>3500</v>
      </c>
      <c r="G91" s="59" t="n">
        <f aca="false">F91-H91</f>
        <v>0</v>
      </c>
      <c r="H91" s="59" t="n">
        <f aca="false">1500+2000</f>
        <v>3500</v>
      </c>
      <c r="J91" s="55"/>
    </row>
    <row r="92" customFormat="false" ht="19.85" hidden="false" customHeight="true" outlineLevel="0" collapsed="false">
      <c r="A92" s="1" t="n">
        <v>30</v>
      </c>
      <c r="B92" s="425" t="s">
        <v>721</v>
      </c>
      <c r="C92" s="56" t="n">
        <v>1614045</v>
      </c>
      <c r="D92" s="26" t="s">
        <v>41</v>
      </c>
      <c r="E92" s="33" t="n">
        <f aca="false">IF(D92="totale",(C92/(A92*24))/F92,IF(D92="marché libre",(C92/(A92*24))/G92,"spécifier histo"))</f>
        <v>0.640494047619048</v>
      </c>
      <c r="F92" s="59" t="n">
        <f aca="false">1500+2000</f>
        <v>3500</v>
      </c>
      <c r="G92" s="59" t="n">
        <f aca="false">F92-H92</f>
        <v>0</v>
      </c>
      <c r="H92" s="59" t="n">
        <f aca="false">1500+2000</f>
        <v>3500</v>
      </c>
      <c r="J92" s="55"/>
    </row>
    <row r="93" customFormat="false" ht="19.85" hidden="false" customHeight="true" outlineLevel="0" collapsed="false">
      <c r="A93" s="1" t="n">
        <v>31</v>
      </c>
      <c r="B93" s="426" t="s">
        <v>722</v>
      </c>
      <c r="C93" s="56" t="n">
        <v>1468163</v>
      </c>
      <c r="D93" s="26" t="s">
        <v>41</v>
      </c>
      <c r="E93" s="33" t="n">
        <f aca="false">IF(D93="totale",(C93/(A93*24))/F93,IF(D93="marché libre",(C93/(A93*24))/G93,"spécifier histo"))</f>
        <v>0.563810675883256</v>
      </c>
      <c r="F93" s="59" t="n">
        <f aca="false">1500+2000</f>
        <v>3500</v>
      </c>
      <c r="G93" s="59" t="n">
        <f aca="false">F93-H93</f>
        <v>0</v>
      </c>
      <c r="H93" s="59" t="n">
        <f aca="false">1500+2000</f>
        <v>3500</v>
      </c>
      <c r="J93" s="55"/>
    </row>
    <row r="94" customFormat="false" ht="19.85" hidden="false" customHeight="true" outlineLevel="0" collapsed="false">
      <c r="A94" s="1" t="n">
        <v>31</v>
      </c>
      <c r="B94" s="414" t="s">
        <v>723</v>
      </c>
      <c r="C94" s="56" t="n">
        <v>1087892</v>
      </c>
      <c r="D94" s="26" t="s">
        <v>41</v>
      </c>
      <c r="E94" s="33" t="n">
        <f aca="false">IF(D94="totale",(C94/(A94*24))/F94,IF(D94="marché libre",(C94/(A94*24))/G94,"spécifier histo"))</f>
        <v>0.417777265745008</v>
      </c>
      <c r="F94" s="59" t="n">
        <f aca="false">1500+2000</f>
        <v>3500</v>
      </c>
      <c r="G94" s="59" t="n">
        <f aca="false">F94-H94</f>
        <v>0</v>
      </c>
      <c r="H94" s="59" t="n">
        <f aca="false">1500+2000</f>
        <v>3500</v>
      </c>
      <c r="J94" s="55"/>
    </row>
    <row r="95" customFormat="false" ht="19.85" hidden="false" customHeight="true" outlineLevel="0" collapsed="false">
      <c r="A95" s="1" t="n">
        <v>28</v>
      </c>
      <c r="B95" s="416" t="s">
        <v>724</v>
      </c>
      <c r="C95" s="56" t="n">
        <v>526932</v>
      </c>
      <c r="D95" s="26" t="s">
        <v>41</v>
      </c>
      <c r="E95" s="33" t="n">
        <f aca="false">IF(D95="totale",(C95/(A95*24))/F95,IF(D95="marché libre",(C95/(A95*24))/G95,"spécifier histo"))</f>
        <v>0.224035714285714</v>
      </c>
      <c r="F95" s="59" t="n">
        <f aca="false">1500+2000</f>
        <v>3500</v>
      </c>
      <c r="G95" s="59" t="n">
        <f aca="false">F95-H95</f>
        <v>0</v>
      </c>
      <c r="H95" s="59" t="n">
        <f aca="false">1500+2000</f>
        <v>3500</v>
      </c>
      <c r="J95" s="55"/>
    </row>
    <row r="96" customFormat="false" ht="19.85" hidden="false" customHeight="true" outlineLevel="0" collapsed="false">
      <c r="A96" s="1" t="n">
        <v>31</v>
      </c>
      <c r="B96" s="417" t="s">
        <v>725</v>
      </c>
      <c r="C96" s="56" t="n">
        <v>1097782</v>
      </c>
      <c r="D96" s="26" t="s">
        <v>41</v>
      </c>
      <c r="E96" s="33" t="n">
        <f aca="false">IF(D96="totale",(C96/(A96*24))/F96,IF(D96="marché libre",(C96/(A96*24))/G96,"spécifier histo"))</f>
        <v>0.421575268817204</v>
      </c>
      <c r="F96" s="59" t="n">
        <f aca="false">1500+2000</f>
        <v>3500</v>
      </c>
      <c r="G96" s="59" t="n">
        <f aca="false">F96-H96</f>
        <v>0</v>
      </c>
      <c r="H96" s="59" t="n">
        <f aca="false">1500+2000</f>
        <v>3500</v>
      </c>
      <c r="J96" s="55"/>
    </row>
    <row r="97" customFormat="false" ht="19.85" hidden="false" customHeight="true" outlineLevel="0" collapsed="false">
      <c r="A97" s="1" t="n">
        <v>30</v>
      </c>
      <c r="B97" s="418" t="s">
        <v>726</v>
      </c>
      <c r="C97" s="56" t="n">
        <v>1143870</v>
      </c>
      <c r="D97" s="26" t="s">
        <v>41</v>
      </c>
      <c r="E97" s="33" t="n">
        <f aca="false">IF(D97="totale",(C97/(A97*24))/F97,IF(D97="marché libre",(C97/(A97*24))/G97,"spécifier histo"))</f>
        <v>0.453916666666667</v>
      </c>
      <c r="F97" s="59" t="n">
        <f aca="false">1500+2000</f>
        <v>3500</v>
      </c>
      <c r="G97" s="59" t="n">
        <f aca="false">F97-H97</f>
        <v>0</v>
      </c>
      <c r="H97" s="59" t="n">
        <f aca="false">1500+2000</f>
        <v>3500</v>
      </c>
      <c r="J97" s="55"/>
    </row>
    <row r="98" customFormat="false" ht="19.85" hidden="false" customHeight="true" outlineLevel="0" collapsed="false">
      <c r="A98" s="1" t="n">
        <v>31</v>
      </c>
      <c r="B98" s="419" t="s">
        <v>727</v>
      </c>
      <c r="C98" s="56" t="n">
        <v>1747399</v>
      </c>
      <c r="D98" s="26" t="s">
        <v>41</v>
      </c>
      <c r="E98" s="33" t="n">
        <f aca="false">IF(D98="totale",(C98/(A98*24))/F98,IF(D98="marché libre",(C98/(A98*24))/G98,"spécifier histo"))</f>
        <v>0.671044162826421</v>
      </c>
      <c r="F98" s="59" t="n">
        <f aca="false">1500+2000</f>
        <v>3500</v>
      </c>
      <c r="G98" s="59" t="n">
        <f aca="false">F98-H98</f>
        <v>0</v>
      </c>
      <c r="H98" s="59" t="n">
        <f aca="false">1500+2000</f>
        <v>3500</v>
      </c>
      <c r="J98" s="55"/>
    </row>
    <row r="99" customFormat="false" ht="19.85" hidden="false" customHeight="true" outlineLevel="0" collapsed="false">
      <c r="A99" s="1" t="n">
        <v>30</v>
      </c>
      <c r="B99" s="420" t="s">
        <v>728</v>
      </c>
      <c r="C99" s="56" t="n">
        <v>1903993</v>
      </c>
      <c r="D99" s="26" t="s">
        <v>41</v>
      </c>
      <c r="E99" s="33" t="n">
        <f aca="false">IF(D99="totale",(C99/(A99*24))/F99,IF(D99="marché libre",(C99/(A99*24))/G99,"spécifier histo"))</f>
        <v>0.755552777777778</v>
      </c>
      <c r="F99" s="59" t="n">
        <f aca="false">1500+2000</f>
        <v>3500</v>
      </c>
      <c r="G99" s="59" t="n">
        <f aca="false">F99-H99</f>
        <v>0</v>
      </c>
      <c r="H99" s="59" t="n">
        <f aca="false">1500+2000</f>
        <v>3500</v>
      </c>
      <c r="J99" s="55"/>
    </row>
    <row r="100" customFormat="false" ht="19.85" hidden="false" customHeight="true" outlineLevel="0" collapsed="false">
      <c r="A100" s="1" t="n">
        <v>31</v>
      </c>
      <c r="B100" s="421" t="s">
        <v>729</v>
      </c>
      <c r="C100" s="56" t="n">
        <v>750273</v>
      </c>
      <c r="D100" s="26" t="s">
        <v>41</v>
      </c>
      <c r="E100" s="33" t="n">
        <f aca="false">IF(D100="totale",(C100/(A100*24))/F100,IF(D100="marché libre",(C100/(A100*24))/G100,"spécifier histo"))</f>
        <v>0.288123271889401</v>
      </c>
      <c r="F100" s="59" t="n">
        <f aca="false">1500+2000</f>
        <v>3500</v>
      </c>
      <c r="G100" s="59" t="n">
        <f aca="false">F100-H100</f>
        <v>0</v>
      </c>
      <c r="H100" s="59" t="n">
        <f aca="false">1500+2000</f>
        <v>3500</v>
      </c>
      <c r="J100" s="55"/>
    </row>
    <row r="101" customFormat="false" ht="19.85" hidden="false" customHeight="true" outlineLevel="0" collapsed="false">
      <c r="A101" s="1" t="n">
        <v>31</v>
      </c>
      <c r="B101" s="422" t="s">
        <v>730</v>
      </c>
      <c r="C101" s="56" t="n">
        <v>214949</v>
      </c>
      <c r="D101" s="26" t="s">
        <v>41</v>
      </c>
      <c r="E101" s="33" t="n">
        <f aca="false">IF(D101="totale",(C101/(A101*24))/F101,IF(D101="marché libre",(C101/(A101*24))/G101,"spécifier histo"))</f>
        <v>0.0825456989247312</v>
      </c>
      <c r="F101" s="59" t="n">
        <f aca="false">1500+2000</f>
        <v>3500</v>
      </c>
      <c r="G101" s="59" t="n">
        <f aca="false">F101-H101</f>
        <v>0</v>
      </c>
      <c r="H101" s="59" t="n">
        <f aca="false">1500+2000</f>
        <v>3500</v>
      </c>
      <c r="J101" s="55"/>
    </row>
    <row r="102" customFormat="false" ht="19.85" hidden="false" customHeight="true" outlineLevel="0" collapsed="false">
      <c r="A102" s="1" t="n">
        <v>30</v>
      </c>
      <c r="B102" s="423" t="s">
        <v>731</v>
      </c>
      <c r="C102" s="56" t="n">
        <v>126933</v>
      </c>
      <c r="D102" s="26" t="s">
        <v>41</v>
      </c>
      <c r="E102" s="33" t="n">
        <f aca="false">IF(D102="totale",(C102/(A102*24))/F102,IF(D102="marché libre",(C102/(A102*24))/G102,"spécifier histo"))</f>
        <v>0.0503702380952381</v>
      </c>
      <c r="F102" s="59" t="n">
        <f aca="false">1500+2000</f>
        <v>3500</v>
      </c>
      <c r="G102" s="59" t="n">
        <f aca="false">F102-H102</f>
        <v>0</v>
      </c>
      <c r="H102" s="59" t="n">
        <f aca="false">1500+2000</f>
        <v>3500</v>
      </c>
      <c r="I102" s="1" t="s">
        <v>1140</v>
      </c>
      <c r="J102" s="55"/>
    </row>
    <row r="103" customFormat="false" ht="19.85" hidden="false" customHeight="true" outlineLevel="0" collapsed="false">
      <c r="A103" s="1" t="n">
        <v>31</v>
      </c>
      <c r="B103" s="424" t="s">
        <v>732</v>
      </c>
      <c r="C103" s="56" t="n">
        <v>508787</v>
      </c>
      <c r="D103" s="26" t="s">
        <v>41</v>
      </c>
      <c r="E103" s="33" t="n">
        <f aca="false">IF(D103="totale",(C103/(A103*24))/F103,IF(D103="marché libre",(C103/(A103*24))/G103,"spécifier histo"))</f>
        <v>0.195386712749616</v>
      </c>
      <c r="F103" s="59" t="n">
        <f aca="false">1500+2000</f>
        <v>3500</v>
      </c>
      <c r="G103" s="59" t="n">
        <f aca="false">F103-H103</f>
        <v>0</v>
      </c>
      <c r="H103" s="59" t="n">
        <f aca="false">1500+2000</f>
        <v>3500</v>
      </c>
      <c r="J103" s="55"/>
    </row>
    <row r="104" customFormat="false" ht="19.85" hidden="false" customHeight="true" outlineLevel="0" collapsed="false">
      <c r="A104" s="1" t="n">
        <v>30</v>
      </c>
      <c r="B104" s="425" t="s">
        <v>733</v>
      </c>
      <c r="C104" s="56" t="n">
        <v>1457217</v>
      </c>
      <c r="D104" s="26" t="s">
        <v>41</v>
      </c>
      <c r="E104" s="33" t="n">
        <f aca="false">IF(D104="totale",(C104/(A104*24))/F104,IF(D104="marché libre",(C104/(A104*24))/G104,"spécifier histo"))</f>
        <v>0.578260714285714</v>
      </c>
      <c r="F104" s="59" t="n">
        <f aca="false">1500+2000</f>
        <v>3500</v>
      </c>
      <c r="G104" s="59" t="n">
        <f aca="false">F104-H104</f>
        <v>0</v>
      </c>
      <c r="H104" s="59" t="n">
        <f aca="false">1500+2000</f>
        <v>3500</v>
      </c>
      <c r="J104" s="55"/>
    </row>
    <row r="105" customFormat="false" ht="19.85" hidden="false" customHeight="true" outlineLevel="0" collapsed="false">
      <c r="A105" s="1" t="n">
        <v>31</v>
      </c>
      <c r="B105" s="426" t="s">
        <v>734</v>
      </c>
      <c r="C105" s="56" t="n">
        <v>1166255</v>
      </c>
      <c r="D105" s="26" t="s">
        <v>41</v>
      </c>
      <c r="E105" s="33" t="n">
        <f aca="false">IF(D105="totale",(C105/(A105*24))/F105,IF(D105="marché libre",(C105/(A105*24))/G105,"spécifier histo"))</f>
        <v>0.447870583717358</v>
      </c>
      <c r="F105" s="59" t="n">
        <f aca="false">1500+2000</f>
        <v>3500</v>
      </c>
      <c r="G105" s="59" t="n">
        <f aca="false">F105-H105</f>
        <v>0</v>
      </c>
      <c r="H105" s="59" t="n">
        <f aca="false">1500+2000</f>
        <v>3500</v>
      </c>
      <c r="J105" s="55"/>
    </row>
    <row r="106" customFormat="false" ht="19.85" hidden="false" customHeight="true" outlineLevel="0" collapsed="false">
      <c r="A106" s="1" t="n">
        <v>31</v>
      </c>
      <c r="B106" s="414" t="s">
        <v>735</v>
      </c>
      <c r="C106" s="56" t="n">
        <v>579021</v>
      </c>
      <c r="D106" s="26" t="s">
        <v>41</v>
      </c>
      <c r="E106" s="33" t="n">
        <f aca="false">IF(D106="totale",(C106/(A106*24))/F106,IF(D106="marché libre",(C106/(A106*24))/G106,"spécifier histo"))</f>
        <v>0.222358294930876</v>
      </c>
      <c r="F106" s="59" t="n">
        <f aca="false">1500+2000</f>
        <v>3500</v>
      </c>
      <c r="G106" s="59" t="n">
        <f aca="false">F106-H106</f>
        <v>0</v>
      </c>
      <c r="H106" s="59" t="n">
        <f aca="false">1500+2000</f>
        <v>3500</v>
      </c>
      <c r="J106" s="55"/>
    </row>
    <row r="107" customFormat="false" ht="19.85" hidden="false" customHeight="true" outlineLevel="0" collapsed="false">
      <c r="A107" s="1" t="n">
        <v>28</v>
      </c>
      <c r="B107" s="416" t="s">
        <v>736</v>
      </c>
      <c r="C107" s="56" t="n">
        <v>620536</v>
      </c>
      <c r="D107" s="26" t="s">
        <v>41</v>
      </c>
      <c r="E107" s="33" t="n">
        <f aca="false">IF(D107="totale",(C107/(A107*24))/F107,IF(D107="marché libre",(C107/(A107*24))/G107,"spécifier histo"))</f>
        <v>0.263833333333333</v>
      </c>
      <c r="F107" s="59" t="n">
        <f aca="false">1500+2000</f>
        <v>3500</v>
      </c>
      <c r="G107" s="59" t="n">
        <f aca="false">F107-H107</f>
        <v>0</v>
      </c>
      <c r="H107" s="59" t="n">
        <f aca="false">1500+2000</f>
        <v>3500</v>
      </c>
      <c r="J107" s="55"/>
    </row>
    <row r="108" customFormat="false" ht="19.85" hidden="false" customHeight="true" outlineLevel="0" collapsed="false">
      <c r="A108" s="1" t="n">
        <v>31</v>
      </c>
      <c r="B108" s="417" t="s">
        <v>737</v>
      </c>
      <c r="C108" s="56" t="n">
        <v>1412080</v>
      </c>
      <c r="D108" s="26" t="s">
        <v>41</v>
      </c>
      <c r="E108" s="33" t="n">
        <f aca="false">IF(D108="totale",(C108/(A108*24))/F108,IF(D108="marché libre",(C108/(A108*24))/G108,"spécifier histo"))</f>
        <v>0.542273425499232</v>
      </c>
      <c r="F108" s="59" t="n">
        <f aca="false">1500+2000</f>
        <v>3500</v>
      </c>
      <c r="G108" s="59" t="n">
        <f aca="false">F108-H108</f>
        <v>0</v>
      </c>
      <c r="H108" s="59" t="n">
        <f aca="false">1500+2000</f>
        <v>3500</v>
      </c>
      <c r="J108" s="55"/>
    </row>
    <row r="109" customFormat="false" ht="19.85" hidden="false" customHeight="true" outlineLevel="0" collapsed="false">
      <c r="A109" s="1" t="n">
        <v>30</v>
      </c>
      <c r="B109" s="418" t="s">
        <v>738</v>
      </c>
      <c r="C109" s="56" t="n">
        <v>2028147</v>
      </c>
      <c r="D109" s="26" t="s">
        <v>41</v>
      </c>
      <c r="E109" s="33" t="n">
        <f aca="false">IF(D109="totale",(C109/(A109*24))/F109,IF(D109="marché libre",(C109/(A109*24))/G109,"spécifier histo"))</f>
        <v>0.804820238095238</v>
      </c>
      <c r="F109" s="59" t="n">
        <f aca="false">1500+2000</f>
        <v>3500</v>
      </c>
      <c r="G109" s="59" t="n">
        <f aca="false">F109-H109</f>
        <v>0</v>
      </c>
      <c r="H109" s="59" t="n">
        <f aca="false">1500+2000</f>
        <v>3500</v>
      </c>
      <c r="J109" s="55"/>
    </row>
    <row r="110" customFormat="false" ht="19.85" hidden="false" customHeight="true" outlineLevel="0" collapsed="false">
      <c r="A110" s="1" t="n">
        <v>31</v>
      </c>
      <c r="B110" s="419" t="s">
        <v>739</v>
      </c>
      <c r="C110" s="56" t="n">
        <v>1618361</v>
      </c>
      <c r="D110" s="26" t="s">
        <v>41</v>
      </c>
      <c r="E110" s="33" t="n">
        <f aca="false">IF(D110="totale",(C110/(A110*24))/F110,IF(D110="marché libre",(C110/(A110*24))/G110,"spécifier histo"))</f>
        <v>0.621490399385561</v>
      </c>
      <c r="F110" s="59" t="n">
        <f aca="false">1500+2000</f>
        <v>3500</v>
      </c>
      <c r="G110" s="59" t="n">
        <f aca="false">F110-H110</f>
        <v>0</v>
      </c>
      <c r="H110" s="59" t="n">
        <f aca="false">1500+2000</f>
        <v>3500</v>
      </c>
      <c r="J110" s="55"/>
    </row>
    <row r="111" customFormat="false" ht="19.85" hidden="false" customHeight="true" outlineLevel="0" collapsed="false">
      <c r="A111" s="1" t="n">
        <v>30</v>
      </c>
      <c r="B111" s="420" t="s">
        <v>740</v>
      </c>
      <c r="C111" s="56" t="n">
        <v>1533214</v>
      </c>
      <c r="D111" s="26" t="s">
        <v>41</v>
      </c>
      <c r="E111" s="33" t="n">
        <f aca="false">IF(D111="totale",(C111/(A111*24))/F111,IF(D111="marché libre",(C111/(A111*24))/G111,"spécifier histo"))</f>
        <v>0.608418253968254</v>
      </c>
      <c r="F111" s="59" t="n">
        <f aca="false">1500+2000</f>
        <v>3500</v>
      </c>
      <c r="G111" s="59" t="n">
        <f aca="false">F111-H111</f>
        <v>0</v>
      </c>
      <c r="H111" s="59" t="n">
        <f aca="false">1500+2000</f>
        <v>3500</v>
      </c>
      <c r="J111" s="55"/>
    </row>
    <row r="112" customFormat="false" ht="19.85" hidden="false" customHeight="true" outlineLevel="0" collapsed="false">
      <c r="A112" s="1" t="n">
        <v>31</v>
      </c>
      <c r="B112" s="421" t="s">
        <v>741</v>
      </c>
      <c r="C112" s="56" t="n">
        <v>1544676</v>
      </c>
      <c r="D112" s="26" t="s">
        <v>41</v>
      </c>
      <c r="E112" s="33" t="n">
        <f aca="false">IF(D112="totale",(C112/(A112*24))/F112,IF(D112="marché libre",(C112/(A112*24))/G112,"spécifier histo"))</f>
        <v>0.593193548387097</v>
      </c>
      <c r="F112" s="59" t="n">
        <f aca="false">1500+2000</f>
        <v>3500</v>
      </c>
      <c r="G112" s="59" t="n">
        <f aca="false">F112-H112</f>
        <v>0</v>
      </c>
      <c r="H112" s="59" t="n">
        <f aca="false">1500+2000</f>
        <v>3500</v>
      </c>
      <c r="J112" s="55"/>
    </row>
    <row r="113" customFormat="false" ht="19.85" hidden="false" customHeight="true" outlineLevel="0" collapsed="false">
      <c r="A113" s="1" t="n">
        <v>31</v>
      </c>
      <c r="B113" s="422" t="s">
        <v>742</v>
      </c>
      <c r="C113" s="56" t="n">
        <v>657071</v>
      </c>
      <c r="D113" s="26" t="s">
        <v>41</v>
      </c>
      <c r="E113" s="33" t="n">
        <f aca="false">IF(D113="totale",(C113/(A113*24))/F113,IF(D113="marché libre",(C113/(A113*24))/G113,"spécifier histo"))</f>
        <v>0.252331413210445</v>
      </c>
      <c r="F113" s="59" t="n">
        <f aca="false">1500+2000</f>
        <v>3500</v>
      </c>
      <c r="G113" s="59" t="n">
        <f aca="false">F113-H113</f>
        <v>0</v>
      </c>
      <c r="H113" s="59" t="n">
        <f aca="false">1500+2000</f>
        <v>3500</v>
      </c>
      <c r="J113" s="55"/>
    </row>
    <row r="114" customFormat="false" ht="19.85" hidden="false" customHeight="true" outlineLevel="0" collapsed="false">
      <c r="A114" s="1" t="n">
        <v>30</v>
      </c>
      <c r="B114" s="423" t="s">
        <v>743</v>
      </c>
      <c r="C114" s="56" t="n">
        <v>290577</v>
      </c>
      <c r="D114" s="26" t="s">
        <v>41</v>
      </c>
      <c r="E114" s="33" t="n">
        <f aca="false">IF(D114="totale",(C114/(A114*24))/F114,IF(D114="marché libre",(C114/(A114*24))/G114,"spécifier histo"))</f>
        <v>0.115308333333333</v>
      </c>
      <c r="F114" s="59" t="n">
        <f aca="false">1500+2000</f>
        <v>3500</v>
      </c>
      <c r="G114" s="59" t="n">
        <f aca="false">F114-H114</f>
        <v>0</v>
      </c>
      <c r="H114" s="59" t="n">
        <f aca="false">1500+2000</f>
        <v>3500</v>
      </c>
      <c r="J114" s="55"/>
    </row>
    <row r="115" customFormat="false" ht="19.85" hidden="false" customHeight="true" outlineLevel="0" collapsed="false">
      <c r="A115" s="1" t="n">
        <v>31</v>
      </c>
      <c r="B115" s="424" t="s">
        <v>744</v>
      </c>
      <c r="C115" s="56" t="n">
        <v>59145</v>
      </c>
      <c r="D115" s="26" t="s">
        <v>41</v>
      </c>
      <c r="E115" s="33" t="n">
        <f aca="false">IF(D115="totale",(C115/(A115*24))/F115,IF(D115="marché libre",(C115/(A115*24))/G115,"spécifier histo"))</f>
        <v>0.022713133640553</v>
      </c>
      <c r="F115" s="59" t="n">
        <f aca="false">1500+2000</f>
        <v>3500</v>
      </c>
      <c r="G115" s="59" t="n">
        <f aca="false">F115-H115</f>
        <v>0</v>
      </c>
      <c r="H115" s="59" t="n">
        <f aca="false">1500+2000</f>
        <v>3500</v>
      </c>
      <c r="J115" s="55"/>
    </row>
    <row r="116" customFormat="false" ht="19.85" hidden="false" customHeight="true" outlineLevel="0" collapsed="false">
      <c r="A116" s="1" t="n">
        <v>30</v>
      </c>
      <c r="B116" s="425" t="s">
        <v>745</v>
      </c>
      <c r="C116" s="56" t="n">
        <v>743126</v>
      </c>
      <c r="D116" s="26" t="s">
        <v>41</v>
      </c>
      <c r="E116" s="33" t="n">
        <f aca="false">IF(D116="totale",(C116/(A116*24))/F116,IF(D116="marché libre",(C116/(A116*24))/G116,"spécifier histo"))</f>
        <v>0.29489126984127</v>
      </c>
      <c r="F116" s="59" t="n">
        <f aca="false">1500+2000</f>
        <v>3500</v>
      </c>
      <c r="G116" s="59" t="n">
        <f aca="false">F116-H116</f>
        <v>0</v>
      </c>
      <c r="H116" s="59" t="n">
        <f aca="false">1500+2000</f>
        <v>3500</v>
      </c>
      <c r="J116" s="55"/>
    </row>
    <row r="117" customFormat="false" ht="19.85" hidden="false" customHeight="true" outlineLevel="0" collapsed="false">
      <c r="A117" s="1" t="n">
        <v>31</v>
      </c>
      <c r="B117" s="426" t="s">
        <v>746</v>
      </c>
      <c r="C117" s="56" t="n">
        <v>879407</v>
      </c>
      <c r="D117" s="26" t="s">
        <v>41</v>
      </c>
      <c r="E117" s="33" t="n">
        <f aca="false">IF(D117="totale",(C117/(A117*24))/F117,IF(D117="marché libre",(C117/(A117*24))/G117,"spécifier histo"))</f>
        <v>0.337713901689708</v>
      </c>
      <c r="F117" s="59" t="n">
        <f aca="false">1500+2000</f>
        <v>3500</v>
      </c>
      <c r="G117" s="59" t="n">
        <f aca="false">F117-H117</f>
        <v>0</v>
      </c>
      <c r="H117" s="59" t="n">
        <f aca="false">1500+2000</f>
        <v>3500</v>
      </c>
      <c r="J117" s="55"/>
    </row>
    <row r="118" customFormat="false" ht="19.85" hidden="false" customHeight="true" outlineLevel="0" collapsed="false">
      <c r="A118" s="1" t="n">
        <v>31</v>
      </c>
      <c r="B118" s="414" t="s">
        <v>747</v>
      </c>
      <c r="C118" s="56" t="n">
        <v>1009881</v>
      </c>
      <c r="D118" s="26" t="s">
        <v>41</v>
      </c>
      <c r="E118" s="33" t="n">
        <f aca="false">IF(D118="totale",(C118/(A118*24))/F118,IF(D118="marché libre",(C118/(A118*24))/G118,"spécifier histo"))</f>
        <v>0.387819124423963</v>
      </c>
      <c r="F118" s="59" t="n">
        <f aca="false">1500+2000</f>
        <v>3500</v>
      </c>
      <c r="G118" s="59" t="n">
        <f aca="false">F118-H118</f>
        <v>0</v>
      </c>
      <c r="H118" s="59" t="n">
        <f aca="false">1500+2000</f>
        <v>3500</v>
      </c>
      <c r="J118" s="55"/>
    </row>
    <row r="119" customFormat="false" ht="19.85" hidden="false" customHeight="true" outlineLevel="0" collapsed="false">
      <c r="A119" s="1" t="n">
        <v>28</v>
      </c>
      <c r="B119" s="416" t="s">
        <v>748</v>
      </c>
      <c r="C119" s="56" t="n">
        <v>211675</v>
      </c>
      <c r="D119" s="26" t="s">
        <v>41</v>
      </c>
      <c r="E119" s="33" t="n">
        <f aca="false">IF(D119="totale",(C119/(A119*24))/F119,IF(D119="marché libre",(C119/(A119*24))/G119,"spécifier histo"))</f>
        <v>0.0899978741496599</v>
      </c>
      <c r="F119" s="59" t="n">
        <f aca="false">1500+2000</f>
        <v>3500</v>
      </c>
      <c r="G119" s="59" t="n">
        <f aca="false">F119-H119</f>
        <v>0</v>
      </c>
      <c r="H119" s="59" t="n">
        <f aca="false">1500+2000</f>
        <v>3500</v>
      </c>
      <c r="J119" s="55"/>
    </row>
    <row r="120" customFormat="false" ht="19.85" hidden="false" customHeight="true" outlineLevel="0" collapsed="false">
      <c r="A120" s="1" t="n">
        <v>31</v>
      </c>
      <c r="B120" s="417" t="s">
        <v>749</v>
      </c>
      <c r="C120" s="56" t="n">
        <v>897393</v>
      </c>
      <c r="D120" s="26" t="s">
        <v>41</v>
      </c>
      <c r="E120" s="33" t="n">
        <f aca="false">IF(D120="totale",(C120/(A120*24))/F120,IF(D120="marché libre",(C120/(A120*24))/G120,"spécifier histo"))</f>
        <v>0.344620967741935</v>
      </c>
      <c r="F120" s="59" t="n">
        <f aca="false">1500+2000</f>
        <v>3500</v>
      </c>
      <c r="G120" s="59" t="n">
        <f aca="false">F120-H120</f>
        <v>0</v>
      </c>
      <c r="H120" s="59" t="n">
        <f aca="false">1500+2000</f>
        <v>3500</v>
      </c>
      <c r="J120" s="55"/>
    </row>
    <row r="121" customFormat="false" ht="19.85" hidden="false" customHeight="true" outlineLevel="0" collapsed="false">
      <c r="A121" s="1" t="n">
        <v>30</v>
      </c>
      <c r="B121" s="418" t="s">
        <v>750</v>
      </c>
      <c r="C121" s="56" t="n">
        <v>1511652</v>
      </c>
      <c r="D121" s="26" t="s">
        <v>41</v>
      </c>
      <c r="E121" s="33" t="n">
        <f aca="false">IF(D121="totale",(C121/(A121*24))/F121,IF(D121="marché libre",(C121/(A121*24))/G121,"spécifier histo"))</f>
        <v>0.599861904761905</v>
      </c>
      <c r="F121" s="59" t="n">
        <f aca="false">1500+2000</f>
        <v>3500</v>
      </c>
      <c r="G121" s="59" t="n">
        <f aca="false">F121-H121</f>
        <v>0</v>
      </c>
      <c r="H121" s="59" t="n">
        <f aca="false">1500+2000</f>
        <v>3500</v>
      </c>
      <c r="J121" s="55"/>
    </row>
    <row r="122" customFormat="false" ht="19.85" hidden="false" customHeight="true" outlineLevel="0" collapsed="false">
      <c r="A122" s="1" t="n">
        <v>31</v>
      </c>
      <c r="B122" s="419" t="s">
        <v>751</v>
      </c>
      <c r="C122" s="56" t="n">
        <v>2236786</v>
      </c>
      <c r="D122" s="26" t="s">
        <v>41</v>
      </c>
      <c r="E122" s="33" t="n">
        <f aca="false">IF(D122="totale",(C122/(A122*24))/F122,IF(D122="marché libre",(C122/(A122*24))/G122,"spécifier histo"))</f>
        <v>0.858980798771121</v>
      </c>
      <c r="F122" s="59" t="n">
        <f aca="false">1500+2000</f>
        <v>3500</v>
      </c>
      <c r="G122" s="59" t="n">
        <f aca="false">F122-H122</f>
        <v>0</v>
      </c>
      <c r="H122" s="59" t="n">
        <f aca="false">1500+2000</f>
        <v>3500</v>
      </c>
      <c r="J122" s="55"/>
    </row>
    <row r="123" customFormat="false" ht="19.85" hidden="false" customHeight="true" outlineLevel="0" collapsed="false">
      <c r="A123" s="1" t="n">
        <v>30</v>
      </c>
      <c r="B123" s="420" t="s">
        <v>752</v>
      </c>
      <c r="C123" s="56" t="n">
        <v>997544</v>
      </c>
      <c r="D123" s="26" t="s">
        <v>41</v>
      </c>
      <c r="E123" s="33" t="n">
        <f aca="false">IF(D123="totale",(C123/(A123*24))/F123,IF(D123="marché libre",(C123/(A123*24))/G123,"spécifier histo"))</f>
        <v>0.395850793650794</v>
      </c>
      <c r="F123" s="59" t="n">
        <f aca="false">1500+2000</f>
        <v>3500</v>
      </c>
      <c r="G123" s="59" t="n">
        <f aca="false">F123-H123</f>
        <v>0</v>
      </c>
      <c r="H123" s="59" t="n">
        <f aca="false">1500+2000</f>
        <v>3500</v>
      </c>
      <c r="J123" s="55"/>
    </row>
    <row r="124" customFormat="false" ht="19.85" hidden="false" customHeight="true" outlineLevel="0" collapsed="false">
      <c r="A124" s="1" t="n">
        <v>31</v>
      </c>
      <c r="B124" s="421" t="s">
        <v>753</v>
      </c>
      <c r="C124" s="56" t="n">
        <v>432632</v>
      </c>
      <c r="D124" s="26" t="s">
        <v>41</v>
      </c>
      <c r="E124" s="33" t="n">
        <f aca="false">IF(D124="totale",(C124/(A124*24))/F124,IF(D124="marché libre",(C124/(A124*24))/G124,"spécifier histo"))</f>
        <v>0.166141321044547</v>
      </c>
      <c r="F124" s="59" t="n">
        <f aca="false">1500+2000</f>
        <v>3500</v>
      </c>
      <c r="G124" s="59" t="n">
        <f aca="false">F124-H124</f>
        <v>0</v>
      </c>
      <c r="H124" s="59" t="n">
        <f aca="false">1500+2000</f>
        <v>3500</v>
      </c>
      <c r="J124" s="55"/>
    </row>
    <row r="125" customFormat="false" ht="19.85" hidden="false" customHeight="true" outlineLevel="0" collapsed="false">
      <c r="A125" s="1" t="n">
        <v>31</v>
      </c>
      <c r="B125" s="422" t="s">
        <v>754</v>
      </c>
      <c r="C125" s="56" t="n">
        <v>226191</v>
      </c>
      <c r="D125" s="26" t="s">
        <v>41</v>
      </c>
      <c r="E125" s="33" t="n">
        <f aca="false">IF(D125="totale",(C125/(A125*24))/F125,IF(D125="marché libre",(C125/(A125*24))/G125,"spécifier histo"))</f>
        <v>0.0868629032258064</v>
      </c>
      <c r="F125" s="59" t="n">
        <f aca="false">1500+2000</f>
        <v>3500</v>
      </c>
      <c r="G125" s="59" t="n">
        <f aca="false">F125-H125</f>
        <v>0</v>
      </c>
      <c r="H125" s="59" t="n">
        <f aca="false">1500+2000</f>
        <v>3500</v>
      </c>
      <c r="J125" s="55"/>
    </row>
    <row r="126" customFormat="false" ht="19.85" hidden="false" customHeight="true" outlineLevel="0" collapsed="false">
      <c r="A126" s="1" t="n">
        <v>30</v>
      </c>
      <c r="B126" s="423" t="s">
        <v>755</v>
      </c>
      <c r="C126" s="56" t="n">
        <v>88091</v>
      </c>
      <c r="D126" s="26" t="s">
        <v>41</v>
      </c>
      <c r="E126" s="33" t="n">
        <f aca="false">IF(D126="totale",(C126/(A126*24))/F126,IF(D126="marché libre",(C126/(A126*24))/G126,"spécifier histo"))</f>
        <v>0.034956746031746</v>
      </c>
      <c r="F126" s="59" t="n">
        <f aca="false">1500+2000</f>
        <v>3500</v>
      </c>
      <c r="G126" s="59" t="n">
        <f aca="false">F126-H126</f>
        <v>0</v>
      </c>
      <c r="H126" s="59" t="n">
        <f aca="false">1500+2000</f>
        <v>3500</v>
      </c>
      <c r="J126" s="55"/>
    </row>
    <row r="127" customFormat="false" ht="19.85" hidden="false" customHeight="true" outlineLevel="0" collapsed="false">
      <c r="A127" s="1" t="n">
        <v>31</v>
      </c>
      <c r="B127" s="424" t="s">
        <v>757</v>
      </c>
      <c r="C127" s="56" t="n">
        <v>1138630</v>
      </c>
      <c r="D127" s="26" t="s">
        <v>41</v>
      </c>
      <c r="E127" s="33" t="n">
        <f aca="false">IF(D127="totale",(C127/(A127*24))/F127,IF(D127="marché libre",(C127/(A127*24))/G127,"spécifier histo"))</f>
        <v>0.437261904761905</v>
      </c>
      <c r="F127" s="59" t="n">
        <v>3500</v>
      </c>
      <c r="G127" s="59" t="n">
        <v>1500</v>
      </c>
      <c r="H127" s="59" t="n">
        <v>2000</v>
      </c>
      <c r="I127" s="1" t="s">
        <v>1140</v>
      </c>
      <c r="J127" s="55" t="s">
        <v>1144</v>
      </c>
    </row>
    <row r="128" customFormat="false" ht="19.85" hidden="false" customHeight="true" outlineLevel="0" collapsed="false">
      <c r="A128" s="1" t="n">
        <v>30</v>
      </c>
      <c r="B128" s="425" t="s">
        <v>759</v>
      </c>
      <c r="C128" s="56" t="n">
        <v>1051592</v>
      </c>
      <c r="D128" s="26" t="s">
        <v>41</v>
      </c>
      <c r="E128" s="33" t="n">
        <f aca="false">IF(D128="totale",(C128/(A128*24))/F128,IF(D128="marché libre",(C128/(A128*24))/G128,"spécifier histo"))</f>
        <v>0.417298412698413</v>
      </c>
      <c r="F128" s="59" t="n">
        <v>3500</v>
      </c>
      <c r="G128" s="59" t="n">
        <v>1500</v>
      </c>
      <c r="H128" s="59" t="n">
        <v>2000</v>
      </c>
      <c r="J128" s="55"/>
    </row>
    <row r="129" customFormat="false" ht="19.85" hidden="false" customHeight="true" outlineLevel="0" collapsed="false">
      <c r="A129" s="1" t="n">
        <v>31</v>
      </c>
      <c r="B129" s="426" t="s">
        <v>760</v>
      </c>
      <c r="C129" s="56" t="n">
        <v>1472591</v>
      </c>
      <c r="D129" s="26" t="s">
        <v>41</v>
      </c>
      <c r="E129" s="33" t="n">
        <f aca="false">IF(D129="totale",(C129/(A129*24))/F129,IF(D129="marché libre",(C129/(A129*24))/G129,"spécifier histo"))</f>
        <v>0.56551113671275</v>
      </c>
      <c r="F129" s="59" t="n">
        <v>3500</v>
      </c>
      <c r="G129" s="59" t="n">
        <v>1500</v>
      </c>
      <c r="H129" s="59" t="n">
        <v>2000</v>
      </c>
      <c r="J129" s="55"/>
    </row>
    <row r="130" customFormat="false" ht="19.85" hidden="false" customHeight="true" outlineLevel="0" collapsed="false">
      <c r="A130" s="1" t="n">
        <v>31</v>
      </c>
      <c r="B130" s="414" t="s">
        <v>761</v>
      </c>
      <c r="C130" s="56" t="n">
        <v>1618700</v>
      </c>
      <c r="D130" s="26" t="s">
        <v>41</v>
      </c>
      <c r="E130" s="33" t="n">
        <f aca="false">IF(D130="totale",(C130/(A130*24))/F130,IF(D130="marché libre",(C130/(A130*24))/G130,"spécifier histo"))</f>
        <v>0.621620583717358</v>
      </c>
      <c r="F130" s="59" t="n">
        <v>3500</v>
      </c>
      <c r="G130" s="59" t="n">
        <v>1500</v>
      </c>
      <c r="H130" s="59" t="n">
        <v>2000</v>
      </c>
      <c r="J130" s="55"/>
    </row>
    <row r="131" customFormat="false" ht="19.85" hidden="false" customHeight="true" outlineLevel="0" collapsed="false">
      <c r="A131" s="1" t="n">
        <v>28</v>
      </c>
      <c r="B131" s="416" t="s">
        <v>762</v>
      </c>
      <c r="C131" s="56" t="n">
        <v>625700</v>
      </c>
      <c r="D131" s="26" t="s">
        <v>41</v>
      </c>
      <c r="E131" s="33" t="n">
        <f aca="false">IF(D131="totale",(C131/(A131*24))/F131,IF(D131="marché libre",(C131/(A131*24))/G131,"spécifier histo"))</f>
        <v>0.266028911564626</v>
      </c>
      <c r="F131" s="59" t="n">
        <v>3500</v>
      </c>
      <c r="G131" s="59" t="n">
        <v>1500</v>
      </c>
      <c r="H131" s="59" t="n">
        <v>2000</v>
      </c>
      <c r="J131" s="55"/>
    </row>
    <row r="132" customFormat="false" ht="19.85" hidden="false" customHeight="true" outlineLevel="0" collapsed="false">
      <c r="A132" s="1" t="n">
        <v>31</v>
      </c>
      <c r="B132" s="417" t="s">
        <v>763</v>
      </c>
      <c r="C132" s="56" t="n">
        <v>1349800</v>
      </c>
      <c r="D132" s="26" t="s">
        <v>41</v>
      </c>
      <c r="E132" s="33" t="n">
        <f aca="false">IF(D132="totale",(C132/(A132*24))/F132,IF(D132="marché libre",(C132/(A132*24))/G132,"spécifier histo"))</f>
        <v>0.518356374807988</v>
      </c>
      <c r="F132" s="59" t="n">
        <v>3500</v>
      </c>
      <c r="G132" s="59" t="n">
        <v>1500</v>
      </c>
      <c r="H132" s="59" t="n">
        <v>2000</v>
      </c>
      <c r="J132" s="55"/>
    </row>
    <row r="133" customFormat="false" ht="19.85" hidden="false" customHeight="true" outlineLevel="0" collapsed="false">
      <c r="A133" s="1" t="n">
        <v>30</v>
      </c>
      <c r="B133" s="418" t="s">
        <v>764</v>
      </c>
      <c r="C133" s="56" t="n">
        <v>1570300</v>
      </c>
      <c r="D133" s="26" t="s">
        <v>41</v>
      </c>
      <c r="E133" s="33" t="n">
        <f aca="false">IF(D133="totale",(C133/(A133*24))/F133,IF(D133="marché libre",(C133/(A133*24))/G133,"spécifier histo"))</f>
        <v>0.623134920634921</v>
      </c>
      <c r="F133" s="59" t="n">
        <v>3500</v>
      </c>
      <c r="G133" s="59" t="n">
        <v>1500</v>
      </c>
      <c r="H133" s="59" t="n">
        <v>2000</v>
      </c>
      <c r="J133" s="55"/>
    </row>
    <row r="134" customFormat="false" ht="19.85" hidden="false" customHeight="true" outlineLevel="0" collapsed="false">
      <c r="A134" s="1" t="n">
        <v>31</v>
      </c>
      <c r="B134" s="419" t="s">
        <v>765</v>
      </c>
      <c r="C134" s="56" t="n">
        <v>2471800</v>
      </c>
      <c r="D134" s="26" t="s">
        <v>41</v>
      </c>
      <c r="E134" s="33" t="n">
        <f aca="false">IF(D134="totale",(C134/(A134*24))/F134,IF(D134="marché libre",(C134/(A134*24))/G134,"spécifier histo"))</f>
        <v>0.949231950844854</v>
      </c>
      <c r="F134" s="59" t="n">
        <v>3500</v>
      </c>
      <c r="G134" s="59" t="n">
        <v>1500</v>
      </c>
      <c r="H134" s="59" t="n">
        <v>2000</v>
      </c>
      <c r="J134" s="55"/>
    </row>
    <row r="135" customFormat="false" ht="19.85" hidden="false" customHeight="true" outlineLevel="0" collapsed="false">
      <c r="A135" s="1" t="n">
        <v>30</v>
      </c>
      <c r="B135" s="420" t="s">
        <v>766</v>
      </c>
      <c r="C135" s="56" t="n">
        <v>2295500</v>
      </c>
      <c r="D135" s="26" t="s">
        <v>41</v>
      </c>
      <c r="E135" s="33" t="n">
        <f aca="false">IF(D135="totale",(C135/(A135*24))/F135,IF(D135="marché libre",(C135/(A135*24))/G135,"spécifier histo"))</f>
        <v>0.910912698412698</v>
      </c>
      <c r="F135" s="59" t="n">
        <v>3500</v>
      </c>
      <c r="G135" s="59" t="n">
        <v>1500</v>
      </c>
      <c r="H135" s="59" t="n">
        <v>2000</v>
      </c>
      <c r="J135" s="55"/>
    </row>
    <row r="136" customFormat="false" ht="19.85" hidden="false" customHeight="true" outlineLevel="0" collapsed="false">
      <c r="A136" s="1" t="n">
        <v>31</v>
      </c>
      <c r="B136" s="421" t="s">
        <v>767</v>
      </c>
      <c r="C136" s="56" t="n">
        <v>2094900</v>
      </c>
      <c r="D136" s="26" t="s">
        <v>41</v>
      </c>
      <c r="E136" s="33" t="n">
        <f aca="false">IF(D136="totale",(C136/(A136*24))/F136,IF(D136="marché libre",(C136/(A136*24))/G136,"spécifier histo"))</f>
        <v>0.804493087557604</v>
      </c>
      <c r="F136" s="59" t="n">
        <v>3500</v>
      </c>
      <c r="G136" s="59" t="n">
        <v>1500</v>
      </c>
      <c r="H136" s="59" t="n">
        <v>2000</v>
      </c>
      <c r="J136" s="55"/>
    </row>
    <row r="137" customFormat="false" ht="19.85" hidden="false" customHeight="true" outlineLevel="0" collapsed="false">
      <c r="A137" s="1" t="n">
        <v>31</v>
      </c>
      <c r="B137" s="422" t="s">
        <v>768</v>
      </c>
      <c r="C137" s="56" t="n">
        <v>637900</v>
      </c>
      <c r="D137" s="26" t="s">
        <v>41</v>
      </c>
      <c r="E137" s="33" t="n">
        <f aca="false">IF(D137="totale",(C137/(A137*24))/F137,IF(D137="marché libre",(C137/(A137*24))/G137,"spécifier histo"))</f>
        <v>0.244969278033794</v>
      </c>
      <c r="F137" s="59" t="n">
        <v>3500</v>
      </c>
      <c r="G137" s="59" t="n">
        <v>1500</v>
      </c>
      <c r="H137" s="59" t="n">
        <v>2000</v>
      </c>
      <c r="J137" s="55"/>
    </row>
    <row r="138" customFormat="false" ht="19.85" hidden="false" customHeight="true" outlineLevel="0" collapsed="false">
      <c r="A138" s="1" t="n">
        <v>30</v>
      </c>
      <c r="B138" s="423" t="s">
        <v>769</v>
      </c>
      <c r="C138" s="56" t="n">
        <v>436700</v>
      </c>
      <c r="D138" s="26" t="s">
        <v>41</v>
      </c>
      <c r="E138" s="33" t="n">
        <f aca="false">IF(D138="totale",(C138/(A138*24))/F138,IF(D138="marché libre",(C138/(A138*24))/G138,"spécifier histo"))</f>
        <v>0.173293650793651</v>
      </c>
      <c r="F138" s="59" t="n">
        <v>3500</v>
      </c>
      <c r="G138" s="59" t="n">
        <v>1500</v>
      </c>
      <c r="H138" s="59" t="n">
        <v>2000</v>
      </c>
      <c r="J138" s="55"/>
    </row>
    <row r="139" customFormat="false" ht="19.85" hidden="false" customHeight="true" outlineLevel="0" collapsed="false">
      <c r="A139" s="1" t="n">
        <v>31</v>
      </c>
      <c r="B139" s="424" t="s">
        <v>770</v>
      </c>
      <c r="C139" s="56" t="n">
        <v>527500</v>
      </c>
      <c r="D139" s="26" t="s">
        <v>41</v>
      </c>
      <c r="E139" s="33" t="n">
        <f aca="false">IF(D139="totale",(C139/(A139*24))/F139,IF(D139="marché libre",(C139/(A139*24))/G139,"spécifier histo"))</f>
        <v>0.202572964669739</v>
      </c>
      <c r="F139" s="59" t="n">
        <v>3500</v>
      </c>
      <c r="G139" s="59" t="n">
        <v>1500</v>
      </c>
      <c r="H139" s="59" t="n">
        <v>2000</v>
      </c>
      <c r="J139" s="55"/>
    </row>
    <row r="140" customFormat="false" ht="19.85" hidden="false" customHeight="true" outlineLevel="0" collapsed="false">
      <c r="A140" s="1" t="n">
        <v>30</v>
      </c>
      <c r="B140" s="425" t="s">
        <v>771</v>
      </c>
      <c r="C140" s="56" t="n">
        <v>1573800</v>
      </c>
      <c r="D140" s="26" t="s">
        <v>41</v>
      </c>
      <c r="E140" s="33" t="n">
        <f aca="false">IF(D140="totale",(C140/(A140*24))/F140,IF(D140="marché libre",(C140/(A140*24))/G140,"spécifier histo"))</f>
        <v>0.62452380952381</v>
      </c>
      <c r="F140" s="59" t="n">
        <v>3500</v>
      </c>
      <c r="G140" s="59" t="n">
        <v>1500</v>
      </c>
      <c r="H140" s="59" t="n">
        <v>2000</v>
      </c>
      <c r="J140" s="55"/>
    </row>
    <row r="141" customFormat="false" ht="19.85" hidden="false" customHeight="true" outlineLevel="0" collapsed="false">
      <c r="A141" s="1" t="n">
        <v>31</v>
      </c>
      <c r="B141" s="426" t="s">
        <v>772</v>
      </c>
      <c r="C141" s="56" t="n">
        <v>620600</v>
      </c>
      <c r="D141" s="26" t="s">
        <v>41</v>
      </c>
      <c r="E141" s="33" t="n">
        <f aca="false">IF(D141="totale",(C141/(A141*24))/F141,IF(D141="marché libre",(C141/(A141*24))/G141,"spécifier histo"))</f>
        <v>0.238325652841782</v>
      </c>
      <c r="F141" s="59" t="n">
        <v>3500</v>
      </c>
      <c r="G141" s="59" t="n">
        <v>1500</v>
      </c>
      <c r="H141" s="59" t="n">
        <v>2000</v>
      </c>
      <c r="J141" s="55"/>
    </row>
    <row r="142" customFormat="false" ht="19.85" hidden="false" customHeight="true" outlineLevel="0" collapsed="false">
      <c r="A142" s="1" t="n">
        <v>31</v>
      </c>
      <c r="B142" s="414" t="s">
        <v>773</v>
      </c>
      <c r="C142" s="56" t="n">
        <v>1473100</v>
      </c>
      <c r="D142" s="26" t="s">
        <v>41</v>
      </c>
      <c r="E142" s="33" t="n">
        <f aca="false">IF(D142="totale",(C142/(A142*24))/F142,IF(D142="marché libre",(C142/(A142*24))/G142,"spécifier histo"))</f>
        <v>0.565706605222734</v>
      </c>
      <c r="F142" s="59" t="n">
        <v>3500</v>
      </c>
      <c r="G142" s="59" t="n">
        <v>1500</v>
      </c>
      <c r="H142" s="59" t="n">
        <v>2000</v>
      </c>
      <c r="J142" s="55"/>
    </row>
    <row r="143" customFormat="false" ht="19.85" hidden="false" customHeight="true" outlineLevel="0" collapsed="false">
      <c r="A143" s="1" t="n">
        <v>28</v>
      </c>
      <c r="B143" s="416" t="s">
        <v>774</v>
      </c>
      <c r="C143" s="56" t="n">
        <v>1137200</v>
      </c>
      <c r="D143" s="26" t="s">
        <v>41</v>
      </c>
      <c r="E143" s="33" t="n">
        <f aca="false">IF(D143="totale",(C143/(A143*24))/F143,IF(D143="marché libre",(C143/(A143*24))/G143,"spécifier histo"))</f>
        <v>0.483503401360544</v>
      </c>
      <c r="F143" s="59" t="n">
        <v>3500</v>
      </c>
      <c r="G143" s="59" t="n">
        <v>1500</v>
      </c>
      <c r="H143" s="59" t="n">
        <v>2000</v>
      </c>
      <c r="J143" s="55"/>
    </row>
    <row r="144" customFormat="false" ht="19.85" hidden="false" customHeight="true" outlineLevel="0" collapsed="false">
      <c r="A144" s="1" t="n">
        <v>31</v>
      </c>
      <c r="B144" s="417" t="s">
        <v>775</v>
      </c>
      <c r="C144" s="56" t="n">
        <v>1074000</v>
      </c>
      <c r="D144" s="26" t="s">
        <v>41</v>
      </c>
      <c r="E144" s="33" t="n">
        <f aca="false">IF(D144="totale",(C144/(A144*24))/F144,IF(D144="marché libre",(C144/(A144*24))/G144,"spécifier histo"))</f>
        <v>0.412442396313364</v>
      </c>
      <c r="F144" s="59" t="n">
        <v>3500</v>
      </c>
      <c r="G144" s="59" t="n">
        <v>1500</v>
      </c>
      <c r="H144" s="59" t="n">
        <v>2000</v>
      </c>
      <c r="J144" s="55"/>
    </row>
    <row r="145" customFormat="false" ht="19.85" hidden="false" customHeight="true" outlineLevel="0" collapsed="false">
      <c r="A145" s="1" t="n">
        <v>30</v>
      </c>
      <c r="B145" s="418" t="s">
        <v>776</v>
      </c>
      <c r="C145" s="56" t="n">
        <v>266800</v>
      </c>
      <c r="D145" s="26" t="s">
        <v>41</v>
      </c>
      <c r="E145" s="33" t="n">
        <f aca="false">IF(D145="totale",(C145/(A145*24))/F145,IF(D145="marché libre",(C145/(A145*24))/G145,"spécifier histo"))</f>
        <v>0.105873015873016</v>
      </c>
      <c r="F145" s="59" t="n">
        <v>3500</v>
      </c>
      <c r="G145" s="59" t="n">
        <v>1500</v>
      </c>
      <c r="H145" s="59" t="n">
        <v>2000</v>
      </c>
      <c r="J145" s="55"/>
    </row>
    <row r="146" customFormat="false" ht="19.85" hidden="false" customHeight="true" outlineLevel="0" collapsed="false">
      <c r="A146" s="1" t="n">
        <v>31</v>
      </c>
      <c r="B146" s="419" t="s">
        <v>777</v>
      </c>
      <c r="C146" s="56" t="n">
        <v>1733500</v>
      </c>
      <c r="D146" s="26" t="s">
        <v>41</v>
      </c>
      <c r="E146" s="33" t="n">
        <f aca="false">IF(D146="totale",(C146/(A146*24))/F146,IF(D146="marché libre",(C146/(A146*24))/G146,"spécifier histo"))</f>
        <v>0.665706605222734</v>
      </c>
      <c r="F146" s="59" t="n">
        <v>3500</v>
      </c>
      <c r="G146" s="59" t="n">
        <v>1500</v>
      </c>
      <c r="H146" s="59" t="n">
        <v>2000</v>
      </c>
      <c r="J146" s="55"/>
    </row>
    <row r="147" customFormat="false" ht="19.85" hidden="false" customHeight="true" outlineLevel="0" collapsed="false">
      <c r="A147" s="1" t="n">
        <v>30</v>
      </c>
      <c r="B147" s="420" t="s">
        <v>778</v>
      </c>
      <c r="C147" s="56" t="n">
        <v>1065200</v>
      </c>
      <c r="D147" s="26" t="s">
        <v>41</v>
      </c>
      <c r="E147" s="33" t="n">
        <f aca="false">IF(D147="totale",(C147/(A147*24))/F147,IF(D147="marché libre",(C147/(A147*24))/G147,"spécifier histo"))</f>
        <v>0.422698412698413</v>
      </c>
      <c r="F147" s="59" t="n">
        <v>3500</v>
      </c>
      <c r="G147" s="59" t="n">
        <v>1500</v>
      </c>
      <c r="H147" s="59" t="n">
        <v>2000</v>
      </c>
      <c r="J147" s="55"/>
    </row>
    <row r="148" customFormat="false" ht="19.85" hidden="false" customHeight="true" outlineLevel="0" collapsed="false">
      <c r="A148" s="1" t="n">
        <v>31</v>
      </c>
      <c r="B148" s="421" t="s">
        <v>779</v>
      </c>
      <c r="C148" s="56" t="n">
        <v>1240800</v>
      </c>
      <c r="D148" s="26" t="s">
        <v>41</v>
      </c>
      <c r="E148" s="33" t="n">
        <f aca="false">IF(D148="totale",(C148/(A148*24))/F148,IF(D148="marché libre",(C148/(A148*24))/G148,"spécifier histo"))</f>
        <v>0.476497695852535</v>
      </c>
      <c r="F148" s="59" t="n">
        <v>3500</v>
      </c>
      <c r="G148" s="59" t="n">
        <v>1500</v>
      </c>
      <c r="H148" s="59" t="n">
        <v>2000</v>
      </c>
      <c r="J148" s="55"/>
    </row>
    <row r="149" customFormat="false" ht="19.85" hidden="false" customHeight="true" outlineLevel="0" collapsed="false">
      <c r="A149" s="1" t="n">
        <v>31</v>
      </c>
      <c r="B149" s="422" t="s">
        <v>780</v>
      </c>
      <c r="C149" s="56" t="n">
        <v>449700</v>
      </c>
      <c r="D149" s="26" t="s">
        <v>41</v>
      </c>
      <c r="E149" s="33" t="n">
        <f aca="false">IF(D149="totale",(C149/(A149*24))/F149,IF(D149="marché libre",(C149/(A149*24))/G149,"spécifier histo"))</f>
        <v>0.172695852534562</v>
      </c>
      <c r="F149" s="59" t="n">
        <v>3500</v>
      </c>
      <c r="G149" s="59" t="n">
        <v>1500</v>
      </c>
      <c r="H149" s="59" t="n">
        <v>2000</v>
      </c>
      <c r="J149" s="55"/>
    </row>
    <row r="150" customFormat="false" ht="19.85" hidden="false" customHeight="true" outlineLevel="0" collapsed="false">
      <c r="A150" s="1" t="n">
        <v>30</v>
      </c>
      <c r="B150" s="423" t="s">
        <v>781</v>
      </c>
      <c r="C150" s="56" t="n">
        <v>800</v>
      </c>
      <c r="D150" s="26" t="s">
        <v>41</v>
      </c>
      <c r="E150" s="33" t="n">
        <f aca="false">IF(D150="totale",(C150/(A150*24))/F150,IF(D150="marché libre",(C150/(A150*24))/G150,"spécifier histo"))</f>
        <v>0.000317460317460317</v>
      </c>
      <c r="F150" s="59" t="n">
        <v>3500</v>
      </c>
      <c r="G150" s="59" t="n">
        <v>1500</v>
      </c>
      <c r="H150" s="59" t="n">
        <v>2000</v>
      </c>
      <c r="J150" s="55"/>
    </row>
    <row r="151" customFormat="false" ht="19.85" hidden="false" customHeight="true" outlineLevel="0" collapsed="false">
      <c r="A151" s="1" t="n">
        <v>31</v>
      </c>
      <c r="B151" s="424" t="s">
        <v>782</v>
      </c>
      <c r="C151" s="56" t="n">
        <v>0</v>
      </c>
      <c r="D151" s="26" t="s">
        <v>41</v>
      </c>
      <c r="E151" s="33" t="n">
        <f aca="false">IF(D151="totale",(C151/(A151*24))/F151,IF(D151="marché libre",(C151/(A151*24))/G151,"spécifier histo"))</f>
        <v>0</v>
      </c>
      <c r="F151" s="59" t="n">
        <v>3500</v>
      </c>
      <c r="G151" s="59" t="n">
        <v>1500</v>
      </c>
      <c r="H151" s="59" t="n">
        <v>2000</v>
      </c>
      <c r="J151" s="55"/>
    </row>
    <row r="152" customFormat="false" ht="19.85" hidden="false" customHeight="true" outlineLevel="0" collapsed="false">
      <c r="A152" s="1" t="n">
        <v>30</v>
      </c>
      <c r="B152" s="425" t="s">
        <v>783</v>
      </c>
      <c r="C152" s="56" t="n">
        <v>244500</v>
      </c>
      <c r="D152" s="26" t="s">
        <v>41</v>
      </c>
      <c r="E152" s="33" t="n">
        <f aca="false">IF(D152="totale",(C152/(A152*24))/F152,IF(D152="marché libre",(C152/(A152*24))/G152,"spécifier histo"))</f>
        <v>0.0970238095238095</v>
      </c>
      <c r="F152" s="59" t="n">
        <v>3500</v>
      </c>
      <c r="G152" s="59" t="n">
        <v>1500</v>
      </c>
      <c r="H152" s="59" t="n">
        <v>2000</v>
      </c>
      <c r="J152" s="55"/>
    </row>
    <row r="153" customFormat="false" ht="19.85" hidden="false" customHeight="true" outlineLevel="0" collapsed="false">
      <c r="A153" s="1" t="n">
        <v>31</v>
      </c>
      <c r="B153" s="426" t="s">
        <v>784</v>
      </c>
      <c r="C153" s="56" t="n">
        <v>1243400</v>
      </c>
      <c r="D153" s="26" t="s">
        <v>41</v>
      </c>
      <c r="E153" s="33" t="n">
        <f aca="false">IF(D153="totale",(C153/(A153*24))/F153,IF(D153="marché libre",(C153/(A153*24))/G153,"spécifier histo"))</f>
        <v>0.477496159754224</v>
      </c>
      <c r="F153" s="59" t="n">
        <v>3500</v>
      </c>
      <c r="G153" s="59" t="n">
        <v>1500</v>
      </c>
      <c r="H153" s="59" t="n">
        <v>2000</v>
      </c>
      <c r="J153" s="55"/>
    </row>
    <row r="154" customFormat="false" ht="19.85" hidden="false" customHeight="true" outlineLevel="0" collapsed="false">
      <c r="A154" s="1" t="n">
        <v>31</v>
      </c>
      <c r="B154" s="414" t="s">
        <v>785</v>
      </c>
      <c r="C154" s="56" t="n">
        <v>517300</v>
      </c>
      <c r="D154" s="26" t="s">
        <v>41</v>
      </c>
      <c r="E154" s="33" t="n">
        <f aca="false">IF(D154="totale",(C154/(A154*24))/F154,IF(D154="marché libre",(C154/(A154*24))/G154,"spécifier histo"))</f>
        <v>0.198655913978495</v>
      </c>
      <c r="F154" s="59" t="n">
        <v>3500</v>
      </c>
      <c r="G154" s="59" t="n">
        <v>1500</v>
      </c>
      <c r="H154" s="59" t="n">
        <v>2000</v>
      </c>
      <c r="J154" s="55"/>
    </row>
    <row r="155" customFormat="false" ht="19.85" hidden="false" customHeight="true" outlineLevel="0" collapsed="false">
      <c r="A155" s="1" t="n">
        <v>28</v>
      </c>
      <c r="B155" s="416" t="s">
        <v>786</v>
      </c>
      <c r="C155" s="56" t="n">
        <v>588900</v>
      </c>
      <c r="D155" s="26" t="s">
        <v>41</v>
      </c>
      <c r="E155" s="33" t="n">
        <f aca="false">IF(D155="totale",(C155/(A155*24))/F155,IF(D155="marché libre",(C155/(A155*24))/G155,"spécifier histo"))</f>
        <v>0.250382653061224</v>
      </c>
      <c r="F155" s="59" t="n">
        <v>3500</v>
      </c>
      <c r="G155" s="59" t="n">
        <v>1500</v>
      </c>
      <c r="H155" s="59" t="n">
        <v>2000</v>
      </c>
      <c r="J155" s="55"/>
    </row>
    <row r="156" customFormat="false" ht="19.85" hidden="false" customHeight="true" outlineLevel="0" collapsed="false">
      <c r="A156" s="1" t="n">
        <v>31</v>
      </c>
      <c r="B156" s="417" t="s">
        <v>787</v>
      </c>
      <c r="C156" s="56" t="n">
        <v>1865800</v>
      </c>
      <c r="D156" s="26" t="s">
        <v>41</v>
      </c>
      <c r="E156" s="33" t="n">
        <f aca="false">IF(D156="totale",(C156/(A156*24))/F156,IF(D156="marché libre",(C156/(A156*24))/G156,"spécifier histo"))</f>
        <v>0.716513056835638</v>
      </c>
      <c r="F156" s="59" t="n">
        <v>3500</v>
      </c>
      <c r="G156" s="59" t="n">
        <v>1500</v>
      </c>
      <c r="H156" s="59" t="n">
        <v>2000</v>
      </c>
      <c r="J156" s="55"/>
    </row>
    <row r="157" customFormat="false" ht="19.85" hidden="false" customHeight="true" outlineLevel="0" collapsed="false">
      <c r="A157" s="1" t="n">
        <v>30</v>
      </c>
      <c r="B157" s="418" t="s">
        <v>788</v>
      </c>
      <c r="C157" s="56" t="n">
        <v>2020800</v>
      </c>
      <c r="D157" s="26" t="s">
        <v>41</v>
      </c>
      <c r="E157" s="33" t="n">
        <f aca="false">IF(D157="totale",(C157/(A157*24))/F157,IF(D157="marché libre",(C157/(A157*24))/G157,"spécifier histo"))</f>
        <v>0.801904761904762</v>
      </c>
      <c r="F157" s="59" t="n">
        <v>3500</v>
      </c>
      <c r="G157" s="59" t="n">
        <v>1500</v>
      </c>
      <c r="H157" s="59" t="n">
        <v>2000</v>
      </c>
      <c r="J157" s="55"/>
    </row>
    <row r="158" customFormat="false" ht="19.85" hidden="false" customHeight="true" outlineLevel="0" collapsed="false">
      <c r="A158" s="1" t="n">
        <v>31</v>
      </c>
      <c r="B158" s="419" t="s">
        <v>789</v>
      </c>
      <c r="C158" s="56" t="n">
        <v>2098700</v>
      </c>
      <c r="D158" s="26" t="s">
        <v>41</v>
      </c>
      <c r="E158" s="33" t="n">
        <f aca="false">IF(D158="totale",(C158/(A158*24))/F158,IF(D158="marché libre",(C158/(A158*24))/G158,"spécifier histo"))</f>
        <v>0.805952380952381</v>
      </c>
      <c r="F158" s="59" t="n">
        <v>3500</v>
      </c>
      <c r="G158" s="59" t="n">
        <v>1500</v>
      </c>
      <c r="H158" s="59" t="n">
        <v>2000</v>
      </c>
      <c r="J158" s="55"/>
    </row>
    <row r="159" customFormat="false" ht="19.85" hidden="false" customHeight="true" outlineLevel="0" collapsed="false">
      <c r="A159" s="1" t="n">
        <v>30</v>
      </c>
      <c r="B159" s="420" t="s">
        <v>790</v>
      </c>
      <c r="C159" s="56" t="n">
        <v>1375800</v>
      </c>
      <c r="D159" s="26" t="s">
        <v>41</v>
      </c>
      <c r="E159" s="33" t="n">
        <f aca="false">IF(D159="totale",(C159/(A159*24))/F159,IF(D159="marché libre",(C159/(A159*24))/G159,"spécifier histo"))</f>
        <v>0.545952380952381</v>
      </c>
      <c r="F159" s="59" t="n">
        <v>3500</v>
      </c>
      <c r="G159" s="59" t="n">
        <v>1500</v>
      </c>
      <c r="H159" s="59" t="n">
        <v>2000</v>
      </c>
      <c r="J159" s="55"/>
    </row>
    <row r="160" customFormat="false" ht="19.85" hidden="false" customHeight="true" outlineLevel="0" collapsed="false">
      <c r="A160" s="1" t="n">
        <v>31</v>
      </c>
      <c r="B160" s="421" t="s">
        <v>791</v>
      </c>
      <c r="C160" s="56" t="n">
        <v>654400</v>
      </c>
      <c r="D160" s="26" t="s">
        <v>41</v>
      </c>
      <c r="E160" s="33" t="n">
        <f aca="false">IF(D160="totale",(C160/(A160*24))/F160,IF(D160="marché libre",(C160/(A160*24))/G160,"spécifier histo"))</f>
        <v>0.251305683563748</v>
      </c>
      <c r="F160" s="59" t="n">
        <v>3500</v>
      </c>
      <c r="G160" s="59" t="n">
        <v>1500</v>
      </c>
      <c r="H160" s="59" t="n">
        <v>2000</v>
      </c>
      <c r="J160" s="55"/>
    </row>
    <row r="161" customFormat="false" ht="19.85" hidden="false" customHeight="true" outlineLevel="0" collapsed="false">
      <c r="A161" s="1" t="n">
        <v>31</v>
      </c>
      <c r="B161" s="422" t="s">
        <v>792</v>
      </c>
      <c r="C161" s="56" t="n">
        <v>637700</v>
      </c>
      <c r="D161" s="26" t="s">
        <v>41</v>
      </c>
      <c r="E161" s="33" t="n">
        <f aca="false">IF(D161="totale",(C161/(A161*24))/F161,IF(D161="marché libre",(C161/(A161*24))/G161,"spécifier histo"))</f>
        <v>0.24489247311828</v>
      </c>
      <c r="F161" s="59" t="n">
        <v>3500</v>
      </c>
      <c r="G161" s="59" t="n">
        <v>1500</v>
      </c>
      <c r="H161" s="59" t="n">
        <v>2000</v>
      </c>
      <c r="J161" s="55"/>
    </row>
    <row r="162" customFormat="false" ht="19.85" hidden="false" customHeight="true" outlineLevel="0" collapsed="false">
      <c r="A162" s="1" t="n">
        <v>30</v>
      </c>
      <c r="B162" s="423" t="s">
        <v>793</v>
      </c>
      <c r="C162" s="56" t="n">
        <v>496400</v>
      </c>
      <c r="D162" s="26" t="s">
        <v>41</v>
      </c>
      <c r="E162" s="33" t="n">
        <f aca="false">IF(D162="totale",(C162/(A162*24))/F162,IF(D162="marché libre",(C162/(A162*24))/G162,"spécifier histo"))</f>
        <v>0.196984126984127</v>
      </c>
      <c r="F162" s="59" t="n">
        <v>3500</v>
      </c>
      <c r="G162" s="59" t="n">
        <v>1500</v>
      </c>
      <c r="H162" s="59" t="n">
        <v>2000</v>
      </c>
      <c r="J162" s="55"/>
    </row>
    <row r="163" customFormat="false" ht="19.85" hidden="false" customHeight="true" outlineLevel="0" collapsed="false">
      <c r="A163" s="1" t="n">
        <v>31</v>
      </c>
      <c r="B163" s="424" t="s">
        <v>794</v>
      </c>
      <c r="C163" s="56" t="n">
        <v>415100</v>
      </c>
      <c r="D163" s="26" t="s">
        <v>41</v>
      </c>
      <c r="E163" s="33" t="n">
        <f aca="false">IF(D163="totale",(C163/(A163*24))/F163,IF(D163="marché libre",(C163/(A163*24))/G163,"spécifier histo"))</f>
        <v>0.159408602150538</v>
      </c>
      <c r="F163" s="59" t="n">
        <v>3500</v>
      </c>
      <c r="G163" s="59" t="n">
        <v>1500</v>
      </c>
      <c r="H163" s="59" t="n">
        <v>2000</v>
      </c>
      <c r="J163" s="55"/>
    </row>
    <row r="164" customFormat="false" ht="19.85" hidden="false" customHeight="true" outlineLevel="0" collapsed="false">
      <c r="A164" s="1" t="n">
        <v>30</v>
      </c>
      <c r="B164" s="425" t="s">
        <v>795</v>
      </c>
      <c r="C164" s="56" t="n">
        <v>598100</v>
      </c>
      <c r="D164" s="26" t="s">
        <v>41</v>
      </c>
      <c r="E164" s="33" t="n">
        <f aca="false">IF(D164="totale",(C164/(A164*24))/F164,IF(D164="marché libre",(C164/(A164*24))/G164,"spécifier histo"))</f>
        <v>0.23734126984127</v>
      </c>
      <c r="F164" s="59" t="n">
        <v>3500</v>
      </c>
      <c r="G164" s="59" t="n">
        <v>1500</v>
      </c>
      <c r="H164" s="59" t="n">
        <v>2000</v>
      </c>
      <c r="J164" s="55"/>
    </row>
    <row r="165" customFormat="false" ht="19.85" hidden="false" customHeight="true" outlineLevel="0" collapsed="false">
      <c r="A165" s="1" t="n">
        <v>31</v>
      </c>
      <c r="B165" s="426" t="s">
        <v>796</v>
      </c>
      <c r="C165" s="56" t="n">
        <v>618400</v>
      </c>
      <c r="D165" s="26" t="s">
        <v>41</v>
      </c>
      <c r="E165" s="33" t="n">
        <f aca="false">IF(D165="totale",(C165/(A165*24))/F165,IF(D165="marché libre",(C165/(A165*24))/G165,"spécifier histo"))</f>
        <v>0.237480798771121</v>
      </c>
      <c r="F165" s="59" t="n">
        <v>3500</v>
      </c>
      <c r="G165" s="59" t="n">
        <v>1500</v>
      </c>
      <c r="H165" s="59" t="n">
        <v>2000</v>
      </c>
      <c r="J165" s="55"/>
    </row>
    <row r="166" customFormat="false" ht="19.85" hidden="false" customHeight="true" outlineLevel="0" collapsed="false">
      <c r="A166" s="1" t="n">
        <v>31</v>
      </c>
      <c r="B166" s="414" t="s">
        <v>797</v>
      </c>
      <c r="C166" s="56" t="n">
        <v>169133.666666667</v>
      </c>
      <c r="D166" s="187" t="s">
        <v>42</v>
      </c>
      <c r="E166" s="33" t="n">
        <f aca="false">IF(D166="totale",(C166/(A166*24))/F166,IF(D166="marché libre",(C166/(A166*24))/G166,"spécifier histo"))</f>
        <v>0.151553464755078</v>
      </c>
      <c r="F166" s="228" t="n">
        <v>3500</v>
      </c>
      <c r="G166" s="228" t="n">
        <v>1500</v>
      </c>
      <c r="H166" s="228" t="n">
        <v>2000</v>
      </c>
      <c r="J166" s="55"/>
    </row>
    <row r="167" customFormat="false" ht="19.85" hidden="false" customHeight="true" outlineLevel="0" collapsed="false">
      <c r="A167" s="1" t="n">
        <v>28</v>
      </c>
      <c r="B167" s="416" t="s">
        <v>798</v>
      </c>
      <c r="C167" s="56" t="n">
        <v>279810.666666667</v>
      </c>
      <c r="D167" s="187" t="s">
        <v>42</v>
      </c>
      <c r="E167" s="33" t="n">
        <f aca="false">IF(D167="totale",(C167/(A167*24))/F167,IF(D167="marché libre",(C167/(A167*24))/G167,"spécifier histo"))</f>
        <v>0.277589947089947</v>
      </c>
      <c r="F167" s="59" t="n">
        <v>3500</v>
      </c>
      <c r="G167" s="59" t="n">
        <v>1500</v>
      </c>
      <c r="H167" s="59" t="n">
        <v>2000</v>
      </c>
      <c r="J167" s="55"/>
    </row>
    <row r="168" customFormat="false" ht="19.85" hidden="false" customHeight="true" outlineLevel="0" collapsed="false">
      <c r="A168" s="1" t="n">
        <v>31</v>
      </c>
      <c r="B168" s="417" t="s">
        <v>799</v>
      </c>
      <c r="C168" s="56" t="n">
        <v>230935.166666667</v>
      </c>
      <c r="D168" s="187" t="s">
        <v>42</v>
      </c>
      <c r="E168" s="33" t="n">
        <f aca="false">IF(D168="totale",(C168/(A168*24))/F168,IF(D168="marché libre",(C168/(A168*24))/G168,"spécifier histo"))</f>
        <v>0.206931152927121</v>
      </c>
      <c r="F168" s="59" t="n">
        <v>3500</v>
      </c>
      <c r="G168" s="59" t="n">
        <v>1500</v>
      </c>
      <c r="H168" s="59" t="n">
        <v>2000</v>
      </c>
      <c r="J168" s="55"/>
    </row>
    <row r="169" customFormat="false" ht="19.85" hidden="false" customHeight="true" outlineLevel="0" collapsed="false">
      <c r="A169" s="1" t="n">
        <v>30</v>
      </c>
      <c r="B169" s="418" t="s">
        <v>800</v>
      </c>
      <c r="C169" s="56" t="n">
        <v>361563.833333333</v>
      </c>
      <c r="D169" s="187" t="s">
        <v>42</v>
      </c>
      <c r="E169" s="33" t="n">
        <f aca="false">IF(D169="totale",(C169/(A169*24))/F169,IF(D169="marché libre",(C169/(A169*24))/G169,"spécifier histo"))</f>
        <v>0.334781327160493</v>
      </c>
      <c r="F169" s="59" t="n">
        <v>3500</v>
      </c>
      <c r="G169" s="59" t="n">
        <v>1500</v>
      </c>
      <c r="H169" s="59" t="n">
        <v>2000</v>
      </c>
      <c r="J169" s="55"/>
    </row>
    <row r="170" customFormat="false" ht="19.85" hidden="false" customHeight="true" outlineLevel="0" collapsed="false">
      <c r="A170" s="1" t="n">
        <v>31</v>
      </c>
      <c r="B170" s="419" t="s">
        <v>801</v>
      </c>
      <c r="C170" s="56" t="n">
        <v>385819.5</v>
      </c>
      <c r="D170" s="187" t="s">
        <v>42</v>
      </c>
      <c r="E170" s="33" t="n">
        <f aca="false">IF(D170="totale",(C170/(A170*24))/F170,IF(D170="marché libre",(C170/(A170*24))/G170,"spécifier histo"))</f>
        <v>0.345716397849462</v>
      </c>
      <c r="F170" s="59" t="n">
        <v>3500</v>
      </c>
      <c r="G170" s="59" t="n">
        <v>1500</v>
      </c>
      <c r="H170" s="59" t="n">
        <v>2000</v>
      </c>
      <c r="J170" s="55"/>
      <c r="K170" s="63"/>
    </row>
    <row r="171" customFormat="false" ht="19.85" hidden="false" customHeight="true" outlineLevel="0" collapsed="false">
      <c r="A171" s="1" t="n">
        <v>30</v>
      </c>
      <c r="B171" s="420" t="s">
        <v>802</v>
      </c>
      <c r="C171" s="56" t="n">
        <v>474931.833333333</v>
      </c>
      <c r="D171" s="187" t="s">
        <v>42</v>
      </c>
      <c r="E171" s="33" t="n">
        <f aca="false">IF(D171="totale",(C171/(A171*24))/F171,IF(D171="marché libre",(C171/(A171*24))/G171,"spécifier histo"))</f>
        <v>0.439751697530864</v>
      </c>
      <c r="F171" s="59" t="n">
        <v>3500</v>
      </c>
      <c r="G171" s="59" t="n">
        <v>1500</v>
      </c>
      <c r="H171" s="59" t="n">
        <v>2000</v>
      </c>
      <c r="J171" s="55"/>
      <c r="K171" s="63"/>
    </row>
    <row r="172" customFormat="false" ht="19.85" hidden="false" customHeight="true" outlineLevel="0" collapsed="false">
      <c r="A172" s="1" t="n">
        <v>31</v>
      </c>
      <c r="B172" s="421" t="s">
        <v>803</v>
      </c>
      <c r="C172" s="56" t="n">
        <v>23908.8333333333</v>
      </c>
      <c r="D172" s="187" t="s">
        <v>42</v>
      </c>
      <c r="E172" s="33" t="n">
        <f aca="false">IF(D172="totale",(C172/(A172*24))/F172,IF(D172="marché libre",(C172/(A172*24))/G172,"spécifier histo"))</f>
        <v>0.0214236857825567</v>
      </c>
      <c r="F172" s="59" t="n">
        <v>3500</v>
      </c>
      <c r="G172" s="59" t="n">
        <v>1500</v>
      </c>
      <c r="H172" s="59" t="n">
        <v>2000</v>
      </c>
      <c r="J172" s="55"/>
      <c r="K172" s="63"/>
    </row>
    <row r="173" customFormat="false" ht="19.85" hidden="false" customHeight="true" outlineLevel="0" collapsed="false">
      <c r="A173" s="1" t="n">
        <v>31</v>
      </c>
      <c r="B173" s="422" t="s">
        <v>804</v>
      </c>
      <c r="C173" s="56" t="n">
        <v>33494.6666666667</v>
      </c>
      <c r="D173" s="187" t="s">
        <v>42</v>
      </c>
      <c r="E173" s="33" t="n">
        <f aca="false">IF(D173="totale",(C173/(A173*24))/F173,IF(D173="marché libre",(C173/(A173*24))/G173,"spécifier histo"))</f>
        <v>0.0300131421744325</v>
      </c>
      <c r="F173" s="59" t="n">
        <v>3500</v>
      </c>
      <c r="G173" s="59" t="n">
        <v>1500</v>
      </c>
      <c r="H173" s="59" t="n">
        <v>2000</v>
      </c>
      <c r="J173" s="55"/>
    </row>
    <row r="174" customFormat="false" ht="19.85" hidden="false" customHeight="true" outlineLevel="0" collapsed="false">
      <c r="A174" s="1" t="n">
        <v>30</v>
      </c>
      <c r="B174" s="423" t="s">
        <v>805</v>
      </c>
      <c r="C174" s="56" t="n">
        <v>0</v>
      </c>
      <c r="D174" s="187" t="s">
        <v>42</v>
      </c>
      <c r="E174" s="33" t="n">
        <f aca="false">IF(D174="totale",(C174/(A174*24))/F174,IF(D174="marché libre",(C174/(A174*24))/G174,"spécifier histo"))</f>
        <v>0</v>
      </c>
      <c r="F174" s="59" t="n">
        <v>3500</v>
      </c>
      <c r="G174" s="59" t="n">
        <v>1500</v>
      </c>
      <c r="H174" s="59" t="n">
        <v>2000</v>
      </c>
      <c r="J174" s="55"/>
    </row>
    <row r="175" customFormat="false" ht="19.85" hidden="false" customHeight="true" outlineLevel="0" collapsed="false">
      <c r="A175" s="1" t="n">
        <v>31</v>
      </c>
      <c r="B175" s="424" t="s">
        <v>806</v>
      </c>
      <c r="C175" s="56" t="n">
        <v>5020</v>
      </c>
      <c r="D175" s="187" t="s">
        <v>42</v>
      </c>
      <c r="E175" s="33" t="n">
        <f aca="false">IF(D175="totale",(C175/(A175*24))/F175,IF(D175="marché libre",(C175/(A175*24))/G175,"spécifier histo"))</f>
        <v>0.00449820788530466</v>
      </c>
      <c r="F175" s="59" t="n">
        <v>3500</v>
      </c>
      <c r="G175" s="59" t="n">
        <v>1500</v>
      </c>
      <c r="H175" s="59" t="n">
        <v>2000</v>
      </c>
      <c r="J175" s="30"/>
    </row>
    <row r="176" customFormat="false" ht="19.85" hidden="false" customHeight="true" outlineLevel="0" collapsed="false">
      <c r="A176" s="1" t="n">
        <v>30</v>
      </c>
      <c r="B176" s="425" t="s">
        <v>807</v>
      </c>
      <c r="C176" s="56" t="n">
        <v>161942</v>
      </c>
      <c r="D176" s="187" t="s">
        <v>42</v>
      </c>
      <c r="E176" s="33" t="n">
        <f aca="false">IF(D176="totale",(C176/(A176*24))/F176,IF(D176="marché libre",(C176/(A176*24))/G176,"spécifier histo"))</f>
        <v>0.149946296296296</v>
      </c>
      <c r="F176" s="59" t="n">
        <v>3500</v>
      </c>
      <c r="G176" s="59" t="n">
        <v>1500</v>
      </c>
      <c r="H176" s="59" t="n">
        <v>2000</v>
      </c>
      <c r="J176" s="55"/>
    </row>
    <row r="177" customFormat="false" ht="19.85" hidden="false" customHeight="true" outlineLevel="0" collapsed="false">
      <c r="A177" s="1" t="n">
        <v>31</v>
      </c>
      <c r="B177" s="426" t="s">
        <v>808</v>
      </c>
      <c r="C177" s="56" t="n">
        <v>145</v>
      </c>
      <c r="D177" s="187" t="s">
        <v>42</v>
      </c>
      <c r="E177" s="33" t="n">
        <f aca="false">IF(D177="totale",(C177/(A177*24))/F177,IF(D177="marché libre",(C177/(A177*24))/G177,"spécifier histo"))</f>
        <v>0.000129928315412186</v>
      </c>
      <c r="F177" s="59" t="n">
        <v>3500</v>
      </c>
      <c r="G177" s="59" t="n">
        <v>1500</v>
      </c>
      <c r="H177" s="59" t="n">
        <v>2000</v>
      </c>
      <c r="J177" s="55"/>
    </row>
    <row r="178" customFormat="false" ht="19.85" hidden="false" customHeight="true" outlineLevel="0" collapsed="false">
      <c r="A178" s="1" t="n">
        <v>31</v>
      </c>
      <c r="B178" s="430" t="n">
        <v>42736</v>
      </c>
      <c r="C178" s="56" t="n">
        <v>14266</v>
      </c>
      <c r="D178" s="187" t="s">
        <v>42</v>
      </c>
      <c r="E178" s="33" t="n">
        <f aca="false">IF(D178="totale",(C178/(A178*24))/F178,IF(D178="marché libre",(C178/(A178*24))/G178,"spécifier histo"))</f>
        <v>0.0127831541218638</v>
      </c>
      <c r="F178" s="59" t="n">
        <v>3500</v>
      </c>
      <c r="G178" s="59" t="n">
        <v>1500</v>
      </c>
      <c r="H178" s="59" t="n">
        <v>2000</v>
      </c>
      <c r="J178" s="55"/>
    </row>
    <row r="179" customFormat="false" ht="19.85" hidden="false" customHeight="true" outlineLevel="0" collapsed="false">
      <c r="A179" s="1" t="n">
        <v>28</v>
      </c>
      <c r="B179" s="431" t="n">
        <v>42767</v>
      </c>
      <c r="C179" s="56" t="n">
        <v>262944</v>
      </c>
      <c r="D179" s="187" t="s">
        <v>42</v>
      </c>
      <c r="E179" s="33" t="n">
        <f aca="false">IF(D179="totale",(C179/(A179*24))/F179,IF(D179="marché libre",(C179/(A179*24))/G179,"spécifier histo"))</f>
        <v>0.260857142857143</v>
      </c>
      <c r="F179" s="59" t="n">
        <v>3500</v>
      </c>
      <c r="G179" s="59" t="n">
        <v>1500</v>
      </c>
      <c r="H179" s="59" t="n">
        <v>2000</v>
      </c>
      <c r="J179" s="55"/>
    </row>
    <row r="180" customFormat="false" ht="19.85" hidden="false" customHeight="true" outlineLevel="0" collapsed="false">
      <c r="A180" s="1" t="n">
        <v>31</v>
      </c>
      <c r="B180" s="432" t="n">
        <v>42795</v>
      </c>
      <c r="C180" s="56" t="n">
        <v>323190</v>
      </c>
      <c r="D180" s="187" t="s">
        <v>42</v>
      </c>
      <c r="E180" s="33" t="n">
        <f aca="false">IF(D180="totale",(C180/(A180*24))/F180,IF(D180="marché libre",(C180/(A180*24))/G180,"spécifier histo"))</f>
        <v>0.289596774193548</v>
      </c>
      <c r="F180" s="59" t="n">
        <v>3500</v>
      </c>
      <c r="G180" s="59" t="n">
        <v>1500</v>
      </c>
      <c r="H180" s="59" t="n">
        <v>2000</v>
      </c>
      <c r="J180" s="0"/>
    </row>
    <row r="181" customFormat="false" ht="19.85" hidden="false" customHeight="true" outlineLevel="0" collapsed="false">
      <c r="A181" s="1" t="n">
        <v>30</v>
      </c>
      <c r="B181" s="433" t="n">
        <v>42826</v>
      </c>
      <c r="C181" s="56" t="n">
        <v>397714</v>
      </c>
      <c r="D181" s="187" t="s">
        <v>42</v>
      </c>
      <c r="E181" s="33" t="n">
        <f aca="false">IF(D181="totale",(C181/(A181*24))/F181,IF(D181="marché libre",(C181/(A181*24))/G181,"spécifier histo"))</f>
        <v>0.368253703703704</v>
      </c>
      <c r="F181" s="59" t="n">
        <v>3500</v>
      </c>
      <c r="G181" s="59" t="n">
        <v>1500</v>
      </c>
      <c r="H181" s="59" t="n">
        <v>2000</v>
      </c>
      <c r="J181" s="0"/>
    </row>
    <row r="182" customFormat="false" ht="19.85" hidden="false" customHeight="true" outlineLevel="0" collapsed="false">
      <c r="A182" s="1" t="n">
        <v>31</v>
      </c>
      <c r="B182" s="434" t="n">
        <v>42856</v>
      </c>
      <c r="C182" s="310" t="n">
        <v>579863</v>
      </c>
      <c r="D182" s="187" t="s">
        <v>42</v>
      </c>
      <c r="E182" s="33" t="n">
        <f aca="false">IF(D182="totale",(C182/(A182*24))/F182,IF(D182="marché libre",(C182/(A182*24))/G182,"spécifier histo"))</f>
        <v>0.519590501792115</v>
      </c>
      <c r="F182" s="59" t="n">
        <v>3500</v>
      </c>
      <c r="G182" s="59" t="n">
        <v>1500</v>
      </c>
      <c r="H182" s="59" t="n">
        <v>2000</v>
      </c>
      <c r="J182" s="0"/>
    </row>
    <row r="183" customFormat="false" ht="22.45" hidden="false" customHeight="true" outlineLevel="0" collapsed="false">
      <c r="A183" s="1" t="n">
        <v>30</v>
      </c>
      <c r="B183" s="435" t="n">
        <v>42887</v>
      </c>
      <c r="C183" s="310" t="n">
        <v>138383</v>
      </c>
      <c r="D183" s="187" t="s">
        <v>42</v>
      </c>
      <c r="E183" s="33" t="n">
        <f aca="false">IF(D183="totale",(C183/(A183*24))/F183,IF(D183="marché libre",(C183/(A183*24))/G183,"spécifier histo"))</f>
        <v>0.128132407407407</v>
      </c>
      <c r="F183" s="59" t="n">
        <v>3500</v>
      </c>
      <c r="G183" s="59" t="n">
        <v>1500</v>
      </c>
      <c r="H183" s="59" t="n">
        <v>2000</v>
      </c>
      <c r="J183" s="55"/>
    </row>
    <row r="184" customFormat="false" ht="21.65" hidden="false" customHeight="true" outlineLevel="0" collapsed="false">
      <c r="A184" s="1" t="n">
        <v>31</v>
      </c>
      <c r="B184" s="436" t="n">
        <v>42917</v>
      </c>
      <c r="C184" s="9" t="n">
        <v>4467</v>
      </c>
      <c r="D184" s="187" t="s">
        <v>42</v>
      </c>
      <c r="E184" s="33" t="n">
        <f aca="false">IF(D184="totale",(C184/(A184*24))/F184,IF(D184="marché libre",(C184/(A184*24))/G184,"spécifier histo"))</f>
        <v>0.00400268817204301</v>
      </c>
      <c r="F184" s="59" t="n">
        <v>3500</v>
      </c>
      <c r="G184" s="59" t="n">
        <v>1500</v>
      </c>
      <c r="H184" s="59" t="n">
        <v>2000</v>
      </c>
      <c r="J184" s="55"/>
    </row>
    <row r="185" customFormat="false" ht="21.65" hidden="false" customHeight="true" outlineLevel="0" collapsed="false">
      <c r="A185" s="1" t="n">
        <v>31</v>
      </c>
      <c r="B185" s="437" t="n">
        <v>42948</v>
      </c>
      <c r="C185" s="9" t="n">
        <v>6438</v>
      </c>
      <c r="D185" s="187" t="s">
        <v>42</v>
      </c>
      <c r="E185" s="33" t="n">
        <f aca="false">IF(D185="totale",(C185/(A185*24))/F185,IF(D185="marché libre",(C185/(A185*24))/G185,"spécifier histo"))</f>
        <v>0.00576881720430108</v>
      </c>
      <c r="F185" s="59" t="n">
        <v>3500</v>
      </c>
      <c r="G185" s="59" t="n">
        <v>1500</v>
      </c>
      <c r="H185" s="59" t="n">
        <v>2000</v>
      </c>
      <c r="J185" s="55"/>
    </row>
    <row r="186" customFormat="false" ht="21.65" hidden="false" customHeight="true" outlineLevel="0" collapsed="false">
      <c r="A186" s="1" t="n">
        <v>30</v>
      </c>
      <c r="B186" s="438" t="n">
        <v>42979</v>
      </c>
      <c r="C186" s="9" t="n">
        <v>0</v>
      </c>
      <c r="D186" s="187" t="s">
        <v>42</v>
      </c>
      <c r="E186" s="33" t="n">
        <f aca="false">IF(D186="totale",(C186/(A186*24))/F186,IF(D186="marché libre",(C186/(A186*24))/G186,"spécifier histo"))</f>
        <v>0</v>
      </c>
      <c r="F186" s="59" t="n">
        <v>3500</v>
      </c>
      <c r="G186" s="59" t="n">
        <v>1500</v>
      </c>
      <c r="H186" s="59" t="n">
        <v>2000</v>
      </c>
      <c r="J186" s="55"/>
    </row>
    <row r="187" customFormat="false" ht="21.65" hidden="false" customHeight="true" outlineLevel="0" collapsed="false">
      <c r="A187" s="1" t="n">
        <v>31</v>
      </c>
      <c r="B187" s="439" t="n">
        <v>43009</v>
      </c>
      <c r="C187" s="9" t="n">
        <v>0</v>
      </c>
      <c r="D187" s="187" t="s">
        <v>42</v>
      </c>
      <c r="E187" s="33" t="n">
        <f aca="false">IF(D187="totale",(C187/(A187*24))/F187,IF(D187="marché libre",(C187/(A187*24))/G187,"spécifier histo"))</f>
        <v>0</v>
      </c>
      <c r="F187" s="59" t="n">
        <v>3500</v>
      </c>
      <c r="G187" s="59" t="n">
        <v>1500</v>
      </c>
      <c r="H187" s="59" t="n">
        <v>2000</v>
      </c>
      <c r="J187" s="55"/>
    </row>
    <row r="188" customFormat="false" ht="21.65" hidden="false" customHeight="true" outlineLevel="0" collapsed="false">
      <c r="A188" s="1" t="n">
        <v>30</v>
      </c>
      <c r="B188" s="440" t="n">
        <v>43040</v>
      </c>
      <c r="C188" s="9" t="n">
        <v>0</v>
      </c>
      <c r="D188" s="187" t="s">
        <v>42</v>
      </c>
      <c r="E188" s="33" t="n">
        <f aca="false">IF(D188="totale",(C188/(A188*24))/F188,IF(D188="marché libre",(C188/(A188*24))/G188,"spécifier histo"))</f>
        <v>0</v>
      </c>
      <c r="F188" s="59" t="n">
        <v>3500</v>
      </c>
      <c r="G188" s="59" t="n">
        <v>1500</v>
      </c>
      <c r="H188" s="59" t="n">
        <v>2000</v>
      </c>
      <c r="J188" s="55"/>
    </row>
    <row r="189" customFormat="false" ht="21.65" hidden="false" customHeight="true" outlineLevel="0" collapsed="false">
      <c r="A189" s="1" t="n">
        <v>31</v>
      </c>
      <c r="B189" s="441" t="n">
        <v>43070</v>
      </c>
      <c r="C189" s="9" t="n">
        <v>243179</v>
      </c>
      <c r="D189" s="187" t="s">
        <v>42</v>
      </c>
      <c r="E189" s="33" t="n">
        <f aca="false">IF(D189="totale",(C189/(A189*24))/F189,IF(D189="marché libre",(C189/(A189*24))/G189,"spécifier histo"))</f>
        <v>0.217902329749104</v>
      </c>
      <c r="F189" s="59" t="n">
        <v>3500</v>
      </c>
      <c r="G189" s="59" t="n">
        <v>1500</v>
      </c>
      <c r="H189" s="59" t="n">
        <v>2000</v>
      </c>
      <c r="J189" s="55"/>
    </row>
    <row r="190" customFormat="false" ht="21.55" hidden="false" customHeight="true" outlineLevel="0" collapsed="false">
      <c r="A190" s="1" t="n">
        <v>31</v>
      </c>
      <c r="B190" s="430" t="n">
        <v>43101</v>
      </c>
      <c r="C190" s="1" t="n">
        <v>412040</v>
      </c>
      <c r="D190" s="187" t="s">
        <v>42</v>
      </c>
      <c r="E190" s="33" t="n">
        <f aca="false">IF(D190="totale",(C190/(A190*24))/F190,IF(D190="marché libre",(C190/(A190*24))/G190,"spécifier histo"))</f>
        <v>0.36921146953405</v>
      </c>
      <c r="F190" s="59" t="n">
        <v>3500</v>
      </c>
      <c r="G190" s="59" t="n">
        <v>1500</v>
      </c>
      <c r="H190" s="59" t="n">
        <v>2000</v>
      </c>
      <c r="J190" s="30"/>
    </row>
    <row r="191" customFormat="false" ht="21.55" hidden="false" customHeight="true" outlineLevel="0" collapsed="false">
      <c r="A191" s="1" t="n">
        <v>28</v>
      </c>
      <c r="B191" s="431" t="n">
        <v>43132</v>
      </c>
      <c r="C191" s="1" t="n">
        <v>348826</v>
      </c>
      <c r="D191" s="187" t="s">
        <v>42</v>
      </c>
      <c r="E191" s="33" t="n">
        <f aca="false">IF(D191="totale",(C191/(A191*24))/F191,IF(D191="marché libre",(C191/(A191*24))/G191,"spécifier histo"))</f>
        <v>0.34605753968254</v>
      </c>
      <c r="F191" s="59" t="n">
        <v>3500</v>
      </c>
      <c r="G191" s="59" t="n">
        <v>1500</v>
      </c>
      <c r="H191" s="59" t="n">
        <v>2000</v>
      </c>
    </row>
    <row r="192" customFormat="false" ht="21.55" hidden="false" customHeight="true" outlineLevel="0" collapsed="false">
      <c r="A192" s="1" t="n">
        <v>31</v>
      </c>
      <c r="B192" s="432" t="n">
        <v>43160</v>
      </c>
      <c r="C192" s="1" t="n">
        <v>264111</v>
      </c>
      <c r="D192" s="187" t="s">
        <v>42</v>
      </c>
      <c r="E192" s="33" t="n">
        <f aca="false">IF(D192="totale",(C192/(A192*24))/F192,IF(D192="marché libre",(C192/(A192*24))/G192,"spécifier histo"))</f>
        <v>0.236658602150538</v>
      </c>
      <c r="F192" s="59" t="n">
        <v>3500</v>
      </c>
      <c r="G192" s="59" t="n">
        <v>1500</v>
      </c>
      <c r="H192" s="59" t="n">
        <v>2000</v>
      </c>
    </row>
    <row r="193" customFormat="false" ht="28.35" hidden="false" customHeight="true" outlineLevel="0" collapsed="false">
      <c r="A193" s="0"/>
    </row>
    <row r="194" customFormat="false" ht="28.35" hidden="false" customHeight="true" outlineLevel="0" collapsed="false">
      <c r="A194" s="0"/>
    </row>
    <row r="195" customFormat="false" ht="28.35" hidden="false" customHeight="true" outlineLevel="0" collapsed="false">
      <c r="A195" s="0"/>
    </row>
    <row r="196" customFormat="false" ht="28.35" hidden="false" customHeight="true" outlineLevel="0" collapsed="false">
      <c r="A196" s="0"/>
    </row>
    <row r="197" customFormat="false" ht="28.35" hidden="false" customHeight="true" outlineLevel="0" collapsed="false">
      <c r="A197" s="0"/>
    </row>
    <row r="198" customFormat="false" ht="28.35" hidden="false" customHeight="true" outlineLevel="0" collapsed="false">
      <c r="A198" s="0"/>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row r="212" customFormat="false" ht="12.8" hidden="false" customHeight="false" outlineLevel="0" collapsed="false">
      <c r="A212" s="0"/>
    </row>
    <row r="213" customFormat="false" ht="12.8" hidden="false" customHeight="fals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row r="224" customFormat="false" ht="12.8" hidden="false" customHeight="false" outlineLevel="0" collapsed="false">
      <c r="A224" s="0"/>
    </row>
    <row r="225" customFormat="false" ht="12.8" hidden="false" customHeight="false" outlineLevel="0" collapsed="false">
      <c r="A225" s="0"/>
    </row>
    <row r="226" customFormat="false" ht="12.8" hidden="false" customHeight="false" outlineLevel="0" collapsed="false">
      <c r="A226"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8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90">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91">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192">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4.xml><?xml version="1.0" encoding="utf-8"?>
<worksheet xmlns="http://schemas.openxmlformats.org/spreadsheetml/2006/main" xmlns:r="http://schemas.openxmlformats.org/officeDocument/2006/relationships">
  <sheetPr filterMode="false">
    <tabColor rgb="FF00CC33"/>
    <pageSetUpPr fitToPage="false"/>
  </sheetPr>
  <dimension ref="A1:V22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69" activePane="bottomRight" state="frozen"/>
      <selection pane="topLeft" activeCell="A1" activeCellId="0" sqref="A1"/>
      <selection pane="topRight" activeCell="B1" activeCellId="0" sqref="B1"/>
      <selection pane="bottomLeft" activeCell="A169" activeCellId="0" sqref="A169"/>
      <selection pane="bottomRight" activeCell="I123" activeCellId="0" sqref="I123"/>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56" width="24.68"/>
    <col collapsed="false" customWidth="true" hidden="false" outlineLevel="0" max="11" min="11" style="256" width="19.45"/>
    <col collapsed="false" customWidth="true" hidden="false" outlineLevel="0" max="12" min="12" style="256" width="24.54"/>
    <col collapsed="false" customWidth="false" hidden="false" outlineLevel="0" max="13" min="13" style="256" width="11.52"/>
    <col collapsed="false" customWidth="true" hidden="false" outlineLevel="0" max="14" min="14" style="256" width="10.8"/>
    <col collapsed="false" customWidth="true" hidden="false" outlineLevel="0" max="15" min="15" style="256" width="4.02"/>
    <col collapsed="false" customWidth="false" hidden="false" outlineLevel="0" max="16" min="16" style="256" width="11.52"/>
    <col collapsed="false" customWidth="true" hidden="false" outlineLevel="0" max="17" min="17" style="256" width="15.28"/>
    <col collapsed="false" customWidth="true" hidden="false" outlineLevel="0" max="18" min="18" style="256" width="3.85"/>
    <col collapsed="false" customWidth="false" hidden="false" outlineLevel="0" max="20" min="19" style="256" width="11.52"/>
    <col collapsed="false" customWidth="false" hidden="false" outlineLevel="0" max="1025" min="21" style="1" width="11.52"/>
  </cols>
  <sheetData>
    <row r="1" s="1" customFormat="true" ht="30.8" hidden="false" customHeight="true" outlineLevel="0" collapsed="false">
      <c r="A1" s="0"/>
      <c r="B1" s="2" t="s">
        <v>0</v>
      </c>
      <c r="C1" s="2"/>
      <c r="D1" s="2"/>
      <c r="E1" s="2"/>
      <c r="F1" s="3" t="s">
        <v>1</v>
      </c>
      <c r="G1" s="3"/>
      <c r="H1" s="3"/>
      <c r="I1" s="3"/>
      <c r="J1" s="3"/>
      <c r="K1" s="3"/>
      <c r="L1" s="3"/>
      <c r="M1" s="3"/>
      <c r="N1" s="3"/>
    </row>
    <row r="2" s="1" customFormat="true" ht="30.8" hidden="false" customHeight="true" outlineLevel="0" collapsed="false">
      <c r="A2" s="0"/>
      <c r="B2" s="2"/>
      <c r="C2" s="2"/>
      <c r="D2" s="2"/>
      <c r="E2" s="2"/>
      <c r="F2" s="3" t="s">
        <v>305</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5" t="s">
        <v>1145</v>
      </c>
      <c r="C4" s="5" t="n">
        <v>473054</v>
      </c>
      <c r="D4" s="219" t="s">
        <v>1146</v>
      </c>
      <c r="E4" s="219" t="s">
        <v>63</v>
      </c>
      <c r="F4" s="15" t="n">
        <v>1000</v>
      </c>
      <c r="G4" s="15" t="n">
        <v>1000</v>
      </c>
      <c r="H4" s="15" t="n">
        <v>600</v>
      </c>
      <c r="I4" s="5" t="s">
        <v>1147</v>
      </c>
      <c r="J4" s="15" t="s">
        <v>475</v>
      </c>
      <c r="K4" s="582" t="s">
        <v>1148</v>
      </c>
      <c r="L4" s="16" t="s">
        <v>66</v>
      </c>
      <c r="M4" s="16" t="s">
        <v>66</v>
      </c>
      <c r="N4" s="16"/>
      <c r="P4" s="17"/>
      <c r="Q4" s="16" t="s">
        <v>23</v>
      </c>
      <c r="S4" s="18"/>
      <c r="T4" s="19" t="s">
        <v>24</v>
      </c>
      <c r="U4" s="19"/>
      <c r="V4" s="19"/>
    </row>
    <row r="5" s="1" customFormat="true" ht="28.35" hidden="false" customHeight="true" outlineLevel="0" collapsed="false">
      <c r="A5" s="0"/>
      <c r="F5" s="9"/>
      <c r="G5" s="9"/>
      <c r="H5" s="9"/>
      <c r="J5" s="9"/>
      <c r="P5" s="9"/>
      <c r="Q5" s="9"/>
    </row>
    <row r="6" s="1" customFormat="true" ht="28.35" hidden="false" customHeight="true" outlineLevel="0" collapsed="false">
      <c r="A6" s="0"/>
      <c r="B6" s="0"/>
      <c r="C6" s="10" t="s">
        <v>25</v>
      </c>
      <c r="D6" s="10"/>
      <c r="F6" s="20" t="s">
        <v>26</v>
      </c>
      <c r="G6" s="297" t="s">
        <v>441</v>
      </c>
      <c r="H6" s="297"/>
      <c r="I6" s="297"/>
      <c r="J6" s="297"/>
      <c r="K6" s="297"/>
      <c r="L6" s="297"/>
      <c r="M6" s="297"/>
      <c r="N6" s="297"/>
      <c r="P6" s="21" t="n">
        <v>42005</v>
      </c>
      <c r="Q6" s="19" t="s">
        <v>27</v>
      </c>
      <c r="R6" s="9"/>
      <c r="S6" s="22"/>
      <c r="T6" s="5" t="s">
        <v>28</v>
      </c>
    </row>
    <row r="7" s="1" customFormat="true" ht="41.65" hidden="false" customHeight="true" outlineLevel="0" collapsed="false">
      <c r="A7" s="0"/>
      <c r="B7" s="0"/>
      <c r="C7" s="123" t="s">
        <v>1149</v>
      </c>
      <c r="D7" s="123"/>
      <c r="F7" s="20"/>
      <c r="G7" s="20"/>
      <c r="H7" s="297"/>
      <c r="I7" s="297"/>
      <c r="J7" s="297"/>
      <c r="K7" s="297"/>
      <c r="L7" s="297"/>
      <c r="M7" s="297"/>
      <c r="N7" s="297"/>
      <c r="P7" s="24"/>
      <c r="Q7" s="5" t="s">
        <v>29</v>
      </c>
      <c r="R7" s="9"/>
      <c r="S7" s="25"/>
      <c r="T7" s="5" t="s">
        <v>30</v>
      </c>
    </row>
    <row r="8" s="1" customFormat="true" ht="42.45" hidden="false" customHeight="true" outlineLevel="0" collapsed="false">
      <c r="A8" s="26"/>
      <c r="F8" s="9"/>
      <c r="G8" s="9"/>
      <c r="H8" s="9"/>
      <c r="J8" s="9"/>
      <c r="R8" s="9"/>
      <c r="S8" s="27"/>
      <c r="T8" s="16" t="s">
        <v>31</v>
      </c>
    </row>
    <row r="9" s="1" customFormat="true" ht="36.65" hidden="false" customHeight="true" outlineLevel="0" collapsed="false">
      <c r="A9" s="26"/>
      <c r="B9" s="9" t="s">
        <v>32</v>
      </c>
      <c r="C9" s="28" t="s">
        <v>33</v>
      </c>
      <c r="D9" s="29"/>
      <c r="E9" s="1" t="s">
        <v>35</v>
      </c>
      <c r="F9" s="9" t="s">
        <v>36</v>
      </c>
      <c r="G9" s="9" t="s">
        <v>37</v>
      </c>
      <c r="H9" s="9" t="s">
        <v>38</v>
      </c>
      <c r="I9" s="9" t="s">
        <v>39</v>
      </c>
      <c r="J9" s="205" t="s">
        <v>40</v>
      </c>
    </row>
    <row r="10" s="1" customFormat="true" ht="36.65" hidden="false" customHeight="true" outlineLevel="0" collapsed="false">
      <c r="A10" s="0" t="n">
        <v>31</v>
      </c>
      <c r="B10" s="31" t="n">
        <v>37987</v>
      </c>
      <c r="C10" s="1" t="n">
        <v>263840</v>
      </c>
      <c r="D10" s="29" t="s">
        <v>41</v>
      </c>
      <c r="E10" s="583" t="n">
        <f aca="false">IF(D10="totale",(C10/(A10*24))/F10,IF(D10="marché libre",(C10/(A10*24))/G10,"spécifier histo"))</f>
        <v>0.354623655913978</v>
      </c>
      <c r="F10" s="59" t="n">
        <v>1000</v>
      </c>
      <c r="G10" s="59" t="n">
        <f aca="false">F10-H10</f>
        <v>1000</v>
      </c>
      <c r="H10" s="9" t="n">
        <f aca="false">0</f>
        <v>0</v>
      </c>
      <c r="I10" s="9"/>
      <c r="J10" s="584" t="s">
        <v>417</v>
      </c>
      <c r="K10" s="0"/>
      <c r="O10" s="0"/>
    </row>
    <row r="11" s="1" customFormat="true" ht="36.65" hidden="false" customHeight="true" outlineLevel="0" collapsed="false">
      <c r="A11" s="0" t="n">
        <v>28</v>
      </c>
      <c r="B11" s="34" t="n">
        <v>38018</v>
      </c>
      <c r="C11" s="1" t="n">
        <v>436320</v>
      </c>
      <c r="D11" s="29" t="s">
        <v>41</v>
      </c>
      <c r="E11" s="583" t="n">
        <f aca="false">IF(D11="totale",(C11/(A11*24))/F11,IF(D11="marché libre",(C11/(A11*24))/G11,"spécifier histo"))</f>
        <v>0.649285714285714</v>
      </c>
      <c r="F11" s="59" t="n">
        <v>1000</v>
      </c>
      <c r="G11" s="59" t="n">
        <f aca="false">F11-H11</f>
        <v>1000</v>
      </c>
      <c r="H11" s="9" t="n">
        <f aca="false">0</f>
        <v>0</v>
      </c>
      <c r="I11" s="9"/>
      <c r="J11" s="584" t="s">
        <v>189</v>
      </c>
      <c r="K11" s="0"/>
      <c r="O11" s="0"/>
    </row>
    <row r="12" s="1" customFormat="true" ht="36.65" hidden="false" customHeight="true" outlineLevel="0" collapsed="false">
      <c r="A12" s="0" t="n">
        <v>31</v>
      </c>
      <c r="B12" s="31" t="n">
        <v>38047</v>
      </c>
      <c r="C12" s="1" t="n">
        <v>310560</v>
      </c>
      <c r="D12" s="29" t="s">
        <v>41</v>
      </c>
      <c r="E12" s="583" t="n">
        <f aca="false">IF(D12="totale",(C12/(A12*24))/F12,IF(D12="marché libre",(C12/(A12*24))/G12,"spécifier histo"))</f>
        <v>0.41741935483871</v>
      </c>
      <c r="F12" s="59" t="n">
        <v>1000</v>
      </c>
      <c r="G12" s="59" t="n">
        <f aca="false">F12-H12</f>
        <v>1000</v>
      </c>
      <c r="H12" s="9" t="n">
        <f aca="false">0</f>
        <v>0</v>
      </c>
      <c r="I12" s="9"/>
      <c r="J12" s="584" t="s">
        <v>1150</v>
      </c>
      <c r="K12" s="0"/>
      <c r="O12" s="0"/>
    </row>
    <row r="13" s="1" customFormat="true" ht="36.65" hidden="false" customHeight="true" outlineLevel="0" collapsed="false">
      <c r="A13" s="0" t="n">
        <v>30</v>
      </c>
      <c r="B13" s="34" t="n">
        <v>38078</v>
      </c>
      <c r="C13" s="1" t="n">
        <v>268000</v>
      </c>
      <c r="D13" s="29" t="s">
        <v>41</v>
      </c>
      <c r="E13" s="583" t="n">
        <f aca="false">IF(D13="totale",(C13/(A13*24))/F13,IF(D13="marché libre",(C13/(A13*24))/G13,"spécifier histo"))</f>
        <v>0.372222222222222</v>
      </c>
      <c r="F13" s="59" t="n">
        <v>1000</v>
      </c>
      <c r="G13" s="59" t="n">
        <f aca="false">F13-H13</f>
        <v>1000</v>
      </c>
      <c r="H13" s="9" t="n">
        <f aca="false">0</f>
        <v>0</v>
      </c>
      <c r="I13" s="9"/>
      <c r="J13" s="584" t="s">
        <v>189</v>
      </c>
      <c r="K13" s="0"/>
      <c r="O13" s="0"/>
    </row>
    <row r="14" s="1" customFormat="true" ht="36.65" hidden="false" customHeight="true" outlineLevel="0" collapsed="false">
      <c r="A14" s="0" t="n">
        <v>31</v>
      </c>
      <c r="B14" s="31" t="n">
        <v>38108</v>
      </c>
      <c r="C14" s="1" t="n">
        <v>214240</v>
      </c>
      <c r="D14" s="29" t="s">
        <v>41</v>
      </c>
      <c r="E14" s="583" t="n">
        <f aca="false">IF(D14="totale",(C14/(A14*24))/F14,IF(D14="marché libre",(C14/(A14*24))/G14,"spécifier histo"))</f>
        <v>0.287956989247312</v>
      </c>
      <c r="F14" s="59" t="n">
        <v>1000</v>
      </c>
      <c r="G14" s="59" t="n">
        <f aca="false">F14-H14</f>
        <v>1000</v>
      </c>
      <c r="H14" s="9" t="n">
        <f aca="false">0</f>
        <v>0</v>
      </c>
      <c r="I14" s="9"/>
      <c r="J14" s="584" t="s">
        <v>1151</v>
      </c>
      <c r="K14" s="0"/>
      <c r="O14" s="0"/>
    </row>
    <row r="15" s="1" customFormat="true" ht="36.65" hidden="false" customHeight="true" outlineLevel="0" collapsed="false">
      <c r="A15" s="0" t="n">
        <v>30</v>
      </c>
      <c r="B15" s="34" t="n">
        <v>38139</v>
      </c>
      <c r="C15" s="1" t="n">
        <v>0</v>
      </c>
      <c r="D15" s="29" t="s">
        <v>41</v>
      </c>
      <c r="E15" s="583" t="n">
        <f aca="false">IF(D15="totale",(C15/(A15*24))/F15,IF(D15="marché libre",(C15/(A15*24))/G15,"spécifier histo"))</f>
        <v>0</v>
      </c>
      <c r="F15" s="59" t="n">
        <v>1000</v>
      </c>
      <c r="G15" s="59" t="n">
        <f aca="false">F15-H15</f>
        <v>1000</v>
      </c>
      <c r="H15" s="9" t="n">
        <f aca="false">0</f>
        <v>0</v>
      </c>
      <c r="I15" s="9"/>
      <c r="J15" s="584" t="s">
        <v>1152</v>
      </c>
      <c r="K15" s="0"/>
      <c r="O15" s="0"/>
    </row>
    <row r="16" s="1" customFormat="true" ht="36.65" hidden="false" customHeight="true" outlineLevel="0" collapsed="false">
      <c r="A16" s="0" t="n">
        <v>31</v>
      </c>
      <c r="B16" s="31" t="n">
        <v>38169</v>
      </c>
      <c r="C16" s="1" t="n">
        <v>117440</v>
      </c>
      <c r="D16" s="29" t="s">
        <v>41</v>
      </c>
      <c r="E16" s="583" t="n">
        <f aca="false">IF(D16="totale",(C16/(A16*24))/F16,IF(D16="marché libre",(C16/(A16*24))/G16,"spécifier histo"))</f>
        <v>0.157849462365591</v>
      </c>
      <c r="F16" s="59" t="n">
        <v>1000</v>
      </c>
      <c r="G16" s="59" t="n">
        <f aca="false">F16-H16</f>
        <v>1000</v>
      </c>
      <c r="H16" s="9" t="n">
        <f aca="false">0</f>
        <v>0</v>
      </c>
      <c r="I16" s="9"/>
      <c r="J16" s="584" t="s">
        <v>1153</v>
      </c>
      <c r="K16" s="0"/>
      <c r="O16" s="0"/>
    </row>
    <row r="17" s="1" customFormat="true" ht="36.65" hidden="false" customHeight="true" outlineLevel="0" collapsed="false">
      <c r="A17" s="0" t="n">
        <v>31</v>
      </c>
      <c r="B17" s="34" t="n">
        <v>38200</v>
      </c>
      <c r="C17" s="1" t="n">
        <v>79520</v>
      </c>
      <c r="D17" s="29" t="s">
        <v>41</v>
      </c>
      <c r="E17" s="583" t="n">
        <f aca="false">IF(D17="totale",(C17/(A17*24))/F17,IF(D17="marché libre",(C17/(A17*24))/G17,"spécifier histo"))</f>
        <v>0.106881720430108</v>
      </c>
      <c r="F17" s="59" t="n">
        <v>1000</v>
      </c>
      <c r="G17" s="59" t="n">
        <f aca="false">F17-H17</f>
        <v>1000</v>
      </c>
      <c r="H17" s="9" t="n">
        <f aca="false">0</f>
        <v>0</v>
      </c>
      <c r="I17" s="9"/>
      <c r="J17" s="584" t="s">
        <v>189</v>
      </c>
      <c r="K17" s="0"/>
      <c r="O17" s="0"/>
    </row>
    <row r="18" s="1" customFormat="true" ht="36.65" hidden="false" customHeight="true" outlineLevel="0" collapsed="false">
      <c r="A18" s="0" t="n">
        <v>30</v>
      </c>
      <c r="B18" s="31" t="n">
        <v>38231</v>
      </c>
      <c r="C18" s="1" t="n">
        <v>82400</v>
      </c>
      <c r="D18" s="29" t="s">
        <v>41</v>
      </c>
      <c r="E18" s="583" t="n">
        <f aca="false">IF(D18="totale",(C18/(A18*24))/F18,IF(D18="marché libre",(C18/(A18*24))/G18,"spécifier histo"))</f>
        <v>0.114444444444444</v>
      </c>
      <c r="F18" s="59" t="n">
        <v>1000</v>
      </c>
      <c r="G18" s="59" t="n">
        <f aca="false">F18-H18</f>
        <v>1000</v>
      </c>
      <c r="H18" s="9" t="n">
        <f aca="false">0</f>
        <v>0</v>
      </c>
      <c r="I18" s="9"/>
      <c r="J18" s="584" t="s">
        <v>1154</v>
      </c>
      <c r="K18" s="0"/>
      <c r="O18" s="0"/>
    </row>
    <row r="19" s="1" customFormat="true" ht="36.65" hidden="false" customHeight="true" outlineLevel="0" collapsed="false">
      <c r="A19" s="0" t="n">
        <v>31</v>
      </c>
      <c r="B19" s="34" t="n">
        <v>38261</v>
      </c>
      <c r="C19" s="1" t="n">
        <v>339840</v>
      </c>
      <c r="D19" s="29" t="s">
        <v>41</v>
      </c>
      <c r="E19" s="583" t="n">
        <f aca="false">IF(D19="totale",(C19/(A19*24))/F19,IF(D19="marché libre",(C19/(A19*24))/G19,"spécifier histo"))</f>
        <v>0.456774193548387</v>
      </c>
      <c r="F19" s="59" t="n">
        <v>1000</v>
      </c>
      <c r="G19" s="59" t="n">
        <f aca="false">F19-H19</f>
        <v>1000</v>
      </c>
      <c r="H19" s="9" t="n">
        <f aca="false">0</f>
        <v>0</v>
      </c>
      <c r="I19" s="9"/>
      <c r="J19" s="205"/>
      <c r="K19" s="0"/>
      <c r="O19" s="0"/>
    </row>
    <row r="20" s="1" customFormat="true" ht="36.65" hidden="false" customHeight="true" outlineLevel="0" collapsed="false">
      <c r="A20" s="0" t="n">
        <v>30</v>
      </c>
      <c r="B20" s="31" t="n">
        <v>38292</v>
      </c>
      <c r="C20" s="1" t="n">
        <v>384000</v>
      </c>
      <c r="D20" s="29" t="s">
        <v>41</v>
      </c>
      <c r="E20" s="583" t="n">
        <f aca="false">IF(D20="totale",(C20/(A20*24))/F20,IF(D20="marché libre",(C20/(A20*24))/G20,"spécifier histo"))</f>
        <v>0.533333333333333</v>
      </c>
      <c r="F20" s="59" t="n">
        <v>1000</v>
      </c>
      <c r="G20" s="59" t="n">
        <f aca="false">F20-H20</f>
        <v>1000</v>
      </c>
      <c r="H20" s="9" t="n">
        <f aca="false">0</f>
        <v>0</v>
      </c>
      <c r="I20" s="9"/>
      <c r="J20" s="205"/>
      <c r="K20" s="0"/>
      <c r="O20" s="0"/>
    </row>
    <row r="21" s="1" customFormat="true" ht="36.65" hidden="false" customHeight="true" outlineLevel="0" collapsed="false">
      <c r="A21" s="0" t="n">
        <v>31</v>
      </c>
      <c r="B21" s="34" t="n">
        <v>38322</v>
      </c>
      <c r="C21" s="1" t="n">
        <v>423040</v>
      </c>
      <c r="D21" s="29" t="s">
        <v>41</v>
      </c>
      <c r="E21" s="583" t="n">
        <f aca="false">IF(D21="totale",(C21/(A21*24))/F21,IF(D21="marché libre",(C21/(A21*24))/G21,"spécifier histo"))</f>
        <v>0.568602150537634</v>
      </c>
      <c r="F21" s="59" t="n">
        <v>1000</v>
      </c>
      <c r="G21" s="59" t="n">
        <f aca="false">F21-H21</f>
        <v>1000</v>
      </c>
      <c r="H21" s="9" t="n">
        <f aca="false">0</f>
        <v>0</v>
      </c>
      <c r="I21" s="9"/>
      <c r="J21" s="205"/>
      <c r="K21" s="0"/>
      <c r="O21" s="0"/>
    </row>
    <row r="22" s="1" customFormat="true" ht="36.65" hidden="false" customHeight="true" outlineLevel="0" collapsed="false">
      <c r="A22" s="0" t="n">
        <v>31</v>
      </c>
      <c r="B22" s="31" t="n">
        <v>38353</v>
      </c>
      <c r="C22" s="1" t="n">
        <v>490080</v>
      </c>
      <c r="D22" s="29" t="s">
        <v>41</v>
      </c>
      <c r="E22" s="583" t="n">
        <f aca="false">IF(D22="totale",(C22/(A22*24))/F22,IF(D22="marché libre",(C22/(A22*24))/G22,"spécifier histo"))</f>
        <v>0.658709677419355</v>
      </c>
      <c r="F22" s="59" t="n">
        <v>1000</v>
      </c>
      <c r="G22" s="59" t="n">
        <f aca="false">F22-H22</f>
        <v>1000</v>
      </c>
      <c r="H22" s="9" t="n">
        <f aca="false">0</f>
        <v>0</v>
      </c>
      <c r="I22" s="9"/>
      <c r="J22" s="205"/>
      <c r="K22" s="0"/>
      <c r="O22" s="0"/>
    </row>
    <row r="23" s="1" customFormat="true" ht="36.65" hidden="false" customHeight="true" outlineLevel="0" collapsed="false">
      <c r="A23" s="0" t="n">
        <v>28</v>
      </c>
      <c r="B23" s="34" t="n">
        <v>38384</v>
      </c>
      <c r="C23" s="1" t="n">
        <v>548800</v>
      </c>
      <c r="D23" s="29" t="s">
        <v>41</v>
      </c>
      <c r="E23" s="583" t="n">
        <f aca="false">IF(D23="totale",(C23/(A23*24))/F23,IF(D23="marché libre",(C23/(A23*24))/G23,"spécifier histo"))</f>
        <v>0.816666666666667</v>
      </c>
      <c r="F23" s="59" t="n">
        <v>1000</v>
      </c>
      <c r="G23" s="59" t="n">
        <f aca="false">F23-H23</f>
        <v>1000</v>
      </c>
      <c r="H23" s="9" t="n">
        <f aca="false">0</f>
        <v>0</v>
      </c>
      <c r="I23" s="9"/>
      <c r="J23" s="205"/>
      <c r="K23" s="0"/>
      <c r="O23" s="0"/>
    </row>
    <row r="24" s="1" customFormat="true" ht="36.65" hidden="false" customHeight="true" outlineLevel="0" collapsed="false">
      <c r="A24" s="0" t="n">
        <v>31</v>
      </c>
      <c r="B24" s="31" t="n">
        <v>38412</v>
      </c>
      <c r="C24" s="1" t="n">
        <v>528800</v>
      </c>
      <c r="D24" s="29" t="s">
        <v>41</v>
      </c>
      <c r="E24" s="583" t="n">
        <f aca="false">IF(D24="totale",(C24/(A24*24))/F24,IF(D24="marché libre",(C24/(A24*24))/G24,"spécifier histo"))</f>
        <v>0.710752688172043</v>
      </c>
      <c r="F24" s="59" t="n">
        <v>1000</v>
      </c>
      <c r="G24" s="59" t="n">
        <f aca="false">F24-H24</f>
        <v>1000</v>
      </c>
      <c r="H24" s="9" t="n">
        <f aca="false">0</f>
        <v>0</v>
      </c>
      <c r="I24" s="9"/>
      <c r="J24" s="205"/>
      <c r="K24" s="0"/>
      <c r="O24" s="0"/>
    </row>
    <row r="25" s="1" customFormat="true" ht="36.65" hidden="false" customHeight="true" outlineLevel="0" collapsed="false">
      <c r="A25" s="0" t="n">
        <v>30</v>
      </c>
      <c r="B25" s="34" t="n">
        <v>38443</v>
      </c>
      <c r="C25" s="1" t="n">
        <v>572640</v>
      </c>
      <c r="D25" s="29" t="s">
        <v>41</v>
      </c>
      <c r="E25" s="583" t="n">
        <f aca="false">IF(D25="totale",(C25/(A25*24))/F25,IF(D25="marché libre",(C25/(A25*24))/G25,"spécifier histo"))</f>
        <v>0.795333333333333</v>
      </c>
      <c r="F25" s="59" t="n">
        <v>1000</v>
      </c>
      <c r="G25" s="59" t="n">
        <f aca="false">F25-H25</f>
        <v>1000</v>
      </c>
      <c r="H25" s="9" t="n">
        <f aca="false">0</f>
        <v>0</v>
      </c>
      <c r="I25" s="9"/>
      <c r="J25" s="205"/>
      <c r="K25" s="0"/>
      <c r="O25" s="0"/>
    </row>
    <row r="26" s="1" customFormat="true" ht="36.65" hidden="false" customHeight="true" outlineLevel="0" collapsed="false">
      <c r="A26" s="0" t="n">
        <v>31</v>
      </c>
      <c r="B26" s="31" t="n">
        <v>38473</v>
      </c>
      <c r="C26" s="1" t="n">
        <v>405120</v>
      </c>
      <c r="D26" s="29" t="s">
        <v>41</v>
      </c>
      <c r="E26" s="583" t="n">
        <f aca="false">IF(D26="totale",(C26/(A26*24))/F26,IF(D26="marché libre",(C26/(A26*24))/G26,"spécifier histo"))</f>
        <v>0.544516129032258</v>
      </c>
      <c r="F26" s="59" t="n">
        <v>1000</v>
      </c>
      <c r="G26" s="59" t="n">
        <f aca="false">F26-H26</f>
        <v>1000</v>
      </c>
      <c r="H26" s="9" t="n">
        <f aca="false">0</f>
        <v>0</v>
      </c>
      <c r="I26" s="9"/>
      <c r="J26" s="205"/>
      <c r="K26" s="0"/>
      <c r="O26" s="0"/>
    </row>
    <row r="27" s="1" customFormat="true" ht="36.65" hidden="false" customHeight="true" outlineLevel="0" collapsed="false">
      <c r="A27" s="0" t="n">
        <v>30</v>
      </c>
      <c r="B27" s="34" t="n">
        <v>38504</v>
      </c>
      <c r="C27" s="1" t="n">
        <v>135520</v>
      </c>
      <c r="D27" s="29" t="s">
        <v>41</v>
      </c>
      <c r="E27" s="583" t="n">
        <f aca="false">IF(D27="totale",(C27/(A27*24))/F27,IF(D27="marché libre",(C27/(A27*24))/G27,"spécifier histo"))</f>
        <v>0.188222222222222</v>
      </c>
      <c r="F27" s="59" t="n">
        <v>1000</v>
      </c>
      <c r="G27" s="59" t="n">
        <f aca="false">F27-H27</f>
        <v>1000</v>
      </c>
      <c r="H27" s="9" t="n">
        <f aca="false">0</f>
        <v>0</v>
      </c>
      <c r="I27" s="9"/>
      <c r="J27" s="205"/>
      <c r="K27" s="0"/>
      <c r="O27" s="0"/>
    </row>
    <row r="28" s="1" customFormat="true" ht="36.65" hidden="false" customHeight="true" outlineLevel="0" collapsed="false">
      <c r="A28" s="0" t="n">
        <v>31</v>
      </c>
      <c r="B28" s="31" t="n">
        <v>38534</v>
      </c>
      <c r="C28" s="1" t="n">
        <v>112480</v>
      </c>
      <c r="D28" s="29" t="s">
        <v>41</v>
      </c>
      <c r="E28" s="583" t="n">
        <f aca="false">IF(D28="totale",(C28/(A28*24))/F28,IF(D28="marché libre",(C28/(A28*24))/G28,"spécifier histo"))</f>
        <v>0.151182795698925</v>
      </c>
      <c r="F28" s="59" t="n">
        <v>1000</v>
      </c>
      <c r="G28" s="59" t="n">
        <f aca="false">F28-H28</f>
        <v>1000</v>
      </c>
      <c r="H28" s="9" t="n">
        <f aca="false">0</f>
        <v>0</v>
      </c>
      <c r="I28" s="9"/>
      <c r="J28" s="205"/>
      <c r="K28" s="0"/>
      <c r="O28" s="0"/>
    </row>
    <row r="29" s="1" customFormat="true" ht="36.65" hidden="false" customHeight="true" outlineLevel="0" collapsed="false">
      <c r="A29" s="0" t="n">
        <v>31</v>
      </c>
      <c r="B29" s="34" t="n">
        <v>38565</v>
      </c>
      <c r="C29" s="1" t="n">
        <v>89280</v>
      </c>
      <c r="D29" s="29" t="s">
        <v>41</v>
      </c>
      <c r="E29" s="583" t="n">
        <f aca="false">IF(D29="totale",(C29/(A29*24))/F29,IF(D29="marché libre",(C29/(A29*24))/G29,"spécifier histo"))</f>
        <v>0.12</v>
      </c>
      <c r="F29" s="59" t="n">
        <v>1000</v>
      </c>
      <c r="G29" s="59" t="n">
        <f aca="false">F29-H29</f>
        <v>1000</v>
      </c>
      <c r="H29" s="9" t="n">
        <f aca="false">0</f>
        <v>0</v>
      </c>
      <c r="I29" s="9"/>
      <c r="J29" s="205"/>
      <c r="K29" s="0"/>
      <c r="O29" s="0"/>
    </row>
    <row r="30" s="1" customFormat="true" ht="36.65" hidden="false" customHeight="true" outlineLevel="0" collapsed="false">
      <c r="A30" s="0" t="n">
        <v>30</v>
      </c>
      <c r="B30" s="31" t="n">
        <v>38596</v>
      </c>
      <c r="C30" s="1" t="n">
        <v>180000</v>
      </c>
      <c r="D30" s="29" t="s">
        <v>41</v>
      </c>
      <c r="E30" s="583" t="n">
        <f aca="false">IF(D30="totale",(C30/(A30*24))/F30,IF(D30="marché libre",(C30/(A30*24))/G30,"spécifier histo"))</f>
        <v>0.25</v>
      </c>
      <c r="F30" s="59" t="n">
        <v>1000</v>
      </c>
      <c r="G30" s="59" t="n">
        <f aca="false">F30-H30</f>
        <v>1000</v>
      </c>
      <c r="H30" s="9" t="n">
        <f aca="false">0</f>
        <v>0</v>
      </c>
      <c r="I30" s="9"/>
      <c r="J30" s="205"/>
      <c r="O30" s="0"/>
    </row>
    <row r="31" s="1" customFormat="true" ht="36.65" hidden="false" customHeight="true" outlineLevel="0" collapsed="false">
      <c r="A31" s="0" t="n">
        <v>31</v>
      </c>
      <c r="B31" s="34" t="n">
        <v>38626</v>
      </c>
      <c r="C31" s="1" t="n">
        <v>120320</v>
      </c>
      <c r="D31" s="29" t="s">
        <v>41</v>
      </c>
      <c r="E31" s="583" t="n">
        <f aca="false">IF(D31="totale",(C31/(A31*24))/F31,IF(D31="marché libre",(C31/(A31*24))/G31,"spécifier histo"))</f>
        <v>0.161720430107527</v>
      </c>
      <c r="F31" s="59" t="n">
        <v>1000</v>
      </c>
      <c r="G31" s="59" t="n">
        <f aca="false">F31-H31</f>
        <v>1000</v>
      </c>
      <c r="H31" s="9" t="n">
        <f aca="false">0</f>
        <v>0</v>
      </c>
      <c r="I31" s="9"/>
      <c r="J31" s="205"/>
      <c r="O31" s="0"/>
    </row>
    <row r="32" s="1" customFormat="true" ht="36.65" hidden="false" customHeight="true" outlineLevel="0" collapsed="false">
      <c r="A32" s="0" t="n">
        <v>30</v>
      </c>
      <c r="B32" s="31" t="n">
        <v>38657</v>
      </c>
      <c r="C32" s="1" t="n">
        <v>124320</v>
      </c>
      <c r="D32" s="29" t="s">
        <v>41</v>
      </c>
      <c r="E32" s="583" t="n">
        <f aca="false">IF(D32="totale",(C32/(A32*24))/F32,IF(D32="marché libre",(C32/(A32*24))/G32,"spécifier histo"))</f>
        <v>0.172666666666667</v>
      </c>
      <c r="F32" s="59" t="n">
        <v>1000</v>
      </c>
      <c r="G32" s="59" t="n">
        <f aca="false">F32-H32</f>
        <v>1000</v>
      </c>
      <c r="H32" s="9" t="n">
        <f aca="false">0</f>
        <v>0</v>
      </c>
      <c r="I32" s="9"/>
      <c r="J32" s="205"/>
      <c r="O32" s="0"/>
    </row>
    <row r="33" s="1" customFormat="true" ht="36.65" hidden="false" customHeight="true" outlineLevel="0" collapsed="false">
      <c r="A33" s="0" t="n">
        <v>31</v>
      </c>
      <c r="B33" s="34" t="n">
        <v>38687</v>
      </c>
      <c r="C33" s="1" t="n">
        <v>273440</v>
      </c>
      <c r="D33" s="29" t="s">
        <v>41</v>
      </c>
      <c r="E33" s="583" t="n">
        <f aca="false">IF(D33="totale",(C33/(A33*24))/F33,IF(D33="marché libre",(C33/(A33*24))/G33,"spécifier histo"))</f>
        <v>0.36752688172043</v>
      </c>
      <c r="F33" s="59" t="n">
        <v>1000</v>
      </c>
      <c r="G33" s="59" t="n">
        <f aca="false">F33-H33</f>
        <v>1000</v>
      </c>
      <c r="H33" s="9" t="n">
        <f aca="false">0</f>
        <v>0</v>
      </c>
      <c r="I33" s="9"/>
      <c r="J33" s="205"/>
      <c r="O33" s="0"/>
    </row>
    <row r="34" s="1" customFormat="true" ht="36.65" hidden="false" customHeight="true" outlineLevel="0" collapsed="false">
      <c r="A34" s="0" t="n">
        <v>31</v>
      </c>
      <c r="B34" s="31" t="n">
        <v>38718</v>
      </c>
      <c r="C34" s="1" t="n">
        <v>374080</v>
      </c>
      <c r="D34" s="29" t="s">
        <v>41</v>
      </c>
      <c r="E34" s="583" t="n">
        <f aca="false">IF(D34="totale",(C34/(A34*24))/F34,IF(D34="marché libre",(C34/(A34*24))/G34,"spécifier histo"))</f>
        <v>0.502795698924731</v>
      </c>
      <c r="F34" s="59" t="n">
        <v>1000</v>
      </c>
      <c r="G34" s="59" t="n">
        <f aca="false">F34-H34</f>
        <v>1000</v>
      </c>
      <c r="H34" s="9" t="n">
        <f aca="false">0</f>
        <v>0</v>
      </c>
      <c r="I34" s="9"/>
      <c r="J34" s="205"/>
      <c r="O34" s="0"/>
    </row>
    <row r="35" s="1" customFormat="true" ht="36.65" hidden="false" customHeight="true" outlineLevel="0" collapsed="false">
      <c r="A35" s="0" t="n">
        <v>28</v>
      </c>
      <c r="B35" s="34" t="n">
        <v>38749</v>
      </c>
      <c r="C35" s="1" t="n">
        <v>340320</v>
      </c>
      <c r="D35" s="29" t="s">
        <v>41</v>
      </c>
      <c r="E35" s="583" t="n">
        <f aca="false">IF(D35="totale",(C35/(A35*24))/F35,IF(D35="marché libre",(C35/(A35*24))/G35,"spécifier histo"))</f>
        <v>0.506428571428571</v>
      </c>
      <c r="F35" s="59" t="n">
        <v>1000</v>
      </c>
      <c r="G35" s="59" t="n">
        <f aca="false">F35-H35</f>
        <v>1000</v>
      </c>
      <c r="H35" s="9" t="n">
        <f aca="false">0</f>
        <v>0</v>
      </c>
      <c r="I35" s="9"/>
      <c r="J35" s="205"/>
      <c r="O35" s="0"/>
    </row>
    <row r="36" s="1" customFormat="true" ht="36.65" hidden="false" customHeight="true" outlineLevel="0" collapsed="false">
      <c r="A36" s="0" t="n">
        <v>31</v>
      </c>
      <c r="B36" s="31" t="n">
        <v>38777</v>
      </c>
      <c r="C36" s="1" t="n">
        <v>628640</v>
      </c>
      <c r="D36" s="29" t="s">
        <v>41</v>
      </c>
      <c r="E36" s="583" t="n">
        <f aca="false">IF(D36="totale",(C36/(A36*24))/F36,IF(D36="marché libre",(C36/(A36*24))/G36,"spécifier histo"))</f>
        <v>0.84494623655914</v>
      </c>
      <c r="F36" s="59" t="n">
        <v>1000</v>
      </c>
      <c r="G36" s="59" t="n">
        <f aca="false">F36-H36</f>
        <v>1000</v>
      </c>
      <c r="H36" s="9" t="n">
        <f aca="false">0</f>
        <v>0</v>
      </c>
      <c r="I36" s="9"/>
      <c r="J36" s="205"/>
      <c r="O36" s="0"/>
    </row>
    <row r="37" s="1" customFormat="true" ht="36.65" hidden="false" customHeight="true" outlineLevel="0" collapsed="false">
      <c r="A37" s="0" t="n">
        <v>30</v>
      </c>
      <c r="B37" s="34" t="n">
        <v>38808</v>
      </c>
      <c r="C37" s="1" t="n">
        <v>562720</v>
      </c>
      <c r="D37" s="29" t="s">
        <v>41</v>
      </c>
      <c r="E37" s="583" t="n">
        <f aca="false">IF(D37="totale",(C37/(A37*24))/F37,IF(D37="marché libre",(C37/(A37*24))/G37,"spécifier histo"))</f>
        <v>0.781555555555556</v>
      </c>
      <c r="F37" s="59" t="n">
        <v>1000</v>
      </c>
      <c r="G37" s="59" t="n">
        <f aca="false">F37-H37</f>
        <v>1000</v>
      </c>
      <c r="H37" s="9" t="n">
        <f aca="false">0</f>
        <v>0</v>
      </c>
      <c r="I37" s="9"/>
      <c r="J37" s="205"/>
      <c r="O37" s="0"/>
    </row>
    <row r="38" s="1" customFormat="true" ht="36.65" hidden="false" customHeight="true" outlineLevel="0" collapsed="false">
      <c r="A38" s="0" t="n">
        <v>31</v>
      </c>
      <c r="B38" s="31" t="n">
        <v>38838</v>
      </c>
      <c r="C38" s="1" t="n">
        <v>444000</v>
      </c>
      <c r="D38" s="29" t="s">
        <v>41</v>
      </c>
      <c r="E38" s="583" t="n">
        <f aca="false">IF(D38="totale",(C38/(A38*24))/F38,IF(D38="marché libre",(C38/(A38*24))/G38,"spécifier histo"))</f>
        <v>0.596774193548387</v>
      </c>
      <c r="F38" s="59" t="n">
        <v>1000</v>
      </c>
      <c r="G38" s="59" t="n">
        <f aca="false">F38-H38</f>
        <v>1000</v>
      </c>
      <c r="H38" s="9" t="n">
        <f aca="false">0</f>
        <v>0</v>
      </c>
      <c r="I38" s="9"/>
      <c r="J38" s="205"/>
      <c r="O38" s="0"/>
    </row>
    <row r="39" s="1" customFormat="true" ht="36.65" hidden="false" customHeight="true" outlineLevel="0" collapsed="false">
      <c r="A39" s="0" t="n">
        <v>30</v>
      </c>
      <c r="B39" s="34" t="n">
        <v>38869</v>
      </c>
      <c r="C39" s="1" t="n">
        <v>318880</v>
      </c>
      <c r="D39" s="29" t="s">
        <v>41</v>
      </c>
      <c r="E39" s="583" t="n">
        <f aca="false">IF(D39="totale",(C39/(A39*24))/F39,IF(D39="marché libre",(C39/(A39*24))/G39,"spécifier histo"))</f>
        <v>0.442888888888889</v>
      </c>
      <c r="F39" s="59" t="n">
        <v>1000</v>
      </c>
      <c r="G39" s="59" t="n">
        <f aca="false">F39-H39</f>
        <v>1000</v>
      </c>
      <c r="H39" s="9" t="n">
        <f aca="false">0</f>
        <v>0</v>
      </c>
      <c r="I39" s="9"/>
      <c r="J39" s="205"/>
      <c r="O39" s="0"/>
    </row>
    <row r="40" s="1" customFormat="true" ht="36.65" hidden="false" customHeight="true" outlineLevel="0" collapsed="false">
      <c r="A40" s="0" t="n">
        <v>31</v>
      </c>
      <c r="B40" s="31" t="n">
        <v>38899</v>
      </c>
      <c r="C40" s="1" t="n">
        <v>107040</v>
      </c>
      <c r="D40" s="29" t="s">
        <v>41</v>
      </c>
      <c r="E40" s="583" t="n">
        <f aca="false">IF(D40="totale",(C40/(A40*24))/F40,IF(D40="marché libre",(C40/(A40*24))/G40,"spécifier histo"))</f>
        <v>0.143870967741935</v>
      </c>
      <c r="F40" s="59" t="n">
        <v>1000</v>
      </c>
      <c r="G40" s="59" t="n">
        <f aca="false">F40-H40</f>
        <v>1000</v>
      </c>
      <c r="H40" s="9" t="n">
        <f aca="false">0</f>
        <v>0</v>
      </c>
      <c r="I40" s="9"/>
      <c r="J40" s="205"/>
      <c r="O40" s="0"/>
    </row>
    <row r="41" s="1" customFormat="true" ht="36.65" hidden="false" customHeight="true" outlineLevel="0" collapsed="false">
      <c r="A41" s="0" t="n">
        <v>31</v>
      </c>
      <c r="B41" s="34" t="n">
        <v>38930</v>
      </c>
      <c r="C41" s="1" t="n">
        <v>287360</v>
      </c>
      <c r="D41" s="29" t="s">
        <v>41</v>
      </c>
      <c r="E41" s="583" t="n">
        <f aca="false">IF(D41="totale",(C41/(A41*24))/F41,IF(D41="marché libre",(C41/(A41*24))/G41,"spécifier histo"))</f>
        <v>0.386236559139785</v>
      </c>
      <c r="F41" s="59" t="n">
        <v>1000</v>
      </c>
      <c r="G41" s="59" t="n">
        <f aca="false">F41-H41</f>
        <v>1000</v>
      </c>
      <c r="H41" s="9" t="n">
        <f aca="false">0</f>
        <v>0</v>
      </c>
      <c r="I41" s="9"/>
      <c r="J41" s="205"/>
      <c r="O41" s="0"/>
    </row>
    <row r="42" s="1" customFormat="true" ht="36.65" hidden="false" customHeight="true" outlineLevel="0" collapsed="false">
      <c r="A42" s="0" t="n">
        <v>30</v>
      </c>
      <c r="B42" s="31" t="n">
        <v>38961</v>
      </c>
      <c r="C42" s="1" t="n">
        <v>345760</v>
      </c>
      <c r="D42" s="29" t="s">
        <v>41</v>
      </c>
      <c r="E42" s="583" t="n">
        <f aca="false">IF(D42="totale",(C42/(A42*24))/F42,IF(D42="marché libre",(C42/(A42*24))/G42,"spécifier histo"))</f>
        <v>0.480222222222222</v>
      </c>
      <c r="F42" s="59" t="n">
        <v>1000</v>
      </c>
      <c r="G42" s="59" t="n">
        <f aca="false">F42-H42</f>
        <v>1000</v>
      </c>
      <c r="H42" s="9" t="n">
        <f aca="false">0</f>
        <v>0</v>
      </c>
      <c r="I42" s="9"/>
      <c r="J42" s="205"/>
      <c r="O42" s="0"/>
    </row>
    <row r="43" s="1" customFormat="true" ht="36.65" hidden="false" customHeight="true" outlineLevel="0" collapsed="false">
      <c r="A43" s="0" t="n">
        <v>31</v>
      </c>
      <c r="B43" s="34" t="n">
        <v>38991</v>
      </c>
      <c r="C43" s="1" t="n">
        <v>532320</v>
      </c>
      <c r="D43" s="29" t="s">
        <v>41</v>
      </c>
      <c r="E43" s="583" t="n">
        <f aca="false">IF(D43="totale",(C43/(A43*24))/F43,IF(D43="marché libre",(C43/(A43*24))/G43,"spécifier histo"))</f>
        <v>0.715483870967742</v>
      </c>
      <c r="F43" s="59" t="n">
        <v>1000</v>
      </c>
      <c r="G43" s="59" t="n">
        <f aca="false">F43-H43</f>
        <v>1000</v>
      </c>
      <c r="H43" s="9" t="n">
        <f aca="false">0</f>
        <v>0</v>
      </c>
      <c r="I43" s="9"/>
      <c r="J43" s="205"/>
      <c r="O43" s="0"/>
    </row>
    <row r="44" s="1" customFormat="true" ht="36.65" hidden="false" customHeight="true" outlineLevel="0" collapsed="false">
      <c r="A44" s="0" t="n">
        <v>30</v>
      </c>
      <c r="B44" s="31" t="n">
        <v>39022</v>
      </c>
      <c r="C44" s="1" t="n">
        <v>385920</v>
      </c>
      <c r="D44" s="29" t="s">
        <v>41</v>
      </c>
      <c r="E44" s="583" t="n">
        <f aca="false">IF(D44="totale",(C44/(A44*24))/F44,IF(D44="marché libre",(C44/(A44*24))/G44,"spécifier histo"))</f>
        <v>0.536</v>
      </c>
      <c r="F44" s="59" t="n">
        <v>1000</v>
      </c>
      <c r="G44" s="59" t="n">
        <f aca="false">F44-H44</f>
        <v>1000</v>
      </c>
      <c r="H44" s="9" t="n">
        <f aca="false">0</f>
        <v>0</v>
      </c>
      <c r="I44" s="9"/>
      <c r="J44" s="205"/>
      <c r="O44" s="0"/>
    </row>
    <row r="45" s="1" customFormat="true" ht="36.65" hidden="false" customHeight="true" outlineLevel="0" collapsed="false">
      <c r="A45" s="0" t="n">
        <v>31</v>
      </c>
      <c r="B45" s="34" t="n">
        <v>39052</v>
      </c>
      <c r="C45" s="1" t="n">
        <v>428960</v>
      </c>
      <c r="D45" s="29" t="s">
        <v>41</v>
      </c>
      <c r="E45" s="583" t="n">
        <f aca="false">IF(D45="totale",(C45/(A45*24))/F45,IF(D45="marché libre",(C45/(A45*24))/G45,"spécifier histo"))</f>
        <v>0.576559139784946</v>
      </c>
      <c r="F45" s="59" t="n">
        <v>1000</v>
      </c>
      <c r="G45" s="59" t="n">
        <f aca="false">F45-H45</f>
        <v>1000</v>
      </c>
      <c r="H45" s="9" t="n">
        <f aca="false">0</f>
        <v>0</v>
      </c>
      <c r="I45" s="9"/>
      <c r="J45" s="205"/>
      <c r="O45" s="0"/>
    </row>
    <row r="46" s="1" customFormat="true" ht="36.65" hidden="false" customHeight="true" outlineLevel="0" collapsed="false">
      <c r="A46" s="0" t="n">
        <v>31</v>
      </c>
      <c r="B46" s="31" t="n">
        <v>39083</v>
      </c>
      <c r="C46" s="1" t="n">
        <v>612640</v>
      </c>
      <c r="D46" s="29" t="s">
        <v>41</v>
      </c>
      <c r="E46" s="583" t="n">
        <f aca="false">IF(D46="totale",(C46/(A46*24))/F46,IF(D46="marché libre",(C46/(A46*24))/G46,"spécifier histo"))</f>
        <v>0.823440860215054</v>
      </c>
      <c r="F46" s="59" t="n">
        <v>1000</v>
      </c>
      <c r="G46" s="59" t="n">
        <f aca="false">F46-H46</f>
        <v>1000</v>
      </c>
      <c r="H46" s="9" t="n">
        <f aca="false">0</f>
        <v>0</v>
      </c>
      <c r="I46" s="9"/>
      <c r="J46" s="205"/>
      <c r="O46" s="0"/>
    </row>
    <row r="47" s="1" customFormat="true" ht="36.65" hidden="false" customHeight="true" outlineLevel="0" collapsed="false">
      <c r="A47" s="0" t="n">
        <v>28</v>
      </c>
      <c r="B47" s="34" t="n">
        <v>39114</v>
      </c>
      <c r="C47" s="1" t="n">
        <v>678080</v>
      </c>
      <c r="D47" s="29" t="s">
        <v>41</v>
      </c>
      <c r="E47" s="583" t="n">
        <f aca="false">IF(D47="totale",(C47/(A47*24))/F47,IF(D47="marché libre",(C47/(A47*24))/G47,"spécifier histo"))</f>
        <v>1.00904761904762</v>
      </c>
      <c r="F47" s="59" t="n">
        <v>1000</v>
      </c>
      <c r="G47" s="59" t="n">
        <f aca="false">F47-H47</f>
        <v>1000</v>
      </c>
      <c r="H47" s="9" t="n">
        <f aca="false">0</f>
        <v>0</v>
      </c>
      <c r="I47" s="9"/>
      <c r="J47" s="205"/>
      <c r="O47" s="0"/>
    </row>
    <row r="48" s="1" customFormat="true" ht="36.65" hidden="false" customHeight="true" outlineLevel="0" collapsed="false">
      <c r="A48" s="0" t="n">
        <v>31</v>
      </c>
      <c r="B48" s="31" t="n">
        <v>39142</v>
      </c>
      <c r="C48" s="1" t="n">
        <v>653920</v>
      </c>
      <c r="D48" s="29" t="s">
        <v>41</v>
      </c>
      <c r="E48" s="583" t="n">
        <f aca="false">IF(D48="totale",(C48/(A48*24))/F48,IF(D48="marché libre",(C48/(A48*24))/G48,"spécifier histo"))</f>
        <v>0.878924731182796</v>
      </c>
      <c r="F48" s="59" t="n">
        <v>1000</v>
      </c>
      <c r="G48" s="59" t="n">
        <f aca="false">F48-H48</f>
        <v>1000</v>
      </c>
      <c r="H48" s="9" t="n">
        <f aca="false">0</f>
        <v>0</v>
      </c>
      <c r="I48" s="9"/>
      <c r="J48" s="205"/>
      <c r="O48" s="0"/>
    </row>
    <row r="49" s="1" customFormat="true" ht="36.65" hidden="false" customHeight="true" outlineLevel="0" collapsed="false">
      <c r="A49" s="0" t="n">
        <v>30</v>
      </c>
      <c r="B49" s="34" t="n">
        <v>39173</v>
      </c>
      <c r="C49" s="1" t="n">
        <v>453600</v>
      </c>
      <c r="D49" s="29" t="s">
        <v>41</v>
      </c>
      <c r="E49" s="583" t="n">
        <f aca="false">IF(D49="totale",(C49/(A49*24))/F49,IF(D49="marché libre",(C49/(A49*24))/G49,"spécifier histo"))</f>
        <v>0.63</v>
      </c>
      <c r="F49" s="59" t="n">
        <v>1000</v>
      </c>
      <c r="G49" s="59" t="n">
        <f aca="false">F49-H49</f>
        <v>1000</v>
      </c>
      <c r="H49" s="9" t="n">
        <f aca="false">0</f>
        <v>0</v>
      </c>
      <c r="I49" s="9"/>
      <c r="J49" s="205"/>
    </row>
    <row r="50" s="1" customFormat="true" ht="36.65" hidden="false" customHeight="true" outlineLevel="0" collapsed="false">
      <c r="A50" s="0" t="n">
        <v>31</v>
      </c>
      <c r="B50" s="31" t="n">
        <v>39203</v>
      </c>
      <c r="C50" s="1" t="n">
        <v>368800</v>
      </c>
      <c r="D50" s="29" t="s">
        <v>41</v>
      </c>
      <c r="E50" s="583" t="n">
        <f aca="false">IF(D50="totale",(C50/(A50*24))/F50,IF(D50="marché libre",(C50/(A50*24))/G50,"spécifier histo"))</f>
        <v>0.495698924731183</v>
      </c>
      <c r="F50" s="59" t="n">
        <v>1000</v>
      </c>
      <c r="G50" s="59" t="n">
        <f aca="false">F50-H50</f>
        <v>1000</v>
      </c>
      <c r="H50" s="9" t="n">
        <f aca="false">0</f>
        <v>0</v>
      </c>
      <c r="I50" s="9"/>
      <c r="J50" s="205"/>
    </row>
    <row r="51" s="1" customFormat="true" ht="36.65" hidden="false" customHeight="true" outlineLevel="0" collapsed="false">
      <c r="A51" s="0" t="n">
        <v>30</v>
      </c>
      <c r="B51" s="34" t="n">
        <v>39234</v>
      </c>
      <c r="C51" s="1" t="n">
        <v>277600</v>
      </c>
      <c r="D51" s="29" t="s">
        <v>41</v>
      </c>
      <c r="E51" s="583" t="n">
        <f aca="false">IF(D51="totale",(C51/(A51*24))/F51,IF(D51="marché libre",(C51/(A51*24))/G51,"spécifier histo"))</f>
        <v>0.385555555555555</v>
      </c>
      <c r="F51" s="59" t="n">
        <v>1000</v>
      </c>
      <c r="G51" s="59" t="n">
        <f aca="false">F51-H51</f>
        <v>1000</v>
      </c>
      <c r="H51" s="9" t="n">
        <f aca="false">0</f>
        <v>0</v>
      </c>
      <c r="I51" s="9"/>
      <c r="J51" s="205"/>
    </row>
    <row r="52" s="1" customFormat="true" ht="36.65" hidden="false" customHeight="true" outlineLevel="0" collapsed="false">
      <c r="A52" s="0" t="n">
        <v>31</v>
      </c>
      <c r="B52" s="31" t="n">
        <v>39264</v>
      </c>
      <c r="C52" s="1" t="n">
        <v>409760</v>
      </c>
      <c r="D52" s="29" t="s">
        <v>41</v>
      </c>
      <c r="E52" s="583" t="n">
        <f aca="false">IF(D52="totale",(C52/(A52*24))/F52,IF(D52="marché libre",(C52/(A52*24))/G52,"spécifier histo"))</f>
        <v>0.550752688172043</v>
      </c>
      <c r="F52" s="59" t="n">
        <v>1000</v>
      </c>
      <c r="G52" s="59" t="n">
        <f aca="false">F52-H52</f>
        <v>1000</v>
      </c>
      <c r="H52" s="9" t="n">
        <f aca="false">0</f>
        <v>0</v>
      </c>
      <c r="I52" s="9"/>
      <c r="J52" s="205"/>
    </row>
    <row r="53" s="1" customFormat="true" ht="36.65" hidden="false" customHeight="true" outlineLevel="0" collapsed="false">
      <c r="A53" s="0" t="n">
        <v>31</v>
      </c>
      <c r="B53" s="34" t="n">
        <v>39295</v>
      </c>
      <c r="C53" s="1" t="n">
        <v>360960</v>
      </c>
      <c r="D53" s="29" t="s">
        <v>41</v>
      </c>
      <c r="E53" s="583" t="n">
        <f aca="false">IF(D53="totale",(C53/(A53*24))/F53,IF(D53="marché libre",(C53/(A53*24))/G53,"spécifier histo"))</f>
        <v>0.485161290322581</v>
      </c>
      <c r="F53" s="59" t="n">
        <v>1000</v>
      </c>
      <c r="G53" s="59" t="n">
        <f aca="false">F53-H53</f>
        <v>1000</v>
      </c>
      <c r="H53" s="9" t="n">
        <f aca="false">0</f>
        <v>0</v>
      </c>
      <c r="I53" s="9"/>
      <c r="J53" s="205"/>
    </row>
    <row r="54" s="1" customFormat="true" ht="36.65" hidden="false" customHeight="true" outlineLevel="0" collapsed="false">
      <c r="A54" s="0" t="n">
        <v>30</v>
      </c>
      <c r="B54" s="31" t="n">
        <v>39326</v>
      </c>
      <c r="C54" s="1" t="n">
        <v>262720</v>
      </c>
      <c r="D54" s="29" t="s">
        <v>41</v>
      </c>
      <c r="E54" s="583" t="n">
        <f aca="false">IF(D54="totale",(C54/(A54*24))/F54,IF(D54="marché libre",(C54/(A54*24))/G54,"spécifier histo"))</f>
        <v>0.364888888888889</v>
      </c>
      <c r="F54" s="59" t="n">
        <v>1000</v>
      </c>
      <c r="G54" s="59" t="n">
        <f aca="false">F54-H54</f>
        <v>1000</v>
      </c>
      <c r="H54" s="9" t="n">
        <f aca="false">0</f>
        <v>0</v>
      </c>
      <c r="I54" s="9"/>
      <c r="J54" s="205"/>
    </row>
    <row r="55" s="1" customFormat="true" ht="36.65" hidden="false" customHeight="true" outlineLevel="0" collapsed="false">
      <c r="A55" s="0" t="n">
        <v>31</v>
      </c>
      <c r="B55" s="34" t="n">
        <v>39356</v>
      </c>
      <c r="C55" s="1" t="n">
        <v>187360</v>
      </c>
      <c r="D55" s="29" t="s">
        <v>41</v>
      </c>
      <c r="E55" s="583" t="n">
        <f aca="false">IF(D55="totale",(C55/(A55*24))/F55,IF(D55="marché libre",(C55/(A55*24))/G55,"spécifier histo"))</f>
        <v>0.251827956989247</v>
      </c>
      <c r="F55" s="59" t="n">
        <v>1000</v>
      </c>
      <c r="G55" s="59" t="n">
        <f aca="false">F55-H55</f>
        <v>1000</v>
      </c>
      <c r="H55" s="9" t="n">
        <f aca="false">0</f>
        <v>0</v>
      </c>
      <c r="I55" s="9"/>
      <c r="J55" s="205"/>
    </row>
    <row r="56" s="1" customFormat="true" ht="36.65" hidden="false" customHeight="true" outlineLevel="0" collapsed="false">
      <c r="A56" s="0" t="n">
        <v>30</v>
      </c>
      <c r="B56" s="31" t="n">
        <v>39387</v>
      </c>
      <c r="C56" s="1" t="n">
        <v>332800</v>
      </c>
      <c r="D56" s="29" t="s">
        <v>41</v>
      </c>
      <c r="E56" s="583" t="n">
        <f aca="false">IF(D56="totale",(C56/(A56*24))/F56,IF(D56="marché libre",(C56/(A56*24))/G56,"spécifier histo"))</f>
        <v>0.462222222222222</v>
      </c>
      <c r="F56" s="59" t="n">
        <v>1000</v>
      </c>
      <c r="G56" s="59" t="n">
        <f aca="false">F56-H56</f>
        <v>1000</v>
      </c>
      <c r="H56" s="9" t="n">
        <f aca="false">0</f>
        <v>0</v>
      </c>
      <c r="I56" s="9"/>
      <c r="J56" s="205"/>
    </row>
    <row r="57" s="1" customFormat="true" ht="36.65" hidden="false" customHeight="true" outlineLevel="0" collapsed="false">
      <c r="A57" s="0" t="n">
        <v>31</v>
      </c>
      <c r="B57" s="34" t="n">
        <v>39417</v>
      </c>
      <c r="C57" s="1" t="n">
        <v>524320</v>
      </c>
      <c r="D57" s="29" t="s">
        <v>41</v>
      </c>
      <c r="E57" s="583" t="n">
        <f aca="false">IF(D57="totale",(C57/(A57*24))/F57,IF(D57="marché libre",(C57/(A57*24))/G57,"spécifier histo"))</f>
        <v>0.704731182795699</v>
      </c>
      <c r="F57" s="59" t="n">
        <v>1000</v>
      </c>
      <c r="G57" s="59" t="n">
        <f aca="false">F57-H57</f>
        <v>1000</v>
      </c>
      <c r="H57" s="9" t="n">
        <f aca="false">0</f>
        <v>0</v>
      </c>
      <c r="I57" s="9"/>
      <c r="J57" s="205"/>
    </row>
    <row r="58" s="1" customFormat="true" ht="36.65" hidden="false" customHeight="true" outlineLevel="0" collapsed="false">
      <c r="A58" s="0" t="n">
        <v>31</v>
      </c>
      <c r="B58" s="31" t="n">
        <v>39448</v>
      </c>
      <c r="C58" s="1" t="n">
        <v>567360</v>
      </c>
      <c r="D58" s="29" t="s">
        <v>41</v>
      </c>
      <c r="E58" s="583" t="n">
        <f aca="false">IF(D58="totale",(C58/(A58*24))/F58,IF(D58="marché libre",(C58/(A58*24))/G58,"spécifier histo"))</f>
        <v>0.76258064516129</v>
      </c>
      <c r="F58" s="59" t="n">
        <v>1000</v>
      </c>
      <c r="G58" s="59" t="n">
        <f aca="false">F58-H58</f>
        <v>1000</v>
      </c>
      <c r="H58" s="9" t="n">
        <f aca="false">0</f>
        <v>0</v>
      </c>
      <c r="I58" s="9"/>
      <c r="J58" s="205"/>
    </row>
    <row r="59" s="1" customFormat="true" ht="36.65" hidden="false" customHeight="true" outlineLevel="0" collapsed="false">
      <c r="A59" s="0" t="n">
        <v>28</v>
      </c>
      <c r="B59" s="34" t="n">
        <v>39479</v>
      </c>
      <c r="C59" s="1" t="n">
        <v>460160</v>
      </c>
      <c r="D59" s="29" t="s">
        <v>41</v>
      </c>
      <c r="E59" s="583" t="n">
        <f aca="false">IF(D59="totale",(C59/(A59*24))/F59,IF(D59="marché libre",(C59/(A59*24))/G59,"spécifier histo"))</f>
        <v>0.684761904761905</v>
      </c>
      <c r="F59" s="59" t="n">
        <v>1000</v>
      </c>
      <c r="G59" s="59" t="n">
        <f aca="false">F59-H59</f>
        <v>1000</v>
      </c>
      <c r="H59" s="9" t="n">
        <f aca="false">0</f>
        <v>0</v>
      </c>
      <c r="I59" s="9"/>
      <c r="J59" s="205"/>
    </row>
    <row r="60" s="1" customFormat="true" ht="36.65" hidden="false" customHeight="true" outlineLevel="0" collapsed="false">
      <c r="A60" s="0" t="n">
        <v>31</v>
      </c>
      <c r="B60" s="31" t="n">
        <v>39508</v>
      </c>
      <c r="C60" s="1" t="n">
        <v>662720</v>
      </c>
      <c r="D60" s="29" t="s">
        <v>41</v>
      </c>
      <c r="E60" s="583" t="n">
        <f aca="false">IF(D60="totale",(C60/(A60*24))/F60,IF(D60="marché libre",(C60/(A60*24))/G60,"spécifier histo"))</f>
        <v>0.890752688172043</v>
      </c>
      <c r="F60" s="59" t="n">
        <v>1000</v>
      </c>
      <c r="G60" s="59" t="n">
        <f aca="false">F60-H60</f>
        <v>1000</v>
      </c>
      <c r="H60" s="9" t="n">
        <f aca="false">0</f>
        <v>0</v>
      </c>
      <c r="I60" s="9"/>
      <c r="J60" s="205"/>
    </row>
    <row r="61" s="1" customFormat="true" ht="36.65" hidden="false" customHeight="true" outlineLevel="0" collapsed="false">
      <c r="A61" s="0" t="n">
        <v>30</v>
      </c>
      <c r="B61" s="34" t="n">
        <v>39539</v>
      </c>
      <c r="C61" s="1" t="n">
        <v>667040</v>
      </c>
      <c r="D61" s="29" t="s">
        <v>41</v>
      </c>
      <c r="E61" s="583" t="n">
        <f aca="false">IF(D61="totale",(C61/(A61*24))/F61,IF(D61="marché libre",(C61/(A61*24))/G61,"spécifier histo"))</f>
        <v>0.926444444444444</v>
      </c>
      <c r="F61" s="59" t="n">
        <v>1000</v>
      </c>
      <c r="G61" s="59" t="n">
        <f aca="false">F61-H61</f>
        <v>1000</v>
      </c>
      <c r="H61" s="9" t="n">
        <f aca="false">0</f>
        <v>0</v>
      </c>
      <c r="I61" s="9"/>
      <c r="J61" s="205"/>
    </row>
    <row r="62" s="1" customFormat="true" ht="36.65" hidden="false" customHeight="true" outlineLevel="0" collapsed="false">
      <c r="A62" s="0" t="n">
        <v>31</v>
      </c>
      <c r="B62" s="31" t="n">
        <v>39569</v>
      </c>
      <c r="C62" s="1" t="n">
        <v>332480</v>
      </c>
      <c r="D62" s="29" t="s">
        <v>41</v>
      </c>
      <c r="E62" s="583" t="n">
        <f aca="false">IF(D62="totale",(C62/(A62*24))/F62,IF(D62="marché libre",(C62/(A62*24))/G62,"spécifier histo"))</f>
        <v>0.446881720430108</v>
      </c>
      <c r="F62" s="59" t="n">
        <v>1000</v>
      </c>
      <c r="G62" s="59" t="n">
        <f aca="false">F62-H62</f>
        <v>1000</v>
      </c>
      <c r="H62" s="9" t="n">
        <f aca="false">0</f>
        <v>0</v>
      </c>
      <c r="I62" s="9"/>
      <c r="J62" s="205"/>
    </row>
    <row r="63" s="1" customFormat="true" ht="36.65" hidden="false" customHeight="true" outlineLevel="0" collapsed="false">
      <c r="A63" s="0" t="n">
        <v>30</v>
      </c>
      <c r="B63" s="34" t="n">
        <v>39600</v>
      </c>
      <c r="C63" s="1" t="n">
        <v>211680</v>
      </c>
      <c r="D63" s="29" t="s">
        <v>41</v>
      </c>
      <c r="E63" s="583" t="n">
        <f aca="false">IF(D63="totale",(C63/(A63*24))/F63,IF(D63="marché libre",(C63/(A63*24))/G63,"spécifier histo"))</f>
        <v>0.294</v>
      </c>
      <c r="F63" s="59" t="n">
        <v>1000</v>
      </c>
      <c r="G63" s="59" t="n">
        <f aca="false">F63-H63</f>
        <v>1000</v>
      </c>
      <c r="H63" s="9" t="n">
        <f aca="false">0</f>
        <v>0</v>
      </c>
      <c r="I63" s="9"/>
      <c r="J63" s="205"/>
    </row>
    <row r="64" s="1" customFormat="true" ht="36.65" hidden="false" customHeight="true" outlineLevel="0" collapsed="false">
      <c r="A64" s="0" t="n">
        <v>31</v>
      </c>
      <c r="B64" s="31" t="n">
        <v>39630</v>
      </c>
      <c r="C64" s="1" t="n">
        <v>42240</v>
      </c>
      <c r="D64" s="29" t="s">
        <v>41</v>
      </c>
      <c r="E64" s="583" t="n">
        <f aca="false">IF(D64="totale",(C64/(A64*24))/F64,IF(D64="marché libre",(C64/(A64*24))/G64,"spécifier histo"))</f>
        <v>0.0567741935483871</v>
      </c>
      <c r="F64" s="59" t="n">
        <v>1000</v>
      </c>
      <c r="G64" s="59" t="n">
        <f aca="false">F64-H64</f>
        <v>1000</v>
      </c>
      <c r="H64" s="9" t="n">
        <f aca="false">0</f>
        <v>0</v>
      </c>
      <c r="I64" s="9"/>
      <c r="J64" s="205"/>
    </row>
    <row r="65" s="1" customFormat="true" ht="36.65" hidden="false" customHeight="true" outlineLevel="0" collapsed="false">
      <c r="A65" s="0" t="n">
        <v>31</v>
      </c>
      <c r="B65" s="34" t="n">
        <v>39661</v>
      </c>
      <c r="C65" s="1" t="n">
        <v>32000</v>
      </c>
      <c r="D65" s="29" t="s">
        <v>41</v>
      </c>
      <c r="E65" s="583" t="n">
        <f aca="false">IF(D65="totale",(C65/(A65*24))/F65,IF(D65="marché libre",(C65/(A65*24))/G65,"spécifier histo"))</f>
        <v>0.043010752688172</v>
      </c>
      <c r="F65" s="59" t="n">
        <v>1000</v>
      </c>
      <c r="G65" s="59" t="n">
        <f aca="false">F65-H65</f>
        <v>1000</v>
      </c>
      <c r="H65" s="9" t="n">
        <f aca="false">0</f>
        <v>0</v>
      </c>
      <c r="I65" s="9"/>
      <c r="J65" s="205"/>
    </row>
    <row r="66" s="1" customFormat="true" ht="36.65" hidden="false" customHeight="true" outlineLevel="0" collapsed="false">
      <c r="A66" s="0" t="n">
        <v>30</v>
      </c>
      <c r="B66" s="31" t="n">
        <v>39692</v>
      </c>
      <c r="C66" s="1" t="n">
        <v>163840</v>
      </c>
      <c r="D66" s="29" t="s">
        <v>41</v>
      </c>
      <c r="E66" s="583" t="n">
        <f aca="false">IF(D66="totale",(C66/(A66*24))/F66,IF(D66="marché libre",(C66/(A66*24))/G66,"spécifier histo"))</f>
        <v>0.227555555555555</v>
      </c>
      <c r="F66" s="59" t="n">
        <v>1000</v>
      </c>
      <c r="G66" s="59" t="n">
        <f aca="false">F66-H66</f>
        <v>1000</v>
      </c>
      <c r="H66" s="9" t="n">
        <f aca="false">0</f>
        <v>0</v>
      </c>
      <c r="I66" s="9"/>
      <c r="J66" s="205"/>
    </row>
    <row r="67" s="1" customFormat="true" ht="36.65" hidden="false" customHeight="true" outlineLevel="0" collapsed="false">
      <c r="A67" s="0" t="n">
        <v>31</v>
      </c>
      <c r="B67" s="34" t="n">
        <v>39722</v>
      </c>
      <c r="C67" s="1" t="n">
        <v>212160</v>
      </c>
      <c r="D67" s="29" t="s">
        <v>41</v>
      </c>
      <c r="E67" s="583" t="n">
        <f aca="false">IF(D67="totale",(C67/(A67*24))/F67,IF(D67="marché libre",(C67/(A67*24))/G67,"spécifier histo"))</f>
        <v>0.285161290322581</v>
      </c>
      <c r="F67" s="59" t="n">
        <v>1000</v>
      </c>
      <c r="G67" s="59" t="n">
        <f aca="false">F67-H67</f>
        <v>1000</v>
      </c>
      <c r="H67" s="9" t="n">
        <f aca="false">0</f>
        <v>0</v>
      </c>
      <c r="I67" s="9"/>
      <c r="J67" s="205"/>
    </row>
    <row r="68" s="1" customFormat="true" ht="36.65" hidden="false" customHeight="true" outlineLevel="0" collapsed="false">
      <c r="A68" s="0" t="n">
        <v>30</v>
      </c>
      <c r="B68" s="31" t="n">
        <v>39753</v>
      </c>
      <c r="C68" s="1" t="n">
        <v>343520</v>
      </c>
      <c r="D68" s="29" t="s">
        <v>41</v>
      </c>
      <c r="E68" s="583" t="n">
        <f aca="false">IF(D68="totale",(C68/(A68*24))/F68,IF(D68="marché libre",(C68/(A68*24))/G68,"spécifier histo"))</f>
        <v>0.477111111111111</v>
      </c>
      <c r="F68" s="59" t="n">
        <v>1000</v>
      </c>
      <c r="G68" s="59" t="n">
        <f aca="false">F68-H68</f>
        <v>1000</v>
      </c>
      <c r="H68" s="9" t="n">
        <f aca="false">0</f>
        <v>0</v>
      </c>
      <c r="I68" s="9"/>
      <c r="J68" s="205"/>
    </row>
    <row r="69" s="1" customFormat="true" ht="36.65" hidden="false" customHeight="true" outlineLevel="0" collapsed="false">
      <c r="A69" s="0" t="n">
        <v>31</v>
      </c>
      <c r="B69" s="34" t="n">
        <v>39783</v>
      </c>
      <c r="C69" s="1" t="n">
        <v>474720</v>
      </c>
      <c r="D69" s="29" t="s">
        <v>41</v>
      </c>
      <c r="E69" s="583" t="n">
        <f aca="false">IF(D69="totale",(C69/(A69*24))/F69,IF(D69="marché libre",(C69/(A69*24))/G69,"spécifier histo"))</f>
        <v>0.638064516129032</v>
      </c>
      <c r="F69" s="59" t="n">
        <v>1000</v>
      </c>
      <c r="G69" s="59" t="n">
        <f aca="false">F69-H69</f>
        <v>1000</v>
      </c>
      <c r="H69" s="9" t="n">
        <f aca="false">0</f>
        <v>0</v>
      </c>
      <c r="I69" s="9"/>
      <c r="J69" s="205"/>
    </row>
    <row r="70" s="1" customFormat="true" ht="36.65" hidden="false" customHeight="true" outlineLevel="0" collapsed="false">
      <c r="A70" s="0" t="n">
        <v>31</v>
      </c>
      <c r="B70" s="31" t="n">
        <v>39814</v>
      </c>
      <c r="C70" s="1" t="n">
        <v>340160</v>
      </c>
      <c r="D70" s="29" t="s">
        <v>41</v>
      </c>
      <c r="E70" s="583" t="n">
        <f aca="false">IF(D70="totale",(C70/(A70*24))/F70,IF(D70="marché libre",(C70/(A70*24))/G70,"spécifier histo"))</f>
        <v>0.457204301075269</v>
      </c>
      <c r="F70" s="59" t="n">
        <v>1000</v>
      </c>
      <c r="G70" s="59" t="n">
        <f aca="false">F70-H70</f>
        <v>1000</v>
      </c>
      <c r="H70" s="9" t="n">
        <f aca="false">0</f>
        <v>0</v>
      </c>
      <c r="I70" s="9"/>
      <c r="J70" s="205"/>
    </row>
    <row r="71" s="1" customFormat="true" ht="36.65" hidden="false" customHeight="true" outlineLevel="0" collapsed="false">
      <c r="A71" s="0" t="n">
        <v>28</v>
      </c>
      <c r="B71" s="34" t="n">
        <v>39845</v>
      </c>
      <c r="C71" s="1" t="n">
        <v>508960</v>
      </c>
      <c r="D71" s="29" t="s">
        <v>41</v>
      </c>
      <c r="E71" s="583" t="n">
        <f aca="false">IF(D71="totale",(C71/(A71*24))/F71,IF(D71="marché libre",(C71/(A71*24))/G71,"spécifier histo"))</f>
        <v>0.757380952380952</v>
      </c>
      <c r="F71" s="59" t="n">
        <v>1000</v>
      </c>
      <c r="G71" s="59" t="n">
        <f aca="false">F71-H71</f>
        <v>1000</v>
      </c>
      <c r="H71" s="9" t="n">
        <f aca="false">0</f>
        <v>0</v>
      </c>
      <c r="I71" s="9"/>
      <c r="J71" s="205"/>
    </row>
    <row r="72" s="1" customFormat="true" ht="36.65" hidden="false" customHeight="true" outlineLevel="0" collapsed="false">
      <c r="A72" s="0" t="n">
        <v>31</v>
      </c>
      <c r="B72" s="31" t="n">
        <v>39873</v>
      </c>
      <c r="C72" s="1" t="n">
        <v>695520</v>
      </c>
      <c r="D72" s="29" t="s">
        <v>41</v>
      </c>
      <c r="E72" s="583" t="n">
        <f aca="false">IF(D72="totale",(C72/(A72*24))/F72,IF(D72="marché libre",(C72/(A72*24))/G72,"spécifier histo"))</f>
        <v>0.934838709677419</v>
      </c>
      <c r="F72" s="59" t="n">
        <v>1000</v>
      </c>
      <c r="G72" s="59" t="n">
        <f aca="false">F72-H72</f>
        <v>1000</v>
      </c>
      <c r="H72" s="9" t="n">
        <f aca="false">0</f>
        <v>0</v>
      </c>
      <c r="I72" s="9"/>
      <c r="J72" s="205"/>
    </row>
    <row r="73" s="1" customFormat="true" ht="36.65" hidden="false" customHeight="true" outlineLevel="0" collapsed="false">
      <c r="A73" s="0" t="n">
        <v>30</v>
      </c>
      <c r="B73" s="34" t="n">
        <v>39904</v>
      </c>
      <c r="C73" s="1" t="n">
        <v>466880</v>
      </c>
      <c r="D73" s="29" t="s">
        <v>41</v>
      </c>
      <c r="E73" s="583" t="n">
        <f aca="false">IF(D73="totale",(C73/(A73*24))/F73,IF(D73="marché libre",(C73/(A73*24))/G73,"spécifier histo"))</f>
        <v>0.648444444444445</v>
      </c>
      <c r="F73" s="59" t="n">
        <v>1000</v>
      </c>
      <c r="G73" s="59" t="n">
        <f aca="false">F73-H73</f>
        <v>1000</v>
      </c>
      <c r="H73" s="9" t="n">
        <f aca="false">0</f>
        <v>0</v>
      </c>
      <c r="I73" s="9"/>
      <c r="J73" s="205"/>
    </row>
    <row r="74" s="1" customFormat="true" ht="36.65" hidden="false" customHeight="true" outlineLevel="0" collapsed="false">
      <c r="A74" s="0" t="n">
        <v>31</v>
      </c>
      <c r="B74" s="31" t="n">
        <v>39934</v>
      </c>
      <c r="C74" s="1" t="n">
        <v>217280</v>
      </c>
      <c r="D74" s="29" t="s">
        <v>41</v>
      </c>
      <c r="E74" s="583" t="n">
        <f aca="false">IF(D74="totale",(C74/(A74*24))/F74,IF(D74="marché libre",(C74/(A74*24))/G74,"spécifier histo"))</f>
        <v>0.292043010752688</v>
      </c>
      <c r="F74" s="59" t="n">
        <v>1000</v>
      </c>
      <c r="G74" s="59" t="n">
        <f aca="false">F74-H74</f>
        <v>1000</v>
      </c>
      <c r="H74" s="9" t="n">
        <f aca="false">0</f>
        <v>0</v>
      </c>
      <c r="I74" s="9"/>
      <c r="J74" s="205"/>
    </row>
    <row r="75" s="1" customFormat="true" ht="36.65" hidden="false" customHeight="true" outlineLevel="0" collapsed="false">
      <c r="A75" s="0" t="n">
        <v>30</v>
      </c>
      <c r="B75" s="34" t="n">
        <v>39965</v>
      </c>
      <c r="C75" s="1" t="n">
        <v>140960</v>
      </c>
      <c r="D75" s="29" t="s">
        <v>41</v>
      </c>
      <c r="E75" s="583" t="n">
        <f aca="false">IF(D75="totale",(C75/(A75*24))/F75,IF(D75="marché libre",(C75/(A75*24))/G75,"spécifier histo"))</f>
        <v>0.195777777777778</v>
      </c>
      <c r="F75" s="59" t="n">
        <v>1000</v>
      </c>
      <c r="G75" s="59" t="n">
        <f aca="false">F75-H75</f>
        <v>1000</v>
      </c>
      <c r="H75" s="9" t="n">
        <f aca="false">0</f>
        <v>0</v>
      </c>
      <c r="I75" s="9"/>
      <c r="J75" s="205"/>
    </row>
    <row r="76" s="1" customFormat="true" ht="36.65" hidden="false" customHeight="true" outlineLevel="0" collapsed="false">
      <c r="A76" s="0" t="n">
        <v>31</v>
      </c>
      <c r="B76" s="31" t="n">
        <v>39995</v>
      </c>
      <c r="C76" s="1" t="n">
        <v>198880</v>
      </c>
      <c r="D76" s="29" t="s">
        <v>41</v>
      </c>
      <c r="E76" s="583" t="n">
        <f aca="false">IF(D76="totale",(C76/(A76*24))/F76,IF(D76="marché libre",(C76/(A76*24))/G76,"spécifier histo"))</f>
        <v>0.267311827956989</v>
      </c>
      <c r="F76" s="59" t="n">
        <v>1000</v>
      </c>
      <c r="G76" s="59" t="n">
        <f aca="false">F76-H76</f>
        <v>1000</v>
      </c>
      <c r="H76" s="9" t="n">
        <f aca="false">0</f>
        <v>0</v>
      </c>
      <c r="I76" s="9"/>
      <c r="J76" s="205"/>
    </row>
    <row r="77" s="1" customFormat="true" ht="36.65" hidden="false" customHeight="true" outlineLevel="0" collapsed="false">
      <c r="A77" s="0" t="n">
        <v>31</v>
      </c>
      <c r="B77" s="34" t="n">
        <v>40026</v>
      </c>
      <c r="C77" s="1" t="n">
        <v>51040</v>
      </c>
      <c r="D77" s="29" t="s">
        <v>41</v>
      </c>
      <c r="E77" s="583" t="n">
        <f aca="false">IF(D77="totale",(C77/(A77*24))/F77,IF(D77="marché libre",(C77/(A77*24))/G77,"spécifier histo"))</f>
        <v>0.0686021505376344</v>
      </c>
      <c r="F77" s="59" t="n">
        <v>1000</v>
      </c>
      <c r="G77" s="59" t="n">
        <f aca="false">F77-H77</f>
        <v>1000</v>
      </c>
      <c r="H77" s="9" t="n">
        <f aca="false">0</f>
        <v>0</v>
      </c>
      <c r="I77" s="9"/>
      <c r="J77" s="205"/>
    </row>
    <row r="78" s="1" customFormat="true" ht="36.65" hidden="false" customHeight="true" outlineLevel="0" collapsed="false">
      <c r="A78" s="0" t="n">
        <v>30</v>
      </c>
      <c r="B78" s="31" t="n">
        <v>40057</v>
      </c>
      <c r="C78" s="1" t="n">
        <v>38560</v>
      </c>
      <c r="D78" s="29" t="s">
        <v>41</v>
      </c>
      <c r="E78" s="583" t="n">
        <f aca="false">IF(D78="totale",(C78/(A78*24))/F78,IF(D78="marché libre",(C78/(A78*24))/G78,"spécifier histo"))</f>
        <v>0.0535555555555556</v>
      </c>
      <c r="F78" s="59" t="n">
        <v>1000</v>
      </c>
      <c r="G78" s="59" t="n">
        <f aca="false">F78-H78</f>
        <v>1000</v>
      </c>
      <c r="H78" s="9" t="n">
        <f aca="false">0</f>
        <v>0</v>
      </c>
      <c r="I78" s="9"/>
      <c r="J78" s="205"/>
    </row>
    <row r="79" s="1" customFormat="true" ht="36.65" hidden="false" customHeight="true" outlineLevel="0" collapsed="false">
      <c r="A79" s="0" t="n">
        <v>31</v>
      </c>
      <c r="B79" s="34" t="n">
        <v>40087</v>
      </c>
      <c r="C79" s="1" t="n">
        <v>104960</v>
      </c>
      <c r="D79" s="29" t="s">
        <v>41</v>
      </c>
      <c r="E79" s="583" t="n">
        <f aca="false">IF(D79="totale",(C79/(A79*24))/F79,IF(D79="marché libre",(C79/(A79*24))/G79,"spécifier histo"))</f>
        <v>0.141075268817204</v>
      </c>
      <c r="F79" s="59" t="n">
        <v>1000</v>
      </c>
      <c r="G79" s="59" t="n">
        <f aca="false">F79-H79</f>
        <v>1000</v>
      </c>
      <c r="H79" s="9" t="n">
        <f aca="false">0</f>
        <v>0</v>
      </c>
      <c r="I79" s="9"/>
      <c r="J79" s="205"/>
    </row>
    <row r="80" s="1" customFormat="true" ht="36.65" hidden="false" customHeight="true" outlineLevel="0" collapsed="false">
      <c r="A80" s="0" t="n">
        <v>30</v>
      </c>
      <c r="B80" s="31" t="n">
        <v>40118</v>
      </c>
      <c r="C80" s="1" t="n">
        <v>227200</v>
      </c>
      <c r="D80" s="29" t="s">
        <v>41</v>
      </c>
      <c r="E80" s="583" t="n">
        <f aca="false">IF(D80="totale",(C80/(A80*24))/F80,IF(D80="marché libre",(C80/(A80*24))/G80,"spécifier histo"))</f>
        <v>0.315555555555555</v>
      </c>
      <c r="F80" s="59" t="n">
        <v>1000</v>
      </c>
      <c r="G80" s="59" t="n">
        <f aca="false">F80-H80</f>
        <v>1000</v>
      </c>
      <c r="H80" s="9" t="n">
        <f aca="false">0</f>
        <v>0</v>
      </c>
      <c r="I80" s="9"/>
      <c r="J80" s="205"/>
    </row>
    <row r="81" s="1" customFormat="true" ht="36.65" hidden="false" customHeight="true" outlineLevel="0" collapsed="false">
      <c r="A81" s="0" t="n">
        <v>31</v>
      </c>
      <c r="B81" s="34" t="n">
        <v>40148</v>
      </c>
      <c r="C81" s="1" t="n">
        <v>424480</v>
      </c>
      <c r="D81" s="29" t="s">
        <v>41</v>
      </c>
      <c r="E81" s="583" t="n">
        <f aca="false">IF(D81="totale",(C81/(A81*24))/F81,IF(D81="marché libre",(C81/(A81*24))/G81,"spécifier histo"))</f>
        <v>0.570537634408602</v>
      </c>
      <c r="F81" s="59" t="n">
        <v>1000</v>
      </c>
      <c r="G81" s="59" t="n">
        <f aca="false">F81-H81</f>
        <v>1000</v>
      </c>
      <c r="H81" s="9" t="n">
        <f aca="false">0</f>
        <v>0</v>
      </c>
      <c r="I81" s="9"/>
      <c r="J81" s="205"/>
    </row>
    <row r="82" s="1" customFormat="true" ht="36.65" hidden="false" customHeight="true" outlineLevel="0" collapsed="false">
      <c r="A82" s="0" t="n">
        <v>31</v>
      </c>
      <c r="B82" s="31" t="n">
        <v>40179</v>
      </c>
      <c r="C82" s="1" t="n">
        <v>513600</v>
      </c>
      <c r="D82" s="29" t="s">
        <v>41</v>
      </c>
      <c r="E82" s="583" t="n">
        <f aca="false">IF(D82="totale",(C82/(A82*24))/F82,IF(D82="marché libre",(C82/(A82*24))/G82,"spécifier histo"))</f>
        <v>0.690322580645161</v>
      </c>
      <c r="F82" s="59" t="n">
        <v>1000</v>
      </c>
      <c r="G82" s="59" t="n">
        <f aca="false">F82-H82</f>
        <v>1000</v>
      </c>
      <c r="H82" s="9" t="n">
        <f aca="false">0</f>
        <v>0</v>
      </c>
      <c r="I82" s="9"/>
      <c r="J82" s="205"/>
    </row>
    <row r="83" s="1" customFormat="true" ht="36.65" hidden="false" customHeight="true" outlineLevel="0" collapsed="false">
      <c r="A83" s="0" t="n">
        <v>28</v>
      </c>
      <c r="B83" s="34" t="n">
        <v>40210</v>
      </c>
      <c r="C83" s="1" t="n">
        <v>544640</v>
      </c>
      <c r="D83" s="29" t="s">
        <v>41</v>
      </c>
      <c r="E83" s="583" t="n">
        <f aca="false">IF(D83="totale",(C83/(A83*24))/F83,IF(D83="marché libre",(C83/(A83*24))/G83,"spécifier histo"))</f>
        <v>0.81047619047619</v>
      </c>
      <c r="F83" s="59" t="n">
        <v>1000</v>
      </c>
      <c r="G83" s="59" t="n">
        <f aca="false">F83-H83</f>
        <v>1000</v>
      </c>
      <c r="H83" s="9" t="n">
        <f aca="false">0</f>
        <v>0</v>
      </c>
      <c r="I83" s="9"/>
      <c r="J83" s="205"/>
    </row>
    <row r="84" s="1" customFormat="true" ht="36.65" hidden="false" customHeight="true" outlineLevel="0" collapsed="false">
      <c r="A84" s="0" t="n">
        <v>31</v>
      </c>
      <c r="B84" s="31" t="n">
        <v>40238</v>
      </c>
      <c r="C84" s="1" t="n">
        <v>457920</v>
      </c>
      <c r="D84" s="29" t="s">
        <v>41</v>
      </c>
      <c r="E84" s="583" t="n">
        <f aca="false">IF(D84="totale",(C84/(A84*24))/F84,IF(D84="marché libre",(C84/(A84*24))/G84,"spécifier histo"))</f>
        <v>0.615483870967742</v>
      </c>
      <c r="F84" s="59" t="n">
        <v>1000</v>
      </c>
      <c r="G84" s="59" t="n">
        <f aca="false">F84-H84</f>
        <v>1000</v>
      </c>
      <c r="H84" s="9" t="n">
        <f aca="false">0</f>
        <v>0</v>
      </c>
      <c r="I84" s="9"/>
      <c r="J84" s="205"/>
    </row>
    <row r="85" s="1" customFormat="true" ht="36.65" hidden="false" customHeight="true" outlineLevel="0" collapsed="false">
      <c r="A85" s="0" t="n">
        <v>30</v>
      </c>
      <c r="B85" s="34" t="n">
        <v>40269</v>
      </c>
      <c r="C85" s="1" t="n">
        <v>335040</v>
      </c>
      <c r="D85" s="29" t="s">
        <v>41</v>
      </c>
      <c r="E85" s="583" t="n">
        <f aca="false">IF(D85="totale",(C85/(A85*24))/F85,IF(D85="marché libre",(C85/(A85*24))/G85,"spécifier histo"))</f>
        <v>0.465333333333333</v>
      </c>
      <c r="F85" s="59" t="n">
        <v>1000</v>
      </c>
      <c r="G85" s="59" t="n">
        <f aca="false">F85-H85</f>
        <v>1000</v>
      </c>
      <c r="H85" s="9" t="n">
        <f aca="false">0</f>
        <v>0</v>
      </c>
      <c r="I85" s="9"/>
      <c r="J85" s="205"/>
    </row>
    <row r="86" s="1" customFormat="true" ht="36.65" hidden="false" customHeight="true" outlineLevel="0" collapsed="false">
      <c r="A86" s="0" t="n">
        <v>31</v>
      </c>
      <c r="B86" s="31" t="n">
        <v>40299</v>
      </c>
      <c r="C86" s="1" t="n">
        <v>212000</v>
      </c>
      <c r="D86" s="29" t="s">
        <v>41</v>
      </c>
      <c r="E86" s="583" t="n">
        <f aca="false">IF(D86="totale",(C86/(A86*24))/F86,IF(D86="marché libre",(C86/(A86*24))/G86,"spécifier histo"))</f>
        <v>0.28494623655914</v>
      </c>
      <c r="F86" s="59" t="n">
        <v>1000</v>
      </c>
      <c r="G86" s="59" t="n">
        <f aca="false">F86-H86</f>
        <v>1000</v>
      </c>
      <c r="H86" s="9" t="n">
        <f aca="false">0</f>
        <v>0</v>
      </c>
      <c r="I86" s="9"/>
      <c r="J86" s="205"/>
    </row>
    <row r="87" s="1" customFormat="true" ht="36.65" hidden="false" customHeight="true" outlineLevel="0" collapsed="false">
      <c r="A87" s="0" t="n">
        <v>30</v>
      </c>
      <c r="B87" s="34" t="n">
        <v>40330</v>
      </c>
      <c r="C87" s="1" t="n">
        <v>200160</v>
      </c>
      <c r="D87" s="29" t="s">
        <v>41</v>
      </c>
      <c r="E87" s="583" t="n">
        <f aca="false">IF(D87="totale",(C87/(A87*24))/F87,IF(D87="marché libre",(C87/(A87*24))/G87,"spécifier histo"))</f>
        <v>0.278</v>
      </c>
      <c r="F87" s="59" t="n">
        <v>1000</v>
      </c>
      <c r="G87" s="59" t="n">
        <f aca="false">F87-H87</f>
        <v>1000</v>
      </c>
      <c r="H87" s="9" t="n">
        <f aca="false">0</f>
        <v>0</v>
      </c>
      <c r="I87" s="9"/>
      <c r="J87" s="205"/>
    </row>
    <row r="88" s="1" customFormat="true" ht="36.65" hidden="false" customHeight="true" outlineLevel="0" collapsed="false">
      <c r="A88" s="0" t="n">
        <v>31</v>
      </c>
      <c r="B88" s="31" t="n">
        <v>40360</v>
      </c>
      <c r="C88" s="1" t="n">
        <v>101120</v>
      </c>
      <c r="D88" s="29" t="s">
        <v>41</v>
      </c>
      <c r="E88" s="583" t="n">
        <f aca="false">IF(D88="totale",(C88/(A88*24))/F88,IF(D88="marché libre",(C88/(A88*24))/G88,"spécifier histo"))</f>
        <v>0.135913978494624</v>
      </c>
      <c r="F88" s="59" t="n">
        <v>1000</v>
      </c>
      <c r="G88" s="59" t="n">
        <f aca="false">F88-H88</f>
        <v>1000</v>
      </c>
      <c r="H88" s="9" t="n">
        <f aca="false">0</f>
        <v>0</v>
      </c>
      <c r="I88" s="9"/>
      <c r="J88" s="205"/>
    </row>
    <row r="89" s="1" customFormat="true" ht="36.65" hidden="false" customHeight="true" outlineLevel="0" collapsed="false">
      <c r="A89" s="0" t="n">
        <v>31</v>
      </c>
      <c r="B89" s="34" t="n">
        <v>40391</v>
      </c>
      <c r="C89" s="1" t="n">
        <v>256320</v>
      </c>
      <c r="D89" s="29" t="s">
        <v>41</v>
      </c>
      <c r="E89" s="583" t="n">
        <f aca="false">IF(D89="totale",(C89/(A89*24))/F89,IF(D89="marché libre",(C89/(A89*24))/G89,"spécifier histo"))</f>
        <v>0.344516129032258</v>
      </c>
      <c r="F89" s="59" t="n">
        <v>1000</v>
      </c>
      <c r="G89" s="59" t="n">
        <f aca="false">F89-H89</f>
        <v>1000</v>
      </c>
      <c r="H89" s="9" t="n">
        <f aca="false">0</f>
        <v>0</v>
      </c>
      <c r="I89" s="9"/>
      <c r="J89" s="205"/>
    </row>
    <row r="90" s="1" customFormat="true" ht="36.65" hidden="false" customHeight="true" outlineLevel="0" collapsed="false">
      <c r="A90" s="0" t="n">
        <v>30</v>
      </c>
      <c r="B90" s="31" t="n">
        <v>40422</v>
      </c>
      <c r="C90" s="1" t="n">
        <v>206560</v>
      </c>
      <c r="D90" s="29" t="s">
        <v>41</v>
      </c>
      <c r="E90" s="583" t="n">
        <f aca="false">IF(D90="totale",(C90/(A90*24))/F90,IF(D90="marché libre",(C90/(A90*24))/G90,"spécifier histo"))</f>
        <v>0.286888888888889</v>
      </c>
      <c r="F90" s="59" t="n">
        <v>1000</v>
      </c>
      <c r="G90" s="59" t="n">
        <f aca="false">F90-H90</f>
        <v>1000</v>
      </c>
      <c r="H90" s="9" t="n">
        <f aca="false">0</f>
        <v>0</v>
      </c>
      <c r="I90" s="9"/>
      <c r="J90" s="205"/>
    </row>
    <row r="91" s="1" customFormat="true" ht="36.65" hidden="false" customHeight="true" outlineLevel="0" collapsed="false">
      <c r="A91" s="0" t="n">
        <v>31</v>
      </c>
      <c r="B91" s="34" t="n">
        <v>40452</v>
      </c>
      <c r="C91" s="1" t="n">
        <v>167040</v>
      </c>
      <c r="D91" s="29" t="s">
        <v>41</v>
      </c>
      <c r="E91" s="583" t="n">
        <f aca="false">IF(D91="totale",(C91/(A91*24))/F91,IF(D91="marché libre",(C91/(A91*24))/G91,"spécifier histo"))</f>
        <v>0.224516129032258</v>
      </c>
      <c r="F91" s="59" t="n">
        <v>1000</v>
      </c>
      <c r="G91" s="59" t="n">
        <f aca="false">F91-H91</f>
        <v>1000</v>
      </c>
      <c r="H91" s="9" t="n">
        <f aca="false">0</f>
        <v>0</v>
      </c>
      <c r="I91" s="9"/>
      <c r="J91" s="205"/>
    </row>
    <row r="92" s="1" customFormat="true" ht="36.65" hidden="false" customHeight="true" outlineLevel="0" collapsed="false">
      <c r="A92" s="0" t="n">
        <v>30</v>
      </c>
      <c r="B92" s="31" t="n">
        <v>40483</v>
      </c>
      <c r="C92" s="1" t="n">
        <v>445120</v>
      </c>
      <c r="D92" s="29" t="s">
        <v>41</v>
      </c>
      <c r="E92" s="583" t="n">
        <f aca="false">IF(D92="totale",(C92/(A92*24))/F92,IF(D92="marché libre",(C92/(A92*24))/G92,"spécifier histo"))</f>
        <v>0.618222222222222</v>
      </c>
      <c r="F92" s="59" t="n">
        <v>1000</v>
      </c>
      <c r="G92" s="59" t="n">
        <f aca="false">F92-H92</f>
        <v>1000</v>
      </c>
      <c r="H92" s="9" t="n">
        <f aca="false">0</f>
        <v>0</v>
      </c>
      <c r="I92" s="9"/>
      <c r="J92" s="205"/>
    </row>
    <row r="93" s="1" customFormat="true" ht="36.65" hidden="false" customHeight="true" outlineLevel="0" collapsed="false">
      <c r="A93" s="0" t="n">
        <v>31</v>
      </c>
      <c r="B93" s="34" t="n">
        <v>40513</v>
      </c>
      <c r="C93" s="1" t="n">
        <v>538880</v>
      </c>
      <c r="D93" s="29" t="s">
        <v>41</v>
      </c>
      <c r="E93" s="583" t="n">
        <f aca="false">IF(D93="totale",(C93/(A93*24))/F93,IF(D93="marché libre",(C93/(A93*24))/G93,"spécifier histo"))</f>
        <v>0.724301075268817</v>
      </c>
      <c r="F93" s="59" t="n">
        <v>1000</v>
      </c>
      <c r="G93" s="59" t="n">
        <f aca="false">F93-H93</f>
        <v>1000</v>
      </c>
      <c r="H93" s="9" t="n">
        <f aca="false">0</f>
        <v>0</v>
      </c>
      <c r="I93" s="9"/>
      <c r="J93" s="205"/>
    </row>
    <row r="94" s="1" customFormat="true" ht="36.65" hidden="false" customHeight="true" outlineLevel="0" collapsed="false">
      <c r="A94" s="0" t="n">
        <v>31</v>
      </c>
      <c r="B94" s="31" t="n">
        <v>40544</v>
      </c>
      <c r="C94" s="1" t="n">
        <v>633920</v>
      </c>
      <c r="D94" s="29" t="s">
        <v>41</v>
      </c>
      <c r="E94" s="583" t="n">
        <f aca="false">IF(D94="totale",(C94/(A94*24))/F94,IF(D94="marché libre",(C94/(A94*24))/G94,"spécifier histo"))</f>
        <v>0.852043010752688</v>
      </c>
      <c r="F94" s="59" t="n">
        <v>1000</v>
      </c>
      <c r="G94" s="59" t="n">
        <f aca="false">F94-H94</f>
        <v>1000</v>
      </c>
      <c r="H94" s="9" t="n">
        <f aca="false">0</f>
        <v>0</v>
      </c>
      <c r="I94" s="9"/>
      <c r="J94" s="205"/>
    </row>
    <row r="95" s="1" customFormat="true" ht="36.65" hidden="false" customHeight="true" outlineLevel="0" collapsed="false">
      <c r="A95" s="0" t="n">
        <v>28</v>
      </c>
      <c r="B95" s="34" t="n">
        <v>40575</v>
      </c>
      <c r="C95" s="1" t="n">
        <v>360320</v>
      </c>
      <c r="D95" s="29" t="s">
        <v>41</v>
      </c>
      <c r="E95" s="583" t="n">
        <f aca="false">IF(D95="totale",(C95/(A95*24))/F95,IF(D95="marché libre",(C95/(A95*24))/G95,"spécifier histo"))</f>
        <v>0.536190476190476</v>
      </c>
      <c r="F95" s="59" t="n">
        <v>1000</v>
      </c>
      <c r="G95" s="59" t="n">
        <f aca="false">F95-H95</f>
        <v>1000</v>
      </c>
      <c r="H95" s="9" t="n">
        <f aca="false">0</f>
        <v>0</v>
      </c>
      <c r="I95" s="9"/>
      <c r="J95" s="205"/>
    </row>
    <row r="96" s="1" customFormat="true" ht="36.65" hidden="false" customHeight="true" outlineLevel="0" collapsed="false">
      <c r="A96" s="0" t="n">
        <v>31</v>
      </c>
      <c r="B96" s="31" t="n">
        <v>40603</v>
      </c>
      <c r="C96" s="1" t="n">
        <v>276480</v>
      </c>
      <c r="D96" s="29" t="s">
        <v>41</v>
      </c>
      <c r="E96" s="583" t="n">
        <f aca="false">IF(D96="totale",(C96/(A96*24))/F96,IF(D96="marché libre",(C96/(A96*24))/G96,"spécifier histo"))</f>
        <v>0.371612903225806</v>
      </c>
      <c r="F96" s="59" t="n">
        <v>1000</v>
      </c>
      <c r="G96" s="59" t="n">
        <f aca="false">F96-H96</f>
        <v>1000</v>
      </c>
      <c r="H96" s="9" t="n">
        <f aca="false">0</f>
        <v>0</v>
      </c>
      <c r="I96" s="9"/>
      <c r="J96" s="205"/>
    </row>
    <row r="97" s="1" customFormat="true" ht="36.65" hidden="false" customHeight="true" outlineLevel="0" collapsed="false">
      <c r="A97" s="0" t="n">
        <v>30</v>
      </c>
      <c r="B97" s="34" t="n">
        <v>40634</v>
      </c>
      <c r="C97" s="1" t="n">
        <v>170880</v>
      </c>
      <c r="D97" s="29" t="s">
        <v>41</v>
      </c>
      <c r="E97" s="583" t="n">
        <f aca="false">IF(D97="totale",(C97/(A97*24))/F97,IF(D97="marché libre",(C97/(A97*24))/G97,"spécifier histo"))</f>
        <v>0.237333333333333</v>
      </c>
      <c r="F97" s="59" t="n">
        <v>1000</v>
      </c>
      <c r="G97" s="59" t="n">
        <f aca="false">F97-H97</f>
        <v>1000</v>
      </c>
      <c r="H97" s="9" t="n">
        <f aca="false">0</f>
        <v>0</v>
      </c>
      <c r="I97" s="9"/>
      <c r="J97" s="205"/>
    </row>
    <row r="98" s="1" customFormat="true" ht="36.65" hidden="false" customHeight="true" outlineLevel="0" collapsed="false">
      <c r="A98" s="0" t="n">
        <v>31</v>
      </c>
      <c r="B98" s="31" t="n">
        <v>40664</v>
      </c>
      <c r="C98" s="1" t="n">
        <v>95200</v>
      </c>
      <c r="D98" s="29" t="s">
        <v>41</v>
      </c>
      <c r="E98" s="583" t="n">
        <f aca="false">IF(D98="totale",(C98/(A98*24))/F98,IF(D98="marché libre",(C98/(A98*24))/G98,"spécifier histo"))</f>
        <v>0.127956989247312</v>
      </c>
      <c r="F98" s="59" t="n">
        <v>1000</v>
      </c>
      <c r="G98" s="59" t="n">
        <f aca="false">F98-H98</f>
        <v>1000</v>
      </c>
      <c r="H98" s="9" t="n">
        <f aca="false">0</f>
        <v>0</v>
      </c>
      <c r="I98" s="9"/>
      <c r="J98" s="205"/>
    </row>
    <row r="99" s="1" customFormat="true" ht="36.65" hidden="false" customHeight="true" outlineLevel="0" collapsed="false">
      <c r="A99" s="0" t="n">
        <v>30</v>
      </c>
      <c r="B99" s="34" t="n">
        <v>40695</v>
      </c>
      <c r="C99" s="1" t="n">
        <v>131520</v>
      </c>
      <c r="D99" s="29" t="s">
        <v>41</v>
      </c>
      <c r="E99" s="583" t="n">
        <f aca="false">IF(D99="totale",(C99/(A99*24))/F99,IF(D99="marché libre",(C99/(A99*24))/G99,"spécifier histo"))</f>
        <v>0.182666666666667</v>
      </c>
      <c r="F99" s="59" t="n">
        <v>1000</v>
      </c>
      <c r="G99" s="59" t="n">
        <f aca="false">F99-H99</f>
        <v>1000</v>
      </c>
      <c r="H99" s="9" t="n">
        <f aca="false">0</f>
        <v>0</v>
      </c>
      <c r="I99" s="9"/>
      <c r="J99" s="205"/>
    </row>
    <row r="100" s="1" customFormat="true" ht="36.65" hidden="false" customHeight="true" outlineLevel="0" collapsed="false">
      <c r="A100" s="0" t="n">
        <v>31</v>
      </c>
      <c r="B100" s="31" t="n">
        <v>40725</v>
      </c>
      <c r="C100" s="1" t="n">
        <v>164640</v>
      </c>
      <c r="D100" s="29" t="s">
        <v>41</v>
      </c>
      <c r="E100" s="583" t="n">
        <f aca="false">IF(D100="totale",(C100/(A100*24))/F100,IF(D100="marché libre",(C100/(A100*24))/G100,"spécifier histo"))</f>
        <v>0.221290322580645</v>
      </c>
      <c r="F100" s="59" t="n">
        <v>1000</v>
      </c>
      <c r="G100" s="59" t="n">
        <f aca="false">F100-H100</f>
        <v>1000</v>
      </c>
      <c r="H100" s="9" t="n">
        <f aca="false">0</f>
        <v>0</v>
      </c>
      <c r="I100" s="9"/>
      <c r="J100" s="205"/>
    </row>
    <row r="101" s="1" customFormat="true" ht="36.65" hidden="false" customHeight="true" outlineLevel="0" collapsed="false">
      <c r="A101" s="0" t="n">
        <v>31</v>
      </c>
      <c r="B101" s="34" t="n">
        <v>40756</v>
      </c>
      <c r="C101" s="1" t="n">
        <v>204960</v>
      </c>
      <c r="D101" s="29" t="s">
        <v>41</v>
      </c>
      <c r="E101" s="583" t="n">
        <f aca="false">IF(D101="totale",(C101/(A101*24))/F101,IF(D101="marché libre",(C101/(A101*24))/G101,"spécifier histo"))</f>
        <v>0.275483870967742</v>
      </c>
      <c r="F101" s="59" t="n">
        <v>1000</v>
      </c>
      <c r="G101" s="59" t="n">
        <f aca="false">F101-H101</f>
        <v>1000</v>
      </c>
      <c r="H101" s="9" t="n">
        <f aca="false">0</f>
        <v>0</v>
      </c>
      <c r="I101" s="9"/>
      <c r="J101" s="205"/>
    </row>
    <row r="102" s="1" customFormat="true" ht="36.65" hidden="false" customHeight="true" outlineLevel="0" collapsed="false">
      <c r="A102" s="0" t="n">
        <v>30</v>
      </c>
      <c r="B102" s="31" t="n">
        <v>40787</v>
      </c>
      <c r="C102" s="1" t="n">
        <v>104320</v>
      </c>
      <c r="D102" s="29" t="s">
        <v>41</v>
      </c>
      <c r="E102" s="583" t="n">
        <f aca="false">IF(D102="totale",(C102/(A102*24))/F102,IF(D102="marché libre",(C102/(A102*24))/G102,"spécifier histo"))</f>
        <v>0.144888888888889</v>
      </c>
      <c r="F102" s="59" t="n">
        <v>1000</v>
      </c>
      <c r="G102" s="59" t="n">
        <f aca="false">F102-H102</f>
        <v>1000</v>
      </c>
      <c r="H102" s="9" t="n">
        <f aca="false">0</f>
        <v>0</v>
      </c>
      <c r="I102" s="9"/>
      <c r="J102" s="205"/>
    </row>
    <row r="103" s="1" customFormat="true" ht="36.65" hidden="false" customHeight="true" outlineLevel="0" collapsed="false">
      <c r="A103" s="0" t="n">
        <v>31</v>
      </c>
      <c r="B103" s="34" t="n">
        <v>40817</v>
      </c>
      <c r="C103" s="1" t="n">
        <v>144320</v>
      </c>
      <c r="D103" s="29" t="s">
        <v>41</v>
      </c>
      <c r="E103" s="583" t="n">
        <f aca="false">IF(D103="totale",(C103/(A103*24))/F103,IF(D103="marché libre",(C103/(A103*24))/G103,"spécifier histo"))</f>
        <v>0.193978494623656</v>
      </c>
      <c r="F103" s="59" t="n">
        <v>1000</v>
      </c>
      <c r="G103" s="59" t="n">
        <f aca="false">F103-H103</f>
        <v>1000</v>
      </c>
      <c r="H103" s="9" t="n">
        <f aca="false">0</f>
        <v>0</v>
      </c>
      <c r="I103" s="9"/>
      <c r="J103" s="205"/>
    </row>
    <row r="104" s="1" customFormat="true" ht="36.65" hidden="false" customHeight="true" outlineLevel="0" collapsed="false">
      <c r="A104" s="0" t="n">
        <v>30</v>
      </c>
      <c r="B104" s="31" t="n">
        <v>40848</v>
      </c>
      <c r="C104" s="1" t="n">
        <v>108000</v>
      </c>
      <c r="D104" s="29" t="s">
        <v>41</v>
      </c>
      <c r="E104" s="583" t="n">
        <f aca="false">IF(D104="totale",(C104/(A104*24))/F104,IF(D104="marché libre",(C104/(A104*24))/G104,"spécifier histo"))</f>
        <v>0.15</v>
      </c>
      <c r="F104" s="59" t="n">
        <v>1000</v>
      </c>
      <c r="G104" s="59" t="n">
        <f aca="false">F104-H104</f>
        <v>1000</v>
      </c>
      <c r="H104" s="9" t="n">
        <f aca="false">0</f>
        <v>0</v>
      </c>
      <c r="I104" s="9"/>
      <c r="J104" s="205"/>
    </row>
    <row r="105" s="1" customFormat="true" ht="36.65" hidden="false" customHeight="true" outlineLevel="0" collapsed="false">
      <c r="A105" s="0" t="n">
        <v>31</v>
      </c>
      <c r="B105" s="34" t="n">
        <v>40878</v>
      </c>
      <c r="C105" s="1" t="n">
        <v>564640</v>
      </c>
      <c r="D105" s="29" t="s">
        <v>41</v>
      </c>
      <c r="E105" s="583" t="n">
        <f aca="false">IF(D105="totale",(C105/(A105*24))/F105,IF(D105="marché libre",(C105/(A105*24))/G105,"spécifier histo"))</f>
        <v>0.758924731182796</v>
      </c>
      <c r="F105" s="59" t="n">
        <v>1000</v>
      </c>
      <c r="G105" s="59" t="n">
        <f aca="false">F105-H105</f>
        <v>1000</v>
      </c>
      <c r="H105" s="9" t="n">
        <f aca="false">0</f>
        <v>0</v>
      </c>
      <c r="I105" s="9"/>
      <c r="J105" s="205"/>
    </row>
    <row r="106" s="1" customFormat="true" ht="36.65" hidden="false" customHeight="true" outlineLevel="0" collapsed="false">
      <c r="A106" s="0" t="n">
        <v>31</v>
      </c>
      <c r="B106" s="31" t="n">
        <v>40909</v>
      </c>
      <c r="C106" s="1" t="n">
        <v>634080</v>
      </c>
      <c r="D106" s="29" t="s">
        <v>41</v>
      </c>
      <c r="E106" s="583" t="n">
        <f aca="false">IF(D106="totale",(C106/(A106*24))/F106,IF(D106="marché libre",(C106/(A106*24))/G106,"spécifier histo"))</f>
        <v>0.852258064516129</v>
      </c>
      <c r="F106" s="59" t="n">
        <v>1000</v>
      </c>
      <c r="G106" s="59" t="n">
        <f aca="false">F106-H106</f>
        <v>1000</v>
      </c>
      <c r="H106" s="9" t="n">
        <f aca="false">0</f>
        <v>0</v>
      </c>
      <c r="I106" s="9"/>
      <c r="J106" s="205"/>
    </row>
    <row r="107" s="1" customFormat="true" ht="36.65" hidden="false" customHeight="true" outlineLevel="0" collapsed="false">
      <c r="A107" s="0" t="n">
        <v>28</v>
      </c>
      <c r="B107" s="34" t="n">
        <v>40940</v>
      </c>
      <c r="C107" s="1" t="n">
        <v>376640</v>
      </c>
      <c r="D107" s="29" t="s">
        <v>41</v>
      </c>
      <c r="E107" s="583" t="n">
        <f aca="false">IF(D107="totale",(C107/(A107*24))/F107,IF(D107="marché libre",(C107/(A107*24))/G107,"spécifier histo"))</f>
        <v>0.56047619047619</v>
      </c>
      <c r="F107" s="59" t="n">
        <v>1000</v>
      </c>
      <c r="G107" s="59" t="n">
        <f aca="false">F107-H107</f>
        <v>1000</v>
      </c>
      <c r="H107" s="9" t="n">
        <f aca="false">0</f>
        <v>0</v>
      </c>
      <c r="I107" s="9"/>
      <c r="J107" s="205"/>
    </row>
    <row r="108" s="1" customFormat="true" ht="36.65" hidden="false" customHeight="true" outlineLevel="0" collapsed="false">
      <c r="A108" s="0" t="n">
        <v>31</v>
      </c>
      <c r="B108" s="31" t="n">
        <v>40969</v>
      </c>
      <c r="C108" s="1" t="n">
        <v>360800</v>
      </c>
      <c r="D108" s="29" t="s">
        <v>41</v>
      </c>
      <c r="E108" s="583" t="n">
        <f aca="false">IF(D108="totale",(C108/(A108*24))/F108,IF(D108="marché libre",(C108/(A108*24))/G108,"spécifier histo"))</f>
        <v>0.48494623655914</v>
      </c>
      <c r="F108" s="59" t="n">
        <v>1000</v>
      </c>
      <c r="G108" s="59" t="n">
        <f aca="false">F108-H108</f>
        <v>1000</v>
      </c>
      <c r="H108" s="9" t="n">
        <f aca="false">0</f>
        <v>0</v>
      </c>
      <c r="I108" s="9"/>
      <c r="J108" s="205"/>
    </row>
    <row r="109" s="1" customFormat="true" ht="36.65" hidden="false" customHeight="true" outlineLevel="0" collapsed="false">
      <c r="A109" s="0" t="n">
        <v>30</v>
      </c>
      <c r="B109" s="34" t="n">
        <v>41000</v>
      </c>
      <c r="C109" s="1" t="n">
        <v>264480</v>
      </c>
      <c r="D109" s="29" t="s">
        <v>41</v>
      </c>
      <c r="E109" s="583" t="n">
        <f aca="false">IF(D109="totale",(C109/(A109*24))/F109,IF(D109="marché libre",(C109/(A109*24))/G109,"spécifier histo"))</f>
        <v>0.367333333333333</v>
      </c>
      <c r="F109" s="59" t="n">
        <v>1000</v>
      </c>
      <c r="G109" s="59" t="n">
        <f aca="false">F109-H109</f>
        <v>1000</v>
      </c>
      <c r="H109" s="9" t="n">
        <f aca="false">0</f>
        <v>0</v>
      </c>
      <c r="I109" s="9"/>
      <c r="J109" s="205"/>
    </row>
    <row r="110" s="1" customFormat="true" ht="36.65" hidden="false" customHeight="true" outlineLevel="0" collapsed="false">
      <c r="A110" s="0" t="n">
        <v>31</v>
      </c>
      <c r="B110" s="31" t="n">
        <v>41030</v>
      </c>
      <c r="C110" s="1" t="n">
        <v>247040</v>
      </c>
      <c r="D110" s="29" t="s">
        <v>41</v>
      </c>
      <c r="E110" s="583" t="n">
        <f aca="false">IF(D110="totale",(C110/(A110*24))/F110,IF(D110="marché libre",(C110/(A110*24))/G110,"spécifier histo"))</f>
        <v>0.332043010752688</v>
      </c>
      <c r="F110" s="59" t="n">
        <v>1000</v>
      </c>
      <c r="G110" s="59" t="n">
        <f aca="false">F110-H110</f>
        <v>1000</v>
      </c>
      <c r="H110" s="9" t="n">
        <f aca="false">0</f>
        <v>0</v>
      </c>
      <c r="I110" s="9"/>
      <c r="J110" s="205"/>
    </row>
    <row r="111" s="1" customFormat="true" ht="36.65" hidden="false" customHeight="true" outlineLevel="0" collapsed="false">
      <c r="A111" s="0" t="n">
        <v>30</v>
      </c>
      <c r="B111" s="34" t="n">
        <v>41061</v>
      </c>
      <c r="C111" s="1" t="n">
        <v>168829</v>
      </c>
      <c r="D111" s="29" t="s">
        <v>41</v>
      </c>
      <c r="E111" s="583" t="n">
        <f aca="false">IF(D111="totale",(C111/(A111*24))/F111,IF(D111="marché libre",(C111/(A111*24))/G111,"spécifier histo"))</f>
        <v>0.234484722222222</v>
      </c>
      <c r="F111" s="59" t="n">
        <v>1000</v>
      </c>
      <c r="G111" s="59" t="n">
        <f aca="false">F111-H111</f>
        <v>1000</v>
      </c>
      <c r="H111" s="9" t="n">
        <f aca="false">0</f>
        <v>0</v>
      </c>
      <c r="I111" s="9"/>
      <c r="J111" s="205"/>
    </row>
    <row r="112" s="1" customFormat="true" ht="36.65" hidden="false" customHeight="true" outlineLevel="0" collapsed="false">
      <c r="A112" s="0" t="n">
        <v>31</v>
      </c>
      <c r="B112" s="31" t="n">
        <v>41091</v>
      </c>
      <c r="C112" s="1" t="n">
        <v>67094</v>
      </c>
      <c r="D112" s="29" t="s">
        <v>41</v>
      </c>
      <c r="E112" s="583" t="n">
        <f aca="false">IF(D112="totale",(C112/(A112*24))/F112,IF(D112="marché libre",(C112/(A112*24))/G112,"spécifier histo"))</f>
        <v>0.0901801075268817</v>
      </c>
      <c r="F112" s="59" t="n">
        <v>1000</v>
      </c>
      <c r="G112" s="59" t="n">
        <f aca="false">F112-H112</f>
        <v>1000</v>
      </c>
      <c r="H112" s="9" t="n">
        <f aca="false">0</f>
        <v>0</v>
      </c>
      <c r="I112" s="9"/>
      <c r="J112" s="205"/>
    </row>
    <row r="113" s="1" customFormat="true" ht="36.65" hidden="false" customHeight="true" outlineLevel="0" collapsed="false">
      <c r="A113" s="0" t="n">
        <v>31</v>
      </c>
      <c r="B113" s="34" t="n">
        <v>41122</v>
      </c>
      <c r="C113" s="1" t="n">
        <v>42018</v>
      </c>
      <c r="D113" s="29" t="s">
        <v>41</v>
      </c>
      <c r="E113" s="583" t="n">
        <f aca="false">IF(D113="totale",(C113/(A113*24))/F113,IF(D113="marché libre",(C113/(A113*24))/G113,"spécifier histo"))</f>
        <v>0.0564758064516129</v>
      </c>
      <c r="F113" s="59" t="n">
        <v>1000</v>
      </c>
      <c r="G113" s="59" t="n">
        <f aca="false">F113-H113</f>
        <v>1000</v>
      </c>
      <c r="H113" s="9" t="n">
        <f aca="false">0</f>
        <v>0</v>
      </c>
      <c r="I113" s="9"/>
      <c r="J113" s="205"/>
    </row>
    <row r="114" s="1" customFormat="true" ht="36.65" hidden="false" customHeight="true" outlineLevel="0" collapsed="false">
      <c r="A114" s="0" t="n">
        <v>30</v>
      </c>
      <c r="B114" s="31" t="n">
        <v>41153</v>
      </c>
      <c r="C114" s="1" t="n">
        <v>106049</v>
      </c>
      <c r="D114" s="29" t="s">
        <v>41</v>
      </c>
      <c r="E114" s="583" t="n">
        <f aca="false">IF(D114="totale",(C114/(A114*24))/F114,IF(D114="marché libre",(C114/(A114*24))/G114,"spécifier histo"))</f>
        <v>0.147290277777778</v>
      </c>
      <c r="F114" s="59" t="n">
        <v>1000</v>
      </c>
      <c r="G114" s="59" t="n">
        <f aca="false">F114-H114</f>
        <v>1000</v>
      </c>
      <c r="H114" s="9" t="n">
        <f aca="false">0</f>
        <v>0</v>
      </c>
      <c r="I114" s="9"/>
      <c r="J114" s="205"/>
    </row>
    <row r="115" s="1" customFormat="true" ht="36.65" hidden="false" customHeight="true" outlineLevel="0" collapsed="false">
      <c r="A115" s="0" t="n">
        <v>31</v>
      </c>
      <c r="B115" s="34" t="n">
        <v>41183</v>
      </c>
      <c r="C115" s="1" t="n">
        <v>293942</v>
      </c>
      <c r="D115" s="29" t="s">
        <v>41</v>
      </c>
      <c r="E115" s="583" t="n">
        <f aca="false">IF(D115="totale",(C115/(A115*24))/F115,IF(D115="marché libre",(C115/(A115*24))/G115,"spécifier histo"))</f>
        <v>0.395083333333333</v>
      </c>
      <c r="F115" s="59" t="n">
        <v>1000</v>
      </c>
      <c r="G115" s="59" t="n">
        <f aca="false">F115-H115</f>
        <v>1000</v>
      </c>
      <c r="H115" s="9" t="n">
        <f aca="false">0</f>
        <v>0</v>
      </c>
      <c r="I115" s="9"/>
      <c r="J115" s="205"/>
    </row>
    <row r="116" s="1" customFormat="true" ht="36.65" hidden="false" customHeight="true" outlineLevel="0" collapsed="false">
      <c r="A116" s="0" t="n">
        <v>30</v>
      </c>
      <c r="B116" s="31" t="n">
        <v>41214</v>
      </c>
      <c r="C116" s="1" t="n">
        <v>437139</v>
      </c>
      <c r="D116" s="29" t="s">
        <v>41</v>
      </c>
      <c r="E116" s="583" t="n">
        <f aca="false">IF(D116="totale",(C116/(A116*24))/F116,IF(D116="marché libre",(C116/(A116*24))/G116,"spécifier histo"))</f>
        <v>0.6071375</v>
      </c>
      <c r="F116" s="59" t="n">
        <v>1000</v>
      </c>
      <c r="G116" s="59" t="n">
        <f aca="false">F116-H116</f>
        <v>1000</v>
      </c>
      <c r="H116" s="9" t="n">
        <f aca="false">0</f>
        <v>0</v>
      </c>
      <c r="I116" s="9"/>
      <c r="J116" s="205"/>
    </row>
    <row r="117" s="1" customFormat="true" ht="36.65" hidden="false" customHeight="true" outlineLevel="0" collapsed="false">
      <c r="A117" s="0" t="n">
        <v>31</v>
      </c>
      <c r="B117" s="34" t="n">
        <v>41244</v>
      </c>
      <c r="C117" s="1" t="n">
        <v>566878</v>
      </c>
      <c r="D117" s="29" t="s">
        <v>41</v>
      </c>
      <c r="E117" s="583" t="n">
        <f aca="false">IF(D117="totale",(C117/(A117*24))/F117,IF(D117="marché libre",(C117/(A117*24))/G117,"spécifier histo"))</f>
        <v>0.761932795698925</v>
      </c>
      <c r="F117" s="59" t="n">
        <v>1000</v>
      </c>
      <c r="G117" s="59" t="n">
        <f aca="false">F117-H117</f>
        <v>1000</v>
      </c>
      <c r="H117" s="9" t="n">
        <f aca="false">0</f>
        <v>0</v>
      </c>
      <c r="I117" s="9"/>
      <c r="J117" s="205"/>
    </row>
    <row r="118" s="1" customFormat="true" ht="36.65" hidden="false" customHeight="true" outlineLevel="0" collapsed="false">
      <c r="A118" s="0" t="n">
        <v>31</v>
      </c>
      <c r="B118" s="31" t="n">
        <v>41275</v>
      </c>
      <c r="C118" s="1" t="n">
        <v>583697</v>
      </c>
      <c r="D118" s="29" t="s">
        <v>41</v>
      </c>
      <c r="E118" s="583" t="n">
        <f aca="false">IF(D118="totale",(C118/(A118*24))/F118,IF(D118="marché libre",(C118/(A118*24))/G118,"spécifier histo"))</f>
        <v>0.784538978494624</v>
      </c>
      <c r="F118" s="59" t="n">
        <v>1000</v>
      </c>
      <c r="G118" s="59" t="n">
        <f aca="false">F118-H118</f>
        <v>1000</v>
      </c>
      <c r="H118" s="9" t="n">
        <f aca="false">0</f>
        <v>0</v>
      </c>
      <c r="I118" s="9"/>
      <c r="J118" s="205"/>
    </row>
    <row r="119" s="1" customFormat="true" ht="36.65" hidden="false" customHeight="true" outlineLevel="0" collapsed="false">
      <c r="A119" s="0" t="n">
        <v>28</v>
      </c>
      <c r="B119" s="34" t="n">
        <v>41306</v>
      </c>
      <c r="C119" s="1" t="n">
        <v>535463</v>
      </c>
      <c r="D119" s="29" t="s">
        <v>41</v>
      </c>
      <c r="E119" s="583" t="n">
        <f aca="false">IF(D119="totale",(C119/(A119*24))/F119,IF(D119="marché libre",(C119/(A119*24))/G119,"spécifier histo"))</f>
        <v>0.796819940476191</v>
      </c>
      <c r="F119" s="59" t="n">
        <v>1000</v>
      </c>
      <c r="G119" s="59" t="n">
        <f aca="false">F119-H119</f>
        <v>1000</v>
      </c>
      <c r="H119" s="9" t="n">
        <f aca="false">0</f>
        <v>0</v>
      </c>
      <c r="I119" s="9"/>
      <c r="J119" s="205"/>
    </row>
    <row r="120" s="1" customFormat="true" ht="36.65" hidden="false" customHeight="true" outlineLevel="0" collapsed="false">
      <c r="A120" s="0" t="n">
        <v>31</v>
      </c>
      <c r="B120" s="31" t="n">
        <v>41334</v>
      </c>
      <c r="C120" s="1" t="n">
        <v>539689</v>
      </c>
      <c r="D120" s="29" t="s">
        <v>41</v>
      </c>
      <c r="E120" s="583" t="n">
        <f aca="false">IF(D120="totale",(C120/(A120*24))/F120,IF(D120="marché libre",(C120/(A120*24))/G120,"spécifier histo"))</f>
        <v>0.725388440860215</v>
      </c>
      <c r="F120" s="59" t="n">
        <v>1000</v>
      </c>
      <c r="G120" s="59" t="n">
        <f aca="false">F120-H120</f>
        <v>1000</v>
      </c>
      <c r="H120" s="9" t="n">
        <f aca="false">0</f>
        <v>0</v>
      </c>
      <c r="I120" s="9"/>
      <c r="J120" s="205"/>
    </row>
    <row r="121" s="1" customFormat="true" ht="36.65" hidden="false" customHeight="true" outlineLevel="0" collapsed="false">
      <c r="A121" s="0" t="n">
        <v>30</v>
      </c>
      <c r="B121" s="34" t="n">
        <v>41365</v>
      </c>
      <c r="C121" s="1" t="n">
        <v>441742</v>
      </c>
      <c r="D121" s="29" t="s">
        <v>41</v>
      </c>
      <c r="E121" s="583" t="n">
        <f aca="false">IF(D121="totale",(C121/(A121*24))/F121,IF(D121="marché libre",(C121/(A121*24))/G121,"spécifier histo"))</f>
        <v>0.613530555555556</v>
      </c>
      <c r="F121" s="59" t="n">
        <v>1000</v>
      </c>
      <c r="G121" s="59" t="n">
        <f aca="false">F121-H121</f>
        <v>1000</v>
      </c>
      <c r="H121" s="9" t="n">
        <f aca="false">0</f>
        <v>0</v>
      </c>
      <c r="I121" s="9"/>
      <c r="J121" s="205"/>
    </row>
    <row r="122" s="1" customFormat="true" ht="36.65" hidden="false" customHeight="true" outlineLevel="0" collapsed="false">
      <c r="A122" s="0" t="n">
        <v>31</v>
      </c>
      <c r="B122" s="31" t="n">
        <v>41395</v>
      </c>
      <c r="C122" s="1" t="n">
        <v>610444</v>
      </c>
      <c r="D122" s="29" t="s">
        <v>41</v>
      </c>
      <c r="E122" s="583" t="n">
        <f aca="false">IF(D122="totale",(C122/(A122*24))/F122,IF(D122="marché libre",(C122/(A122*24))/G122,"spécifier histo"))</f>
        <v>0.820489247311828</v>
      </c>
      <c r="F122" s="59" t="n">
        <v>1000</v>
      </c>
      <c r="G122" s="59" t="n">
        <f aca="false">F122-H122</f>
        <v>1000</v>
      </c>
      <c r="H122" s="9" t="n">
        <f aca="false">0</f>
        <v>0</v>
      </c>
      <c r="I122" s="9"/>
      <c r="J122" s="205"/>
    </row>
    <row r="123" s="1" customFormat="true" ht="36.65" hidden="false" customHeight="true" outlineLevel="0" collapsed="false">
      <c r="A123" s="0" t="n">
        <v>30</v>
      </c>
      <c r="B123" s="34" t="n">
        <v>41426</v>
      </c>
      <c r="C123" s="1" t="n">
        <v>354746</v>
      </c>
      <c r="D123" s="29" t="s">
        <v>41</v>
      </c>
      <c r="E123" s="583" t="n">
        <f aca="false">IF(D123="totale",(C123/(A123*24))/F123,IF(D123="marché libre",(C123/(A123*24))/G123,"spécifier histo"))</f>
        <v>0.492702777777778</v>
      </c>
      <c r="F123" s="59" t="n">
        <v>1000</v>
      </c>
      <c r="G123" s="59" t="n">
        <f aca="false">F123-H123</f>
        <v>1000</v>
      </c>
      <c r="H123" s="9" t="n">
        <f aca="false">0</f>
        <v>0</v>
      </c>
      <c r="I123" s="9"/>
      <c r="J123" s="205"/>
    </row>
    <row r="124" s="1" customFormat="true" ht="36.65" hidden="false" customHeight="true" outlineLevel="0" collapsed="false">
      <c r="A124" s="0" t="n">
        <v>31</v>
      </c>
      <c r="B124" s="31" t="n">
        <v>41456</v>
      </c>
      <c r="C124" s="1" t="n">
        <v>52348</v>
      </c>
      <c r="D124" s="29" t="s">
        <v>41</v>
      </c>
      <c r="E124" s="583" t="n">
        <f aca="false">IF(D124="totale",(C124/(A124*24))/F124,IF(D124="marché libre",(C124/(A124*24))/G124,"spécifier histo"))</f>
        <v>0.0703602150537634</v>
      </c>
      <c r="F124" s="59" t="n">
        <v>1000</v>
      </c>
      <c r="G124" s="59" t="n">
        <f aca="false">F124-H124</f>
        <v>1000</v>
      </c>
      <c r="H124" s="9" t="n">
        <f aca="false">0</f>
        <v>0</v>
      </c>
      <c r="I124" s="9"/>
      <c r="J124" s="205"/>
    </row>
    <row r="125" s="1" customFormat="true" ht="36.65" hidden="false" customHeight="true" outlineLevel="0" collapsed="false">
      <c r="A125" s="0" t="n">
        <v>31</v>
      </c>
      <c r="B125" s="34" t="n">
        <v>41487</v>
      </c>
      <c r="C125" s="58" t="n">
        <v>98492</v>
      </c>
      <c r="D125" s="29" t="s">
        <v>41</v>
      </c>
      <c r="E125" s="583" t="n">
        <f aca="false">IF(D125="totale",(C125/(A125*24))/F125,IF(D125="marché libre",(C125/(A125*24))/G125,"spécifier histo"))</f>
        <v>0.132381720430108</v>
      </c>
      <c r="F125" s="59" t="n">
        <v>1000</v>
      </c>
      <c r="G125" s="59" t="n">
        <f aca="false">F125-H125</f>
        <v>600</v>
      </c>
      <c r="H125" s="9" t="n">
        <v>400</v>
      </c>
      <c r="I125" s="9" t="s">
        <v>516</v>
      </c>
      <c r="J125" s="216" t="s">
        <v>1155</v>
      </c>
    </row>
    <row r="126" s="1" customFormat="true" ht="36.65" hidden="false" customHeight="true" outlineLevel="0" collapsed="false">
      <c r="A126" s="0" t="n">
        <v>30</v>
      </c>
      <c r="B126" s="31" t="n">
        <v>41518</v>
      </c>
      <c r="C126" s="58" t="n">
        <v>244968</v>
      </c>
      <c r="D126" s="29" t="s">
        <v>41</v>
      </c>
      <c r="E126" s="583" t="n">
        <f aca="false">IF(D126="totale",(C126/(A126*24))/F126,IF(D126="marché libre",(C126/(A126*24))/G126,"spécifier histo"))</f>
        <v>0.340233333333333</v>
      </c>
      <c r="F126" s="59" t="n">
        <v>1000</v>
      </c>
      <c r="G126" s="59" t="n">
        <f aca="false">F126-H126</f>
        <v>600</v>
      </c>
      <c r="H126" s="9" t="n">
        <v>400</v>
      </c>
      <c r="I126" s="9"/>
      <c r="J126" s="205"/>
    </row>
    <row r="127" s="1" customFormat="true" ht="36.65" hidden="false" customHeight="true" outlineLevel="0" collapsed="false">
      <c r="A127" s="0" t="n">
        <v>31</v>
      </c>
      <c r="B127" s="34" t="n">
        <v>41548</v>
      </c>
      <c r="C127" s="58" t="n">
        <v>477878</v>
      </c>
      <c r="D127" s="29" t="s">
        <v>41</v>
      </c>
      <c r="E127" s="583" t="n">
        <f aca="false">IF(D127="totale",(C127/(A127*24))/F127,IF(D127="marché libre",(C127/(A127*24))/G127,"spécifier histo"))</f>
        <v>0.642309139784946</v>
      </c>
      <c r="F127" s="59" t="n">
        <v>1000</v>
      </c>
      <c r="G127" s="59" t="n">
        <f aca="false">F127-H127</f>
        <v>600</v>
      </c>
      <c r="H127" s="9" t="n">
        <v>400</v>
      </c>
      <c r="I127" s="9"/>
      <c r="J127" s="205"/>
    </row>
    <row r="128" s="1" customFormat="true" ht="36.65" hidden="false" customHeight="true" outlineLevel="0" collapsed="false">
      <c r="A128" s="0" t="n">
        <v>30</v>
      </c>
      <c r="B128" s="31" t="n">
        <v>41579</v>
      </c>
      <c r="C128" s="58" t="n">
        <v>593441</v>
      </c>
      <c r="D128" s="29" t="s">
        <v>41</v>
      </c>
      <c r="E128" s="583" t="n">
        <f aca="false">IF(D128="totale",(C128/(A128*24))/F128,IF(D128="marché libre",(C128/(A128*24))/G128,"spécifier histo"))</f>
        <v>0.824223611111111</v>
      </c>
      <c r="F128" s="59" t="n">
        <v>1000</v>
      </c>
      <c r="G128" s="59" t="n">
        <f aca="false">F128-H128</f>
        <v>600</v>
      </c>
      <c r="H128" s="9" t="n">
        <v>400</v>
      </c>
      <c r="I128" s="9"/>
      <c r="J128" s="205"/>
    </row>
    <row r="129" s="1" customFormat="true" ht="36.65" hidden="false" customHeight="true" outlineLevel="0" collapsed="false">
      <c r="A129" s="0" t="n">
        <v>31</v>
      </c>
      <c r="B129" s="34" t="n">
        <v>41609</v>
      </c>
      <c r="C129" s="58" t="n">
        <v>510690</v>
      </c>
      <c r="D129" s="29" t="s">
        <v>41</v>
      </c>
      <c r="E129" s="583" t="n">
        <f aca="false">IF(D129="totale",(C129/(A129*24))/F129,IF(D129="marché libre",(C129/(A129*24))/G129,"spécifier histo"))</f>
        <v>0.686411290322581</v>
      </c>
      <c r="F129" s="59" t="n">
        <v>1000</v>
      </c>
      <c r="G129" s="59" t="n">
        <f aca="false">F129-H129</f>
        <v>600</v>
      </c>
      <c r="H129" s="9" t="n">
        <v>400</v>
      </c>
      <c r="I129" s="9"/>
      <c r="J129" s="205"/>
    </row>
    <row r="130" s="1" customFormat="true" ht="36.65" hidden="false" customHeight="true" outlineLevel="0" collapsed="false">
      <c r="A130" s="0" t="n">
        <v>31</v>
      </c>
      <c r="B130" s="31" t="n">
        <v>41640</v>
      </c>
      <c r="C130" s="28" t="n">
        <v>600837</v>
      </c>
      <c r="D130" s="29" t="s">
        <v>41</v>
      </c>
      <c r="E130" s="583" t="n">
        <f aca="false">IF(D130="totale",(C130/(A130*24))/F130,IF(D130="marché libre",(C130/(A130*24))/G130,"spécifier histo"))</f>
        <v>0.807576612903226</v>
      </c>
      <c r="F130" s="59" t="n">
        <v>1000</v>
      </c>
      <c r="G130" s="59" t="n">
        <f aca="false">F130-H130</f>
        <v>600</v>
      </c>
      <c r="H130" s="9" t="n">
        <v>400</v>
      </c>
      <c r="I130" s="9"/>
      <c r="J130" s="205"/>
    </row>
    <row r="131" s="1" customFormat="true" ht="36.65" hidden="false" customHeight="true" outlineLevel="0" collapsed="false">
      <c r="A131" s="0" t="n">
        <v>28</v>
      </c>
      <c r="B131" s="34" t="n">
        <v>41671</v>
      </c>
      <c r="C131" s="28" t="n">
        <v>496506</v>
      </c>
      <c r="D131" s="29" t="s">
        <v>41</v>
      </c>
      <c r="E131" s="583" t="n">
        <f aca="false">IF(D131="totale",(C131/(A131*24))/F131,IF(D131="marché libre",(C131/(A131*24))/G131,"spécifier histo"))</f>
        <v>0.738848214285714</v>
      </c>
      <c r="F131" s="59" t="n">
        <v>1000</v>
      </c>
      <c r="G131" s="59" t="n">
        <f aca="false">F131-H131</f>
        <v>600</v>
      </c>
      <c r="H131" s="9" t="n">
        <v>400</v>
      </c>
      <c r="I131" s="9"/>
      <c r="J131" s="205"/>
    </row>
    <row r="132" s="1" customFormat="true" ht="36.65" hidden="false" customHeight="true" outlineLevel="0" collapsed="false">
      <c r="A132" s="0" t="n">
        <v>31</v>
      </c>
      <c r="B132" s="31" t="n">
        <v>41699</v>
      </c>
      <c r="C132" s="28" t="n">
        <v>313865</v>
      </c>
      <c r="D132" s="29" t="s">
        <v>41</v>
      </c>
      <c r="E132" s="583" t="n">
        <f aca="false">IF(D132="totale",(C132/(A132*24))/F132,IF(D132="marché libre",(C132/(A132*24))/G132,"spécifier histo"))</f>
        <v>0.421861559139785</v>
      </c>
      <c r="F132" s="59" t="n">
        <v>1000</v>
      </c>
      <c r="G132" s="59" t="n">
        <f aca="false">F132-H132</f>
        <v>600</v>
      </c>
      <c r="H132" s="9" t="n">
        <v>400</v>
      </c>
      <c r="I132" s="9"/>
      <c r="J132" s="205"/>
    </row>
    <row r="133" s="1" customFormat="true" ht="36.65" hidden="false" customHeight="true" outlineLevel="0" collapsed="false">
      <c r="A133" s="0" t="n">
        <v>30</v>
      </c>
      <c r="B133" s="34" t="n">
        <v>41730</v>
      </c>
      <c r="C133" s="28" t="n">
        <v>163301</v>
      </c>
      <c r="D133" s="29" t="s">
        <v>41</v>
      </c>
      <c r="E133" s="583" t="n">
        <f aca="false">IF(D133="totale",(C133/(A133*24))/F133,IF(D133="marché libre",(C133/(A133*24))/G133,"spécifier histo"))</f>
        <v>0.226806944444444</v>
      </c>
      <c r="F133" s="59" t="n">
        <v>1000</v>
      </c>
      <c r="G133" s="59" t="n">
        <f aca="false">F133-H133</f>
        <v>600</v>
      </c>
      <c r="H133" s="9" t="n">
        <v>400</v>
      </c>
      <c r="I133" s="9"/>
      <c r="J133" s="205"/>
    </row>
    <row r="134" s="1" customFormat="true" ht="36.65" hidden="false" customHeight="true" outlineLevel="0" collapsed="false">
      <c r="A134" s="0" t="n">
        <v>31</v>
      </c>
      <c r="B134" s="31" t="n">
        <v>41760</v>
      </c>
      <c r="C134" s="28" t="n">
        <v>175435</v>
      </c>
      <c r="D134" s="29" t="s">
        <v>41</v>
      </c>
      <c r="E134" s="583" t="n">
        <f aca="false">IF(D134="totale",(C134/(A134*24))/F134,IF(D134="marché libre",(C134/(A134*24))/G134,"spécifier histo"))</f>
        <v>0.235799731182796</v>
      </c>
      <c r="F134" s="59" t="n">
        <v>1000</v>
      </c>
      <c r="G134" s="59" t="n">
        <f aca="false">F134-H134</f>
        <v>600</v>
      </c>
      <c r="H134" s="9" t="n">
        <v>400</v>
      </c>
      <c r="I134" s="9"/>
      <c r="J134" s="205"/>
    </row>
    <row r="135" s="1" customFormat="true" ht="36.65" hidden="false" customHeight="true" outlineLevel="0" collapsed="false">
      <c r="A135" s="0" t="n">
        <v>30</v>
      </c>
      <c r="B135" s="34" t="n">
        <v>41791</v>
      </c>
      <c r="C135" s="28" t="n">
        <v>33243</v>
      </c>
      <c r="D135" s="29" t="s">
        <v>41</v>
      </c>
      <c r="E135" s="583" t="n">
        <f aca="false">IF(D135="totale",(C135/(A135*24))/F135,IF(D135="marché libre",(C135/(A135*24))/G135,"spécifier histo"))</f>
        <v>0.0461708333333333</v>
      </c>
      <c r="F135" s="59" t="n">
        <v>1000</v>
      </c>
      <c r="G135" s="59" t="n">
        <f aca="false">F135-H135</f>
        <v>600</v>
      </c>
      <c r="H135" s="9" t="n">
        <v>400</v>
      </c>
      <c r="I135" s="9"/>
      <c r="J135" s="205"/>
    </row>
    <row r="136" s="1" customFormat="true" ht="36.65" hidden="false" customHeight="true" outlineLevel="0" collapsed="false">
      <c r="A136" s="0" t="n">
        <v>31</v>
      </c>
      <c r="B136" s="31" t="n">
        <v>41821</v>
      </c>
      <c r="C136" s="28" t="n">
        <v>188063</v>
      </c>
      <c r="D136" s="29" t="s">
        <v>41</v>
      </c>
      <c r="E136" s="583" t="n">
        <f aca="false">IF(D136="totale",(C136/(A136*24))/F136,IF(D136="marché libre",(C136/(A136*24))/G136,"spécifier histo"))</f>
        <v>0.252772849462366</v>
      </c>
      <c r="F136" s="59" t="n">
        <v>1000</v>
      </c>
      <c r="G136" s="59" t="n">
        <f aca="false">F136-H136</f>
        <v>600</v>
      </c>
      <c r="H136" s="9" t="n">
        <v>400</v>
      </c>
      <c r="I136" s="9"/>
      <c r="J136" s="205"/>
    </row>
    <row r="137" s="1" customFormat="true" ht="36.65" hidden="false" customHeight="true" outlineLevel="0" collapsed="false">
      <c r="A137" s="0" t="n">
        <v>31</v>
      </c>
      <c r="B137" s="34" t="n">
        <v>41852</v>
      </c>
      <c r="C137" s="28" t="n">
        <v>302492</v>
      </c>
      <c r="D137" s="29" t="s">
        <v>41</v>
      </c>
      <c r="E137" s="583" t="n">
        <f aca="false">IF(D137="totale",(C137/(A137*24))/F137,IF(D137="marché libre",(C137/(A137*24))/G137,"spécifier histo"))</f>
        <v>0.406575268817204</v>
      </c>
      <c r="F137" s="59" t="n">
        <v>1000</v>
      </c>
      <c r="G137" s="59" t="n">
        <f aca="false">F137-H137</f>
        <v>600</v>
      </c>
      <c r="H137" s="9" t="n">
        <v>400</v>
      </c>
      <c r="I137" s="9"/>
      <c r="J137" s="205"/>
    </row>
    <row r="138" s="1" customFormat="true" ht="36.65" hidden="false" customHeight="true" outlineLevel="0" collapsed="false">
      <c r="A138" s="0" t="n">
        <v>30</v>
      </c>
      <c r="B138" s="31" t="n">
        <v>41883</v>
      </c>
      <c r="C138" s="28" t="n">
        <v>172995</v>
      </c>
      <c r="D138" s="29" t="s">
        <v>41</v>
      </c>
      <c r="E138" s="583" t="n">
        <f aca="false">IF(D138="totale",(C138/(A138*24))/F138,IF(D138="marché libre",(C138/(A138*24))/G138,"spécifier histo"))</f>
        <v>0.240270833333333</v>
      </c>
      <c r="F138" s="59" t="n">
        <v>1000</v>
      </c>
      <c r="G138" s="59" t="n">
        <f aca="false">F138-H138</f>
        <v>600</v>
      </c>
      <c r="H138" s="9" t="n">
        <v>400</v>
      </c>
      <c r="I138" s="9"/>
      <c r="J138" s="205"/>
    </row>
    <row r="139" s="1" customFormat="true" ht="36.65" hidden="false" customHeight="true" outlineLevel="0" collapsed="false">
      <c r="A139" s="0" t="n">
        <v>31</v>
      </c>
      <c r="B139" s="34" t="n">
        <v>41913</v>
      </c>
      <c r="C139" s="28" t="n">
        <v>272674</v>
      </c>
      <c r="D139" s="29" t="s">
        <v>41</v>
      </c>
      <c r="E139" s="583" t="n">
        <f aca="false">IF(D139="totale",(C139/(A139*24))/F139,IF(D139="marché libre",(C139/(A139*24))/G139,"spécifier histo"))</f>
        <v>0.366497311827957</v>
      </c>
      <c r="F139" s="59" t="n">
        <v>1000</v>
      </c>
      <c r="G139" s="59" t="n">
        <f aca="false">F139-H139</f>
        <v>600</v>
      </c>
      <c r="H139" s="9" t="n">
        <v>400</v>
      </c>
      <c r="I139" s="9"/>
      <c r="J139" s="205"/>
    </row>
    <row r="140" s="1" customFormat="true" ht="36.65" hidden="false" customHeight="true" outlineLevel="0" collapsed="false">
      <c r="A140" s="0" t="n">
        <v>30</v>
      </c>
      <c r="B140" s="31" t="n">
        <v>41944</v>
      </c>
      <c r="C140" s="28" t="n">
        <v>318297</v>
      </c>
      <c r="D140" s="29" t="s">
        <v>41</v>
      </c>
      <c r="E140" s="583" t="n">
        <f aca="false">IF(D140="totale",(C140/(A140*24))/F141,IF(D140="marché libre",(C140/(A140*24))/G141,"spécifier histo"))</f>
        <v>0.442079166666667</v>
      </c>
      <c r="F140" s="59" t="n">
        <v>1000</v>
      </c>
      <c r="G140" s="59" t="n">
        <f aca="false">F140-H140</f>
        <v>600</v>
      </c>
      <c r="H140" s="9" t="n">
        <v>400</v>
      </c>
      <c r="I140" s="9"/>
      <c r="J140" s="205"/>
    </row>
    <row r="141" s="1" customFormat="true" ht="36.65" hidden="false" customHeight="true" outlineLevel="0" collapsed="false">
      <c r="A141" s="0" t="n">
        <v>31</v>
      </c>
      <c r="B141" s="34" t="n">
        <v>41974</v>
      </c>
      <c r="C141" s="28" t="n">
        <v>224282</v>
      </c>
      <c r="D141" s="29" t="s">
        <v>41</v>
      </c>
      <c r="E141" s="583" t="n">
        <f aca="false">IF(D141="totale",(C141/(A141*24))/F141,IF(D141="marché libre",(C141/(A141*24))/G141,"spécifier histo"))</f>
        <v>0.301454301075269</v>
      </c>
      <c r="F141" s="59" t="n">
        <v>1000</v>
      </c>
      <c r="G141" s="59" t="n">
        <f aca="false">F141-H141</f>
        <v>600</v>
      </c>
      <c r="H141" s="9" t="n">
        <v>400</v>
      </c>
      <c r="I141" s="9"/>
      <c r="J141" s="205"/>
    </row>
    <row r="142" customFormat="false" ht="19.85" hidden="false" customHeight="true" outlineLevel="0" collapsed="false">
      <c r="A142" s="0" t="n">
        <v>31</v>
      </c>
      <c r="B142" s="169" t="n">
        <v>42005</v>
      </c>
      <c r="C142" s="170" t="n">
        <v>363736</v>
      </c>
      <c r="D142" s="585" t="s">
        <v>42</v>
      </c>
      <c r="E142" s="586" t="n">
        <f aca="false">IF(D142="totale",(C142/(A142*24))/F142,IF(D142="marché libre",(C142/(A142*24))/G142,"spécifier histo"))</f>
        <v>0.814820788530466</v>
      </c>
      <c r="F142" s="587" t="n">
        <v>1000</v>
      </c>
      <c r="G142" s="588" t="n">
        <f aca="false">F142-H142</f>
        <v>600</v>
      </c>
      <c r="H142" s="589" t="n">
        <v>400</v>
      </c>
      <c r="J142" s="55"/>
    </row>
    <row r="143" customFormat="false" ht="19.85" hidden="false" customHeight="true" outlineLevel="0" collapsed="false">
      <c r="A143" s="0" t="n">
        <v>28</v>
      </c>
      <c r="B143" s="34" t="n">
        <v>42036</v>
      </c>
      <c r="C143" s="56" t="n">
        <v>217910</v>
      </c>
      <c r="D143" s="585" t="s">
        <v>42</v>
      </c>
      <c r="E143" s="583" t="n">
        <f aca="false">IF(D143="totale",(C143/(A143*24))/F143,IF(D143="marché libre",(C143/(A143*24))/G143,"spécifier histo"))</f>
        <v>0.540451388888889</v>
      </c>
      <c r="F143" s="59" t="n">
        <v>1000</v>
      </c>
      <c r="G143" s="59" t="n">
        <f aca="false">F143-H143</f>
        <v>600</v>
      </c>
      <c r="H143" s="9" t="n">
        <v>400</v>
      </c>
      <c r="I143" s="590" t="s">
        <v>1156</v>
      </c>
      <c r="J143" s="55"/>
    </row>
    <row r="144" customFormat="false" ht="19.85" hidden="false" customHeight="true" outlineLevel="0" collapsed="false">
      <c r="A144" s="0" t="n">
        <v>31</v>
      </c>
      <c r="B144" s="31" t="n">
        <v>42064</v>
      </c>
      <c r="C144" s="56" t="n">
        <v>130191</v>
      </c>
      <c r="D144" s="585" t="s">
        <v>42</v>
      </c>
      <c r="E144" s="583" t="n">
        <f aca="false">IF(D144="totale",(C144/(A144*24))/F144,IF(D144="marché libre",(C144/(A144*24))/G144,"spécifier histo"))</f>
        <v>0.291646505376344</v>
      </c>
      <c r="F144" s="59" t="n">
        <v>1000</v>
      </c>
      <c r="G144" s="59" t="n">
        <f aca="false">F144-H144</f>
        <v>600</v>
      </c>
      <c r="H144" s="9" t="n">
        <v>400</v>
      </c>
      <c r="J144" s="55"/>
    </row>
    <row r="145" customFormat="false" ht="19.85" hidden="false" customHeight="true" outlineLevel="0" collapsed="false">
      <c r="A145" s="0" t="n">
        <v>30</v>
      </c>
      <c r="B145" s="34" t="n">
        <v>42095</v>
      </c>
      <c r="C145" s="56" t="n">
        <v>171169</v>
      </c>
      <c r="D145" s="585" t="s">
        <v>42</v>
      </c>
      <c r="E145" s="583" t="n">
        <f aca="false">IF(D145="totale",(C145/(A145*24))/F145,IF(D145="marché libre",(C145/(A145*24))/G145,"spécifier histo"))</f>
        <v>0.396224537037037</v>
      </c>
      <c r="F145" s="59" t="n">
        <v>1000</v>
      </c>
      <c r="G145" s="59" t="n">
        <f aca="false">F145-H145</f>
        <v>600</v>
      </c>
      <c r="H145" s="9" t="n">
        <v>400</v>
      </c>
      <c r="J145" s="55"/>
    </row>
    <row r="146" customFormat="false" ht="19.85" hidden="false" customHeight="true" outlineLevel="0" collapsed="false">
      <c r="A146" s="0" t="n">
        <v>31</v>
      </c>
      <c r="B146" s="31" t="n">
        <v>42125</v>
      </c>
      <c r="C146" s="56" t="n">
        <v>129462</v>
      </c>
      <c r="D146" s="585" t="s">
        <v>42</v>
      </c>
      <c r="E146" s="583" t="n">
        <f aca="false">IF(D146="totale",(C146/(A146*24))/F146,IF(D146="marché libre",(C146/(A146*24))/G146,"spécifier histo"))</f>
        <v>0.290013440860215</v>
      </c>
      <c r="F146" s="59" t="n">
        <v>1000</v>
      </c>
      <c r="G146" s="59" t="n">
        <f aca="false">F146-H146</f>
        <v>600</v>
      </c>
      <c r="H146" s="9" t="n">
        <v>400</v>
      </c>
      <c r="J146" s="55"/>
    </row>
    <row r="147" customFormat="false" ht="19.85" hidden="false" customHeight="true" outlineLevel="0" collapsed="false">
      <c r="A147" s="0" t="n">
        <v>30</v>
      </c>
      <c r="B147" s="34" t="n">
        <v>42156</v>
      </c>
      <c r="C147" s="56" t="n">
        <v>0</v>
      </c>
      <c r="D147" s="585" t="s">
        <v>42</v>
      </c>
      <c r="E147" s="583" t="n">
        <f aca="false">IF(D147="totale",(C147/(A147*24))/F147,IF(D147="marché libre",(C147/(A147*24))/G147,"spécifier histo"))</f>
        <v>0</v>
      </c>
      <c r="F147" s="59" t="n">
        <v>1000</v>
      </c>
      <c r="G147" s="59" t="n">
        <f aca="false">F147-H147</f>
        <v>600</v>
      </c>
      <c r="H147" s="9" t="n">
        <v>400</v>
      </c>
      <c r="J147" s="55"/>
    </row>
    <row r="148" customFormat="false" ht="19.85" hidden="false" customHeight="true" outlineLevel="0" collapsed="false">
      <c r="A148" s="0" t="n">
        <v>31</v>
      </c>
      <c r="B148" s="31" t="n">
        <v>42186</v>
      </c>
      <c r="C148" s="56" t="n">
        <v>0</v>
      </c>
      <c r="D148" s="585" t="s">
        <v>42</v>
      </c>
      <c r="E148" s="583" t="n">
        <f aca="false">IF(D148="totale",(C148/(A148*24))/F148,IF(D148="marché libre",(C148/(A148*24))/G148,"spécifier histo"))</f>
        <v>0</v>
      </c>
      <c r="F148" s="59" t="n">
        <v>1000</v>
      </c>
      <c r="G148" s="59" t="n">
        <f aca="false">F148-H148</f>
        <v>600</v>
      </c>
      <c r="H148" s="9" t="n">
        <v>400</v>
      </c>
      <c r="J148" s="55"/>
    </row>
    <row r="149" customFormat="false" ht="19.85" hidden="false" customHeight="true" outlineLevel="0" collapsed="false">
      <c r="A149" s="0" t="n">
        <v>31</v>
      </c>
      <c r="B149" s="34" t="n">
        <v>42217</v>
      </c>
      <c r="C149" s="56" t="n">
        <v>0</v>
      </c>
      <c r="D149" s="585" t="s">
        <v>42</v>
      </c>
      <c r="E149" s="583" t="n">
        <f aca="false">IF(D149="totale",(C149/(A149*24))/F149,IF(D149="marché libre",(C149/(A149*24))/G149,"spécifier histo"))</f>
        <v>0</v>
      </c>
      <c r="F149" s="59" t="n">
        <v>1000</v>
      </c>
      <c r="G149" s="59" t="n">
        <f aca="false">F149-H149</f>
        <v>600</v>
      </c>
      <c r="H149" s="9" t="n">
        <v>400</v>
      </c>
      <c r="J149" s="55"/>
    </row>
    <row r="150" customFormat="false" ht="19.85" hidden="false" customHeight="true" outlineLevel="0" collapsed="false">
      <c r="A150" s="0" t="n">
        <v>30</v>
      </c>
      <c r="B150" s="31" t="n">
        <v>42248</v>
      </c>
      <c r="C150" s="56" t="n">
        <v>145</v>
      </c>
      <c r="D150" s="585" t="s">
        <v>42</v>
      </c>
      <c r="E150" s="583" t="n">
        <f aca="false">IF(D150="totale",(C150/(A150*24))/F150,IF(D150="marché libre",(C150/(A150*24))/G150,"spécifier histo"))</f>
        <v>0.000335648148148148</v>
      </c>
      <c r="F150" s="59" t="n">
        <v>1000</v>
      </c>
      <c r="G150" s="59" t="n">
        <f aca="false">F150-H150</f>
        <v>600</v>
      </c>
      <c r="H150" s="9" t="n">
        <v>400</v>
      </c>
      <c r="J150" s="55"/>
    </row>
    <row r="151" customFormat="false" ht="19.85" hidden="false" customHeight="true" outlineLevel="0" collapsed="false">
      <c r="A151" s="0" t="n">
        <v>31</v>
      </c>
      <c r="B151" s="34" t="n">
        <v>42278</v>
      </c>
      <c r="C151" s="56" t="n">
        <v>0</v>
      </c>
      <c r="D151" s="585" t="s">
        <v>42</v>
      </c>
      <c r="E151" s="583" t="n">
        <f aca="false">IF(D151="totale",(C151/(A151*24))/F151,IF(D151="marché libre",(C151/(A151*24))/G151,"spécifier histo"))</f>
        <v>0</v>
      </c>
      <c r="F151" s="59" t="n">
        <v>1000</v>
      </c>
      <c r="G151" s="59" t="n">
        <f aca="false">F151-H151</f>
        <v>600</v>
      </c>
      <c r="H151" s="9" t="n">
        <v>400</v>
      </c>
      <c r="J151" s="55"/>
    </row>
    <row r="152" customFormat="false" ht="19.85" hidden="false" customHeight="true" outlineLevel="0" collapsed="false">
      <c r="A152" s="0" t="n">
        <v>30</v>
      </c>
      <c r="B152" s="31" t="n">
        <v>42309</v>
      </c>
      <c r="C152" s="56" t="n">
        <v>16310</v>
      </c>
      <c r="D152" s="585" t="s">
        <v>42</v>
      </c>
      <c r="E152" s="583" t="n">
        <f aca="false">IF(D152="totale",(C152/(A152*24))/F152,IF(D152="marché libre",(C152/(A152*24))/G152,"spécifier histo"))</f>
        <v>0.0377546296296296</v>
      </c>
      <c r="F152" s="59" t="n">
        <v>1000</v>
      </c>
      <c r="G152" s="59" t="n">
        <f aca="false">F152-H152</f>
        <v>600</v>
      </c>
      <c r="H152" s="9" t="n">
        <v>400</v>
      </c>
      <c r="J152" s="55"/>
    </row>
    <row r="153" customFormat="false" ht="19.85" hidden="false" customHeight="true" outlineLevel="0" collapsed="false">
      <c r="A153" s="0" t="n">
        <v>31</v>
      </c>
      <c r="B153" s="34" t="n">
        <v>42339</v>
      </c>
      <c r="C153" s="56" t="n">
        <v>7842</v>
      </c>
      <c r="D153" s="585" t="s">
        <v>42</v>
      </c>
      <c r="E153" s="583" t="n">
        <f aca="false">IF(D153="totale",(C153/(A153*24))/F153,IF(D153="marché libre",(C153/(A153*24))/G153,"spécifier histo"))</f>
        <v>0.0175672043010753</v>
      </c>
      <c r="F153" s="59" t="n">
        <v>1000</v>
      </c>
      <c r="G153" s="59" t="n">
        <f aca="false">F153-H153</f>
        <v>600</v>
      </c>
      <c r="H153" s="9" t="n">
        <v>400</v>
      </c>
      <c r="J153" s="55"/>
    </row>
    <row r="154" customFormat="false" ht="19.85" hidden="false" customHeight="true" outlineLevel="0" collapsed="false">
      <c r="A154" s="0" t="n">
        <v>31</v>
      </c>
      <c r="B154" s="31" t="n">
        <v>42370</v>
      </c>
      <c r="C154" s="56" t="n">
        <v>210122</v>
      </c>
      <c r="D154" s="585" t="s">
        <v>42</v>
      </c>
      <c r="E154" s="583" t="n">
        <f aca="false">IF(D154="totale",(C154/(A154*24))/F154,IF(D154="marché libre",(C154/(A154*24))/G154,"spécifier histo"))</f>
        <v>0.470703405017921</v>
      </c>
      <c r="F154" s="59" t="n">
        <v>1000</v>
      </c>
      <c r="G154" s="59" t="n">
        <f aca="false">F154-H154</f>
        <v>600</v>
      </c>
      <c r="H154" s="9" t="n">
        <v>400</v>
      </c>
      <c r="J154" s="55"/>
    </row>
    <row r="155" customFormat="false" ht="19.85" hidden="false" customHeight="true" outlineLevel="0" collapsed="false">
      <c r="A155" s="0" t="n">
        <v>28</v>
      </c>
      <c r="B155" s="34" t="n">
        <v>42401</v>
      </c>
      <c r="C155" s="56" t="n">
        <v>328563</v>
      </c>
      <c r="D155" s="585" t="s">
        <v>42</v>
      </c>
      <c r="E155" s="583" t="n">
        <f aca="false">IF(D155="totale",(C155/(A155*24))/F155,IF(D155="marché libre",(C155/(A155*24))/G155,"spécifier histo"))</f>
        <v>0.814888392857143</v>
      </c>
      <c r="F155" s="59" t="n">
        <v>1000</v>
      </c>
      <c r="G155" s="59" t="n">
        <f aca="false">F155-H155</f>
        <v>600</v>
      </c>
      <c r="H155" s="9" t="n">
        <v>400</v>
      </c>
      <c r="J155" s="55"/>
    </row>
    <row r="156" customFormat="false" ht="19.85" hidden="false" customHeight="true" outlineLevel="0" collapsed="false">
      <c r="A156" s="0" t="n">
        <v>31</v>
      </c>
      <c r="B156" s="31" t="n">
        <v>42430</v>
      </c>
      <c r="C156" s="56" t="n">
        <v>175485</v>
      </c>
      <c r="D156" s="585" t="s">
        <v>42</v>
      </c>
      <c r="E156" s="583" t="n">
        <f aca="false">IF(D156="totale",(C156/(A156*24))/F156,IF(D156="marché libre",(C156/(A156*24))/G156,"spécifier histo"))</f>
        <v>0.393111559139785</v>
      </c>
      <c r="F156" s="59" t="n">
        <v>1000</v>
      </c>
      <c r="G156" s="59" t="n">
        <f aca="false">F156-H156</f>
        <v>600</v>
      </c>
      <c r="H156" s="9" t="n">
        <v>400</v>
      </c>
      <c r="J156" s="55"/>
    </row>
    <row r="157" customFormat="false" ht="19.85" hidden="false" customHeight="true" outlineLevel="0" collapsed="false">
      <c r="A157" s="0" t="n">
        <v>30</v>
      </c>
      <c r="B157" s="34" t="n">
        <v>42461</v>
      </c>
      <c r="C157" s="56" t="n">
        <v>241045</v>
      </c>
      <c r="D157" s="585" t="s">
        <v>42</v>
      </c>
      <c r="E157" s="583" t="n">
        <f aca="false">IF(D157="totale",(C157/(A157*24))/F157,IF(D157="marché libre",(C157/(A157*24))/G157,"spécifier histo"))</f>
        <v>0.557974537037037</v>
      </c>
      <c r="F157" s="59" t="n">
        <v>1000</v>
      </c>
      <c r="G157" s="59" t="n">
        <f aca="false">F157-H157</f>
        <v>600</v>
      </c>
      <c r="H157" s="9" t="n">
        <v>400</v>
      </c>
      <c r="J157" s="55"/>
    </row>
    <row r="158" customFormat="false" ht="19.85" hidden="false" customHeight="true" outlineLevel="0" collapsed="false">
      <c r="A158" s="0" t="n">
        <v>31</v>
      </c>
      <c r="B158" s="31" t="n">
        <v>42491</v>
      </c>
      <c r="C158" s="56" t="n">
        <v>238167</v>
      </c>
      <c r="D158" s="585" t="s">
        <v>42</v>
      </c>
      <c r="E158" s="583" t="n">
        <f aca="false">IF(D158="totale",(C158/(A158*24))/F158,IF(D158="marché libre",(C158/(A158*24))/G158,"spécifier histo"))</f>
        <v>0.533528225806452</v>
      </c>
      <c r="F158" s="59" t="n">
        <v>1000</v>
      </c>
      <c r="G158" s="59" t="n">
        <f aca="false">F158-H158</f>
        <v>600</v>
      </c>
      <c r="H158" s="9" t="n">
        <v>400</v>
      </c>
      <c r="J158" s="55"/>
    </row>
    <row r="159" customFormat="false" ht="19.85" hidden="false" customHeight="true" outlineLevel="0" collapsed="false">
      <c r="A159" s="0" t="n">
        <v>30</v>
      </c>
      <c r="B159" s="34" t="n">
        <v>42522</v>
      </c>
      <c r="C159" s="56" t="n">
        <v>363123</v>
      </c>
      <c r="D159" s="585" t="s">
        <v>42</v>
      </c>
      <c r="E159" s="583" t="n">
        <f aca="false">IF(D159="totale",(C159/(A159*24))/F159,IF(D159="marché libre",(C159/(A159*24))/G159,"spécifier histo"))</f>
        <v>0.8405625</v>
      </c>
      <c r="F159" s="59" t="n">
        <v>1000</v>
      </c>
      <c r="G159" s="59" t="n">
        <f aca="false">F159-H159</f>
        <v>600</v>
      </c>
      <c r="H159" s="9" t="n">
        <v>400</v>
      </c>
      <c r="J159" s="55"/>
    </row>
    <row r="160" customFormat="false" ht="19.85" hidden="false" customHeight="true" outlineLevel="0" collapsed="false">
      <c r="A160" s="0" t="n">
        <v>31</v>
      </c>
      <c r="B160" s="31" t="n">
        <v>42552</v>
      </c>
      <c r="C160" s="56" t="n">
        <v>63341</v>
      </c>
      <c r="D160" s="585" t="s">
        <v>42</v>
      </c>
      <c r="E160" s="583" t="n">
        <f aca="false">IF(D160="totale",(C160/(A160*24))/F160,IF(D160="marché libre",(C160/(A160*24))/G160,"spécifier histo"))</f>
        <v>0.141892921146953</v>
      </c>
      <c r="F160" s="59" t="n">
        <v>1000</v>
      </c>
      <c r="G160" s="59" t="n">
        <f aca="false">F160-H160</f>
        <v>600</v>
      </c>
      <c r="H160" s="9" t="n">
        <v>400</v>
      </c>
      <c r="J160" s="55"/>
    </row>
    <row r="161" customFormat="false" ht="19.85" hidden="false" customHeight="true" outlineLevel="0" collapsed="false">
      <c r="A161" s="0" t="n">
        <v>31</v>
      </c>
      <c r="B161" s="34" t="n">
        <v>42583</v>
      </c>
      <c r="C161" s="56" t="n">
        <v>0</v>
      </c>
      <c r="D161" s="585" t="s">
        <v>42</v>
      </c>
      <c r="E161" s="583" t="n">
        <f aca="false">IF(D161="totale",(C161/(A161*24))/F161,IF(D161="marché libre",(C161/(A161*24))/G161,"spécifier histo"))</f>
        <v>0</v>
      </c>
      <c r="F161" s="59" t="n">
        <v>1000</v>
      </c>
      <c r="G161" s="59" t="n">
        <f aca="false">F161-H161</f>
        <v>600</v>
      </c>
      <c r="H161" s="9" t="n">
        <v>400</v>
      </c>
      <c r="J161" s="55"/>
    </row>
    <row r="162" customFormat="false" ht="19.85" hidden="false" customHeight="true" outlineLevel="0" collapsed="false">
      <c r="A162" s="0" t="n">
        <v>30</v>
      </c>
      <c r="B162" s="31" t="n">
        <v>42614</v>
      </c>
      <c r="C162" s="56" t="n">
        <v>195</v>
      </c>
      <c r="D162" s="585" t="s">
        <v>42</v>
      </c>
      <c r="E162" s="583" t="n">
        <f aca="false">IF(D162="totale",(C162/(A162*24))/F162,IF(D162="marché libre",(C162/(A162*24))/G162,"spécifier histo"))</f>
        <v>0.000451388888888889</v>
      </c>
      <c r="F162" s="59" t="n">
        <v>1000</v>
      </c>
      <c r="G162" s="59" t="n">
        <f aca="false">F162-H162</f>
        <v>600</v>
      </c>
      <c r="H162" s="9" t="n">
        <v>400</v>
      </c>
      <c r="J162" s="55"/>
    </row>
    <row r="163" customFormat="false" ht="19.85" hidden="false" customHeight="true" outlineLevel="0" collapsed="false">
      <c r="A163" s="0" t="n">
        <v>31</v>
      </c>
      <c r="B163" s="34" t="n">
        <v>42644</v>
      </c>
      <c r="C163" s="56" t="n">
        <v>930</v>
      </c>
      <c r="D163" s="585" t="s">
        <v>42</v>
      </c>
      <c r="E163" s="583" t="n">
        <f aca="false">IF(D163="totale",(C163/(A163*24))/F163,IF(D163="marché libre",(C163/(A163*24))/G163,"spécifier histo"))</f>
        <v>0.00208333333333333</v>
      </c>
      <c r="F163" s="59" t="n">
        <v>1000</v>
      </c>
      <c r="G163" s="59" t="n">
        <f aca="false">F163-H163</f>
        <v>600</v>
      </c>
      <c r="H163" s="9" t="n">
        <v>400</v>
      </c>
      <c r="J163" s="55"/>
    </row>
    <row r="164" customFormat="false" ht="19.85" hidden="false" customHeight="true" outlineLevel="0" collapsed="false">
      <c r="A164" s="0" t="n">
        <v>30</v>
      </c>
      <c r="B164" s="31" t="n">
        <v>42675</v>
      </c>
      <c r="C164" s="56" t="n">
        <v>64681</v>
      </c>
      <c r="D164" s="585" t="s">
        <v>42</v>
      </c>
      <c r="E164" s="583" t="n">
        <f aca="false">IF(D164="totale",(C164/(A164*24))/F164,IF(D164="marché libre",(C164/(A164*24))/G164,"spécifier histo"))</f>
        <v>0.149724537037037</v>
      </c>
      <c r="F164" s="59" t="n">
        <v>1000</v>
      </c>
      <c r="G164" s="59" t="n">
        <f aca="false">F164-H164</f>
        <v>600</v>
      </c>
      <c r="H164" s="9" t="n">
        <v>400</v>
      </c>
      <c r="J164" s="55"/>
    </row>
    <row r="165" customFormat="false" ht="19.85" hidden="false" customHeight="true" outlineLevel="0" collapsed="false">
      <c r="A165" s="0" t="n">
        <v>31</v>
      </c>
      <c r="B165" s="34" t="n">
        <v>42705</v>
      </c>
      <c r="C165" s="56" t="n">
        <v>0</v>
      </c>
      <c r="D165" s="585" t="s">
        <v>42</v>
      </c>
      <c r="E165" s="583" t="n">
        <f aca="false">IF(D165="totale",(C165/(A165*24))/F165,IF(D165="marché libre",(C165/(A165*24))/G165,"spécifier histo"))</f>
        <v>0</v>
      </c>
      <c r="F165" s="59" t="n">
        <v>1000</v>
      </c>
      <c r="G165" s="59" t="n">
        <f aca="false">F165-H165</f>
        <v>600</v>
      </c>
      <c r="H165" s="9" t="n">
        <v>400</v>
      </c>
      <c r="J165" s="55"/>
    </row>
    <row r="166" customFormat="false" ht="19.85" hidden="false" customHeight="true" outlineLevel="0" collapsed="false">
      <c r="A166" s="0" t="n">
        <v>31</v>
      </c>
      <c r="B166" s="31" t="n">
        <v>42736</v>
      </c>
      <c r="C166" s="56" t="n">
        <v>24548</v>
      </c>
      <c r="D166" s="585" t="s">
        <v>42</v>
      </c>
      <c r="E166" s="583" t="n">
        <f aca="false">IF(D166="totale",(C166/(A166*24))/F166,IF(D166="marché libre",(C166/(A166*24))/G166,"spécifier histo"))</f>
        <v>0.0549910394265233</v>
      </c>
      <c r="F166" s="59" t="n">
        <v>1000</v>
      </c>
      <c r="G166" s="59" t="n">
        <f aca="false">F166-H166</f>
        <v>600</v>
      </c>
      <c r="H166" s="9" t="n">
        <v>400</v>
      </c>
      <c r="J166" s="55"/>
    </row>
    <row r="167" customFormat="false" ht="19.85" hidden="false" customHeight="true" outlineLevel="0" collapsed="false">
      <c r="A167" s="0" t="n">
        <v>28</v>
      </c>
      <c r="B167" s="34" t="n">
        <v>42767</v>
      </c>
      <c r="C167" s="56" t="n">
        <v>252156</v>
      </c>
      <c r="D167" s="585" t="s">
        <v>42</v>
      </c>
      <c r="E167" s="583" t="n">
        <f aca="false">IF(D167="totale",(C167/(A167*24))/F167,IF(D167="marché libre",(C167/(A167*24))/G167,"spécifier histo"))</f>
        <v>0.625386904761905</v>
      </c>
      <c r="F167" s="59" t="n">
        <v>1000</v>
      </c>
      <c r="G167" s="59" t="n">
        <f aca="false">F167-H167</f>
        <v>600</v>
      </c>
      <c r="H167" s="9" t="n">
        <v>400</v>
      </c>
      <c r="J167" s="55"/>
    </row>
    <row r="168" customFormat="false" ht="19.85" hidden="false" customHeight="true" outlineLevel="0" collapsed="false">
      <c r="A168" s="0" t="n">
        <v>31</v>
      </c>
      <c r="B168" s="31" t="n">
        <v>42795</v>
      </c>
      <c r="C168" s="56" t="n">
        <v>337111</v>
      </c>
      <c r="D168" s="585" t="s">
        <v>42</v>
      </c>
      <c r="E168" s="583" t="n">
        <f aca="false">IF(D168="totale",(C168/(A168*24))/F168,IF(D168="marché libre",(C168/(A168*24))/G168,"spécifier histo"))</f>
        <v>0.755176971326165</v>
      </c>
      <c r="F168" s="59" t="n">
        <v>1000</v>
      </c>
      <c r="G168" s="59" t="n">
        <f aca="false">F168-H168</f>
        <v>600</v>
      </c>
      <c r="H168" s="9" t="n">
        <v>400</v>
      </c>
      <c r="J168" s="55"/>
    </row>
    <row r="169" customFormat="false" ht="19.85" hidden="false" customHeight="true" outlineLevel="0" collapsed="false">
      <c r="A169" s="0" t="n">
        <v>30</v>
      </c>
      <c r="B169" s="34" t="n">
        <v>42826</v>
      </c>
      <c r="C169" s="56" t="n">
        <v>8117</v>
      </c>
      <c r="D169" s="585" t="s">
        <v>42</v>
      </c>
      <c r="E169" s="583" t="n">
        <f aca="false">IF(D169="totale",(C169/(A169*24))/F169,IF(D169="marché libre",(C169/(A169*24))/G169,"spécifier histo"))</f>
        <v>0.0187893518518519</v>
      </c>
      <c r="F169" s="59" t="n">
        <v>1000</v>
      </c>
      <c r="G169" s="59" t="n">
        <f aca="false">F169-H169</f>
        <v>600</v>
      </c>
      <c r="H169" s="9" t="n">
        <v>400</v>
      </c>
      <c r="J169" s="55"/>
    </row>
    <row r="170" customFormat="false" ht="19.85" hidden="false" customHeight="true" outlineLevel="0" collapsed="false">
      <c r="A170" s="0" t="n">
        <v>31</v>
      </c>
      <c r="B170" s="31" t="n">
        <v>42856</v>
      </c>
      <c r="C170" s="9" t="n">
        <v>8321</v>
      </c>
      <c r="D170" s="585" t="s">
        <v>42</v>
      </c>
      <c r="E170" s="583" t="n">
        <f aca="false">IF(D170="totale",(C170/(A170*24))/F170,IF(D170="marché libre",(C170/(A170*24))/G170,"spécifier histo"))</f>
        <v>0.0186402329749104</v>
      </c>
      <c r="F170" s="59" t="n">
        <v>1000</v>
      </c>
      <c r="G170" s="59" t="n">
        <f aca="false">F170-H170</f>
        <v>600</v>
      </c>
      <c r="H170" s="9" t="n">
        <v>400</v>
      </c>
      <c r="J170" s="55"/>
    </row>
    <row r="171" customFormat="false" ht="22.45" hidden="false" customHeight="true" outlineLevel="0" collapsed="false">
      <c r="A171" s="0" t="n">
        <v>30</v>
      </c>
      <c r="B171" s="34" t="n">
        <v>42887</v>
      </c>
      <c r="C171" s="9" t="n">
        <v>10216</v>
      </c>
      <c r="D171" s="585" t="s">
        <v>42</v>
      </c>
      <c r="E171" s="583" t="n">
        <f aca="false">IF(D171="totale",(C171/(A171*24))/F171,IF(D171="marché libre",(C171/(A171*24))/G171,"spécifier histo"))</f>
        <v>0.0236481481481481</v>
      </c>
      <c r="F171" s="59" t="n">
        <v>1000</v>
      </c>
      <c r="G171" s="59" t="n">
        <f aca="false">F171-H171</f>
        <v>600</v>
      </c>
      <c r="H171" s="9" t="n">
        <v>400</v>
      </c>
      <c r="J171" s="55"/>
    </row>
    <row r="172" customFormat="false" ht="21.65" hidden="false" customHeight="true" outlineLevel="0" collapsed="false">
      <c r="A172" s="0" t="n">
        <v>31</v>
      </c>
      <c r="B172" s="31" t="n">
        <v>42917</v>
      </c>
      <c r="C172" s="9" t="n">
        <v>0</v>
      </c>
      <c r="D172" s="585" t="s">
        <v>42</v>
      </c>
      <c r="E172" s="583" t="n">
        <f aca="false">IF(D172="totale",(C172/(A172*24))/F172,IF(D172="marché libre",(C172/(A172*24))/G172,"spécifier histo"))</f>
        <v>0</v>
      </c>
      <c r="F172" s="59" t="n">
        <v>1000</v>
      </c>
      <c r="G172" s="59" t="n">
        <f aca="false">F172-H172</f>
        <v>600</v>
      </c>
      <c r="H172" s="9" t="n">
        <v>400</v>
      </c>
      <c r="J172" s="55"/>
    </row>
    <row r="173" customFormat="false" ht="21.65" hidden="false" customHeight="true" outlineLevel="0" collapsed="false">
      <c r="A173" s="0" t="n">
        <v>31</v>
      </c>
      <c r="B173" s="34" t="n">
        <v>42948</v>
      </c>
      <c r="C173" s="9" t="n">
        <v>0</v>
      </c>
      <c r="D173" s="585" t="s">
        <v>42</v>
      </c>
      <c r="E173" s="583" t="n">
        <f aca="false">IF(D173="totale",(C173/(A173*24))/F173,IF(D173="marché libre",(C173/(A173*24))/G173,"spécifier histo"))</f>
        <v>0</v>
      </c>
      <c r="F173" s="59" t="n">
        <v>1000</v>
      </c>
      <c r="G173" s="59" t="n">
        <f aca="false">F173-H173</f>
        <v>600</v>
      </c>
      <c r="H173" s="9" t="n">
        <v>400</v>
      </c>
      <c r="J173" s="55"/>
    </row>
    <row r="174" customFormat="false" ht="21.65" hidden="false" customHeight="true" outlineLevel="0" collapsed="false">
      <c r="A174" s="0" t="n">
        <v>30</v>
      </c>
      <c r="B174" s="31" t="n">
        <v>42979</v>
      </c>
      <c r="C174" s="9" t="n">
        <v>1670</v>
      </c>
      <c r="D174" s="585" t="s">
        <v>42</v>
      </c>
      <c r="E174" s="583" t="n">
        <f aca="false">IF(D174="totale",(C174/(A174*24))/F174,IF(D174="marché libre",(C174/(A174*24))/G174,"spécifier histo"))</f>
        <v>0.00386574074074074</v>
      </c>
      <c r="F174" s="59" t="n">
        <v>1000</v>
      </c>
      <c r="G174" s="59" t="n">
        <f aca="false">F174-H174</f>
        <v>600</v>
      </c>
      <c r="H174" s="9" t="n">
        <v>400</v>
      </c>
      <c r="J174" s="55"/>
    </row>
    <row r="175" customFormat="false" ht="21.65" hidden="false" customHeight="true" outlineLevel="0" collapsed="false">
      <c r="A175" s="0" t="n">
        <v>31</v>
      </c>
      <c r="B175" s="34" t="n">
        <v>43009</v>
      </c>
      <c r="C175" s="9" t="n">
        <v>759</v>
      </c>
      <c r="D175" s="585" t="s">
        <v>42</v>
      </c>
      <c r="E175" s="583" t="n">
        <f aca="false">IF(D175="totale",(C175/(A175*24))/F175,IF(D175="marché libre",(C175/(A175*24))/G175,"spécifier histo"))</f>
        <v>0.0017002688172043</v>
      </c>
      <c r="F175" s="59" t="n">
        <v>1000</v>
      </c>
      <c r="G175" s="59" t="n">
        <f aca="false">F175-H175</f>
        <v>600</v>
      </c>
      <c r="H175" s="9" t="n">
        <v>400</v>
      </c>
      <c r="J175" s="55"/>
    </row>
    <row r="176" customFormat="false" ht="21.65" hidden="false" customHeight="true" outlineLevel="0" collapsed="false">
      <c r="A176" s="0" t="n">
        <v>30</v>
      </c>
      <c r="B176" s="31" t="n">
        <v>43040</v>
      </c>
      <c r="C176" s="9" t="n">
        <v>165791</v>
      </c>
      <c r="D176" s="585" t="s">
        <v>42</v>
      </c>
      <c r="E176" s="583" t="n">
        <f aca="false">IF(D176="totale",(C176/(A176*24))/F176,IF(D176="marché libre",(C176/(A176*24))/G176,"spécifier histo"))</f>
        <v>0.383775462962963</v>
      </c>
      <c r="F176" s="59" t="n">
        <v>1000</v>
      </c>
      <c r="G176" s="59" t="n">
        <f aca="false">F176-H176</f>
        <v>600</v>
      </c>
      <c r="H176" s="9" t="n">
        <v>400</v>
      </c>
      <c r="J176" s="55"/>
    </row>
    <row r="177" customFormat="false" ht="21.65" hidden="false" customHeight="true" outlineLevel="0" collapsed="false">
      <c r="A177" s="0" t="n">
        <v>31</v>
      </c>
      <c r="B177" s="34" t="n">
        <v>43070</v>
      </c>
      <c r="C177" s="9" t="n">
        <v>370017</v>
      </c>
      <c r="D177" s="585" t="s">
        <v>42</v>
      </c>
      <c r="E177" s="583" t="n">
        <f aca="false">IF(D177="totale",(C177/(A177*24))/F177,IF(D177="marché libre",(C177/(A177*24))/G177,"spécifier histo"))</f>
        <v>0.828891129032258</v>
      </c>
      <c r="F177" s="59" t="n">
        <v>1000</v>
      </c>
      <c r="G177" s="59" t="n">
        <f aca="false">F177-H177</f>
        <v>600</v>
      </c>
      <c r="H177" s="9" t="n">
        <v>400</v>
      </c>
      <c r="J177" s="55"/>
    </row>
    <row r="178" customFormat="false" ht="28.35" hidden="false" customHeight="true" outlineLevel="0" collapsed="false">
      <c r="A178" s="0" t="n">
        <v>31</v>
      </c>
      <c r="B178" s="31" t="n">
        <v>43101</v>
      </c>
      <c r="C178" s="9" t="n">
        <v>334035</v>
      </c>
      <c r="D178" s="585" t="s">
        <v>42</v>
      </c>
      <c r="E178" s="583" t="n">
        <f aca="false">IF(D178="totale",(C178/(A178*24))/F178,IF(D178="marché libre",(C178/(A178*24))/G178,"spécifier histo"))</f>
        <v>0.748286290322581</v>
      </c>
      <c r="F178" s="59" t="n">
        <v>1000</v>
      </c>
      <c r="G178" s="59" t="n">
        <f aca="false">F178-H178</f>
        <v>600</v>
      </c>
      <c r="H178" s="9" t="n">
        <v>400</v>
      </c>
      <c r="J178" s="55"/>
    </row>
    <row r="179" customFormat="false" ht="28.35" hidden="false" customHeight="true" outlineLevel="0" collapsed="false">
      <c r="A179" s="0"/>
    </row>
    <row r="180" customFormat="false" ht="28.35" hidden="false" customHeight="true" outlineLevel="0" collapsed="false">
      <c r="A180" s="0"/>
    </row>
    <row r="181" customFormat="false" ht="28.35" hidden="false" customHeight="true" outlineLevel="0" collapsed="false">
      <c r="A181" s="0"/>
    </row>
    <row r="182" customFormat="false" ht="28.35" hidden="false" customHeight="true" outlineLevel="0" collapsed="false">
      <c r="A182" s="0"/>
    </row>
    <row r="183" customFormat="false" ht="28.35" hidden="false" customHeight="true" outlineLevel="0" collapsed="false">
      <c r="A183" s="0"/>
    </row>
    <row r="184" customFormat="false" ht="28.35" hidden="false" customHeight="true" outlineLevel="0" collapsed="false">
      <c r="A184" s="0"/>
    </row>
    <row r="185" customFormat="false" ht="28.35" hidden="false" customHeight="true" outlineLevel="0" collapsed="false">
      <c r="A185" s="0"/>
    </row>
    <row r="186" customFormat="false" ht="28.35" hidden="false" customHeight="true" outlineLevel="0" collapsed="false">
      <c r="A186" s="0"/>
    </row>
    <row r="187" customFormat="false" ht="28.35" hidden="false" customHeight="true" outlineLevel="0" collapsed="false">
      <c r="A187" s="0"/>
    </row>
    <row r="188" customFormat="false" ht="28.35" hidden="false" customHeight="true" outlineLevel="0" collapsed="false">
      <c r="A188" s="0"/>
    </row>
    <row r="189" customFormat="false" ht="28.35" hidden="false" customHeight="true" outlineLevel="0" collapsed="false">
      <c r="A189" s="0"/>
    </row>
    <row r="190" customFormat="false" ht="28.35" hidden="false" customHeight="true" outlineLevel="0" collapsed="false">
      <c r="A190" s="0"/>
    </row>
    <row r="191" customFormat="false" ht="28.35" hidden="false" customHeight="true" outlineLevel="0" collapsed="false">
      <c r="A191" s="0"/>
    </row>
    <row r="192" customFormat="false" ht="28.35" hidden="false" customHeight="true" outlineLevel="0" collapsed="false">
      <c r="A192" s="0"/>
    </row>
    <row r="193" customFormat="false" ht="28.35" hidden="false" customHeight="true" outlineLevel="0" collapsed="false">
      <c r="A193" s="0"/>
    </row>
    <row r="194" customFormat="false" ht="28.35" hidden="false" customHeight="true" outlineLevel="0" collapsed="false">
      <c r="A194" s="0"/>
    </row>
    <row r="195" customFormat="false" ht="28.35" hidden="false" customHeight="true" outlineLevel="0" collapsed="false">
      <c r="A195" s="0"/>
    </row>
    <row r="196" customFormat="false" ht="12.8" hidden="false" customHeight="false" outlineLevel="0" collapsed="false">
      <c r="A196" s="0"/>
    </row>
    <row r="197" customFormat="false" ht="12.8" hidden="false" customHeight="false" outlineLevel="0" collapsed="false">
      <c r="A197" s="0"/>
    </row>
    <row r="198" customFormat="false" ht="12.8" hidden="false" customHeight="false" outlineLevel="0" collapsed="false">
      <c r="A198" s="0"/>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row r="212" customFormat="false" ht="12.8" hidden="false" customHeight="false" outlineLevel="0" collapsed="false">
      <c r="A212" s="0"/>
    </row>
    <row r="213" customFormat="false" ht="12.8" hidden="false" customHeight="fals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sheetData>
  <mergeCells count="12">
    <mergeCell ref="B1:E2"/>
    <mergeCell ref="F1:N1"/>
    <mergeCell ref="F2:I2"/>
    <mergeCell ref="J2:K2"/>
    <mergeCell ref="L2:M2"/>
    <mergeCell ref="N2:N3"/>
    <mergeCell ref="U2:U3"/>
    <mergeCell ref="T4:V4"/>
    <mergeCell ref="C6:D6"/>
    <mergeCell ref="F6:F7"/>
    <mergeCell ref="G6:N7"/>
    <mergeCell ref="C7:D7"/>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5.xml><?xml version="1.0" encoding="utf-8"?>
<worksheet xmlns="http://schemas.openxmlformats.org/spreadsheetml/2006/main" xmlns:r="http://schemas.openxmlformats.org/officeDocument/2006/relationships">
  <sheetPr filterMode="false">
    <tabColor rgb="FF00CC33"/>
    <pageSetUpPr fitToPage="false"/>
  </sheetPr>
  <dimension ref="A1:V23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69" activePane="bottomRight" state="frozen"/>
      <selection pane="topLeft" activeCell="A1" activeCellId="0" sqref="A1"/>
      <selection pane="topRight" activeCell="B1" activeCellId="0" sqref="B1"/>
      <selection pane="bottomLeft" activeCell="A169" activeCellId="0" sqref="A169"/>
      <selection pane="bottomRight" activeCell="I123" activeCellId="0" sqref="I123"/>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56" width="24.68"/>
    <col collapsed="false" customWidth="true" hidden="false" outlineLevel="0" max="11" min="11" style="256" width="19.45"/>
    <col collapsed="false" customWidth="true" hidden="false" outlineLevel="0" max="12" min="12" style="256" width="24.54"/>
    <col collapsed="false" customWidth="false" hidden="false" outlineLevel="0" max="13" min="13" style="256" width="11.52"/>
    <col collapsed="false" customWidth="true" hidden="false" outlineLevel="0" max="14" min="14" style="256" width="10.8"/>
    <col collapsed="false" customWidth="true" hidden="false" outlineLevel="0" max="15" min="15" style="256" width="4.02"/>
    <col collapsed="false" customWidth="false" hidden="false" outlineLevel="0" max="16" min="16" style="256" width="11.52"/>
    <col collapsed="false" customWidth="true" hidden="false" outlineLevel="0" max="17" min="17" style="256" width="15.28"/>
    <col collapsed="false" customWidth="true" hidden="false" outlineLevel="0" max="18" min="18" style="256" width="3.85"/>
    <col collapsed="false" customWidth="false" hidden="false" outlineLevel="0" max="20" min="19" style="256" width="11.52"/>
    <col collapsed="false" customWidth="false" hidden="false" outlineLevel="0" max="1025" min="21" style="1" width="11.52"/>
  </cols>
  <sheetData>
    <row r="1" s="1" customFormat="true" ht="30.8" hidden="false" customHeight="true" outlineLevel="0" collapsed="false">
      <c r="A1" s="122" t="s">
        <v>108</v>
      </c>
      <c r="B1" s="2" t="s">
        <v>0</v>
      </c>
      <c r="C1" s="2"/>
      <c r="D1" s="2"/>
      <c r="E1" s="2"/>
      <c r="F1" s="3" t="s">
        <v>1</v>
      </c>
      <c r="G1" s="3"/>
      <c r="H1" s="3"/>
      <c r="I1" s="3"/>
      <c r="J1" s="3"/>
      <c r="K1" s="3"/>
      <c r="L1" s="3"/>
      <c r="M1" s="3"/>
      <c r="N1" s="3"/>
    </row>
    <row r="2" s="1" customFormat="true" ht="30.8" hidden="false" customHeight="true" outlineLevel="0" collapsed="false">
      <c r="A2" s="0" t="n">
        <v>11</v>
      </c>
      <c r="B2" s="2"/>
      <c r="C2" s="2"/>
      <c r="D2" s="2"/>
      <c r="E2" s="2"/>
      <c r="F2" s="3" t="s">
        <v>305</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1157</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16" t="s">
        <v>1158</v>
      </c>
      <c r="C4" s="16" t="n">
        <v>473437</v>
      </c>
      <c r="D4" s="5" t="s">
        <v>1159</v>
      </c>
      <c r="E4" s="14" t="s">
        <v>63</v>
      </c>
      <c r="F4" s="15" t="n">
        <v>1700</v>
      </c>
      <c r="G4" s="15" t="n">
        <v>1854</v>
      </c>
      <c r="H4" s="15" t="n">
        <v>900</v>
      </c>
      <c r="I4" s="5" t="s">
        <v>1160</v>
      </c>
      <c r="J4" s="15" t="n">
        <v>1820</v>
      </c>
      <c r="K4" s="16" t="s">
        <v>1161</v>
      </c>
      <c r="L4" s="16" t="s">
        <v>312</v>
      </c>
      <c r="M4" s="16" t="s">
        <v>312</v>
      </c>
      <c r="N4" s="16"/>
      <c r="P4" s="17"/>
      <c r="Q4" s="16" t="s">
        <v>23</v>
      </c>
      <c r="S4" s="18"/>
      <c r="T4" s="19" t="s">
        <v>24</v>
      </c>
      <c r="U4" s="19"/>
      <c r="V4" s="19"/>
    </row>
    <row r="5" s="1" customFormat="true" ht="28.35" hidden="false" customHeight="true" outlineLevel="0" collapsed="false">
      <c r="A5" s="0"/>
      <c r="B5" s="1" t="s">
        <v>1162</v>
      </c>
      <c r="F5" s="9"/>
      <c r="G5" s="9"/>
      <c r="H5" s="9"/>
      <c r="J5" s="9"/>
      <c r="P5" s="9"/>
      <c r="Q5" s="9"/>
    </row>
    <row r="6" s="1" customFormat="true" ht="28.35" hidden="false" customHeight="true" outlineLevel="0" collapsed="false">
      <c r="A6" s="0"/>
      <c r="B6" s="0"/>
      <c r="C6" s="10" t="s">
        <v>25</v>
      </c>
      <c r="D6" s="10"/>
      <c r="F6" s="20" t="s">
        <v>26</v>
      </c>
      <c r="G6" s="591" t="s">
        <v>1163</v>
      </c>
      <c r="H6" s="591"/>
      <c r="I6" s="591"/>
      <c r="J6" s="591"/>
      <c r="K6" s="591"/>
      <c r="L6" s="591"/>
      <c r="M6" s="591"/>
      <c r="N6" s="591"/>
      <c r="P6" s="21" t="n">
        <v>42005</v>
      </c>
      <c r="Q6" s="19" t="s">
        <v>27</v>
      </c>
      <c r="R6" s="9"/>
      <c r="S6" s="22"/>
      <c r="T6" s="5" t="s">
        <v>28</v>
      </c>
    </row>
    <row r="7" s="1" customFormat="true" ht="66.9" hidden="false" customHeight="true" outlineLevel="0" collapsed="false">
      <c r="A7" s="0"/>
      <c r="B7" s="0"/>
      <c r="C7" s="126" t="s">
        <v>1164</v>
      </c>
      <c r="D7" s="126"/>
      <c r="F7" s="20"/>
      <c r="G7" s="20"/>
      <c r="H7" s="591"/>
      <c r="I7" s="591"/>
      <c r="J7" s="591"/>
      <c r="K7" s="591"/>
      <c r="L7" s="591"/>
      <c r="M7" s="591"/>
      <c r="N7" s="591"/>
      <c r="P7" s="24"/>
      <c r="Q7" s="5" t="s">
        <v>29</v>
      </c>
      <c r="R7" s="9"/>
      <c r="S7" s="25"/>
      <c r="T7" s="5" t="s">
        <v>30</v>
      </c>
    </row>
    <row r="8" s="1" customFormat="true" ht="42.45" hidden="false" customHeight="true" outlineLevel="0" collapsed="false">
      <c r="A8" s="26"/>
      <c r="C8" s="0"/>
      <c r="F8" s="9"/>
      <c r="G8" s="9"/>
      <c r="H8" s="9"/>
      <c r="J8" s="9"/>
      <c r="R8" s="9"/>
      <c r="S8" s="27"/>
      <c r="T8" s="16" t="s">
        <v>31</v>
      </c>
    </row>
    <row r="9" s="1" customFormat="true" ht="36.65" hidden="false" customHeight="true" outlineLevel="0" collapsed="false">
      <c r="A9" s="26"/>
      <c r="B9" s="9" t="s">
        <v>32</v>
      </c>
      <c r="C9" s="1" t="s">
        <v>33</v>
      </c>
      <c r="D9" s="0"/>
      <c r="E9" s="1" t="s">
        <v>35</v>
      </c>
      <c r="F9" s="9" t="s">
        <v>36</v>
      </c>
      <c r="G9" s="9" t="s">
        <v>37</v>
      </c>
      <c r="H9" s="9" t="s">
        <v>38</v>
      </c>
      <c r="I9" s="9" t="s">
        <v>39</v>
      </c>
      <c r="J9" s="205" t="s">
        <v>40</v>
      </c>
    </row>
    <row r="10" customFormat="false" ht="19.85" hidden="false" customHeight="true" outlineLevel="0" collapsed="false">
      <c r="A10" s="0" t="n">
        <v>31</v>
      </c>
      <c r="B10" s="31" t="n">
        <v>37987</v>
      </c>
      <c r="C10" s="592" t="n">
        <v>852400</v>
      </c>
      <c r="D10" s="58" t="s">
        <v>41</v>
      </c>
      <c r="E10" s="33" t="n">
        <f aca="false">IF(D10="totale",(C10/(A10*24))/F10,IF(D10="marché libre",(C10/(A10*24))/G10,"spécifier histo"))</f>
        <v>0.629504903698452</v>
      </c>
      <c r="F10" s="59" t="n">
        <v>1820</v>
      </c>
      <c r="G10" s="59" t="n">
        <f aca="false">F10-H10</f>
        <v>1820</v>
      </c>
      <c r="H10" s="59" t="n">
        <f aca="false">0</f>
        <v>0</v>
      </c>
      <c r="J10" s="70"/>
      <c r="K10" s="593"/>
      <c r="L10" s="594"/>
      <c r="M10" s="594"/>
    </row>
    <row r="11" customFormat="false" ht="19.85" hidden="false" customHeight="true" outlineLevel="0" collapsed="false">
      <c r="A11" s="0" t="n">
        <v>28</v>
      </c>
      <c r="B11" s="34" t="n">
        <v>38018</v>
      </c>
      <c r="C11" s="592" t="n">
        <v>1031600</v>
      </c>
      <c r="D11" s="58" t="s">
        <v>41</v>
      </c>
      <c r="E11" s="33" t="n">
        <f aca="false">IF(D11="totale",(C11/(A11*24))/F11,IF(D11="marché libre",(C11/(A11*24))/G11,"spécifier histo"))</f>
        <v>0.84347200418629</v>
      </c>
      <c r="F11" s="59" t="n">
        <v>1820</v>
      </c>
      <c r="G11" s="59" t="n">
        <f aca="false">F11-H11</f>
        <v>1820</v>
      </c>
      <c r="H11" s="59" t="n">
        <f aca="false">0</f>
        <v>0</v>
      </c>
      <c r="J11" s="70"/>
      <c r="K11" s="595"/>
      <c r="L11" s="36"/>
      <c r="M11" s="36"/>
    </row>
    <row r="12" customFormat="false" ht="19.85" hidden="false" customHeight="true" outlineLevel="0" collapsed="false">
      <c r="A12" s="0" t="n">
        <v>31</v>
      </c>
      <c r="B12" s="31" t="n">
        <v>38047</v>
      </c>
      <c r="C12" s="592" t="n">
        <v>803200</v>
      </c>
      <c r="D12" s="58" t="s">
        <v>41</v>
      </c>
      <c r="E12" s="33" t="n">
        <f aca="false">IF(D12="totale",(C12/(A12*24))/F12,IF(D12="marché libre",(C12/(A12*24))/G12,"spécifier histo"))</f>
        <v>0.593170270589625</v>
      </c>
      <c r="F12" s="59" t="n">
        <v>1820</v>
      </c>
      <c r="G12" s="59" t="n">
        <f aca="false">F12-H12</f>
        <v>1820</v>
      </c>
      <c r="H12" s="59" t="n">
        <f aca="false">0</f>
        <v>0</v>
      </c>
      <c r="J12" s="70"/>
      <c r="K12" s="592"/>
      <c r="L12" s="594"/>
      <c r="M12" s="594"/>
    </row>
    <row r="13" customFormat="false" ht="19.85" hidden="false" customHeight="true" outlineLevel="0" collapsed="false">
      <c r="A13" s="0" t="n">
        <v>30</v>
      </c>
      <c r="B13" s="34" t="n">
        <v>38078</v>
      </c>
      <c r="C13" s="592" t="n">
        <v>755600</v>
      </c>
      <c r="D13" s="58" t="s">
        <v>41</v>
      </c>
      <c r="E13" s="33" t="n">
        <f aca="false">IF(D13="totale",(C13/(A13*24))/F13,IF(D13="marché libre",(C13/(A13*24))/G13,"spécifier histo"))</f>
        <v>0.576617826617827</v>
      </c>
      <c r="F13" s="59" t="n">
        <v>1820</v>
      </c>
      <c r="G13" s="59" t="n">
        <f aca="false">F13-H13</f>
        <v>1820</v>
      </c>
      <c r="H13" s="59" t="n">
        <f aca="false">0</f>
        <v>0</v>
      </c>
      <c r="J13" s="70"/>
      <c r="K13" s="592"/>
      <c r="L13" s="36"/>
      <c r="M13" s="36"/>
    </row>
    <row r="14" customFormat="false" ht="19.85" hidden="false" customHeight="true" outlineLevel="0" collapsed="false">
      <c r="A14" s="0" t="n">
        <v>31</v>
      </c>
      <c r="B14" s="31" t="n">
        <v>38108</v>
      </c>
      <c r="C14" s="592" t="n">
        <v>628000</v>
      </c>
      <c r="D14" s="58" t="s">
        <v>41</v>
      </c>
      <c r="E14" s="33" t="n">
        <f aca="false">IF(D14="totale",(C14/(A14*24))/F14,IF(D14="marché libre",(C14/(A14*24))/G14,"spécifier histo"))</f>
        <v>0.463783528299657</v>
      </c>
      <c r="F14" s="59" t="n">
        <v>1820</v>
      </c>
      <c r="G14" s="59" t="n">
        <f aca="false">F14-H14</f>
        <v>1820</v>
      </c>
      <c r="H14" s="59" t="n">
        <f aca="false">0</f>
        <v>0</v>
      </c>
      <c r="J14" s="70"/>
      <c r="K14" s="592"/>
      <c r="L14" s="593"/>
      <c r="M14" s="593"/>
    </row>
    <row r="15" customFormat="false" ht="19.85" hidden="false" customHeight="true" outlineLevel="0" collapsed="false">
      <c r="A15" s="0" t="n">
        <v>30</v>
      </c>
      <c r="B15" s="34" t="n">
        <v>38139</v>
      </c>
      <c r="C15" s="592" t="n">
        <v>0</v>
      </c>
      <c r="D15" s="58" t="s">
        <v>41</v>
      </c>
      <c r="E15" s="33" t="n">
        <f aca="false">IF(D15="totale",(C15/(A15*24))/F15,IF(D15="marché libre",(C15/(A15*24))/G15,"spécifier histo"))</f>
        <v>0</v>
      </c>
      <c r="F15" s="59" t="n">
        <v>1820</v>
      </c>
      <c r="G15" s="59" t="n">
        <f aca="false">F15-H15</f>
        <v>1820</v>
      </c>
      <c r="H15" s="59" t="n">
        <f aca="false">0</f>
        <v>0</v>
      </c>
      <c r="J15" s="70"/>
      <c r="K15" s="592"/>
      <c r="L15" s="595"/>
      <c r="M15" s="595"/>
    </row>
    <row r="16" customFormat="false" ht="19.85" hidden="false" customHeight="true" outlineLevel="0" collapsed="false">
      <c r="A16" s="0" t="n">
        <v>31</v>
      </c>
      <c r="B16" s="31" t="n">
        <v>38169</v>
      </c>
      <c r="C16" s="592" t="n">
        <v>492800</v>
      </c>
      <c r="D16" s="58" t="s">
        <v>41</v>
      </c>
      <c r="E16" s="33" t="n">
        <f aca="false">IF(D16="totale",(C16/(A16*24))/F16,IF(D16="marché libre",(C16/(A16*24))/G16,"spécifier histo"))</f>
        <v>0.363937138130686</v>
      </c>
      <c r="F16" s="59" t="n">
        <v>1820</v>
      </c>
      <c r="G16" s="59" t="n">
        <f aca="false">F16-H16</f>
        <v>1820</v>
      </c>
      <c r="H16" s="59" t="n">
        <f aca="false">0</f>
        <v>0</v>
      </c>
      <c r="J16" s="70"/>
      <c r="K16" s="592"/>
      <c r="L16" s="592"/>
      <c r="M16" s="592"/>
    </row>
    <row r="17" customFormat="false" ht="19.85" hidden="false" customHeight="true" outlineLevel="0" collapsed="false">
      <c r="A17" s="0" t="n">
        <v>31</v>
      </c>
      <c r="B17" s="34" t="n">
        <v>38200</v>
      </c>
      <c r="C17" s="592" t="n">
        <v>592000</v>
      </c>
      <c r="D17" s="58" t="s">
        <v>41</v>
      </c>
      <c r="E17" s="33" t="n">
        <f aca="false">IF(D17="totale",(C17/(A17*24))/F17,IF(D17="marché libre",(C17/(A17*24))/G17,"spécifier histo"))</f>
        <v>0.43719721139076</v>
      </c>
      <c r="F17" s="59" t="n">
        <v>1820</v>
      </c>
      <c r="G17" s="59" t="n">
        <f aca="false">F17-H17</f>
        <v>1820</v>
      </c>
      <c r="H17" s="59" t="n">
        <f aca="false">0</f>
        <v>0</v>
      </c>
      <c r="J17" s="70"/>
      <c r="K17" s="592"/>
      <c r="L17" s="592"/>
      <c r="M17" s="592"/>
    </row>
    <row r="18" customFormat="false" ht="19.85" hidden="false" customHeight="true" outlineLevel="0" collapsed="false">
      <c r="A18" s="0" t="n">
        <v>30</v>
      </c>
      <c r="B18" s="31" t="n">
        <v>38231</v>
      </c>
      <c r="C18" s="592" t="n">
        <v>397600</v>
      </c>
      <c r="D18" s="58" t="s">
        <v>41</v>
      </c>
      <c r="E18" s="33" t="n">
        <f aca="false">IF(D18="totale",(C18/(A18*24))/F18,IF(D18="marché libre",(C18/(A18*24))/G18,"spécifier histo"))</f>
        <v>0.303418803418803</v>
      </c>
      <c r="F18" s="59" t="n">
        <v>1820</v>
      </c>
      <c r="G18" s="59" t="n">
        <f aca="false">F18-H18</f>
        <v>1820</v>
      </c>
      <c r="H18" s="59" t="n">
        <f aca="false">0</f>
        <v>0</v>
      </c>
      <c r="J18" s="70"/>
      <c r="K18" s="592"/>
      <c r="L18" s="592"/>
      <c r="M18" s="592"/>
    </row>
    <row r="19" customFormat="false" ht="19.85" hidden="false" customHeight="true" outlineLevel="0" collapsed="false">
      <c r="A19" s="0" t="n">
        <v>31</v>
      </c>
      <c r="B19" s="34" t="n">
        <v>38261</v>
      </c>
      <c r="C19" s="592" t="n">
        <v>914800</v>
      </c>
      <c r="D19" s="58" t="s">
        <v>41</v>
      </c>
      <c r="E19" s="33" t="n">
        <f aca="false">IF(D19="totale",(C19/(A19*24))/F19,IF(D19="marché libre",(C19/(A19*24))/G19,"spécifier histo"))</f>
        <v>0.675587853007208</v>
      </c>
      <c r="F19" s="59" t="n">
        <v>1820</v>
      </c>
      <c r="G19" s="59" t="n">
        <f aca="false">F19-H19</f>
        <v>1820</v>
      </c>
      <c r="H19" s="59" t="n">
        <f aca="false">0</f>
        <v>0</v>
      </c>
      <c r="J19" s="70"/>
      <c r="K19" s="592"/>
      <c r="L19" s="592"/>
      <c r="M19" s="592"/>
    </row>
    <row r="20" customFormat="false" ht="19.85" hidden="false" customHeight="true" outlineLevel="0" collapsed="false">
      <c r="A20" s="0" t="n">
        <v>30</v>
      </c>
      <c r="B20" s="31" t="n">
        <v>38292</v>
      </c>
      <c r="C20" s="592" t="n">
        <v>906400</v>
      </c>
      <c r="D20" s="58" t="s">
        <v>41</v>
      </c>
      <c r="E20" s="33" t="n">
        <f aca="false">IF(D20="totale",(C20/(A20*24))/F20,IF(D20="marché libre",(C20/(A20*24))/G20,"spécifier histo"))</f>
        <v>0.691697191697192</v>
      </c>
      <c r="F20" s="59" t="n">
        <v>1820</v>
      </c>
      <c r="G20" s="59" t="n">
        <f aca="false">F20-H20</f>
        <v>1820</v>
      </c>
      <c r="H20" s="59" t="n">
        <f aca="false">0</f>
        <v>0</v>
      </c>
      <c r="J20" s="70"/>
      <c r="K20" s="592"/>
      <c r="L20" s="592"/>
      <c r="M20" s="592"/>
    </row>
    <row r="21" customFormat="false" ht="19.85" hidden="false" customHeight="true" outlineLevel="0" collapsed="false">
      <c r="A21" s="0" t="n">
        <v>31</v>
      </c>
      <c r="B21" s="34" t="n">
        <v>38322</v>
      </c>
      <c r="C21" s="592" t="n">
        <v>951200</v>
      </c>
      <c r="D21" s="58" t="s">
        <v>41</v>
      </c>
      <c r="E21" s="33" t="n">
        <f aca="false">IF(D21="totale",(C21/(A21*24))/F21,IF(D21="marché libre",(C21/(A21*24))/G21,"spécifier histo"))</f>
        <v>0.702469573437315</v>
      </c>
      <c r="F21" s="59" t="n">
        <v>1820</v>
      </c>
      <c r="G21" s="59" t="n">
        <f aca="false">F21-H21</f>
        <v>1820</v>
      </c>
      <c r="H21" s="59" t="n">
        <f aca="false">0</f>
        <v>0</v>
      </c>
      <c r="J21" s="70"/>
      <c r="K21" s="592"/>
      <c r="L21" s="592"/>
      <c r="M21" s="592"/>
    </row>
    <row r="22" customFormat="false" ht="19.85" hidden="false" customHeight="true" outlineLevel="0" collapsed="false">
      <c r="A22" s="0" t="n">
        <v>31</v>
      </c>
      <c r="B22" s="31" t="n">
        <v>38353</v>
      </c>
      <c r="C22" s="592" t="n">
        <v>990000</v>
      </c>
      <c r="D22" s="58" t="s">
        <v>41</v>
      </c>
      <c r="E22" s="33" t="n">
        <f aca="false">IF(D22="totale",(C22/(A22*24))/F22,IF(D22="marché libre",(C22/(A22*24))/G22,"spécifier histo"))</f>
        <v>0.731123714994683</v>
      </c>
      <c r="F22" s="59" t="n">
        <v>1820</v>
      </c>
      <c r="G22" s="59" t="n">
        <f aca="false">F22-H22</f>
        <v>1820</v>
      </c>
      <c r="H22" s="59" t="n">
        <f aca="false">0</f>
        <v>0</v>
      </c>
      <c r="J22" s="70"/>
      <c r="K22" s="592"/>
      <c r="L22" s="592"/>
      <c r="M22" s="592"/>
    </row>
    <row r="23" customFormat="false" ht="19.85" hidden="false" customHeight="true" outlineLevel="0" collapsed="false">
      <c r="A23" s="0" t="n">
        <v>28</v>
      </c>
      <c r="B23" s="34" t="n">
        <v>38384</v>
      </c>
      <c r="C23" s="592" t="n">
        <v>1088400</v>
      </c>
      <c r="D23" s="58" t="s">
        <v>41</v>
      </c>
      <c r="E23" s="33" t="n">
        <f aca="false">IF(D23="totale",(C23/(A23*24))/F23,IF(D23="marché libre",(C23/(A23*24))/G23,"spécifier histo"))</f>
        <v>0.8899136577708</v>
      </c>
      <c r="F23" s="59" t="n">
        <v>1820</v>
      </c>
      <c r="G23" s="59" t="n">
        <f aca="false">F23-H23</f>
        <v>1820</v>
      </c>
      <c r="H23" s="59" t="n">
        <f aca="false">0</f>
        <v>0</v>
      </c>
      <c r="J23" s="70"/>
      <c r="K23" s="592"/>
      <c r="L23" s="592"/>
      <c r="M23" s="592"/>
    </row>
    <row r="24" customFormat="false" ht="19.85" hidden="false" customHeight="true" outlineLevel="0" collapsed="false">
      <c r="A24" s="0" t="n">
        <v>31</v>
      </c>
      <c r="B24" s="31" t="n">
        <v>38412</v>
      </c>
      <c r="C24" s="592" t="n">
        <v>925200</v>
      </c>
      <c r="D24" s="58" t="s">
        <v>41</v>
      </c>
      <c r="E24" s="33" t="n">
        <f aca="false">IF(D24="totale",(C24/(A24*24))/F24,IF(D24="marché libre",(C24/(A24*24))/G24,"spécifier histo"))</f>
        <v>0.683268344558667</v>
      </c>
      <c r="F24" s="59" t="n">
        <v>1820</v>
      </c>
      <c r="G24" s="59" t="n">
        <f aca="false">F24-H24</f>
        <v>1820</v>
      </c>
      <c r="H24" s="59" t="n">
        <f aca="false">0</f>
        <v>0</v>
      </c>
      <c r="J24" s="70"/>
      <c r="K24" s="593"/>
      <c r="L24" s="592"/>
      <c r="M24" s="592"/>
    </row>
    <row r="25" customFormat="false" ht="19.85" hidden="false" customHeight="true" outlineLevel="0" collapsed="false">
      <c r="A25" s="0" t="n">
        <v>30</v>
      </c>
      <c r="B25" s="34" t="n">
        <v>38443</v>
      </c>
      <c r="C25" s="592" t="n">
        <v>1093200</v>
      </c>
      <c r="D25" s="58" t="s">
        <v>41</v>
      </c>
      <c r="E25" s="33" t="n">
        <f aca="false">IF(D25="totale",(C25/(A25*24))/F25,IF(D25="marché libre",(C25/(A25*24))/G25,"spécifier histo"))</f>
        <v>0.834249084249084</v>
      </c>
      <c r="F25" s="59" t="n">
        <v>1820</v>
      </c>
      <c r="G25" s="59" t="n">
        <f aca="false">F25-H25</f>
        <v>1820</v>
      </c>
      <c r="H25" s="59" t="n">
        <f aca="false">0</f>
        <v>0</v>
      </c>
      <c r="J25" s="70"/>
      <c r="K25" s="596"/>
      <c r="L25" s="592"/>
      <c r="M25" s="592"/>
    </row>
    <row r="26" customFormat="false" ht="19.85" hidden="false" customHeight="true" outlineLevel="0" collapsed="false">
      <c r="A26" s="0" t="n">
        <v>31</v>
      </c>
      <c r="B26" s="31" t="n">
        <v>38473</v>
      </c>
      <c r="C26" s="592" t="n">
        <v>1060400</v>
      </c>
      <c r="D26" s="58" t="s">
        <v>41</v>
      </c>
      <c r="E26" s="33" t="n">
        <f aca="false">IF(D26="totale",(C26/(A26*24))/F26,IF(D26="marché libre",(C26/(A26*24))/G26,"spécifier histo"))</f>
        <v>0.783114734727638</v>
      </c>
      <c r="F26" s="59" t="n">
        <v>1820</v>
      </c>
      <c r="G26" s="59" t="n">
        <f aca="false">F26-H26</f>
        <v>1820</v>
      </c>
      <c r="H26" s="59" t="n">
        <f aca="false">0</f>
        <v>0</v>
      </c>
      <c r="J26" s="70"/>
      <c r="K26" s="36"/>
      <c r="L26" s="592"/>
      <c r="M26" s="592"/>
    </row>
    <row r="27" customFormat="false" ht="19.85" hidden="false" customHeight="true" outlineLevel="0" collapsed="false">
      <c r="A27" s="0" t="n">
        <v>30</v>
      </c>
      <c r="B27" s="34" t="n">
        <v>38504</v>
      </c>
      <c r="C27" s="592" t="n">
        <v>284800</v>
      </c>
      <c r="D27" s="58" t="s">
        <v>41</v>
      </c>
      <c r="E27" s="33" t="n">
        <f aca="false">IF(D27="totale",(C27/(A27*24))/F27,IF(D27="marché libre",(C27/(A27*24))/G27,"spécifier histo"))</f>
        <v>0.217338217338217</v>
      </c>
      <c r="F27" s="59" t="n">
        <v>1820</v>
      </c>
      <c r="G27" s="59" t="n">
        <f aca="false">F27-H27</f>
        <v>1820</v>
      </c>
      <c r="H27" s="59" t="n">
        <f aca="false">0</f>
        <v>0</v>
      </c>
      <c r="J27" s="70"/>
      <c r="K27" s="597"/>
      <c r="L27" s="592"/>
      <c r="M27" s="592"/>
    </row>
    <row r="28" customFormat="false" ht="19.85" hidden="false" customHeight="true" outlineLevel="0" collapsed="false">
      <c r="A28" s="0" t="n">
        <v>31</v>
      </c>
      <c r="B28" s="31" t="n">
        <v>38534</v>
      </c>
      <c r="C28" s="592" t="n">
        <v>247200</v>
      </c>
      <c r="D28" s="58" t="s">
        <v>41</v>
      </c>
      <c r="E28" s="33" t="n">
        <f aca="false">IF(D28="totale",(C28/(A28*24))/F28,IF(D28="marché libre",(C28/(A28*24))/G28,"spécifier histo"))</f>
        <v>0.182559376107763</v>
      </c>
      <c r="F28" s="59" t="n">
        <v>1820</v>
      </c>
      <c r="G28" s="59" t="n">
        <f aca="false">F28-H28</f>
        <v>1820</v>
      </c>
      <c r="H28" s="59" t="n">
        <f aca="false">0</f>
        <v>0</v>
      </c>
      <c r="J28" s="70"/>
      <c r="K28" s="598"/>
      <c r="L28" s="593"/>
      <c r="M28" s="593"/>
    </row>
    <row r="29" customFormat="false" ht="19.85" hidden="false" customHeight="true" outlineLevel="0" collapsed="false">
      <c r="A29" s="0" t="n">
        <v>31</v>
      </c>
      <c r="B29" s="34" t="n">
        <v>38565</v>
      </c>
      <c r="C29" s="592" t="n">
        <v>185200</v>
      </c>
      <c r="D29" s="58" t="s">
        <v>41</v>
      </c>
      <c r="E29" s="33" t="n">
        <f aca="false">IF(D29="totale",(C29/(A29*24))/F29,IF(D29="marché libre",(C29/(A29*24))/G29,"spécifier histo"))</f>
        <v>0.136771830320217</v>
      </c>
      <c r="F29" s="59" t="n">
        <v>1820</v>
      </c>
      <c r="G29" s="59" t="n">
        <f aca="false">F29-H29</f>
        <v>1820</v>
      </c>
      <c r="H29" s="59" t="n">
        <f aca="false">0</f>
        <v>0</v>
      </c>
      <c r="J29" s="70"/>
      <c r="K29" s="599"/>
      <c r="L29" s="596"/>
      <c r="M29" s="596"/>
    </row>
    <row r="30" customFormat="false" ht="19.85" hidden="false" customHeight="true" outlineLevel="0" collapsed="false">
      <c r="A30" s="0" t="n">
        <v>30</v>
      </c>
      <c r="B30" s="31" t="n">
        <v>38596</v>
      </c>
      <c r="C30" s="592" t="n">
        <v>174800</v>
      </c>
      <c r="D30" s="58" t="s">
        <v>41</v>
      </c>
      <c r="E30" s="33" t="n">
        <f aca="false">IF(D30="totale",(C30/(A30*24))/F30,IF(D30="marché libre",(C30/(A30*24))/G30,"spécifier histo"))</f>
        <v>0.133394383394383</v>
      </c>
      <c r="F30" s="59" t="n">
        <v>1820</v>
      </c>
      <c r="G30" s="59" t="n">
        <f aca="false">F30-H30</f>
        <v>1820</v>
      </c>
      <c r="H30" s="59" t="n">
        <f aca="false">0</f>
        <v>0</v>
      </c>
      <c r="J30" s="70"/>
      <c r="K30" s="598"/>
      <c r="L30" s="36"/>
      <c r="M30" s="36"/>
    </row>
    <row r="31" customFormat="false" ht="19.85" hidden="false" customHeight="true" outlineLevel="0" collapsed="false">
      <c r="A31" s="0" t="n">
        <v>31</v>
      </c>
      <c r="B31" s="34" t="n">
        <v>38626</v>
      </c>
      <c r="C31" s="592" t="n">
        <v>258400</v>
      </c>
      <c r="D31" s="58" t="s">
        <v>41</v>
      </c>
      <c r="E31" s="33" t="n">
        <f aca="false">IF(D31="totale",(C31/(A31*24))/F31,IF(D31="marché libre",(C31/(A31*24))/G31,"spécifier histo"))</f>
        <v>0.190830674701642</v>
      </c>
      <c r="F31" s="59" t="n">
        <v>1820</v>
      </c>
      <c r="G31" s="59" t="n">
        <f aca="false">F31-H31</f>
        <v>1820</v>
      </c>
      <c r="H31" s="59" t="n">
        <f aca="false">0</f>
        <v>0</v>
      </c>
      <c r="J31" s="70"/>
      <c r="K31" s="600"/>
      <c r="L31" s="597"/>
      <c r="M31" s="597"/>
    </row>
    <row r="32" customFormat="false" ht="19.85" hidden="false" customHeight="true" outlineLevel="0" collapsed="false">
      <c r="A32" s="0" t="n">
        <v>30</v>
      </c>
      <c r="B32" s="31" t="n">
        <v>38657</v>
      </c>
      <c r="C32" s="592" t="n">
        <v>274000</v>
      </c>
      <c r="D32" s="58" t="s">
        <v>41</v>
      </c>
      <c r="E32" s="33" t="n">
        <f aca="false">IF(D32="totale",(C32/(A32*24))/F32,IF(D32="marché libre",(C32/(A32*24))/G32,"spécifier histo"))</f>
        <v>0.209096459096459</v>
      </c>
      <c r="F32" s="59" t="n">
        <v>1820</v>
      </c>
      <c r="G32" s="59" t="n">
        <f aca="false">F32-H32</f>
        <v>1820</v>
      </c>
      <c r="H32" s="59" t="n">
        <f aca="false">0</f>
        <v>0</v>
      </c>
      <c r="J32" s="70"/>
      <c r="K32" s="600"/>
      <c r="L32" s="598"/>
      <c r="M32" s="598"/>
    </row>
    <row r="33" customFormat="false" ht="19.85" hidden="false" customHeight="true" outlineLevel="0" collapsed="false">
      <c r="A33" s="0" t="n">
        <v>31</v>
      </c>
      <c r="B33" s="34" t="n">
        <v>38687</v>
      </c>
      <c r="C33" s="592" t="n">
        <v>788400</v>
      </c>
      <c r="D33" s="58" t="s">
        <v>41</v>
      </c>
      <c r="E33" s="33" t="n">
        <f aca="false">IF(D33="totale",(C33/(A33*24))/F33,IF(D33="marché libre",(C33/(A33*24))/G33,"spécifier histo"))</f>
        <v>0.582240340304857</v>
      </c>
      <c r="F33" s="59" t="n">
        <v>1820</v>
      </c>
      <c r="G33" s="59" t="n">
        <f aca="false">F33-H33</f>
        <v>1820</v>
      </c>
      <c r="H33" s="59" t="n">
        <f aca="false">0</f>
        <v>0</v>
      </c>
      <c r="J33" s="70"/>
      <c r="K33" s="600"/>
      <c r="L33" s="599"/>
      <c r="M33" s="599"/>
    </row>
    <row r="34" customFormat="false" ht="19.85" hidden="false" customHeight="true" outlineLevel="0" collapsed="false">
      <c r="A34" s="0" t="n">
        <v>31</v>
      </c>
      <c r="B34" s="31" t="n">
        <v>38718</v>
      </c>
      <c r="C34" s="592" t="n">
        <v>837600</v>
      </c>
      <c r="D34" s="58" t="s">
        <v>41</v>
      </c>
      <c r="E34" s="33" t="n">
        <f aca="false">IF(D34="totale",(C34/(A34*24))/F34,IF(D34="marché libre",(C34/(A34*24))/G34,"spécifier histo"))</f>
        <v>0.618574973413683</v>
      </c>
      <c r="F34" s="59" t="n">
        <v>1820</v>
      </c>
      <c r="G34" s="59" t="n">
        <f aca="false">F34-H34</f>
        <v>1820</v>
      </c>
      <c r="H34" s="59" t="n">
        <f aca="false">0</f>
        <v>0</v>
      </c>
      <c r="J34" s="55"/>
      <c r="K34" s="600"/>
      <c r="L34" s="598"/>
      <c r="M34" s="598"/>
    </row>
    <row r="35" customFormat="false" ht="19.85" hidden="false" customHeight="true" outlineLevel="0" collapsed="false">
      <c r="A35" s="0" t="n">
        <v>28</v>
      </c>
      <c r="B35" s="34" t="n">
        <v>38749</v>
      </c>
      <c r="C35" s="592" t="n">
        <v>839600</v>
      </c>
      <c r="D35" s="58" t="s">
        <v>41</v>
      </c>
      <c r="E35" s="33" t="n">
        <f aca="false">IF(D35="totale",(C35/(A35*24))/F35,IF(D35="marché libre",(C35/(A35*24))/G35,"spécifier histo"))</f>
        <v>0.686486132914704</v>
      </c>
      <c r="F35" s="59" t="n">
        <v>1820</v>
      </c>
      <c r="G35" s="59" t="n">
        <f aca="false">F35-H35</f>
        <v>1820</v>
      </c>
      <c r="H35" s="59" t="n">
        <f aca="false">0</f>
        <v>0</v>
      </c>
      <c r="J35" s="55"/>
      <c r="K35" s="600"/>
      <c r="L35" s="600"/>
      <c r="M35" s="0"/>
    </row>
    <row r="36" customFormat="false" ht="19.85" hidden="false" customHeight="true" outlineLevel="0" collapsed="false">
      <c r="A36" s="0" t="n">
        <v>31</v>
      </c>
      <c r="B36" s="31" t="n">
        <v>38777</v>
      </c>
      <c r="C36" s="592" t="n">
        <v>976000</v>
      </c>
      <c r="D36" s="58" t="s">
        <v>41</v>
      </c>
      <c r="E36" s="33" t="n">
        <f aca="false">IF(D36="totale",(C36/(A36*24))/F36,IF(D36="marché libre",(C36/(A36*24))/G36,"spécifier histo"))</f>
        <v>0.720784591752334</v>
      </c>
      <c r="F36" s="59" t="n">
        <v>1820</v>
      </c>
      <c r="G36" s="59" t="n">
        <f aca="false">F36-H36</f>
        <v>1820</v>
      </c>
      <c r="H36" s="59" t="n">
        <f aca="false">0</f>
        <v>0</v>
      </c>
      <c r="J36" s="55"/>
      <c r="K36" s="600"/>
      <c r="L36" s="600"/>
      <c r="M36" s="0"/>
    </row>
    <row r="37" customFormat="false" ht="19.85" hidden="false" customHeight="true" outlineLevel="0" collapsed="false">
      <c r="A37" s="0" t="n">
        <v>30</v>
      </c>
      <c r="B37" s="34" t="n">
        <v>38808</v>
      </c>
      <c r="C37" s="592" t="n">
        <v>1165200</v>
      </c>
      <c r="D37" s="58" t="s">
        <v>41</v>
      </c>
      <c r="E37" s="33" t="n">
        <f aca="false">IF(D37="totale",(C37/(A37*24))/F37,IF(D37="marché libre",(C37/(A37*24))/G37,"spécifier histo"))</f>
        <v>0.889194139194139</v>
      </c>
      <c r="F37" s="59" t="n">
        <v>1820</v>
      </c>
      <c r="G37" s="59" t="n">
        <f aca="false">F37-H37</f>
        <v>1820</v>
      </c>
      <c r="H37" s="59" t="n">
        <f aca="false">0</f>
        <v>0</v>
      </c>
      <c r="J37" s="55"/>
      <c r="K37" s="600"/>
      <c r="L37" s="600"/>
      <c r="M37" s="0"/>
    </row>
    <row r="38" customFormat="false" ht="19.85" hidden="false" customHeight="true" outlineLevel="0" collapsed="false">
      <c r="A38" s="0" t="n">
        <v>31</v>
      </c>
      <c r="B38" s="31" t="n">
        <v>38838</v>
      </c>
      <c r="C38" s="592" t="n">
        <v>964400</v>
      </c>
      <c r="D38" s="58" t="s">
        <v>41</v>
      </c>
      <c r="E38" s="33" t="n">
        <f aca="false">IF(D38="totale",(C38/(A38*24))/F38,IF(D38="marché libre",(C38/(A38*24))/G38,"spécifier histo"))</f>
        <v>0.712217889637244</v>
      </c>
      <c r="F38" s="59" t="n">
        <v>1820</v>
      </c>
      <c r="G38" s="59" t="n">
        <f aca="false">F38-H38</f>
        <v>1820</v>
      </c>
      <c r="H38" s="59" t="n">
        <f aca="false">0</f>
        <v>0</v>
      </c>
      <c r="J38" s="55"/>
      <c r="K38" s="600"/>
      <c r="L38" s="600"/>
      <c r="M38" s="0"/>
    </row>
    <row r="39" customFormat="false" ht="19.85" hidden="false" customHeight="true" outlineLevel="0" collapsed="false">
      <c r="A39" s="0" t="n">
        <v>30</v>
      </c>
      <c r="B39" s="34" t="n">
        <v>38869</v>
      </c>
      <c r="C39" s="592" t="n">
        <v>572400</v>
      </c>
      <c r="D39" s="58" t="s">
        <v>41</v>
      </c>
      <c r="E39" s="33" t="n">
        <f aca="false">IF(D39="totale",(C39/(A39*24))/F39,IF(D39="marché libre",(C39/(A39*24))/G39,"spécifier histo"))</f>
        <v>0.436813186813187</v>
      </c>
      <c r="F39" s="59" t="n">
        <v>1820</v>
      </c>
      <c r="G39" s="59" t="n">
        <f aca="false">F39-H39</f>
        <v>1820</v>
      </c>
      <c r="H39" s="59" t="n">
        <f aca="false">0</f>
        <v>0</v>
      </c>
      <c r="J39" s="55"/>
      <c r="K39" s="600"/>
      <c r="L39" s="600"/>
      <c r="M39" s="0"/>
    </row>
    <row r="40" customFormat="false" ht="19.85" hidden="false" customHeight="true" outlineLevel="0" collapsed="false">
      <c r="A40" s="0" t="n">
        <v>31</v>
      </c>
      <c r="B40" s="31" t="n">
        <v>38899</v>
      </c>
      <c r="C40" s="592" t="n">
        <v>110000</v>
      </c>
      <c r="D40" s="58" t="s">
        <v>41</v>
      </c>
      <c r="E40" s="33" t="n">
        <f aca="false">IF(D40="totale",(C40/(A40*24))/F40,IF(D40="marché libre",(C40/(A40*24))/G40,"spécifier histo"))</f>
        <v>0.0812359683327425</v>
      </c>
      <c r="F40" s="59" t="n">
        <v>1820</v>
      </c>
      <c r="G40" s="59" t="n">
        <f aca="false">F40-H40</f>
        <v>1820</v>
      </c>
      <c r="H40" s="59" t="n">
        <f aca="false">0</f>
        <v>0</v>
      </c>
      <c r="J40" s="55"/>
      <c r="K40" s="600"/>
      <c r="L40" s="600"/>
      <c r="M40" s="0"/>
    </row>
    <row r="41" customFormat="false" ht="19.85" hidden="false" customHeight="true" outlineLevel="0" collapsed="false">
      <c r="A41" s="0" t="n">
        <v>31</v>
      </c>
      <c r="B41" s="34" t="n">
        <v>38930</v>
      </c>
      <c r="C41" s="592" t="n">
        <v>723600</v>
      </c>
      <c r="D41" s="58" t="s">
        <v>41</v>
      </c>
      <c r="E41" s="33" t="n">
        <f aca="false">IF(D41="totale",(C41/(A41*24))/F41,IF(D41="marché libre",(C41/(A41*24))/G41,"spécifier histo"))</f>
        <v>0.534384969868841</v>
      </c>
      <c r="F41" s="59" t="n">
        <v>1820</v>
      </c>
      <c r="G41" s="59" t="n">
        <f aca="false">F41-H41</f>
        <v>1820</v>
      </c>
      <c r="H41" s="59" t="n">
        <f aca="false">0</f>
        <v>0</v>
      </c>
      <c r="J41" s="55"/>
      <c r="K41" s="600"/>
      <c r="L41" s="600"/>
      <c r="M41" s="0"/>
    </row>
    <row r="42" customFormat="false" ht="19.85" hidden="false" customHeight="true" outlineLevel="0" collapsed="false">
      <c r="A42" s="0" t="n">
        <v>30</v>
      </c>
      <c r="B42" s="31" t="n">
        <v>38961</v>
      </c>
      <c r="C42" s="592" t="n">
        <v>712800</v>
      </c>
      <c r="D42" s="58" t="s">
        <v>41</v>
      </c>
      <c r="E42" s="33" t="n">
        <f aca="false">IF(D42="totale",(C42/(A42*24))/F42,IF(D42="marché libre",(C42/(A42*24))/G42,"spécifier histo"))</f>
        <v>0.543956043956044</v>
      </c>
      <c r="F42" s="59" t="n">
        <v>1820</v>
      </c>
      <c r="G42" s="59" t="n">
        <f aca="false">F42-H42</f>
        <v>1820</v>
      </c>
      <c r="H42" s="59" t="n">
        <f aca="false">0</f>
        <v>0</v>
      </c>
      <c r="J42" s="55"/>
      <c r="K42" s="600"/>
      <c r="L42" s="600"/>
      <c r="M42" s="0"/>
    </row>
    <row r="43" customFormat="false" ht="19.85" hidden="false" customHeight="true" outlineLevel="0" collapsed="false">
      <c r="A43" s="0" t="n">
        <v>31</v>
      </c>
      <c r="B43" s="34" t="n">
        <v>38991</v>
      </c>
      <c r="C43" s="592" t="n">
        <v>1013200</v>
      </c>
      <c r="D43" s="58" t="s">
        <v>41</v>
      </c>
      <c r="E43" s="33" t="n">
        <f aca="false">IF(D43="totale",(C43/(A43*24))/F43,IF(D43="marché libre",(C43/(A43*24))/G43,"spécifier histo"))</f>
        <v>0.748257119224861</v>
      </c>
      <c r="F43" s="59" t="n">
        <v>1820</v>
      </c>
      <c r="G43" s="59" t="n">
        <f aca="false">F43-H43</f>
        <v>1820</v>
      </c>
      <c r="H43" s="59" t="n">
        <f aca="false">0</f>
        <v>0</v>
      </c>
      <c r="J43" s="55"/>
      <c r="K43" s="599"/>
      <c r="L43" s="600"/>
      <c r="M43" s="0"/>
    </row>
    <row r="44" customFormat="false" ht="19.85" hidden="false" customHeight="true" outlineLevel="0" collapsed="false">
      <c r="A44" s="0" t="n">
        <v>30</v>
      </c>
      <c r="B44" s="31" t="n">
        <v>39022</v>
      </c>
      <c r="C44" s="592" t="n">
        <v>804000</v>
      </c>
      <c r="D44" s="58" t="s">
        <v>41</v>
      </c>
      <c r="E44" s="33" t="n">
        <f aca="false">IF(D44="totale",(C44/(A44*24))/F44,IF(D44="marché libre",(C44/(A44*24))/G44,"spécifier histo"))</f>
        <v>0.613553113553114</v>
      </c>
      <c r="F44" s="59" t="n">
        <v>1820</v>
      </c>
      <c r="G44" s="59" t="n">
        <f aca="false">F44-H44</f>
        <v>1820</v>
      </c>
      <c r="H44" s="59" t="n">
        <f aca="false">0</f>
        <v>0</v>
      </c>
      <c r="J44" s="55"/>
      <c r="K44" s="601"/>
      <c r="L44" s="600"/>
      <c r="M44" s="0"/>
    </row>
    <row r="45" customFormat="false" ht="19.85" hidden="false" customHeight="true" outlineLevel="0" collapsed="false">
      <c r="A45" s="0" t="n">
        <v>31</v>
      </c>
      <c r="B45" s="34" t="n">
        <v>39052</v>
      </c>
      <c r="C45" s="592" t="n">
        <v>912800</v>
      </c>
      <c r="D45" s="58" t="s">
        <v>41</v>
      </c>
      <c r="E45" s="33" t="n">
        <f aca="false">IF(D45="totale",(C45/(A45*24))/F45,IF(D45="marché libre",(C45/(A45*24))/G45,"spécifier histo"))</f>
        <v>0.674110835401158</v>
      </c>
      <c r="F45" s="59" t="n">
        <v>1820</v>
      </c>
      <c r="G45" s="59" t="n">
        <f aca="false">F45-H45</f>
        <v>1820</v>
      </c>
      <c r="H45" s="59" t="n">
        <f aca="false">0</f>
        <v>0</v>
      </c>
      <c r="J45" s="55"/>
      <c r="K45" s="36"/>
      <c r="L45" s="600"/>
      <c r="M45" s="0"/>
    </row>
    <row r="46" customFormat="false" ht="19.85" hidden="false" customHeight="true" outlineLevel="0" collapsed="false">
      <c r="A46" s="0" t="n">
        <v>31</v>
      </c>
      <c r="B46" s="31" t="n">
        <v>39083</v>
      </c>
      <c r="C46" s="592" t="n">
        <v>1055200</v>
      </c>
      <c r="D46" s="58" t="s">
        <v>41</v>
      </c>
      <c r="E46" s="33" t="n">
        <f aca="false">IF(D46="totale",(C46/(A46*24))/F46,IF(D46="marché libre",(C46/(A46*24))/G46,"spécifier histo"))</f>
        <v>0.779274488951908</v>
      </c>
      <c r="F46" s="59" t="n">
        <v>1820</v>
      </c>
      <c r="G46" s="59" t="n">
        <f aca="false">F46-H46</f>
        <v>1820</v>
      </c>
      <c r="H46" s="59" t="n">
        <f aca="false">0</f>
        <v>0</v>
      </c>
      <c r="J46" s="55"/>
      <c r="K46" s="602"/>
      <c r="L46" s="600"/>
      <c r="M46" s="0"/>
    </row>
    <row r="47" customFormat="false" ht="19.85" hidden="false" customHeight="true" outlineLevel="0" collapsed="false">
      <c r="A47" s="0" t="n">
        <v>28</v>
      </c>
      <c r="B47" s="34" t="n">
        <v>39114</v>
      </c>
      <c r="C47" s="592" t="n">
        <v>1023600</v>
      </c>
      <c r="D47" s="58" t="s">
        <v>41</v>
      </c>
      <c r="E47" s="33" t="n">
        <f aca="false">IF(D47="totale",(C47/(A47*24))/F47,IF(D47="marché libre",(C47/(A47*24))/G47,"spécifier histo"))</f>
        <v>0.836930926216641</v>
      </c>
      <c r="F47" s="59" t="n">
        <v>1820</v>
      </c>
      <c r="G47" s="59" t="n">
        <f aca="false">F47-H47</f>
        <v>1820</v>
      </c>
      <c r="H47" s="59" t="n">
        <f aca="false">0</f>
        <v>0</v>
      </c>
      <c r="J47" s="55"/>
      <c r="K47" s="603"/>
      <c r="L47" s="599"/>
      <c r="M47" s="599"/>
    </row>
    <row r="48" customFormat="false" ht="19.85" hidden="false" customHeight="true" outlineLevel="0" collapsed="false">
      <c r="A48" s="0" t="n">
        <v>31</v>
      </c>
      <c r="B48" s="31" t="n">
        <v>39142</v>
      </c>
      <c r="C48" s="592" t="n">
        <v>1296400</v>
      </c>
      <c r="D48" s="58" t="s">
        <v>41</v>
      </c>
      <c r="E48" s="33" t="n">
        <f aca="false">IF(D48="totale",(C48/(A48*24))/F48,IF(D48="marché libre",(C48/(A48*24))/G48,"spécifier histo"))</f>
        <v>0.957402812241522</v>
      </c>
      <c r="F48" s="59" t="n">
        <v>1820</v>
      </c>
      <c r="G48" s="59" t="n">
        <f aca="false">F48-H48</f>
        <v>1820</v>
      </c>
      <c r="H48" s="59" t="n">
        <f aca="false">0</f>
        <v>0</v>
      </c>
      <c r="J48" s="55"/>
      <c r="K48" s="604"/>
      <c r="L48" s="601"/>
      <c r="M48" s="601"/>
    </row>
    <row r="49" customFormat="false" ht="19.85" hidden="false" customHeight="true" outlineLevel="0" collapsed="false">
      <c r="A49" s="0" t="n">
        <v>30</v>
      </c>
      <c r="B49" s="34" t="n">
        <v>39173</v>
      </c>
      <c r="C49" s="592" t="n">
        <v>677200</v>
      </c>
      <c r="D49" s="58" t="s">
        <v>41</v>
      </c>
      <c r="E49" s="33" t="n">
        <f aca="false">IF(D49="totale",(C49/(A49*24))/F49,IF(D49="marché libre",(C49/(A49*24))/G49,"spécifier histo"))</f>
        <v>0.516788766788767</v>
      </c>
      <c r="F49" s="59" t="n">
        <v>1820</v>
      </c>
      <c r="G49" s="59" t="n">
        <f aca="false">F49-H49</f>
        <v>1820</v>
      </c>
      <c r="H49" s="59" t="n">
        <f aca="false">0</f>
        <v>0</v>
      </c>
      <c r="J49" s="55"/>
      <c r="K49" s="603"/>
      <c r="L49" s="36"/>
      <c r="M49" s="36"/>
    </row>
    <row r="50" customFormat="false" ht="19.85" hidden="false" customHeight="true" outlineLevel="0" collapsed="false">
      <c r="A50" s="0" t="n">
        <v>31</v>
      </c>
      <c r="B50" s="31" t="n">
        <v>39203</v>
      </c>
      <c r="C50" s="592" t="n">
        <v>657200</v>
      </c>
      <c r="D50" s="58" t="s">
        <v>41</v>
      </c>
      <c r="E50" s="33" t="n">
        <f aca="false">IF(D50="totale",(C50/(A50*24))/F50,IF(D50="marché libre",(C50/(A50*24))/G50,"spécifier histo"))</f>
        <v>0.485347985347985</v>
      </c>
      <c r="F50" s="59" t="n">
        <v>1820</v>
      </c>
      <c r="G50" s="59" t="n">
        <f aca="false">F50-H50</f>
        <v>1820</v>
      </c>
      <c r="H50" s="59" t="n">
        <f aca="false">0</f>
        <v>0</v>
      </c>
      <c r="J50" s="55"/>
      <c r="K50" s="605"/>
      <c r="L50" s="602"/>
      <c r="M50" s="602"/>
    </row>
    <row r="51" customFormat="false" ht="19.85" hidden="false" customHeight="true" outlineLevel="0" collapsed="false">
      <c r="A51" s="0" t="n">
        <v>30</v>
      </c>
      <c r="B51" s="34" t="n">
        <v>39234</v>
      </c>
      <c r="C51" s="592" t="n">
        <v>828400</v>
      </c>
      <c r="D51" s="58" t="s">
        <v>41</v>
      </c>
      <c r="E51" s="33" t="n">
        <f aca="false">IF(D51="totale",(C51/(A51*24))/F51,IF(D51="marché libre",(C51/(A51*24))/G51,"spécifier histo"))</f>
        <v>0.632173382173382</v>
      </c>
      <c r="F51" s="59" t="n">
        <v>1820</v>
      </c>
      <c r="G51" s="59" t="n">
        <f aca="false">F51-H51</f>
        <v>1820</v>
      </c>
      <c r="H51" s="59" t="n">
        <f aca="false">0</f>
        <v>0</v>
      </c>
      <c r="J51" s="55"/>
      <c r="K51" s="605"/>
      <c r="L51" s="603"/>
      <c r="M51" s="603"/>
    </row>
    <row r="52" customFormat="false" ht="19.85" hidden="false" customHeight="true" outlineLevel="0" collapsed="false">
      <c r="A52" s="0" t="n">
        <v>31</v>
      </c>
      <c r="B52" s="31" t="n">
        <v>39264</v>
      </c>
      <c r="C52" s="592" t="n">
        <v>1046800</v>
      </c>
      <c r="D52" s="58" t="s">
        <v>41</v>
      </c>
      <c r="E52" s="33" t="n">
        <f aca="false">IF(D52="totale",(C52/(A52*24))/F52,IF(D52="marché libre",(C52/(A52*24))/G52,"spécifier histo"))</f>
        <v>0.773071015006499</v>
      </c>
      <c r="F52" s="59" t="n">
        <v>1820</v>
      </c>
      <c r="G52" s="59" t="n">
        <f aca="false">F52-H52</f>
        <v>1820</v>
      </c>
      <c r="H52" s="59" t="n">
        <f aca="false">0</f>
        <v>0</v>
      </c>
      <c r="J52" s="55"/>
      <c r="K52" s="605"/>
      <c r="L52" s="604"/>
      <c r="M52" s="604"/>
    </row>
    <row r="53" customFormat="false" ht="19.85" hidden="false" customHeight="true" outlineLevel="0" collapsed="false">
      <c r="A53" s="0" t="n">
        <v>31</v>
      </c>
      <c r="B53" s="34" t="n">
        <v>39295</v>
      </c>
      <c r="C53" s="592" t="n">
        <v>872000</v>
      </c>
      <c r="D53" s="58" t="s">
        <v>41</v>
      </c>
      <c r="E53" s="33" t="n">
        <f aca="false">IF(D53="totale",(C53/(A53*24))/F53,IF(D53="marché libre",(C53/(A53*24))/G53,"spécifier histo"))</f>
        <v>0.643979676237741</v>
      </c>
      <c r="F53" s="59" t="n">
        <v>1820</v>
      </c>
      <c r="G53" s="59" t="n">
        <f aca="false">F53-H53</f>
        <v>1820</v>
      </c>
      <c r="H53" s="59" t="n">
        <f aca="false">0</f>
        <v>0</v>
      </c>
      <c r="J53" s="55"/>
      <c r="K53" s="605"/>
      <c r="L53" s="603"/>
      <c r="M53" s="603"/>
    </row>
    <row r="54" customFormat="false" ht="19.85" hidden="false" customHeight="true" outlineLevel="0" collapsed="false">
      <c r="A54" s="0" t="n">
        <v>30</v>
      </c>
      <c r="B54" s="31" t="n">
        <v>39326</v>
      </c>
      <c r="C54" s="592" t="n">
        <v>460000</v>
      </c>
      <c r="D54" s="58" t="s">
        <v>41</v>
      </c>
      <c r="E54" s="33" t="n">
        <f aca="false">IF(D54="totale",(C54/(A54*24))/F54,IF(D54="marché libre",(C54/(A54*24))/G54,"spécifier histo"))</f>
        <v>0.351037851037851</v>
      </c>
      <c r="F54" s="59" t="n">
        <v>1820</v>
      </c>
      <c r="G54" s="59" t="n">
        <f aca="false">F54-H54</f>
        <v>1820</v>
      </c>
      <c r="H54" s="59" t="n">
        <f aca="false">0</f>
        <v>0</v>
      </c>
      <c r="J54" s="55"/>
      <c r="K54" s="605"/>
      <c r="L54" s="605"/>
      <c r="M54" s="605"/>
    </row>
    <row r="55" customFormat="false" ht="19.85" hidden="false" customHeight="true" outlineLevel="0" collapsed="false">
      <c r="A55" s="0" t="n">
        <v>31</v>
      </c>
      <c r="B55" s="34" t="n">
        <v>39356</v>
      </c>
      <c r="C55" s="592" t="n">
        <v>236400</v>
      </c>
      <c r="D55" s="58" t="s">
        <v>41</v>
      </c>
      <c r="E55" s="33" t="n">
        <f aca="false">IF(D55="totale",(C55/(A55*24))/F55,IF(D55="marché libre",(C55/(A55*24))/G55,"spécifier histo"))</f>
        <v>0.174583481035094</v>
      </c>
      <c r="F55" s="59" t="n">
        <v>1820</v>
      </c>
      <c r="G55" s="59" t="n">
        <f aca="false">F55-H55</f>
        <v>1820</v>
      </c>
      <c r="H55" s="59" t="n">
        <f aca="false">0</f>
        <v>0</v>
      </c>
      <c r="J55" s="55"/>
      <c r="K55" s="605"/>
      <c r="L55" s="605"/>
      <c r="M55" s="605"/>
    </row>
    <row r="56" customFormat="false" ht="19.85" hidden="false" customHeight="true" outlineLevel="0" collapsed="false">
      <c r="A56" s="0" t="n">
        <v>30</v>
      </c>
      <c r="B56" s="31" t="n">
        <v>39387</v>
      </c>
      <c r="C56" s="592" t="n">
        <v>672000</v>
      </c>
      <c r="D56" s="58" t="s">
        <v>41</v>
      </c>
      <c r="E56" s="33" t="n">
        <f aca="false">IF(D56="totale",(C56/(A56*24))/F56,IF(D56="marché libre",(C56/(A56*24))/G56,"spécifier histo"))</f>
        <v>0.512820512820513</v>
      </c>
      <c r="F56" s="59" t="n">
        <v>1820</v>
      </c>
      <c r="G56" s="59" t="n">
        <f aca="false">F56-H56</f>
        <v>1820</v>
      </c>
      <c r="H56" s="59" t="n">
        <f aca="false">0</f>
        <v>0</v>
      </c>
      <c r="J56" s="55"/>
      <c r="K56" s="605"/>
      <c r="L56" s="605"/>
      <c r="M56" s="605"/>
    </row>
    <row r="57" customFormat="false" ht="19.85" hidden="false" customHeight="true" outlineLevel="0" collapsed="false">
      <c r="A57" s="0" t="n">
        <v>31</v>
      </c>
      <c r="B57" s="34" t="n">
        <v>39417</v>
      </c>
      <c r="C57" s="592" t="n">
        <v>893600</v>
      </c>
      <c r="D57" s="58" t="s">
        <v>41</v>
      </c>
      <c r="E57" s="33" t="n">
        <f aca="false">IF(D57="totale",(C57/(A57*24))/F57,IF(D57="marché libre",(C57/(A57*24))/G57,"spécifier histo"))</f>
        <v>0.659931466383079</v>
      </c>
      <c r="F57" s="59" t="n">
        <v>1820</v>
      </c>
      <c r="G57" s="59" t="n">
        <f aca="false">F57-H57</f>
        <v>1820</v>
      </c>
      <c r="H57" s="59" t="n">
        <f aca="false">0</f>
        <v>0</v>
      </c>
      <c r="J57" s="55"/>
      <c r="K57" s="605"/>
      <c r="L57" s="605"/>
      <c r="M57" s="605"/>
    </row>
    <row r="58" customFormat="false" ht="19.85" hidden="false" customHeight="true" outlineLevel="0" collapsed="false">
      <c r="A58" s="0" t="n">
        <v>31</v>
      </c>
      <c r="B58" s="31" t="n">
        <v>39448</v>
      </c>
      <c r="C58" s="592" t="n">
        <v>1148400</v>
      </c>
      <c r="D58" s="58" t="s">
        <v>41</v>
      </c>
      <c r="E58" s="33" t="n">
        <f aca="false">IF(D58="totale",(C58/(A58*24))/F58,IF(D58="marché libre",(C58/(A58*24))/G58,"spécifier histo"))</f>
        <v>0.848103509393832</v>
      </c>
      <c r="F58" s="59" t="n">
        <v>1820</v>
      </c>
      <c r="G58" s="59" t="n">
        <f aca="false">F58-H58</f>
        <v>1820</v>
      </c>
      <c r="H58" s="59" t="n">
        <f aca="false">0</f>
        <v>0</v>
      </c>
      <c r="J58" s="55"/>
      <c r="K58" s="605"/>
      <c r="L58" s="605"/>
      <c r="M58" s="605"/>
    </row>
    <row r="59" customFormat="false" ht="19.85" hidden="false" customHeight="true" outlineLevel="0" collapsed="false">
      <c r="A59" s="0" t="n">
        <v>28</v>
      </c>
      <c r="B59" s="34" t="n">
        <v>39479</v>
      </c>
      <c r="C59" s="592" t="n">
        <v>858000</v>
      </c>
      <c r="D59" s="58" t="s">
        <v>41</v>
      </c>
      <c r="E59" s="33" t="n">
        <f aca="false">IF(D59="totale",(C59/(A59*24))/F59,IF(D59="marché libre",(C59/(A59*24))/G59,"spécifier histo"))</f>
        <v>0.701530612244898</v>
      </c>
      <c r="F59" s="59" t="n">
        <v>1820</v>
      </c>
      <c r="G59" s="59" t="n">
        <f aca="false">F59-H59</f>
        <v>1820</v>
      </c>
      <c r="H59" s="59" t="n">
        <f aca="false">0</f>
        <v>0</v>
      </c>
      <c r="J59" s="55"/>
      <c r="K59" s="605"/>
      <c r="L59" s="605"/>
      <c r="M59" s="605"/>
    </row>
    <row r="60" customFormat="false" ht="19.85" hidden="false" customHeight="true" outlineLevel="0" collapsed="false">
      <c r="A60" s="0" t="n">
        <v>31</v>
      </c>
      <c r="B60" s="31" t="n">
        <v>39508</v>
      </c>
      <c r="C60" s="592" t="n">
        <v>1218000</v>
      </c>
      <c r="D60" s="58" t="s">
        <v>41</v>
      </c>
      <c r="E60" s="33" t="n">
        <f aca="false">IF(D60="totale",(C60/(A60*24))/F60,IF(D60="marché libre",(C60/(A60*24))/G60,"spécifier histo"))</f>
        <v>0.899503722084367</v>
      </c>
      <c r="F60" s="59" t="n">
        <v>1820</v>
      </c>
      <c r="G60" s="59" t="n">
        <f aca="false">F60-H60</f>
        <v>1820</v>
      </c>
      <c r="H60" s="59" t="n">
        <f aca="false">0</f>
        <v>0</v>
      </c>
      <c r="J60" s="55"/>
      <c r="K60" s="605"/>
      <c r="L60" s="605"/>
      <c r="M60" s="605"/>
    </row>
    <row r="61" customFormat="false" ht="19.85" hidden="false" customHeight="true" outlineLevel="0" collapsed="false">
      <c r="A61" s="0" t="n">
        <v>30</v>
      </c>
      <c r="B61" s="34" t="n">
        <v>39539</v>
      </c>
      <c r="C61" s="592" t="n">
        <v>1262400</v>
      </c>
      <c r="D61" s="58" t="s">
        <v>41</v>
      </c>
      <c r="E61" s="33" t="n">
        <f aca="false">IF(D61="totale",(C61/(A61*24))/F61,IF(D61="marché libre",(C61/(A61*24))/G61,"spécifier histo"))</f>
        <v>0.963369963369963</v>
      </c>
      <c r="F61" s="59" t="n">
        <v>1820</v>
      </c>
      <c r="G61" s="59" t="n">
        <f aca="false">F61-H61</f>
        <v>1820</v>
      </c>
      <c r="H61" s="59" t="n">
        <f aca="false">0</f>
        <v>0</v>
      </c>
      <c r="J61" s="55"/>
      <c r="K61" s="605"/>
      <c r="L61" s="605"/>
      <c r="M61" s="605"/>
    </row>
    <row r="62" customFormat="false" ht="19.85" hidden="false" customHeight="true" outlineLevel="0" collapsed="false">
      <c r="A62" s="0" t="n">
        <v>31</v>
      </c>
      <c r="B62" s="31" t="n">
        <v>39569</v>
      </c>
      <c r="C62" s="592" t="n">
        <v>552696</v>
      </c>
      <c r="D62" s="58" t="s">
        <v>41</v>
      </c>
      <c r="E62" s="33" t="n">
        <f aca="false">IF(D62="totale",(C62/(A62*24))/F62,IF(D62="marché libre",(C62/(A62*24))/G62,"spécifier histo"))</f>
        <v>0.408170861396668</v>
      </c>
      <c r="F62" s="59" t="n">
        <v>1820</v>
      </c>
      <c r="G62" s="59" t="n">
        <f aca="false">F62-H62</f>
        <v>1820</v>
      </c>
      <c r="H62" s="59" t="n">
        <f aca="false">0</f>
        <v>0</v>
      </c>
      <c r="J62" s="55"/>
      <c r="K62" s="606"/>
      <c r="L62" s="605"/>
      <c r="M62" s="605"/>
    </row>
    <row r="63" customFormat="false" ht="19.85" hidden="false" customHeight="true" outlineLevel="0" collapsed="false">
      <c r="A63" s="0" t="n">
        <v>30</v>
      </c>
      <c r="B63" s="34" t="n">
        <v>39600</v>
      </c>
      <c r="C63" s="592" t="n">
        <v>448969</v>
      </c>
      <c r="D63" s="58" t="s">
        <v>41</v>
      </c>
      <c r="E63" s="33" t="n">
        <f aca="false">IF(D63="totale",(C63/(A63*24))/F63,IF(D63="marché libre",(C63/(A63*24))/G63,"spécifier histo"))</f>
        <v>0.342619810744811</v>
      </c>
      <c r="F63" s="59" t="n">
        <v>1820</v>
      </c>
      <c r="G63" s="59" t="n">
        <f aca="false">F63-H63</f>
        <v>1820</v>
      </c>
      <c r="H63" s="59" t="n">
        <f aca="false">0</f>
        <v>0</v>
      </c>
      <c r="J63" s="55"/>
      <c r="K63" s="36"/>
      <c r="L63" s="605"/>
      <c r="M63" s="605"/>
    </row>
    <row r="64" customFormat="false" ht="19.85" hidden="false" customHeight="true" outlineLevel="0" collapsed="false">
      <c r="A64" s="0" t="n">
        <v>31</v>
      </c>
      <c r="B64" s="31" t="n">
        <v>39630</v>
      </c>
      <c r="C64" s="592" t="n">
        <v>154798</v>
      </c>
      <c r="D64" s="58" t="s">
        <v>41</v>
      </c>
      <c r="E64" s="33" t="n">
        <f aca="false">IF(D64="totale",(C64/(A64*24))/F64,IF(D64="marché libre",(C64/(A64*24))/G64,"spécifier histo"))</f>
        <v>0.114319685690653</v>
      </c>
      <c r="F64" s="59" t="n">
        <v>1820</v>
      </c>
      <c r="G64" s="59" t="n">
        <f aca="false">F64-H64</f>
        <v>1820</v>
      </c>
      <c r="H64" s="59" t="n">
        <f aca="false">0</f>
        <v>0</v>
      </c>
      <c r="J64" s="55"/>
      <c r="K64" s="607"/>
      <c r="L64" s="605"/>
      <c r="M64" s="605"/>
    </row>
    <row r="65" customFormat="false" ht="19.85" hidden="false" customHeight="true" outlineLevel="0" collapsed="false">
      <c r="A65" s="0" t="n">
        <v>31</v>
      </c>
      <c r="B65" s="34" t="n">
        <v>39661</v>
      </c>
      <c r="C65" s="592" t="n">
        <v>345748</v>
      </c>
      <c r="D65" s="58" t="s">
        <v>41</v>
      </c>
      <c r="E65" s="33" t="n">
        <f aca="false">IF(D65="totale",(C65/(A65*24))/F65,IF(D65="marché libre",(C65/(A65*24))/G65,"spécifier histo"))</f>
        <v>0.255337941628264</v>
      </c>
      <c r="F65" s="59" t="n">
        <v>1820</v>
      </c>
      <c r="G65" s="59" t="n">
        <f aca="false">F65-H65</f>
        <v>1820</v>
      </c>
      <c r="H65" s="59" t="n">
        <f aca="false">0</f>
        <v>0</v>
      </c>
      <c r="J65" s="55"/>
      <c r="K65" s="608"/>
      <c r="L65" s="605"/>
      <c r="M65" s="605"/>
    </row>
    <row r="66" customFormat="false" ht="19.85" hidden="false" customHeight="true" outlineLevel="0" collapsed="false">
      <c r="A66" s="0" t="n">
        <v>30</v>
      </c>
      <c r="B66" s="31" t="n">
        <v>39692</v>
      </c>
      <c r="C66" s="592" t="n">
        <v>634795</v>
      </c>
      <c r="D66" s="58" t="s">
        <v>41</v>
      </c>
      <c r="E66" s="33" t="n">
        <f aca="false">IF(D66="totale",(C66/(A66*24))/F66,IF(D66="marché libre",(C66/(A66*24))/G66,"spécifier histo"))</f>
        <v>0.484428418803419</v>
      </c>
      <c r="F66" s="59" t="n">
        <v>1820</v>
      </c>
      <c r="G66" s="59" t="n">
        <f aca="false">F66-H66</f>
        <v>1820</v>
      </c>
      <c r="H66" s="59" t="n">
        <f aca="false">0</f>
        <v>0</v>
      </c>
      <c r="J66" s="55"/>
      <c r="K66" s="609"/>
      <c r="L66" s="606"/>
      <c r="M66" s="606"/>
    </row>
    <row r="67" customFormat="false" ht="19.85" hidden="false" customHeight="true" outlineLevel="0" collapsed="false">
      <c r="A67" s="0" t="n">
        <v>31</v>
      </c>
      <c r="B67" s="34" t="n">
        <v>39722</v>
      </c>
      <c r="C67" s="592" t="n">
        <v>820755</v>
      </c>
      <c r="D67" s="58" t="s">
        <v>41</v>
      </c>
      <c r="E67" s="33" t="n">
        <f aca="false">IF(D67="totale",(C67/(A67*24))/F67,IF(D67="marché libre",(C67/(A67*24))/G67,"spécifier histo"))</f>
        <v>0.606134792626728</v>
      </c>
      <c r="F67" s="59" t="n">
        <v>1820</v>
      </c>
      <c r="G67" s="59" t="n">
        <f aca="false">F67-H67</f>
        <v>1820</v>
      </c>
      <c r="H67" s="59" t="n">
        <f aca="false">0</f>
        <v>0</v>
      </c>
      <c r="J67" s="55"/>
      <c r="K67" s="608"/>
      <c r="L67" s="36"/>
      <c r="M67" s="36"/>
    </row>
    <row r="68" customFormat="false" ht="19.85" hidden="false" customHeight="true" outlineLevel="0" collapsed="false">
      <c r="A68" s="0" t="n">
        <v>30</v>
      </c>
      <c r="B68" s="31" t="n">
        <v>39753</v>
      </c>
      <c r="C68" s="592" t="n">
        <v>794845</v>
      </c>
      <c r="D68" s="58" t="s">
        <v>41</v>
      </c>
      <c r="E68" s="33" t="n">
        <f aca="false">IF(D68="totale",(C68/(A68*24))/F68,IF(D68="marché libre",(C68/(A68*24))/G68,"spécifier histo"))</f>
        <v>0.606566697191697</v>
      </c>
      <c r="F68" s="59" t="n">
        <v>1820</v>
      </c>
      <c r="G68" s="59" t="n">
        <f aca="false">F68-H68</f>
        <v>1820</v>
      </c>
      <c r="H68" s="59" t="n">
        <f aca="false">0</f>
        <v>0</v>
      </c>
      <c r="J68" s="55"/>
      <c r="K68" s="610"/>
      <c r="L68" s="607"/>
      <c r="M68" s="607"/>
    </row>
    <row r="69" customFormat="false" ht="19.85" hidden="false" customHeight="true" outlineLevel="0" collapsed="false">
      <c r="A69" s="0" t="n">
        <v>31</v>
      </c>
      <c r="B69" s="34" t="n">
        <v>39783</v>
      </c>
      <c r="C69" s="592" t="n">
        <v>845939</v>
      </c>
      <c r="D69" s="58" t="s">
        <v>41</v>
      </c>
      <c r="E69" s="33" t="n">
        <f aca="false">IF(D69="totale",(C69/(A69*24))/F69,IF(D69="marché libre",(C69/(A69*24))/G69,"spécifier histo"))</f>
        <v>0.624733398322108</v>
      </c>
      <c r="F69" s="59" t="n">
        <v>1820</v>
      </c>
      <c r="G69" s="59" t="n">
        <f aca="false">F69-H69</f>
        <v>1820</v>
      </c>
      <c r="H69" s="59" t="n">
        <f aca="false">0</f>
        <v>0</v>
      </c>
      <c r="J69" s="55"/>
      <c r="K69" s="610"/>
      <c r="L69" s="608"/>
      <c r="M69" s="608"/>
    </row>
    <row r="70" customFormat="false" ht="19.85" hidden="false" customHeight="true" outlineLevel="0" collapsed="false">
      <c r="A70" s="0" t="n">
        <v>31</v>
      </c>
      <c r="B70" s="31" t="n">
        <v>39814</v>
      </c>
      <c r="C70" s="592" t="n">
        <v>714836</v>
      </c>
      <c r="D70" s="58" t="s">
        <v>41</v>
      </c>
      <c r="E70" s="33" t="n">
        <f aca="false">IF(D70="totale",(C70/(A70*24))/F70,IF(D70="marché libre",(C70/(A70*24))/G70,"spécifier histo"))</f>
        <v>0.52791267871913</v>
      </c>
      <c r="F70" s="59" t="n">
        <v>1820</v>
      </c>
      <c r="G70" s="59" t="n">
        <f aca="false">F70-H70</f>
        <v>1820</v>
      </c>
      <c r="H70" s="59" t="n">
        <f aca="false">0</f>
        <v>0</v>
      </c>
      <c r="J70" s="55"/>
      <c r="K70" s="610"/>
      <c r="L70" s="609"/>
      <c r="M70" s="609"/>
    </row>
    <row r="71" customFormat="false" ht="19.85" hidden="false" customHeight="true" outlineLevel="0" collapsed="false">
      <c r="A71" s="0" t="n">
        <v>28</v>
      </c>
      <c r="B71" s="34" t="n">
        <v>39845</v>
      </c>
      <c r="C71" s="592" t="n">
        <v>876668</v>
      </c>
      <c r="D71" s="58" t="s">
        <v>41</v>
      </c>
      <c r="E71" s="33" t="n">
        <f aca="false">IF(D71="totale",(C71/(A71*24))/F71,IF(D71="marché libre",(C71/(A71*24))/G71,"spécifier histo"))</f>
        <v>0.716794217687075</v>
      </c>
      <c r="F71" s="59" t="n">
        <v>1820</v>
      </c>
      <c r="G71" s="59" t="n">
        <f aca="false">F71-H71</f>
        <v>1820</v>
      </c>
      <c r="H71" s="59" t="n">
        <f aca="false">0</f>
        <v>0</v>
      </c>
      <c r="J71" s="55"/>
      <c r="K71" s="610"/>
      <c r="L71" s="608"/>
      <c r="M71" s="608"/>
    </row>
    <row r="72" customFormat="false" ht="19.85" hidden="false" customHeight="true" outlineLevel="0" collapsed="false">
      <c r="A72" s="0" t="n">
        <v>31</v>
      </c>
      <c r="B72" s="31" t="n">
        <v>39873</v>
      </c>
      <c r="C72" s="592" t="n">
        <v>1186134</v>
      </c>
      <c r="D72" s="58" t="s">
        <v>41</v>
      </c>
      <c r="E72" s="33" t="n">
        <f aca="false">IF(D72="totale",(C72/(A72*24))/F72,IF(D72="marché libre",(C72/(A72*24))/G72,"spécifier histo"))</f>
        <v>0.875970400567175</v>
      </c>
      <c r="F72" s="59" t="n">
        <v>1820</v>
      </c>
      <c r="G72" s="59" t="n">
        <f aca="false">F72-H72</f>
        <v>1820</v>
      </c>
      <c r="H72" s="59" t="n">
        <f aca="false">0</f>
        <v>0</v>
      </c>
      <c r="J72" s="55"/>
      <c r="K72" s="610"/>
      <c r="L72" s="610"/>
      <c r="M72" s="610"/>
    </row>
    <row r="73" customFormat="false" ht="19.85" hidden="false" customHeight="true" outlineLevel="0" collapsed="false">
      <c r="A73" s="0" t="n">
        <v>30</v>
      </c>
      <c r="B73" s="34" t="n">
        <v>39904</v>
      </c>
      <c r="C73" s="592" t="n">
        <v>989389</v>
      </c>
      <c r="D73" s="58" t="s">
        <v>41</v>
      </c>
      <c r="E73" s="33" t="n">
        <f aca="false">IF(D73="totale",(C73/(A73*24))/F73,IF(D73="marché libre",(C73/(A73*24))/G73,"spécifier histo"))</f>
        <v>0.755028235653236</v>
      </c>
      <c r="F73" s="59" t="n">
        <v>1820</v>
      </c>
      <c r="G73" s="59" t="n">
        <f aca="false">F73-H73</f>
        <v>1820</v>
      </c>
      <c r="H73" s="59" t="n">
        <f aca="false">0</f>
        <v>0</v>
      </c>
      <c r="J73" s="55"/>
      <c r="K73" s="610"/>
      <c r="L73" s="610"/>
      <c r="M73" s="610"/>
    </row>
    <row r="74" customFormat="false" ht="19.85" hidden="false" customHeight="true" outlineLevel="0" collapsed="false">
      <c r="A74" s="0" t="n">
        <v>31</v>
      </c>
      <c r="B74" s="31" t="n">
        <v>39934</v>
      </c>
      <c r="C74" s="592" t="n">
        <v>309689</v>
      </c>
      <c r="D74" s="58" t="s">
        <v>41</v>
      </c>
      <c r="E74" s="33" t="n">
        <f aca="false">IF(D74="totale",(C74/(A74*24))/F74,IF(D74="marché libre",(C74/(A74*24))/G74,"spécifier histo"))</f>
        <v>0.228708052699988</v>
      </c>
      <c r="F74" s="59" t="n">
        <v>1820</v>
      </c>
      <c r="G74" s="59" t="n">
        <f aca="false">F74-H74</f>
        <v>1820</v>
      </c>
      <c r="H74" s="59" t="n">
        <f aca="false">0</f>
        <v>0</v>
      </c>
      <c r="J74" s="55"/>
      <c r="K74" s="610"/>
      <c r="L74" s="610"/>
      <c r="M74" s="610"/>
    </row>
    <row r="75" customFormat="false" ht="19.85" hidden="false" customHeight="true" outlineLevel="0" collapsed="false">
      <c r="A75" s="0" t="n">
        <v>30</v>
      </c>
      <c r="B75" s="34" t="n">
        <v>39965</v>
      </c>
      <c r="C75" s="592" t="n">
        <v>231683</v>
      </c>
      <c r="D75" s="58" t="s">
        <v>41</v>
      </c>
      <c r="E75" s="33" t="n">
        <f aca="false">IF(D75="totale",(C75/(A75*24))/F75,IF(D75="marché libre",(C75/(A75*24))/G75,"spécifier histo"))</f>
        <v>0.176803266178266</v>
      </c>
      <c r="F75" s="59" t="n">
        <v>1820</v>
      </c>
      <c r="G75" s="59" t="n">
        <f aca="false">F75-H75</f>
        <v>1820</v>
      </c>
      <c r="H75" s="59" t="n">
        <f aca="false">0</f>
        <v>0</v>
      </c>
      <c r="J75" s="55"/>
      <c r="K75" s="610"/>
      <c r="L75" s="610"/>
      <c r="M75" s="610"/>
    </row>
    <row r="76" customFormat="false" ht="19.85" hidden="false" customHeight="true" outlineLevel="0" collapsed="false">
      <c r="A76" s="0" t="n">
        <v>31</v>
      </c>
      <c r="B76" s="31" t="n">
        <v>39995</v>
      </c>
      <c r="C76" s="592" t="n">
        <v>437379</v>
      </c>
      <c r="D76" s="58" t="s">
        <v>41</v>
      </c>
      <c r="E76" s="33" t="n">
        <f aca="false">IF(D76="totale",(C76/(A76*24))/F76,IF(D76="marché libre",(C76/(A76*24))/G76,"spécifier histo"))</f>
        <v>0.323008241758242</v>
      </c>
      <c r="F76" s="59" t="n">
        <v>1820</v>
      </c>
      <c r="G76" s="59" t="n">
        <f aca="false">F76-H76</f>
        <v>1820</v>
      </c>
      <c r="H76" s="59" t="n">
        <f aca="false">0</f>
        <v>0</v>
      </c>
      <c r="J76" s="55"/>
      <c r="K76" s="610"/>
      <c r="L76" s="610"/>
      <c r="M76" s="610"/>
    </row>
    <row r="77" customFormat="false" ht="19.85" hidden="false" customHeight="true" outlineLevel="0" collapsed="false">
      <c r="A77" s="0" t="n">
        <v>31</v>
      </c>
      <c r="B77" s="34" t="n">
        <v>40026</v>
      </c>
      <c r="C77" s="592" t="n">
        <v>144541</v>
      </c>
      <c r="D77" s="58" t="s">
        <v>41</v>
      </c>
      <c r="E77" s="33" t="n">
        <f aca="false">IF(D77="totale",(C77/(A77*24))/F77,IF(D77="marché libre",(C77/(A77*24))/G77,"spécifier histo"))</f>
        <v>0.106744800898027</v>
      </c>
      <c r="F77" s="59" t="n">
        <v>1820</v>
      </c>
      <c r="G77" s="59" t="n">
        <f aca="false">F77-H77</f>
        <v>1820</v>
      </c>
      <c r="H77" s="59" t="n">
        <f aca="false">0</f>
        <v>0</v>
      </c>
      <c r="J77" s="55"/>
      <c r="K77" s="610"/>
      <c r="L77" s="610"/>
      <c r="M77" s="610"/>
    </row>
    <row r="78" customFormat="false" ht="19.85" hidden="false" customHeight="true" outlineLevel="0" collapsed="false">
      <c r="A78" s="0" t="n">
        <v>30</v>
      </c>
      <c r="B78" s="31" t="n">
        <v>40057</v>
      </c>
      <c r="C78" s="592" t="n">
        <v>19426</v>
      </c>
      <c r="D78" s="58" t="s">
        <v>41</v>
      </c>
      <c r="E78" s="33" t="n">
        <f aca="false">IF(D78="totale",(C78/(A78*24))/F78,IF(D78="marché libre",(C78/(A78*24))/G78,"spécifier histo"))</f>
        <v>0.0148244810744811</v>
      </c>
      <c r="F78" s="59" t="n">
        <v>1820</v>
      </c>
      <c r="G78" s="59" t="n">
        <f aca="false">F78-H78</f>
        <v>1820</v>
      </c>
      <c r="H78" s="59" t="n">
        <f aca="false">0</f>
        <v>0</v>
      </c>
      <c r="J78" s="55"/>
      <c r="K78" s="610"/>
      <c r="L78" s="610"/>
      <c r="M78" s="610"/>
    </row>
    <row r="79" customFormat="false" ht="19.85" hidden="false" customHeight="true" outlineLevel="0" collapsed="false">
      <c r="A79" s="0" t="n">
        <v>31</v>
      </c>
      <c r="B79" s="34" t="n">
        <v>40087</v>
      </c>
      <c r="C79" s="592" t="n">
        <v>105426</v>
      </c>
      <c r="D79" s="58" t="s">
        <v>41</v>
      </c>
      <c r="E79" s="33" t="n">
        <f aca="false">IF(D79="totale",(C79/(A79*24))/F79,IF(D79="marché libre",(C79/(A79*24))/G79,"spécifier histo"))</f>
        <v>0.0778580290677065</v>
      </c>
      <c r="F79" s="59" t="n">
        <v>1820</v>
      </c>
      <c r="G79" s="59" t="n">
        <f aca="false">F79-H79</f>
        <v>1820</v>
      </c>
      <c r="H79" s="59" t="n">
        <f aca="false">0</f>
        <v>0</v>
      </c>
      <c r="J79" s="55"/>
      <c r="K79" s="610"/>
      <c r="L79" s="610"/>
      <c r="M79" s="610"/>
    </row>
    <row r="80" customFormat="false" ht="19.85" hidden="false" customHeight="true" outlineLevel="0" collapsed="false">
      <c r="A80" s="0" t="n">
        <v>30</v>
      </c>
      <c r="B80" s="31" t="n">
        <v>40118</v>
      </c>
      <c r="C80" s="592" t="n">
        <v>787297</v>
      </c>
      <c r="D80" s="58" t="s">
        <v>41</v>
      </c>
      <c r="E80" s="33" t="n">
        <f aca="false">IF(D80="totale",(C80/(A80*24))/F80,IF(D80="marché libre",(C80/(A80*24))/G80,"spécifier histo"))</f>
        <v>0.600806623931624</v>
      </c>
      <c r="F80" s="59" t="n">
        <v>1820</v>
      </c>
      <c r="G80" s="59" t="n">
        <f aca="false">F80-H80</f>
        <v>1820</v>
      </c>
      <c r="H80" s="59" t="n">
        <f aca="false">0</f>
        <v>0</v>
      </c>
      <c r="J80" s="55"/>
      <c r="K80" s="610"/>
      <c r="L80" s="610"/>
      <c r="M80" s="610"/>
    </row>
    <row r="81" customFormat="false" ht="19.85" hidden="false" customHeight="true" outlineLevel="0" collapsed="false">
      <c r="A81" s="0" t="n">
        <v>31</v>
      </c>
      <c r="B81" s="34" t="n">
        <v>40148</v>
      </c>
      <c r="C81" s="592" t="n">
        <v>1056572</v>
      </c>
      <c r="D81" s="58" t="s">
        <v>41</v>
      </c>
      <c r="E81" s="33" t="n">
        <f aca="false">IF(D81="totale",(C81/(A81*24))/F81,IF(D81="marché libre",(C81/(A81*24))/G81,"spécifier histo"))</f>
        <v>0.780287723029658</v>
      </c>
      <c r="F81" s="59" t="n">
        <v>1820</v>
      </c>
      <c r="G81" s="59" t="n">
        <f aca="false">F81-H81</f>
        <v>1820</v>
      </c>
      <c r="H81" s="59" t="n">
        <f aca="false">0</f>
        <v>0</v>
      </c>
      <c r="J81" s="55"/>
      <c r="K81" s="611"/>
      <c r="L81" s="610"/>
      <c r="M81" s="610"/>
    </row>
    <row r="82" customFormat="false" ht="19.85" hidden="false" customHeight="true" outlineLevel="0" collapsed="false">
      <c r="A82" s="0" t="n">
        <v>31</v>
      </c>
      <c r="B82" s="31" t="n">
        <v>40179</v>
      </c>
      <c r="C82" s="592" t="n">
        <v>903319</v>
      </c>
      <c r="D82" s="58" t="s">
        <v>41</v>
      </c>
      <c r="E82" s="33" t="n">
        <f aca="false">IF(D82="totale",(C82/(A82*24))/F82,IF(D82="marché libre",(C82/(A82*24))/G82,"spécifier histo"))</f>
        <v>0.667109033439679</v>
      </c>
      <c r="F82" s="59" t="n">
        <v>1820</v>
      </c>
      <c r="G82" s="59" t="n">
        <f aca="false">F82-H82</f>
        <v>1820</v>
      </c>
      <c r="H82" s="59" t="n">
        <f aca="false">0</f>
        <v>0</v>
      </c>
      <c r="J82" s="55"/>
      <c r="K82" s="36"/>
      <c r="L82" s="610"/>
      <c r="M82" s="610"/>
    </row>
    <row r="83" customFormat="false" ht="19.85" hidden="false" customHeight="true" outlineLevel="0" collapsed="false">
      <c r="A83" s="0" t="n">
        <v>28</v>
      </c>
      <c r="B83" s="34" t="n">
        <v>40210</v>
      </c>
      <c r="C83" s="592" t="n">
        <v>816540</v>
      </c>
      <c r="D83" s="58" t="s">
        <v>41</v>
      </c>
      <c r="E83" s="33" t="n">
        <f aca="false">IF(D83="totale",(C83/(A83*24))/F83,IF(D83="marché libre",(C83/(A83*24))/G83,"spécifier histo"))</f>
        <v>0.66763147566719</v>
      </c>
      <c r="F83" s="59" t="n">
        <v>1820</v>
      </c>
      <c r="G83" s="59" t="n">
        <f aca="false">F83-H83</f>
        <v>1820</v>
      </c>
      <c r="H83" s="59" t="n">
        <f aca="false">0</f>
        <v>0</v>
      </c>
      <c r="J83" s="55"/>
      <c r="K83" s="612"/>
      <c r="L83" s="610"/>
      <c r="M83" s="610"/>
    </row>
    <row r="84" customFormat="false" ht="19.85" hidden="false" customHeight="true" outlineLevel="0" collapsed="false">
      <c r="A84" s="0" t="n">
        <v>31</v>
      </c>
      <c r="B84" s="31" t="n">
        <v>40238</v>
      </c>
      <c r="C84" s="592" t="n">
        <v>1090833</v>
      </c>
      <c r="D84" s="58" t="s">
        <v>41</v>
      </c>
      <c r="E84" s="33" t="n">
        <f aca="false">IF(D84="totale",(C84/(A84*24))/F84,IF(D84="marché libre",(C84/(A84*24))/G84,"spécifier histo"))</f>
        <v>0.805589773130096</v>
      </c>
      <c r="F84" s="59" t="n">
        <v>1820</v>
      </c>
      <c r="G84" s="59" t="n">
        <f aca="false">F84-H84</f>
        <v>1820</v>
      </c>
      <c r="H84" s="59" t="n">
        <f aca="false">0</f>
        <v>0</v>
      </c>
      <c r="J84" s="55"/>
      <c r="K84" s="613"/>
      <c r="L84" s="610"/>
      <c r="M84" s="610"/>
    </row>
    <row r="85" customFormat="false" ht="19.85" hidden="false" customHeight="true" outlineLevel="0" collapsed="false">
      <c r="A85" s="0" t="n">
        <v>30</v>
      </c>
      <c r="B85" s="34" t="n">
        <v>40269</v>
      </c>
      <c r="C85" s="592" t="n">
        <v>785895</v>
      </c>
      <c r="D85" s="58" t="s">
        <v>41</v>
      </c>
      <c r="E85" s="33" t="n">
        <f aca="false">IF(D85="totale",(C85/(A85*24))/F85,IF(D85="marché libre",(C85/(A85*24))/G85,"spécifier histo"))</f>
        <v>0.599736721611722</v>
      </c>
      <c r="F85" s="59" t="n">
        <v>1820</v>
      </c>
      <c r="G85" s="59" t="n">
        <f aca="false">F85-H85</f>
        <v>1820</v>
      </c>
      <c r="H85" s="59" t="n">
        <f aca="false">0</f>
        <v>0</v>
      </c>
      <c r="J85" s="55"/>
      <c r="K85" s="614"/>
      <c r="L85" s="611"/>
      <c r="M85" s="611"/>
    </row>
    <row r="86" customFormat="false" ht="19.85" hidden="false" customHeight="true" outlineLevel="0" collapsed="false">
      <c r="A86" s="0" t="n">
        <v>31</v>
      </c>
      <c r="B86" s="31" t="n">
        <v>40299</v>
      </c>
      <c r="C86" s="592" t="n">
        <v>367763</v>
      </c>
      <c r="D86" s="58" t="s">
        <v>41</v>
      </c>
      <c r="E86" s="33" t="n">
        <f aca="false">IF(D86="totale",(C86/(A86*24))/F86,IF(D86="marché libre",(C86/(A86*24))/G86,"spécifier histo"))</f>
        <v>0.271596212926858</v>
      </c>
      <c r="F86" s="59" t="n">
        <v>1820</v>
      </c>
      <c r="G86" s="59" t="n">
        <f aca="false">F86-H86</f>
        <v>1820</v>
      </c>
      <c r="H86" s="59" t="n">
        <f aca="false">0</f>
        <v>0</v>
      </c>
      <c r="J86" s="55"/>
      <c r="K86" s="613"/>
      <c r="L86" s="36"/>
      <c r="M86" s="36"/>
    </row>
    <row r="87" customFormat="false" ht="19.85" hidden="false" customHeight="true" outlineLevel="0" collapsed="false">
      <c r="A87" s="0" t="n">
        <v>30</v>
      </c>
      <c r="B87" s="34" t="n">
        <v>40330</v>
      </c>
      <c r="C87" s="592" t="n">
        <v>362960</v>
      </c>
      <c r="D87" s="58" t="s">
        <v>41</v>
      </c>
      <c r="E87" s="33" t="n">
        <f aca="false">IF(D87="totale",(C87/(A87*24))/F87,IF(D87="marché libre",(C87/(A87*24))/G87,"spécifier histo"))</f>
        <v>0.276984126984127</v>
      </c>
      <c r="F87" s="59" t="n">
        <v>1820</v>
      </c>
      <c r="G87" s="59" t="n">
        <f aca="false">F87-H87</f>
        <v>1820</v>
      </c>
      <c r="H87" s="59" t="n">
        <f aca="false">0</f>
        <v>0</v>
      </c>
      <c r="J87" s="55"/>
      <c r="K87" s="615"/>
      <c r="L87" s="612"/>
      <c r="M87" s="612"/>
    </row>
    <row r="88" customFormat="false" ht="19.85" hidden="false" customHeight="true" outlineLevel="0" collapsed="false">
      <c r="A88" s="0" t="n">
        <v>31</v>
      </c>
      <c r="B88" s="31" t="n">
        <v>40360</v>
      </c>
      <c r="C88" s="592" t="n">
        <v>28127</v>
      </c>
      <c r="D88" s="58" t="s">
        <v>41</v>
      </c>
      <c r="E88" s="33" t="n">
        <f aca="false">IF(D88="totale",(C88/(A88*24))/F88,IF(D88="marché libre",(C88/(A88*24))/G88,"spécifier histo"))</f>
        <v>0.0207720371026823</v>
      </c>
      <c r="F88" s="59" t="n">
        <v>1820</v>
      </c>
      <c r="G88" s="59" t="n">
        <f aca="false">F88-H88</f>
        <v>1820</v>
      </c>
      <c r="H88" s="59" t="n">
        <f aca="false">0</f>
        <v>0</v>
      </c>
      <c r="J88" s="55"/>
      <c r="K88" s="615"/>
      <c r="L88" s="613"/>
      <c r="M88" s="613"/>
    </row>
    <row r="89" customFormat="false" ht="19.85" hidden="false" customHeight="true" outlineLevel="0" collapsed="false">
      <c r="A89" s="0" t="n">
        <v>31</v>
      </c>
      <c r="B89" s="34" t="n">
        <v>40391</v>
      </c>
      <c r="C89" s="592" t="n">
        <v>501948</v>
      </c>
      <c r="D89" s="58" t="s">
        <v>41</v>
      </c>
      <c r="E89" s="33" t="n">
        <f aca="false">IF(D89="totale",(C89/(A89*24))/F89,IF(D89="marché libre",(C89/(A89*24))/G89,"spécifier histo"))</f>
        <v>0.370693016660759</v>
      </c>
      <c r="F89" s="59" t="n">
        <v>1820</v>
      </c>
      <c r="G89" s="59" t="n">
        <f aca="false">F89-H89</f>
        <v>1820</v>
      </c>
      <c r="H89" s="59" t="n">
        <f aca="false">0</f>
        <v>0</v>
      </c>
      <c r="J89" s="55"/>
      <c r="K89" s="615"/>
      <c r="L89" s="614"/>
      <c r="M89" s="614"/>
    </row>
    <row r="90" customFormat="false" ht="19.85" hidden="false" customHeight="true" outlineLevel="0" collapsed="false">
      <c r="A90" s="0" t="n">
        <v>30</v>
      </c>
      <c r="B90" s="31" t="n">
        <v>40422</v>
      </c>
      <c r="C90" s="592" t="n">
        <v>514097</v>
      </c>
      <c r="D90" s="58" t="s">
        <v>41</v>
      </c>
      <c r="E90" s="33" t="n">
        <f aca="false">IF(D90="totale",(C90/(A90*24))/F90,IF(D90="marché libre",(C90/(A90*24))/G90,"spécifier histo"))</f>
        <v>0.392320665445665</v>
      </c>
      <c r="F90" s="59" t="n">
        <v>1820</v>
      </c>
      <c r="G90" s="59" t="n">
        <f aca="false">F90-H90</f>
        <v>1820</v>
      </c>
      <c r="H90" s="59" t="n">
        <f aca="false">0</f>
        <v>0</v>
      </c>
      <c r="J90" s="55"/>
      <c r="K90" s="615"/>
      <c r="L90" s="613"/>
      <c r="M90" s="613"/>
    </row>
    <row r="91" customFormat="false" ht="19.85" hidden="false" customHeight="true" outlineLevel="0" collapsed="false">
      <c r="A91" s="0" t="n">
        <v>31</v>
      </c>
      <c r="B91" s="34" t="n">
        <v>40452</v>
      </c>
      <c r="C91" s="592" t="n">
        <v>407644</v>
      </c>
      <c r="D91" s="58" t="s">
        <v>41</v>
      </c>
      <c r="E91" s="33" t="n">
        <f aca="false">IF(D91="totale",(C91/(A91*24))/F91,IF(D91="marché libre",(C91/(A91*24))/G91,"spécifier histo"))</f>
        <v>0.301048682500295</v>
      </c>
      <c r="F91" s="59" t="n">
        <v>1820</v>
      </c>
      <c r="G91" s="59" t="n">
        <f aca="false">F91-H91</f>
        <v>1820</v>
      </c>
      <c r="H91" s="59" t="n">
        <f aca="false">0</f>
        <v>0</v>
      </c>
      <c r="J91" s="55"/>
      <c r="K91" s="615"/>
      <c r="L91" s="615"/>
      <c r="M91" s="615"/>
    </row>
    <row r="92" customFormat="false" ht="19.85" hidden="false" customHeight="true" outlineLevel="0" collapsed="false">
      <c r="A92" s="0" t="n">
        <v>30</v>
      </c>
      <c r="B92" s="31" t="n">
        <v>40483</v>
      </c>
      <c r="C92" s="592" t="n">
        <v>842872</v>
      </c>
      <c r="D92" s="58" t="s">
        <v>41</v>
      </c>
      <c r="E92" s="33" t="n">
        <f aca="false">IF(D92="totale",(C92/(A92*24))/F92,IF(D92="marché libre",(C92/(A92*24))/G92,"spécifier histo"))</f>
        <v>0.643217338217338</v>
      </c>
      <c r="F92" s="59" t="n">
        <v>1820</v>
      </c>
      <c r="G92" s="59" t="n">
        <f aca="false">F92-H92</f>
        <v>1820</v>
      </c>
      <c r="H92" s="59" t="n">
        <f aca="false">0</f>
        <v>0</v>
      </c>
      <c r="J92" s="55"/>
      <c r="K92" s="615"/>
      <c r="L92" s="615"/>
      <c r="M92" s="615"/>
    </row>
    <row r="93" customFormat="false" ht="19.85" hidden="false" customHeight="true" outlineLevel="0" collapsed="false">
      <c r="A93" s="0" t="n">
        <v>31</v>
      </c>
      <c r="B93" s="34" t="n">
        <v>40513</v>
      </c>
      <c r="C93" s="592" t="n">
        <v>1000027</v>
      </c>
      <c r="D93" s="58" t="s">
        <v>41</v>
      </c>
      <c r="E93" s="33" t="n">
        <f aca="false">IF(D93="totale",(C93/(A93*24))/F93,IF(D93="marché libre",(C93/(A93*24))/G93,"spécifier histo"))</f>
        <v>0.738528742762614</v>
      </c>
      <c r="F93" s="59" t="n">
        <v>1820</v>
      </c>
      <c r="G93" s="59" t="n">
        <f aca="false">F93-H93</f>
        <v>1820</v>
      </c>
      <c r="H93" s="59" t="n">
        <f aca="false">0</f>
        <v>0</v>
      </c>
      <c r="J93" s="55"/>
      <c r="K93" s="615"/>
      <c r="L93" s="615"/>
      <c r="M93" s="615"/>
    </row>
    <row r="94" customFormat="false" ht="19.85" hidden="false" customHeight="true" outlineLevel="0" collapsed="false">
      <c r="A94" s="0" t="n">
        <v>31</v>
      </c>
      <c r="B94" s="31" t="n">
        <v>40544</v>
      </c>
      <c r="C94" s="592" t="n">
        <v>1084489</v>
      </c>
      <c r="D94" s="58" t="s">
        <v>41</v>
      </c>
      <c r="E94" s="33" t="n">
        <f aca="false">IF(D94="totale",(C94/(A94*24))/F94,IF(D94="marché libre",(C94/(A94*24))/G94,"spécifier histo"))</f>
        <v>0.800904673283706</v>
      </c>
      <c r="F94" s="59" t="n">
        <v>1820</v>
      </c>
      <c r="G94" s="59" t="n">
        <f aca="false">F94-H94</f>
        <v>1820</v>
      </c>
      <c r="H94" s="59" t="n">
        <f aca="false">0</f>
        <v>0</v>
      </c>
      <c r="J94" s="55"/>
      <c r="K94" s="615"/>
      <c r="L94" s="615"/>
      <c r="M94" s="615"/>
    </row>
    <row r="95" customFormat="false" ht="19.85" hidden="false" customHeight="true" outlineLevel="0" collapsed="false">
      <c r="A95" s="0" t="n">
        <v>28</v>
      </c>
      <c r="B95" s="34" t="n">
        <v>40575</v>
      </c>
      <c r="C95" s="592" t="n">
        <v>601810</v>
      </c>
      <c r="D95" s="58" t="s">
        <v>41</v>
      </c>
      <c r="E95" s="33" t="n">
        <f aca="false">IF(D95="totale",(C95/(A95*24))/F95,IF(D95="marché libre",(C95/(A95*24))/G95,"spécifier histo"))</f>
        <v>0.492060766614338</v>
      </c>
      <c r="F95" s="59" t="n">
        <v>1820</v>
      </c>
      <c r="G95" s="59" t="n">
        <f aca="false">F95-H95</f>
        <v>1820</v>
      </c>
      <c r="H95" s="59" t="n">
        <f aca="false">0</f>
        <v>0</v>
      </c>
      <c r="J95" s="55"/>
      <c r="K95" s="615"/>
      <c r="L95" s="615"/>
      <c r="M95" s="615"/>
    </row>
    <row r="96" customFormat="false" ht="19.85" hidden="false" customHeight="true" outlineLevel="0" collapsed="false">
      <c r="A96" s="0" t="n">
        <v>31</v>
      </c>
      <c r="B96" s="31" t="n">
        <v>40603</v>
      </c>
      <c r="C96" s="592" t="n">
        <v>495052</v>
      </c>
      <c r="D96" s="58" t="s">
        <v>41</v>
      </c>
      <c r="E96" s="33" t="n">
        <f aca="false">IF(D96="totale",(C96/(A96*24))/F96,IF(D96="marché libre",(C96/(A96*24))/G96,"spécifier histo"))</f>
        <v>0.365600259955099</v>
      </c>
      <c r="F96" s="59" t="n">
        <v>1820</v>
      </c>
      <c r="G96" s="59" t="n">
        <f aca="false">F96-H96</f>
        <v>1820</v>
      </c>
      <c r="H96" s="59" t="n">
        <f aca="false">0</f>
        <v>0</v>
      </c>
      <c r="J96" s="55"/>
      <c r="K96" s="615"/>
      <c r="L96" s="615"/>
      <c r="M96" s="615"/>
    </row>
    <row r="97" customFormat="false" ht="19.85" hidden="false" customHeight="true" outlineLevel="0" collapsed="false">
      <c r="A97" s="0" t="n">
        <v>30</v>
      </c>
      <c r="B97" s="34" t="n">
        <v>40634</v>
      </c>
      <c r="C97" s="592" t="n">
        <v>338257</v>
      </c>
      <c r="D97" s="58" t="s">
        <v>41</v>
      </c>
      <c r="E97" s="33" t="n">
        <f aca="false">IF(D97="totale",(C97/(A97*24))/F97,IF(D97="marché libre",(C97/(A97*24))/G97,"spécifier histo"))</f>
        <v>0.258132631257631</v>
      </c>
      <c r="F97" s="59" t="n">
        <v>1820</v>
      </c>
      <c r="G97" s="59" t="n">
        <f aca="false">F97-H97</f>
        <v>1820</v>
      </c>
      <c r="H97" s="59" t="n">
        <f aca="false">0</f>
        <v>0</v>
      </c>
      <c r="J97" s="55"/>
      <c r="K97" s="615"/>
      <c r="L97" s="615"/>
      <c r="M97" s="615"/>
    </row>
    <row r="98" customFormat="false" ht="19.85" hidden="false" customHeight="true" outlineLevel="0" collapsed="false">
      <c r="A98" s="0" t="n">
        <v>31</v>
      </c>
      <c r="B98" s="31" t="n">
        <v>40664</v>
      </c>
      <c r="C98" s="592" t="n">
        <v>85040</v>
      </c>
      <c r="D98" s="58" t="s">
        <v>41</v>
      </c>
      <c r="E98" s="33" t="n">
        <f aca="false">IF(D98="totale",(C98/(A98*24))/F98,IF(D98="marché libre",(C98/(A98*24))/G98,"spécifier histo"))</f>
        <v>0.0628027886092402</v>
      </c>
      <c r="F98" s="59" t="n">
        <v>1820</v>
      </c>
      <c r="G98" s="59" t="n">
        <f aca="false">F98-H98</f>
        <v>1820</v>
      </c>
      <c r="H98" s="59" t="n">
        <f aca="false">0</f>
        <v>0</v>
      </c>
      <c r="J98" s="55"/>
      <c r="K98" s="615"/>
      <c r="L98" s="615"/>
      <c r="M98" s="615"/>
    </row>
    <row r="99" customFormat="false" ht="19.85" hidden="false" customHeight="true" outlineLevel="0" collapsed="false">
      <c r="A99" s="0" t="n">
        <v>30</v>
      </c>
      <c r="B99" s="34" t="n">
        <v>40695</v>
      </c>
      <c r="C99" s="592" t="n">
        <v>143796</v>
      </c>
      <c r="D99" s="58" t="s">
        <v>41</v>
      </c>
      <c r="E99" s="33" t="n">
        <f aca="false">IF(D99="totale",(C99/(A99*24))/F99,IF(D99="marché libre",(C99/(A99*24))/G99,"spécifier histo"))</f>
        <v>0.109734432234432</v>
      </c>
      <c r="F99" s="59" t="n">
        <v>1820</v>
      </c>
      <c r="G99" s="59" t="n">
        <f aca="false">F99-H99</f>
        <v>1820</v>
      </c>
      <c r="H99" s="59" t="n">
        <f aca="false">0</f>
        <v>0</v>
      </c>
      <c r="J99" s="55"/>
      <c r="K99" s="615"/>
      <c r="L99" s="615"/>
      <c r="M99" s="615"/>
    </row>
    <row r="100" customFormat="false" ht="19.85" hidden="false" customHeight="true" outlineLevel="0" collapsed="false">
      <c r="A100" s="0" t="n">
        <v>31</v>
      </c>
      <c r="B100" s="31" t="n">
        <v>40725</v>
      </c>
      <c r="C100" s="592" t="n">
        <v>382614</v>
      </c>
      <c r="D100" s="58" t="s">
        <v>41</v>
      </c>
      <c r="E100" s="33" t="n">
        <f aca="false">IF(D100="totale",(C100/(A100*24))/F100,IF(D100="marché libre",(C100/(A100*24))/G100,"spécifier histo"))</f>
        <v>0.282563807160581</v>
      </c>
      <c r="F100" s="59" t="n">
        <v>1820</v>
      </c>
      <c r="G100" s="59" t="n">
        <f aca="false">F100-H100</f>
        <v>1820</v>
      </c>
      <c r="H100" s="59" t="n">
        <f aca="false">0</f>
        <v>0</v>
      </c>
      <c r="J100" s="55"/>
      <c r="K100" s="616"/>
      <c r="L100" s="615"/>
      <c r="M100" s="615"/>
    </row>
    <row r="101" customFormat="false" ht="19.85" hidden="false" customHeight="true" outlineLevel="0" collapsed="false">
      <c r="A101" s="0" t="n">
        <v>31</v>
      </c>
      <c r="B101" s="34" t="n">
        <v>40756</v>
      </c>
      <c r="C101" s="592" t="n">
        <v>482307</v>
      </c>
      <c r="D101" s="58" t="s">
        <v>41</v>
      </c>
      <c r="E101" s="33" t="n">
        <f aca="false">IF(D101="totale",(C101/(A101*24))/F101,IF(D101="marché libre",(C101/(A101*24))/G101,"spécifier histo"))</f>
        <v>0.356187965260546</v>
      </c>
      <c r="F101" s="59" t="n">
        <v>1820</v>
      </c>
      <c r="G101" s="59" t="n">
        <f aca="false">F101-H101</f>
        <v>1820</v>
      </c>
      <c r="H101" s="59" t="n">
        <f aca="false">0</f>
        <v>0</v>
      </c>
      <c r="J101" s="55"/>
      <c r="K101" s="36"/>
      <c r="L101" s="615"/>
      <c r="M101" s="615"/>
    </row>
    <row r="102" customFormat="false" ht="19.85" hidden="false" customHeight="true" outlineLevel="0" collapsed="false">
      <c r="A102" s="0" t="n">
        <v>30</v>
      </c>
      <c r="B102" s="31" t="n">
        <v>40787</v>
      </c>
      <c r="C102" s="592" t="n">
        <v>278136</v>
      </c>
      <c r="D102" s="58" t="s">
        <v>41</v>
      </c>
      <c r="E102" s="33" t="n">
        <f aca="false">IF(D102="totale",(C102/(A102*24))/F102,IF(D102="marché libre",(C102/(A102*24))/G102,"spécifier histo"))</f>
        <v>0.212252747252747</v>
      </c>
      <c r="F102" s="59" t="n">
        <v>1820</v>
      </c>
      <c r="G102" s="59" t="n">
        <f aca="false">F102-H102</f>
        <v>1820</v>
      </c>
      <c r="H102" s="59" t="n">
        <f aca="false">0</f>
        <v>0</v>
      </c>
      <c r="J102" s="55"/>
      <c r="K102" s="617"/>
      <c r="L102" s="615"/>
      <c r="M102" s="615"/>
    </row>
    <row r="103" customFormat="false" ht="19.85" hidden="false" customHeight="true" outlineLevel="0" collapsed="false">
      <c r="A103" s="0" t="n">
        <v>31</v>
      </c>
      <c r="B103" s="34" t="n">
        <v>40817</v>
      </c>
      <c r="C103" s="592" t="n">
        <v>326928</v>
      </c>
      <c r="D103" s="58" t="s">
        <v>41</v>
      </c>
      <c r="E103" s="33" t="n">
        <f aca="false">IF(D103="totale",(C103/(A103*24))/F103,IF(D103="marché libre",(C103/(A103*24))/G103,"spécifier histo"))</f>
        <v>0.241439205955335</v>
      </c>
      <c r="F103" s="59" t="n">
        <v>1820</v>
      </c>
      <c r="G103" s="59" t="n">
        <f aca="false">F103-H103</f>
        <v>1820</v>
      </c>
      <c r="H103" s="59" t="n">
        <f aca="false">0</f>
        <v>0</v>
      </c>
      <c r="J103" s="55"/>
      <c r="K103" s="618"/>
      <c r="L103" s="615"/>
      <c r="M103" s="615"/>
    </row>
    <row r="104" customFormat="false" ht="19.85" hidden="false" customHeight="true" outlineLevel="0" collapsed="false">
      <c r="A104" s="0" t="n">
        <v>30</v>
      </c>
      <c r="B104" s="31" t="n">
        <v>40848</v>
      </c>
      <c r="C104" s="592" t="n">
        <v>114466</v>
      </c>
      <c r="D104" s="58" t="s">
        <v>41</v>
      </c>
      <c r="E104" s="33" t="n">
        <f aca="false">IF(D104="totale",(C104/(A104*24))/F104,IF(D104="marché libre",(C104/(A104*24))/G104,"spécifier histo"))</f>
        <v>0.0873519536019536</v>
      </c>
      <c r="F104" s="59" t="n">
        <v>1820</v>
      </c>
      <c r="G104" s="59" t="n">
        <f aca="false">F104-H104</f>
        <v>1820</v>
      </c>
      <c r="H104" s="59" t="n">
        <f aca="false">0</f>
        <v>0</v>
      </c>
      <c r="J104" s="55"/>
      <c r="K104" s="619"/>
      <c r="L104" s="616"/>
      <c r="M104" s="616"/>
    </row>
    <row r="105" customFormat="false" ht="19.85" hidden="false" customHeight="true" outlineLevel="0" collapsed="false">
      <c r="A105" s="0" t="n">
        <v>31</v>
      </c>
      <c r="B105" s="34" t="n">
        <v>40878</v>
      </c>
      <c r="C105" s="592" t="n">
        <v>837645</v>
      </c>
      <c r="D105" s="58" t="s">
        <v>41</v>
      </c>
      <c r="E105" s="33" t="n">
        <f aca="false">IF(D105="totale",(C105/(A105*24))/F105,IF(D105="marché libre",(C105/(A105*24))/G105,"spécifier histo"))</f>
        <v>0.618608206309819</v>
      </c>
      <c r="F105" s="59" t="n">
        <v>1820</v>
      </c>
      <c r="G105" s="59" t="n">
        <f aca="false">F105-H105</f>
        <v>1820</v>
      </c>
      <c r="H105" s="59" t="n">
        <f aca="false">0</f>
        <v>0</v>
      </c>
      <c r="J105" s="55"/>
      <c r="K105" s="618"/>
      <c r="L105" s="36"/>
      <c r="M105" s="36"/>
    </row>
    <row r="106" customFormat="false" ht="19.85" hidden="false" customHeight="true" outlineLevel="0" collapsed="false">
      <c r="A106" s="0" t="n">
        <v>31</v>
      </c>
      <c r="B106" s="31" t="n">
        <v>40909</v>
      </c>
      <c r="C106" s="592" t="n">
        <v>1024038</v>
      </c>
      <c r="D106" s="58" t="s">
        <v>41</v>
      </c>
      <c r="E106" s="33" t="n">
        <f aca="false">IF(D106="totale",(C106/(A106*24))/F106,IF(D106="marché libre",(C106/(A106*24))/G106,"spécifier histo"))</f>
        <v>0.756261077632045</v>
      </c>
      <c r="F106" s="59" t="n">
        <v>1820</v>
      </c>
      <c r="G106" s="59" t="n">
        <f aca="false">F106-H106</f>
        <v>1820</v>
      </c>
      <c r="H106" s="59" t="n">
        <f aca="false">0</f>
        <v>0</v>
      </c>
      <c r="J106" s="55"/>
      <c r="K106" s="620"/>
      <c r="L106" s="617"/>
      <c r="M106" s="617"/>
    </row>
    <row r="107" customFormat="false" ht="19.85" hidden="false" customHeight="true" outlineLevel="0" collapsed="false">
      <c r="A107" s="0" t="n">
        <v>28</v>
      </c>
      <c r="B107" s="34" t="n">
        <v>40940</v>
      </c>
      <c r="C107" s="592" t="n">
        <v>428063</v>
      </c>
      <c r="D107" s="58" t="s">
        <v>41</v>
      </c>
      <c r="E107" s="33" t="n">
        <f aca="false">IF(D107="totale",(C107/(A107*24))/F107,IF(D107="marché libre",(C107/(A107*24))/G107,"spécifier histo"))</f>
        <v>0.349999182365254</v>
      </c>
      <c r="F107" s="59" t="n">
        <v>1820</v>
      </c>
      <c r="G107" s="59" t="n">
        <f aca="false">F107-H107</f>
        <v>1820</v>
      </c>
      <c r="H107" s="59" t="n">
        <f aca="false">0</f>
        <v>0</v>
      </c>
      <c r="J107" s="55"/>
      <c r="K107" s="620"/>
      <c r="L107" s="618"/>
      <c r="M107" s="618"/>
    </row>
    <row r="108" customFormat="false" ht="19.85" hidden="false" customHeight="true" outlineLevel="0" collapsed="false">
      <c r="A108" s="0" t="n">
        <v>31</v>
      </c>
      <c r="B108" s="31" t="n">
        <v>40969</v>
      </c>
      <c r="C108" s="592" t="n">
        <v>536331</v>
      </c>
      <c r="D108" s="58" t="s">
        <v>41</v>
      </c>
      <c r="E108" s="33" t="n">
        <f aca="false">IF(D108="totale",(C108/(A108*24))/F108,IF(D108="marché libre",(C108/(A108*24))/G108,"spécifier histo"))</f>
        <v>0.396085164835165</v>
      </c>
      <c r="F108" s="59" t="n">
        <v>1820</v>
      </c>
      <c r="G108" s="59" t="n">
        <f aca="false">F108-H108</f>
        <v>1820</v>
      </c>
      <c r="H108" s="59" t="n">
        <f aca="false">0</f>
        <v>0</v>
      </c>
      <c r="J108" s="55"/>
      <c r="K108" s="620"/>
      <c r="L108" s="619"/>
      <c r="M108" s="619"/>
    </row>
    <row r="109" customFormat="false" ht="19.85" hidden="false" customHeight="true" outlineLevel="0" collapsed="false">
      <c r="A109" s="0" t="n">
        <v>30</v>
      </c>
      <c r="B109" s="34" t="n">
        <v>41000</v>
      </c>
      <c r="C109" s="592" t="n">
        <v>543926</v>
      </c>
      <c r="D109" s="58" t="s">
        <v>41</v>
      </c>
      <c r="E109" s="33" t="n">
        <f aca="false">IF(D109="totale",(C109/(A109*24))/F109,IF(D109="marché libre",(C109/(A109*24))/G109,"spécifier histo"))</f>
        <v>0.415083943833944</v>
      </c>
      <c r="F109" s="59" t="n">
        <v>1820</v>
      </c>
      <c r="G109" s="59" t="n">
        <f aca="false">F109-H109</f>
        <v>1820</v>
      </c>
      <c r="H109" s="59" t="n">
        <f aca="false">0</f>
        <v>0</v>
      </c>
      <c r="J109" s="55"/>
      <c r="K109" s="620"/>
      <c r="L109" s="618"/>
      <c r="M109" s="618"/>
    </row>
    <row r="110" customFormat="false" ht="19.85" hidden="false" customHeight="true" outlineLevel="0" collapsed="false">
      <c r="A110" s="0" t="n">
        <v>31</v>
      </c>
      <c r="B110" s="31" t="n">
        <v>41030</v>
      </c>
      <c r="C110" s="592" t="n">
        <v>587310</v>
      </c>
      <c r="D110" s="58" t="s">
        <v>41</v>
      </c>
      <c r="E110" s="33" t="n">
        <f aca="false">IF(D110="totale",(C110/(A110*24))/F110,IF(D110="marché libre",(C110/(A110*24))/G110,"spécifier histo"))</f>
        <v>0.433733605104573</v>
      </c>
      <c r="F110" s="59" t="n">
        <v>1820</v>
      </c>
      <c r="G110" s="59" t="n">
        <f aca="false">F110-H110</f>
        <v>1820</v>
      </c>
      <c r="H110" s="59" t="n">
        <f aca="false">0</f>
        <v>0</v>
      </c>
      <c r="J110" s="55"/>
      <c r="K110" s="620"/>
      <c r="L110" s="620"/>
      <c r="M110" s="620"/>
    </row>
    <row r="111" customFormat="false" ht="19.85" hidden="false" customHeight="true" outlineLevel="0" collapsed="false">
      <c r="A111" s="0" t="n">
        <v>30</v>
      </c>
      <c r="B111" s="34" t="n">
        <v>41061</v>
      </c>
      <c r="C111" s="592" t="n">
        <v>482401</v>
      </c>
      <c r="D111" s="58" t="s">
        <v>41</v>
      </c>
      <c r="E111" s="33" t="n">
        <f aca="false">IF(D111="totale",(C111/(A111*24))/F111,IF(D111="marché libre",(C111/(A111*24))/G111,"spécifier histo"))</f>
        <v>0.368132631257631</v>
      </c>
      <c r="F111" s="59" t="n">
        <v>1820</v>
      </c>
      <c r="G111" s="59" t="n">
        <f aca="false">F111-H111</f>
        <v>1820</v>
      </c>
      <c r="H111" s="59" t="n">
        <f aca="false">0</f>
        <v>0</v>
      </c>
      <c r="J111" s="55"/>
      <c r="K111" s="620"/>
      <c r="L111" s="620"/>
      <c r="M111" s="620"/>
    </row>
    <row r="112" customFormat="false" ht="19.85" hidden="false" customHeight="true" outlineLevel="0" collapsed="false">
      <c r="A112" s="0" t="n">
        <v>31</v>
      </c>
      <c r="B112" s="31" t="n">
        <v>41091</v>
      </c>
      <c r="C112" s="592" t="n">
        <v>330924</v>
      </c>
      <c r="D112" s="58" t="s">
        <v>41</v>
      </c>
      <c r="E112" s="33" t="n">
        <f aca="false">IF(D112="totale",(C112/(A112*24))/F112,IF(D112="marché libre",(C112/(A112*24))/G112,"spécifier histo"))</f>
        <v>0.244390287132223</v>
      </c>
      <c r="F112" s="59" t="n">
        <v>1820</v>
      </c>
      <c r="G112" s="59" t="n">
        <f aca="false">F112-H112</f>
        <v>1820</v>
      </c>
      <c r="H112" s="59" t="n">
        <f aca="false">0</f>
        <v>0</v>
      </c>
      <c r="J112" s="55"/>
      <c r="K112" s="620"/>
      <c r="L112" s="620"/>
      <c r="M112" s="620"/>
    </row>
    <row r="113" customFormat="false" ht="19.85" hidden="false" customHeight="true" outlineLevel="0" collapsed="false">
      <c r="A113" s="0" t="n">
        <v>31</v>
      </c>
      <c r="B113" s="34" t="n">
        <v>41122</v>
      </c>
      <c r="C113" s="592" t="n">
        <v>8356</v>
      </c>
      <c r="D113" s="58" t="s">
        <v>41</v>
      </c>
      <c r="E113" s="33" t="n">
        <f aca="false">IF(D113="totale",(C113/(A113*24))/F113,IF(D113="marché libre",(C113/(A113*24))/G113,"spécifier histo"))</f>
        <v>0.00617097955807633</v>
      </c>
      <c r="F113" s="59" t="n">
        <v>1820</v>
      </c>
      <c r="G113" s="59" t="n">
        <f aca="false">F113-H113</f>
        <v>1820</v>
      </c>
      <c r="H113" s="59" t="n">
        <f aca="false">0</f>
        <v>0</v>
      </c>
      <c r="J113" s="55"/>
      <c r="K113" s="620"/>
      <c r="L113" s="620"/>
      <c r="M113" s="620"/>
    </row>
    <row r="114" customFormat="false" ht="19.85" hidden="false" customHeight="true" outlineLevel="0" collapsed="false">
      <c r="A114" s="0" t="n">
        <v>30</v>
      </c>
      <c r="B114" s="31" t="n">
        <v>41153</v>
      </c>
      <c r="C114" s="592" t="n">
        <v>80532</v>
      </c>
      <c r="D114" s="58" t="s">
        <v>41</v>
      </c>
      <c r="E114" s="33" t="n">
        <f aca="false">IF(D114="totale",(C114/(A114*24))/F114,IF(D114="marché libre",(C114/(A114*24))/G114,"spécifier histo"))</f>
        <v>0.061456043956044</v>
      </c>
      <c r="F114" s="59" t="n">
        <v>1820</v>
      </c>
      <c r="G114" s="59" t="n">
        <f aca="false">F114-H114</f>
        <v>1820</v>
      </c>
      <c r="H114" s="59" t="n">
        <f aca="false">0</f>
        <v>0</v>
      </c>
      <c r="J114" s="55"/>
      <c r="K114" s="620"/>
      <c r="L114" s="620"/>
      <c r="M114" s="620"/>
    </row>
    <row r="115" customFormat="false" ht="19.85" hidden="false" customHeight="true" outlineLevel="0" collapsed="false">
      <c r="A115" s="0" t="n">
        <v>31</v>
      </c>
      <c r="B115" s="34" t="n">
        <v>41183</v>
      </c>
      <c r="C115" s="592" t="n">
        <v>721963</v>
      </c>
      <c r="D115" s="58" t="s">
        <v>41</v>
      </c>
      <c r="E115" s="33" t="n">
        <f aca="false">IF(D115="totale",(C115/(A115*24))/F115,IF(D115="marché libre",(C115/(A115*24))/G115,"spécifier histo"))</f>
        <v>0.533176030958289</v>
      </c>
      <c r="F115" s="59" t="n">
        <v>1820</v>
      </c>
      <c r="G115" s="59" t="n">
        <f aca="false">F115-H115</f>
        <v>1820</v>
      </c>
      <c r="H115" s="59" t="n">
        <f aca="false">0</f>
        <v>0</v>
      </c>
      <c r="J115" s="55"/>
      <c r="K115" s="620"/>
      <c r="L115" s="620"/>
      <c r="M115" s="620"/>
    </row>
    <row r="116" customFormat="false" ht="19.85" hidden="false" customHeight="true" outlineLevel="0" collapsed="false">
      <c r="A116" s="0" t="n">
        <v>30</v>
      </c>
      <c r="B116" s="31" t="n">
        <v>41214</v>
      </c>
      <c r="C116" s="592" t="n">
        <v>898972</v>
      </c>
      <c r="D116" s="58" t="s">
        <v>41</v>
      </c>
      <c r="E116" s="33" t="n">
        <f aca="false">IF(D116="totale",(C116/(A116*24))/F116,IF(D116="marché libre",(C116/(A116*24))/G116,"spécifier histo"))</f>
        <v>0.686028693528694</v>
      </c>
      <c r="F116" s="59" t="n">
        <v>1820</v>
      </c>
      <c r="G116" s="59" t="n">
        <f aca="false">F116-H116</f>
        <v>1820</v>
      </c>
      <c r="H116" s="59" t="n">
        <f aca="false">0</f>
        <v>0</v>
      </c>
      <c r="J116" s="55"/>
      <c r="K116" s="620"/>
      <c r="L116" s="620"/>
      <c r="M116" s="620"/>
    </row>
    <row r="117" customFormat="false" ht="19.85" hidden="false" customHeight="true" outlineLevel="0" collapsed="false">
      <c r="A117" s="0" t="n">
        <v>31</v>
      </c>
      <c r="B117" s="34" t="n">
        <v>41244</v>
      </c>
      <c r="C117" s="592" t="n">
        <v>892437</v>
      </c>
      <c r="D117" s="58" t="s">
        <v>41</v>
      </c>
      <c r="E117" s="33" t="n">
        <f aca="false">IF(D117="totale",(C117/(A117*24))/F117,IF(D117="marché libre",(C117/(A117*24))/G117,"spécifier histo"))</f>
        <v>0.659072580645161</v>
      </c>
      <c r="F117" s="59" t="n">
        <v>1820</v>
      </c>
      <c r="G117" s="59" t="n">
        <f aca="false">F117-H117</f>
        <v>1820</v>
      </c>
      <c r="H117" s="59" t="n">
        <f aca="false">0</f>
        <v>0</v>
      </c>
      <c r="J117" s="55"/>
      <c r="K117" s="620"/>
      <c r="L117" s="620"/>
      <c r="M117" s="620"/>
    </row>
    <row r="118" customFormat="false" ht="19.85" hidden="false" customHeight="true" outlineLevel="0" collapsed="false">
      <c r="A118" s="0" t="n">
        <v>31</v>
      </c>
      <c r="B118" s="31" t="n">
        <v>41275</v>
      </c>
      <c r="C118" s="592" t="n">
        <v>943952</v>
      </c>
      <c r="D118" s="58" t="s">
        <v>41</v>
      </c>
      <c r="E118" s="33" t="n">
        <f aca="false">IF(D118="totale",(C118/(A118*24))/F118,IF(D118="marché libre",(C118/(A118*24))/G118,"spécifier histo"))</f>
        <v>0.697116861632991</v>
      </c>
      <c r="F118" s="59" t="n">
        <v>1820</v>
      </c>
      <c r="G118" s="59" t="n">
        <f aca="false">F118-H118</f>
        <v>1820</v>
      </c>
      <c r="H118" s="59" t="n">
        <f aca="false">0</f>
        <v>0</v>
      </c>
      <c r="J118" s="55"/>
      <c r="K118" s="621"/>
      <c r="L118" s="621"/>
      <c r="M118" s="621"/>
      <c r="N118" s="206"/>
      <c r="O118" s="206"/>
      <c r="P118" s="206"/>
    </row>
    <row r="119" customFormat="false" ht="19.85" hidden="false" customHeight="true" outlineLevel="0" collapsed="false">
      <c r="A119" s="0" t="n">
        <v>28</v>
      </c>
      <c r="B119" s="34" t="n">
        <v>41306</v>
      </c>
      <c r="C119" s="592" t="n">
        <v>899088</v>
      </c>
      <c r="D119" s="58" t="s">
        <v>41</v>
      </c>
      <c r="E119" s="33" t="n">
        <f aca="false">IF(D119="totale",(C119/(A119*24))/F119,IF(D119="marché libre",(C119/(A119*24))/G119,"spécifier histo"))</f>
        <v>0.735125588697017</v>
      </c>
      <c r="F119" s="59" t="n">
        <v>1820</v>
      </c>
      <c r="G119" s="59" t="n">
        <f aca="false">F119-H119</f>
        <v>1820</v>
      </c>
      <c r="H119" s="59" t="n">
        <f aca="false">0</f>
        <v>0</v>
      </c>
      <c r="J119" s="55"/>
      <c r="K119" s="622"/>
      <c r="L119" s="621"/>
      <c r="M119" s="621"/>
      <c r="N119" s="206"/>
      <c r="O119" s="206"/>
      <c r="P119" s="206"/>
    </row>
    <row r="120" customFormat="false" ht="19.85" hidden="false" customHeight="true" outlineLevel="0" collapsed="false">
      <c r="A120" s="0" t="n">
        <v>31</v>
      </c>
      <c r="B120" s="31" t="n">
        <v>41334</v>
      </c>
      <c r="C120" s="592" t="n">
        <v>1003472</v>
      </c>
      <c r="D120" s="58" t="s">
        <v>41</v>
      </c>
      <c r="E120" s="33" t="n">
        <f aca="false">IF(D120="totale",(C120/(A120*24))/F120,IF(D120="marché libre",(C120/(A120*24))/G120,"spécifier histo"))</f>
        <v>0.741072905589035</v>
      </c>
      <c r="F120" s="59" t="n">
        <v>1820</v>
      </c>
      <c r="G120" s="59" t="n">
        <f aca="false">F120-H120</f>
        <v>1820</v>
      </c>
      <c r="H120" s="59" t="n">
        <f aca="false">0</f>
        <v>0</v>
      </c>
      <c r="J120" s="55"/>
      <c r="K120" s="105"/>
      <c r="L120" s="621"/>
      <c r="M120" s="621"/>
      <c r="N120" s="206"/>
      <c r="O120" s="206"/>
      <c r="P120" s="0"/>
    </row>
    <row r="121" customFormat="false" ht="19.85" hidden="false" customHeight="true" outlineLevel="0" collapsed="false">
      <c r="A121" s="0" t="n">
        <v>30</v>
      </c>
      <c r="B121" s="34" t="n">
        <v>41365</v>
      </c>
      <c r="C121" s="592" t="n">
        <v>867565</v>
      </c>
      <c r="D121" s="58" t="s">
        <v>41</v>
      </c>
      <c r="E121" s="33" t="n">
        <f aca="false">IF(D121="totale",(C121/(A121*24))/F121,IF(D121="marché libre",(C121/(A121*24))/G121,"spécifier histo"))</f>
        <v>0.662061202686203</v>
      </c>
      <c r="F121" s="59" t="n">
        <v>1820</v>
      </c>
      <c r="G121" s="59" t="n">
        <f aca="false">F121-H121</f>
        <v>1820</v>
      </c>
      <c r="H121" s="59" t="n">
        <f aca="false">0</f>
        <v>0</v>
      </c>
      <c r="J121" s="55"/>
      <c r="K121" s="623"/>
      <c r="L121" s="621"/>
      <c r="M121" s="621"/>
      <c r="N121" s="206"/>
      <c r="O121" s="206"/>
      <c r="P121" s="0"/>
    </row>
    <row r="122" customFormat="false" ht="19.85" hidden="false" customHeight="true" outlineLevel="0" collapsed="false">
      <c r="A122" s="0" t="n">
        <v>31</v>
      </c>
      <c r="B122" s="31" t="n">
        <v>41395</v>
      </c>
      <c r="C122" s="592" t="n">
        <v>1125370</v>
      </c>
      <c r="D122" s="58" t="s">
        <v>41</v>
      </c>
      <c r="E122" s="33" t="n">
        <f aca="false">IF(D122="totale",(C122/(A122*24))/F122,IF(D122="marché libre",(C122/(A122*24))/G122,"spécifier histo"))</f>
        <v>0.831095651660168</v>
      </c>
      <c r="F122" s="59" t="n">
        <v>1820</v>
      </c>
      <c r="G122" s="59" t="n">
        <f aca="false">F122-H122</f>
        <v>1820</v>
      </c>
      <c r="H122" s="59" t="n">
        <f aca="false">0</f>
        <v>0</v>
      </c>
      <c r="J122" s="55"/>
      <c r="K122" s="623"/>
      <c r="L122" s="624" t="s">
        <v>69</v>
      </c>
      <c r="M122" s="624"/>
      <c r="N122" s="624"/>
      <c r="O122" s="0"/>
      <c r="P122" s="625"/>
      <c r="Q122" s="625"/>
      <c r="R122" s="625"/>
      <c r="S122" s="36"/>
    </row>
    <row r="123" customFormat="false" ht="19.85" hidden="false" customHeight="true" outlineLevel="0" collapsed="false">
      <c r="A123" s="0" t="n">
        <v>30</v>
      </c>
      <c r="B123" s="34" t="n">
        <v>41426</v>
      </c>
      <c r="C123" s="592" t="n">
        <v>769617</v>
      </c>
      <c r="D123" s="58" t="s">
        <v>41</v>
      </c>
      <c r="E123" s="33" t="n">
        <f aca="false">IF(D123="totale",(C123/(A123*24))/F123,IF(D123="marché libre",(C123/(A123*24))/G123,"spécifier histo"))</f>
        <v>0.58731456043956</v>
      </c>
      <c r="F123" s="59" t="n">
        <v>1820</v>
      </c>
      <c r="G123" s="59" t="n">
        <f aca="false">F123-H123</f>
        <v>1820</v>
      </c>
      <c r="H123" s="59" t="n">
        <f aca="false">0</f>
        <v>0</v>
      </c>
      <c r="J123" s="55"/>
      <c r="K123" s="626"/>
      <c r="L123" s="627"/>
      <c r="M123" s="627"/>
      <c r="N123" s="627"/>
      <c r="O123" s="0"/>
      <c r="P123" s="625"/>
      <c r="Q123" s="625"/>
      <c r="R123" s="625"/>
      <c r="S123" s="36"/>
    </row>
    <row r="124" customFormat="false" ht="19.85" hidden="false" customHeight="true" outlineLevel="0" collapsed="false">
      <c r="A124" s="0" t="n">
        <v>31</v>
      </c>
      <c r="B124" s="31" t="n">
        <v>41456</v>
      </c>
      <c r="C124" s="592" t="n">
        <v>243218</v>
      </c>
      <c r="D124" s="58" t="s">
        <v>41</v>
      </c>
      <c r="E124" s="33" t="n">
        <f aca="false">IF(D124="totale",(C124/(A124*24))/F124,IF(D124="marché libre",(C124/(A124*24))/G124,"spécifier histo"))</f>
        <v>0.179618634054118</v>
      </c>
      <c r="F124" s="59" t="n">
        <v>1820</v>
      </c>
      <c r="G124" s="59" t="n">
        <f aca="false">F124-H124</f>
        <v>1820</v>
      </c>
      <c r="H124" s="59" t="n">
        <f aca="false">0</f>
        <v>0</v>
      </c>
      <c r="J124" s="55"/>
      <c r="K124" s="623"/>
      <c r="L124" s="627"/>
      <c r="M124" s="628" t="s">
        <v>72</v>
      </c>
      <c r="N124" s="628"/>
      <c r="O124" s="0"/>
      <c r="P124" s="629"/>
      <c r="Q124" s="630" t="s">
        <v>73</v>
      </c>
      <c r="R124" s="630"/>
      <c r="S124" s="36"/>
    </row>
    <row r="125" customFormat="false" ht="19.85" hidden="false" customHeight="true" outlineLevel="0" collapsed="false">
      <c r="A125" s="0" t="n">
        <v>31</v>
      </c>
      <c r="B125" s="34" t="n">
        <v>41487</v>
      </c>
      <c r="C125" s="592" t="n">
        <v>12580</v>
      </c>
      <c r="D125" s="58" t="s">
        <v>41</v>
      </c>
      <c r="E125" s="33" t="n">
        <f aca="false">IF(D125="totale",(C125/(A125*24))/F125,IF(D125="marché libre",(C125/(A125*24))/G125,"spécifier histo"))</f>
        <v>0.00929044074205365</v>
      </c>
      <c r="F125" s="59" t="n">
        <v>1820</v>
      </c>
      <c r="G125" s="59" t="n">
        <f aca="false">F125-H125</f>
        <v>1820</v>
      </c>
      <c r="H125" s="59" t="n">
        <f aca="false">0</f>
        <v>0</v>
      </c>
      <c r="J125" s="55"/>
      <c r="K125" s="631"/>
      <c r="L125" s="632" t="s">
        <v>74</v>
      </c>
      <c r="M125" s="633" t="s">
        <v>75</v>
      </c>
      <c r="N125" s="634" t="s">
        <v>76</v>
      </c>
      <c r="O125" s="0"/>
      <c r="P125" s="625"/>
      <c r="Q125" s="633" t="s">
        <v>75</v>
      </c>
      <c r="R125" s="634" t="s">
        <v>76</v>
      </c>
      <c r="S125" s="36"/>
    </row>
    <row r="126" customFormat="false" ht="19.85" hidden="false" customHeight="true" outlineLevel="0" collapsed="false">
      <c r="A126" s="0" t="n">
        <v>30</v>
      </c>
      <c r="B126" s="31" t="n">
        <v>41518</v>
      </c>
      <c r="C126" s="592" t="n">
        <v>185803</v>
      </c>
      <c r="D126" s="58" t="s">
        <v>41</v>
      </c>
      <c r="E126" s="33" t="n">
        <f aca="false">IF(D126="totale",(C126/(A126*24))/F126,IF(D126="marché libre",(C126/(A126*24))/G126,"spécifier histo"))</f>
        <v>0.141791056166056</v>
      </c>
      <c r="F126" s="59" t="n">
        <v>1820</v>
      </c>
      <c r="G126" s="59" t="n">
        <f aca="false">F126-H126</f>
        <v>900</v>
      </c>
      <c r="H126" s="140" t="n">
        <v>920</v>
      </c>
      <c r="I126" s="1" t="s">
        <v>1165</v>
      </c>
      <c r="J126" s="55"/>
      <c r="K126" s="631"/>
      <c r="L126" s="635"/>
      <c r="M126" s="636"/>
      <c r="N126" s="637"/>
      <c r="O126" s="0"/>
      <c r="P126" s="625"/>
      <c r="Q126" s="636"/>
      <c r="R126" s="637"/>
      <c r="S126" s="36"/>
    </row>
    <row r="127" customFormat="false" ht="19.85" hidden="false" customHeight="true" outlineLevel="0" collapsed="false">
      <c r="A127" s="0" t="n">
        <v>31</v>
      </c>
      <c r="B127" s="34" t="n">
        <v>41548</v>
      </c>
      <c r="C127" s="592" t="n">
        <v>416920</v>
      </c>
      <c r="D127" s="58" t="s">
        <v>41</v>
      </c>
      <c r="E127" s="33" t="n">
        <f aca="false">IF(D127="totale",(C127/(A127*24))/F127,IF(D127="marché libre",(C127/(A127*24))/G127,"spécifier histo"))</f>
        <v>0.307899090157155</v>
      </c>
      <c r="F127" s="59" t="n">
        <v>1820</v>
      </c>
      <c r="G127" s="59" t="n">
        <f aca="false">F127-H127</f>
        <v>900</v>
      </c>
      <c r="H127" s="140" t="n">
        <v>920</v>
      </c>
      <c r="J127" s="55"/>
      <c r="K127" s="631"/>
      <c r="L127" s="638" t="s">
        <v>881</v>
      </c>
      <c r="M127" s="639" t="n">
        <v>943952</v>
      </c>
      <c r="N127" s="639" t="n">
        <v>51162</v>
      </c>
      <c r="O127" s="0"/>
      <c r="P127" s="625"/>
      <c r="Q127" s="639"/>
      <c r="R127" s="639"/>
      <c r="S127" s="36"/>
    </row>
    <row r="128" customFormat="false" ht="19.85" hidden="false" customHeight="true" outlineLevel="0" collapsed="false">
      <c r="A128" s="0" t="n">
        <v>30</v>
      </c>
      <c r="B128" s="31" t="n">
        <v>41579</v>
      </c>
      <c r="C128" s="592" t="n">
        <v>387756</v>
      </c>
      <c r="D128" s="58" t="s">
        <v>41</v>
      </c>
      <c r="E128" s="33" t="n">
        <f aca="false">IF(D128="totale",(C128/(A128*24))/F128,IF(D128="marché libre",(C128/(A128*24))/G128,"spécifier histo"))</f>
        <v>0.295906593406593</v>
      </c>
      <c r="F128" s="59" t="n">
        <v>1820</v>
      </c>
      <c r="G128" s="59" t="n">
        <f aca="false">F128-H128</f>
        <v>900</v>
      </c>
      <c r="H128" s="206" t="n">
        <v>920</v>
      </c>
      <c r="J128" s="55"/>
      <c r="K128" s="631"/>
      <c r="L128" s="640" t="s">
        <v>78</v>
      </c>
      <c r="M128" s="639" t="n">
        <v>899088</v>
      </c>
      <c r="N128" s="639" t="n">
        <v>43426</v>
      </c>
      <c r="O128" s="0"/>
      <c r="P128" s="625"/>
      <c r="Q128" s="639"/>
      <c r="R128" s="639"/>
      <c r="S128" s="36"/>
    </row>
    <row r="129" customFormat="false" ht="19.85" hidden="false" customHeight="true" outlineLevel="0" collapsed="false">
      <c r="A129" s="0" t="n">
        <v>31</v>
      </c>
      <c r="B129" s="34" t="n">
        <v>41609</v>
      </c>
      <c r="C129" s="592" t="n">
        <v>142971</v>
      </c>
      <c r="D129" s="58" t="s">
        <v>41</v>
      </c>
      <c r="E129" s="33" t="n">
        <f aca="false">IF(D129="totale",(C129/(A129*24))/F129,IF(D129="marché libre",(C129/(A129*24))/G129,"spécifier histo"))</f>
        <v>0.105585342077278</v>
      </c>
      <c r="F129" s="59" t="n">
        <v>1820</v>
      </c>
      <c r="G129" s="59" t="n">
        <f aca="false">F129-H129</f>
        <v>900</v>
      </c>
      <c r="H129" s="206" t="n">
        <v>920</v>
      </c>
      <c r="J129" s="55"/>
      <c r="K129" s="631"/>
      <c r="L129" s="641" t="s">
        <v>882</v>
      </c>
      <c r="M129" s="639" t="n">
        <v>1003472</v>
      </c>
      <c r="N129" s="639" t="n">
        <v>39737</v>
      </c>
      <c r="O129" s="0"/>
      <c r="P129" s="625"/>
      <c r="Q129" s="639"/>
      <c r="R129" s="639"/>
      <c r="S129" s="36"/>
    </row>
    <row r="130" customFormat="false" ht="19.85" hidden="false" customHeight="true" outlineLevel="0" collapsed="false">
      <c r="A130" s="0" t="n">
        <v>31</v>
      </c>
      <c r="B130" s="642" t="n">
        <v>41640</v>
      </c>
      <c r="C130" s="592" t="n">
        <f aca="false">M147+Q147</f>
        <v>988943</v>
      </c>
      <c r="D130" s="58" t="s">
        <v>41</v>
      </c>
      <c r="E130" s="33" t="n">
        <f aca="false">IF(D130="totale",(C130/(A130*24))/F130,IF(D130="marché libre",(C130/(A130*24))/G130,"spécifier histo"))</f>
        <v>0.730343111189885</v>
      </c>
      <c r="F130" s="59" t="n">
        <v>1820</v>
      </c>
      <c r="G130" s="59" t="n">
        <f aca="false">F130-H130</f>
        <v>900</v>
      </c>
      <c r="H130" s="206" t="n">
        <v>920</v>
      </c>
      <c r="I130" s="1" t="s">
        <v>1166</v>
      </c>
      <c r="J130" s="55"/>
      <c r="K130" s="631"/>
      <c r="L130" s="643" t="s">
        <v>883</v>
      </c>
      <c r="M130" s="639" t="n">
        <v>867565</v>
      </c>
      <c r="N130" s="639" t="n">
        <v>33748</v>
      </c>
      <c r="O130" s="0"/>
      <c r="P130" s="625"/>
      <c r="Q130" s="639"/>
      <c r="R130" s="639"/>
      <c r="S130" s="36"/>
    </row>
    <row r="131" customFormat="false" ht="19.85" hidden="false" customHeight="true" outlineLevel="0" collapsed="false">
      <c r="A131" s="0" t="n">
        <v>28</v>
      </c>
      <c r="B131" s="34" t="n">
        <v>41671</v>
      </c>
      <c r="C131" s="592" t="n">
        <f aca="false">M148+Q148</f>
        <v>978668</v>
      </c>
      <c r="D131" s="58" t="s">
        <v>41</v>
      </c>
      <c r="E131" s="33" t="n">
        <f aca="false">IF(D131="totale",(C131/(A131*24))/F131,IF(D131="marché libre",(C131/(A131*24))/G131,"spécifier histo"))</f>
        <v>0.800192961800104</v>
      </c>
      <c r="F131" s="59" t="n">
        <v>1820</v>
      </c>
      <c r="G131" s="59" t="n">
        <f aca="false">F131-H131</f>
        <v>900</v>
      </c>
      <c r="H131" s="206" t="n">
        <v>920</v>
      </c>
      <c r="J131" s="55"/>
      <c r="K131" s="631"/>
      <c r="L131" s="638" t="s">
        <v>884</v>
      </c>
      <c r="M131" s="639" t="n">
        <v>1125370</v>
      </c>
      <c r="N131" s="639" t="n">
        <v>36575</v>
      </c>
      <c r="O131" s="0"/>
      <c r="P131" s="625"/>
      <c r="Q131" s="639"/>
      <c r="R131" s="639"/>
      <c r="S131" s="36"/>
    </row>
    <row r="132" customFormat="false" ht="19.85" hidden="false" customHeight="true" outlineLevel="0" collapsed="false">
      <c r="A132" s="0" t="n">
        <v>31</v>
      </c>
      <c r="B132" s="31" t="n">
        <v>41699</v>
      </c>
      <c r="C132" s="592" t="n">
        <f aca="false">M149+Q149</f>
        <v>723757</v>
      </c>
      <c r="D132" s="58" t="s">
        <v>41</v>
      </c>
      <c r="E132" s="33" t="n">
        <f aca="false">IF(D132="totale",(C132/(A132*24))/F132,IF(D132="marché libre",(C132/(A132*24))/G132,"spécifier histo"))</f>
        <v>0.534500915750916</v>
      </c>
      <c r="F132" s="59" t="n">
        <v>1820</v>
      </c>
      <c r="G132" s="59" t="n">
        <f aca="false">F132-H132</f>
        <v>900</v>
      </c>
      <c r="H132" s="206" t="n">
        <v>920</v>
      </c>
      <c r="J132" s="55"/>
      <c r="K132" s="631"/>
      <c r="L132" s="640" t="s">
        <v>885</v>
      </c>
      <c r="M132" s="644" t="n">
        <v>769617</v>
      </c>
      <c r="N132" s="644" t="n">
        <v>20087</v>
      </c>
      <c r="O132" s="0"/>
      <c r="P132" s="625"/>
      <c r="Q132" s="644"/>
      <c r="R132" s="644"/>
      <c r="S132" s="36"/>
    </row>
    <row r="133" customFormat="false" ht="19.85" hidden="false" customHeight="true" outlineLevel="0" collapsed="false">
      <c r="A133" s="0" t="n">
        <v>30</v>
      </c>
      <c r="B133" s="34" t="n">
        <v>41730</v>
      </c>
      <c r="C133" s="592" t="n">
        <f aca="false">M150+Q150</f>
        <v>243894</v>
      </c>
      <c r="D133" s="58" t="s">
        <v>41</v>
      </c>
      <c r="E133" s="33" t="n">
        <f aca="false">IF(D133="totale",(C133/(A133*24))/F133,IF(D133="marché libre",(C133/(A133*24))/G133,"spécifier histo"))</f>
        <v>0.186121794871795</v>
      </c>
      <c r="F133" s="59" t="n">
        <v>1820</v>
      </c>
      <c r="G133" s="59" t="n">
        <f aca="false">F133-H133</f>
        <v>900</v>
      </c>
      <c r="H133" s="206" t="n">
        <v>920</v>
      </c>
      <c r="J133" s="55"/>
      <c r="K133" s="631"/>
      <c r="L133" s="638" t="s">
        <v>886</v>
      </c>
      <c r="M133" s="644" t="n">
        <v>243218</v>
      </c>
      <c r="N133" s="644" t="n">
        <v>5740</v>
      </c>
      <c r="O133" s="0"/>
      <c r="P133" s="625"/>
      <c r="Q133" s="644"/>
      <c r="R133" s="644"/>
      <c r="S133" s="36"/>
    </row>
    <row r="134" customFormat="false" ht="19.85" hidden="false" customHeight="true" outlineLevel="0" collapsed="false">
      <c r="A134" s="0" t="n">
        <v>31</v>
      </c>
      <c r="B134" s="31" t="n">
        <v>41760</v>
      </c>
      <c r="C134" s="592" t="n">
        <f aca="false">M151+Q151</f>
        <v>366938</v>
      </c>
      <c r="D134" s="58" t="s">
        <v>41</v>
      </c>
      <c r="E134" s="33" t="n">
        <f aca="false">IF(D134="totale",(C134/(A134*24))/F134,IF(D134="marché libre",(C134/(A134*24))/G134,"spécifier histo"))</f>
        <v>0.270986943164362</v>
      </c>
      <c r="F134" s="59" t="n">
        <v>1820</v>
      </c>
      <c r="G134" s="59" t="n">
        <f aca="false">F134-H134</f>
        <v>900</v>
      </c>
      <c r="H134" s="206" t="n">
        <v>920</v>
      </c>
      <c r="J134" s="55"/>
      <c r="K134" s="631"/>
      <c r="L134" s="640" t="s">
        <v>887</v>
      </c>
      <c r="M134" s="639" t="n">
        <v>12580</v>
      </c>
      <c r="N134" s="639" t="n">
        <v>311</v>
      </c>
      <c r="O134" s="0"/>
      <c r="P134" s="625"/>
      <c r="Q134" s="639"/>
      <c r="R134" s="639"/>
      <c r="S134" s="36"/>
    </row>
    <row r="135" customFormat="false" ht="19.85" hidden="false" customHeight="true" outlineLevel="0" collapsed="false">
      <c r="A135" s="0" t="n">
        <v>30</v>
      </c>
      <c r="B135" s="34" t="n">
        <v>41791</v>
      </c>
      <c r="C135" s="592" t="n">
        <f aca="false">M152+Q152</f>
        <v>66056</v>
      </c>
      <c r="D135" s="58" t="s">
        <v>41</v>
      </c>
      <c r="E135" s="33" t="n">
        <f aca="false">IF(D135="totale",(C135/(A135*24))/F135,IF(D135="marché libre",(C135/(A135*24))/G135,"spécifier histo"))</f>
        <v>0.0504090354090354</v>
      </c>
      <c r="F135" s="59" t="n">
        <v>1820</v>
      </c>
      <c r="G135" s="59" t="n">
        <f aca="false">F135-H135</f>
        <v>900</v>
      </c>
      <c r="H135" s="206" t="n">
        <v>920</v>
      </c>
      <c r="J135" s="55"/>
      <c r="K135" s="631"/>
      <c r="L135" s="641" t="s">
        <v>888</v>
      </c>
      <c r="M135" s="639" t="n">
        <v>185803</v>
      </c>
      <c r="N135" s="639" t="n">
        <v>6317</v>
      </c>
      <c r="O135" s="0"/>
      <c r="P135" s="625"/>
      <c r="Q135" s="639" t="n">
        <v>266615</v>
      </c>
      <c r="R135" s="639" t="n">
        <v>14363</v>
      </c>
      <c r="S135" s="36"/>
    </row>
    <row r="136" customFormat="false" ht="19.85" hidden="false" customHeight="true" outlineLevel="0" collapsed="false">
      <c r="A136" s="0" t="n">
        <v>31</v>
      </c>
      <c r="B136" s="31" t="n">
        <v>41821</v>
      </c>
      <c r="C136" s="592" t="n">
        <f aca="false">M153+Q153</f>
        <v>509001</v>
      </c>
      <c r="D136" s="58" t="s">
        <v>41</v>
      </c>
      <c r="E136" s="33" t="n">
        <f aca="false">IF(D136="totale",(C136/(A136*24))/F136,IF(D136="marché libre",(C136/(A136*24))/G136,"spécifier histo"))</f>
        <v>0.375901719248493</v>
      </c>
      <c r="F136" s="59" t="n">
        <v>1820</v>
      </c>
      <c r="G136" s="59" t="n">
        <f aca="false">F136-H136</f>
        <v>900</v>
      </c>
      <c r="H136" s="206" t="n">
        <v>920</v>
      </c>
      <c r="J136" s="55"/>
      <c r="K136" s="631"/>
      <c r="L136" s="640" t="s">
        <v>889</v>
      </c>
      <c r="M136" s="639" t="n">
        <v>416920</v>
      </c>
      <c r="N136" s="639" t="n">
        <v>8472</v>
      </c>
      <c r="O136" s="0"/>
      <c r="P136" s="625"/>
      <c r="Q136" s="639" t="n">
        <v>537304</v>
      </c>
      <c r="R136" s="639" t="n">
        <v>28945</v>
      </c>
      <c r="S136" s="36"/>
    </row>
    <row r="137" customFormat="false" ht="19.85" hidden="false" customHeight="true" outlineLevel="0" collapsed="false">
      <c r="A137" s="0" t="n">
        <v>31</v>
      </c>
      <c r="B137" s="34" t="n">
        <v>41852</v>
      </c>
      <c r="C137" s="592" t="n">
        <f aca="false">M154+Q154</f>
        <v>678919</v>
      </c>
      <c r="D137" s="58" t="s">
        <v>41</v>
      </c>
      <c r="E137" s="33" t="n">
        <f aca="false">IF(D137="totale",(C137/(A137*24))/F137,IF(D137="marché libre",(C137/(A137*24))/G137,"spécifier histo"))</f>
        <v>0.501387658040884</v>
      </c>
      <c r="F137" s="59" t="n">
        <v>1820</v>
      </c>
      <c r="G137" s="59" t="n">
        <f aca="false">F137-H137</f>
        <v>900</v>
      </c>
      <c r="H137" s="206" t="n">
        <v>920</v>
      </c>
      <c r="J137" s="55"/>
      <c r="K137" s="631"/>
      <c r="L137" s="638" t="s">
        <v>890</v>
      </c>
      <c r="M137" s="639" t="n">
        <v>387756</v>
      </c>
      <c r="N137" s="639" t="n">
        <v>17022</v>
      </c>
      <c r="O137" s="0"/>
      <c r="P137" s="625"/>
      <c r="Q137" s="639" t="n">
        <v>481825</v>
      </c>
      <c r="R137" s="639" t="n">
        <v>57776</v>
      </c>
      <c r="S137" s="36"/>
    </row>
    <row r="138" customFormat="false" ht="19.85" hidden="false" customHeight="true" outlineLevel="0" collapsed="false">
      <c r="A138" s="0" t="n">
        <v>30</v>
      </c>
      <c r="B138" s="31" t="n">
        <v>41883</v>
      </c>
      <c r="C138" s="592" t="n">
        <f aca="false">M155+Q155</f>
        <v>300607</v>
      </c>
      <c r="D138" s="58" t="s">
        <v>41</v>
      </c>
      <c r="E138" s="33" t="n">
        <f aca="false">IF(D138="totale",(C138/(A138*24))/F138,IF(D138="marché libre",(C138/(A138*24))/G138,"spécifier histo"))</f>
        <v>0.229400946275946</v>
      </c>
      <c r="F138" s="59" t="n">
        <v>1820</v>
      </c>
      <c r="G138" s="59" t="n">
        <f aca="false">F138-H138</f>
        <v>900</v>
      </c>
      <c r="H138" s="206" t="n">
        <v>920</v>
      </c>
      <c r="J138" s="55"/>
      <c r="K138" s="645"/>
      <c r="L138" s="640" t="s">
        <v>891</v>
      </c>
      <c r="M138" s="639" t="n">
        <v>142971</v>
      </c>
      <c r="N138" s="639" t="n">
        <v>6977</v>
      </c>
      <c r="O138" s="0"/>
      <c r="P138" s="625"/>
      <c r="Q138" s="639" t="n">
        <v>572883</v>
      </c>
      <c r="R138" s="639" t="n">
        <v>68694</v>
      </c>
      <c r="S138" s="36"/>
    </row>
    <row r="139" customFormat="false" ht="19.85" hidden="false" customHeight="true" outlineLevel="0" collapsed="false">
      <c r="A139" s="0" t="n">
        <v>31</v>
      </c>
      <c r="B139" s="34" t="n">
        <v>41913</v>
      </c>
      <c r="C139" s="592" t="n">
        <f aca="false">M156+Q156</f>
        <v>509847</v>
      </c>
      <c r="D139" s="58" t="s">
        <v>41</v>
      </c>
      <c r="E139" s="33" t="n">
        <f aca="false">IF(D139="totale",(C139/(A139*24))/F139,IF(D139="marché libre",(C139/(A139*24))/G139,"spécifier histo"))</f>
        <v>0.376526497695852</v>
      </c>
      <c r="F139" s="59" t="n">
        <v>1820</v>
      </c>
      <c r="G139" s="59" t="n">
        <f aca="false">F139-H139</f>
        <v>900</v>
      </c>
      <c r="H139" s="206" t="n">
        <v>920</v>
      </c>
      <c r="J139" s="55"/>
      <c r="K139" s="105"/>
      <c r="L139" s="646"/>
      <c r="M139" s="639"/>
      <c r="N139" s="639"/>
      <c r="O139" s="0"/>
      <c r="P139" s="625"/>
      <c r="Q139" s="639"/>
      <c r="R139" s="639"/>
      <c r="S139" s="36"/>
    </row>
    <row r="140" customFormat="false" ht="19.85" hidden="false" customHeight="true" outlineLevel="0" collapsed="false">
      <c r="A140" s="0" t="n">
        <v>30</v>
      </c>
      <c r="B140" s="31" t="n">
        <v>41944</v>
      </c>
      <c r="C140" s="592" t="n">
        <f aca="false">M157+Q157</f>
        <v>0</v>
      </c>
      <c r="D140" s="58" t="s">
        <v>41</v>
      </c>
      <c r="E140" s="33" t="n">
        <f aca="false">IF(D140="totale",(C140/(A140*24))/F140,IF(D140="marché libre",(C140/(A140*24))/G140,"spécifier histo"))</f>
        <v>0</v>
      </c>
      <c r="F140" s="59" t="n">
        <v>1820</v>
      </c>
      <c r="G140" s="59" t="n">
        <f aca="false">F140-H140</f>
        <v>900</v>
      </c>
      <c r="H140" s="206" t="n">
        <v>920</v>
      </c>
      <c r="J140" s="647" t="s">
        <v>1167</v>
      </c>
      <c r="K140" s="648"/>
      <c r="L140" s="649" t="s">
        <v>89</v>
      </c>
      <c r="M140" s="650" t="n">
        <v>6998312</v>
      </c>
      <c r="N140" s="650" t="n">
        <v>269574</v>
      </c>
      <c r="O140" s="0"/>
      <c r="P140" s="625"/>
      <c r="Q140" s="650" t="n">
        <v>1858627</v>
      </c>
      <c r="R140" s="650" t="n">
        <v>169778</v>
      </c>
      <c r="S140" s="36"/>
    </row>
    <row r="141" customFormat="false" ht="19.95" hidden="false" customHeight="true" outlineLevel="0" collapsed="false">
      <c r="A141" s="0" t="n">
        <v>31</v>
      </c>
      <c r="B141" s="34" t="n">
        <v>41974</v>
      </c>
      <c r="C141" s="592" t="n">
        <f aca="false">M158+Q158</f>
        <v>0</v>
      </c>
      <c r="D141" s="58" t="s">
        <v>41</v>
      </c>
      <c r="E141" s="33" t="n">
        <f aca="false">IF(D141="totale",(C141/(A141*24))/F141,IF(D141="marché libre",(C141/(A141*24))/G141,"spécifier histo"))</f>
        <v>0</v>
      </c>
      <c r="F141" s="59" t="n">
        <v>1820</v>
      </c>
      <c r="G141" s="59" t="n">
        <f aca="false">F141-H141</f>
        <v>900</v>
      </c>
      <c r="H141" s="206" t="n">
        <v>920</v>
      </c>
      <c r="J141" s="55"/>
      <c r="K141" s="648"/>
      <c r="L141" s="36"/>
      <c r="M141" s="36"/>
      <c r="N141" s="36"/>
      <c r="O141" s="0"/>
      <c r="P141" s="36"/>
      <c r="Q141" s="36"/>
      <c r="R141" s="36"/>
      <c r="S141" s="36"/>
    </row>
    <row r="142" customFormat="false" ht="19.85" hidden="false" customHeight="true" outlineLevel="0" collapsed="false">
      <c r="A142" s="651" t="n">
        <v>31</v>
      </c>
      <c r="B142" s="652" t="n">
        <v>42005</v>
      </c>
      <c r="C142" s="653" t="n">
        <v>484539</v>
      </c>
      <c r="D142" s="654" t="s">
        <v>42</v>
      </c>
      <c r="E142" s="130" t="n">
        <f aca="false">IF(D142="totale",(C142/(A142*24))/F142,IF(D142="marché libre",(C142/(A142*24))/G142,"spécifier histo"))</f>
        <v>0.723624551971326</v>
      </c>
      <c r="F142" s="655" t="n">
        <v>1820</v>
      </c>
      <c r="G142" s="655" t="n">
        <f aca="false">F142-H142</f>
        <v>900</v>
      </c>
      <c r="H142" s="656" t="n">
        <v>920</v>
      </c>
      <c r="I142" s="1" t="s">
        <v>1168</v>
      </c>
      <c r="J142" s="55"/>
      <c r="K142" s="657"/>
      <c r="L142" s="36"/>
      <c r="M142" s="54" t="s">
        <v>90</v>
      </c>
      <c r="N142" s="36"/>
      <c r="O142" s="0"/>
      <c r="P142" s="36"/>
      <c r="Q142" s="36"/>
      <c r="R142" s="36"/>
      <c r="S142" s="36"/>
    </row>
    <row r="143" customFormat="false" ht="19.85" hidden="false" customHeight="true" outlineLevel="0" collapsed="false">
      <c r="A143" s="0" t="n">
        <v>28</v>
      </c>
      <c r="B143" s="34" t="n">
        <v>42036</v>
      </c>
      <c r="C143" s="592" t="n">
        <v>227985</v>
      </c>
      <c r="D143" s="654" t="s">
        <v>42</v>
      </c>
      <c r="E143" s="33" t="n">
        <f aca="false">IF(D143="totale",(C143/(A143*24))/F143,IF(D143="marché libre",(C143/(A143*24))/G143,"spécifier histo"))</f>
        <v>0.376959325396825</v>
      </c>
      <c r="F143" s="59" t="n">
        <v>1820</v>
      </c>
      <c r="G143" s="59" t="n">
        <f aca="false">F143-H143</f>
        <v>900</v>
      </c>
      <c r="H143" s="206" t="n">
        <v>920</v>
      </c>
      <c r="J143" s="55"/>
      <c r="K143" s="648"/>
      <c r="L143" s="36"/>
      <c r="M143" s="36"/>
      <c r="N143" s="36"/>
      <c r="O143" s="0"/>
      <c r="P143" s="36"/>
      <c r="Q143" s="36"/>
      <c r="R143" s="36"/>
      <c r="S143" s="36"/>
    </row>
    <row r="144" customFormat="false" ht="19.85" hidden="false" customHeight="true" outlineLevel="0" collapsed="false">
      <c r="A144" s="0" t="n">
        <v>31</v>
      </c>
      <c r="B144" s="31" t="n">
        <v>42064</v>
      </c>
      <c r="C144" s="592" t="n">
        <v>300454</v>
      </c>
      <c r="D144" s="654" t="s">
        <v>42</v>
      </c>
      <c r="E144" s="33" t="n">
        <f aca="false">IF(D144="totale",(C144/(A144*24))/F144,IF(D144="marché libre",(C144/(A144*24))/G144,"spécifier histo"))</f>
        <v>0.448706690561529</v>
      </c>
      <c r="F144" s="59" t="n">
        <v>1820</v>
      </c>
      <c r="G144" s="59" t="n">
        <f aca="false">F144-H144</f>
        <v>900</v>
      </c>
      <c r="H144" s="206" t="n">
        <v>920</v>
      </c>
      <c r="J144" s="55"/>
      <c r="K144" s="658"/>
      <c r="L144" s="659"/>
      <c r="M144" s="660" t="s">
        <v>72</v>
      </c>
      <c r="N144" s="660"/>
      <c r="O144" s="0"/>
      <c r="P144" s="661"/>
      <c r="Q144" s="662" t="s">
        <v>73</v>
      </c>
      <c r="R144" s="662"/>
      <c r="S144" s="36"/>
    </row>
    <row r="145" customFormat="false" ht="19.85" hidden="false" customHeight="true" outlineLevel="0" collapsed="false">
      <c r="A145" s="0" t="n">
        <v>30</v>
      </c>
      <c r="B145" s="34" t="n">
        <v>42095</v>
      </c>
      <c r="C145" s="592" t="n">
        <v>186146</v>
      </c>
      <c r="D145" s="654" t="s">
        <v>42</v>
      </c>
      <c r="E145" s="33" t="n">
        <f aca="false">IF(D145="totale",(C145/(A145*24))/F145,IF(D145="marché libre",(C145/(A145*24))/G145,"spécifier histo"))</f>
        <v>0.287262345679012</v>
      </c>
      <c r="F145" s="59" t="n">
        <v>1820</v>
      </c>
      <c r="G145" s="59" t="n">
        <f aca="false">F145-H145</f>
        <v>900</v>
      </c>
      <c r="H145" s="206" t="n">
        <v>920</v>
      </c>
      <c r="I145" s="126"/>
      <c r="J145" s="126"/>
      <c r="K145" s="658"/>
      <c r="L145" s="663" t="s">
        <v>74</v>
      </c>
      <c r="M145" s="664" t="s">
        <v>75</v>
      </c>
      <c r="N145" s="665" t="s">
        <v>76</v>
      </c>
      <c r="O145" s="0"/>
      <c r="P145" s="666"/>
      <c r="Q145" s="664" t="s">
        <v>75</v>
      </c>
      <c r="R145" s="665" t="s">
        <v>76</v>
      </c>
      <c r="S145" s="36"/>
    </row>
    <row r="146" customFormat="false" ht="19.85" hidden="false" customHeight="true" outlineLevel="0" collapsed="false">
      <c r="A146" s="0" t="n">
        <v>31</v>
      </c>
      <c r="B146" s="31" t="n">
        <v>42125</v>
      </c>
      <c r="C146" s="592" t="n">
        <v>168003</v>
      </c>
      <c r="D146" s="654" t="s">
        <v>42</v>
      </c>
      <c r="E146" s="33" t="n">
        <f aca="false">IF(D146="totale",(C146/(A146*24))/F146,IF(D146="marché libre",(C146/(A146*24))/G146,"spécifier histo"))</f>
        <v>0.250900537634409</v>
      </c>
      <c r="F146" s="59" t="n">
        <v>1820</v>
      </c>
      <c r="G146" s="59" t="n">
        <f aca="false">F146-H146</f>
        <v>900</v>
      </c>
      <c r="H146" s="206" t="n">
        <v>920</v>
      </c>
      <c r="J146" s="55"/>
      <c r="K146" s="658"/>
      <c r="L146" s="667"/>
      <c r="M146" s="668"/>
      <c r="N146" s="669"/>
      <c r="O146" s="0"/>
      <c r="P146" s="666"/>
      <c r="Q146" s="668"/>
      <c r="R146" s="669"/>
      <c r="S146" s="36"/>
    </row>
    <row r="147" customFormat="false" ht="19.85" hidden="false" customHeight="true" outlineLevel="0" collapsed="false">
      <c r="A147" s="0" t="n">
        <v>30</v>
      </c>
      <c r="B147" s="34" t="n">
        <v>42156</v>
      </c>
      <c r="C147" s="592" t="n">
        <v>12</v>
      </c>
      <c r="D147" s="654" t="s">
        <v>42</v>
      </c>
      <c r="E147" s="33" t="n">
        <f aca="false">IF(D147="totale",(C147/(A147*24))/F147,IF(D147="marché libre",(C147/(A147*24))/G147,"spécifier histo"))</f>
        <v>1.85185185185185E-005</v>
      </c>
      <c r="F147" s="59" t="n">
        <v>1820</v>
      </c>
      <c r="G147" s="59" t="n">
        <f aca="false">F147-H147</f>
        <v>900</v>
      </c>
      <c r="H147" s="206" t="n">
        <v>920</v>
      </c>
      <c r="J147" s="55"/>
      <c r="K147" s="658"/>
      <c r="L147" s="670" t="s">
        <v>881</v>
      </c>
      <c r="M147" s="671" t="n">
        <v>379389</v>
      </c>
      <c r="N147" s="671" t="n">
        <v>20032</v>
      </c>
      <c r="O147" s="0"/>
      <c r="P147" s="666"/>
      <c r="Q147" s="671" t="n">
        <v>609554</v>
      </c>
      <c r="R147" s="671" t="n">
        <v>73092</v>
      </c>
      <c r="S147" s="36"/>
    </row>
    <row r="148" customFormat="false" ht="19.85" hidden="false" customHeight="true" outlineLevel="0" collapsed="false">
      <c r="A148" s="0" t="n">
        <v>31</v>
      </c>
      <c r="B148" s="31" t="n">
        <v>42186</v>
      </c>
      <c r="C148" s="592" t="n">
        <v>0</v>
      </c>
      <c r="D148" s="654" t="s">
        <v>42</v>
      </c>
      <c r="E148" s="33" t="n">
        <f aca="false">IF(D148="totale",(C148/(A148*24))/F148,IF(D148="marché libre",(C148/(A148*24))/G148,"spécifier histo"))</f>
        <v>0</v>
      </c>
      <c r="F148" s="59" t="n">
        <v>1820</v>
      </c>
      <c r="G148" s="59" t="n">
        <f aca="false">F148-H148</f>
        <v>900</v>
      </c>
      <c r="H148" s="206" t="n">
        <v>920</v>
      </c>
      <c r="J148" s="55"/>
      <c r="K148" s="658"/>
      <c r="L148" s="672" t="s">
        <v>78</v>
      </c>
      <c r="M148" s="671" t="n">
        <v>434275</v>
      </c>
      <c r="N148" s="671" t="n">
        <v>23494</v>
      </c>
      <c r="O148" s="0"/>
      <c r="P148" s="666"/>
      <c r="Q148" s="671" t="n">
        <v>544393</v>
      </c>
      <c r="R148" s="671" t="n">
        <v>65278</v>
      </c>
      <c r="S148" s="36"/>
    </row>
    <row r="149" customFormat="false" ht="19.85" hidden="false" customHeight="true" outlineLevel="0" collapsed="false">
      <c r="A149" s="0" t="n">
        <v>31</v>
      </c>
      <c r="B149" s="34" t="n">
        <v>42217</v>
      </c>
      <c r="C149" s="592" t="n">
        <v>0</v>
      </c>
      <c r="D149" s="654" t="s">
        <v>42</v>
      </c>
      <c r="E149" s="33" t="n">
        <f aca="false">IF(D149="totale",(C149/(A149*24))/F149,IF(D149="marché libre",(C149/(A149*24))/G149,"spécifier histo"))</f>
        <v>0</v>
      </c>
      <c r="F149" s="59" t="n">
        <v>1820</v>
      </c>
      <c r="G149" s="59" t="n">
        <f aca="false">F149-H149</f>
        <v>900</v>
      </c>
      <c r="H149" s="206" t="n">
        <v>920</v>
      </c>
      <c r="J149" s="55"/>
      <c r="K149" s="658"/>
      <c r="L149" s="673" t="s">
        <v>882</v>
      </c>
      <c r="M149" s="671" t="n">
        <v>127244</v>
      </c>
      <c r="N149" s="671" t="n">
        <v>6082</v>
      </c>
      <c r="O149" s="0"/>
      <c r="P149" s="666"/>
      <c r="Q149" s="671" t="n">
        <v>596513</v>
      </c>
      <c r="R149" s="671" t="n">
        <v>71528</v>
      </c>
      <c r="S149" s="36"/>
    </row>
    <row r="150" customFormat="false" ht="19.85" hidden="false" customHeight="true" outlineLevel="0" collapsed="false">
      <c r="A150" s="0" t="n">
        <v>30</v>
      </c>
      <c r="B150" s="31" t="n">
        <v>42248</v>
      </c>
      <c r="C150" s="592" t="n">
        <v>180</v>
      </c>
      <c r="D150" s="654" t="s">
        <v>42</v>
      </c>
      <c r="E150" s="33" t="n">
        <f aca="false">IF(D150="totale",(C150/(A150*24))/F150,IF(D150="marché libre",(C150/(A150*24))/G150,"spécifier histo"))</f>
        <v>0.000277777777777778</v>
      </c>
      <c r="F150" s="59" t="n">
        <v>1820</v>
      </c>
      <c r="G150" s="59" t="n">
        <f aca="false">F150-H150</f>
        <v>900</v>
      </c>
      <c r="H150" s="206" t="n">
        <v>920</v>
      </c>
      <c r="J150" s="55"/>
      <c r="K150" s="658"/>
      <c r="L150" s="674" t="s">
        <v>883</v>
      </c>
      <c r="M150" s="671" t="n">
        <v>0</v>
      </c>
      <c r="N150" s="671" t="n">
        <v>0</v>
      </c>
      <c r="O150" s="0"/>
      <c r="P150" s="666"/>
      <c r="Q150" s="671" t="n">
        <v>243894</v>
      </c>
      <c r="R150" s="671" t="n">
        <v>13134</v>
      </c>
      <c r="S150" s="36"/>
    </row>
    <row r="151" customFormat="false" ht="19.85" hidden="false" customHeight="true" outlineLevel="0" collapsed="false">
      <c r="A151" s="0" t="n">
        <v>31</v>
      </c>
      <c r="B151" s="34" t="n">
        <v>42278</v>
      </c>
      <c r="C151" s="592" t="n">
        <v>230</v>
      </c>
      <c r="D151" s="654" t="s">
        <v>42</v>
      </c>
      <c r="E151" s="33" t="n">
        <f aca="false">IF(D151="totale",(C151/(A151*24))/F151,IF(D151="marché libre",(C151/(A151*24))/G151,"spécifier histo"))</f>
        <v>0.000343488649940263</v>
      </c>
      <c r="F151" s="59" t="n">
        <v>1820</v>
      </c>
      <c r="G151" s="59" t="n">
        <f aca="false">F151-H151</f>
        <v>900</v>
      </c>
      <c r="H151" s="206" t="n">
        <v>920</v>
      </c>
      <c r="J151" s="55"/>
      <c r="K151" s="658"/>
      <c r="L151" s="670" t="s">
        <v>884</v>
      </c>
      <c r="M151" s="671" t="n">
        <v>0</v>
      </c>
      <c r="N151" s="671" t="n">
        <v>0</v>
      </c>
      <c r="O151" s="0"/>
      <c r="P151" s="666"/>
      <c r="Q151" s="671" t="n">
        <v>366938</v>
      </c>
      <c r="R151" s="671" t="n">
        <v>19760</v>
      </c>
      <c r="S151" s="36"/>
    </row>
    <row r="152" customFormat="false" ht="19.85" hidden="false" customHeight="true" outlineLevel="0" collapsed="false">
      <c r="A152" s="0" t="n">
        <v>30</v>
      </c>
      <c r="B152" s="31" t="n">
        <v>42309</v>
      </c>
      <c r="C152" s="592" t="n">
        <v>106921</v>
      </c>
      <c r="D152" s="654" t="s">
        <v>42</v>
      </c>
      <c r="E152" s="33" t="n">
        <f aca="false">IF(D152="totale",(C152/(A152*24))/F152,IF(D152="marché libre",(C152/(A152*24))/G152,"spécifier histo"))</f>
        <v>0.165001543209877</v>
      </c>
      <c r="F152" s="59" t="n">
        <v>1820</v>
      </c>
      <c r="G152" s="59" t="n">
        <f aca="false">F152-H152</f>
        <v>900</v>
      </c>
      <c r="H152" s="206" t="n">
        <v>920</v>
      </c>
      <c r="J152" s="55"/>
      <c r="K152" s="658"/>
      <c r="L152" s="672" t="s">
        <v>885</v>
      </c>
      <c r="M152" s="675" t="n">
        <v>15091</v>
      </c>
      <c r="N152" s="675" t="n">
        <v>487</v>
      </c>
      <c r="O152" s="0"/>
      <c r="P152" s="666"/>
      <c r="Q152" s="675" t="n">
        <v>50965</v>
      </c>
      <c r="R152" s="675" t="n">
        <v>2744</v>
      </c>
      <c r="S152" s="36"/>
    </row>
    <row r="153" customFormat="false" ht="19.85" hidden="false" customHeight="true" outlineLevel="0" collapsed="false">
      <c r="A153" s="0" t="n">
        <v>31</v>
      </c>
      <c r="B153" s="34" t="n">
        <v>42339</v>
      </c>
      <c r="C153" s="592" t="n">
        <v>128574</v>
      </c>
      <c r="D153" s="654" t="s">
        <v>42</v>
      </c>
      <c r="E153" s="33" t="n">
        <f aca="false">IF(D153="totale",(C153/(A153*24))/F153,IF(D153="marché libre",(C153/(A153*24))/G153,"spécifier histo"))</f>
        <v>0.192016129032258</v>
      </c>
      <c r="F153" s="59" t="n">
        <v>1820</v>
      </c>
      <c r="G153" s="59" t="n">
        <f aca="false">F153-H153</f>
        <v>900</v>
      </c>
      <c r="H153" s="206" t="n">
        <v>920</v>
      </c>
      <c r="J153" s="55"/>
      <c r="K153" s="658"/>
      <c r="L153" s="670" t="s">
        <v>886</v>
      </c>
      <c r="M153" s="675" t="n">
        <v>262403</v>
      </c>
      <c r="N153" s="675" t="n">
        <v>9027</v>
      </c>
      <c r="O153" s="0"/>
      <c r="P153" s="666"/>
      <c r="Q153" s="675" t="n">
        <v>246598</v>
      </c>
      <c r="R153" s="675" t="n">
        <v>13279</v>
      </c>
      <c r="S153" s="36"/>
    </row>
    <row r="154" customFormat="false" ht="19.85" hidden="false" customHeight="true" outlineLevel="0" collapsed="false">
      <c r="A154" s="0" t="n">
        <v>31</v>
      </c>
      <c r="B154" s="31" t="n">
        <v>42370</v>
      </c>
      <c r="C154" s="592" t="n">
        <v>455996</v>
      </c>
      <c r="D154" s="654" t="s">
        <v>42</v>
      </c>
      <c r="E154" s="33" t="n">
        <f aca="false">IF(D154="totale",(C154/(A154*24))/F154,IF(D154="marché libre",(C154/(A154*24))/G154,"spécifier histo"))</f>
        <v>0.680997610513739</v>
      </c>
      <c r="F154" s="59" t="n">
        <v>1820</v>
      </c>
      <c r="G154" s="59" t="n">
        <f aca="false">F154-H154</f>
        <v>900</v>
      </c>
      <c r="H154" s="206" t="n">
        <v>920</v>
      </c>
      <c r="J154" s="55"/>
      <c r="K154" s="658"/>
      <c r="L154" s="672" t="s">
        <v>887</v>
      </c>
      <c r="M154" s="671" t="n">
        <v>97875</v>
      </c>
      <c r="N154" s="671" t="n">
        <v>2672</v>
      </c>
      <c r="O154" s="0"/>
      <c r="P154" s="666"/>
      <c r="Q154" s="671" t="n">
        <v>581044</v>
      </c>
      <c r="R154" s="671" t="n">
        <v>31289</v>
      </c>
      <c r="S154" s="36"/>
    </row>
    <row r="155" customFormat="false" ht="19.85" hidden="false" customHeight="true" outlineLevel="0" collapsed="false">
      <c r="A155" s="0" t="n">
        <v>28</v>
      </c>
      <c r="B155" s="34" t="n">
        <v>42401</v>
      </c>
      <c r="C155" s="592" t="n">
        <v>535783</v>
      </c>
      <c r="D155" s="654" t="s">
        <v>42</v>
      </c>
      <c r="E155" s="33" t="n">
        <f aca="false">IF(D155="totale",(C155/(A155*24))/F155,IF(D155="marché libre",(C155/(A155*24))/G155,"spécifier histo"))</f>
        <v>0.88588458994709</v>
      </c>
      <c r="F155" s="59" t="n">
        <v>1820</v>
      </c>
      <c r="G155" s="59" t="n">
        <f aca="false">F155-H155</f>
        <v>900</v>
      </c>
      <c r="H155" s="206" t="n">
        <v>920</v>
      </c>
      <c r="J155" s="55"/>
      <c r="K155" s="658"/>
      <c r="L155" s="673" t="s">
        <v>888</v>
      </c>
      <c r="M155" s="671" t="n">
        <v>4998</v>
      </c>
      <c r="N155" s="671" t="n">
        <v>181</v>
      </c>
      <c r="O155" s="0"/>
      <c r="P155" s="666"/>
      <c r="Q155" s="671" t="n">
        <v>295609</v>
      </c>
      <c r="R155" s="671" t="n">
        <v>15919</v>
      </c>
      <c r="S155" s="36"/>
    </row>
    <row r="156" customFormat="false" ht="19.85" hidden="false" customHeight="true" outlineLevel="0" collapsed="false">
      <c r="A156" s="0" t="n">
        <v>31</v>
      </c>
      <c r="B156" s="31" t="n">
        <v>42430</v>
      </c>
      <c r="C156" s="592" t="n">
        <v>432065</v>
      </c>
      <c r="D156" s="654" t="s">
        <v>42</v>
      </c>
      <c r="E156" s="33" t="n">
        <f aca="false">IF(D156="totale",(C156/(A156*24))/F156,IF(D156="marché libre",(C156/(A156*24))/G156,"spécifier histo"))</f>
        <v>0.645258363201912</v>
      </c>
      <c r="F156" s="59" t="n">
        <v>1820</v>
      </c>
      <c r="G156" s="59" t="n">
        <f aca="false">F156-H156</f>
        <v>900</v>
      </c>
      <c r="H156" s="206" t="n">
        <v>920</v>
      </c>
      <c r="J156" s="55"/>
      <c r="K156" s="658"/>
      <c r="L156" s="672" t="s">
        <v>889</v>
      </c>
      <c r="M156" s="671" t="n">
        <v>109798</v>
      </c>
      <c r="N156" s="671" t="n">
        <v>5193</v>
      </c>
      <c r="O156" s="0"/>
      <c r="P156" s="666"/>
      <c r="Q156" s="671" t="n">
        <v>400049</v>
      </c>
      <c r="R156" s="671" t="n">
        <v>21543</v>
      </c>
      <c r="S156" s="36"/>
    </row>
    <row r="157" customFormat="false" ht="19.85" hidden="false" customHeight="true" outlineLevel="0" collapsed="false">
      <c r="A157" s="0" t="n">
        <v>30</v>
      </c>
      <c r="B157" s="34" t="n">
        <v>42461</v>
      </c>
      <c r="C157" s="592" t="n">
        <v>519069</v>
      </c>
      <c r="D157" s="654" t="s">
        <v>42</v>
      </c>
      <c r="E157" s="33" t="n">
        <f aca="false">IF(D157="totale",(C157/(A157*24))/F157,IF(D157="marché libre",(C157/(A157*24))/G157,"spécifier histo"))</f>
        <v>0.801032407407407</v>
      </c>
      <c r="F157" s="59" t="n">
        <v>1820</v>
      </c>
      <c r="G157" s="59" t="n">
        <f aca="false">F157-H157</f>
        <v>900</v>
      </c>
      <c r="H157" s="206" t="n">
        <v>920</v>
      </c>
      <c r="J157" s="55"/>
      <c r="K157" s="676"/>
      <c r="L157" s="670" t="s">
        <v>890</v>
      </c>
      <c r="M157" s="671"/>
      <c r="N157" s="671"/>
      <c r="O157" s="0"/>
      <c r="P157" s="666"/>
      <c r="Q157" s="671"/>
      <c r="R157" s="671"/>
      <c r="S157" s="36"/>
    </row>
    <row r="158" customFormat="false" ht="19.85" hidden="false" customHeight="true" outlineLevel="0" collapsed="false">
      <c r="A158" s="0" t="n">
        <v>31</v>
      </c>
      <c r="B158" s="31" t="n">
        <v>42491</v>
      </c>
      <c r="C158" s="592" t="n">
        <v>276154</v>
      </c>
      <c r="D158" s="654" t="s">
        <v>42</v>
      </c>
      <c r="E158" s="33" t="n">
        <f aca="false">IF(D158="totale",(C158/(A158*24))/F158,IF(D158="marché libre",(C158/(A158*24))/G158,"spécifier histo"))</f>
        <v>0.412416367980884</v>
      </c>
      <c r="F158" s="59" t="n">
        <v>1820</v>
      </c>
      <c r="G158" s="59" t="n">
        <f aca="false">F158-H158</f>
        <v>900</v>
      </c>
      <c r="H158" s="206" t="n">
        <v>920</v>
      </c>
      <c r="J158" s="55"/>
      <c r="K158" s="36"/>
      <c r="L158" s="672" t="s">
        <v>891</v>
      </c>
      <c r="M158" s="671"/>
      <c r="N158" s="671"/>
      <c r="O158" s="0"/>
      <c r="P158" s="666"/>
      <c r="Q158" s="671"/>
      <c r="R158" s="671"/>
      <c r="S158" s="36"/>
    </row>
    <row r="159" customFormat="false" ht="19.85" hidden="false" customHeight="true" outlineLevel="0" collapsed="false">
      <c r="A159" s="0" t="n">
        <v>30</v>
      </c>
      <c r="B159" s="34" t="n">
        <v>42522</v>
      </c>
      <c r="C159" s="592" t="n">
        <v>573994</v>
      </c>
      <c r="D159" s="654" t="s">
        <v>42</v>
      </c>
      <c r="E159" s="33" t="n">
        <f aca="false">IF(D159="totale",(C159/(A159*24))/F159,IF(D159="marché libre",(C159/(A159*24))/G159,"spécifier histo"))</f>
        <v>0.885793209876543</v>
      </c>
      <c r="F159" s="59" t="n">
        <v>1820</v>
      </c>
      <c r="G159" s="59" t="n">
        <f aca="false">F159-H159</f>
        <v>900</v>
      </c>
      <c r="H159" s="206" t="n">
        <v>920</v>
      </c>
      <c r="J159" s="55"/>
      <c r="K159" s="677"/>
      <c r="L159" s="678"/>
      <c r="M159" s="671"/>
      <c r="N159" s="671"/>
      <c r="O159" s="0"/>
      <c r="P159" s="666"/>
      <c r="Q159" s="671"/>
      <c r="R159" s="671"/>
      <c r="S159" s="36"/>
    </row>
    <row r="160" customFormat="false" ht="19.85" hidden="false" customHeight="true" outlineLevel="0" collapsed="false">
      <c r="A160" s="0" t="n">
        <v>31</v>
      </c>
      <c r="B160" s="31" t="n">
        <v>42552</v>
      </c>
      <c r="C160" s="592" t="n">
        <v>6905</v>
      </c>
      <c r="D160" s="654" t="s">
        <v>42</v>
      </c>
      <c r="E160" s="33" t="n">
        <f aca="false">IF(D160="totale",(C160/(A160*24))/F160,IF(D160="marché libre",(C160/(A160*24))/G160,"spécifier histo"))</f>
        <v>0.0103121266427718</v>
      </c>
      <c r="F160" s="59" t="n">
        <v>1820</v>
      </c>
      <c r="G160" s="59" t="n">
        <f aca="false">F160-H160</f>
        <v>900</v>
      </c>
      <c r="H160" s="206" t="n">
        <v>920</v>
      </c>
      <c r="J160" s="55"/>
      <c r="K160" s="679"/>
      <c r="L160" s="680" t="s">
        <v>89</v>
      </c>
      <c r="M160" s="681" t="n">
        <v>1431073</v>
      </c>
      <c r="N160" s="681" t="n">
        <v>67168</v>
      </c>
      <c r="O160" s="0"/>
      <c r="P160" s="666"/>
      <c r="Q160" s="681" t="n">
        <v>3935557</v>
      </c>
      <c r="R160" s="681" t="n">
        <v>327566</v>
      </c>
      <c r="S160" s="36"/>
    </row>
    <row r="161" customFormat="false" ht="19.85" hidden="false" customHeight="true" outlineLevel="0" collapsed="false">
      <c r="A161" s="0" t="n">
        <v>31</v>
      </c>
      <c r="B161" s="34" t="n">
        <v>42583</v>
      </c>
      <c r="C161" s="592" t="n">
        <v>16</v>
      </c>
      <c r="D161" s="654" t="s">
        <v>42</v>
      </c>
      <c r="E161" s="33" t="n">
        <f aca="false">IF(D161="totale",(C161/(A161*24))/F161,IF(D161="marché libre",(C161/(A161*24))/G161,"spécifier histo"))</f>
        <v>2.389486260454E-005</v>
      </c>
      <c r="F161" s="59" t="n">
        <v>1820</v>
      </c>
      <c r="G161" s="59" t="n">
        <f aca="false">F161-H161</f>
        <v>900</v>
      </c>
      <c r="H161" s="206" t="n">
        <v>920</v>
      </c>
      <c r="J161" s="55"/>
      <c r="K161" s="682"/>
      <c r="L161" s="36"/>
      <c r="M161" s="36"/>
      <c r="N161" s="36"/>
      <c r="O161" s="0"/>
      <c r="P161" s="36"/>
      <c r="Q161" s="36"/>
      <c r="R161" s="36"/>
      <c r="S161" s="36"/>
    </row>
    <row r="162" customFormat="false" ht="19.85" hidden="false" customHeight="true" outlineLevel="0" collapsed="false">
      <c r="A162" s="0" t="n">
        <v>30</v>
      </c>
      <c r="B162" s="31" t="n">
        <v>42614</v>
      </c>
      <c r="C162" s="592" t="n">
        <v>0</v>
      </c>
      <c r="D162" s="654" t="s">
        <v>42</v>
      </c>
      <c r="E162" s="33" t="n">
        <f aca="false">IF(D162="totale",(C162/(A162*24))/F162,IF(D162="marché libre",(C162/(A162*24))/G162,"spécifier histo"))</f>
        <v>0</v>
      </c>
      <c r="F162" s="59" t="n">
        <v>1820</v>
      </c>
      <c r="G162" s="59" t="n">
        <f aca="false">F162-H162</f>
        <v>900</v>
      </c>
      <c r="H162" s="206" t="n">
        <v>920</v>
      </c>
      <c r="J162" s="55"/>
      <c r="K162" s="679"/>
      <c r="L162" s="36"/>
      <c r="M162" s="36"/>
    </row>
    <row r="163" customFormat="false" ht="19.85" hidden="false" customHeight="true" outlineLevel="0" collapsed="false">
      <c r="A163" s="0" t="n">
        <v>31</v>
      </c>
      <c r="B163" s="34" t="n">
        <v>42644</v>
      </c>
      <c r="C163" s="592" t="n">
        <v>0</v>
      </c>
      <c r="D163" s="654" t="s">
        <v>42</v>
      </c>
      <c r="E163" s="33" t="n">
        <f aca="false">IF(D163="totale",(C163/(A163*24))/F163,IF(D163="marché libre",(C163/(A163*24))/G163,"spécifier histo"))</f>
        <v>0</v>
      </c>
      <c r="F163" s="59" t="n">
        <v>1820</v>
      </c>
      <c r="G163" s="59" t="n">
        <f aca="false">F163-H163</f>
        <v>900</v>
      </c>
      <c r="H163" s="206" t="n">
        <v>920</v>
      </c>
      <c r="J163" s="55"/>
      <c r="K163" s="683"/>
      <c r="L163" s="677"/>
      <c r="M163" s="677"/>
    </row>
    <row r="164" customFormat="false" ht="19.85" hidden="false" customHeight="true" outlineLevel="0" collapsed="false">
      <c r="A164" s="0" t="n">
        <v>30</v>
      </c>
      <c r="B164" s="31" t="n">
        <v>42675</v>
      </c>
      <c r="C164" s="592" t="n">
        <v>35037</v>
      </c>
      <c r="D164" s="654" t="s">
        <v>42</v>
      </c>
      <c r="E164" s="33" t="n">
        <f aca="false">IF(D164="totale",(C164/(A164*24))/F164,IF(D164="marché libre",(C164/(A164*24))/G164,"spécifier histo"))</f>
        <v>0.0540694444444445</v>
      </c>
      <c r="F164" s="59" t="n">
        <v>1820</v>
      </c>
      <c r="G164" s="59" t="n">
        <f aca="false">F164-H164</f>
        <v>900</v>
      </c>
      <c r="H164" s="206" t="n">
        <v>920</v>
      </c>
      <c r="J164" s="55"/>
      <c r="K164" s="683"/>
      <c r="L164" s="679"/>
      <c r="M164" s="679"/>
    </row>
    <row r="165" customFormat="false" ht="19.85" hidden="false" customHeight="true" outlineLevel="0" collapsed="false">
      <c r="A165" s="0" t="n">
        <v>31</v>
      </c>
      <c r="B165" s="34" t="n">
        <v>42705</v>
      </c>
      <c r="C165" s="592" t="n">
        <v>0</v>
      </c>
      <c r="D165" s="654" t="s">
        <v>42</v>
      </c>
      <c r="E165" s="33" t="n">
        <f aca="false">IF(D165="totale",(C165/(A165*24))/F165,IF(D165="marché libre",(C165/(A165*24))/G165,"spécifier histo"))</f>
        <v>0</v>
      </c>
      <c r="F165" s="59" t="n">
        <v>1820</v>
      </c>
      <c r="G165" s="59" t="n">
        <f aca="false">F165-H165</f>
        <v>900</v>
      </c>
      <c r="H165" s="206" t="n">
        <v>920</v>
      </c>
      <c r="J165" s="55"/>
      <c r="K165" s="683"/>
      <c r="L165" s="682"/>
      <c r="M165" s="682"/>
    </row>
    <row r="166" customFormat="false" ht="19.85" hidden="false" customHeight="true" outlineLevel="0" collapsed="false">
      <c r="A166" s="0" t="n">
        <v>31</v>
      </c>
      <c r="B166" s="31" t="n">
        <v>42736</v>
      </c>
      <c r="C166" s="592" t="n">
        <v>12555</v>
      </c>
      <c r="D166" s="654" t="s">
        <v>42</v>
      </c>
      <c r="E166" s="33" t="n">
        <f aca="false">IF(D166="totale",(C166/(A166*24))/F166,IF(D166="marché libre",(C166/(A166*24))/G166,"spécifier histo"))</f>
        <v>0.01875</v>
      </c>
      <c r="F166" s="59" t="n">
        <v>1820</v>
      </c>
      <c r="G166" s="59" t="n">
        <f aca="false">F166-H166</f>
        <v>900</v>
      </c>
      <c r="H166" s="206" t="n">
        <v>920</v>
      </c>
      <c r="J166" s="55"/>
      <c r="K166" s="683"/>
      <c r="L166" s="679"/>
      <c r="M166" s="679"/>
    </row>
    <row r="167" customFormat="false" ht="19.85" hidden="false" customHeight="true" outlineLevel="0" collapsed="false">
      <c r="A167" s="0" t="n">
        <v>28</v>
      </c>
      <c r="B167" s="34" t="n">
        <v>42767</v>
      </c>
      <c r="C167" s="592" t="n">
        <v>333738</v>
      </c>
      <c r="D167" s="654" t="s">
        <v>42</v>
      </c>
      <c r="E167" s="33" t="n">
        <f aca="false">IF(D167="totale",(C167/(A167*24))/F167,IF(D167="marché libre",(C167/(A167*24))/G167,"spécifier histo"))</f>
        <v>0.551815476190476</v>
      </c>
      <c r="F167" s="59" t="n">
        <v>1820</v>
      </c>
      <c r="G167" s="59" t="n">
        <f aca="false">F167-H167</f>
        <v>900</v>
      </c>
      <c r="H167" s="206" t="n">
        <v>920</v>
      </c>
      <c r="J167" s="55"/>
      <c r="K167" s="683"/>
      <c r="L167" s="683"/>
      <c r="M167" s="683"/>
    </row>
    <row r="168" customFormat="false" ht="19.85" hidden="false" customHeight="true" outlineLevel="0" collapsed="false">
      <c r="A168" s="0" t="n">
        <v>31</v>
      </c>
      <c r="B168" s="31" t="n">
        <v>42795</v>
      </c>
      <c r="C168" s="592" t="n">
        <v>449293</v>
      </c>
      <c r="D168" s="654" t="s">
        <v>42</v>
      </c>
      <c r="E168" s="33" t="n">
        <f aca="false">IF(D168="totale",(C168/(A168*24))/F168,IF(D168="marché libre",(C168/(A168*24))/G168,"spécifier histo"))</f>
        <v>0.67098715651135</v>
      </c>
      <c r="F168" s="59" t="n">
        <v>1820</v>
      </c>
      <c r="G168" s="59" t="n">
        <f aca="false">F168-H168</f>
        <v>900</v>
      </c>
      <c r="H168" s="206" t="n">
        <v>920</v>
      </c>
      <c r="J168" s="55"/>
      <c r="K168" s="683"/>
      <c r="L168" s="683"/>
      <c r="M168" s="683"/>
    </row>
    <row r="169" customFormat="false" ht="19.85" hidden="false" customHeight="true" outlineLevel="0" collapsed="false">
      <c r="A169" s="0" t="n">
        <v>30</v>
      </c>
      <c r="B169" s="34" t="n">
        <v>42826</v>
      </c>
      <c r="C169" s="592" t="n">
        <v>102</v>
      </c>
      <c r="D169" s="654" t="s">
        <v>42</v>
      </c>
      <c r="E169" s="33" t="n">
        <f aca="false">IF(D169="totale",(C169/(A169*24))/F169,IF(D169="marché libre",(C169/(A169*24))/G169,"spécifier histo"))</f>
        <v>0.000157407407407407</v>
      </c>
      <c r="F169" s="59" t="n">
        <v>1820</v>
      </c>
      <c r="G169" s="59" t="n">
        <f aca="false">F169-H169</f>
        <v>900</v>
      </c>
      <c r="H169" s="206" t="n">
        <v>920</v>
      </c>
      <c r="J169" s="55"/>
      <c r="K169" s="683"/>
      <c r="L169" s="683"/>
      <c r="M169" s="683"/>
    </row>
    <row r="170" customFormat="false" ht="19.85" hidden="false" customHeight="true" outlineLevel="0" collapsed="false">
      <c r="A170" s="0" t="n">
        <v>31</v>
      </c>
      <c r="B170" s="31" t="n">
        <v>42856</v>
      </c>
      <c r="C170" s="592" t="n">
        <v>10380</v>
      </c>
      <c r="D170" s="654" t="s">
        <v>42</v>
      </c>
      <c r="E170" s="33" t="n">
        <f aca="false">IF(D170="totale",(C170/(A170*24))/F170,IF(D170="marché libre",(C170/(A170*24))/G170,"spécifier histo"))</f>
        <v>0.0155017921146953</v>
      </c>
      <c r="F170" s="59" t="n">
        <v>1820</v>
      </c>
      <c r="G170" s="59" t="n">
        <f aca="false">F170-H170</f>
        <v>900</v>
      </c>
      <c r="H170" s="206" t="n">
        <v>920</v>
      </c>
      <c r="J170" s="55"/>
      <c r="K170" s="683"/>
      <c r="L170" s="683"/>
      <c r="M170" s="683"/>
    </row>
    <row r="171" customFormat="false" ht="22.45" hidden="false" customHeight="true" outlineLevel="0" collapsed="false">
      <c r="A171" s="0" t="n">
        <v>30</v>
      </c>
      <c r="B171" s="34" t="n">
        <v>42887</v>
      </c>
      <c r="C171" s="592" t="n">
        <v>0</v>
      </c>
      <c r="D171" s="654" t="s">
        <v>42</v>
      </c>
      <c r="E171" s="33" t="n">
        <f aca="false">IF(D171="totale",(C171/(A171*24))/F171,IF(D171="marché libre",(C171/(A171*24))/G171,"spécifier histo"))</f>
        <v>0</v>
      </c>
      <c r="F171" s="59" t="n">
        <v>1820</v>
      </c>
      <c r="G171" s="59" t="n">
        <f aca="false">F171-H171</f>
        <v>900</v>
      </c>
      <c r="H171" s="206" t="n">
        <v>920</v>
      </c>
      <c r="J171" s="55"/>
      <c r="K171" s="683"/>
      <c r="L171" s="683"/>
      <c r="M171" s="683"/>
    </row>
    <row r="172" customFormat="false" ht="21.65" hidden="false" customHeight="true" outlineLevel="0" collapsed="false">
      <c r="A172" s="0" t="n">
        <v>31</v>
      </c>
      <c r="B172" s="31" t="n">
        <v>42917</v>
      </c>
      <c r="C172" s="592" t="n">
        <v>1438</v>
      </c>
      <c r="D172" s="654" t="s">
        <v>42</v>
      </c>
      <c r="E172" s="33" t="n">
        <f aca="false">IF(D172="totale",(C172/(A172*24))/F172,IF(D172="marché libre",(C172/(A172*24))/G172,"spécifier histo"))</f>
        <v>0.00214755077658303</v>
      </c>
      <c r="F172" s="59" t="n">
        <v>1820</v>
      </c>
      <c r="G172" s="59" t="n">
        <f aca="false">F172-H172</f>
        <v>900</v>
      </c>
      <c r="H172" s="206" t="n">
        <v>920</v>
      </c>
      <c r="J172" s="55"/>
      <c r="K172" s="683"/>
      <c r="L172" s="683"/>
      <c r="M172" s="683"/>
    </row>
    <row r="173" customFormat="false" ht="21.65" hidden="false" customHeight="true" outlineLevel="0" collapsed="false">
      <c r="A173" s="0" t="n">
        <v>31</v>
      </c>
      <c r="B173" s="34" t="n">
        <v>42948</v>
      </c>
      <c r="C173" s="592" t="n">
        <v>0</v>
      </c>
      <c r="D173" s="654" t="s">
        <v>42</v>
      </c>
      <c r="E173" s="33" t="n">
        <f aca="false">IF(D173="totale",(C173/(A173*24))/F173,IF(D173="marché libre",(C173/(A173*24))/G173,"spécifier histo"))</f>
        <v>0</v>
      </c>
      <c r="F173" s="59" t="n">
        <v>1820</v>
      </c>
      <c r="G173" s="59" t="n">
        <f aca="false">F173-H173</f>
        <v>900</v>
      </c>
      <c r="H173" s="206" t="n">
        <v>920</v>
      </c>
      <c r="J173" s="55"/>
      <c r="K173" s="683"/>
      <c r="L173" s="683"/>
      <c r="M173" s="683"/>
    </row>
    <row r="174" customFormat="false" ht="21.65" hidden="false" customHeight="true" outlineLevel="0" collapsed="false">
      <c r="A174" s="0" t="n">
        <v>30</v>
      </c>
      <c r="B174" s="31" t="n">
        <v>42979</v>
      </c>
      <c r="C174" s="592" t="n">
        <v>13360</v>
      </c>
      <c r="D174" s="654" t="s">
        <v>42</v>
      </c>
      <c r="E174" s="33" t="n">
        <f aca="false">IF(D174="totale",(C174/(A174*24))/F174,IF(D174="marché libre",(C174/(A174*24))/G174,"spécifier histo"))</f>
        <v>0.0206172839506173</v>
      </c>
      <c r="F174" s="59" t="n">
        <v>1820</v>
      </c>
      <c r="G174" s="59" t="n">
        <f aca="false">F174-H174</f>
        <v>900</v>
      </c>
      <c r="H174" s="206" t="n">
        <v>920</v>
      </c>
      <c r="J174" s="55"/>
      <c r="K174" s="683"/>
      <c r="L174" s="683"/>
      <c r="M174" s="683"/>
    </row>
    <row r="175" customFormat="false" ht="21.65" hidden="false" customHeight="true" outlineLevel="0" collapsed="false">
      <c r="A175" s="0" t="n">
        <v>31</v>
      </c>
      <c r="B175" s="34" t="n">
        <v>43009</v>
      </c>
      <c r="C175" s="592" t="n">
        <v>626</v>
      </c>
      <c r="D175" s="654" t="s">
        <v>42</v>
      </c>
      <c r="E175" s="33" t="n">
        <f aca="false">IF(D175="totale",(C175/(A175*24))/F175,IF(D175="marché libre",(C175/(A175*24))/G175,"spécifier histo"))</f>
        <v>0.000934886499402628</v>
      </c>
      <c r="F175" s="59" t="n">
        <v>1820</v>
      </c>
      <c r="G175" s="59" t="n">
        <f aca="false">F175-H175</f>
        <v>900</v>
      </c>
      <c r="H175" s="206" t="n">
        <v>920</v>
      </c>
      <c r="J175" s="55"/>
      <c r="K175" s="683"/>
      <c r="L175" s="683"/>
      <c r="M175" s="683"/>
    </row>
    <row r="176" customFormat="false" ht="21.65" hidden="false" customHeight="true" outlineLevel="0" collapsed="false">
      <c r="A176" s="0" t="n">
        <v>30</v>
      </c>
      <c r="B176" s="31" t="n">
        <v>43040</v>
      </c>
      <c r="C176" s="592" t="n">
        <v>291186</v>
      </c>
      <c r="D176" s="654" t="s">
        <v>42</v>
      </c>
      <c r="E176" s="33" t="n">
        <f aca="false">IF(D176="totale",(C176/(A176*24))/F176,IF(D176="marché libre",(C176/(A176*24))/G176,"spécifier histo"))</f>
        <v>0.449361111111111</v>
      </c>
      <c r="F176" s="59" t="n">
        <v>1820</v>
      </c>
      <c r="G176" s="59" t="n">
        <f aca="false">F176-H176</f>
        <v>900</v>
      </c>
      <c r="H176" s="206" t="n">
        <v>920</v>
      </c>
      <c r="J176" s="55"/>
      <c r="K176" s="684"/>
      <c r="L176" s="683"/>
      <c r="M176" s="683"/>
    </row>
    <row r="177" customFormat="false" ht="21.65" hidden="false" customHeight="true" outlineLevel="0" collapsed="false">
      <c r="A177" s="0" t="n">
        <v>31</v>
      </c>
      <c r="B177" s="34" t="n">
        <v>43070</v>
      </c>
      <c r="C177" s="592" t="n">
        <v>537256</v>
      </c>
      <c r="D177" s="654" t="s">
        <v>42</v>
      </c>
      <c r="E177" s="33" t="n">
        <f aca="false">IF(D177="totale",(C177/(A177*24))/F177,IF(D177="marché libre",(C177/(A177*24))/G177,"spécifier histo"))</f>
        <v>0.802353643966547</v>
      </c>
      <c r="F177" s="59" t="n">
        <v>1820</v>
      </c>
      <c r="G177" s="59" t="n">
        <f aca="false">F177-H177</f>
        <v>900</v>
      </c>
      <c r="H177" s="206" t="n">
        <v>920</v>
      </c>
      <c r="J177" s="55"/>
      <c r="K177" s="36"/>
      <c r="L177" s="683"/>
      <c r="M177" s="683"/>
    </row>
    <row r="178" customFormat="false" ht="21.15" hidden="false" customHeight="true" outlineLevel="0" collapsed="false">
      <c r="A178" s="0" t="n">
        <v>31</v>
      </c>
      <c r="B178" s="31" t="n">
        <v>43101</v>
      </c>
      <c r="C178" s="685" t="n">
        <v>483424</v>
      </c>
      <c r="D178" s="654" t="s">
        <v>42</v>
      </c>
      <c r="E178" s="33" t="n">
        <f aca="false">IF(D178="totale",(C178/(A178*24))/F178,IF(D178="marché libre",(C178/(A178*24))/G178,"spécifier histo"))</f>
        <v>0.721959378733572</v>
      </c>
      <c r="F178" s="59" t="n">
        <v>1820</v>
      </c>
      <c r="G178" s="59" t="n">
        <f aca="false">F178-H178</f>
        <v>900</v>
      </c>
      <c r="H178" s="206" t="n">
        <v>920</v>
      </c>
      <c r="J178" s="55"/>
      <c r="K178" s="685"/>
      <c r="L178" s="683"/>
      <c r="M178" s="683"/>
    </row>
    <row r="179" customFormat="false" ht="28.35" hidden="false" customHeight="true" outlineLevel="0" collapsed="false">
      <c r="A179" s="0"/>
      <c r="C179" s="627"/>
      <c r="K179" s="627"/>
      <c r="L179" s="683"/>
      <c r="M179" s="683"/>
    </row>
    <row r="180" customFormat="false" ht="28.35" hidden="false" customHeight="true" outlineLevel="0" collapsed="false">
      <c r="A180" s="0"/>
      <c r="C180" s="686"/>
      <c r="D180" s="686"/>
      <c r="K180" s="686"/>
      <c r="L180" s="686"/>
      <c r="M180" s="684"/>
    </row>
    <row r="181" s="1" customFormat="true" ht="28.35" hidden="false" customHeight="true" outlineLevel="0" collapsed="false">
      <c r="A181" s="0"/>
      <c r="C181" s="687"/>
      <c r="K181" s="687"/>
      <c r="L181" s="36"/>
      <c r="M181" s="36"/>
      <c r="R181" s="256"/>
      <c r="S181" s="256"/>
      <c r="T181" s="256"/>
    </row>
    <row r="182" customFormat="false" ht="28.35" hidden="false" customHeight="true" outlineLevel="0" collapsed="false">
      <c r="A182" s="0"/>
      <c r="C182" s="627"/>
      <c r="K182" s="627"/>
      <c r="L182" s="685"/>
      <c r="M182" s="685"/>
    </row>
    <row r="183" customFormat="false" ht="28.35" hidden="false" customHeight="true" outlineLevel="0" collapsed="false">
      <c r="A183" s="0"/>
      <c r="C183" s="688"/>
      <c r="K183" s="688"/>
      <c r="L183" s="627"/>
      <c r="M183" s="627"/>
    </row>
    <row r="184" customFormat="false" ht="28.35" hidden="false" customHeight="true" outlineLevel="0" collapsed="false">
      <c r="A184" s="0"/>
      <c r="C184" s="688"/>
      <c r="K184" s="688"/>
      <c r="L184" s="686"/>
      <c r="M184" s="686"/>
    </row>
    <row r="185" customFormat="false" ht="28.35" hidden="false" customHeight="true" outlineLevel="0" collapsed="false">
      <c r="A185" s="0"/>
      <c r="C185" s="688"/>
      <c r="K185" s="688"/>
      <c r="L185" s="687"/>
      <c r="M185" s="687"/>
    </row>
    <row r="186" customFormat="false" ht="28.35" hidden="false" customHeight="true" outlineLevel="0" collapsed="false">
      <c r="A186" s="0"/>
      <c r="C186" s="688"/>
      <c r="K186" s="688"/>
      <c r="L186" s="627"/>
      <c r="M186" s="627"/>
    </row>
    <row r="187" customFormat="false" ht="28.35" hidden="false" customHeight="true" outlineLevel="0" collapsed="false">
      <c r="A187" s="0"/>
      <c r="C187" s="688"/>
      <c r="K187" s="688"/>
      <c r="L187" s="688"/>
      <c r="M187" s="688"/>
    </row>
    <row r="188" customFormat="false" ht="28.35" hidden="false" customHeight="true" outlineLevel="0" collapsed="false">
      <c r="A188" s="0"/>
      <c r="C188" s="689"/>
      <c r="K188" s="689"/>
      <c r="L188" s="688"/>
      <c r="M188" s="688"/>
    </row>
    <row r="189" customFormat="false" ht="28.35" hidden="false" customHeight="true" outlineLevel="0" collapsed="false">
      <c r="A189" s="0"/>
      <c r="C189" s="689"/>
      <c r="K189" s="689"/>
      <c r="L189" s="688"/>
      <c r="M189" s="688"/>
    </row>
    <row r="190" customFormat="false" ht="28.35" hidden="false" customHeight="true" outlineLevel="0" collapsed="false">
      <c r="A190" s="0"/>
      <c r="C190" s="688"/>
      <c r="K190" s="688"/>
      <c r="L190" s="688"/>
      <c r="M190" s="688"/>
    </row>
    <row r="191" customFormat="false" ht="28.35" hidden="false" customHeight="true" outlineLevel="0" collapsed="false">
      <c r="A191" s="0"/>
      <c r="C191" s="688"/>
      <c r="K191" s="688"/>
      <c r="L191" s="688"/>
      <c r="M191" s="688"/>
    </row>
    <row r="192" customFormat="false" ht="28.35" hidden="false" customHeight="true" outlineLevel="0" collapsed="false">
      <c r="A192" s="0"/>
      <c r="C192" s="688"/>
      <c r="K192" s="688"/>
      <c r="L192" s="689"/>
      <c r="M192" s="689"/>
    </row>
    <row r="193" customFormat="false" ht="28.35" hidden="false" customHeight="true" outlineLevel="0" collapsed="false">
      <c r="A193" s="0"/>
      <c r="C193" s="688"/>
      <c r="K193" s="688"/>
      <c r="L193" s="689"/>
      <c r="M193" s="689"/>
    </row>
    <row r="194" customFormat="false" ht="28.35" hidden="false" customHeight="true" outlineLevel="0" collapsed="false">
      <c r="A194" s="0"/>
      <c r="C194" s="688"/>
      <c r="K194" s="688"/>
      <c r="L194" s="688"/>
      <c r="M194" s="688"/>
    </row>
    <row r="195" customFormat="false" ht="28.35" hidden="false" customHeight="true" outlineLevel="0" collapsed="false">
      <c r="A195" s="0"/>
      <c r="C195" s="688"/>
      <c r="K195" s="688"/>
      <c r="L195" s="688"/>
      <c r="M195" s="688"/>
    </row>
    <row r="196" customFormat="false" ht="12.8" hidden="false" customHeight="false" outlineLevel="0" collapsed="false">
      <c r="A196" s="0"/>
      <c r="C196" s="690"/>
      <c r="K196" s="690"/>
      <c r="L196" s="688"/>
      <c r="M196" s="688"/>
    </row>
    <row r="197" customFormat="false" ht="13.8" hidden="false" customHeight="false" outlineLevel="0" collapsed="false">
      <c r="A197" s="0"/>
      <c r="C197" s="36"/>
      <c r="K197" s="36"/>
      <c r="L197" s="688"/>
      <c r="M197" s="688"/>
    </row>
    <row r="198" customFormat="false" ht="12.8" hidden="false" customHeight="false" outlineLevel="0" collapsed="false">
      <c r="A198" s="0"/>
      <c r="C198" s="54"/>
      <c r="K198" s="54"/>
      <c r="L198" s="688"/>
      <c r="M198" s="688"/>
    </row>
    <row r="199" customFormat="false" ht="13.8" hidden="false" customHeight="false" outlineLevel="0" collapsed="false">
      <c r="A199" s="0"/>
      <c r="C199" s="36"/>
      <c r="K199" s="36"/>
      <c r="L199" s="688"/>
      <c r="M199" s="688"/>
    </row>
    <row r="200" customFormat="false" ht="12.8" hidden="false" customHeight="false" outlineLevel="0" collapsed="false">
      <c r="A200" s="0"/>
      <c r="C200" s="691"/>
      <c r="D200" s="691"/>
      <c r="K200" s="691"/>
      <c r="L200" s="691"/>
      <c r="M200" s="690"/>
    </row>
    <row r="201" customFormat="false" ht="13.8" hidden="false" customHeight="false" outlineLevel="0" collapsed="false">
      <c r="A201" s="0"/>
      <c r="C201" s="692"/>
      <c r="K201" s="692"/>
      <c r="L201" s="36"/>
      <c r="M201" s="36"/>
    </row>
    <row r="202" customFormat="false" ht="13.8" hidden="false" customHeight="false" outlineLevel="0" collapsed="false">
      <c r="A202" s="0"/>
      <c r="C202" s="659"/>
      <c r="K202" s="659"/>
      <c r="L202" s="54"/>
      <c r="M202" s="36"/>
    </row>
    <row r="203" customFormat="false" ht="13.8" hidden="false" customHeight="false" outlineLevel="0" collapsed="false">
      <c r="A203" s="0"/>
      <c r="C203" s="693"/>
      <c r="K203" s="693"/>
      <c r="L203" s="36"/>
      <c r="M203" s="36"/>
    </row>
    <row r="204" customFormat="false" ht="12.8" hidden="false" customHeight="false" outlineLevel="0" collapsed="false">
      <c r="A204" s="0"/>
      <c r="C204" s="693"/>
      <c r="K204" s="693"/>
      <c r="L204" s="691"/>
      <c r="M204" s="691"/>
    </row>
    <row r="205" customFormat="false" ht="12.8" hidden="false" customHeight="false" outlineLevel="0" collapsed="false">
      <c r="A205" s="0"/>
      <c r="C205" s="693"/>
      <c r="K205" s="693"/>
      <c r="L205" s="692"/>
      <c r="M205" s="692"/>
    </row>
    <row r="206" customFormat="false" ht="12.8" hidden="false" customHeight="false" outlineLevel="0" collapsed="false">
      <c r="A206" s="0"/>
      <c r="C206" s="693"/>
      <c r="K206" s="693"/>
      <c r="L206" s="659"/>
      <c r="M206" s="659"/>
    </row>
    <row r="207" customFormat="false" ht="12.8" hidden="false" customHeight="false" outlineLevel="0" collapsed="false">
      <c r="A207" s="0"/>
      <c r="C207" s="693"/>
      <c r="K207" s="693"/>
      <c r="L207" s="693"/>
      <c r="M207" s="693"/>
    </row>
    <row r="208" customFormat="false" ht="12.8" hidden="false" customHeight="false" outlineLevel="0" collapsed="false">
      <c r="A208" s="0"/>
      <c r="C208" s="694"/>
      <c r="K208" s="694"/>
      <c r="L208" s="693"/>
      <c r="M208" s="693"/>
    </row>
    <row r="209" customFormat="false" ht="12.8" hidden="false" customHeight="false" outlineLevel="0" collapsed="false">
      <c r="A209" s="0"/>
      <c r="C209" s="694"/>
      <c r="K209" s="694"/>
      <c r="L209" s="693"/>
      <c r="M209" s="693"/>
    </row>
    <row r="210" customFormat="false" ht="12.8" hidden="false" customHeight="false" outlineLevel="0" collapsed="false">
      <c r="A210" s="0"/>
      <c r="C210" s="693"/>
      <c r="K210" s="693"/>
      <c r="L210" s="693"/>
      <c r="M210" s="693"/>
    </row>
    <row r="211" customFormat="false" ht="12.8" hidden="false" customHeight="false" outlineLevel="0" collapsed="false">
      <c r="A211" s="0"/>
      <c r="C211" s="693"/>
      <c r="K211" s="693"/>
      <c r="L211" s="693"/>
      <c r="M211" s="693"/>
    </row>
    <row r="212" customFormat="false" ht="12.8" hidden="false" customHeight="false" outlineLevel="0" collapsed="false">
      <c r="A212" s="0"/>
      <c r="C212" s="693"/>
      <c r="K212" s="693"/>
      <c r="L212" s="694"/>
      <c r="M212" s="694"/>
    </row>
    <row r="213" customFormat="false" ht="12.8" hidden="false" customHeight="false" outlineLevel="0" collapsed="false">
      <c r="A213" s="0"/>
      <c r="C213" s="693"/>
      <c r="K213" s="693"/>
      <c r="L213" s="694"/>
      <c r="M213" s="694"/>
    </row>
    <row r="214" customFormat="false" ht="12.8" hidden="false" customHeight="false" outlineLevel="0" collapsed="false">
      <c r="A214" s="0"/>
      <c r="C214" s="693"/>
      <c r="K214" s="693"/>
      <c r="L214" s="693"/>
      <c r="M214" s="693"/>
    </row>
    <row r="215" customFormat="false" ht="12.8" hidden="false" customHeight="false" outlineLevel="0" collapsed="false">
      <c r="A215" s="0"/>
      <c r="K215" s="695"/>
      <c r="L215" s="693"/>
      <c r="M215" s="693"/>
    </row>
    <row r="216" customFormat="false" ht="12.8" hidden="false" customHeight="false" outlineLevel="0" collapsed="false">
      <c r="A216" s="0"/>
      <c r="K216" s="696"/>
      <c r="L216" s="693"/>
      <c r="M216" s="693"/>
    </row>
    <row r="217" customFormat="false" ht="12.8" hidden="false" customHeight="false" outlineLevel="0" collapsed="false">
      <c r="A217" s="0"/>
      <c r="K217" s="696"/>
      <c r="L217" s="693"/>
      <c r="M217" s="693"/>
    </row>
    <row r="218" customFormat="false" ht="12.8" hidden="false" customHeight="false" outlineLevel="0" collapsed="false">
      <c r="A218" s="0"/>
      <c r="K218" s="696"/>
      <c r="L218" s="693"/>
      <c r="M218" s="693"/>
    </row>
    <row r="219" customFormat="false" ht="12.8" hidden="false" customHeight="false" outlineLevel="0" collapsed="false">
      <c r="A219" s="0"/>
      <c r="K219" s="697"/>
      <c r="L219" s="693"/>
      <c r="M219" s="693"/>
    </row>
    <row r="220" customFormat="false" ht="12.8" hidden="false" customHeight="false" outlineLevel="0" collapsed="false">
      <c r="A220" s="0"/>
      <c r="K220" s="698"/>
      <c r="L220" s="699"/>
      <c r="M220" s="699"/>
    </row>
    <row r="221" customFormat="false" ht="12.8" hidden="false" customHeight="false" outlineLevel="0" collapsed="false">
      <c r="A221" s="0"/>
      <c r="K221" s="0"/>
      <c r="L221" s="0"/>
      <c r="M221" s="0"/>
    </row>
    <row r="222" customFormat="false" ht="12.8" hidden="false" customHeight="false" outlineLevel="0" collapsed="false">
      <c r="A222" s="0"/>
      <c r="K222" s="0"/>
      <c r="L222" s="0"/>
      <c r="M222" s="0"/>
    </row>
    <row r="223" customFormat="false" ht="12.8" hidden="false" customHeight="false" outlineLevel="0" collapsed="false">
      <c r="A223" s="0"/>
      <c r="K223" s="0"/>
      <c r="L223" s="0"/>
      <c r="M223" s="0"/>
    </row>
    <row r="224" customFormat="false" ht="12.8" hidden="false" customHeight="false" outlineLevel="0" collapsed="false">
      <c r="K224" s="0"/>
      <c r="L224" s="0"/>
      <c r="M224" s="0"/>
    </row>
    <row r="225" customFormat="false" ht="12.8" hidden="false" customHeight="false" outlineLevel="0" collapsed="false">
      <c r="K225" s="0"/>
      <c r="L225" s="0"/>
      <c r="M225" s="0"/>
    </row>
    <row r="226" customFormat="false" ht="12.8" hidden="false" customHeight="false" outlineLevel="0" collapsed="false">
      <c r="K226" s="0"/>
      <c r="L226" s="0"/>
      <c r="M226" s="0"/>
    </row>
    <row r="227" customFormat="false" ht="12.8" hidden="false" customHeight="false" outlineLevel="0" collapsed="false">
      <c r="K227" s="0"/>
      <c r="L227" s="0"/>
      <c r="M227" s="0"/>
    </row>
    <row r="228" customFormat="false" ht="12.8" hidden="false" customHeight="false" outlineLevel="0" collapsed="false">
      <c r="K228" s="0"/>
      <c r="L228" s="0"/>
      <c r="M228" s="0"/>
    </row>
    <row r="229" customFormat="false" ht="12.8" hidden="false" customHeight="false" outlineLevel="0" collapsed="false">
      <c r="K229" s="0"/>
      <c r="L229" s="0"/>
      <c r="M229" s="0"/>
    </row>
    <row r="230" customFormat="false" ht="12.8" hidden="false" customHeight="false" outlineLevel="0" collapsed="false">
      <c r="K230" s="0"/>
      <c r="L230" s="0"/>
      <c r="M230" s="0"/>
    </row>
    <row r="231" customFormat="false" ht="12.8" hidden="false" customHeight="false" outlineLevel="0" collapsed="false">
      <c r="K231" s="0"/>
      <c r="L231" s="0"/>
      <c r="M231" s="0"/>
    </row>
    <row r="232" customFormat="false" ht="12.8" hidden="false" customHeight="false" outlineLevel="0" collapsed="false">
      <c r="K232" s="0"/>
      <c r="L232" s="0"/>
      <c r="M232" s="0"/>
    </row>
  </sheetData>
  <mergeCells count="22">
    <mergeCell ref="B1:E2"/>
    <mergeCell ref="F1:N1"/>
    <mergeCell ref="F2:I2"/>
    <mergeCell ref="J2:K2"/>
    <mergeCell ref="L2:M2"/>
    <mergeCell ref="N2:N3"/>
    <mergeCell ref="U2:U3"/>
    <mergeCell ref="T4:V4"/>
    <mergeCell ref="C6:D6"/>
    <mergeCell ref="F6:F7"/>
    <mergeCell ref="G6:N7"/>
    <mergeCell ref="C7:D7"/>
    <mergeCell ref="L122:N122"/>
    <mergeCell ref="M124:N124"/>
    <mergeCell ref="Q124:R124"/>
    <mergeCell ref="M144:N144"/>
    <mergeCell ref="Q144:R144"/>
    <mergeCell ref="I145:J145"/>
    <mergeCell ref="C180:D180"/>
    <mergeCell ref="K180:L180"/>
    <mergeCell ref="C200:D200"/>
    <mergeCell ref="K200:L200"/>
  </mergeCells>
  <conditionalFormatting sqref="E131:E178 E10:E12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30">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76.xml><?xml version="1.0" encoding="utf-8"?>
<worksheet xmlns="http://schemas.openxmlformats.org/spreadsheetml/2006/main" xmlns:r="http://schemas.openxmlformats.org/officeDocument/2006/relationships">
  <sheetPr filterMode="false">
    <tabColor rgb="FF00CC33"/>
    <pageSetUpPr fitToPage="false"/>
  </sheetPr>
  <dimension ref="A1:AE2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63" activePane="bottomRight" state="frozen"/>
      <selection pane="topLeft" activeCell="A1" activeCellId="0" sqref="A1"/>
      <selection pane="topRight" activeCell="B1" activeCellId="0" sqref="B1"/>
      <selection pane="bottomLeft" activeCell="A263" activeCellId="0" sqref="A263"/>
      <selection pane="bottomRight" activeCell="B251" activeCellId="0" sqref="B251"/>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2.97"/>
    <col collapsed="false" customWidth="true" hidden="false" outlineLevel="0" max="5" min="5" style="1" width="19.77"/>
    <col collapsed="false" customWidth="true" hidden="false" outlineLevel="0" max="6" min="6" style="1" width="18.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12.97"/>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97" t="s">
        <v>108</v>
      </c>
      <c r="B1" s="700" t="s">
        <v>0</v>
      </c>
      <c r="C1" s="700"/>
      <c r="D1" s="700"/>
      <c r="E1" s="700"/>
      <c r="F1" s="3" t="s">
        <v>1</v>
      </c>
      <c r="G1" s="3"/>
      <c r="H1" s="3"/>
      <c r="I1" s="3"/>
      <c r="J1" s="3"/>
      <c r="K1" s="3"/>
      <c r="L1" s="3"/>
      <c r="M1" s="3"/>
      <c r="N1" s="3"/>
    </row>
    <row r="2" customFormat="false" ht="30.8" hidden="false" customHeight="true" outlineLevel="0" collapsed="false">
      <c r="A2" s="0"/>
      <c r="B2" s="700"/>
      <c r="C2" s="700"/>
      <c r="D2" s="700"/>
      <c r="E2" s="700"/>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1169</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4.95" hidden="false" customHeight="true" outlineLevel="0" collapsed="false">
      <c r="A4" s="0"/>
      <c r="B4" s="16" t="s">
        <v>1170</v>
      </c>
      <c r="C4" s="16" t="s">
        <v>1171</v>
      </c>
      <c r="D4" s="5" t="s">
        <v>1172</v>
      </c>
      <c r="E4" s="14" t="s">
        <v>1173</v>
      </c>
      <c r="F4" s="15" t="s">
        <v>1174</v>
      </c>
      <c r="G4" s="15" t="s">
        <v>145</v>
      </c>
      <c r="H4" s="15" t="s">
        <v>1175</v>
      </c>
      <c r="I4" s="16" t="s">
        <v>1176</v>
      </c>
      <c r="J4" s="15" t="s">
        <v>1177</v>
      </c>
      <c r="K4" s="16" t="s">
        <v>1178</v>
      </c>
      <c r="L4" s="16" t="s">
        <v>1179</v>
      </c>
      <c r="M4" s="16" t="s">
        <v>145</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41.65" hidden="false" customHeight="true" outlineLevel="0" collapsed="false">
      <c r="A6" s="0"/>
      <c r="B6" s="0"/>
      <c r="C6" s="10" t="s">
        <v>25</v>
      </c>
      <c r="D6" s="10"/>
      <c r="F6" s="20" t="s">
        <v>26</v>
      </c>
      <c r="G6" s="19" t="s">
        <v>1180</v>
      </c>
      <c r="H6" s="19"/>
      <c r="I6" s="19"/>
      <c r="J6" s="19"/>
      <c r="K6" s="19"/>
      <c r="L6" s="19"/>
      <c r="M6" s="19"/>
      <c r="N6" s="19"/>
      <c r="P6" s="21" t="s">
        <v>1181</v>
      </c>
      <c r="Q6" s="19" t="s">
        <v>27</v>
      </c>
      <c r="R6" s="9"/>
      <c r="S6" s="22"/>
      <c r="T6" s="5" t="s">
        <v>28</v>
      </c>
    </row>
    <row r="7" customFormat="false" ht="41.65" hidden="false" customHeight="true" outlineLevel="0" collapsed="false">
      <c r="A7" s="0"/>
      <c r="B7" s="0"/>
      <c r="C7" s="126" t="s">
        <v>1182</v>
      </c>
      <c r="D7" s="126"/>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1" t="s">
        <v>33</v>
      </c>
      <c r="D9" s="29"/>
      <c r="E9" s="1" t="s">
        <v>35</v>
      </c>
      <c r="F9" s="9" t="s">
        <v>36</v>
      </c>
      <c r="G9" s="9" t="s">
        <v>37</v>
      </c>
      <c r="H9" s="9" t="s">
        <v>38</v>
      </c>
      <c r="I9" s="9" t="s">
        <v>39</v>
      </c>
      <c r="J9" s="205" t="s">
        <v>40</v>
      </c>
    </row>
    <row r="10" customFormat="false" ht="24.95" hidden="false" customHeight="true" outlineLevel="0" collapsed="false">
      <c r="A10" s="0" t="n">
        <v>31</v>
      </c>
      <c r="B10" s="31" t="n">
        <v>35796</v>
      </c>
      <c r="C10" s="9" t="n">
        <v>343600</v>
      </c>
      <c r="D10" s="260" t="s">
        <v>41</v>
      </c>
      <c r="E10" s="33" t="n">
        <f aca="false">IF(D10="totale",(C10/(A10*24))/F10,IF(D10="marché libre",(C10/(A10*24))/G10,"spécifier histo"))</f>
        <v>0.219918074756784</v>
      </c>
      <c r="F10" s="59" t="n">
        <v>2100</v>
      </c>
      <c r="G10" s="59" t="n">
        <f aca="false">F10-H10</f>
        <v>2100</v>
      </c>
      <c r="H10" s="58" t="n">
        <v>0</v>
      </c>
      <c r="I10" s="9"/>
      <c r="J10" s="205"/>
    </row>
    <row r="11" customFormat="false" ht="24.95" hidden="false" customHeight="true" outlineLevel="0" collapsed="false">
      <c r="A11" s="0" t="n">
        <v>28</v>
      </c>
      <c r="B11" s="34" t="n">
        <v>35827</v>
      </c>
      <c r="C11" s="9" t="n">
        <v>177800</v>
      </c>
      <c r="D11" s="260" t="s">
        <v>41</v>
      </c>
      <c r="E11" s="33" t="n">
        <f aca="false">IF(D11="totale",(C11/(A11*24))/F11,IF(D11="marché libre",(C11/(A11*24))/G11,"spécifier histo"))</f>
        <v>0.125992063492063</v>
      </c>
      <c r="F11" s="59" t="n">
        <v>2100</v>
      </c>
      <c r="G11" s="59" t="n">
        <f aca="false">F11-H11</f>
        <v>2100</v>
      </c>
      <c r="H11" s="58" t="n">
        <v>0</v>
      </c>
      <c r="I11" s="9"/>
      <c r="J11" s="205"/>
    </row>
    <row r="12" customFormat="false" ht="24.95" hidden="false" customHeight="true" outlineLevel="0" collapsed="false">
      <c r="A12" s="0" t="n">
        <v>31</v>
      </c>
      <c r="B12" s="31" t="n">
        <v>35855</v>
      </c>
      <c r="C12" s="9" t="n">
        <v>284700</v>
      </c>
      <c r="D12" s="260" t="s">
        <v>41</v>
      </c>
      <c r="E12" s="33" t="n">
        <f aca="false">IF(D12="totale",(C12/(A12*24))/F12,IF(D12="marché libre",(C12/(A12*24))/G12,"spécifier histo"))</f>
        <v>0.182219662058372</v>
      </c>
      <c r="F12" s="59" t="n">
        <v>2100</v>
      </c>
      <c r="G12" s="59" t="n">
        <f aca="false">F12-H12</f>
        <v>2100</v>
      </c>
      <c r="H12" s="58" t="n">
        <v>0</v>
      </c>
      <c r="I12" s="9"/>
      <c r="J12" s="205"/>
    </row>
    <row r="13" customFormat="false" ht="24.95" hidden="false" customHeight="true" outlineLevel="0" collapsed="false">
      <c r="A13" s="0" t="n">
        <v>30</v>
      </c>
      <c r="B13" s="34" t="n">
        <v>35886</v>
      </c>
      <c r="C13" s="9" t="n">
        <v>497900</v>
      </c>
      <c r="D13" s="260" t="s">
        <v>41</v>
      </c>
      <c r="E13" s="33" t="n">
        <f aca="false">IF(D13="totale",(C13/(A13*24))/F13,IF(D13="marché libre",(C13/(A13*24))/G13,"spécifier histo"))</f>
        <v>0.329298941798942</v>
      </c>
      <c r="F13" s="59" t="n">
        <v>2100</v>
      </c>
      <c r="G13" s="59" t="n">
        <f aca="false">F13-H13</f>
        <v>2100</v>
      </c>
      <c r="H13" s="58" t="n">
        <v>0</v>
      </c>
      <c r="I13" s="9"/>
      <c r="J13" s="205"/>
    </row>
    <row r="14" customFormat="false" ht="24.95" hidden="false" customHeight="true" outlineLevel="0" collapsed="false">
      <c r="A14" s="0" t="n">
        <v>31</v>
      </c>
      <c r="B14" s="31" t="n">
        <v>35916</v>
      </c>
      <c r="C14" s="9" t="n">
        <v>959600</v>
      </c>
      <c r="D14" s="260" t="s">
        <v>41</v>
      </c>
      <c r="E14" s="33" t="n">
        <f aca="false">IF(D14="totale",(C14/(A14*24))/F14,IF(D14="marché libre",(C14/(A14*24))/G14,"spécifier histo"))</f>
        <v>0.614183307731695</v>
      </c>
      <c r="F14" s="59" t="n">
        <v>2100</v>
      </c>
      <c r="G14" s="59" t="n">
        <f aca="false">F14-H14</f>
        <v>2100</v>
      </c>
      <c r="H14" s="58" t="n">
        <v>0</v>
      </c>
      <c r="I14" s="9"/>
      <c r="J14" s="205"/>
    </row>
    <row r="15" customFormat="false" ht="24.95" hidden="false" customHeight="true" outlineLevel="0" collapsed="false">
      <c r="A15" s="0" t="n">
        <v>30</v>
      </c>
      <c r="B15" s="34" t="n">
        <v>35947</v>
      </c>
      <c r="C15" s="9" t="n">
        <v>889200</v>
      </c>
      <c r="D15" s="260" t="s">
        <v>41</v>
      </c>
      <c r="E15" s="33" t="n">
        <f aca="false">IF(D15="totale",(C15/(A15*24))/F15,IF(D15="marché libre",(C15/(A15*24))/G15,"spécifier histo"))</f>
        <v>0.588095238095238</v>
      </c>
      <c r="F15" s="59" t="n">
        <v>2100</v>
      </c>
      <c r="G15" s="59" t="n">
        <f aca="false">F15-H15</f>
        <v>2100</v>
      </c>
      <c r="H15" s="58" t="n">
        <v>0</v>
      </c>
      <c r="I15" s="9"/>
      <c r="J15" s="205"/>
    </row>
    <row r="16" customFormat="false" ht="24.95" hidden="false" customHeight="true" outlineLevel="0" collapsed="false">
      <c r="A16" s="0" t="n">
        <v>31</v>
      </c>
      <c r="B16" s="31" t="n">
        <v>35977</v>
      </c>
      <c r="C16" s="9" t="n">
        <v>459000</v>
      </c>
      <c r="D16" s="260" t="s">
        <v>41</v>
      </c>
      <c r="E16" s="33" t="n">
        <f aca="false">IF(D16="totale",(C16/(A16*24))/F16,IF(D16="marché libre",(C16/(A16*24))/G16,"spécifier histo"))</f>
        <v>0.293778801843318</v>
      </c>
      <c r="F16" s="59" t="n">
        <v>2100</v>
      </c>
      <c r="G16" s="59" t="n">
        <f aca="false">F16-H16</f>
        <v>2100</v>
      </c>
      <c r="H16" s="58" t="n">
        <v>0</v>
      </c>
      <c r="I16" s="9"/>
      <c r="J16" s="205"/>
    </row>
    <row r="17" customFormat="false" ht="24.95" hidden="false" customHeight="true" outlineLevel="0" collapsed="false">
      <c r="A17" s="0" t="n">
        <v>31</v>
      </c>
      <c r="B17" s="34" t="n">
        <v>36008</v>
      </c>
      <c r="C17" s="9" t="n">
        <v>149900</v>
      </c>
      <c r="D17" s="260" t="s">
        <v>41</v>
      </c>
      <c r="E17" s="33" t="n">
        <f aca="false">IF(D17="totale",(C17/(A17*24))/F17,IF(D17="marché libre",(C17/(A17*24))/G17,"spécifier histo"))</f>
        <v>0.095942140296979</v>
      </c>
      <c r="F17" s="59" t="n">
        <v>2100</v>
      </c>
      <c r="G17" s="59" t="n">
        <f aca="false">F17-H17</f>
        <v>2100</v>
      </c>
      <c r="H17" s="58" t="n">
        <v>0</v>
      </c>
      <c r="I17" s="9"/>
      <c r="J17" s="205"/>
    </row>
    <row r="18" customFormat="false" ht="24.95" hidden="false" customHeight="true" outlineLevel="0" collapsed="false">
      <c r="A18" s="0" t="n">
        <v>30</v>
      </c>
      <c r="B18" s="31" t="n">
        <v>36039</v>
      </c>
      <c r="C18" s="9" t="n">
        <v>504500</v>
      </c>
      <c r="D18" s="260" t="s">
        <v>41</v>
      </c>
      <c r="E18" s="33" t="n">
        <f aca="false">IF(D18="totale",(C18/(A18*24))/F18,IF(D18="marché libre",(C18/(A18*24))/G18,"spécifier histo"))</f>
        <v>0.333664021164021</v>
      </c>
      <c r="F18" s="59" t="n">
        <v>2100</v>
      </c>
      <c r="G18" s="59" t="n">
        <f aca="false">F18-H18</f>
        <v>2100</v>
      </c>
      <c r="H18" s="58" t="n">
        <v>0</v>
      </c>
      <c r="I18" s="9"/>
      <c r="J18" s="205"/>
    </row>
    <row r="19" customFormat="false" ht="24.95" hidden="false" customHeight="true" outlineLevel="0" collapsed="false">
      <c r="A19" s="0" t="n">
        <v>31</v>
      </c>
      <c r="B19" s="34" t="n">
        <v>36069</v>
      </c>
      <c r="C19" s="9" t="n">
        <v>606500</v>
      </c>
      <c r="D19" s="260" t="s">
        <v>41</v>
      </c>
      <c r="E19" s="33" t="n">
        <f aca="false">IF(D19="totale",(C19/(A19*24))/F19,IF(D19="marché libre",(C19/(A19*24))/G19,"spécifier histo"))</f>
        <v>0.388184843830005</v>
      </c>
      <c r="F19" s="59" t="n">
        <v>2100</v>
      </c>
      <c r="G19" s="59" t="n">
        <f aca="false">F19-H19</f>
        <v>2100</v>
      </c>
      <c r="H19" s="58" t="n">
        <v>0</v>
      </c>
      <c r="I19" s="9"/>
      <c r="J19" s="205"/>
    </row>
    <row r="20" customFormat="false" ht="24.95" hidden="false" customHeight="true" outlineLevel="0" collapsed="false">
      <c r="A20" s="0" t="n">
        <v>30</v>
      </c>
      <c r="B20" s="31" t="n">
        <v>36100</v>
      </c>
      <c r="C20" s="9" t="n">
        <v>738100</v>
      </c>
      <c r="D20" s="260" t="s">
        <v>41</v>
      </c>
      <c r="E20" s="33" t="n">
        <f aca="false">IF(D20="totale",(C20/(A20*24))/F20,IF(D20="marché libre",(C20/(A20*24))/G20,"spécifier histo"))</f>
        <v>0.488161375661376</v>
      </c>
      <c r="F20" s="59" t="n">
        <v>2100</v>
      </c>
      <c r="G20" s="59" t="n">
        <f aca="false">F20-H20</f>
        <v>2100</v>
      </c>
      <c r="H20" s="58" t="n">
        <v>0</v>
      </c>
      <c r="I20" s="9"/>
      <c r="J20" s="205"/>
    </row>
    <row r="21" customFormat="false" ht="24.95" hidden="false" customHeight="true" outlineLevel="0" collapsed="false">
      <c r="A21" s="0" t="n">
        <v>31</v>
      </c>
      <c r="B21" s="34" t="n">
        <v>36130</v>
      </c>
      <c r="C21" s="9" t="n">
        <v>294200</v>
      </c>
      <c r="D21" s="260" t="s">
        <v>41</v>
      </c>
      <c r="E21" s="33" t="n">
        <f aca="false">IF(D21="totale",(C21/(A21*24))/F21,IF(D21="marché libre",(C21/(A21*24))/G21,"spécifier histo"))</f>
        <v>0.188300051203277</v>
      </c>
      <c r="F21" s="59" t="n">
        <v>2100</v>
      </c>
      <c r="G21" s="59" t="n">
        <f aca="false">F21-H21</f>
        <v>2100</v>
      </c>
      <c r="H21" s="58" t="n">
        <v>0</v>
      </c>
      <c r="I21" s="9"/>
      <c r="J21" s="205"/>
    </row>
    <row r="22" customFormat="false" ht="24.95" hidden="false" customHeight="true" outlineLevel="0" collapsed="false">
      <c r="A22" s="0" t="n">
        <v>31</v>
      </c>
      <c r="B22" s="31" t="n">
        <v>36161</v>
      </c>
      <c r="C22" s="56" t="n">
        <v>155900</v>
      </c>
      <c r="D22" s="260" t="s">
        <v>41</v>
      </c>
      <c r="E22" s="33" t="n">
        <f aca="false">IF(D22="totale",(C22/(A22*24))/F22,IF(D22="marché libre",(C22/(A22*24))/G22,"spécifier histo"))</f>
        <v>0.0997823860727086</v>
      </c>
      <c r="F22" s="59" t="n">
        <v>2100</v>
      </c>
      <c r="G22" s="59" t="n">
        <f aca="false">F22-H22</f>
        <v>2100</v>
      </c>
      <c r="H22" s="58" t="n">
        <v>0</v>
      </c>
      <c r="I22" s="9"/>
      <c r="J22" s="205"/>
    </row>
    <row r="23" customFormat="false" ht="24.95" hidden="false" customHeight="true" outlineLevel="0" collapsed="false">
      <c r="A23" s="0" t="n">
        <v>28</v>
      </c>
      <c r="B23" s="34" t="n">
        <v>36192</v>
      </c>
      <c r="C23" s="75" t="n">
        <v>197700</v>
      </c>
      <c r="D23" s="260" t="s">
        <v>41</v>
      </c>
      <c r="E23" s="33" t="n">
        <f aca="false">IF(D23="totale",(C23/(A23*24))/F23,IF(D23="marché libre",(C23/(A23*24))/G23,"spécifier histo"))</f>
        <v>0.140093537414966</v>
      </c>
      <c r="F23" s="59" t="n">
        <v>2100</v>
      </c>
      <c r="G23" s="59" t="n">
        <f aca="false">F23-H23</f>
        <v>2100</v>
      </c>
      <c r="H23" s="58" t="n">
        <v>0</v>
      </c>
      <c r="I23" s="9"/>
      <c r="J23" s="205"/>
    </row>
    <row r="24" customFormat="false" ht="24.95" hidden="false" customHeight="true" outlineLevel="0" collapsed="false">
      <c r="A24" s="0" t="n">
        <v>31</v>
      </c>
      <c r="B24" s="31" t="n">
        <v>36220</v>
      </c>
      <c r="C24" s="56" t="n">
        <v>395400</v>
      </c>
      <c r="D24" s="260" t="s">
        <v>41</v>
      </c>
      <c r="E24" s="33" t="n">
        <f aca="false">IF(D24="totale",(C24/(A24*24))/F24,IF(D24="marché libre",(C24/(A24*24))/G24,"spécifier histo"))</f>
        <v>0.253072196620584</v>
      </c>
      <c r="F24" s="59" t="n">
        <v>2100</v>
      </c>
      <c r="G24" s="59" t="n">
        <f aca="false">F24-H24</f>
        <v>2100</v>
      </c>
      <c r="H24" s="58" t="n">
        <v>0</v>
      </c>
      <c r="I24" s="9"/>
      <c r="J24" s="205"/>
    </row>
    <row r="25" customFormat="false" ht="24.95" hidden="false" customHeight="true" outlineLevel="0" collapsed="false">
      <c r="A25" s="0" t="n">
        <v>30</v>
      </c>
      <c r="B25" s="34" t="n">
        <v>36251</v>
      </c>
      <c r="C25" s="9" t="n">
        <v>691500</v>
      </c>
      <c r="D25" s="260" t="s">
        <v>41</v>
      </c>
      <c r="E25" s="33" t="n">
        <f aca="false">IF(D25="totale",(C25/(A25*24))/F25,IF(D25="marché libre",(C25/(A25*24))/G25,"spécifier histo"))</f>
        <v>0.45734126984127</v>
      </c>
      <c r="F25" s="59" t="n">
        <v>2100</v>
      </c>
      <c r="G25" s="59" t="n">
        <f aca="false">F25-H25</f>
        <v>2100</v>
      </c>
      <c r="H25" s="58" t="n">
        <v>0</v>
      </c>
      <c r="I25" s="9"/>
      <c r="J25" s="205"/>
    </row>
    <row r="26" customFormat="false" ht="24.95" hidden="false" customHeight="true" outlineLevel="0" collapsed="false">
      <c r="A26" s="0" t="n">
        <v>31</v>
      </c>
      <c r="B26" s="31" t="n">
        <v>36281</v>
      </c>
      <c r="C26" s="9" t="n">
        <v>1395400</v>
      </c>
      <c r="D26" s="260" t="s">
        <v>41</v>
      </c>
      <c r="E26" s="33" t="n">
        <f aca="false">IF(D26="totale",(C26/(A26*24))/F26,IF(D26="marché libre",(C26/(A26*24))/G26,"spécifier histo"))</f>
        <v>0.893113159242192</v>
      </c>
      <c r="F26" s="59" t="n">
        <v>2100</v>
      </c>
      <c r="G26" s="59" t="n">
        <f aca="false">F26-H26</f>
        <v>2100</v>
      </c>
      <c r="H26" s="58" t="n">
        <v>0</v>
      </c>
      <c r="I26" s="9"/>
      <c r="J26" s="205"/>
    </row>
    <row r="27" customFormat="false" ht="24.95" hidden="false" customHeight="true" outlineLevel="0" collapsed="false">
      <c r="A27" s="0" t="n">
        <v>30</v>
      </c>
      <c r="B27" s="34" t="n">
        <v>36312</v>
      </c>
      <c r="C27" s="9" t="n">
        <v>1047500</v>
      </c>
      <c r="D27" s="260" t="s">
        <v>41</v>
      </c>
      <c r="E27" s="33" t="n">
        <f aca="false">IF(D27="totale",(C27/(A27*24))/F27,IF(D27="marché libre",(C27/(A27*24))/G27,"spécifier histo"))</f>
        <v>0.692791005291005</v>
      </c>
      <c r="F27" s="59" t="n">
        <v>2100</v>
      </c>
      <c r="G27" s="59" t="n">
        <f aca="false">F27-H27</f>
        <v>2100</v>
      </c>
      <c r="H27" s="58" t="n">
        <v>0</v>
      </c>
      <c r="I27" s="9"/>
      <c r="J27" s="205"/>
    </row>
    <row r="28" customFormat="false" ht="24.95" hidden="false" customHeight="true" outlineLevel="0" collapsed="false">
      <c r="A28" s="0" t="n">
        <v>31</v>
      </c>
      <c r="B28" s="31" t="n">
        <v>36342</v>
      </c>
      <c r="C28" s="9" t="n">
        <v>574300</v>
      </c>
      <c r="D28" s="260" t="s">
        <v>41</v>
      </c>
      <c r="E28" s="33" t="n">
        <f aca="false">IF(D28="totale",(C28/(A28*24))/F28,IF(D28="marché libre",(C28/(A28*24))/G28,"spécifier histo"))</f>
        <v>0.367575524833589</v>
      </c>
      <c r="F28" s="59" t="n">
        <v>2100</v>
      </c>
      <c r="G28" s="59" t="n">
        <f aca="false">F28-H28</f>
        <v>2100</v>
      </c>
      <c r="H28" s="58" t="n">
        <v>0</v>
      </c>
      <c r="I28" s="9"/>
      <c r="J28" s="205"/>
    </row>
    <row r="29" customFormat="false" ht="24.95" hidden="false" customHeight="true" outlineLevel="0" collapsed="false">
      <c r="A29" s="0" t="n">
        <v>31</v>
      </c>
      <c r="B29" s="34" t="n">
        <v>36373</v>
      </c>
      <c r="C29" s="9" t="n">
        <v>313700</v>
      </c>
      <c r="D29" s="260" t="s">
        <v>41</v>
      </c>
      <c r="E29" s="33" t="n">
        <f aca="false">IF(D29="totale",(C29/(A29*24))/F29,IF(D29="marché libre",(C29/(A29*24))/G29,"spécifier histo"))</f>
        <v>0.200780849974398</v>
      </c>
      <c r="F29" s="59" t="n">
        <v>2100</v>
      </c>
      <c r="G29" s="59" t="n">
        <f aca="false">F29-H29</f>
        <v>2100</v>
      </c>
      <c r="H29" s="58" t="n">
        <v>0</v>
      </c>
      <c r="I29" s="9"/>
      <c r="J29" s="205"/>
    </row>
    <row r="30" customFormat="false" ht="24.95" hidden="false" customHeight="true" outlineLevel="0" collapsed="false">
      <c r="A30" s="0" t="n">
        <v>30</v>
      </c>
      <c r="B30" s="31" t="n">
        <v>36404</v>
      </c>
      <c r="C30" s="9" t="n">
        <v>133300</v>
      </c>
      <c r="D30" s="260" t="s">
        <v>41</v>
      </c>
      <c r="E30" s="33" t="n">
        <f aca="false">IF(D30="totale",(C30/(A30*24))/F30,IF(D30="marché libre",(C30/(A30*24))/G30,"spécifier histo"))</f>
        <v>0.0881613756613757</v>
      </c>
      <c r="F30" s="59" t="n">
        <v>2100</v>
      </c>
      <c r="G30" s="59" t="n">
        <f aca="false">F30-H30</f>
        <v>2100</v>
      </c>
      <c r="H30" s="58" t="n">
        <v>0</v>
      </c>
      <c r="I30" s="9"/>
      <c r="J30" s="205"/>
    </row>
    <row r="31" customFormat="false" ht="24.95" hidden="false" customHeight="true" outlineLevel="0" collapsed="false">
      <c r="A31" s="0" t="n">
        <v>31</v>
      </c>
      <c r="B31" s="34" t="n">
        <v>36434</v>
      </c>
      <c r="C31" s="9" t="n">
        <v>217900</v>
      </c>
      <c r="D31" s="260" t="s">
        <v>41</v>
      </c>
      <c r="E31" s="33" t="n">
        <f aca="false">IF(D31="totale",(C31/(A31*24))/F31,IF(D31="marché libre",(C31/(A31*24))/G31,"spécifier histo"))</f>
        <v>0.139464925755248</v>
      </c>
      <c r="F31" s="59" t="n">
        <v>2100</v>
      </c>
      <c r="G31" s="59" t="n">
        <f aca="false">F31-H31</f>
        <v>2100</v>
      </c>
      <c r="H31" s="58" t="n">
        <v>0</v>
      </c>
      <c r="I31" s="9"/>
      <c r="J31" s="205"/>
    </row>
    <row r="32" customFormat="false" ht="24.95" hidden="false" customHeight="true" outlineLevel="0" collapsed="false">
      <c r="A32" s="0" t="n">
        <v>30</v>
      </c>
      <c r="B32" s="31" t="n">
        <v>36465</v>
      </c>
      <c r="C32" s="9" t="n">
        <v>254800</v>
      </c>
      <c r="D32" s="260" t="s">
        <v>41</v>
      </c>
      <c r="E32" s="33" t="n">
        <f aca="false">IF(D32="totale",(C32/(A32*24))/F32,IF(D32="marché libre",(C32/(A32*24))/G32,"spécifier histo"))</f>
        <v>0.168518518518519</v>
      </c>
      <c r="F32" s="59" t="n">
        <v>2100</v>
      </c>
      <c r="G32" s="59" t="n">
        <f aca="false">F32-H32</f>
        <v>2100</v>
      </c>
      <c r="H32" s="58" t="n">
        <v>0</v>
      </c>
      <c r="I32" s="9"/>
      <c r="J32" s="205"/>
    </row>
    <row r="33" customFormat="false" ht="24.95" hidden="false" customHeight="true" outlineLevel="0" collapsed="false">
      <c r="A33" s="0" t="n">
        <v>31</v>
      </c>
      <c r="B33" s="34" t="n">
        <v>36495</v>
      </c>
      <c r="C33" s="9" t="n">
        <v>328200</v>
      </c>
      <c r="D33" s="260" t="s">
        <v>41</v>
      </c>
      <c r="E33" s="33" t="n">
        <f aca="false">IF(D33="totale",(C33/(A33*24))/F33,IF(D33="marché libre",(C33/(A33*24))/G33,"spécifier histo"))</f>
        <v>0.210061443932412</v>
      </c>
      <c r="F33" s="59" t="n">
        <v>2100</v>
      </c>
      <c r="G33" s="59" t="n">
        <f aca="false">F33-H33</f>
        <v>2100</v>
      </c>
      <c r="H33" s="58" t="n">
        <v>0</v>
      </c>
      <c r="I33" s="9"/>
      <c r="J33" s="205"/>
    </row>
    <row r="34" customFormat="false" ht="24.95" hidden="false" customHeight="true" outlineLevel="0" collapsed="false">
      <c r="A34" s="0" t="n">
        <v>31</v>
      </c>
      <c r="B34" s="31" t="n">
        <v>36526</v>
      </c>
      <c r="C34" s="9" t="n">
        <v>234100</v>
      </c>
      <c r="D34" s="260" t="s">
        <v>41</v>
      </c>
      <c r="E34" s="33" t="n">
        <f aca="false">IF(D34="totale",(C34/(A34*24))/F34,IF(D34="marché libre",(C34/(A34*24))/G34,"spécifier histo"))</f>
        <v>0.149833589349718</v>
      </c>
      <c r="F34" s="59" t="n">
        <v>2100</v>
      </c>
      <c r="G34" s="59" t="n">
        <f aca="false">F34-H34</f>
        <v>2100</v>
      </c>
      <c r="H34" s="58" t="n">
        <v>0</v>
      </c>
      <c r="I34" s="9"/>
      <c r="J34" s="205"/>
    </row>
    <row r="35" customFormat="false" ht="24.95" hidden="false" customHeight="true" outlineLevel="0" collapsed="false">
      <c r="A35" s="0" t="n">
        <v>28</v>
      </c>
      <c r="B35" s="34" t="n">
        <v>36557</v>
      </c>
      <c r="C35" s="9" t="n">
        <v>338500</v>
      </c>
      <c r="D35" s="260" t="s">
        <v>41</v>
      </c>
      <c r="E35" s="33" t="n">
        <f aca="false">IF(D35="totale",(C35/(A35*24))/F35,IF(D35="marché libre",(C35/(A35*24))/G35,"spécifier histo"))</f>
        <v>0.239866780045351</v>
      </c>
      <c r="F35" s="59" t="n">
        <v>2100</v>
      </c>
      <c r="G35" s="59" t="n">
        <f aca="false">F35-H35</f>
        <v>2100</v>
      </c>
      <c r="H35" s="58" t="n">
        <v>0</v>
      </c>
      <c r="I35" s="9"/>
      <c r="J35" s="205"/>
    </row>
    <row r="36" customFormat="false" ht="24.95" hidden="false" customHeight="true" outlineLevel="0" collapsed="false">
      <c r="A36" s="0" t="n">
        <v>31</v>
      </c>
      <c r="B36" s="31" t="n">
        <v>36586</v>
      </c>
      <c r="C36" s="9" t="n">
        <v>371700</v>
      </c>
      <c r="D36" s="260" t="s">
        <v>41</v>
      </c>
      <c r="E36" s="33" t="n">
        <f aca="false">IF(D36="totale",(C36/(A36*24))/F36,IF(D36="marché libre",(C36/(A36*24))/G36,"spécifier histo"))</f>
        <v>0.237903225806452</v>
      </c>
      <c r="F36" s="59" t="n">
        <v>2100</v>
      </c>
      <c r="G36" s="59" t="n">
        <f aca="false">F36-H36</f>
        <v>2100</v>
      </c>
      <c r="H36" s="58" t="n">
        <v>0</v>
      </c>
      <c r="I36" s="9"/>
      <c r="J36" s="205"/>
    </row>
    <row r="37" customFormat="false" ht="24.95" hidden="false" customHeight="true" outlineLevel="0" collapsed="false">
      <c r="A37" s="0" t="n">
        <v>30</v>
      </c>
      <c r="B37" s="34" t="n">
        <v>36617</v>
      </c>
      <c r="C37" s="9" t="n">
        <v>600600</v>
      </c>
      <c r="D37" s="260" t="s">
        <v>41</v>
      </c>
      <c r="E37" s="33" t="n">
        <f aca="false">IF(D37="totale",(C37/(A37*24))/F37,IF(D37="marché libre",(C37/(A37*24))/G37,"spécifier histo"))</f>
        <v>0.397222222222222</v>
      </c>
      <c r="F37" s="59" t="n">
        <v>2100</v>
      </c>
      <c r="G37" s="59" t="n">
        <f aca="false">F37-H37</f>
        <v>2100</v>
      </c>
      <c r="H37" s="58" t="n">
        <v>0</v>
      </c>
      <c r="I37" s="9"/>
      <c r="J37" s="205"/>
    </row>
    <row r="38" customFormat="false" ht="24.95" hidden="false" customHeight="true" outlineLevel="0" collapsed="false">
      <c r="A38" s="0" t="n">
        <v>31</v>
      </c>
      <c r="B38" s="31" t="n">
        <v>36647</v>
      </c>
      <c r="C38" s="9" t="n">
        <v>1118500</v>
      </c>
      <c r="D38" s="260" t="s">
        <v>41</v>
      </c>
      <c r="E38" s="33" t="n">
        <f aca="false">IF(D38="totale",(C38/(A38*24))/F38,IF(D38="marché libre",(C38/(A38*24))/G38,"spécifier histo"))</f>
        <v>0.715885816692268</v>
      </c>
      <c r="F38" s="59" t="n">
        <v>2100</v>
      </c>
      <c r="G38" s="59" t="n">
        <f aca="false">F38-H38</f>
        <v>2100</v>
      </c>
      <c r="H38" s="58" t="n">
        <v>0</v>
      </c>
      <c r="I38" s="9"/>
      <c r="J38" s="205"/>
    </row>
    <row r="39" customFormat="false" ht="24.95" hidden="false" customHeight="true" outlineLevel="0" collapsed="false">
      <c r="A39" s="0" t="n">
        <v>30</v>
      </c>
      <c r="B39" s="34" t="n">
        <v>36678</v>
      </c>
      <c r="C39" s="9" t="n">
        <v>938600</v>
      </c>
      <c r="D39" s="260" t="s">
        <v>41</v>
      </c>
      <c r="E39" s="33" t="n">
        <f aca="false">IF(D39="totale",(C39/(A39*24))/F39,IF(D39="marché libre",(C39/(A39*24))/G39,"spécifier histo"))</f>
        <v>0.620767195767196</v>
      </c>
      <c r="F39" s="59" t="n">
        <v>2100</v>
      </c>
      <c r="G39" s="59" t="n">
        <f aca="false">F39-H39</f>
        <v>2100</v>
      </c>
      <c r="H39" s="58" t="n">
        <v>0</v>
      </c>
      <c r="I39" s="9"/>
      <c r="J39" s="205"/>
    </row>
    <row r="40" customFormat="false" ht="24.95" hidden="false" customHeight="true" outlineLevel="0" collapsed="false">
      <c r="A40" s="0" t="n">
        <v>31</v>
      </c>
      <c r="B40" s="31" t="n">
        <v>36708</v>
      </c>
      <c r="C40" s="9" t="n">
        <v>526800</v>
      </c>
      <c r="D40" s="260" t="s">
        <v>41</v>
      </c>
      <c r="E40" s="33" t="n">
        <f aca="false">IF(D40="totale",(C40/(A40*24))/F40,IF(D40="marché libre",(C40/(A40*24))/G40,"spécifier histo"))</f>
        <v>0.337173579109063</v>
      </c>
      <c r="F40" s="59" t="n">
        <v>2100</v>
      </c>
      <c r="G40" s="59" t="n">
        <f aca="false">F40-H40</f>
        <v>2100</v>
      </c>
      <c r="H40" s="58" t="n">
        <v>0</v>
      </c>
      <c r="I40" s="9"/>
      <c r="J40" s="205"/>
    </row>
    <row r="41" customFormat="false" ht="24.95" hidden="false" customHeight="true" outlineLevel="0" collapsed="false">
      <c r="A41" s="0" t="n">
        <v>31</v>
      </c>
      <c r="B41" s="34" t="n">
        <v>36739</v>
      </c>
      <c r="C41" s="9" t="n">
        <v>283100</v>
      </c>
      <c r="D41" s="260" t="s">
        <v>41</v>
      </c>
      <c r="E41" s="33" t="n">
        <f aca="false">IF(D41="totale",(C41/(A41*24))/F41,IF(D41="marché libre",(C41/(A41*24))/G41,"spécifier histo"))</f>
        <v>0.181195596518177</v>
      </c>
      <c r="F41" s="59" t="n">
        <v>2100</v>
      </c>
      <c r="G41" s="59" t="n">
        <f aca="false">F41-H41</f>
        <v>2100</v>
      </c>
      <c r="H41" s="58" t="n">
        <v>0</v>
      </c>
      <c r="I41" s="9"/>
      <c r="J41" s="205"/>
    </row>
    <row r="42" customFormat="false" ht="24.95" hidden="false" customHeight="true" outlineLevel="0" collapsed="false">
      <c r="A42" s="0" t="n">
        <v>30</v>
      </c>
      <c r="B42" s="31" t="n">
        <v>36770</v>
      </c>
      <c r="C42" s="9" t="n">
        <v>136600</v>
      </c>
      <c r="D42" s="260" t="s">
        <v>41</v>
      </c>
      <c r="E42" s="33" t="n">
        <f aca="false">IF(D42="totale",(C42/(A42*24))/F42,IF(D42="marché libre",(C42/(A42*24))/G42,"spécifier histo"))</f>
        <v>0.0903439153439154</v>
      </c>
      <c r="F42" s="59" t="n">
        <v>2100</v>
      </c>
      <c r="G42" s="59" t="n">
        <f aca="false">F42-H42</f>
        <v>2100</v>
      </c>
      <c r="H42" s="58" t="n">
        <v>0</v>
      </c>
      <c r="I42" s="9"/>
      <c r="J42" s="205"/>
    </row>
    <row r="43" customFormat="false" ht="24.95" hidden="false" customHeight="true" outlineLevel="0" collapsed="false">
      <c r="A43" s="0" t="n">
        <v>31</v>
      </c>
      <c r="B43" s="34" t="n">
        <v>36800</v>
      </c>
      <c r="C43" s="9" t="n">
        <v>487811</v>
      </c>
      <c r="D43" s="260" t="s">
        <v>41</v>
      </c>
      <c r="E43" s="33" t="n">
        <f aca="false">IF(D43="totale",(C43/(A43*24))/F43,IF(D43="marché libre",(C43/(A43*24))/G43,"spécifier histo"))</f>
        <v>0.312219022017409</v>
      </c>
      <c r="F43" s="59" t="n">
        <v>2100</v>
      </c>
      <c r="G43" s="59" t="n">
        <f aca="false">F43-H43</f>
        <v>2100</v>
      </c>
      <c r="H43" s="58" t="n">
        <v>0</v>
      </c>
      <c r="I43" s="9"/>
      <c r="J43" s="205"/>
    </row>
    <row r="44" customFormat="false" ht="24.95" hidden="false" customHeight="true" outlineLevel="0" collapsed="false">
      <c r="A44" s="0" t="n">
        <v>30</v>
      </c>
      <c r="B44" s="31" t="n">
        <v>36831</v>
      </c>
      <c r="C44" s="9" t="n">
        <v>540860</v>
      </c>
      <c r="D44" s="260" t="s">
        <v>41</v>
      </c>
      <c r="E44" s="33" t="n">
        <f aca="false">IF(D44="totale",(C44/(A44*24))/F44,IF(D44="marché libre",(C44/(A44*24))/G44,"spécifier histo"))</f>
        <v>0.35771164021164</v>
      </c>
      <c r="F44" s="59" t="n">
        <v>2100</v>
      </c>
      <c r="G44" s="59" t="n">
        <f aca="false">F44-H44</f>
        <v>2100</v>
      </c>
      <c r="H44" s="58" t="n">
        <v>0</v>
      </c>
      <c r="I44" s="9"/>
      <c r="J44" s="205"/>
    </row>
    <row r="45" customFormat="false" ht="24.95" hidden="false" customHeight="true" outlineLevel="0" collapsed="false">
      <c r="A45" s="0" t="n">
        <v>31</v>
      </c>
      <c r="B45" s="34" t="n">
        <v>36861</v>
      </c>
      <c r="C45" s="9" t="n">
        <v>389283</v>
      </c>
      <c r="D45" s="260" t="s">
        <v>41</v>
      </c>
      <c r="E45" s="33" t="n">
        <f aca="false">IF(D45="totale",(C45/(A45*24))/F45,IF(D45="marché libre",(C45/(A45*24))/G45,"spécifier histo"))</f>
        <v>0.249157066052227</v>
      </c>
      <c r="F45" s="59" t="n">
        <v>2100</v>
      </c>
      <c r="G45" s="59" t="n">
        <f aca="false">F45-H45</f>
        <v>2100</v>
      </c>
      <c r="H45" s="58" t="n">
        <v>0</v>
      </c>
      <c r="I45" s="9"/>
      <c r="J45" s="205"/>
    </row>
    <row r="46" customFormat="false" ht="24.95" hidden="false" customHeight="true" outlineLevel="0" collapsed="false">
      <c r="A46" s="0" t="n">
        <v>31</v>
      </c>
      <c r="B46" s="31" t="n">
        <v>36892</v>
      </c>
      <c r="C46" s="9" t="n">
        <v>487277</v>
      </c>
      <c r="D46" s="260" t="s">
        <v>41</v>
      </c>
      <c r="E46" s="33" t="n">
        <f aca="false">IF(D46="totale",(C46/(A46*24))/F46,IF(D46="marché libre",(C46/(A46*24))/G46,"spécifier histo"))</f>
        <v>0.311877240143369</v>
      </c>
      <c r="F46" s="59" t="n">
        <v>2100</v>
      </c>
      <c r="G46" s="59" t="n">
        <f aca="false">F46-H46</f>
        <v>2100</v>
      </c>
      <c r="H46" s="58" t="n">
        <v>0</v>
      </c>
      <c r="I46" s="9"/>
      <c r="J46" s="205"/>
    </row>
    <row r="47" customFormat="false" ht="24.95" hidden="false" customHeight="true" outlineLevel="0" collapsed="false">
      <c r="A47" s="0" t="n">
        <v>28</v>
      </c>
      <c r="B47" s="34" t="n">
        <v>36923</v>
      </c>
      <c r="C47" s="9" t="n">
        <v>247261</v>
      </c>
      <c r="D47" s="260" t="s">
        <v>41</v>
      </c>
      <c r="E47" s="33" t="n">
        <f aca="false">IF(D47="totale",(C47/(A47*24))/F47,IF(D47="marché libre",(C47/(A47*24))/G47,"spécifier histo"))</f>
        <v>0.175213293650794</v>
      </c>
      <c r="F47" s="59" t="n">
        <v>2100</v>
      </c>
      <c r="G47" s="59" t="n">
        <f aca="false">F47-H47</f>
        <v>2100</v>
      </c>
      <c r="H47" s="58" t="n">
        <v>0</v>
      </c>
      <c r="I47" s="9"/>
      <c r="J47" s="205"/>
    </row>
    <row r="48" customFormat="false" ht="24.95" hidden="false" customHeight="true" outlineLevel="0" collapsed="false">
      <c r="A48" s="0" t="n">
        <v>31</v>
      </c>
      <c r="B48" s="31" t="n">
        <v>36951</v>
      </c>
      <c r="C48" s="9" t="n">
        <v>1011149</v>
      </c>
      <c r="D48" s="260" t="s">
        <v>41</v>
      </c>
      <c r="E48" s="33" t="n">
        <f aca="false">IF(D48="totale",(C48/(A48*24))/F48,IF(D48="marché libre",(C48/(A48*24))/G48,"spécifier histo"))</f>
        <v>0.647176779313876</v>
      </c>
      <c r="F48" s="59" t="n">
        <v>2100</v>
      </c>
      <c r="G48" s="59" t="n">
        <f aca="false">F48-H48</f>
        <v>2100</v>
      </c>
      <c r="H48" s="58" t="n">
        <v>0</v>
      </c>
      <c r="I48" s="9"/>
      <c r="J48" s="205"/>
    </row>
    <row r="49" customFormat="false" ht="24.95" hidden="false" customHeight="true" outlineLevel="0" collapsed="false">
      <c r="A49" s="0" t="n">
        <v>30</v>
      </c>
      <c r="B49" s="34" t="n">
        <v>36982</v>
      </c>
      <c r="C49" s="9" t="n">
        <v>760875</v>
      </c>
      <c r="D49" s="260" t="s">
        <v>41</v>
      </c>
      <c r="E49" s="33" t="n">
        <f aca="false">IF(D49="totale",(C49/(A49*24))/F49,IF(D49="marché libre",(C49/(A49*24))/G49,"spécifier histo"))</f>
        <v>0.503224206349206</v>
      </c>
      <c r="F49" s="59" t="n">
        <v>2100</v>
      </c>
      <c r="G49" s="59" t="n">
        <f aca="false">F49-H49</f>
        <v>2100</v>
      </c>
      <c r="H49" s="58" t="n">
        <v>0</v>
      </c>
      <c r="I49" s="9"/>
      <c r="J49" s="205"/>
    </row>
    <row r="50" customFormat="false" ht="24.95" hidden="false" customHeight="true" outlineLevel="0" collapsed="false">
      <c r="A50" s="0" t="n">
        <v>31</v>
      </c>
      <c r="B50" s="31" t="n">
        <v>37012</v>
      </c>
      <c r="C50" s="9" t="n">
        <v>1317045</v>
      </c>
      <c r="D50" s="260" t="s">
        <v>41</v>
      </c>
      <c r="E50" s="33" t="n">
        <f aca="false">IF(D50="totale",(C50/(A50*24))/F50,IF(D50="marché libre",(C50/(A50*24))/G50,"spécifier histo"))</f>
        <v>0.842962749615975</v>
      </c>
      <c r="F50" s="59" t="n">
        <v>2100</v>
      </c>
      <c r="G50" s="59" t="n">
        <f aca="false">F50-H50</f>
        <v>2100</v>
      </c>
      <c r="H50" s="58" t="n">
        <v>0</v>
      </c>
      <c r="I50" s="9"/>
      <c r="J50" s="205"/>
    </row>
    <row r="51" customFormat="false" ht="24.95" hidden="false" customHeight="true" outlineLevel="0" collapsed="false">
      <c r="A51" s="0" t="n">
        <v>30</v>
      </c>
      <c r="B51" s="34" t="n">
        <v>37043</v>
      </c>
      <c r="C51" s="9" t="n">
        <v>914608</v>
      </c>
      <c r="D51" s="260" t="s">
        <v>41</v>
      </c>
      <c r="E51" s="33" t="n">
        <f aca="false">IF(D51="totale",(C51/(A51*24))/F51,IF(D51="marché libre",(C51/(A51*24))/G51,"spécifier histo"))</f>
        <v>0.604899470899471</v>
      </c>
      <c r="F51" s="59" t="n">
        <v>2100</v>
      </c>
      <c r="G51" s="59" t="n">
        <f aca="false">F51-H51</f>
        <v>2100</v>
      </c>
      <c r="H51" s="58" t="n">
        <v>0</v>
      </c>
      <c r="I51" s="9"/>
      <c r="J51" s="205"/>
    </row>
    <row r="52" customFormat="false" ht="24.95" hidden="false" customHeight="true" outlineLevel="0" collapsed="false">
      <c r="A52" s="0" t="n">
        <v>31</v>
      </c>
      <c r="B52" s="31" t="n">
        <v>37073</v>
      </c>
      <c r="C52" s="9" t="n">
        <v>635477</v>
      </c>
      <c r="D52" s="260" t="s">
        <v>41</v>
      </c>
      <c r="E52" s="33" t="n">
        <f aca="false">IF(D52="totale",(C52/(A52*24))/F52,IF(D52="marché libre",(C52/(A52*24))/G52,"spécifier histo"))</f>
        <v>0.406731310803891</v>
      </c>
      <c r="F52" s="59" t="n">
        <v>2100</v>
      </c>
      <c r="G52" s="59" t="n">
        <f aca="false">F52-H52</f>
        <v>2100</v>
      </c>
      <c r="H52" s="58" t="n">
        <v>0</v>
      </c>
      <c r="I52" s="9"/>
      <c r="J52" s="205"/>
    </row>
    <row r="53" customFormat="false" ht="24.95" hidden="false" customHeight="true" outlineLevel="0" collapsed="false">
      <c r="A53" s="0" t="n">
        <v>31</v>
      </c>
      <c r="B53" s="34" t="n">
        <v>37104</v>
      </c>
      <c r="C53" s="9" t="n">
        <v>346511</v>
      </c>
      <c r="D53" s="260" t="s">
        <v>41</v>
      </c>
      <c r="E53" s="33" t="n">
        <f aca="false">IF(D53="totale",(C53/(A53*24))/F53,IF(D53="marché libre",(C53/(A53*24))/G53,"spécifier histo"))</f>
        <v>0.221781233998976</v>
      </c>
      <c r="F53" s="59" t="n">
        <v>2100</v>
      </c>
      <c r="G53" s="59" t="n">
        <f aca="false">F53-H53</f>
        <v>2100</v>
      </c>
      <c r="H53" s="58" t="n">
        <v>0</v>
      </c>
      <c r="I53" s="9"/>
      <c r="J53" s="205"/>
    </row>
    <row r="54" customFormat="false" ht="24.95" hidden="false" customHeight="true" outlineLevel="0" collapsed="false">
      <c r="A54" s="0" t="n">
        <v>30</v>
      </c>
      <c r="B54" s="31" t="n">
        <v>37135</v>
      </c>
      <c r="C54" s="9" t="n">
        <v>630789</v>
      </c>
      <c r="D54" s="260" t="s">
        <v>41</v>
      </c>
      <c r="E54" s="33" t="n">
        <f aca="false">IF(D54="totale",(C54/(A54*24))/F54,IF(D54="marché libre",(C54/(A54*24))/G54,"spécifier histo"))</f>
        <v>0.417188492063492</v>
      </c>
      <c r="F54" s="59" t="n">
        <v>2100</v>
      </c>
      <c r="G54" s="59" t="n">
        <f aca="false">F54-H54</f>
        <v>2100</v>
      </c>
      <c r="H54" s="58" t="n">
        <v>0</v>
      </c>
      <c r="I54" s="9"/>
      <c r="J54" s="205"/>
    </row>
    <row r="55" customFormat="false" ht="24.95" hidden="false" customHeight="true" outlineLevel="0" collapsed="false">
      <c r="A55" s="0" t="n">
        <v>31</v>
      </c>
      <c r="B55" s="34" t="n">
        <v>37165</v>
      </c>
      <c r="C55" s="9" t="n">
        <v>483166</v>
      </c>
      <c r="D55" s="260" t="s">
        <v>41</v>
      </c>
      <c r="E55" s="33" t="n">
        <f aca="false">IF(D55="totale",(C55/(A55*24))/F55,IF(D55="marché libre",(C55/(A55*24))/G55,"spécifier histo"))</f>
        <v>0.309246031746032</v>
      </c>
      <c r="F55" s="59" t="n">
        <v>2100</v>
      </c>
      <c r="G55" s="59" t="n">
        <f aca="false">F55-H55</f>
        <v>2100</v>
      </c>
      <c r="H55" s="58" t="n">
        <v>0</v>
      </c>
      <c r="I55" s="9"/>
      <c r="J55" s="205"/>
    </row>
    <row r="56" customFormat="false" ht="24.95" hidden="false" customHeight="true" outlineLevel="0" collapsed="false">
      <c r="A56" s="0" t="n">
        <v>30</v>
      </c>
      <c r="B56" s="31" t="n">
        <v>37196</v>
      </c>
      <c r="C56" s="9" t="n">
        <v>223633</v>
      </c>
      <c r="D56" s="260" t="s">
        <v>41</v>
      </c>
      <c r="E56" s="33" t="n">
        <f aca="false">IF(D56="totale",(C56/(A56*24))/F56,IF(D56="marché libre",(C56/(A56*24))/G56,"spécifier histo"))</f>
        <v>0.147905423280423</v>
      </c>
      <c r="F56" s="59" t="n">
        <v>2100</v>
      </c>
      <c r="G56" s="59" t="n">
        <f aca="false">F56-H56</f>
        <v>2100</v>
      </c>
      <c r="H56" s="58" t="n">
        <v>0</v>
      </c>
      <c r="I56" s="9"/>
      <c r="J56" s="205"/>
    </row>
    <row r="57" customFormat="false" ht="24.95" hidden="false" customHeight="true" outlineLevel="0" collapsed="false">
      <c r="A57" s="0" t="n">
        <v>31</v>
      </c>
      <c r="B57" s="34" t="n">
        <v>37226</v>
      </c>
      <c r="C57" s="9" t="n">
        <v>152194</v>
      </c>
      <c r="D57" s="260" t="s">
        <v>41</v>
      </c>
      <c r="E57" s="33" t="n">
        <f aca="false">IF(D57="totale",(C57/(A57*24))/F57,IF(D57="marché libre",(C57/(A57*24))/G57,"spécifier histo"))</f>
        <v>0.097410394265233</v>
      </c>
      <c r="F57" s="59" t="n">
        <v>2100</v>
      </c>
      <c r="G57" s="59" t="n">
        <f aca="false">F57-H57</f>
        <v>2100</v>
      </c>
      <c r="H57" s="58" t="n">
        <v>0</v>
      </c>
      <c r="I57" s="9"/>
      <c r="J57" s="205"/>
    </row>
    <row r="58" customFormat="false" ht="24.95" hidden="false" customHeight="true" outlineLevel="0" collapsed="false">
      <c r="A58" s="0" t="n">
        <v>31</v>
      </c>
      <c r="B58" s="31" t="n">
        <v>37257</v>
      </c>
      <c r="C58" s="56" t="n">
        <v>126467</v>
      </c>
      <c r="D58" s="260" t="s">
        <v>41</v>
      </c>
      <c r="E58" s="33" t="n">
        <f aca="false">IF(D58="totale",(C58/(A58*24))/F58,IF(D58="marché libre",(C58/(A58*24))/G58,"spécifier histo"))</f>
        <v>0.0809440604198669</v>
      </c>
      <c r="F58" s="59" t="n">
        <v>2100</v>
      </c>
      <c r="G58" s="59" t="n">
        <f aca="false">F58-H58</f>
        <v>2100</v>
      </c>
      <c r="H58" s="58" t="n">
        <v>0</v>
      </c>
      <c r="I58" s="9"/>
      <c r="J58" s="205"/>
    </row>
    <row r="59" customFormat="false" ht="24.95" hidden="false" customHeight="true" outlineLevel="0" collapsed="false">
      <c r="A59" s="0" t="n">
        <v>28</v>
      </c>
      <c r="B59" s="34" t="n">
        <v>37288</v>
      </c>
      <c r="C59" s="9" t="n">
        <v>168587</v>
      </c>
      <c r="D59" s="260" t="s">
        <v>41</v>
      </c>
      <c r="E59" s="33" t="n">
        <f aca="false">IF(D59="totale",(C59/(A59*24))/F59,IF(D59="marché libre",(C59/(A59*24))/G59,"spécifier histo"))</f>
        <v>0.119463577097506</v>
      </c>
      <c r="F59" s="59" t="n">
        <v>2100</v>
      </c>
      <c r="G59" s="59" t="n">
        <f aca="false">F59-H59</f>
        <v>2100</v>
      </c>
      <c r="H59" s="58" t="n">
        <v>0</v>
      </c>
      <c r="I59" s="9"/>
      <c r="J59" s="205"/>
    </row>
    <row r="60" customFormat="false" ht="24.95" hidden="false" customHeight="true" outlineLevel="0" collapsed="false">
      <c r="A60" s="0" t="n">
        <v>31</v>
      </c>
      <c r="B60" s="31" t="n">
        <v>37316</v>
      </c>
      <c r="C60" s="56" t="n">
        <v>427459</v>
      </c>
      <c r="D60" s="260" t="s">
        <v>41</v>
      </c>
      <c r="E60" s="33" t="n">
        <f aca="false">IF(D60="totale",(C60/(A60*24))/F60,IF(D60="marché libre",(C60/(A60*24))/G60,"spécifier histo"))</f>
        <v>0.27359126984127</v>
      </c>
      <c r="F60" s="59" t="n">
        <v>2100</v>
      </c>
      <c r="G60" s="59" t="n">
        <f aca="false">F60-H60</f>
        <v>2100</v>
      </c>
      <c r="H60" s="58" t="n">
        <v>0</v>
      </c>
      <c r="I60" s="9"/>
      <c r="J60" s="205"/>
    </row>
    <row r="61" customFormat="false" ht="24.95" hidden="false" customHeight="true" outlineLevel="0" collapsed="false">
      <c r="A61" s="0" t="n">
        <v>30</v>
      </c>
      <c r="B61" s="34" t="n">
        <v>37347</v>
      </c>
      <c r="C61" s="56" t="n">
        <v>372860</v>
      </c>
      <c r="D61" s="260" t="s">
        <v>41</v>
      </c>
      <c r="E61" s="33" t="n">
        <f aca="false">IF(D61="totale",(C61/(A61*24))/F61,IF(D61="marché libre",(C61/(A61*24))/G61,"spécifier histo"))</f>
        <v>0.246600529100529</v>
      </c>
      <c r="F61" s="59" t="n">
        <v>2100</v>
      </c>
      <c r="G61" s="59" t="n">
        <f aca="false">F61-H61</f>
        <v>2100</v>
      </c>
      <c r="H61" s="58" t="n">
        <v>0</v>
      </c>
      <c r="I61" s="9"/>
      <c r="J61" s="205"/>
    </row>
    <row r="62" customFormat="false" ht="24.95" hidden="false" customHeight="true" outlineLevel="0" collapsed="false">
      <c r="A62" s="0" t="n">
        <v>31</v>
      </c>
      <c r="B62" s="31" t="n">
        <v>37377</v>
      </c>
      <c r="C62" s="9" t="n">
        <v>892483</v>
      </c>
      <c r="D62" s="260" t="s">
        <v>41</v>
      </c>
      <c r="E62" s="33" t="n">
        <f aca="false">IF(D62="totale",(C62/(A62*24))/F62,IF(D62="marché libre",(C62/(A62*24))/G62,"spécifier histo"))</f>
        <v>0.57122567844342</v>
      </c>
      <c r="F62" s="59" t="n">
        <v>2100</v>
      </c>
      <c r="G62" s="59" t="n">
        <f aca="false">F62-H62</f>
        <v>2100</v>
      </c>
      <c r="H62" s="58" t="n">
        <v>0</v>
      </c>
      <c r="I62" s="9"/>
      <c r="J62" s="205"/>
    </row>
    <row r="63" customFormat="false" ht="24.95" hidden="false" customHeight="true" outlineLevel="0" collapsed="false">
      <c r="A63" s="0" t="n">
        <v>30</v>
      </c>
      <c r="B63" s="34" t="n">
        <v>37408</v>
      </c>
      <c r="C63" s="56" t="n">
        <v>686359</v>
      </c>
      <c r="D63" s="260" t="s">
        <v>41</v>
      </c>
      <c r="E63" s="33" t="n">
        <f aca="false">IF(D63="totale",(C63/(A63*24))/F63,IF(D63="marché libre",(C63/(A63*24))/G63,"spécifier histo"))</f>
        <v>0.453941137566138</v>
      </c>
      <c r="F63" s="59" t="n">
        <v>2100</v>
      </c>
      <c r="G63" s="59" t="n">
        <f aca="false">F63-H63</f>
        <v>2100</v>
      </c>
      <c r="H63" s="58" t="n">
        <v>0</v>
      </c>
      <c r="I63" s="9"/>
      <c r="J63" s="205"/>
    </row>
    <row r="64" customFormat="false" ht="24.95" hidden="false" customHeight="true" outlineLevel="0" collapsed="false">
      <c r="A64" s="0" t="n">
        <v>31</v>
      </c>
      <c r="B64" s="31" t="n">
        <v>37438</v>
      </c>
      <c r="C64" s="56" t="n">
        <v>287100</v>
      </c>
      <c r="D64" s="260" t="s">
        <v>41</v>
      </c>
      <c r="E64" s="33" t="n">
        <f aca="false">IF(D64="totale",(C64/(A64*24))/F64,IF(D64="marché libre",(C64/(A64*24))/G64,"spécifier histo"))</f>
        <v>0.183755760368664</v>
      </c>
      <c r="F64" s="59" t="n">
        <v>2100</v>
      </c>
      <c r="G64" s="59" t="n">
        <f aca="false">F64-H64</f>
        <v>2100</v>
      </c>
      <c r="H64" s="58" t="n">
        <v>0</v>
      </c>
      <c r="I64" s="9"/>
      <c r="J64" s="205"/>
    </row>
    <row r="65" customFormat="false" ht="24.95" hidden="false" customHeight="true" outlineLevel="0" collapsed="false">
      <c r="A65" s="0" t="n">
        <v>31</v>
      </c>
      <c r="B65" s="34" t="n">
        <v>37469</v>
      </c>
      <c r="C65" s="56" t="n">
        <v>506557</v>
      </c>
      <c r="D65" s="260" t="s">
        <v>41</v>
      </c>
      <c r="E65" s="33" t="n">
        <f aca="false">IF(D65="totale",(C65/(A65*24))/F65,IF(D65="marché libre",(C65/(A65*24))/G65,"spécifier histo"))</f>
        <v>0.324217229902714</v>
      </c>
      <c r="F65" s="59" t="n">
        <v>2100</v>
      </c>
      <c r="G65" s="59" t="n">
        <f aca="false">F65-H65</f>
        <v>2100</v>
      </c>
      <c r="H65" s="58" t="n">
        <v>0</v>
      </c>
      <c r="I65" s="9"/>
      <c r="J65" s="205"/>
    </row>
    <row r="66" customFormat="false" ht="24.95" hidden="false" customHeight="true" outlineLevel="0" collapsed="false">
      <c r="A66" s="0" t="n">
        <v>30</v>
      </c>
      <c r="B66" s="31" t="n">
        <v>37500</v>
      </c>
      <c r="C66" s="56" t="n">
        <v>484446</v>
      </c>
      <c r="D66" s="260" t="s">
        <v>41</v>
      </c>
      <c r="E66" s="33" t="n">
        <f aca="false">IF(D66="totale",(C66/(A66*24))/F66,IF(D66="marché libre",(C66/(A66*24))/G66,"spécifier histo"))</f>
        <v>0.320400793650794</v>
      </c>
      <c r="F66" s="59" t="n">
        <v>2100</v>
      </c>
      <c r="G66" s="59" t="n">
        <f aca="false">F66-H66</f>
        <v>2100</v>
      </c>
      <c r="H66" s="58" t="n">
        <v>0</v>
      </c>
      <c r="I66" s="9"/>
      <c r="J66" s="205"/>
    </row>
    <row r="67" customFormat="false" ht="24.95" hidden="false" customHeight="true" outlineLevel="0" collapsed="false">
      <c r="A67" s="0" t="n">
        <v>31</v>
      </c>
      <c r="B67" s="34" t="n">
        <v>37530</v>
      </c>
      <c r="C67" s="56" t="n">
        <v>538857</v>
      </c>
      <c r="D67" s="260" t="s">
        <v>41</v>
      </c>
      <c r="E67" s="33" t="n">
        <f aca="false">IF(D67="totale",(C67/(A67*24))/F67,IF(D67="marché libre",(C67/(A67*24))/G67,"spécifier histo"))</f>
        <v>0.344890552995392</v>
      </c>
      <c r="F67" s="59" t="n">
        <v>2100</v>
      </c>
      <c r="G67" s="59" t="n">
        <f aca="false">F67-H67</f>
        <v>2100</v>
      </c>
      <c r="H67" s="58" t="n">
        <v>0</v>
      </c>
      <c r="I67" s="9"/>
      <c r="J67" s="205"/>
    </row>
    <row r="68" customFormat="false" ht="24.95" hidden="false" customHeight="true" outlineLevel="0" collapsed="false">
      <c r="A68" s="0" t="n">
        <v>30</v>
      </c>
      <c r="B68" s="31" t="n">
        <v>37561</v>
      </c>
      <c r="C68" s="56" t="n">
        <v>821080</v>
      </c>
      <c r="D68" s="260" t="s">
        <v>41</v>
      </c>
      <c r="E68" s="33" t="n">
        <f aca="false">IF(D68="totale",(C68/(A68*24))/F68,IF(D68="marché libre",(C68/(A68*24))/G68,"spécifier histo"))</f>
        <v>0.543042328042328</v>
      </c>
      <c r="F68" s="59" t="n">
        <v>2100</v>
      </c>
      <c r="G68" s="59" t="n">
        <f aca="false">F68-H68</f>
        <v>2100</v>
      </c>
      <c r="H68" s="58" t="n">
        <v>0</v>
      </c>
      <c r="I68" s="9"/>
      <c r="J68" s="205"/>
    </row>
    <row r="69" customFormat="false" ht="24.95" hidden="false" customHeight="true" outlineLevel="0" collapsed="false">
      <c r="A69" s="0" t="n">
        <v>31</v>
      </c>
      <c r="B69" s="34" t="n">
        <v>37591</v>
      </c>
      <c r="C69" s="56" t="n">
        <v>485068</v>
      </c>
      <c r="D69" s="260" t="s">
        <v>41</v>
      </c>
      <c r="E69" s="33" t="n">
        <f aca="false">IF(D69="totale",(C69/(A69*24))/F69,IF(D69="marché libre",(C69/(A69*24))/G69,"spécifier histo"))</f>
        <v>0.310463389656938</v>
      </c>
      <c r="F69" s="59" t="n">
        <v>2100</v>
      </c>
      <c r="G69" s="59" t="n">
        <f aca="false">F69-H69</f>
        <v>2100</v>
      </c>
      <c r="H69" s="58" t="n">
        <v>0</v>
      </c>
      <c r="I69" s="9"/>
      <c r="J69" s="205"/>
    </row>
    <row r="70" customFormat="false" ht="24.95" hidden="false" customHeight="true" outlineLevel="0" collapsed="false">
      <c r="A70" s="0" t="n">
        <v>31</v>
      </c>
      <c r="B70" s="31" t="n">
        <v>37622</v>
      </c>
      <c r="C70" s="56" t="n">
        <v>482971</v>
      </c>
      <c r="D70" s="260" t="s">
        <v>41</v>
      </c>
      <c r="E70" s="33" t="n">
        <f aca="false">IF(D70="totale",(C70/(A70*24))/F70,IF(D70="marché libre",(C70/(A70*24))/G70,"spécifier histo"))</f>
        <v>0.309121223758321</v>
      </c>
      <c r="F70" s="59" t="n">
        <v>2100</v>
      </c>
      <c r="G70" s="59" t="n">
        <f aca="false">F70-H70</f>
        <v>2100</v>
      </c>
      <c r="H70" s="58" t="n">
        <v>0</v>
      </c>
      <c r="I70" s="9"/>
      <c r="J70" s="205"/>
    </row>
    <row r="71" customFormat="false" ht="24.95" hidden="false" customHeight="true" outlineLevel="0" collapsed="false">
      <c r="A71" s="0" t="n">
        <v>28</v>
      </c>
      <c r="B71" s="34" t="n">
        <v>37653</v>
      </c>
      <c r="C71" s="9" t="n">
        <v>219544</v>
      </c>
      <c r="D71" s="260" t="s">
        <v>41</v>
      </c>
      <c r="E71" s="33" t="n">
        <f aca="false">IF(D71="totale",(C71/(A71*24))/F71,IF(D71="marché libre",(C71/(A71*24))/G71,"spécifier histo"))</f>
        <v>0.155572562358277</v>
      </c>
      <c r="F71" s="59" t="n">
        <v>2100</v>
      </c>
      <c r="G71" s="59" t="n">
        <f aca="false">F71-H71</f>
        <v>2100</v>
      </c>
      <c r="H71" s="58" t="n">
        <v>0</v>
      </c>
      <c r="I71" s="9"/>
      <c r="J71" s="205"/>
    </row>
    <row r="72" customFormat="false" ht="24.95" hidden="false" customHeight="true" outlineLevel="0" collapsed="false">
      <c r="A72" s="0" t="n">
        <v>31</v>
      </c>
      <c r="B72" s="31" t="n">
        <v>37681</v>
      </c>
      <c r="C72" s="56" t="n">
        <v>284307</v>
      </c>
      <c r="D72" s="260" t="s">
        <v>41</v>
      </c>
      <c r="E72" s="33" t="n">
        <f aca="false">IF(D72="totale",(C72/(A72*24))/F72,IF(D72="marché libre",(C72/(A72*24))/G72,"spécifier histo"))</f>
        <v>0.181968125960061</v>
      </c>
      <c r="F72" s="59" t="n">
        <v>2100</v>
      </c>
      <c r="G72" s="59" t="n">
        <f aca="false">F72-H72</f>
        <v>2100</v>
      </c>
      <c r="H72" s="58" t="n">
        <v>0</v>
      </c>
      <c r="I72" s="9"/>
      <c r="J72" s="205"/>
    </row>
    <row r="73" customFormat="false" ht="24.95" hidden="false" customHeight="true" outlineLevel="0" collapsed="false">
      <c r="A73" s="0" t="n">
        <v>30</v>
      </c>
      <c r="B73" s="34" t="n">
        <v>37712</v>
      </c>
      <c r="C73" s="9" t="n">
        <v>497606</v>
      </c>
      <c r="D73" s="260" t="s">
        <v>41</v>
      </c>
      <c r="E73" s="33" t="n">
        <f aca="false">IF(D73="totale",(C73/(A73*24))/F73,IF(D73="marché libre",(C73/(A73*24))/G73,"spécifier histo"))</f>
        <v>0.329104497354497</v>
      </c>
      <c r="F73" s="59" t="n">
        <v>2100</v>
      </c>
      <c r="G73" s="59" t="n">
        <f aca="false">F73-H73</f>
        <v>2100</v>
      </c>
      <c r="H73" s="58" t="n">
        <v>0</v>
      </c>
      <c r="I73" s="9"/>
      <c r="J73" s="205"/>
    </row>
    <row r="74" customFormat="false" ht="24.95" hidden="false" customHeight="true" outlineLevel="0" collapsed="false">
      <c r="A74" s="0" t="n">
        <v>31</v>
      </c>
      <c r="B74" s="31" t="n">
        <v>37742</v>
      </c>
      <c r="C74" s="9" t="n">
        <v>1060643</v>
      </c>
      <c r="D74" s="260" t="s">
        <v>41</v>
      </c>
      <c r="E74" s="33" t="n">
        <f aca="false">IF(D74="totale",(C74/(A74*24))/F74,IF(D74="marché libre",(C74/(A74*24))/G74,"spécifier histo"))</f>
        <v>0.67885496671787</v>
      </c>
      <c r="F74" s="59" t="n">
        <v>2100</v>
      </c>
      <c r="G74" s="59" t="n">
        <f aca="false">F74-H74</f>
        <v>2100</v>
      </c>
      <c r="H74" s="58" t="n">
        <v>0</v>
      </c>
      <c r="I74" s="9"/>
      <c r="J74" s="205"/>
    </row>
    <row r="75" customFormat="false" ht="24.95" hidden="false" customHeight="true" outlineLevel="0" collapsed="false">
      <c r="A75" s="0" t="n">
        <v>30</v>
      </c>
      <c r="B75" s="34" t="n">
        <v>37773</v>
      </c>
      <c r="C75" s="9" t="n">
        <v>367870</v>
      </c>
      <c r="D75" s="260" t="s">
        <v>41</v>
      </c>
      <c r="E75" s="33" t="n">
        <f aca="false">IF(D75="totale",(C75/(A75*24))/F75,IF(D75="marché libre",(C75/(A75*24))/G75,"spécifier histo"))</f>
        <v>0.243300264550265</v>
      </c>
      <c r="F75" s="59" t="n">
        <v>2100</v>
      </c>
      <c r="G75" s="59" t="n">
        <f aca="false">F75-H75</f>
        <v>2100</v>
      </c>
      <c r="H75" s="58" t="n">
        <v>0</v>
      </c>
      <c r="I75" s="9"/>
      <c r="J75" s="205"/>
    </row>
    <row r="76" customFormat="false" ht="24.95" hidden="false" customHeight="true" outlineLevel="0" collapsed="false">
      <c r="A76" s="0" t="n">
        <v>31</v>
      </c>
      <c r="B76" s="31" t="n">
        <v>37803</v>
      </c>
      <c r="C76" s="9" t="n">
        <v>159401</v>
      </c>
      <c r="D76" s="260" t="s">
        <v>41</v>
      </c>
      <c r="E76" s="33" t="n">
        <f aca="false">IF(D76="totale",(C76/(A76*24))/F76,IF(D76="marché libre",(C76/(A76*24))/G76,"spécifier histo"))</f>
        <v>0.102023169482847</v>
      </c>
      <c r="F76" s="59" t="n">
        <v>2100</v>
      </c>
      <c r="G76" s="59" t="n">
        <f aca="false">F76-H76</f>
        <v>2100</v>
      </c>
      <c r="H76" s="58" t="n">
        <v>0</v>
      </c>
      <c r="I76" s="9"/>
      <c r="J76" s="205"/>
    </row>
    <row r="77" customFormat="false" ht="24.95" hidden="false" customHeight="true" outlineLevel="0" collapsed="false">
      <c r="A77" s="0" t="n">
        <v>31</v>
      </c>
      <c r="B77" s="34" t="n">
        <v>37834</v>
      </c>
      <c r="C77" s="9" t="n">
        <v>88427</v>
      </c>
      <c r="D77" s="260" t="s">
        <v>41</v>
      </c>
      <c r="E77" s="33" t="n">
        <f aca="false">IF(D77="totale",(C77/(A77*24))/F77,IF(D77="marché libre",(C77/(A77*24))/G77,"spécifier histo"))</f>
        <v>0.0565969022017409</v>
      </c>
      <c r="F77" s="59" t="n">
        <v>2100</v>
      </c>
      <c r="G77" s="59" t="n">
        <f aca="false">F77-H77</f>
        <v>2100</v>
      </c>
      <c r="H77" s="58" t="n">
        <v>0</v>
      </c>
      <c r="I77" s="9"/>
      <c r="J77" s="205"/>
    </row>
    <row r="78" customFormat="false" ht="24.95" hidden="false" customHeight="true" outlineLevel="0" collapsed="false">
      <c r="A78" s="0" t="n">
        <v>30</v>
      </c>
      <c r="B78" s="31" t="n">
        <v>37865</v>
      </c>
      <c r="C78" s="9" t="n">
        <v>152654</v>
      </c>
      <c r="D78" s="260" t="s">
        <v>41</v>
      </c>
      <c r="E78" s="33" t="n">
        <f aca="false">IF(D78="totale",(C78/(A78*24))/F78,IF(D78="marché libre",(C78/(A78*24))/G78,"spécifier histo"))</f>
        <v>0.10096164021164</v>
      </c>
      <c r="F78" s="59" t="n">
        <v>2100</v>
      </c>
      <c r="G78" s="59" t="n">
        <f aca="false">F78-H78</f>
        <v>2100</v>
      </c>
      <c r="H78" s="58" t="n">
        <v>0</v>
      </c>
      <c r="I78" s="9"/>
      <c r="J78" s="205"/>
    </row>
    <row r="79" customFormat="false" ht="24.95" hidden="false" customHeight="true" outlineLevel="0" collapsed="false">
      <c r="A79" s="0" t="n">
        <v>31</v>
      </c>
      <c r="B79" s="34" t="n">
        <v>37895</v>
      </c>
      <c r="C79" s="9" t="n">
        <v>342754</v>
      </c>
      <c r="D79" s="260" t="s">
        <v>41</v>
      </c>
      <c r="E79" s="33" t="n">
        <f aca="false">IF(D79="totale",(C79/(A79*24))/F79,IF(D79="marché libre",(C79/(A79*24))/G79,"spécifier histo"))</f>
        <v>0.219376600102407</v>
      </c>
      <c r="F79" s="59" t="n">
        <v>2100</v>
      </c>
      <c r="G79" s="59" t="n">
        <f aca="false">F79-H79</f>
        <v>2100</v>
      </c>
      <c r="H79" s="58" t="n">
        <v>0</v>
      </c>
      <c r="I79" s="9"/>
      <c r="J79" s="205"/>
    </row>
    <row r="80" customFormat="false" ht="24.95" hidden="false" customHeight="true" outlineLevel="0" collapsed="false">
      <c r="A80" s="0" t="n">
        <v>30</v>
      </c>
      <c r="B80" s="31" t="n">
        <v>37926</v>
      </c>
      <c r="C80" s="9" t="n">
        <v>255651</v>
      </c>
      <c r="D80" s="260" t="s">
        <v>41</v>
      </c>
      <c r="E80" s="33" t="n">
        <f aca="false">IF(D80="totale",(C80/(A80*24))/F80,IF(D80="marché libre",(C80/(A80*24))/G80,"spécifier histo"))</f>
        <v>0.169081349206349</v>
      </c>
      <c r="F80" s="59" t="n">
        <v>2100</v>
      </c>
      <c r="G80" s="59" t="n">
        <f aca="false">F80-H80</f>
        <v>2100</v>
      </c>
      <c r="H80" s="58" t="n">
        <v>0</v>
      </c>
      <c r="I80" s="9"/>
      <c r="J80" s="205"/>
    </row>
    <row r="81" customFormat="false" ht="24.95" hidden="false" customHeight="true" outlineLevel="0" collapsed="false">
      <c r="A81" s="0" t="n">
        <v>31</v>
      </c>
      <c r="B81" s="34" t="n">
        <v>37956</v>
      </c>
      <c r="C81" s="9" t="n">
        <v>191526</v>
      </c>
      <c r="D81" s="260" t="s">
        <v>41</v>
      </c>
      <c r="E81" s="33" t="n">
        <f aca="false">IF(D81="totale",(C81/(A81*24))/F81,IF(D81="marché libre",(C81/(A81*24))/G81,"spécifier histo"))</f>
        <v>0.122584485407066</v>
      </c>
      <c r="F81" s="59" t="n">
        <v>2100</v>
      </c>
      <c r="G81" s="59" t="n">
        <f aca="false">F81-H81</f>
        <v>2100</v>
      </c>
      <c r="H81" s="58" t="n">
        <v>0</v>
      </c>
      <c r="I81" s="9"/>
      <c r="J81" s="205"/>
    </row>
    <row r="82" customFormat="false" ht="24.95" hidden="false" customHeight="true" outlineLevel="0" collapsed="false">
      <c r="A82" s="0" t="n">
        <v>31</v>
      </c>
      <c r="B82" s="31" t="n">
        <v>37987</v>
      </c>
      <c r="C82" s="9" t="n">
        <v>505828</v>
      </c>
      <c r="D82" s="260" t="s">
        <v>41</v>
      </c>
      <c r="E82" s="33" t="n">
        <f aca="false">IF(D82="totale",(C82/(A82*24))/F82,IF(D82="marché libre",(C82/(A82*24))/G82,"spécifier histo"))</f>
        <v>0.323750640040963</v>
      </c>
      <c r="F82" s="59" t="n">
        <v>2100</v>
      </c>
      <c r="G82" s="59" t="n">
        <f aca="false">F82-H82</f>
        <v>2100</v>
      </c>
      <c r="H82" s="58" t="n">
        <v>0</v>
      </c>
      <c r="I82" s="9"/>
      <c r="J82" s="205"/>
    </row>
    <row r="83" customFormat="false" ht="24.95" hidden="false" customHeight="true" outlineLevel="0" collapsed="false">
      <c r="A83" s="0" t="n">
        <v>28</v>
      </c>
      <c r="B83" s="34" t="n">
        <v>38018</v>
      </c>
      <c r="C83" s="56" t="n">
        <v>278251</v>
      </c>
      <c r="D83" s="260" t="s">
        <v>41</v>
      </c>
      <c r="E83" s="33" t="n">
        <f aca="false">IF(D83="totale",(C83/(A83*24))/F83,IF(D83="marché libre",(C83/(A83*24))/G83,"spécifier histo"))</f>
        <v>0.197173327664399</v>
      </c>
      <c r="F83" s="59" t="n">
        <v>2100</v>
      </c>
      <c r="G83" s="59" t="n">
        <f aca="false">F83-H83</f>
        <v>2100</v>
      </c>
      <c r="H83" s="58" t="n">
        <v>0</v>
      </c>
      <c r="I83" s="9"/>
      <c r="J83" s="205"/>
    </row>
    <row r="84" customFormat="false" ht="24.95" hidden="false" customHeight="true" outlineLevel="0" collapsed="false">
      <c r="A84" s="0" t="n">
        <v>31</v>
      </c>
      <c r="B84" s="31" t="n">
        <v>38047</v>
      </c>
      <c r="C84" s="9" t="n">
        <v>248396</v>
      </c>
      <c r="D84" s="260" t="s">
        <v>41</v>
      </c>
      <c r="E84" s="33" t="n">
        <f aca="false">IF(D84="totale",(C84/(A84*24))/F84,IF(D84="marché libre",(C84/(A84*24))/G84,"spécifier histo"))</f>
        <v>0.158983614951357</v>
      </c>
      <c r="F84" s="59" t="n">
        <v>2100</v>
      </c>
      <c r="G84" s="59" t="n">
        <f aca="false">F84-H84</f>
        <v>2100</v>
      </c>
      <c r="H84" s="58" t="n">
        <v>0</v>
      </c>
      <c r="I84" s="9"/>
      <c r="J84" s="205"/>
    </row>
    <row r="85" customFormat="false" ht="24.95" hidden="false" customHeight="true" outlineLevel="0" collapsed="false">
      <c r="A85" s="0" t="n">
        <v>30</v>
      </c>
      <c r="B85" s="34" t="n">
        <v>38078</v>
      </c>
      <c r="C85" s="9" t="n">
        <v>406042</v>
      </c>
      <c r="D85" s="260" t="s">
        <v>41</v>
      </c>
      <c r="E85" s="33" t="n">
        <f aca="false">IF(D85="totale",(C85/(A85*24))/F85,IF(D85="marché libre",(C85/(A85*24))/G85,"spécifier histo"))</f>
        <v>0.268546296296296</v>
      </c>
      <c r="F85" s="59" t="n">
        <v>2100</v>
      </c>
      <c r="G85" s="59" t="n">
        <f aca="false">F85-H85</f>
        <v>2100</v>
      </c>
      <c r="H85" s="58" t="n">
        <v>0</v>
      </c>
      <c r="I85" s="9"/>
      <c r="J85" s="205"/>
    </row>
    <row r="86" customFormat="false" ht="24.95" hidden="false" customHeight="true" outlineLevel="0" collapsed="false">
      <c r="A86" s="0" t="n">
        <v>31</v>
      </c>
      <c r="B86" s="31" t="n">
        <v>38108</v>
      </c>
      <c r="C86" s="9" t="n">
        <v>615093</v>
      </c>
      <c r="D86" s="260" t="s">
        <v>41</v>
      </c>
      <c r="E86" s="33" t="n">
        <f aca="false">IF(D86="totale",(C86/(A86*24))/F86,IF(D86="marché libre",(C86/(A86*24))/G86,"spécifier histo"))</f>
        <v>0.393684715821813</v>
      </c>
      <c r="F86" s="59" t="n">
        <v>2100</v>
      </c>
      <c r="G86" s="59" t="n">
        <f aca="false">F86-H86</f>
        <v>2100</v>
      </c>
      <c r="H86" s="58" t="n">
        <v>0</v>
      </c>
      <c r="I86" s="9"/>
      <c r="J86" s="205"/>
    </row>
    <row r="87" customFormat="false" ht="24.95" hidden="false" customHeight="true" outlineLevel="0" collapsed="false">
      <c r="A87" s="0" t="n">
        <v>30</v>
      </c>
      <c r="B87" s="34" t="n">
        <v>38139</v>
      </c>
      <c r="C87" s="9" t="n">
        <v>599074</v>
      </c>
      <c r="D87" s="260" t="s">
        <v>41</v>
      </c>
      <c r="E87" s="33" t="n">
        <f aca="false">IF(D87="totale",(C87/(A87*24))/F87,IF(D87="marché libre",(C87/(A87*24))/G87,"spécifier histo"))</f>
        <v>0.396212962962963</v>
      </c>
      <c r="F87" s="59" t="n">
        <v>2100</v>
      </c>
      <c r="G87" s="59" t="n">
        <f aca="false">F87-H87</f>
        <v>2100</v>
      </c>
      <c r="H87" s="58" t="n">
        <v>0</v>
      </c>
      <c r="I87" s="9"/>
      <c r="J87" s="205"/>
    </row>
    <row r="88" customFormat="false" ht="24.95" hidden="false" customHeight="true" outlineLevel="0" collapsed="false">
      <c r="A88" s="0" t="n">
        <v>31</v>
      </c>
      <c r="B88" s="31" t="n">
        <v>38169</v>
      </c>
      <c r="C88" s="9" t="n">
        <v>298965</v>
      </c>
      <c r="D88" s="260" t="s">
        <v>41</v>
      </c>
      <c r="E88" s="33" t="n">
        <f aca="false">IF(D88="totale",(C88/(A88*24))/F88,IF(D88="marché libre",(C88/(A88*24))/G88,"spécifier histo"))</f>
        <v>0.191349846390169</v>
      </c>
      <c r="F88" s="59" t="n">
        <v>2100</v>
      </c>
      <c r="G88" s="59" t="n">
        <f aca="false">F88-H88</f>
        <v>2100</v>
      </c>
      <c r="H88" s="58" t="n">
        <v>0</v>
      </c>
      <c r="I88" s="9"/>
      <c r="J88" s="205"/>
    </row>
    <row r="89" customFormat="false" ht="24.95" hidden="false" customHeight="true" outlineLevel="0" collapsed="false">
      <c r="A89" s="0" t="n">
        <v>31</v>
      </c>
      <c r="B89" s="34" t="n">
        <v>38200</v>
      </c>
      <c r="C89" s="9" t="n">
        <v>359793</v>
      </c>
      <c r="D89" s="260" t="s">
        <v>41</v>
      </c>
      <c r="E89" s="33" t="n">
        <f aca="false">IF(D89="totale",(C89/(A89*24))/F89,IF(D89="marché libre",(C89/(A89*24))/G89,"spécifier histo"))</f>
        <v>0.230282258064516</v>
      </c>
      <c r="F89" s="59" t="n">
        <v>2100</v>
      </c>
      <c r="G89" s="59" t="n">
        <f aca="false">F89-H89</f>
        <v>2100</v>
      </c>
      <c r="H89" s="58" t="n">
        <v>0</v>
      </c>
      <c r="I89" s="9"/>
      <c r="J89" s="205"/>
    </row>
    <row r="90" customFormat="false" ht="24.95" hidden="false" customHeight="true" outlineLevel="0" collapsed="false">
      <c r="A90" s="0" t="n">
        <v>30</v>
      </c>
      <c r="B90" s="31" t="n">
        <v>38231</v>
      </c>
      <c r="C90" s="9" t="n">
        <v>145977</v>
      </c>
      <c r="D90" s="260" t="s">
        <v>41</v>
      </c>
      <c r="E90" s="33" t="n">
        <f aca="false">IF(D90="totale",(C90/(A90*24))/F90,IF(D90="marché libre",(C90/(A90*24))/G90,"spécifier histo"))</f>
        <v>0.0965456349206349</v>
      </c>
      <c r="F90" s="59" t="n">
        <v>2100</v>
      </c>
      <c r="G90" s="59" t="n">
        <f aca="false">F90-H90</f>
        <v>2100</v>
      </c>
      <c r="H90" s="58" t="n">
        <v>0</v>
      </c>
      <c r="I90" s="9"/>
      <c r="J90" s="205"/>
    </row>
    <row r="91" customFormat="false" ht="24.95" hidden="false" customHeight="true" outlineLevel="0" collapsed="false">
      <c r="A91" s="0" t="n">
        <v>31</v>
      </c>
      <c r="B91" s="34" t="n">
        <v>38261</v>
      </c>
      <c r="C91" s="9" t="n">
        <v>292576</v>
      </c>
      <c r="D91" s="260" t="s">
        <v>41</v>
      </c>
      <c r="E91" s="33" t="n">
        <f aca="false">IF(D91="totale",(C91/(A91*24))/F91,IF(D91="marché libre",(C91/(A91*24))/G91,"spécifier histo"))</f>
        <v>0.18726062467998</v>
      </c>
      <c r="F91" s="59" t="n">
        <v>2100</v>
      </c>
      <c r="G91" s="59" t="n">
        <f aca="false">F91-H91</f>
        <v>2100</v>
      </c>
      <c r="H91" s="58" t="n">
        <v>0</v>
      </c>
      <c r="I91" s="9"/>
      <c r="J91" s="205"/>
    </row>
    <row r="92" customFormat="false" ht="24.95" hidden="false" customHeight="true" outlineLevel="0" collapsed="false">
      <c r="A92" s="0" t="n">
        <v>30</v>
      </c>
      <c r="B92" s="31" t="n">
        <v>38292</v>
      </c>
      <c r="C92" s="9" t="n">
        <v>131618</v>
      </c>
      <c r="D92" s="260" t="s">
        <v>41</v>
      </c>
      <c r="E92" s="33" t="n">
        <f aca="false">IF(D92="totale",(C92/(A92*24))/F92,IF(D92="marché libre",(C92/(A92*24))/G92,"spécifier histo"))</f>
        <v>0.0870489417989418</v>
      </c>
      <c r="F92" s="59" t="n">
        <v>2100</v>
      </c>
      <c r="G92" s="59" t="n">
        <f aca="false">F92-H92</f>
        <v>2100</v>
      </c>
      <c r="H92" s="58" t="n">
        <v>0</v>
      </c>
      <c r="I92" s="9"/>
      <c r="J92" s="205"/>
    </row>
    <row r="93" customFormat="false" ht="24.95" hidden="false" customHeight="true" outlineLevel="0" collapsed="false">
      <c r="A93" s="0" t="n">
        <v>31</v>
      </c>
      <c r="B93" s="34" t="n">
        <v>38322</v>
      </c>
      <c r="C93" s="9" t="n">
        <v>104666</v>
      </c>
      <c r="D93" s="260" t="s">
        <v>41</v>
      </c>
      <c r="E93" s="33" t="n">
        <f aca="false">IF(D93="totale",(C93/(A93*24))/F93,IF(D93="marché libre",(C93/(A93*24))/G93,"spécifier histo"))</f>
        <v>0.0669905273937532</v>
      </c>
      <c r="F93" s="59" t="n">
        <v>2100</v>
      </c>
      <c r="G93" s="59" t="n">
        <f aca="false">F93-H93</f>
        <v>2100</v>
      </c>
      <c r="H93" s="58" t="n">
        <v>0</v>
      </c>
      <c r="I93" s="9"/>
      <c r="J93" s="205"/>
    </row>
    <row r="94" customFormat="false" ht="19.85" hidden="false" customHeight="true" outlineLevel="0" collapsed="false">
      <c r="A94" s="0" t="n">
        <v>31</v>
      </c>
      <c r="B94" s="31" t="n">
        <v>38353</v>
      </c>
      <c r="C94" s="56" t="n">
        <v>115086</v>
      </c>
      <c r="D94" s="260" t="s">
        <v>41</v>
      </c>
      <c r="E94" s="33" t="n">
        <f aca="false">IF(D94="totale",(C94/(A94*24))/F94,IF(D94="marché libre",(C94/(A94*24))/G94,"spécifier histo"))</f>
        <v>0.0736597542242704</v>
      </c>
      <c r="F94" s="59" t="n">
        <v>2100</v>
      </c>
      <c r="G94" s="59" t="n">
        <f aca="false">F94-H94</f>
        <v>2100</v>
      </c>
      <c r="H94" s="58" t="n">
        <v>0</v>
      </c>
      <c r="J94" s="241" t="s">
        <v>1183</v>
      </c>
    </row>
    <row r="95" customFormat="false" ht="19.85" hidden="false" customHeight="true" outlineLevel="0" collapsed="false">
      <c r="A95" s="0" t="n">
        <v>28</v>
      </c>
      <c r="B95" s="34" t="n">
        <v>38384</v>
      </c>
      <c r="C95" s="75" t="n">
        <v>113144</v>
      </c>
      <c r="D95" s="260" t="s">
        <v>41</v>
      </c>
      <c r="E95" s="33" t="n">
        <f aca="false">IF(D95="totale",(C95/(A95*24))/F95,IF(D95="marché libre",(C95/(A95*24))/G95,"spécifier histo"))</f>
        <v>0.0801757369614512</v>
      </c>
      <c r="F95" s="59" t="n">
        <v>2100</v>
      </c>
      <c r="G95" s="59" t="n">
        <f aca="false">F95-H95</f>
        <v>2100</v>
      </c>
      <c r="H95" s="58" t="n">
        <v>0</v>
      </c>
      <c r="J95" s="241"/>
    </row>
    <row r="96" customFormat="false" ht="19.85" hidden="false" customHeight="true" outlineLevel="0" collapsed="false">
      <c r="A96" s="0" t="n">
        <v>31</v>
      </c>
      <c r="B96" s="31" t="n">
        <v>38412</v>
      </c>
      <c r="C96" s="9" t="n">
        <v>337426</v>
      </c>
      <c r="D96" s="260" t="s">
        <v>41</v>
      </c>
      <c r="E96" s="33" t="n">
        <f aca="false">IF(D96="totale",(C96/(A96*24))/F96,IF(D96="marché libre",(C96/(A96*24))/G96,"spécifier histo"))</f>
        <v>0.215966461853559</v>
      </c>
      <c r="F96" s="59" t="n">
        <v>2100</v>
      </c>
      <c r="G96" s="59" t="n">
        <f aca="false">F96-H96</f>
        <v>2100</v>
      </c>
      <c r="H96" s="58" t="n">
        <v>0</v>
      </c>
      <c r="J96" s="241"/>
      <c r="L96" s="181" t="s">
        <v>1184</v>
      </c>
      <c r="M96" s="181"/>
      <c r="N96" s="181"/>
      <c r="O96" s="181"/>
      <c r="P96" s="181"/>
      <c r="Q96" s="181"/>
    </row>
    <row r="97" customFormat="false" ht="19.85" hidden="false" customHeight="true" outlineLevel="0" collapsed="false">
      <c r="A97" s="0" t="n">
        <v>30</v>
      </c>
      <c r="B97" s="34" t="n">
        <v>38443</v>
      </c>
      <c r="C97" s="9" t="n">
        <v>517606</v>
      </c>
      <c r="D97" s="260" t="s">
        <v>41</v>
      </c>
      <c r="E97" s="33" t="n">
        <f aca="false">IF(D97="totale",(C97/(A97*24))/F97,IF(D97="marché libre",(C97/(A97*24))/G97,"spécifier histo"))</f>
        <v>0.342332010582011</v>
      </c>
      <c r="F97" s="59" t="n">
        <v>2100</v>
      </c>
      <c r="G97" s="59" t="n">
        <f aca="false">F97-H97</f>
        <v>2100</v>
      </c>
      <c r="H97" s="58" t="n">
        <v>0</v>
      </c>
      <c r="J97" s="241"/>
      <c r="L97" s="181" t="s">
        <v>1185</v>
      </c>
      <c r="M97" s="181"/>
      <c r="N97" s="181"/>
      <c r="O97" s="181"/>
      <c r="P97" s="181"/>
      <c r="Q97" s="181"/>
    </row>
    <row r="98" customFormat="false" ht="19.85" hidden="false" customHeight="true" outlineLevel="0" collapsed="false">
      <c r="A98" s="0" t="n">
        <v>31</v>
      </c>
      <c r="B98" s="31" t="n">
        <v>38473</v>
      </c>
      <c r="C98" s="9" t="n">
        <v>1000040</v>
      </c>
      <c r="D98" s="260" t="s">
        <v>41</v>
      </c>
      <c r="E98" s="33" t="n">
        <f aca="false">IF(D98="totale",(C98/(A98*24))/F98,IF(D98="marché libre",(C98/(A98*24))/G98,"spécifier histo"))</f>
        <v>0.640066564260113</v>
      </c>
      <c r="F98" s="59" t="n">
        <v>2100</v>
      </c>
      <c r="G98" s="59" t="n">
        <f aca="false">F98-H98</f>
        <v>2100</v>
      </c>
      <c r="H98" s="58" t="n">
        <v>0</v>
      </c>
      <c r="J98" s="241"/>
      <c r="L98" s="181" t="s">
        <v>1185</v>
      </c>
      <c r="M98" s="181"/>
      <c r="N98" s="181"/>
      <c r="O98" s="181"/>
      <c r="P98" s="181"/>
      <c r="Q98" s="181"/>
    </row>
    <row r="99" customFormat="false" ht="19.85" hidden="false" customHeight="true" outlineLevel="0" collapsed="false">
      <c r="A99" s="0" t="n">
        <v>30</v>
      </c>
      <c r="B99" s="34" t="n">
        <v>38504</v>
      </c>
      <c r="C99" s="9" t="n">
        <v>603824</v>
      </c>
      <c r="D99" s="260" t="s">
        <v>41</v>
      </c>
      <c r="E99" s="33" t="n">
        <f aca="false">IF(D99="totale",(C99/(A99*24))/F99,IF(D99="marché libre",(C99/(A99*24))/G99,"spécifier histo"))</f>
        <v>0.399354497354497</v>
      </c>
      <c r="F99" s="59" t="n">
        <v>2100</v>
      </c>
      <c r="G99" s="59" t="n">
        <f aca="false">F99-H99</f>
        <v>2100</v>
      </c>
      <c r="H99" s="58" t="n">
        <v>0</v>
      </c>
      <c r="J99" s="241"/>
      <c r="L99" s="181"/>
      <c r="M99" s="181"/>
      <c r="N99" s="181"/>
      <c r="O99" s="181"/>
      <c r="P99" s="181"/>
      <c r="Q99" s="181"/>
    </row>
    <row r="100" customFormat="false" ht="19.85" hidden="false" customHeight="true" outlineLevel="0" collapsed="false">
      <c r="A100" s="0" t="n">
        <v>31</v>
      </c>
      <c r="B100" s="31" t="n">
        <v>38534</v>
      </c>
      <c r="C100" s="9" t="n">
        <v>314137</v>
      </c>
      <c r="D100" s="260" t="s">
        <v>41</v>
      </c>
      <c r="E100" s="33" t="n">
        <f aca="false">IF(D100="totale",(C100/(A100*24))/F100,IF(D100="marché libre",(C100/(A100*24))/G100,"spécifier histo"))</f>
        <v>0.201060547875064</v>
      </c>
      <c r="F100" s="59" t="n">
        <v>2100</v>
      </c>
      <c r="G100" s="59" t="n">
        <f aca="false">F100-H100</f>
        <v>2100</v>
      </c>
      <c r="H100" s="58" t="n">
        <v>0</v>
      </c>
      <c r="J100" s="241"/>
    </row>
    <row r="101" customFormat="false" ht="19.85" hidden="false" customHeight="true" outlineLevel="0" collapsed="false">
      <c r="A101" s="0" t="n">
        <v>31</v>
      </c>
      <c r="B101" s="34" t="n">
        <v>38565</v>
      </c>
      <c r="C101" s="9" t="n">
        <v>261223</v>
      </c>
      <c r="D101" s="260" t="s">
        <v>41</v>
      </c>
      <c r="E101" s="33" t="n">
        <f aca="false">IF(D101="totale",(C101/(A101*24))/F101,IF(D101="marché libre",(C101/(A101*24))/G101,"spécifier histo"))</f>
        <v>0.167193420378904</v>
      </c>
      <c r="F101" s="59" t="n">
        <v>2100</v>
      </c>
      <c r="G101" s="59" t="n">
        <f aca="false">F101-H101</f>
        <v>2100</v>
      </c>
      <c r="H101" s="58" t="n">
        <v>0</v>
      </c>
      <c r="J101" s="241"/>
      <c r="L101" s="234" t="s">
        <v>1186</v>
      </c>
      <c r="M101" s="235"/>
      <c r="N101" s="235"/>
      <c r="O101" s="235"/>
      <c r="P101" s="235"/>
    </row>
    <row r="102" customFormat="false" ht="19.85" hidden="false" customHeight="true" outlineLevel="0" collapsed="false">
      <c r="A102" s="0" t="n">
        <v>30</v>
      </c>
      <c r="B102" s="31" t="n">
        <v>38596</v>
      </c>
      <c r="C102" s="9" t="n">
        <v>178624</v>
      </c>
      <c r="D102" s="260" t="s">
        <v>41</v>
      </c>
      <c r="E102" s="33" t="n">
        <f aca="false">IF(D102="totale",(C102/(A102*24))/F102,IF(D102="marché libre",(C102/(A102*24))/G102,"spécifier histo"))</f>
        <v>0.118137566137566</v>
      </c>
      <c r="F102" s="59" t="n">
        <v>2100</v>
      </c>
      <c r="G102" s="59" t="n">
        <f aca="false">F102-H102</f>
        <v>2100</v>
      </c>
      <c r="H102" s="58" t="n">
        <v>0</v>
      </c>
      <c r="J102" s="241"/>
      <c r="L102" s="234" t="s">
        <v>1187</v>
      </c>
      <c r="M102" s="235"/>
      <c r="N102" s="235"/>
      <c r="O102" s="235"/>
      <c r="P102" s="235"/>
    </row>
    <row r="103" customFormat="false" ht="19.85" hidden="false" customHeight="true" outlineLevel="0" collapsed="false">
      <c r="A103" s="0" t="n">
        <v>31</v>
      </c>
      <c r="B103" s="34" t="n">
        <v>38626</v>
      </c>
      <c r="C103" s="9" t="n">
        <v>335066</v>
      </c>
      <c r="D103" s="260" t="s">
        <v>41</v>
      </c>
      <c r="E103" s="33" t="n">
        <f aca="false">IF(D103="totale",(C103/(A103*24))/F103,IF(D103="marché libre",(C103/(A103*24))/G103,"spécifier histo"))</f>
        <v>0.214455965181772</v>
      </c>
      <c r="F103" s="59" t="n">
        <v>2100</v>
      </c>
      <c r="G103" s="59" t="n">
        <f aca="false">F103-H103</f>
        <v>2100</v>
      </c>
      <c r="H103" s="58" t="n">
        <v>0</v>
      </c>
      <c r="J103" s="241"/>
      <c r="L103" s="234" t="s">
        <v>229</v>
      </c>
      <c r="M103" s="235"/>
      <c r="N103" s="235"/>
      <c r="O103" s="235"/>
      <c r="P103" s="235"/>
    </row>
    <row r="104" customFormat="false" ht="19.85" hidden="false" customHeight="true" outlineLevel="0" collapsed="false">
      <c r="A104" s="0" t="n">
        <v>30</v>
      </c>
      <c r="B104" s="31" t="n">
        <v>38657</v>
      </c>
      <c r="C104" s="9" t="n">
        <v>225681</v>
      </c>
      <c r="D104" s="260" t="s">
        <v>41</v>
      </c>
      <c r="E104" s="33" t="n">
        <f aca="false">IF(D104="totale",(C104/(A104*24))/F104,IF(D104="marché libre",(C104/(A104*24))/G104,"spécifier histo"))</f>
        <v>0.149259920634921</v>
      </c>
      <c r="F104" s="59" t="n">
        <v>2100</v>
      </c>
      <c r="G104" s="59" t="n">
        <f aca="false">F104-H104</f>
        <v>2100</v>
      </c>
      <c r="H104" s="58" t="n">
        <v>0</v>
      </c>
      <c r="J104" s="241"/>
      <c r="L104" s="234" t="s">
        <v>1188</v>
      </c>
      <c r="M104" s="235"/>
      <c r="N104" s="235"/>
      <c r="O104" s="235"/>
      <c r="P104" s="235"/>
    </row>
    <row r="105" customFormat="false" ht="19.85" hidden="false" customHeight="true" outlineLevel="0" collapsed="false">
      <c r="A105" s="0" t="n">
        <v>31</v>
      </c>
      <c r="B105" s="34" t="n">
        <v>38687</v>
      </c>
      <c r="C105" s="9" t="n">
        <v>148794</v>
      </c>
      <c r="D105" s="260" t="s">
        <v>41</v>
      </c>
      <c r="E105" s="33" t="n">
        <f aca="false">IF(D105="totale",(C105/(A105*24))/F105,IF(D105="marché libre",(C105/(A105*24))/G105,"spécifier histo"))</f>
        <v>0.0952342549923195</v>
      </c>
      <c r="F105" s="59" t="n">
        <v>2100</v>
      </c>
      <c r="G105" s="59" t="n">
        <f aca="false">F105-H105</f>
        <v>2100</v>
      </c>
      <c r="H105" s="58" t="n">
        <v>0</v>
      </c>
      <c r="J105" s="241"/>
      <c r="L105" s="234" t="s">
        <v>1189</v>
      </c>
      <c r="M105" s="235"/>
      <c r="N105" s="235"/>
      <c r="O105" s="235"/>
      <c r="P105" s="235"/>
    </row>
    <row r="106" customFormat="false" ht="19.85" hidden="false" customHeight="true" outlineLevel="0" collapsed="false">
      <c r="A106" s="0" t="n">
        <v>31</v>
      </c>
      <c r="B106" s="31" t="n">
        <v>38718</v>
      </c>
      <c r="C106" s="56" t="n">
        <v>106519</v>
      </c>
      <c r="D106" s="260" t="s">
        <v>41</v>
      </c>
      <c r="E106" s="33" t="n">
        <f aca="false">IF(D106="totale",(C106/(A106*24))/F106,IF(D106="marché libre",(C106/(A106*24))/G106,"spécifier histo"))</f>
        <v>0.068176523297491</v>
      </c>
      <c r="F106" s="59" t="n">
        <v>2100</v>
      </c>
      <c r="G106" s="59" t="n">
        <f aca="false">F106-H106</f>
        <v>2100</v>
      </c>
      <c r="H106" s="58" t="n">
        <v>0</v>
      </c>
      <c r="J106" s="208"/>
      <c r="O106" s="0"/>
    </row>
    <row r="107" customFormat="false" ht="19.85" hidden="false" customHeight="true" outlineLevel="0" collapsed="false">
      <c r="A107" s="0" t="n">
        <v>28</v>
      </c>
      <c r="B107" s="34" t="n">
        <v>38749</v>
      </c>
      <c r="C107" s="9" t="n">
        <v>132838</v>
      </c>
      <c r="D107" s="260" t="s">
        <v>41</v>
      </c>
      <c r="E107" s="33" t="n">
        <f aca="false">IF(D107="totale",(C107/(A107*24))/F107,IF(D107="marché libre",(C107/(A107*24))/G107,"spécifier histo"))</f>
        <v>0.0941312358276644</v>
      </c>
      <c r="F107" s="59" t="n">
        <v>2100</v>
      </c>
      <c r="G107" s="59" t="n">
        <f aca="false">F107-H107</f>
        <v>2100</v>
      </c>
      <c r="H107" s="58" t="n">
        <v>0</v>
      </c>
      <c r="J107" s="208"/>
      <c r="L107" s="38" t="n">
        <v>1998</v>
      </c>
      <c r="M107" s="38" t="n">
        <v>1999</v>
      </c>
      <c r="N107" s="38" t="n">
        <v>2000</v>
      </c>
      <c r="O107" s="38" t="n">
        <v>2001</v>
      </c>
      <c r="P107" s="38" t="n">
        <v>2002</v>
      </c>
      <c r="Q107" s="38" t="n">
        <v>2003</v>
      </c>
      <c r="R107" s="38"/>
      <c r="S107" s="38" t="n">
        <v>2004</v>
      </c>
      <c r="T107" s="38" t="n">
        <v>2005</v>
      </c>
      <c r="U107" s="38" t="n">
        <v>2006</v>
      </c>
      <c r="V107" s="277" t="n">
        <v>2007</v>
      </c>
      <c r="W107" s="38" t="n">
        <v>2008</v>
      </c>
      <c r="X107" s="38" t="n">
        <v>2009</v>
      </c>
      <c r="Y107" s="38" t="n">
        <v>2010</v>
      </c>
      <c r="Z107" s="38" t="n">
        <v>2011</v>
      </c>
      <c r="AA107" s="38" t="n">
        <v>2012</v>
      </c>
      <c r="AB107" s="38" t="n">
        <v>2013</v>
      </c>
    </row>
    <row r="108" customFormat="false" ht="19.85" hidden="false" customHeight="true" outlineLevel="0" collapsed="false">
      <c r="A108" s="0" t="n">
        <v>31</v>
      </c>
      <c r="B108" s="31" t="n">
        <v>38777</v>
      </c>
      <c r="C108" s="9" t="n">
        <v>497860</v>
      </c>
      <c r="D108" s="260" t="s">
        <v>41</v>
      </c>
      <c r="E108" s="33" t="n">
        <f aca="false">IF(D108="totale",(C108/(A108*24))/F108,IF(D108="marché libre",(C108/(A108*24))/G108,"spécifier histo"))</f>
        <v>0.318650793650794</v>
      </c>
      <c r="F108" s="59" t="n">
        <v>2100</v>
      </c>
      <c r="G108" s="59" t="n">
        <f aca="false">F108-H108</f>
        <v>2100</v>
      </c>
      <c r="H108" s="58" t="n">
        <v>0</v>
      </c>
      <c r="J108" s="208"/>
      <c r="K108" s="1" t="s">
        <v>632</v>
      </c>
      <c r="L108" s="0"/>
      <c r="M108" s="0"/>
      <c r="N108" s="0"/>
      <c r="O108" s="0"/>
      <c r="P108" s="0"/>
      <c r="Q108" s="0"/>
      <c r="R108" s="207"/>
      <c r="S108" s="0"/>
      <c r="T108" s="0"/>
      <c r="U108" s="0"/>
      <c r="V108" s="0"/>
      <c r="W108" s="0"/>
      <c r="X108" s="0"/>
      <c r="Y108" s="0"/>
      <c r="Z108" s="0"/>
      <c r="AA108" s="0"/>
      <c r="AB108" s="0"/>
      <c r="AC108" s="9"/>
    </row>
    <row r="109" customFormat="false" ht="19.85" hidden="false" customHeight="true" outlineLevel="0" collapsed="false">
      <c r="A109" s="0" t="n">
        <v>30</v>
      </c>
      <c r="B109" s="34" t="n">
        <v>38808</v>
      </c>
      <c r="C109" s="9" t="n">
        <v>926759</v>
      </c>
      <c r="D109" s="260" t="s">
        <v>41</v>
      </c>
      <c r="E109" s="33" t="n">
        <f aca="false">IF(D109="totale",(C109/(A109*24))/F109,IF(D109="marché libre",(C109/(A109*24))/G109,"spécifier histo"))</f>
        <v>0.612935846560847</v>
      </c>
      <c r="F109" s="59" t="n">
        <v>2100</v>
      </c>
      <c r="G109" s="59" t="n">
        <f aca="false">F109-H109</f>
        <v>2100</v>
      </c>
      <c r="H109" s="58" t="n">
        <v>0</v>
      </c>
      <c r="J109" s="208"/>
      <c r="K109" s="1" t="s">
        <v>908</v>
      </c>
      <c r="L109" s="0"/>
      <c r="M109" s="0"/>
      <c r="N109" s="0"/>
      <c r="O109" s="0"/>
      <c r="P109" s="0"/>
      <c r="Q109" s="0"/>
      <c r="R109" s="207"/>
      <c r="S109" s="0"/>
      <c r="T109" s="0"/>
      <c r="U109" s="0"/>
      <c r="V109" s="0"/>
      <c r="W109" s="0"/>
      <c r="X109" s="0"/>
      <c r="Y109" s="0"/>
      <c r="Z109" s="0"/>
      <c r="AA109" s="0"/>
      <c r="AB109" s="0"/>
      <c r="AC109" s="207"/>
      <c r="AD109" s="0"/>
    </row>
    <row r="110" customFormat="false" ht="19.85" hidden="false" customHeight="true" outlineLevel="0" collapsed="false">
      <c r="A110" s="0" t="n">
        <v>31</v>
      </c>
      <c r="B110" s="31" t="n">
        <v>38838</v>
      </c>
      <c r="C110" s="9" t="n">
        <v>1258240</v>
      </c>
      <c r="D110" s="260" t="s">
        <v>41</v>
      </c>
      <c r="E110" s="33" t="n">
        <f aca="false">IF(D110="totale",(C110/(A110*24))/F110,IF(D110="marché libre",(C110/(A110*24))/G110,"spécifier histo"))</f>
        <v>0.805325140809012</v>
      </c>
      <c r="F110" s="59" t="n">
        <v>2100</v>
      </c>
      <c r="G110" s="59" t="n">
        <f aca="false">F110-H110</f>
        <v>2100</v>
      </c>
      <c r="H110" s="58" t="n">
        <v>0</v>
      </c>
      <c r="J110" s="208"/>
      <c r="K110" s="1" t="s">
        <v>634</v>
      </c>
      <c r="L110" s="0"/>
      <c r="M110" s="0"/>
      <c r="N110" s="0"/>
      <c r="O110" s="0"/>
      <c r="P110" s="0"/>
      <c r="Q110" s="0"/>
      <c r="R110" s="207"/>
      <c r="S110" s="0"/>
      <c r="T110" s="0"/>
      <c r="U110" s="0"/>
      <c r="V110" s="0"/>
      <c r="W110" s="0"/>
      <c r="X110" s="0"/>
      <c r="Y110" s="0"/>
      <c r="Z110" s="0"/>
      <c r="AA110" s="0"/>
      <c r="AB110" s="0"/>
      <c r="AC110" s="9"/>
    </row>
    <row r="111" customFormat="false" ht="19.85" hidden="false" customHeight="true" outlineLevel="0" collapsed="false">
      <c r="A111" s="0" t="n">
        <v>30</v>
      </c>
      <c r="B111" s="34" t="n">
        <v>38869</v>
      </c>
      <c r="C111" s="9" t="n">
        <v>855422</v>
      </c>
      <c r="D111" s="260" t="s">
        <v>41</v>
      </c>
      <c r="E111" s="33" t="n">
        <f aca="false">IF(D111="totale",(C111/(A111*24))/F111,IF(D111="marché libre",(C111/(A111*24))/G111,"spécifier histo"))</f>
        <v>0.565755291005291</v>
      </c>
      <c r="F111" s="59" t="n">
        <v>2100</v>
      </c>
      <c r="G111" s="59" t="n">
        <f aca="false">F111-H111</f>
        <v>2100</v>
      </c>
      <c r="H111" s="58" t="n">
        <v>0</v>
      </c>
      <c r="J111" s="208"/>
      <c r="K111" s="1" t="s">
        <v>909</v>
      </c>
      <c r="L111" s="0"/>
      <c r="M111" s="0"/>
      <c r="N111" s="0"/>
      <c r="O111" s="0"/>
      <c r="P111" s="0"/>
      <c r="Q111" s="0"/>
      <c r="R111" s="207"/>
      <c r="S111" s="0"/>
      <c r="T111" s="0"/>
      <c r="U111" s="0"/>
      <c r="V111" s="0"/>
      <c r="W111" s="0"/>
      <c r="X111" s="0"/>
      <c r="Y111" s="0"/>
      <c r="Z111" s="0"/>
      <c r="AA111" s="0"/>
      <c r="AB111" s="0"/>
      <c r="AC111" s="9"/>
    </row>
    <row r="112" customFormat="false" ht="19.85" hidden="false" customHeight="true" outlineLevel="0" collapsed="false">
      <c r="A112" s="0" t="n">
        <v>31</v>
      </c>
      <c r="B112" s="31" t="n">
        <v>38899</v>
      </c>
      <c r="C112" s="9" t="n">
        <v>288607</v>
      </c>
      <c r="D112" s="260" t="s">
        <v>41</v>
      </c>
      <c r="E112" s="33" t="n">
        <f aca="false">IF(D112="totale",(C112/(A112*24))/F112,IF(D112="marché libre",(C112/(A112*24))/G112,"spécifier histo"))</f>
        <v>0.184720302099334</v>
      </c>
      <c r="F112" s="59" t="n">
        <v>2100</v>
      </c>
      <c r="G112" s="59" t="n">
        <f aca="false">F112-H112</f>
        <v>2100</v>
      </c>
      <c r="H112" s="58" t="n">
        <v>0</v>
      </c>
      <c r="J112" s="208"/>
      <c r="K112" s="199" t="s">
        <v>636</v>
      </c>
      <c r="L112" s="0"/>
      <c r="M112" s="0"/>
      <c r="N112" s="0"/>
      <c r="O112" s="0"/>
      <c r="P112" s="0"/>
      <c r="Q112" s="0"/>
      <c r="R112" s="9"/>
      <c r="S112" s="0"/>
      <c r="T112" s="0"/>
      <c r="U112" s="0"/>
      <c r="V112" s="0"/>
      <c r="W112" s="0"/>
      <c r="X112" s="0"/>
      <c r="Y112" s="0"/>
      <c r="Z112" s="0"/>
      <c r="AA112" s="0"/>
      <c r="AB112" s="0"/>
      <c r="AC112" s="558"/>
      <c r="AD112" s="199"/>
      <c r="AE112" s="199"/>
    </row>
    <row r="113" customFormat="false" ht="19.85" hidden="false" customHeight="true" outlineLevel="0" collapsed="false">
      <c r="A113" s="0" t="n">
        <v>31</v>
      </c>
      <c r="B113" s="34" t="n">
        <v>38930</v>
      </c>
      <c r="C113" s="9" t="n">
        <v>366621</v>
      </c>
      <c r="D113" s="260" t="s">
        <v>41</v>
      </c>
      <c r="E113" s="33" t="n">
        <f aca="false">IF(D113="totale",(C113/(A113*24))/F113,IF(D113="marché libre",(C113/(A113*24))/G113,"spécifier histo"))</f>
        <v>0.234652457757296</v>
      </c>
      <c r="F113" s="59" t="n">
        <v>2100</v>
      </c>
      <c r="G113" s="59" t="n">
        <f aca="false">F113-H113</f>
        <v>2100</v>
      </c>
      <c r="H113" s="58" t="n">
        <v>0</v>
      </c>
      <c r="J113" s="208"/>
      <c r="K113" s="1" t="s">
        <v>637</v>
      </c>
      <c r="L113" s="0"/>
      <c r="M113" s="0"/>
      <c r="N113" s="0"/>
      <c r="O113" s="0"/>
      <c r="P113" s="0"/>
      <c r="Q113" s="0"/>
      <c r="R113" s="207"/>
      <c r="S113" s="0"/>
      <c r="T113" s="0"/>
      <c r="U113" s="0"/>
      <c r="V113" s="0"/>
      <c r="W113" s="0"/>
      <c r="X113" s="0"/>
      <c r="Y113" s="0"/>
      <c r="Z113" s="0"/>
      <c r="AA113" s="0"/>
      <c r="AB113" s="0"/>
      <c r="AC113" s="9"/>
    </row>
    <row r="114" customFormat="false" ht="19.85" hidden="false" customHeight="true" outlineLevel="0" collapsed="false">
      <c r="A114" s="0" t="n">
        <v>30</v>
      </c>
      <c r="B114" s="31" t="n">
        <v>38961</v>
      </c>
      <c r="C114" s="9" t="n">
        <v>219178</v>
      </c>
      <c r="D114" s="260" t="s">
        <v>41</v>
      </c>
      <c r="E114" s="33" t="n">
        <f aca="false">IF(D114="totale",(C114/(A114*24))/F114,IF(D114="marché libre",(C114/(A114*24))/G114,"spécifier histo"))</f>
        <v>0.144958994708995</v>
      </c>
      <c r="F114" s="59" t="n">
        <v>2100</v>
      </c>
      <c r="G114" s="59" t="n">
        <f aca="false">F114-H114</f>
        <v>2100</v>
      </c>
      <c r="H114" s="58" t="n">
        <v>0</v>
      </c>
      <c r="J114" s="208"/>
      <c r="K114" s="1" t="s">
        <v>638</v>
      </c>
      <c r="L114" s="0"/>
      <c r="M114" s="0"/>
      <c r="N114" s="0"/>
      <c r="O114" s="0"/>
      <c r="P114" s="0"/>
      <c r="Q114" s="0"/>
      <c r="R114" s="207"/>
      <c r="S114" s="0"/>
      <c r="T114" s="0"/>
      <c r="U114" s="0"/>
      <c r="V114" s="0"/>
      <c r="W114" s="0"/>
      <c r="X114" s="0"/>
      <c r="Y114" s="0"/>
      <c r="Z114" s="0"/>
      <c r="AA114" s="0"/>
      <c r="AB114" s="0"/>
      <c r="AC114" s="9"/>
    </row>
    <row r="115" customFormat="false" ht="19.85" hidden="false" customHeight="true" outlineLevel="0" collapsed="false">
      <c r="A115" s="0" t="n">
        <v>31</v>
      </c>
      <c r="B115" s="34" t="n">
        <v>38991</v>
      </c>
      <c r="C115" s="9" t="n">
        <v>307963</v>
      </c>
      <c r="D115" s="260" t="s">
        <v>41</v>
      </c>
      <c r="E115" s="33" t="n">
        <f aca="false">IF(D115="totale",(C115/(A115*24))/F115,IF(D115="marché libre",(C115/(A115*24))/G115,"spécifier histo"))</f>
        <v>0.197108934971838</v>
      </c>
      <c r="F115" s="59" t="n">
        <v>2100</v>
      </c>
      <c r="G115" s="59" t="n">
        <f aca="false">F115-H115</f>
        <v>2100</v>
      </c>
      <c r="H115" s="58" t="n">
        <v>0</v>
      </c>
      <c r="J115" s="208"/>
      <c r="K115" s="1" t="s">
        <v>911</v>
      </c>
      <c r="L115" s="0"/>
      <c r="M115" s="0"/>
      <c r="N115" s="0"/>
      <c r="O115" s="0"/>
      <c r="P115" s="0"/>
      <c r="Q115" s="0"/>
      <c r="R115" s="207"/>
      <c r="S115" s="0"/>
      <c r="T115" s="0"/>
      <c r="U115" s="0"/>
      <c r="V115" s="0"/>
      <c r="W115" s="0"/>
      <c r="X115" s="0"/>
      <c r="Y115" s="0"/>
      <c r="Z115" s="0"/>
      <c r="AA115" s="0"/>
      <c r="AB115" s="0"/>
      <c r="AC115" s="9"/>
    </row>
    <row r="116" customFormat="false" ht="19.85" hidden="false" customHeight="true" outlineLevel="0" collapsed="false">
      <c r="A116" s="0" t="n">
        <v>30</v>
      </c>
      <c r="B116" s="31" t="n">
        <v>39022</v>
      </c>
      <c r="C116" s="9" t="n">
        <v>165587</v>
      </c>
      <c r="D116" s="260" t="s">
        <v>41</v>
      </c>
      <c r="E116" s="33" t="n">
        <f aca="false">IF(D116="totale",(C116/(A116*24))/F116,IF(D116="marché libre",(C116/(A116*24))/G116,"spécifier histo"))</f>
        <v>0.109515211640212</v>
      </c>
      <c r="F116" s="59" t="n">
        <v>2100</v>
      </c>
      <c r="G116" s="59" t="n">
        <f aca="false">F116-H116</f>
        <v>2100</v>
      </c>
      <c r="H116" s="58" t="n">
        <v>0</v>
      </c>
      <c r="J116" s="208"/>
      <c r="K116" s="1" t="s">
        <v>912</v>
      </c>
      <c r="L116" s="0"/>
      <c r="M116" s="0"/>
      <c r="N116" s="0"/>
      <c r="O116" s="0"/>
      <c r="P116" s="0"/>
      <c r="Q116" s="0"/>
      <c r="R116" s="207"/>
      <c r="S116" s="0"/>
      <c r="T116" s="0"/>
      <c r="U116" s="0"/>
      <c r="V116" s="0"/>
      <c r="W116" s="0"/>
      <c r="X116" s="0"/>
      <c r="Y116" s="0"/>
      <c r="Z116" s="0"/>
      <c r="AA116" s="0"/>
      <c r="AB116" s="0"/>
      <c r="AC116" s="9"/>
    </row>
    <row r="117" customFormat="false" ht="19.85" hidden="false" customHeight="true" outlineLevel="0" collapsed="false">
      <c r="A117" s="0" t="n">
        <v>31</v>
      </c>
      <c r="B117" s="34" t="n">
        <v>39052</v>
      </c>
      <c r="C117" s="9" t="n">
        <v>252889</v>
      </c>
      <c r="D117" s="260" t="s">
        <v>41</v>
      </c>
      <c r="E117" s="33" t="n">
        <f aca="false">IF(D117="totale",(C117/(A117*24))/F117,IF(D117="marché libre",(C117/(A117*24))/G117,"spécifier histo"))</f>
        <v>0.161859318996416</v>
      </c>
      <c r="F117" s="59" t="n">
        <v>2100</v>
      </c>
      <c r="G117" s="59" t="n">
        <f aca="false">F117-H117</f>
        <v>2100</v>
      </c>
      <c r="H117" s="58" t="n">
        <v>0</v>
      </c>
      <c r="J117" s="208"/>
      <c r="K117" s="1" t="s">
        <v>1190</v>
      </c>
      <c r="L117" s="0"/>
      <c r="M117" s="0"/>
      <c r="N117" s="0"/>
      <c r="O117" s="0"/>
      <c r="P117" s="0"/>
      <c r="Q117" s="0"/>
      <c r="R117" s="207"/>
      <c r="S117" s="0"/>
      <c r="T117" s="0"/>
      <c r="U117" s="0"/>
      <c r="V117" s="0"/>
      <c r="W117" s="0"/>
      <c r="X117" s="0"/>
      <c r="Y117" s="0"/>
      <c r="Z117" s="0"/>
      <c r="AA117" s="0"/>
      <c r="AB117" s="0"/>
      <c r="AC117" s="9"/>
    </row>
    <row r="118" customFormat="false" ht="19.85" hidden="false" customHeight="true" outlineLevel="0" collapsed="false">
      <c r="A118" s="0" t="n">
        <v>31</v>
      </c>
      <c r="B118" s="31" t="n">
        <v>39083</v>
      </c>
      <c r="C118" s="56" t="n">
        <v>327513</v>
      </c>
      <c r="D118" s="260" t="s">
        <v>41</v>
      </c>
      <c r="E118" s="33" t="n">
        <f aca="false">IF(D118="totale",(C118/(A118*24))/F118,IF(D118="marché libre",(C118/(A118*24))/G118,"spécifier histo"))</f>
        <v>0.209621735791091</v>
      </c>
      <c r="F118" s="59" t="n">
        <v>2100</v>
      </c>
      <c r="G118" s="59" t="n">
        <f aca="false">F118-H118</f>
        <v>2100</v>
      </c>
      <c r="H118" s="58" t="n">
        <v>0</v>
      </c>
      <c r="J118" s="208"/>
      <c r="K118" s="1" t="s">
        <v>914</v>
      </c>
      <c r="L118" s="0"/>
      <c r="M118" s="0"/>
      <c r="N118" s="0"/>
      <c r="O118" s="0"/>
      <c r="P118" s="0"/>
      <c r="Q118" s="0"/>
      <c r="R118" s="207"/>
      <c r="S118" s="0"/>
      <c r="T118" s="0"/>
      <c r="U118" s="0"/>
      <c r="V118" s="0"/>
      <c r="W118" s="0"/>
      <c r="X118" s="0"/>
      <c r="Y118" s="0"/>
      <c r="Z118" s="0"/>
      <c r="AA118" s="0"/>
      <c r="AB118" s="0"/>
      <c r="AC118" s="9"/>
    </row>
    <row r="119" customFormat="false" ht="19.85" hidden="false" customHeight="true" outlineLevel="0" collapsed="false">
      <c r="A119" s="0" t="n">
        <v>28</v>
      </c>
      <c r="B119" s="34" t="n">
        <v>39114</v>
      </c>
      <c r="C119" s="56" t="n">
        <v>314287</v>
      </c>
      <c r="D119" s="260" t="s">
        <v>41</v>
      </c>
      <c r="E119" s="33" t="n">
        <f aca="false">IF(D119="totale",(C119/(A119*24))/F119,IF(D119="marché libre",(C119/(A119*24))/G119,"spécifier histo"))</f>
        <v>0.222709041950113</v>
      </c>
      <c r="F119" s="59" t="n">
        <v>2100</v>
      </c>
      <c r="G119" s="59" t="n">
        <f aca="false">F119-H119</f>
        <v>2100</v>
      </c>
      <c r="H119" s="58" t="n">
        <v>0</v>
      </c>
      <c r="J119" s="208"/>
      <c r="K119" s="1" t="s">
        <v>915</v>
      </c>
      <c r="L119" s="0"/>
      <c r="M119" s="0"/>
      <c r="N119" s="0"/>
      <c r="O119" s="0"/>
      <c r="P119" s="0"/>
      <c r="Q119" s="0"/>
      <c r="R119" s="207"/>
      <c r="S119" s="0"/>
      <c r="T119" s="0"/>
      <c r="U119" s="0"/>
      <c r="V119" s="0"/>
      <c r="W119" s="0"/>
      <c r="X119" s="0"/>
      <c r="Y119" s="0"/>
      <c r="Z119" s="0"/>
      <c r="AA119" s="0"/>
      <c r="AB119" s="0"/>
      <c r="AC119" s="9"/>
    </row>
    <row r="120" customFormat="false" ht="19.85" hidden="false" customHeight="true" outlineLevel="0" collapsed="false">
      <c r="A120" s="0" t="n">
        <v>31</v>
      </c>
      <c r="B120" s="31" t="n">
        <v>39142</v>
      </c>
      <c r="C120" s="9" t="n">
        <v>548564</v>
      </c>
      <c r="D120" s="260" t="s">
        <v>41</v>
      </c>
      <c r="E120" s="33" t="n">
        <f aca="false">IF(D120="totale",(C120/(A120*24))/F120,IF(D120="marché libre",(C120/(A120*24))/G120,"spécifier histo"))</f>
        <v>0.35110343061956</v>
      </c>
      <c r="F120" s="59" t="n">
        <v>2100</v>
      </c>
      <c r="G120" s="59" t="n">
        <f aca="false">F120-H120</f>
        <v>2100</v>
      </c>
      <c r="H120" s="58" t="n">
        <v>0</v>
      </c>
      <c r="J120" s="208"/>
      <c r="L120" s="0"/>
      <c r="M120" s="0"/>
      <c r="N120" s="0"/>
      <c r="O120" s="0"/>
      <c r="P120" s="0"/>
      <c r="Q120" s="0"/>
      <c r="R120" s="0"/>
      <c r="S120" s="0"/>
      <c r="T120" s="0"/>
      <c r="U120" s="0"/>
      <c r="V120" s="0"/>
      <c r="W120" s="0"/>
      <c r="X120" s="0"/>
      <c r="Y120" s="0"/>
      <c r="Z120" s="0"/>
      <c r="AA120" s="0"/>
      <c r="AB120" s="0"/>
    </row>
    <row r="121" customFormat="false" ht="19.85" hidden="false" customHeight="true" outlineLevel="0" collapsed="false">
      <c r="A121" s="0" t="n">
        <v>30</v>
      </c>
      <c r="B121" s="34" t="n">
        <v>39173</v>
      </c>
      <c r="C121" s="9" t="n">
        <v>640559</v>
      </c>
      <c r="D121" s="260" t="s">
        <v>41</v>
      </c>
      <c r="E121" s="33" t="n">
        <f aca="false">IF(D121="totale",(C121/(A121*24))/F121,IF(D121="marché libre",(C121/(A121*24))/G121,"spécifier histo"))</f>
        <v>0.423650132275132</v>
      </c>
      <c r="F121" s="59" t="n">
        <v>2100</v>
      </c>
      <c r="G121" s="59" t="n">
        <f aca="false">F121-H121</f>
        <v>2100</v>
      </c>
      <c r="H121" s="58" t="n">
        <v>0</v>
      </c>
      <c r="J121" s="208"/>
      <c r="L121" s="0"/>
      <c r="M121" s="0"/>
      <c r="N121" s="0"/>
      <c r="O121" s="0"/>
      <c r="P121" s="0"/>
      <c r="Q121" s="0"/>
      <c r="R121" s="0"/>
      <c r="S121" s="0"/>
      <c r="T121" s="0"/>
      <c r="U121" s="0"/>
      <c r="V121" s="0"/>
      <c r="W121" s="0"/>
      <c r="X121" s="0"/>
      <c r="Y121" s="0"/>
      <c r="Z121" s="0"/>
      <c r="AA121" s="0"/>
      <c r="AB121" s="0"/>
    </row>
    <row r="122" customFormat="false" ht="19.85" hidden="false" customHeight="true" outlineLevel="0" collapsed="false">
      <c r="A122" s="0" t="n">
        <v>31</v>
      </c>
      <c r="B122" s="31" t="n">
        <v>39203</v>
      </c>
      <c r="C122" s="9" t="n">
        <v>1037017</v>
      </c>
      <c r="D122" s="260" t="s">
        <v>41</v>
      </c>
      <c r="E122" s="33" t="n">
        <f aca="false">IF(D122="totale",(C122/(A122*24))/F122,IF(D122="marché libre",(C122/(A122*24))/G122,"spécifier histo"))</f>
        <v>0.663733358934972</v>
      </c>
      <c r="F122" s="59" t="n">
        <v>2100</v>
      </c>
      <c r="G122" s="59" t="n">
        <f aca="false">F122-H122</f>
        <v>2100</v>
      </c>
      <c r="H122" s="58" t="n">
        <v>0</v>
      </c>
      <c r="J122" s="208"/>
      <c r="L122" s="0"/>
      <c r="N122" s="0"/>
      <c r="O122" s="0"/>
      <c r="P122" s="0"/>
      <c r="Q122" s="0"/>
      <c r="T122" s="0"/>
      <c r="U122" s="0"/>
      <c r="W122" s="0"/>
      <c r="X122" s="0"/>
      <c r="AA122" s="0"/>
    </row>
    <row r="123" customFormat="false" ht="19.85" hidden="false" customHeight="true" outlineLevel="0" collapsed="false">
      <c r="A123" s="0" t="n">
        <v>30</v>
      </c>
      <c r="B123" s="34" t="n">
        <v>39234</v>
      </c>
      <c r="C123" s="9" t="n">
        <v>1021616</v>
      </c>
      <c r="D123" s="260" t="s">
        <v>41</v>
      </c>
      <c r="E123" s="33" t="n">
        <f aca="false">IF(D123="totale",(C123/(A123*24))/F123,IF(D123="marché libre",(C123/(A123*24))/G123,"spécifier histo"))</f>
        <v>0.675671957671958</v>
      </c>
      <c r="F123" s="59" t="n">
        <v>2100</v>
      </c>
      <c r="G123" s="59" t="n">
        <f aca="false">F123-H123</f>
        <v>2100</v>
      </c>
      <c r="H123" s="58" t="n">
        <v>0</v>
      </c>
      <c r="J123" s="208"/>
      <c r="L123" s="0"/>
      <c r="N123" s="0"/>
      <c r="O123" s="0"/>
      <c r="P123" s="0"/>
      <c r="X123" s="0"/>
      <c r="AA123" s="0"/>
    </row>
    <row r="124" customFormat="false" ht="19.85" hidden="false" customHeight="true" outlineLevel="0" collapsed="false">
      <c r="A124" s="0" t="n">
        <v>31</v>
      </c>
      <c r="B124" s="31" t="n">
        <v>39264</v>
      </c>
      <c r="C124" s="9" t="n">
        <v>789300</v>
      </c>
      <c r="D124" s="260" t="s">
        <v>41</v>
      </c>
      <c r="E124" s="33" t="n">
        <f aca="false">IF(D124="totale",(C124/(A124*24))/F124,IF(D124="marché libre",(C124/(A124*24))/G124,"spécifier histo"))</f>
        <v>0.505184331797235</v>
      </c>
      <c r="F124" s="59" t="n">
        <v>2100</v>
      </c>
      <c r="G124" s="59" t="n">
        <f aca="false">F124-H124</f>
        <v>2100</v>
      </c>
      <c r="H124" s="58" t="n">
        <v>0</v>
      </c>
      <c r="J124" s="208"/>
      <c r="L124" s="0"/>
      <c r="O124" s="0"/>
      <c r="X124" s="0"/>
      <c r="AA124" s="0"/>
    </row>
    <row r="125" customFormat="false" ht="19.85" hidden="false" customHeight="true" outlineLevel="0" collapsed="false">
      <c r="A125" s="0" t="n">
        <v>31</v>
      </c>
      <c r="B125" s="34" t="n">
        <v>39295</v>
      </c>
      <c r="C125" s="9" t="n">
        <v>586430</v>
      </c>
      <c r="D125" s="260" t="s">
        <v>41</v>
      </c>
      <c r="E125" s="33" t="n">
        <f aca="false">IF(D125="totale",(C125/(A125*24))/F125,IF(D125="marché libre",(C125/(A125*24))/G125,"spécifier histo"))</f>
        <v>0.375339221710189</v>
      </c>
      <c r="F125" s="59" t="n">
        <v>2100</v>
      </c>
      <c r="G125" s="59" t="n">
        <f aca="false">F125-H125</f>
        <v>2100</v>
      </c>
      <c r="H125" s="58" t="n">
        <v>0</v>
      </c>
      <c r="J125" s="208"/>
      <c r="L125" s="0"/>
      <c r="O125" s="0"/>
      <c r="X125" s="0"/>
      <c r="AA125" s="0"/>
    </row>
    <row r="126" customFormat="false" ht="19.85" hidden="false" customHeight="true" outlineLevel="0" collapsed="false">
      <c r="A126" s="0" t="n">
        <v>30</v>
      </c>
      <c r="B126" s="31" t="n">
        <v>39326</v>
      </c>
      <c r="C126" s="9" t="n">
        <v>359961</v>
      </c>
      <c r="D126" s="260" t="s">
        <v>41</v>
      </c>
      <c r="E126" s="33" t="n">
        <f aca="false">IF(D126="totale",(C126/(A126*24))/F126,IF(D126="marché libre",(C126/(A126*24))/G126,"spécifier histo"))</f>
        <v>0.238069444444444</v>
      </c>
      <c r="F126" s="59" t="n">
        <v>2100</v>
      </c>
      <c r="G126" s="59" t="n">
        <f aca="false">F126-H126</f>
        <v>2100</v>
      </c>
      <c r="H126" s="58" t="n">
        <v>0</v>
      </c>
      <c r="J126" s="208"/>
      <c r="L126" s="0"/>
      <c r="O126" s="0"/>
      <c r="X126" s="0"/>
      <c r="AA126" s="0"/>
    </row>
    <row r="127" customFormat="false" ht="19.85" hidden="false" customHeight="true" outlineLevel="0" collapsed="false">
      <c r="A127" s="0" t="n">
        <v>31</v>
      </c>
      <c r="B127" s="34" t="n">
        <v>39356</v>
      </c>
      <c r="C127" s="9" t="n">
        <v>297593</v>
      </c>
      <c r="D127" s="260" t="s">
        <v>41</v>
      </c>
      <c r="E127" s="33" t="n">
        <f aca="false">IF(D127="totale",(C127/(A127*24))/F127,IF(D127="marché libre",(C127/(A127*24))/G127,"spécifier histo"))</f>
        <v>0.190471710189452</v>
      </c>
      <c r="F127" s="59" t="n">
        <v>2100</v>
      </c>
      <c r="G127" s="59" t="n">
        <f aca="false">F127-H127</f>
        <v>2100</v>
      </c>
      <c r="H127" s="58" t="n">
        <v>0</v>
      </c>
      <c r="J127" s="208"/>
      <c r="L127" s="0"/>
      <c r="O127" s="0"/>
      <c r="X127" s="0"/>
      <c r="AA127" s="0"/>
    </row>
    <row r="128" customFormat="false" ht="19.85" hidden="false" customHeight="true" outlineLevel="0" collapsed="false">
      <c r="A128" s="0" t="n">
        <v>30</v>
      </c>
      <c r="B128" s="31" t="n">
        <v>39387</v>
      </c>
      <c r="C128" s="9" t="n">
        <v>126494</v>
      </c>
      <c r="D128" s="260" t="s">
        <v>41</v>
      </c>
      <c r="E128" s="33" t="n">
        <f aca="false">IF(D128="totale",(C128/(A128*24))/F128,IF(D128="marché libre",(C128/(A128*24))/G128,"spécifier histo"))</f>
        <v>0.0836600529100529</v>
      </c>
      <c r="F128" s="59" t="n">
        <v>2100</v>
      </c>
      <c r="G128" s="59" t="n">
        <f aca="false">F128-H128</f>
        <v>2100</v>
      </c>
      <c r="H128" s="58" t="n">
        <v>0</v>
      </c>
      <c r="J128" s="208"/>
      <c r="L128" s="0"/>
      <c r="O128" s="0"/>
      <c r="X128" s="0"/>
      <c r="AA128" s="0"/>
    </row>
    <row r="129" customFormat="false" ht="19.85" hidden="false" customHeight="true" outlineLevel="0" collapsed="false">
      <c r="A129" s="0" t="n">
        <v>31</v>
      </c>
      <c r="B129" s="34" t="n">
        <v>39417</v>
      </c>
      <c r="C129" s="9" t="n">
        <v>308790</v>
      </c>
      <c r="D129" s="260" t="s">
        <v>41</v>
      </c>
      <c r="E129" s="33" t="n">
        <f aca="false">IF(D129="totale",(C129/(A129*24))/F129,IF(D129="marché libre",(C129/(A129*24))/G129,"spécifier histo"))</f>
        <v>0.197638248847926</v>
      </c>
      <c r="F129" s="59" t="n">
        <v>2100</v>
      </c>
      <c r="G129" s="59" t="n">
        <f aca="false">F129-H129</f>
        <v>2100</v>
      </c>
      <c r="H129" s="58" t="n">
        <v>0</v>
      </c>
      <c r="J129" s="208"/>
      <c r="L129" s="0"/>
      <c r="O129" s="0"/>
      <c r="X129" s="0"/>
      <c r="AA129" s="0"/>
    </row>
    <row r="130" customFormat="false" ht="19.85" hidden="false" customHeight="true" outlineLevel="0" collapsed="false">
      <c r="A130" s="0" t="n">
        <v>31</v>
      </c>
      <c r="B130" s="31" t="n">
        <v>39448</v>
      </c>
      <c r="C130" s="56" t="n">
        <v>296578</v>
      </c>
      <c r="D130" s="260" t="s">
        <v>41</v>
      </c>
      <c r="E130" s="33" t="n">
        <f aca="false">IF(D130="totale",(C130/(A130*24))/F130,IF(D130="marché libre",(C130/(A130*24))/G130,"spécifier histo"))</f>
        <v>0.189822068612391</v>
      </c>
      <c r="F130" s="59" t="n">
        <v>2100</v>
      </c>
      <c r="G130" s="59" t="n">
        <f aca="false">F130-H130</f>
        <v>2100</v>
      </c>
      <c r="H130" s="58" t="n">
        <v>0</v>
      </c>
      <c r="J130" s="208"/>
      <c r="L130" s="0"/>
      <c r="O130" s="0"/>
      <c r="X130" s="0"/>
      <c r="AA130" s="0"/>
    </row>
    <row r="131" customFormat="false" ht="19.85" hidden="false" customHeight="true" outlineLevel="0" collapsed="false">
      <c r="A131" s="0" t="n">
        <v>28</v>
      </c>
      <c r="B131" s="34" t="n">
        <v>39479</v>
      </c>
      <c r="C131" s="56" t="n">
        <v>166544</v>
      </c>
      <c r="D131" s="260" t="s">
        <v>41</v>
      </c>
      <c r="E131" s="33" t="n">
        <f aca="false">IF(D131="totale",(C131/(A131*24))/F131,IF(D131="marché libre",(C131/(A131*24))/G131,"spécifier histo"))</f>
        <v>0.118015873015873</v>
      </c>
      <c r="F131" s="59" t="n">
        <v>2100</v>
      </c>
      <c r="G131" s="59" t="n">
        <f aca="false">F131-H131</f>
        <v>2100</v>
      </c>
      <c r="H131" s="58" t="n">
        <v>0</v>
      </c>
      <c r="J131" s="208"/>
      <c r="L131" s="0"/>
      <c r="O131" s="0"/>
      <c r="X131" s="0"/>
      <c r="AA131" s="0"/>
    </row>
    <row r="132" customFormat="false" ht="19.85" hidden="false" customHeight="true" outlineLevel="0" collapsed="false">
      <c r="A132" s="0" t="n">
        <v>31</v>
      </c>
      <c r="B132" s="31" t="n">
        <v>39508</v>
      </c>
      <c r="C132" s="9" t="n">
        <v>310202</v>
      </c>
      <c r="D132" s="260" t="s">
        <v>41</v>
      </c>
      <c r="E132" s="33" t="n">
        <f aca="false">IF(D132="totale",(C132/(A132*24))/F132,IF(D132="marché libre",(C132/(A132*24))/G132,"spécifier histo"))</f>
        <v>0.198541986687148</v>
      </c>
      <c r="F132" s="59" t="n">
        <v>2100</v>
      </c>
      <c r="G132" s="59" t="n">
        <f aca="false">F132-H132</f>
        <v>2100</v>
      </c>
      <c r="H132" s="58" t="n">
        <v>0</v>
      </c>
      <c r="J132" s="208"/>
      <c r="L132" s="0"/>
      <c r="O132" s="0"/>
      <c r="X132" s="0"/>
    </row>
    <row r="133" customFormat="false" ht="19.85" hidden="false" customHeight="true" outlineLevel="0" collapsed="false">
      <c r="A133" s="0" t="n">
        <v>30</v>
      </c>
      <c r="B133" s="34" t="n">
        <v>39539</v>
      </c>
      <c r="C133" s="9" t="n">
        <v>490298</v>
      </c>
      <c r="D133" s="260" t="s">
        <v>41</v>
      </c>
      <c r="E133" s="33" t="n">
        <f aca="false">IF(D133="totale",(C133/(A133*24))/F133,IF(D133="marché libre",(C133/(A133*24))/G133,"spécifier histo"))</f>
        <v>0.324271164021164</v>
      </c>
      <c r="F133" s="59" t="n">
        <v>2100</v>
      </c>
      <c r="G133" s="59" t="n">
        <f aca="false">F133-H133</f>
        <v>2100</v>
      </c>
      <c r="H133" s="58" t="n">
        <v>0</v>
      </c>
      <c r="J133" s="208"/>
      <c r="L133" s="0"/>
      <c r="O133" s="0"/>
      <c r="X133" s="0"/>
    </row>
    <row r="134" customFormat="false" ht="19.85" hidden="false" customHeight="true" outlineLevel="0" collapsed="false">
      <c r="A134" s="0" t="n">
        <v>31</v>
      </c>
      <c r="B134" s="31" t="n">
        <v>39569</v>
      </c>
      <c r="C134" s="9" t="n">
        <v>1048812</v>
      </c>
      <c r="D134" s="260" t="s">
        <v>41</v>
      </c>
      <c r="E134" s="33" t="n">
        <f aca="false">IF(D134="totale",(C134/(A134*24))/F134,IF(D134="marché libre",(C134/(A134*24))/G134,"spécifier histo"))</f>
        <v>0.671282642089094</v>
      </c>
      <c r="F134" s="59" t="n">
        <v>2100</v>
      </c>
      <c r="G134" s="59" t="n">
        <f aca="false">F134-H134</f>
        <v>2100</v>
      </c>
      <c r="H134" s="58" t="n">
        <v>0</v>
      </c>
      <c r="J134" s="208"/>
      <c r="L134" s="0"/>
      <c r="O134" s="0"/>
      <c r="X134" s="0"/>
    </row>
    <row r="135" customFormat="false" ht="19.85" hidden="false" customHeight="true" outlineLevel="0" collapsed="false">
      <c r="A135" s="0" t="n">
        <v>30</v>
      </c>
      <c r="B135" s="34" t="n">
        <v>39600</v>
      </c>
      <c r="C135" s="56" t="n">
        <v>444768</v>
      </c>
      <c r="D135" s="260" t="s">
        <v>41</v>
      </c>
      <c r="E135" s="33" t="n">
        <f aca="false">IF(D135="totale",(C135/(A135*24))/F135,IF(D135="marché libre",(C135/(A135*24))/G135,"spécifier histo"))</f>
        <v>0.29415873015873</v>
      </c>
      <c r="F135" s="59" t="n">
        <v>2100</v>
      </c>
      <c r="G135" s="59" t="n">
        <f aca="false">F135-H135</f>
        <v>2100</v>
      </c>
      <c r="H135" s="58" t="n">
        <v>0</v>
      </c>
      <c r="J135" s="208"/>
      <c r="L135" s="0"/>
      <c r="O135" s="0"/>
      <c r="X135" s="0"/>
    </row>
    <row r="136" customFormat="false" ht="19.85" hidden="false" customHeight="true" outlineLevel="0" collapsed="false">
      <c r="A136" s="0" t="n">
        <v>31</v>
      </c>
      <c r="B136" s="31" t="n">
        <v>39630</v>
      </c>
      <c r="C136" s="9" t="n">
        <v>605925</v>
      </c>
      <c r="D136" s="260" t="s">
        <v>41</v>
      </c>
      <c r="E136" s="33" t="n">
        <f aca="false">IF(D136="totale",(C136/(A136*24))/F136,IF(D136="marché libre",(C136/(A136*24))/G136,"spécifier histo"))</f>
        <v>0.387816820276498</v>
      </c>
      <c r="F136" s="59" t="n">
        <v>2100</v>
      </c>
      <c r="G136" s="59" t="n">
        <f aca="false">F136-H136</f>
        <v>2100</v>
      </c>
      <c r="H136" s="58" t="n">
        <v>0</v>
      </c>
      <c r="J136" s="208"/>
      <c r="L136" s="0"/>
      <c r="O136" s="0"/>
      <c r="X136" s="0"/>
    </row>
    <row r="137" customFormat="false" ht="19.85" hidden="false" customHeight="true" outlineLevel="0" collapsed="false">
      <c r="A137" s="0" t="n">
        <v>31</v>
      </c>
      <c r="B137" s="34" t="n">
        <v>39661</v>
      </c>
      <c r="C137" s="9" t="n">
        <v>290687</v>
      </c>
      <c r="D137" s="260" t="s">
        <v>41</v>
      </c>
      <c r="E137" s="33" t="n">
        <f aca="false">IF(D137="totale",(C137/(A137*24))/F137,IF(D137="marché libre",(C137/(A137*24))/G137,"spécifier histo"))</f>
        <v>0.186051587301587</v>
      </c>
      <c r="F137" s="59" t="n">
        <v>2100</v>
      </c>
      <c r="G137" s="59" t="n">
        <f aca="false">F137-H137</f>
        <v>2100</v>
      </c>
      <c r="H137" s="58" t="n">
        <v>0</v>
      </c>
      <c r="J137" s="208"/>
      <c r="L137" s="0"/>
      <c r="O137" s="0"/>
      <c r="X137" s="0"/>
    </row>
    <row r="138" customFormat="false" ht="19.85" hidden="false" customHeight="true" outlineLevel="0" collapsed="false">
      <c r="A138" s="0" t="n">
        <v>30</v>
      </c>
      <c r="B138" s="31" t="n">
        <v>39692</v>
      </c>
      <c r="C138" s="9" t="n">
        <v>502694</v>
      </c>
      <c r="D138" s="260" t="s">
        <v>41</v>
      </c>
      <c r="E138" s="33" t="n">
        <f aca="false">IF(D138="totale",(C138/(A138*24))/F138,IF(D138="marché libre",(C138/(A138*24))/G138,"spécifier histo"))</f>
        <v>0.332469576719577</v>
      </c>
      <c r="F138" s="59" t="n">
        <v>2100</v>
      </c>
      <c r="G138" s="59" t="n">
        <f aca="false">F138-H138</f>
        <v>2100</v>
      </c>
      <c r="H138" s="58" t="n">
        <v>0</v>
      </c>
      <c r="J138" s="208"/>
      <c r="L138" s="0"/>
      <c r="O138" s="0"/>
      <c r="X138" s="0"/>
    </row>
    <row r="139" customFormat="false" ht="19.85" hidden="false" customHeight="true" outlineLevel="0" collapsed="false">
      <c r="A139" s="0" t="n">
        <v>31</v>
      </c>
      <c r="B139" s="34" t="n">
        <v>39722</v>
      </c>
      <c r="C139" s="9" t="n">
        <v>180318</v>
      </c>
      <c r="D139" s="260" t="s">
        <v>41</v>
      </c>
      <c r="E139" s="33" t="n">
        <f aca="false">IF(D139="totale",(C139/(A139*24))/F139,IF(D139="marché libre",(C139/(A139*24))/G139,"spécifier histo"))</f>
        <v>0.115410906298003</v>
      </c>
      <c r="F139" s="59" t="n">
        <v>2100</v>
      </c>
      <c r="G139" s="59" t="n">
        <f aca="false">F139-H139</f>
        <v>2100</v>
      </c>
      <c r="H139" s="58" t="n">
        <v>0</v>
      </c>
      <c r="J139" s="208"/>
      <c r="L139" s="0"/>
      <c r="O139" s="0"/>
      <c r="X139" s="0"/>
    </row>
    <row r="140" customFormat="false" ht="19.85" hidden="false" customHeight="true" outlineLevel="0" collapsed="false">
      <c r="A140" s="0" t="n">
        <v>30</v>
      </c>
      <c r="B140" s="31" t="n">
        <v>39753</v>
      </c>
      <c r="C140" s="9" t="n">
        <v>225056</v>
      </c>
      <c r="D140" s="260" t="s">
        <v>41</v>
      </c>
      <c r="E140" s="33" t="n">
        <f aca="false">IF(D140="totale",(C140/(A140*24))/F140,IF(D140="marché libre",(C140/(A140*24))/G140,"spécifier histo"))</f>
        <v>0.148846560846561</v>
      </c>
      <c r="F140" s="59" t="n">
        <v>2100</v>
      </c>
      <c r="G140" s="59" t="n">
        <f aca="false">F140-H140</f>
        <v>2100</v>
      </c>
      <c r="H140" s="58" t="n">
        <v>0</v>
      </c>
      <c r="J140" s="208"/>
      <c r="L140" s="0"/>
      <c r="O140" s="0"/>
      <c r="X140" s="0"/>
    </row>
    <row r="141" customFormat="false" ht="19.85" hidden="false" customHeight="true" outlineLevel="0" collapsed="false">
      <c r="A141" s="0" t="n">
        <v>31</v>
      </c>
      <c r="B141" s="34" t="n">
        <v>39783</v>
      </c>
      <c r="C141" s="9" t="n">
        <v>138100</v>
      </c>
      <c r="D141" s="260" t="s">
        <v>41</v>
      </c>
      <c r="E141" s="33" t="n">
        <f aca="false">IF(D141="totale",(C141/(A141*24))/F141,IF(D141="marché libre",(C141/(A141*24))/G141,"spécifier histo"))</f>
        <v>0.088389656938044</v>
      </c>
      <c r="F141" s="59" t="n">
        <v>2100</v>
      </c>
      <c r="G141" s="59" t="n">
        <f aca="false">F141-H141</f>
        <v>2100</v>
      </c>
      <c r="H141" s="58" t="n">
        <v>0</v>
      </c>
      <c r="J141" s="208"/>
      <c r="L141" s="0"/>
      <c r="O141" s="0"/>
      <c r="X141" s="0"/>
    </row>
    <row r="142" customFormat="false" ht="19.85" hidden="false" customHeight="true" outlineLevel="0" collapsed="false">
      <c r="A142" s="0" t="n">
        <v>31</v>
      </c>
      <c r="B142" s="31" t="n">
        <v>39814</v>
      </c>
      <c r="C142" s="56" t="n">
        <v>177229</v>
      </c>
      <c r="D142" s="260" t="s">
        <v>41</v>
      </c>
      <c r="E142" s="33" t="n">
        <f aca="false">IF(D142="totale",(C142/(A142*24))/F142,IF(D142="marché libre",(C142/(A142*24))/G142,"spécifier histo"))</f>
        <v>0.113433819764465</v>
      </c>
      <c r="F142" s="59" t="n">
        <v>2100</v>
      </c>
      <c r="G142" s="59" t="n">
        <f aca="false">F142-H142</f>
        <v>2100</v>
      </c>
      <c r="H142" s="58" t="n">
        <v>0</v>
      </c>
      <c r="J142" s="208"/>
      <c r="L142" s="0"/>
      <c r="O142" s="0"/>
      <c r="X142" s="0"/>
    </row>
    <row r="143" customFormat="false" ht="19.85" hidden="false" customHeight="true" outlineLevel="0" collapsed="false">
      <c r="A143" s="0" t="n">
        <v>28</v>
      </c>
      <c r="B143" s="34" t="n">
        <v>39845</v>
      </c>
      <c r="C143" s="9" t="n">
        <v>127007</v>
      </c>
      <c r="D143" s="260" t="s">
        <v>41</v>
      </c>
      <c r="E143" s="33" t="n">
        <f aca="false">IF(D143="totale",(C143/(A143*24))/F143,IF(D143="marché libre",(C143/(A143*24))/G143,"spécifier histo"))</f>
        <v>0.08999929138322</v>
      </c>
      <c r="F143" s="59" t="n">
        <v>2100</v>
      </c>
      <c r="G143" s="59" t="n">
        <f aca="false">F143-H143</f>
        <v>2100</v>
      </c>
      <c r="H143" s="58" t="n">
        <v>0</v>
      </c>
      <c r="J143" s="208"/>
      <c r="L143" s="0"/>
      <c r="O143" s="0"/>
      <c r="X143" s="0"/>
    </row>
    <row r="144" customFormat="false" ht="19.85" hidden="false" customHeight="true" outlineLevel="0" collapsed="false">
      <c r="A144" s="0" t="n">
        <v>31</v>
      </c>
      <c r="B144" s="31" t="n">
        <v>39873</v>
      </c>
      <c r="C144" s="9" t="n">
        <v>155783</v>
      </c>
      <c r="D144" s="260" t="s">
        <v>41</v>
      </c>
      <c r="E144" s="33" t="n">
        <f aca="false">IF(D144="totale",(C144/(A144*24))/F144,IF(D144="marché libre",(C144/(A144*24))/G144,"spécifier histo"))</f>
        <v>0.0997075012800819</v>
      </c>
      <c r="F144" s="59" t="n">
        <v>2100</v>
      </c>
      <c r="G144" s="59" t="n">
        <f aca="false">F144-H144</f>
        <v>2100</v>
      </c>
      <c r="H144" s="58" t="n">
        <v>0</v>
      </c>
      <c r="J144" s="208"/>
      <c r="L144" s="0"/>
      <c r="O144" s="0"/>
      <c r="X144" s="0"/>
    </row>
    <row r="145" customFormat="false" ht="19.85" hidden="false" customHeight="true" outlineLevel="0" collapsed="false">
      <c r="A145" s="0" t="n">
        <v>30</v>
      </c>
      <c r="B145" s="34" t="n">
        <v>39904</v>
      </c>
      <c r="C145" s="9" t="n">
        <v>557847</v>
      </c>
      <c r="D145" s="260" t="s">
        <v>41</v>
      </c>
      <c r="E145" s="33" t="n">
        <f aca="false">IF(D145="totale",(C145/(A145*24))/F145,IF(D145="marché libre",(C145/(A145*24))/G145,"spécifier histo"))</f>
        <v>0.368946428571429</v>
      </c>
      <c r="F145" s="59" t="n">
        <v>2100</v>
      </c>
      <c r="G145" s="59" t="n">
        <f aca="false">F145-H145</f>
        <v>2100</v>
      </c>
      <c r="H145" s="58" t="n">
        <v>0</v>
      </c>
      <c r="J145" s="208"/>
      <c r="L145" s="0"/>
      <c r="O145" s="0"/>
      <c r="X145" s="0"/>
    </row>
    <row r="146" customFormat="false" ht="19.85" hidden="false" customHeight="true" outlineLevel="0" collapsed="false">
      <c r="A146" s="0" t="n">
        <v>31</v>
      </c>
      <c r="B146" s="31" t="n">
        <v>39934</v>
      </c>
      <c r="C146" s="9" t="n">
        <v>1073282</v>
      </c>
      <c r="D146" s="260" t="s">
        <v>41</v>
      </c>
      <c r="E146" s="33" t="n">
        <f aca="false">IF(D146="totale",(C146/(A146*24))/F146,IF(D146="marché libre",(C146/(A146*24))/G146,"spécifier histo"))</f>
        <v>0.686944444444444</v>
      </c>
      <c r="F146" s="59" t="n">
        <v>2100</v>
      </c>
      <c r="G146" s="59" t="n">
        <f aca="false">F146-H146</f>
        <v>2100</v>
      </c>
      <c r="H146" s="58" t="n">
        <v>0</v>
      </c>
      <c r="J146" s="208"/>
      <c r="L146" s="0"/>
      <c r="O146" s="0"/>
      <c r="X146" s="0"/>
    </row>
    <row r="147" customFormat="false" ht="19.85" hidden="false" customHeight="true" outlineLevel="0" collapsed="false">
      <c r="A147" s="0" t="n">
        <v>30</v>
      </c>
      <c r="B147" s="34" t="n">
        <v>39965</v>
      </c>
      <c r="C147" s="9" t="n">
        <v>613429</v>
      </c>
      <c r="D147" s="260" t="s">
        <v>41</v>
      </c>
      <c r="E147" s="33" t="n">
        <f aca="false">IF(D147="totale",(C147/(A147*24))/F147,IF(D147="marché libre",(C147/(A147*24))/G147,"spécifier histo"))</f>
        <v>0.405707010582011</v>
      </c>
      <c r="F147" s="59" t="n">
        <v>2100</v>
      </c>
      <c r="G147" s="59" t="n">
        <f aca="false">F147-H147</f>
        <v>2100</v>
      </c>
      <c r="H147" s="58" t="n">
        <v>0</v>
      </c>
      <c r="J147" s="208"/>
      <c r="L147" s="0"/>
      <c r="O147" s="0"/>
      <c r="X147" s="0"/>
    </row>
    <row r="148" customFormat="false" ht="19.85" hidden="false" customHeight="true" outlineLevel="0" collapsed="false">
      <c r="A148" s="0" t="n">
        <v>31</v>
      </c>
      <c r="B148" s="31" t="n">
        <v>39995</v>
      </c>
      <c r="C148" s="9" t="n">
        <v>256566</v>
      </c>
      <c r="D148" s="260" t="s">
        <v>41</v>
      </c>
      <c r="E148" s="33" t="n">
        <f aca="false">IF(D148="totale",(C148/(A148*24))/F148,IF(D148="marché libre",(C148/(A148*24))/G148,"spécifier histo"))</f>
        <v>0.164212749615975</v>
      </c>
      <c r="F148" s="59" t="n">
        <v>2100</v>
      </c>
      <c r="G148" s="59" t="n">
        <f aca="false">F148-H148</f>
        <v>2100</v>
      </c>
      <c r="H148" s="58" t="n">
        <v>0</v>
      </c>
      <c r="J148" s="208"/>
      <c r="L148" s="0"/>
      <c r="O148" s="0"/>
      <c r="X148" s="0"/>
    </row>
    <row r="149" customFormat="false" ht="19.85" hidden="false" customHeight="true" outlineLevel="0" collapsed="false">
      <c r="A149" s="0" t="n">
        <v>31</v>
      </c>
      <c r="B149" s="34" t="n">
        <v>40026</v>
      </c>
      <c r="C149" s="9" t="n">
        <v>134563</v>
      </c>
      <c r="D149" s="260" t="s">
        <v>41</v>
      </c>
      <c r="E149" s="33" t="n">
        <f aca="false">IF(D149="totale",(C149/(A149*24))/F149,IF(D149="marché libre",(C149/(A149*24))/G149,"spécifier histo"))</f>
        <v>0.0861258320532514</v>
      </c>
      <c r="F149" s="59" t="n">
        <v>2100</v>
      </c>
      <c r="G149" s="59" t="n">
        <f aca="false">F149-H149</f>
        <v>2100</v>
      </c>
      <c r="H149" s="58" t="n">
        <v>0</v>
      </c>
      <c r="J149" s="208"/>
      <c r="L149" s="0"/>
      <c r="O149" s="0"/>
      <c r="X149" s="0"/>
    </row>
    <row r="150" customFormat="false" ht="19.85" hidden="false" customHeight="true" outlineLevel="0" collapsed="false">
      <c r="A150" s="0" t="n">
        <v>30</v>
      </c>
      <c r="B150" s="31" t="n">
        <v>40057</v>
      </c>
      <c r="C150" s="9" t="n">
        <v>78170</v>
      </c>
      <c r="D150" s="260" t="s">
        <v>41</v>
      </c>
      <c r="E150" s="33" t="n">
        <f aca="false">IF(D150="totale",(C150/(A150*24))/F150,IF(D150="marché libre",(C150/(A150*24))/G150,"spécifier histo"))</f>
        <v>0.0516997354497354</v>
      </c>
      <c r="F150" s="59" t="n">
        <v>2100</v>
      </c>
      <c r="G150" s="59" t="n">
        <f aca="false">F150-H150</f>
        <v>2100</v>
      </c>
      <c r="H150" s="58" t="n">
        <v>0</v>
      </c>
      <c r="J150" s="208"/>
      <c r="L150" s="0"/>
      <c r="O150" s="0"/>
      <c r="X150" s="0"/>
    </row>
    <row r="151" customFormat="false" ht="19.85" hidden="false" customHeight="true" outlineLevel="0" collapsed="false">
      <c r="A151" s="0" t="n">
        <v>31</v>
      </c>
      <c r="B151" s="34" t="n">
        <v>40087</v>
      </c>
      <c r="C151" s="9" t="n">
        <v>42645</v>
      </c>
      <c r="D151" s="260" t="s">
        <v>41</v>
      </c>
      <c r="E151" s="33" t="n">
        <f aca="false">IF(D151="totale",(C151/(A151*24))/F151,IF(D151="marché libre",(C151/(A151*24))/G151,"spécifier histo"))</f>
        <v>0.0272945468509985</v>
      </c>
      <c r="F151" s="59" t="n">
        <v>2100</v>
      </c>
      <c r="G151" s="59" t="n">
        <f aca="false">F151-H151</f>
        <v>2100</v>
      </c>
      <c r="H151" s="58" t="n">
        <v>0</v>
      </c>
      <c r="J151" s="208"/>
      <c r="L151" s="0"/>
      <c r="O151" s="0"/>
      <c r="X151" s="0"/>
    </row>
    <row r="152" customFormat="false" ht="19.85" hidden="false" customHeight="true" outlineLevel="0" collapsed="false">
      <c r="A152" s="0" t="n">
        <v>30</v>
      </c>
      <c r="B152" s="31" t="n">
        <v>40118</v>
      </c>
      <c r="C152" s="9" t="n">
        <v>338031</v>
      </c>
      <c r="D152" s="260" t="s">
        <v>41</v>
      </c>
      <c r="E152" s="33" t="n">
        <f aca="false">IF(D152="totale",(C152/(A152*24))/F152,IF(D152="marché libre",(C152/(A152*24))/G152,"spécifier histo"))</f>
        <v>0.223565476190476</v>
      </c>
      <c r="F152" s="59" t="n">
        <v>2100</v>
      </c>
      <c r="G152" s="59" t="n">
        <f aca="false">F152-H152</f>
        <v>2100</v>
      </c>
      <c r="H152" s="58" t="n">
        <v>0</v>
      </c>
      <c r="J152" s="208"/>
      <c r="L152" s="0"/>
      <c r="O152" s="0"/>
      <c r="X152" s="0"/>
    </row>
    <row r="153" customFormat="false" ht="19.85" hidden="false" customHeight="true" outlineLevel="0" collapsed="false">
      <c r="A153" s="0" t="n">
        <v>31</v>
      </c>
      <c r="B153" s="34" t="n">
        <v>40148</v>
      </c>
      <c r="C153" s="9" t="n">
        <v>443351</v>
      </c>
      <c r="D153" s="260" t="s">
        <v>41</v>
      </c>
      <c r="E153" s="33" t="n">
        <f aca="false">IF(D153="totale",(C153/(A153*24))/F153,IF(D153="marché libre",(C153/(A153*24))/G153,"spécifier histo"))</f>
        <v>0.283762800819252</v>
      </c>
      <c r="F153" s="59" t="n">
        <v>2100</v>
      </c>
      <c r="G153" s="59" t="n">
        <f aca="false">F153-H153</f>
        <v>2100</v>
      </c>
      <c r="H153" s="58" t="n">
        <v>0</v>
      </c>
      <c r="J153" s="208"/>
      <c r="L153" s="0"/>
      <c r="O153" s="0"/>
      <c r="X153" s="0"/>
    </row>
    <row r="154" customFormat="false" ht="19.85" hidden="false" customHeight="true" outlineLevel="0" collapsed="false">
      <c r="A154" s="0" t="n">
        <v>31</v>
      </c>
      <c r="B154" s="31" t="n">
        <v>40179</v>
      </c>
      <c r="C154" s="56" t="n">
        <v>298793</v>
      </c>
      <c r="D154" s="260" t="s">
        <v>41</v>
      </c>
      <c r="E154" s="33" t="n">
        <f aca="false">IF(D154="totale",(C154/(A154*24))/F154,IF(D154="marché libre",(C154/(A154*24))/G154,"spécifier histo"))</f>
        <v>0.191239759344598</v>
      </c>
      <c r="F154" s="59" t="n">
        <v>2100</v>
      </c>
      <c r="G154" s="59" t="n">
        <f aca="false">F154-H154</f>
        <v>2100</v>
      </c>
      <c r="H154" s="58" t="n">
        <v>0</v>
      </c>
      <c r="J154" s="208"/>
      <c r="L154" s="0"/>
      <c r="O154" s="0"/>
      <c r="X154" s="0"/>
    </row>
    <row r="155" customFormat="false" ht="19.85" hidden="false" customHeight="true" outlineLevel="0" collapsed="false">
      <c r="A155" s="0" t="n">
        <v>28</v>
      </c>
      <c r="B155" s="34" t="n">
        <v>40210</v>
      </c>
      <c r="C155" s="56" t="n">
        <v>158289</v>
      </c>
      <c r="D155" s="260" t="s">
        <v>41</v>
      </c>
      <c r="E155" s="33" t="n">
        <f aca="false">IF(D155="totale",(C155/(A155*24))/F155,IF(D155="marché libre",(C155/(A155*24))/G155,"spécifier histo"))</f>
        <v>0.112166241496599</v>
      </c>
      <c r="F155" s="59" t="n">
        <v>2100</v>
      </c>
      <c r="G155" s="59" t="n">
        <f aca="false">F155-H155</f>
        <v>2100</v>
      </c>
      <c r="H155" s="58" t="n">
        <v>0</v>
      </c>
      <c r="J155" s="208"/>
      <c r="L155" s="0"/>
      <c r="O155" s="0"/>
      <c r="X155" s="0"/>
    </row>
    <row r="156" customFormat="false" ht="19.85" hidden="false" customHeight="true" outlineLevel="0" collapsed="false">
      <c r="A156" s="0" t="n">
        <v>31</v>
      </c>
      <c r="B156" s="31" t="n">
        <v>40238</v>
      </c>
      <c r="C156" s="9" t="n">
        <v>332743</v>
      </c>
      <c r="D156" s="260" t="s">
        <v>41</v>
      </c>
      <c r="E156" s="33" t="n">
        <f aca="false">IF(D156="totale",(C156/(A156*24))/F156,IF(D156="marché libre",(C156/(A156*24))/G156,"spécifier histo"))</f>
        <v>0.212969150025602</v>
      </c>
      <c r="F156" s="59" t="n">
        <v>2100</v>
      </c>
      <c r="G156" s="59" t="n">
        <f aca="false">F156-H156</f>
        <v>2100</v>
      </c>
      <c r="H156" s="58" t="n">
        <v>0</v>
      </c>
      <c r="J156" s="208"/>
      <c r="L156" s="0"/>
      <c r="X156" s="0"/>
    </row>
    <row r="157" customFormat="false" ht="19.85" hidden="false" customHeight="true" outlineLevel="0" collapsed="false">
      <c r="A157" s="0" t="n">
        <v>30</v>
      </c>
      <c r="B157" s="34" t="n">
        <v>40269</v>
      </c>
      <c r="C157" s="9" t="n">
        <v>587797</v>
      </c>
      <c r="D157" s="260" t="s">
        <v>41</v>
      </c>
      <c r="E157" s="33" t="n">
        <f aca="false">IF(D157="totale",(C157/(A157*24))/F157,IF(D157="marché libre",(C157/(A157*24))/G157,"spécifier histo"))</f>
        <v>0.38875462962963</v>
      </c>
      <c r="F157" s="59" t="n">
        <v>2100</v>
      </c>
      <c r="G157" s="59" t="n">
        <f aca="false">F157-H157</f>
        <v>2100</v>
      </c>
      <c r="H157" s="58" t="n">
        <v>0</v>
      </c>
      <c r="J157" s="208"/>
      <c r="L157" s="0"/>
      <c r="X157" s="0"/>
    </row>
    <row r="158" customFormat="false" ht="19.85" hidden="false" customHeight="true" outlineLevel="0" collapsed="false">
      <c r="A158" s="0" t="n">
        <v>31</v>
      </c>
      <c r="B158" s="31" t="n">
        <v>40299</v>
      </c>
      <c r="C158" s="9" t="n">
        <v>1094038</v>
      </c>
      <c r="D158" s="260" t="s">
        <v>41</v>
      </c>
      <c r="E158" s="33" t="n">
        <f aca="false">IF(D158="totale",(C158/(A158*24))/F158,IF(D158="marché libre",(C158/(A158*24))/G158,"spécifier histo"))</f>
        <v>0.700229134664619</v>
      </c>
      <c r="F158" s="59" t="n">
        <v>2100</v>
      </c>
      <c r="G158" s="59" t="n">
        <f aca="false">F158-H158</f>
        <v>2100</v>
      </c>
      <c r="H158" s="58" t="n">
        <v>0</v>
      </c>
      <c r="J158" s="208"/>
      <c r="L158" s="0"/>
      <c r="X158" s="0"/>
    </row>
    <row r="159" customFormat="false" ht="19.85" hidden="false" customHeight="true" outlineLevel="0" collapsed="false">
      <c r="A159" s="0" t="n">
        <v>30</v>
      </c>
      <c r="B159" s="34" t="n">
        <v>40330</v>
      </c>
      <c r="C159" s="9" t="n">
        <v>983384</v>
      </c>
      <c r="D159" s="260" t="s">
        <v>41</v>
      </c>
      <c r="E159" s="33" t="n">
        <f aca="false">IF(D159="totale",(C159/(A159*24))/F159,IF(D159="marché libre",(C159/(A159*24))/G159,"spécifier histo"))</f>
        <v>0.650386243386243</v>
      </c>
      <c r="F159" s="59" t="n">
        <v>2100</v>
      </c>
      <c r="G159" s="59" t="n">
        <f aca="false">F159-H159</f>
        <v>2100</v>
      </c>
      <c r="H159" s="58" t="n">
        <v>0</v>
      </c>
      <c r="J159" s="208"/>
      <c r="L159" s="0"/>
      <c r="X159" s="0"/>
    </row>
    <row r="160" customFormat="false" ht="19.85" hidden="false" customHeight="true" outlineLevel="0" collapsed="false">
      <c r="A160" s="0" t="n">
        <v>31</v>
      </c>
      <c r="B160" s="31" t="n">
        <v>40360</v>
      </c>
      <c r="C160" s="9" t="n">
        <v>400830</v>
      </c>
      <c r="D160" s="260" t="s">
        <v>41</v>
      </c>
      <c r="E160" s="33" t="n">
        <f aca="false">IF(D160="totale",(C160/(A160*24))/F160,IF(D160="marché libre",(C160/(A160*24))/G160,"spécifier histo"))</f>
        <v>0.256547619047619</v>
      </c>
      <c r="F160" s="59" t="n">
        <v>2100</v>
      </c>
      <c r="G160" s="59" t="n">
        <f aca="false">F160-H160</f>
        <v>2100</v>
      </c>
      <c r="H160" s="58" t="n">
        <v>0</v>
      </c>
      <c r="J160" s="208"/>
      <c r="L160" s="0"/>
      <c r="X160" s="0"/>
    </row>
    <row r="161" customFormat="false" ht="19.85" hidden="false" customHeight="true" outlineLevel="0" collapsed="false">
      <c r="A161" s="0" t="n">
        <v>31</v>
      </c>
      <c r="B161" s="34" t="n">
        <v>40391</v>
      </c>
      <c r="C161" s="9" t="n">
        <v>420609</v>
      </c>
      <c r="D161" s="260" t="s">
        <v>41</v>
      </c>
      <c r="E161" s="33" t="n">
        <f aca="false">IF(D161="totale",(C161/(A161*24))/F161,IF(D161="marché libre",(C161/(A161*24))/G161,"spécifier histo"))</f>
        <v>0.269206989247312</v>
      </c>
      <c r="F161" s="59" t="n">
        <v>2100</v>
      </c>
      <c r="G161" s="59" t="n">
        <f aca="false">F161-H161</f>
        <v>2100</v>
      </c>
      <c r="H161" s="58" t="n">
        <v>0</v>
      </c>
      <c r="J161" s="208"/>
      <c r="L161" s="0"/>
      <c r="X161" s="0"/>
    </row>
    <row r="162" customFormat="false" ht="19.85" hidden="false" customHeight="true" outlineLevel="0" collapsed="false">
      <c r="A162" s="0" t="n">
        <v>30</v>
      </c>
      <c r="B162" s="31" t="n">
        <v>40422</v>
      </c>
      <c r="C162" s="9" t="n">
        <v>197232</v>
      </c>
      <c r="D162" s="260" t="s">
        <v>41</v>
      </c>
      <c r="E162" s="33" t="n">
        <f aca="false">IF(D162="totale",(C162/(A162*24))/F162,IF(D162="marché libre",(C162/(A162*24))/G162,"spécifier histo"))</f>
        <v>0.130444444444444</v>
      </c>
      <c r="F162" s="59" t="n">
        <v>2100</v>
      </c>
      <c r="G162" s="59" t="n">
        <f aca="false">F162-H162</f>
        <v>2100</v>
      </c>
      <c r="H162" s="58" t="n">
        <v>0</v>
      </c>
      <c r="J162" s="208"/>
      <c r="L162" s="0"/>
      <c r="X162" s="0"/>
    </row>
    <row r="163" customFormat="false" ht="19.85" hidden="false" customHeight="true" outlineLevel="0" collapsed="false">
      <c r="A163" s="0" t="n">
        <v>31</v>
      </c>
      <c r="B163" s="34" t="n">
        <v>40452</v>
      </c>
      <c r="C163" s="9" t="n">
        <v>133740</v>
      </c>
      <c r="D163" s="260" t="s">
        <v>41</v>
      </c>
      <c r="E163" s="33" t="n">
        <f aca="false">IF(D163="totale",(C163/(A163*24))/F163,IF(D163="marché libre",(C163/(A163*24))/G163,"spécifier histo"))</f>
        <v>0.0855990783410138</v>
      </c>
      <c r="F163" s="59" t="n">
        <v>2100</v>
      </c>
      <c r="G163" s="59" t="n">
        <f aca="false">F163-H163</f>
        <v>2100</v>
      </c>
      <c r="H163" s="58" t="n">
        <v>0</v>
      </c>
      <c r="J163" s="208"/>
      <c r="L163" s="0"/>
      <c r="X163" s="0"/>
    </row>
    <row r="164" customFormat="false" ht="19.85" hidden="false" customHeight="true" outlineLevel="0" collapsed="false">
      <c r="A164" s="0" t="n">
        <v>30</v>
      </c>
      <c r="B164" s="31" t="n">
        <v>40483</v>
      </c>
      <c r="C164" s="9" t="n">
        <v>270782</v>
      </c>
      <c r="D164" s="260" t="s">
        <v>41</v>
      </c>
      <c r="E164" s="33" t="n">
        <f aca="false">IF(D164="totale",(C164/(A164*24))/F164,IF(D164="marché libre",(C164/(A164*24))/G164,"spécifier histo"))</f>
        <v>0.179088624338624</v>
      </c>
      <c r="F164" s="59" t="n">
        <v>2100</v>
      </c>
      <c r="G164" s="59" t="n">
        <f aca="false">F164-H164</f>
        <v>2100</v>
      </c>
      <c r="H164" s="58" t="n">
        <v>0</v>
      </c>
      <c r="J164" s="208"/>
      <c r="L164" s="0"/>
      <c r="X164" s="0"/>
    </row>
    <row r="165" customFormat="false" ht="19.85" hidden="false" customHeight="true" outlineLevel="0" collapsed="false">
      <c r="A165" s="0" t="n">
        <v>31</v>
      </c>
      <c r="B165" s="34" t="n">
        <v>40513</v>
      </c>
      <c r="C165" s="9" t="n">
        <v>424197</v>
      </c>
      <c r="D165" s="260" t="s">
        <v>41</v>
      </c>
      <c r="E165" s="33" t="n">
        <f aca="false">IF(D165="totale",(C165/(A165*24))/F165,IF(D165="marché libre",(C165/(A165*24))/G165,"spécifier histo"))</f>
        <v>0.271503456221198</v>
      </c>
      <c r="F165" s="59" t="n">
        <v>2100</v>
      </c>
      <c r="G165" s="59" t="n">
        <f aca="false">F165-H165</f>
        <v>2100</v>
      </c>
      <c r="H165" s="58" t="n">
        <v>0</v>
      </c>
      <c r="J165" s="208"/>
      <c r="L165" s="0"/>
      <c r="X165" s="0"/>
    </row>
    <row r="166" customFormat="false" ht="19.85" hidden="false" customHeight="true" outlineLevel="0" collapsed="false">
      <c r="A166" s="0" t="n">
        <v>31</v>
      </c>
      <c r="B166" s="31" t="n">
        <v>40544</v>
      </c>
      <c r="C166" s="56" t="n">
        <v>225286</v>
      </c>
      <c r="D166" s="260" t="s">
        <v>41</v>
      </c>
      <c r="E166" s="33" t="n">
        <f aca="false">IF(D166="totale",(C166/(A166*24))/F166,IF(D166="marché libre",(C166/(A166*24))/G166,"spécifier histo"))</f>
        <v>0.144192268305172</v>
      </c>
      <c r="F166" s="59" t="n">
        <v>2100</v>
      </c>
      <c r="G166" s="59" t="n">
        <f aca="false">F166-H166</f>
        <v>2100</v>
      </c>
      <c r="H166" s="58" t="n">
        <v>0</v>
      </c>
      <c r="J166" s="208"/>
      <c r="L166" s="0"/>
      <c r="X166" s="0"/>
    </row>
    <row r="167" customFormat="false" ht="19.85" hidden="false" customHeight="true" outlineLevel="0" collapsed="false">
      <c r="A167" s="0" t="n">
        <v>28</v>
      </c>
      <c r="B167" s="34" t="n">
        <v>40575</v>
      </c>
      <c r="C167" s="9" t="n">
        <v>80987</v>
      </c>
      <c r="D167" s="260" t="s">
        <v>41</v>
      </c>
      <c r="E167" s="33" t="n">
        <f aca="false">IF(D167="totale",(C167/(A167*24))/F167,IF(D167="marché libre",(C167/(A167*24))/G167,"spécifier histo"))</f>
        <v>0.0573887471655329</v>
      </c>
      <c r="F167" s="59" t="n">
        <v>2100</v>
      </c>
      <c r="G167" s="59" t="n">
        <f aca="false">F167-H167</f>
        <v>2100</v>
      </c>
      <c r="H167" s="58" t="n">
        <v>0</v>
      </c>
      <c r="J167" s="208"/>
      <c r="L167" s="0"/>
      <c r="X167" s="0"/>
    </row>
    <row r="168" customFormat="false" ht="19.85" hidden="false" customHeight="true" outlineLevel="0" collapsed="false">
      <c r="A168" s="0" t="n">
        <v>31</v>
      </c>
      <c r="B168" s="31" t="n">
        <v>40603</v>
      </c>
      <c r="C168" s="56" t="n">
        <v>94513</v>
      </c>
      <c r="D168" s="260" t="s">
        <v>41</v>
      </c>
      <c r="E168" s="33" t="n">
        <f aca="false">IF(D168="totale",(C168/(A168*24))/F168,IF(D168="marché libre",(C168/(A168*24))/G168,"spécifier histo"))</f>
        <v>0.060492191500256</v>
      </c>
      <c r="F168" s="59" t="n">
        <v>2100</v>
      </c>
      <c r="G168" s="59" t="n">
        <f aca="false">F168-H168</f>
        <v>2100</v>
      </c>
      <c r="H168" s="58" t="n">
        <v>0</v>
      </c>
      <c r="J168" s="208"/>
      <c r="L168" s="0"/>
    </row>
    <row r="169" customFormat="false" ht="19.85" hidden="false" customHeight="true" outlineLevel="0" collapsed="false">
      <c r="A169" s="0" t="n">
        <v>30</v>
      </c>
      <c r="B169" s="34" t="n">
        <v>40634</v>
      </c>
      <c r="C169" s="9" t="n">
        <v>404063</v>
      </c>
      <c r="D169" s="260" t="s">
        <v>41</v>
      </c>
      <c r="E169" s="33" t="n">
        <f aca="false">IF(D169="totale",(C169/(A169*24))/F169,IF(D169="marché libre",(C169/(A169*24))/G169,"spécifier histo"))</f>
        <v>0.267237433862434</v>
      </c>
      <c r="F169" s="59" t="n">
        <v>2100</v>
      </c>
      <c r="G169" s="59" t="n">
        <f aca="false">F169-H169</f>
        <v>2100</v>
      </c>
      <c r="H169" s="58" t="n">
        <v>0</v>
      </c>
      <c r="J169" s="208"/>
      <c r="L169" s="0"/>
    </row>
    <row r="170" customFormat="false" ht="19.85" hidden="false" customHeight="true" outlineLevel="0" collapsed="false">
      <c r="A170" s="0" t="n">
        <v>31</v>
      </c>
      <c r="B170" s="31" t="n">
        <v>40664</v>
      </c>
      <c r="C170" s="9" t="n">
        <v>553867</v>
      </c>
      <c r="D170" s="260" t="s">
        <v>41</v>
      </c>
      <c r="E170" s="33" t="n">
        <f aca="false">IF(D170="totale",(C170/(A170*24))/F170,IF(D170="marché libre",(C170/(A170*24))/G170,"spécifier histo"))</f>
        <v>0.354497567844342</v>
      </c>
      <c r="F170" s="59" t="n">
        <v>2100</v>
      </c>
      <c r="G170" s="59" t="n">
        <f aca="false">F170-H170</f>
        <v>2100</v>
      </c>
      <c r="H170" s="58" t="n">
        <v>0</v>
      </c>
      <c r="J170" s="208"/>
      <c r="L170" s="0"/>
    </row>
    <row r="171" customFormat="false" ht="19.85" hidden="false" customHeight="true" outlineLevel="0" collapsed="false">
      <c r="A171" s="0" t="n">
        <v>30</v>
      </c>
      <c r="B171" s="34" t="n">
        <v>40695</v>
      </c>
      <c r="C171" s="9" t="n">
        <v>549451</v>
      </c>
      <c r="D171" s="260" t="s">
        <v>41</v>
      </c>
      <c r="E171" s="33" t="n">
        <f aca="false">IF(D171="totale",(C171/(A171*24))/F171,IF(D171="marché libre",(C171/(A171*24))/G171,"spécifier histo"))</f>
        <v>0.363393518518518</v>
      </c>
      <c r="F171" s="59" t="n">
        <v>2100</v>
      </c>
      <c r="G171" s="59" t="n">
        <f aca="false">F171-H171</f>
        <v>2100</v>
      </c>
      <c r="H171" s="58" t="n">
        <v>0</v>
      </c>
      <c r="J171" s="208"/>
      <c r="L171" s="0"/>
    </row>
    <row r="172" customFormat="false" ht="19.85" hidden="false" customHeight="true" outlineLevel="0" collapsed="false">
      <c r="A172" s="0" t="n">
        <v>31</v>
      </c>
      <c r="B172" s="31" t="n">
        <v>40725</v>
      </c>
      <c r="C172" s="9" t="n">
        <v>441476</v>
      </c>
      <c r="D172" s="260" t="s">
        <v>41</v>
      </c>
      <c r="E172" s="33" t="n">
        <f aca="false">IF(D172="totale",(C172/(A172*24))/F172,IF(D172="marché libre",(C172/(A172*24))/G172,"spécifier histo"))</f>
        <v>0.282562724014337</v>
      </c>
      <c r="F172" s="59" t="n">
        <v>2100</v>
      </c>
      <c r="G172" s="59" t="n">
        <f aca="false">F172-H172</f>
        <v>2100</v>
      </c>
      <c r="H172" s="58" t="n">
        <v>0</v>
      </c>
      <c r="J172" s="208"/>
      <c r="L172" s="0"/>
    </row>
    <row r="173" customFormat="false" ht="19.85" hidden="false" customHeight="true" outlineLevel="0" collapsed="false">
      <c r="A173" s="0" t="n">
        <v>31</v>
      </c>
      <c r="B173" s="34" t="n">
        <v>40756</v>
      </c>
      <c r="C173" s="9" t="n">
        <v>175444</v>
      </c>
      <c r="D173" s="260" t="s">
        <v>41</v>
      </c>
      <c r="E173" s="33" t="n">
        <f aca="false">IF(D173="totale",(C173/(A173*24))/F173,IF(D173="marché libre",(C173/(A173*24))/G173,"spécifier histo"))</f>
        <v>0.112291346646185</v>
      </c>
      <c r="F173" s="59" t="n">
        <v>2100</v>
      </c>
      <c r="G173" s="59" t="n">
        <f aca="false">F173-H173</f>
        <v>2100</v>
      </c>
      <c r="H173" s="58" t="n">
        <v>0</v>
      </c>
      <c r="J173" s="208"/>
      <c r="L173" s="0"/>
    </row>
    <row r="174" customFormat="false" ht="19.85" hidden="false" customHeight="true" outlineLevel="0" collapsed="false">
      <c r="A174" s="0" t="n">
        <v>30</v>
      </c>
      <c r="B174" s="31" t="n">
        <v>40787</v>
      </c>
      <c r="C174" s="9" t="n">
        <v>159701</v>
      </c>
      <c r="D174" s="260" t="s">
        <v>41</v>
      </c>
      <c r="E174" s="33" t="n">
        <f aca="false">IF(D174="totale",(C174/(A174*24))/F174,IF(D174="marché libre",(C174/(A174*24))/G174,"spécifier histo"))</f>
        <v>0.105622354497354</v>
      </c>
      <c r="F174" s="59" t="n">
        <v>2100</v>
      </c>
      <c r="G174" s="59" t="n">
        <f aca="false">F174-H174</f>
        <v>2100</v>
      </c>
      <c r="H174" s="58" t="n">
        <v>0</v>
      </c>
      <c r="J174" s="208"/>
      <c r="L174" s="0"/>
    </row>
    <row r="175" customFormat="false" ht="19.85" hidden="false" customHeight="true" outlineLevel="0" collapsed="false">
      <c r="A175" s="0" t="n">
        <v>31</v>
      </c>
      <c r="B175" s="34" t="n">
        <v>40817</v>
      </c>
      <c r="C175" s="9" t="n">
        <v>186179</v>
      </c>
      <c r="D175" s="260" t="s">
        <v>41</v>
      </c>
      <c r="E175" s="33" t="n">
        <f aca="false">IF(D175="totale",(C175/(A175*24))/F175,IF(D175="marché libre",(C175/(A175*24))/G175,"spécifier histo"))</f>
        <v>0.119162186379928</v>
      </c>
      <c r="F175" s="59" t="n">
        <v>2100</v>
      </c>
      <c r="G175" s="59" t="n">
        <f aca="false">F175-H175</f>
        <v>2100</v>
      </c>
      <c r="H175" s="58" t="n">
        <v>0</v>
      </c>
      <c r="J175" s="208"/>
      <c r="L175" s="0"/>
    </row>
    <row r="176" customFormat="false" ht="19.85" hidden="false" customHeight="true" outlineLevel="0" collapsed="false">
      <c r="A176" s="0" t="n">
        <v>30</v>
      </c>
      <c r="B176" s="31" t="n">
        <v>40848</v>
      </c>
      <c r="C176" s="9" t="n">
        <v>68890</v>
      </c>
      <c r="D176" s="260" t="s">
        <v>41</v>
      </c>
      <c r="E176" s="33" t="n">
        <f aca="false">IF(D176="totale",(C176/(A176*24))/F176,IF(D176="marché libre",(C176/(A176*24))/G176,"spécifier histo"))</f>
        <v>0.0455621693121693</v>
      </c>
      <c r="F176" s="59" t="n">
        <v>2100</v>
      </c>
      <c r="G176" s="59" t="n">
        <f aca="false">F176-H176</f>
        <v>2100</v>
      </c>
      <c r="H176" s="58" t="n">
        <v>0</v>
      </c>
      <c r="J176" s="208"/>
      <c r="L176" s="0"/>
    </row>
    <row r="177" customFormat="false" ht="19.85" hidden="false" customHeight="true" outlineLevel="0" collapsed="false">
      <c r="A177" s="0" t="n">
        <v>31</v>
      </c>
      <c r="B177" s="34" t="n">
        <v>40878</v>
      </c>
      <c r="C177" s="9" t="n">
        <v>319115</v>
      </c>
      <c r="D177" s="260" t="s">
        <v>41</v>
      </c>
      <c r="E177" s="33" t="n">
        <f aca="false">IF(D177="totale",(C177/(A177*24))/F177,IF(D177="marché libre",(C177/(A177*24))/G177,"spécifier histo"))</f>
        <v>0.204246671786994</v>
      </c>
      <c r="F177" s="59" t="n">
        <v>2100</v>
      </c>
      <c r="G177" s="59" t="n">
        <f aca="false">F177-H177</f>
        <v>2100</v>
      </c>
      <c r="H177" s="58" t="n">
        <v>0</v>
      </c>
      <c r="J177" s="208"/>
      <c r="L177" s="0"/>
    </row>
    <row r="178" customFormat="false" ht="19.85" hidden="false" customHeight="true" outlineLevel="0" collapsed="false">
      <c r="A178" s="0" t="n">
        <v>31</v>
      </c>
      <c r="B178" s="31" t="n">
        <v>40909</v>
      </c>
      <c r="C178" s="56" t="n">
        <v>317828</v>
      </c>
      <c r="D178" s="260" t="s">
        <v>41</v>
      </c>
      <c r="E178" s="33" t="n">
        <f aca="false">IF(D178="totale",(C178/(A178*24))/F178,IF(D178="marché libre",(C178/(A178*24))/G178,"spécifier histo"))</f>
        <v>0.2034229390681</v>
      </c>
      <c r="F178" s="59" t="n">
        <v>2100</v>
      </c>
      <c r="G178" s="59" t="n">
        <f aca="false">F178-H178</f>
        <v>2100</v>
      </c>
      <c r="H178" s="58" t="n">
        <v>0</v>
      </c>
      <c r="J178" s="208"/>
      <c r="L178" s="0"/>
    </row>
    <row r="179" customFormat="false" ht="19.85" hidden="false" customHeight="true" outlineLevel="0" collapsed="false">
      <c r="A179" s="0" t="n">
        <v>28</v>
      </c>
      <c r="B179" s="34" t="n">
        <v>40940</v>
      </c>
      <c r="C179" s="9" t="n">
        <v>112840</v>
      </c>
      <c r="D179" s="260" t="s">
        <v>41</v>
      </c>
      <c r="E179" s="33" t="n">
        <f aca="false">IF(D179="totale",(C179/(A179*24))/F179,IF(D179="marché libre",(C179/(A179*24))/G179,"spécifier histo"))</f>
        <v>0.0799603174603175</v>
      </c>
      <c r="F179" s="59" t="n">
        <v>2100</v>
      </c>
      <c r="G179" s="59" t="n">
        <f aca="false">F179-H179</f>
        <v>2100</v>
      </c>
      <c r="H179" s="58" t="n">
        <v>0</v>
      </c>
      <c r="J179" s="208"/>
      <c r="L179" s="0"/>
    </row>
    <row r="180" customFormat="false" ht="19.85" hidden="false" customHeight="true" outlineLevel="0" collapsed="false">
      <c r="A180" s="0" t="n">
        <v>31</v>
      </c>
      <c r="B180" s="31" t="n">
        <v>40969</v>
      </c>
      <c r="C180" s="9" t="n">
        <v>206169</v>
      </c>
      <c r="D180" s="260" t="s">
        <v>41</v>
      </c>
      <c r="E180" s="33" t="n">
        <f aca="false">IF(D180="totale",(C180/(A180*24))/F180,IF(D180="marché libre",(C180/(A180*24))/G180,"spécifier histo"))</f>
        <v>0.131956605222734</v>
      </c>
      <c r="F180" s="59" t="n">
        <v>2100</v>
      </c>
      <c r="G180" s="59" t="n">
        <f aca="false">F180-H180</f>
        <v>2100</v>
      </c>
      <c r="H180" s="58" t="n">
        <v>0</v>
      </c>
      <c r="J180" s="208"/>
      <c r="L180" s="0"/>
    </row>
    <row r="181" customFormat="false" ht="19.85" hidden="false" customHeight="true" outlineLevel="0" collapsed="false">
      <c r="A181" s="0" t="n">
        <v>30</v>
      </c>
      <c r="B181" s="34" t="n">
        <v>41000</v>
      </c>
      <c r="C181" s="9" t="n">
        <v>472905</v>
      </c>
      <c r="D181" s="260" t="s">
        <v>41</v>
      </c>
      <c r="E181" s="33" t="n">
        <f aca="false">IF(D181="totale",(C181/(A181*24))/F181,IF(D181="marché libre",(C181/(A181*24))/G181,"spécifier histo"))</f>
        <v>0.312767857142857</v>
      </c>
      <c r="F181" s="59" t="n">
        <v>2100</v>
      </c>
      <c r="G181" s="59" t="n">
        <f aca="false">F181-H181</f>
        <v>2100</v>
      </c>
      <c r="H181" s="58" t="n">
        <v>0</v>
      </c>
      <c r="J181" s="208"/>
      <c r="L181" s="0"/>
    </row>
    <row r="182" customFormat="false" ht="19.85" hidden="false" customHeight="true" outlineLevel="0" collapsed="false">
      <c r="A182" s="0" t="n">
        <v>31</v>
      </c>
      <c r="B182" s="31" t="n">
        <v>41030</v>
      </c>
      <c r="C182" s="9" t="n">
        <v>1118952</v>
      </c>
      <c r="D182" s="260" t="s">
        <v>41</v>
      </c>
      <c r="E182" s="33" t="n">
        <f aca="false">IF(D182="totale",(C182/(A182*24))/F182,IF(D182="marché libre",(C182/(A182*24))/G182,"spécifier histo"))</f>
        <v>0.716175115207373</v>
      </c>
      <c r="F182" s="59" t="n">
        <v>2100</v>
      </c>
      <c r="G182" s="59" t="n">
        <f aca="false">F182-H182</f>
        <v>2100</v>
      </c>
      <c r="H182" s="58" t="n">
        <v>0</v>
      </c>
      <c r="J182" s="208"/>
      <c r="L182" s="0"/>
    </row>
    <row r="183" customFormat="false" ht="19.85" hidden="false" customHeight="true" outlineLevel="0" collapsed="false">
      <c r="A183" s="0" t="n">
        <v>30</v>
      </c>
      <c r="B183" s="34" t="n">
        <v>41061</v>
      </c>
      <c r="C183" s="9" t="n">
        <v>982927</v>
      </c>
      <c r="D183" s="260" t="s">
        <v>41</v>
      </c>
      <c r="E183" s="33" t="n">
        <f aca="false">IF(D183="totale",(C183/(A183*24))/F183,IF(D183="marché libre",(C183/(A183*24))/G183,"spécifier histo"))</f>
        <v>0.650083994708995</v>
      </c>
      <c r="F183" s="59" t="n">
        <v>2100</v>
      </c>
      <c r="G183" s="59" t="n">
        <f aca="false">F183-H183</f>
        <v>2100</v>
      </c>
      <c r="H183" s="58" t="n">
        <v>0</v>
      </c>
      <c r="J183" s="208"/>
      <c r="L183" s="0"/>
    </row>
    <row r="184" customFormat="false" ht="19.85" hidden="false" customHeight="true" outlineLevel="0" collapsed="false">
      <c r="A184" s="0" t="n">
        <v>31</v>
      </c>
      <c r="B184" s="31" t="n">
        <v>41091</v>
      </c>
      <c r="C184" s="9" t="n">
        <v>293082</v>
      </c>
      <c r="D184" s="260" t="s">
        <v>41</v>
      </c>
      <c r="E184" s="33" t="n">
        <f aca="false">IF(D184="totale",(C184/(A184*24))/F184,IF(D184="marché libre",(C184/(A184*24))/G184,"spécifier histo"))</f>
        <v>0.187584485407066</v>
      </c>
      <c r="F184" s="59" t="n">
        <v>2100</v>
      </c>
      <c r="G184" s="59" t="n">
        <f aca="false">F184-H184</f>
        <v>2100</v>
      </c>
      <c r="H184" s="58" t="n">
        <v>0</v>
      </c>
      <c r="J184" s="208"/>
      <c r="L184" s="0"/>
    </row>
    <row r="185" customFormat="false" ht="19.85" hidden="false" customHeight="true" outlineLevel="0" collapsed="false">
      <c r="A185" s="0" t="n">
        <v>31</v>
      </c>
      <c r="B185" s="34" t="n">
        <v>41122</v>
      </c>
      <c r="C185" s="9" t="n">
        <v>85112</v>
      </c>
      <c r="D185" s="260" t="s">
        <v>41</v>
      </c>
      <c r="E185" s="33" t="n">
        <f aca="false">IF(D185="totale",(C185/(A185*24))/F185,IF(D185="marché libre",(C185/(A185*24))/G185,"spécifier histo"))</f>
        <v>0.0544751664106503</v>
      </c>
      <c r="F185" s="59" t="n">
        <v>2100</v>
      </c>
      <c r="G185" s="59" t="n">
        <f aca="false">F185-H185</f>
        <v>2100</v>
      </c>
      <c r="H185" s="58" t="n">
        <v>0</v>
      </c>
      <c r="J185" s="208"/>
      <c r="L185" s="0"/>
    </row>
    <row r="186" customFormat="false" ht="19.85" hidden="false" customHeight="true" outlineLevel="0" collapsed="false">
      <c r="A186" s="0" t="n">
        <v>30</v>
      </c>
      <c r="B186" s="31" t="n">
        <v>41153</v>
      </c>
      <c r="C186" s="9" t="n">
        <v>308109</v>
      </c>
      <c r="D186" s="260" t="s">
        <v>41</v>
      </c>
      <c r="E186" s="33" t="n">
        <f aca="false">IF(D186="totale",(C186/(A186*24))/F186,IF(D186="marché libre",(C186/(A186*24))/G186,"spécifier histo"))</f>
        <v>0.203775793650794</v>
      </c>
      <c r="F186" s="59" t="n">
        <v>2100</v>
      </c>
      <c r="G186" s="59" t="n">
        <f aca="false">F186-H186</f>
        <v>2100</v>
      </c>
      <c r="H186" s="58" t="n">
        <v>0</v>
      </c>
      <c r="J186" s="208"/>
      <c r="L186" s="0"/>
    </row>
    <row r="187" customFormat="false" ht="19.85" hidden="false" customHeight="true" outlineLevel="0" collapsed="false">
      <c r="A187" s="0" t="n">
        <v>31</v>
      </c>
      <c r="B187" s="34" t="n">
        <v>41183</v>
      </c>
      <c r="C187" s="9" t="n">
        <v>391768</v>
      </c>
      <c r="D187" s="260" t="s">
        <v>41</v>
      </c>
      <c r="E187" s="33" t="n">
        <f aca="false">IF(D187="totale",(C187/(A187*24))/F187,IF(D187="marché libre",(C187/(A187*24))/G187,"spécifier histo"))</f>
        <v>0.250747567844342</v>
      </c>
      <c r="F187" s="59" t="n">
        <v>2100</v>
      </c>
      <c r="G187" s="59" t="n">
        <f aca="false">F187-H187</f>
        <v>2100</v>
      </c>
      <c r="H187" s="58" t="n">
        <v>0</v>
      </c>
      <c r="J187" s="208"/>
      <c r="L187" s="0"/>
    </row>
    <row r="188" customFormat="false" ht="19.85" hidden="false" customHeight="true" outlineLevel="0" collapsed="false">
      <c r="A188" s="0" t="n">
        <v>30</v>
      </c>
      <c r="B188" s="31" t="n">
        <v>41214</v>
      </c>
      <c r="C188" s="9" t="n">
        <v>486431</v>
      </c>
      <c r="D188" s="260" t="s">
        <v>41</v>
      </c>
      <c r="E188" s="33" t="n">
        <f aca="false">IF(D188="totale",(C188/(A188*24))/F188,IF(D188="marché libre",(C188/(A188*24))/G188,"spécifier histo"))</f>
        <v>0.321713624338624</v>
      </c>
      <c r="F188" s="59" t="n">
        <v>2100</v>
      </c>
      <c r="G188" s="59" t="n">
        <f aca="false">F188-H188</f>
        <v>2100</v>
      </c>
      <c r="H188" s="58" t="n">
        <v>0</v>
      </c>
      <c r="J188" s="208"/>
      <c r="L188" s="0"/>
    </row>
    <row r="189" customFormat="false" ht="19.85" hidden="false" customHeight="true" outlineLevel="0" collapsed="false">
      <c r="A189" s="0" t="n">
        <v>31</v>
      </c>
      <c r="B189" s="34" t="n">
        <v>41244</v>
      </c>
      <c r="C189" s="9" t="n">
        <v>468353</v>
      </c>
      <c r="D189" s="260" t="s">
        <v>41</v>
      </c>
      <c r="E189" s="33" t="n">
        <f aca="false">IF(D189="totale",(C189/(A189*24))/F189,IF(D189="marché libre",(C189/(A189*24))/G189,"spécifier histo"))</f>
        <v>0.299765104966718</v>
      </c>
      <c r="F189" s="59" t="n">
        <v>2100</v>
      </c>
      <c r="G189" s="59" t="n">
        <f aca="false">F189-H189</f>
        <v>2100</v>
      </c>
      <c r="H189" s="58" t="n">
        <v>0</v>
      </c>
      <c r="J189" s="208"/>
      <c r="L189" s="0"/>
    </row>
    <row r="190" customFormat="false" ht="19.85" hidden="false" customHeight="true" outlineLevel="0" collapsed="false">
      <c r="A190" s="0" t="n">
        <v>31</v>
      </c>
      <c r="B190" s="31" t="n">
        <v>41275</v>
      </c>
      <c r="C190" s="56" t="n">
        <v>254284</v>
      </c>
      <c r="D190" s="260" t="s">
        <v>41</v>
      </c>
      <c r="E190" s="33" t="n">
        <f aca="false">IF(D190="totale",(C190/(A190*24))/F190,IF(D190="marché libre",(C190/(A190*24))/G190,"spécifier histo"))</f>
        <v>0.162752176139273</v>
      </c>
      <c r="F190" s="59" t="n">
        <v>2100</v>
      </c>
      <c r="G190" s="59" t="n">
        <f aca="false">F190-H190</f>
        <v>2100</v>
      </c>
      <c r="H190" s="58" t="n">
        <v>0</v>
      </c>
      <c r="J190" s="208"/>
      <c r="L190" s="0"/>
    </row>
    <row r="191" customFormat="false" ht="19.85" hidden="false" customHeight="true" outlineLevel="0" collapsed="false">
      <c r="A191" s="0" t="n">
        <v>28</v>
      </c>
      <c r="B191" s="34" t="n">
        <v>41306</v>
      </c>
      <c r="C191" s="56" t="n">
        <v>231630</v>
      </c>
      <c r="D191" s="260" t="s">
        <v>41</v>
      </c>
      <c r="E191" s="33" t="n">
        <f aca="false">IF(D191="totale",(C191/(A191*24))/F191,IF(D191="marché libre",(C191/(A191*24))/G191,"spécifier histo"))</f>
        <v>0.164136904761905</v>
      </c>
      <c r="F191" s="59" t="n">
        <v>2100</v>
      </c>
      <c r="G191" s="59" t="n">
        <f aca="false">F191-H191</f>
        <v>2100</v>
      </c>
      <c r="H191" s="58" t="n">
        <v>0</v>
      </c>
      <c r="J191" s="208"/>
      <c r="L191" s="0"/>
    </row>
    <row r="192" customFormat="false" ht="19.85" hidden="false" customHeight="true" outlineLevel="0" collapsed="false">
      <c r="A192" s="0" t="n">
        <v>31</v>
      </c>
      <c r="B192" s="31" t="n">
        <v>41334</v>
      </c>
      <c r="C192" s="9" t="n">
        <v>194129</v>
      </c>
      <c r="D192" s="260" t="s">
        <v>41</v>
      </c>
      <c r="E192" s="33" t="n">
        <f aca="false">IF(D192="totale",(C192/(A192*24))/F192,IF(D192="marché libre",(C192/(A192*24))/G192,"spécifier histo"))</f>
        <v>0.12425051203277</v>
      </c>
      <c r="F192" s="59" t="n">
        <v>2100</v>
      </c>
      <c r="G192" s="59" t="n">
        <f aca="false">F192-H192</f>
        <v>2100</v>
      </c>
      <c r="H192" s="58" t="n">
        <v>0</v>
      </c>
      <c r="J192" s="208"/>
    </row>
    <row r="193" customFormat="false" ht="19.85" hidden="false" customHeight="true" outlineLevel="0" collapsed="false">
      <c r="A193" s="0" t="n">
        <v>30</v>
      </c>
      <c r="B193" s="34" t="n">
        <v>41365</v>
      </c>
      <c r="C193" s="9" t="n">
        <v>668756</v>
      </c>
      <c r="D193" s="260" t="s">
        <v>41</v>
      </c>
      <c r="E193" s="33" t="n">
        <f aca="false">IF(D193="totale",(C193/(A193*24))/F193,IF(D193="marché libre",(C193/(A193*24))/G193,"spécifier histo"))</f>
        <v>0.442298941798942</v>
      </c>
      <c r="F193" s="59" t="n">
        <v>2100</v>
      </c>
      <c r="G193" s="59" t="n">
        <f aca="false">F193-H193</f>
        <v>2100</v>
      </c>
      <c r="H193" s="58" t="n">
        <v>0</v>
      </c>
      <c r="J193" s="208"/>
    </row>
    <row r="194" customFormat="false" ht="19.85" hidden="false" customHeight="true" outlineLevel="0" collapsed="false">
      <c r="A194" s="0" t="n">
        <v>31</v>
      </c>
      <c r="B194" s="31" t="n">
        <v>41395</v>
      </c>
      <c r="C194" s="9" t="n">
        <v>1067287</v>
      </c>
      <c r="D194" s="260" t="s">
        <v>41</v>
      </c>
      <c r="E194" s="33" t="n">
        <f aca="false">IF(D194="totale",(C194/(A194*24))/F194,IF(D194="marché libre",(C194/(A194*24))/G194,"spécifier histo"))</f>
        <v>0.683107398873528</v>
      </c>
      <c r="F194" s="59" t="n">
        <v>2100</v>
      </c>
      <c r="G194" s="59" t="n">
        <f aca="false">F194-H194</f>
        <v>2100</v>
      </c>
      <c r="H194" s="58" t="n">
        <v>0</v>
      </c>
      <c r="J194" s="208"/>
    </row>
    <row r="195" customFormat="false" ht="19.85" hidden="false" customHeight="true" outlineLevel="0" collapsed="false">
      <c r="A195" s="0" t="n">
        <v>30</v>
      </c>
      <c r="B195" s="34" t="n">
        <v>41426</v>
      </c>
      <c r="C195" s="9" t="n">
        <v>1027439</v>
      </c>
      <c r="D195" s="260" t="s">
        <v>41</v>
      </c>
      <c r="E195" s="33" t="n">
        <f aca="false">IF(D195="totale",(C195/(A195*24))/F195,IF(D195="marché libre",(C195/(A195*24))/G195,"spécifier histo"))</f>
        <v>0.679523148148148</v>
      </c>
      <c r="F195" s="59" t="n">
        <v>2100</v>
      </c>
      <c r="G195" s="59" t="n">
        <f aca="false">F195-H195</f>
        <v>2100</v>
      </c>
      <c r="H195" s="58" t="n">
        <v>0</v>
      </c>
      <c r="J195" s="208"/>
    </row>
    <row r="196" customFormat="false" ht="19.85" hidden="false" customHeight="true" outlineLevel="0" collapsed="false">
      <c r="A196" s="0" t="n">
        <v>31</v>
      </c>
      <c r="B196" s="31" t="n">
        <v>41456</v>
      </c>
      <c r="C196" s="9" t="n">
        <v>646253</v>
      </c>
      <c r="D196" s="260" t="s">
        <v>41</v>
      </c>
      <c r="E196" s="33" t="n">
        <f aca="false">IF(D196="totale",(C196/(A196*24))/F196,IF(D196="marché libre",(C196/(A196*24))/G196,"spécifier histo"))</f>
        <v>0.413628392217102</v>
      </c>
      <c r="F196" s="59" t="n">
        <v>2100</v>
      </c>
      <c r="G196" s="59" t="n">
        <f aca="false">F196-H196</f>
        <v>2100</v>
      </c>
      <c r="H196" s="58" t="n">
        <v>0</v>
      </c>
      <c r="J196" s="208"/>
    </row>
    <row r="197" customFormat="false" ht="19.85" hidden="false" customHeight="true" outlineLevel="0" collapsed="false">
      <c r="A197" s="0" t="n">
        <v>31</v>
      </c>
      <c r="B197" s="34" t="n">
        <v>41487</v>
      </c>
      <c r="C197" s="9" t="n">
        <v>293986</v>
      </c>
      <c r="D197" s="260" t="s">
        <v>41</v>
      </c>
      <c r="E197" s="33" t="n">
        <f aca="false">IF(D197="totale",(C197/(A197*24))/F197,IF(D197="marché libre",(C197/(A197*24))/G197,"spécifier histo"))</f>
        <v>0.188163082437276</v>
      </c>
      <c r="F197" s="59" t="n">
        <v>2100</v>
      </c>
      <c r="G197" s="59" t="n">
        <f aca="false">F197-H197</f>
        <v>2100</v>
      </c>
      <c r="H197" s="58" t="n">
        <v>0</v>
      </c>
      <c r="J197" s="208"/>
    </row>
    <row r="198" customFormat="false" ht="19.85" hidden="false" customHeight="true" outlineLevel="0" collapsed="false">
      <c r="A198" s="0" t="n">
        <v>30</v>
      </c>
      <c r="B198" s="31" t="n">
        <v>41518</v>
      </c>
      <c r="C198" s="9" t="n">
        <v>337496</v>
      </c>
      <c r="D198" s="260" t="s">
        <v>41</v>
      </c>
      <c r="E198" s="33" t="n">
        <f aca="false">IF(D198="totale",(C198/(A198*24))/F198,IF(D198="marché libre",(C198/(A198*24))/G198,"spécifier histo"))</f>
        <v>0.22321164021164</v>
      </c>
      <c r="F198" s="59" t="n">
        <v>2100</v>
      </c>
      <c r="G198" s="59" t="n">
        <f aca="false">F198-H198</f>
        <v>2100</v>
      </c>
      <c r="H198" s="58" t="n">
        <v>0</v>
      </c>
      <c r="J198" s="208"/>
    </row>
    <row r="199" customFormat="false" ht="19.85" hidden="false" customHeight="true" outlineLevel="0" collapsed="false">
      <c r="A199" s="0" t="n">
        <v>31</v>
      </c>
      <c r="B199" s="267" t="n">
        <v>41548</v>
      </c>
      <c r="C199" s="701" t="n">
        <v>507066</v>
      </c>
      <c r="D199" s="702" t="s">
        <v>42</v>
      </c>
      <c r="E199" s="66" t="n">
        <f aca="false">IF(D199="totale",(C199/(A199*24))/F199,IF(D199="marché libre",(C199/(A199*24))/G199,"spécifier histo"))</f>
        <v>0.324543010752688</v>
      </c>
      <c r="F199" s="67" t="n">
        <v>2100</v>
      </c>
      <c r="G199" s="67" t="n">
        <f aca="false">F199-H199</f>
        <v>2100</v>
      </c>
      <c r="H199" s="68" t="n">
        <v>0</v>
      </c>
      <c r="J199" s="208"/>
    </row>
    <row r="200" customFormat="false" ht="19.85" hidden="false" customHeight="true" outlineLevel="0" collapsed="false">
      <c r="A200" s="0" t="n">
        <v>30</v>
      </c>
      <c r="B200" s="31" t="n">
        <v>41579</v>
      </c>
      <c r="C200" s="9" t="n">
        <v>705272</v>
      </c>
      <c r="D200" s="260" t="s">
        <v>42</v>
      </c>
      <c r="E200" s="33" t="n">
        <f aca="false">IF(D200="totale",(C200/(A200*24))/F200,IF(D200="marché libre",(C200/(A200*24))/G200,"spécifier histo"))</f>
        <v>0.466449735449735</v>
      </c>
      <c r="F200" s="59" t="n">
        <v>2100</v>
      </c>
      <c r="G200" s="59" t="n">
        <f aca="false">F200-H200</f>
        <v>2100</v>
      </c>
      <c r="H200" s="58" t="n">
        <v>0</v>
      </c>
      <c r="J200" s="208"/>
    </row>
    <row r="201" customFormat="false" ht="19.85" hidden="false" customHeight="true" outlineLevel="0" collapsed="false">
      <c r="A201" s="0" t="n">
        <v>31</v>
      </c>
      <c r="B201" s="34" t="n">
        <v>41609</v>
      </c>
      <c r="C201" s="9" t="n">
        <v>206901</v>
      </c>
      <c r="D201" s="260" t="s">
        <v>42</v>
      </c>
      <c r="E201" s="33" t="n">
        <f aca="false">IF(D201="totale",(C201/(A201*24))/F201,IF(D201="marché libre",(C201/(A201*24))/G201,"spécifier histo"))</f>
        <v>0.132425115207373</v>
      </c>
      <c r="F201" s="59" t="n">
        <v>2100</v>
      </c>
      <c r="G201" s="59" t="n">
        <f aca="false">F201-H201</f>
        <v>2100</v>
      </c>
      <c r="H201" s="58" t="n">
        <v>0</v>
      </c>
      <c r="J201" s="208"/>
    </row>
    <row r="202" customFormat="false" ht="19.85" hidden="false" customHeight="true" outlineLevel="0" collapsed="false">
      <c r="A202" s="0" t="n">
        <v>31</v>
      </c>
      <c r="B202" s="31" t="n">
        <v>41640</v>
      </c>
      <c r="C202" s="56" t="n">
        <v>252364</v>
      </c>
      <c r="D202" s="260" t="s">
        <v>42</v>
      </c>
      <c r="E202" s="33" t="n">
        <f aca="false">IF(D202="totale",(C202/(A202*24))/F202,IF(D202="marché libre",(C202/(A202*24))/G202,"spécifier histo"))</f>
        <v>0.161523297491039</v>
      </c>
      <c r="F202" s="59" t="n">
        <v>2100</v>
      </c>
      <c r="G202" s="59" t="n">
        <f aca="false">F202-H202</f>
        <v>2100</v>
      </c>
      <c r="H202" s="58" t="n">
        <v>0</v>
      </c>
      <c r="J202" s="208"/>
    </row>
    <row r="203" customFormat="false" ht="19.85" hidden="false" customHeight="true" outlineLevel="0" collapsed="false">
      <c r="A203" s="0" t="n">
        <v>28</v>
      </c>
      <c r="B203" s="34" t="n">
        <v>41671</v>
      </c>
      <c r="C203" s="56" t="n">
        <v>168181</v>
      </c>
      <c r="D203" s="260" t="s">
        <v>42</v>
      </c>
      <c r="E203" s="33" t="n">
        <f aca="false">IF(D203="totale",(C203/(A203*24))/F203,IF(D203="marché libre",(C203/(A203*24))/G203,"spécifier histo"))</f>
        <v>0.119175878684807</v>
      </c>
      <c r="F203" s="59" t="n">
        <v>2100</v>
      </c>
      <c r="G203" s="59" t="n">
        <f aca="false">F203-H203</f>
        <v>2100</v>
      </c>
      <c r="H203" s="58" t="n">
        <v>0</v>
      </c>
      <c r="J203" s="208"/>
    </row>
    <row r="204" customFormat="false" ht="19.85" hidden="false" customHeight="true" outlineLevel="0" collapsed="false">
      <c r="A204" s="0" t="n">
        <v>31</v>
      </c>
      <c r="B204" s="31" t="n">
        <v>41699</v>
      </c>
      <c r="C204" s="56" t="n">
        <v>209911</v>
      </c>
      <c r="D204" s="260" t="s">
        <v>42</v>
      </c>
      <c r="E204" s="33" t="n">
        <f aca="false">IF(D204="totale",(C204/(A204*24))/F204,IF(D204="marché libre",(C204/(A204*24))/G204,"spécifier histo"))</f>
        <v>0.134351638504864</v>
      </c>
      <c r="F204" s="59" t="n">
        <v>2100</v>
      </c>
      <c r="G204" s="59" t="n">
        <f aca="false">F204-H204</f>
        <v>2100</v>
      </c>
      <c r="H204" s="58" t="n">
        <v>0</v>
      </c>
      <c r="J204" s="208"/>
    </row>
    <row r="205" customFormat="false" ht="19.85" hidden="false" customHeight="true" outlineLevel="0" collapsed="false">
      <c r="A205" s="0" t="n">
        <v>30</v>
      </c>
      <c r="B205" s="34" t="n">
        <v>41730</v>
      </c>
      <c r="C205" s="56" t="n">
        <v>605257</v>
      </c>
      <c r="D205" s="260" t="s">
        <v>42</v>
      </c>
      <c r="E205" s="33" t="n">
        <f aca="false">IF(D205="totale",(C205/(A205*24))/F205,IF(D205="marché libre",(C205/(A205*24))/G205,"spécifier histo"))</f>
        <v>0.400302248677249</v>
      </c>
      <c r="F205" s="59" t="n">
        <v>2100</v>
      </c>
      <c r="G205" s="59" t="n">
        <f aca="false">F205-H205</f>
        <v>2100</v>
      </c>
      <c r="H205" s="58" t="n">
        <v>0</v>
      </c>
      <c r="J205" s="208"/>
    </row>
    <row r="206" customFormat="false" ht="19.85" hidden="false" customHeight="true" outlineLevel="0" collapsed="false">
      <c r="A206" s="0" t="n">
        <v>31</v>
      </c>
      <c r="B206" s="31" t="n">
        <v>41760</v>
      </c>
      <c r="C206" s="56" t="n">
        <v>874187</v>
      </c>
      <c r="D206" s="260" t="s">
        <v>42</v>
      </c>
      <c r="E206" s="33" t="n">
        <f aca="false">IF(D206="totale",(C206/(A206*24))/F206,IF(D206="marché libre",(C206/(A206*24))/G206,"spécifier histo"))</f>
        <v>0.559515488991295</v>
      </c>
      <c r="F206" s="59" t="n">
        <v>2100</v>
      </c>
      <c r="G206" s="59" t="n">
        <f aca="false">F206-H206</f>
        <v>2100</v>
      </c>
      <c r="H206" s="58" t="n">
        <v>0</v>
      </c>
      <c r="J206" s="208"/>
    </row>
    <row r="207" customFormat="false" ht="19.85" hidden="false" customHeight="true" outlineLevel="0" collapsed="false">
      <c r="A207" s="0" t="n">
        <v>30</v>
      </c>
      <c r="B207" s="34" t="n">
        <v>41791</v>
      </c>
      <c r="C207" s="56" t="n">
        <v>744932</v>
      </c>
      <c r="D207" s="260" t="s">
        <v>42</v>
      </c>
      <c r="E207" s="33" t="n">
        <f aca="false">IF(D207="totale",(C207/(A207*24))/F207,IF(D207="marché libre",(C207/(A207*24))/G207,"spécifier histo"))</f>
        <v>0.492679894179894</v>
      </c>
      <c r="F207" s="59" t="n">
        <v>2100</v>
      </c>
      <c r="G207" s="59" t="n">
        <f aca="false">F207-H207</f>
        <v>2100</v>
      </c>
      <c r="H207" s="58" t="n">
        <v>0</v>
      </c>
      <c r="J207" s="208"/>
    </row>
    <row r="208" customFormat="false" ht="19.85" hidden="false" customHeight="true" outlineLevel="0" collapsed="false">
      <c r="A208" s="0" t="n">
        <v>31</v>
      </c>
      <c r="B208" s="31" t="n">
        <v>41821</v>
      </c>
      <c r="C208" s="56" t="n">
        <v>748351</v>
      </c>
      <c r="D208" s="260" t="s">
        <v>42</v>
      </c>
      <c r="E208" s="33" t="n">
        <f aca="false">IF(D208="totale",(C208/(A208*24))/F208,IF(D208="marché libre",(C208/(A208*24))/G208,"spécifier histo"))</f>
        <v>0.478975294418843</v>
      </c>
      <c r="F208" s="59" t="n">
        <v>2100</v>
      </c>
      <c r="G208" s="59" t="n">
        <f aca="false">F208-H208</f>
        <v>2100</v>
      </c>
      <c r="H208" s="58" t="n">
        <v>0</v>
      </c>
      <c r="J208" s="208"/>
    </row>
    <row r="209" customFormat="false" ht="19.85" hidden="false" customHeight="true" outlineLevel="0" collapsed="false">
      <c r="A209" s="0" t="n">
        <v>31</v>
      </c>
      <c r="B209" s="34" t="n">
        <v>41852</v>
      </c>
      <c r="C209" s="56" t="n">
        <v>433070</v>
      </c>
      <c r="D209" s="260" t="s">
        <v>42</v>
      </c>
      <c r="E209" s="33" t="n">
        <f aca="false">IF(D209="totale",(C209/(A209*24))/F209,IF(D209="marché libre",(C209/(A209*24))/G209,"spécifier histo"))</f>
        <v>0.27718253968254</v>
      </c>
      <c r="F209" s="59" t="n">
        <v>2100</v>
      </c>
      <c r="G209" s="59" t="n">
        <f aca="false">F209-H209</f>
        <v>2100</v>
      </c>
      <c r="H209" s="58" t="n">
        <v>0</v>
      </c>
      <c r="J209" s="208"/>
    </row>
    <row r="210" customFormat="false" ht="19.85" hidden="false" customHeight="true" outlineLevel="0" collapsed="false">
      <c r="A210" s="0" t="n">
        <v>30</v>
      </c>
      <c r="B210" s="31" t="n">
        <v>41883</v>
      </c>
      <c r="C210" s="56" t="n">
        <v>49485</v>
      </c>
      <c r="D210" s="260" t="s">
        <v>42</v>
      </c>
      <c r="E210" s="33" t="n">
        <f aca="false">IF(D210="totale",(C210/(A210*24))/F210,IF(D210="marché libre",(C210/(A210*24))/G210,"spécifier histo"))</f>
        <v>0.0327281746031746</v>
      </c>
      <c r="F210" s="59" t="n">
        <v>2100</v>
      </c>
      <c r="G210" s="59" t="n">
        <f aca="false">F210-H210</f>
        <v>2100</v>
      </c>
      <c r="H210" s="58" t="n">
        <v>0</v>
      </c>
      <c r="J210" s="208"/>
    </row>
    <row r="211" customFormat="false" ht="19.85" hidden="false" customHeight="true" outlineLevel="0" collapsed="false">
      <c r="A211" s="0" t="n">
        <v>31</v>
      </c>
      <c r="B211" s="34" t="n">
        <v>41913</v>
      </c>
      <c r="C211" s="56" t="n">
        <v>0</v>
      </c>
      <c r="D211" s="260" t="s">
        <v>42</v>
      </c>
      <c r="E211" s="33" t="n">
        <f aca="false">IF(D211="totale",(C211/(A211*24))/F211,IF(D211="marché libre",(C211/(A211*24))/G211,"spécifier histo"))</f>
        <v>0</v>
      </c>
      <c r="F211" s="59" t="n">
        <v>2100</v>
      </c>
      <c r="G211" s="59" t="n">
        <f aca="false">F211-H211</f>
        <v>2100</v>
      </c>
      <c r="H211" s="58" t="n">
        <v>0</v>
      </c>
      <c r="I211" s="1" t="s">
        <v>268</v>
      </c>
      <c r="J211" s="208" t="s">
        <v>1191</v>
      </c>
    </row>
    <row r="212" customFormat="false" ht="19.85" hidden="false" customHeight="true" outlineLevel="0" collapsed="false">
      <c r="A212" s="0" t="n">
        <v>30</v>
      </c>
      <c r="B212" s="31" t="n">
        <v>41944</v>
      </c>
      <c r="C212" s="56" t="n">
        <v>106612</v>
      </c>
      <c r="D212" s="260" t="s">
        <v>42</v>
      </c>
      <c r="E212" s="33" t="n">
        <f aca="false">IF(D212="totale",(C212/(A212*24))/F212,IF(D212="marché libre",(C212/(A212*24))/G212,"spécifier histo"))</f>
        <v>0.070510582010582</v>
      </c>
      <c r="F212" s="59" t="n">
        <v>2100</v>
      </c>
      <c r="G212" s="59" t="n">
        <f aca="false">F212-H212</f>
        <v>2100</v>
      </c>
      <c r="H212" s="58" t="n">
        <v>0</v>
      </c>
      <c r="J212" s="208"/>
    </row>
    <row r="213" customFormat="false" ht="19.95" hidden="false" customHeight="true" outlineLevel="0" collapsed="false">
      <c r="A213" s="0" t="n">
        <v>31</v>
      </c>
      <c r="B213" s="34" t="n">
        <v>41974</v>
      </c>
      <c r="C213" s="56" t="n">
        <v>157485</v>
      </c>
      <c r="D213" s="260" t="s">
        <v>42</v>
      </c>
      <c r="E213" s="33" t="n">
        <f aca="false">IF(D213="totale",(C213/(A213*24))/F213,IF(D213="marché libre",(C213/(A213*24))/G213,"spécifier histo"))</f>
        <v>0.100796850998464</v>
      </c>
      <c r="F213" s="59" t="n">
        <v>2100</v>
      </c>
      <c r="G213" s="59" t="n">
        <f aca="false">F213-H213</f>
        <v>2100</v>
      </c>
      <c r="H213" s="58" t="n">
        <v>0</v>
      </c>
      <c r="J213" s="208"/>
    </row>
    <row r="214" customFormat="false" ht="19.85" hidden="false" customHeight="true" outlineLevel="0" collapsed="false">
      <c r="A214" s="0" t="n">
        <v>31</v>
      </c>
      <c r="B214" s="31" t="n">
        <v>42005</v>
      </c>
      <c r="C214" s="56" t="n">
        <v>165850</v>
      </c>
      <c r="D214" s="260" t="s">
        <v>42</v>
      </c>
      <c r="E214" s="33" t="n">
        <f aca="false">IF(D214="totale",(C214/(A214*24))/F214,IF(D214="marché libre",(C214/(A214*24))/G214,"spécifier histo"))</f>
        <v>0.106150793650794</v>
      </c>
      <c r="F214" s="59" t="n">
        <v>2100</v>
      </c>
      <c r="G214" s="59" t="n">
        <f aca="false">F214-H214</f>
        <v>2100</v>
      </c>
      <c r="H214" s="58" t="n">
        <v>0</v>
      </c>
      <c r="J214" s="208"/>
    </row>
    <row r="215" customFormat="false" ht="19.85" hidden="false" customHeight="true" outlineLevel="0" collapsed="false">
      <c r="A215" s="0" t="n">
        <v>28</v>
      </c>
      <c r="B215" s="34" t="n">
        <v>42036</v>
      </c>
      <c r="C215" s="56" t="n">
        <v>5596</v>
      </c>
      <c r="D215" s="260" t="s">
        <v>42</v>
      </c>
      <c r="E215" s="33" t="n">
        <f aca="false">IF(D215="totale",(C215/(A215*24))/F215,IF(D215="marché libre",(C215/(A215*24))/G215,"spécifier histo"))</f>
        <v>0.00396541950113379</v>
      </c>
      <c r="F215" s="59" t="n">
        <v>2100</v>
      </c>
      <c r="G215" s="59" t="n">
        <f aca="false">F215-H215</f>
        <v>2100</v>
      </c>
      <c r="H215" s="58" t="n">
        <v>0</v>
      </c>
      <c r="J215" s="208"/>
    </row>
    <row r="216" customFormat="false" ht="19.85" hidden="false" customHeight="true" outlineLevel="0" collapsed="false">
      <c r="A216" s="0" t="n">
        <v>31</v>
      </c>
      <c r="B216" s="31" t="n">
        <v>42064</v>
      </c>
      <c r="C216" s="56" t="n">
        <v>0</v>
      </c>
      <c r="D216" s="260" t="s">
        <v>42</v>
      </c>
      <c r="E216" s="33" t="e">
        <f aca="false">IF(D216="totale",(C216/(A216*24))/F216,IF(D216="marché libre",(C216/(A216*24))/G216,"spécifier histo"))</f>
        <v>#DIV/0!</v>
      </c>
      <c r="F216" s="59" t="n">
        <v>0</v>
      </c>
      <c r="G216" s="59" t="n">
        <f aca="false">F216-H216</f>
        <v>0</v>
      </c>
      <c r="H216" s="58" t="n">
        <v>0</v>
      </c>
      <c r="I216" s="1" t="s">
        <v>268</v>
      </c>
      <c r="J216" s="208" t="s">
        <v>1192</v>
      </c>
    </row>
    <row r="217" customFormat="false" ht="19.85" hidden="false" customHeight="true" outlineLevel="0" collapsed="false">
      <c r="A217" s="0" t="n">
        <v>30</v>
      </c>
      <c r="B217" s="34" t="n">
        <v>42095</v>
      </c>
      <c r="C217" s="56" t="n">
        <v>0</v>
      </c>
      <c r="D217" s="260" t="s">
        <v>42</v>
      </c>
      <c r="E217" s="33" t="e">
        <f aca="false">IF(D217="totale",(C217/(A217*24))/F217,IF(D217="marché libre",(C217/(A217*24))/G217,"spécifier histo"))</f>
        <v>#DIV/0!</v>
      </c>
      <c r="F217" s="59" t="n">
        <v>0</v>
      </c>
      <c r="G217" s="59" t="n">
        <f aca="false">F217-H217</f>
        <v>0</v>
      </c>
      <c r="H217" s="58" t="n">
        <v>0</v>
      </c>
      <c r="I217" s="1" t="s">
        <v>333</v>
      </c>
      <c r="J217" s="208" t="s">
        <v>1193</v>
      </c>
      <c r="K217" s="208" t="s">
        <v>1194</v>
      </c>
      <c r="L217" s="208" t="s">
        <v>1195</v>
      </c>
    </row>
    <row r="218" customFormat="false" ht="19.85" hidden="false" customHeight="true" outlineLevel="0" collapsed="false">
      <c r="A218" s="0" t="n">
        <v>31</v>
      </c>
      <c r="B218" s="31" t="n">
        <v>42125</v>
      </c>
      <c r="C218" s="56" t="n">
        <v>82902</v>
      </c>
      <c r="D218" s="260" t="s">
        <v>42</v>
      </c>
      <c r="E218" s="33" t="n">
        <f aca="false">IF(D218="totale",(C218/(A218*24))/F218,IF(D218="marché libre",(C218/(A218*24))/G218,"spécifier histo"))</f>
        <v>0.092088776326313</v>
      </c>
      <c r="F218" s="59" t="n">
        <v>1610</v>
      </c>
      <c r="G218" s="59" t="n">
        <f aca="false">F218-H218</f>
        <v>1210</v>
      </c>
      <c r="H218" s="58" t="n">
        <v>400</v>
      </c>
      <c r="J218" s="208" t="s">
        <v>1196</v>
      </c>
    </row>
    <row r="219" customFormat="false" ht="19.85" hidden="false" customHeight="true" outlineLevel="0" collapsed="false">
      <c r="A219" s="0" t="n">
        <v>30</v>
      </c>
      <c r="B219" s="34" t="n">
        <v>42156</v>
      </c>
      <c r="C219" s="56" t="n">
        <v>359494</v>
      </c>
      <c r="D219" s="260" t="s">
        <v>42</v>
      </c>
      <c r="E219" s="33" t="n">
        <f aca="false">IF(D219="totale",(C219/(A219*24))/F219,IF(D219="marché libre",(C219/(A219*24))/G219,"spécifier histo"))</f>
        <v>0.41264233241506</v>
      </c>
      <c r="F219" s="59" t="n">
        <v>1610</v>
      </c>
      <c r="G219" s="59" t="n">
        <f aca="false">F219-H219</f>
        <v>1210</v>
      </c>
      <c r="H219" s="58" t="n">
        <v>400</v>
      </c>
      <c r="J219" s="208"/>
    </row>
    <row r="220" customFormat="false" ht="19.85" hidden="false" customHeight="true" outlineLevel="0" collapsed="false">
      <c r="A220" s="0" t="n">
        <v>31</v>
      </c>
      <c r="B220" s="31" t="n">
        <v>42186</v>
      </c>
      <c r="C220" s="56" t="n">
        <v>9832</v>
      </c>
      <c r="D220" s="260" t="s">
        <v>42</v>
      </c>
      <c r="E220" s="33" t="n">
        <f aca="false">IF(D220="totale",(C220/(A220*24))/F220,IF(D220="marché libre",(C220/(A220*24))/G220,"spécifier histo"))</f>
        <v>0.0109215320359015</v>
      </c>
      <c r="F220" s="59" t="n">
        <v>1610</v>
      </c>
      <c r="G220" s="59" t="n">
        <f aca="false">F220-H220</f>
        <v>1210</v>
      </c>
      <c r="H220" s="58" t="n">
        <v>400</v>
      </c>
      <c r="J220" s="208"/>
    </row>
    <row r="221" customFormat="false" ht="19.85" hidden="false" customHeight="true" outlineLevel="0" collapsed="false">
      <c r="A221" s="0" t="n">
        <v>31</v>
      </c>
      <c r="B221" s="34" t="n">
        <v>42217</v>
      </c>
      <c r="C221" s="56" t="n">
        <v>22475</v>
      </c>
      <c r="D221" s="260" t="s">
        <v>42</v>
      </c>
      <c r="E221" s="33" t="n">
        <f aca="false">IF(D221="totale",(C221/(A221*24))/F221,IF(D221="marché libre",(C221/(A221*24))/G221,"spécifier histo"))</f>
        <v>0.024965564738292</v>
      </c>
      <c r="F221" s="59" t="n">
        <v>1610</v>
      </c>
      <c r="G221" s="59" t="n">
        <f aca="false">F221-H221</f>
        <v>1210</v>
      </c>
      <c r="H221" s="58" t="n">
        <v>400</v>
      </c>
      <c r="J221" s="208"/>
    </row>
    <row r="222" customFormat="false" ht="19.85" hidden="false" customHeight="true" outlineLevel="0" collapsed="false">
      <c r="A222" s="0" t="n">
        <v>30</v>
      </c>
      <c r="B222" s="31" t="n">
        <v>42248</v>
      </c>
      <c r="C222" s="56" t="n">
        <v>66004</v>
      </c>
      <c r="D222" s="260" t="s">
        <v>42</v>
      </c>
      <c r="E222" s="33" t="n">
        <f aca="false">IF(D222="totale",(C222/(A222*24))/F222,IF(D222="marché libre",(C222/(A222*24))/G222,"spécifier histo"))</f>
        <v>0.0757621671258035</v>
      </c>
      <c r="F222" s="59" t="n">
        <v>1610</v>
      </c>
      <c r="G222" s="59" t="n">
        <f aca="false">F222-H222</f>
        <v>1210</v>
      </c>
      <c r="H222" s="58" t="n">
        <v>400</v>
      </c>
      <c r="J222" s="208"/>
    </row>
    <row r="223" customFormat="false" ht="19.85" hidden="false" customHeight="true" outlineLevel="0" collapsed="false">
      <c r="A223" s="0" t="n">
        <v>31</v>
      </c>
      <c r="B223" s="34" t="n">
        <v>42278</v>
      </c>
      <c r="C223" s="56" t="n">
        <v>136302</v>
      </c>
      <c r="D223" s="260" t="s">
        <v>42</v>
      </c>
      <c r="E223" s="33" t="n">
        <f aca="false">IF(D223="totale",(C223/(A223*24))/F223,IF(D223="marché libre",(C223/(A223*24))/G223,"spécifier histo"))</f>
        <v>0.151406291655558</v>
      </c>
      <c r="F223" s="59" t="n">
        <v>1610</v>
      </c>
      <c r="G223" s="59" t="n">
        <f aca="false">F223-H223</f>
        <v>1210</v>
      </c>
      <c r="H223" s="58" t="n">
        <v>400</v>
      </c>
      <c r="J223" s="208"/>
    </row>
    <row r="224" customFormat="false" ht="19.85" hidden="false" customHeight="true" outlineLevel="0" collapsed="false">
      <c r="A224" s="0" t="n">
        <v>30</v>
      </c>
      <c r="B224" s="31" t="n">
        <v>42309</v>
      </c>
      <c r="C224" s="128" t="n">
        <v>31018</v>
      </c>
      <c r="D224" s="260" t="s">
        <v>42</v>
      </c>
      <c r="E224" s="33" t="n">
        <f aca="false">IF(D224="totale",(C224/(A224*24))/F224,IF(D224="marché libre",(C224/(A224*24))/G224,"spécifier histo"))</f>
        <v>0.0356037649219467</v>
      </c>
      <c r="F224" s="59" t="n">
        <v>1610</v>
      </c>
      <c r="G224" s="59" t="n">
        <f aca="false">F224-H224</f>
        <v>1210</v>
      </c>
      <c r="H224" s="58" t="n">
        <v>400</v>
      </c>
      <c r="J224" s="208"/>
    </row>
    <row r="225" customFormat="false" ht="19.85" hidden="false" customHeight="true" outlineLevel="0" collapsed="false">
      <c r="A225" s="0" t="n">
        <v>31</v>
      </c>
      <c r="B225" s="34" t="n">
        <v>42339</v>
      </c>
      <c r="C225" s="128" t="n">
        <v>362</v>
      </c>
      <c r="D225" s="260" t="s">
        <v>42</v>
      </c>
      <c r="E225" s="33" t="n">
        <f aca="false">IF(D225="totale",(C225/(A225*24))/F225,IF(D225="marché libre",(C225/(A225*24))/G225,"spécifier histo"))</f>
        <v>0.000402114991557807</v>
      </c>
      <c r="F225" s="59" t="n">
        <v>1610</v>
      </c>
      <c r="G225" s="59" t="n">
        <f aca="false">F225-H225</f>
        <v>1210</v>
      </c>
      <c r="H225" s="58" t="n">
        <v>400</v>
      </c>
      <c r="J225" s="208"/>
    </row>
    <row r="226" customFormat="false" ht="19.85" hidden="false" customHeight="true" outlineLevel="0" collapsed="false">
      <c r="A226" s="0" t="n">
        <v>31</v>
      </c>
      <c r="B226" s="31" t="n">
        <v>42370</v>
      </c>
      <c r="C226" s="9" t="n">
        <v>175611</v>
      </c>
      <c r="D226" s="260" t="s">
        <v>42</v>
      </c>
      <c r="E226" s="33" t="n">
        <f aca="false">IF(D226="totale",(C226/(A226*24))/F226,IF(D226="marché libre",(C226/(A226*24))/G226,"spécifier histo"))</f>
        <v>0.195071314316182</v>
      </c>
      <c r="F226" s="59" t="n">
        <v>1610</v>
      </c>
      <c r="G226" s="59" t="n">
        <f aca="false">F226-H226</f>
        <v>1210</v>
      </c>
      <c r="H226" s="58" t="n">
        <v>400</v>
      </c>
      <c r="J226" s="208" t="s">
        <v>1197</v>
      </c>
    </row>
    <row r="227" customFormat="false" ht="19.85" hidden="false" customHeight="true" outlineLevel="0" collapsed="false">
      <c r="A227" s="0" t="n">
        <v>28</v>
      </c>
      <c r="B227" s="34" t="n">
        <v>42401</v>
      </c>
      <c r="C227" s="9" t="n">
        <v>247626</v>
      </c>
      <c r="D227" s="260" t="s">
        <v>42</v>
      </c>
      <c r="E227" s="33" t="n">
        <f aca="false">IF(D227="totale",(C227/(A227*24))/F227,IF(D227="marché libre",(C227/(A227*24))/G227,"spécifier histo"))</f>
        <v>0.304538075560803</v>
      </c>
      <c r="F227" s="59" t="n">
        <v>1610</v>
      </c>
      <c r="G227" s="59" t="n">
        <f aca="false">F227-H227</f>
        <v>1210</v>
      </c>
      <c r="H227" s="58" t="n">
        <v>400</v>
      </c>
      <c r="J227" s="208" t="s">
        <v>1198</v>
      </c>
    </row>
    <row r="228" customFormat="false" ht="19.85" hidden="false" customHeight="true" outlineLevel="0" collapsed="false">
      <c r="A228" s="0" t="n">
        <v>31</v>
      </c>
      <c r="B228" s="31" t="n">
        <v>42430</v>
      </c>
      <c r="C228" s="9" t="n">
        <v>37705</v>
      </c>
      <c r="D228" s="260" t="s">
        <v>42</v>
      </c>
      <c r="E228" s="33" t="n">
        <f aca="false">IF(D228="totale",(C228/(A228*24))/F228,IF(D228="marché libre",(C228/(A228*24))/G228,"spécifier histo"))</f>
        <v>0.0418832755709589</v>
      </c>
      <c r="F228" s="59" t="n">
        <v>1610</v>
      </c>
      <c r="G228" s="59" t="n">
        <f aca="false">F228-H228</f>
        <v>1210</v>
      </c>
      <c r="H228" s="58" t="n">
        <v>400</v>
      </c>
      <c r="J228" s="208" t="s">
        <v>1199</v>
      </c>
    </row>
    <row r="229" customFormat="false" ht="19.85" hidden="false" customHeight="true" outlineLevel="0" collapsed="false">
      <c r="A229" s="0" t="n">
        <v>30</v>
      </c>
      <c r="B229" s="34" t="n">
        <v>42461</v>
      </c>
      <c r="C229" s="9" t="n">
        <v>434506</v>
      </c>
      <c r="D229" s="260" t="s">
        <v>42</v>
      </c>
      <c r="E229" s="33" t="n">
        <f aca="false">IF(D229="totale",(C229/(A229*24))/F229,IF(D229="marché libre",(C229/(A229*24))/G229,"spécifier histo"))</f>
        <v>0.498744260789715</v>
      </c>
      <c r="F229" s="59" t="n">
        <v>1610</v>
      </c>
      <c r="G229" s="59" t="n">
        <f aca="false">F229-H229</f>
        <v>1210</v>
      </c>
      <c r="H229" s="58" t="n">
        <v>400</v>
      </c>
      <c r="J229" s="208"/>
    </row>
    <row r="230" customFormat="false" ht="19.85" hidden="false" customHeight="true" outlineLevel="0" collapsed="false">
      <c r="A230" s="0" t="n">
        <v>31</v>
      </c>
      <c r="B230" s="31" t="n">
        <v>42491</v>
      </c>
      <c r="C230" s="9" t="n">
        <v>687613</v>
      </c>
      <c r="D230" s="260" t="s">
        <v>42</v>
      </c>
      <c r="E230" s="33" t="n">
        <f aca="false">IF(D230="totale",(C230/(A230*24))/F230,IF(D230="marché libre",(C230/(A230*24))/G230,"spécifier histo"))</f>
        <v>0.763810761574691</v>
      </c>
      <c r="F230" s="59" t="n">
        <v>1610</v>
      </c>
      <c r="G230" s="59" t="n">
        <f aca="false">F230-H230</f>
        <v>1210</v>
      </c>
      <c r="H230" s="58" t="n">
        <v>400</v>
      </c>
      <c r="J230" s="208" t="s">
        <v>296</v>
      </c>
      <c r="K230" s="63"/>
    </row>
    <row r="231" customFormat="false" ht="19.85" hidden="false" customHeight="true" outlineLevel="0" collapsed="false">
      <c r="A231" s="0" t="n">
        <v>30</v>
      </c>
      <c r="B231" s="34" t="n">
        <v>42522</v>
      </c>
      <c r="C231" s="9" t="n">
        <v>807224</v>
      </c>
      <c r="D231" s="260" t="s">
        <v>42</v>
      </c>
      <c r="E231" s="33" t="n">
        <f aca="false">IF(D231="totale",(C231/(A231*24))/F231,IF(D231="marché libre",(C231/(A231*24))/G231,"spécifier histo"))</f>
        <v>0.926565656565657</v>
      </c>
      <c r="F231" s="59" t="n">
        <v>1610</v>
      </c>
      <c r="G231" s="59" t="n">
        <f aca="false">F231-H231</f>
        <v>1210</v>
      </c>
      <c r="H231" s="58" t="n">
        <v>400</v>
      </c>
      <c r="J231" s="208" t="s">
        <v>296</v>
      </c>
      <c r="K231" s="63"/>
    </row>
    <row r="232" customFormat="false" ht="19.85" hidden="false" customHeight="true" outlineLevel="0" collapsed="false">
      <c r="A232" s="0" t="n">
        <v>31</v>
      </c>
      <c r="B232" s="31" t="n">
        <v>42552</v>
      </c>
      <c r="C232" s="9" t="n">
        <v>323717</v>
      </c>
      <c r="D232" s="260" t="s">
        <v>42</v>
      </c>
      <c r="E232" s="33" t="n">
        <f aca="false">IF(D232="totale",(C232/(A232*24))/F232,IF(D232="marché libre",(C232/(A232*24))/G232,"spécifier histo"))</f>
        <v>0.359589664978228</v>
      </c>
      <c r="F232" s="59" t="n">
        <v>1610</v>
      </c>
      <c r="G232" s="59" t="n">
        <f aca="false">F232-H232</f>
        <v>1210</v>
      </c>
      <c r="H232" s="58" t="n">
        <v>400</v>
      </c>
      <c r="J232" s="208"/>
      <c r="K232" s="63"/>
    </row>
    <row r="233" customFormat="false" ht="19.85" hidden="false" customHeight="true" outlineLevel="0" collapsed="false">
      <c r="A233" s="0" t="n">
        <v>31</v>
      </c>
      <c r="B233" s="34" t="n">
        <v>42583</v>
      </c>
      <c r="C233" s="9" t="n">
        <v>68194</v>
      </c>
      <c r="D233" s="260" t="s">
        <v>42</v>
      </c>
      <c r="E233" s="33" t="n">
        <f aca="false">IF(D233="totale",(C233/(A233*24))/F233,IF(D233="marché libre",(C233/(A233*24))/G233,"spécifier histo"))</f>
        <v>0.0757509108682129</v>
      </c>
      <c r="F233" s="59" t="n">
        <v>1610</v>
      </c>
      <c r="G233" s="59" t="n">
        <f aca="false">F233-H233</f>
        <v>1210</v>
      </c>
      <c r="H233" s="58" t="n">
        <v>400</v>
      </c>
      <c r="J233" s="208" t="s">
        <v>1200</v>
      </c>
    </row>
    <row r="234" customFormat="false" ht="19.85" hidden="false" customHeight="true" outlineLevel="0" collapsed="false">
      <c r="A234" s="0" t="n">
        <v>30</v>
      </c>
      <c r="B234" s="31" t="n">
        <v>42614</v>
      </c>
      <c r="C234" s="9" t="n">
        <v>1331</v>
      </c>
      <c r="D234" s="260" t="s">
        <v>42</v>
      </c>
      <c r="E234" s="33" t="n">
        <f aca="false">IF(D234="totale",(C234/(A234*24))/F234,IF(D234="marché libre",(C234/(A234*24))/G234,"spécifier histo"))</f>
        <v>0.00152777777777778</v>
      </c>
      <c r="F234" s="59" t="n">
        <v>1610</v>
      </c>
      <c r="G234" s="59" t="n">
        <f aca="false">F234-H234</f>
        <v>1210</v>
      </c>
      <c r="H234" s="58" t="n">
        <v>400</v>
      </c>
      <c r="J234" s="208" t="s">
        <v>1201</v>
      </c>
    </row>
    <row r="235" customFormat="false" ht="19.85" hidden="false" customHeight="true" outlineLevel="0" collapsed="false">
      <c r="A235" s="0" t="n">
        <v>31</v>
      </c>
      <c r="B235" s="34" t="n">
        <v>42644</v>
      </c>
      <c r="C235" s="9" t="n">
        <v>232</v>
      </c>
      <c r="D235" s="260" t="s">
        <v>42</v>
      </c>
      <c r="E235" s="33" t="n">
        <f aca="false">IF(D235="totale",(C235/(A235*24))/F235,IF(D235="marché libre",(C235/(A235*24))/G235,"spécifier histo"))</f>
        <v>0.000257709055363014</v>
      </c>
      <c r="F235" s="59" t="n">
        <v>1610</v>
      </c>
      <c r="G235" s="59" t="n">
        <f aca="false">F235-H235</f>
        <v>1210</v>
      </c>
      <c r="H235" s="58" t="n">
        <v>400</v>
      </c>
      <c r="J235" s="208" t="s">
        <v>1202</v>
      </c>
    </row>
    <row r="236" customFormat="false" ht="19.85" hidden="false" customHeight="true" outlineLevel="0" collapsed="false">
      <c r="A236" s="0" t="n">
        <v>30</v>
      </c>
      <c r="B236" s="31" t="n">
        <v>42675</v>
      </c>
      <c r="C236" s="9" t="n">
        <v>216</v>
      </c>
      <c r="D236" s="260" t="s">
        <v>42</v>
      </c>
      <c r="E236" s="33" t="n">
        <f aca="false">IF(D236="totale",(C236/(A236*24))/F236,IF(D236="marché libre",(C236/(A236*24))/G236,"spécifier histo"))</f>
        <v>0.000247933884297521</v>
      </c>
      <c r="F236" s="59" t="n">
        <v>1610</v>
      </c>
      <c r="G236" s="59" t="n">
        <f aca="false">F236-H236</f>
        <v>1210</v>
      </c>
      <c r="H236" s="58" t="n">
        <v>400</v>
      </c>
      <c r="J236" s="208" t="s">
        <v>1203</v>
      </c>
    </row>
    <row r="237" customFormat="false" ht="19.85" hidden="false" customHeight="true" outlineLevel="0" collapsed="false">
      <c r="A237" s="0" t="n">
        <v>31</v>
      </c>
      <c r="B237" s="34" t="n">
        <v>42705</v>
      </c>
      <c r="C237" s="9" t="n">
        <v>237</v>
      </c>
      <c r="D237" s="260" t="s">
        <v>42</v>
      </c>
      <c r="E237" s="33" t="n">
        <f aca="false">IF(D237="totale",(C237/(A237*24))/F237,IF(D237="marché libre",(C237/(A237*24))/G237,"spécifier histo"))</f>
        <v>0.000263263129832045</v>
      </c>
      <c r="F237" s="59" t="n">
        <v>1610</v>
      </c>
      <c r="G237" s="59" t="n">
        <f aca="false">F237-H237</f>
        <v>1210</v>
      </c>
      <c r="H237" s="58" t="n">
        <v>400</v>
      </c>
      <c r="J237" s="208"/>
    </row>
    <row r="238" customFormat="false" ht="19.85" hidden="false" customHeight="true" outlineLevel="0" collapsed="false">
      <c r="A238" s="0" t="n">
        <v>31</v>
      </c>
      <c r="B238" s="31" t="n">
        <v>42736</v>
      </c>
      <c r="C238" s="9" t="n">
        <v>238</v>
      </c>
      <c r="D238" s="260" t="s">
        <v>42</v>
      </c>
      <c r="E238" s="33" t="n">
        <f aca="false">IF(D238="totale",(C238/(A238*24))/F238,IF(D238="marché libre",(C238/(A238*24))/G238,"spécifier histo"))</f>
        <v>0.000264373944725851</v>
      </c>
      <c r="F238" s="59" t="n">
        <v>1610</v>
      </c>
      <c r="G238" s="59" t="n">
        <f aca="false">F238-H238</f>
        <v>1210</v>
      </c>
      <c r="H238" s="58" t="n">
        <v>400</v>
      </c>
      <c r="J238" s="216"/>
    </row>
    <row r="239" customFormat="false" ht="19.85" hidden="false" customHeight="true" outlineLevel="0" collapsed="false">
      <c r="A239" s="0" t="n">
        <v>28</v>
      </c>
      <c r="B239" s="34" t="n">
        <v>42767</v>
      </c>
      <c r="C239" s="9" t="n">
        <v>224</v>
      </c>
      <c r="D239" s="260" t="s">
        <v>42</v>
      </c>
      <c r="E239" s="33" t="n">
        <f aca="false">IF(D239="totale",(C239/(A239*24))/F239,IF(D239="marché libre",(C239/(A239*24))/G239,"spécifier histo"))</f>
        <v>0.000275482093663912</v>
      </c>
      <c r="F239" s="59" t="n">
        <v>1610</v>
      </c>
      <c r="G239" s="59" t="n">
        <f aca="false">F239-H239</f>
        <v>1210</v>
      </c>
      <c r="H239" s="58" t="n">
        <v>400</v>
      </c>
      <c r="J239" s="208"/>
    </row>
    <row r="240" customFormat="false" ht="19.85" hidden="false" customHeight="true" outlineLevel="0" collapsed="false">
      <c r="A240" s="0" t="n">
        <v>31</v>
      </c>
      <c r="B240" s="31" t="n">
        <v>42795</v>
      </c>
      <c r="C240" s="9" t="n">
        <v>55382</v>
      </c>
      <c r="D240" s="260" t="s">
        <v>42</v>
      </c>
      <c r="E240" s="33" t="n">
        <f aca="false">IF(D240="totale",(C240/(A240*24))/F240,IF(D240="marché libre",(C240/(A240*24))/G240,"spécifier histo"))</f>
        <v>0.0615191504487692</v>
      </c>
      <c r="F240" s="59" t="n">
        <v>1610</v>
      </c>
      <c r="G240" s="59" t="n">
        <f aca="false">F240-H240</f>
        <v>1210</v>
      </c>
      <c r="H240" s="58" t="n">
        <v>400</v>
      </c>
      <c r="J240" s="208"/>
    </row>
    <row r="241" customFormat="false" ht="19.85" hidden="false" customHeight="true" outlineLevel="0" collapsed="false">
      <c r="A241" s="0" t="n">
        <v>30</v>
      </c>
      <c r="B241" s="34" t="n">
        <v>42826</v>
      </c>
      <c r="C241" s="9" t="n">
        <v>89201</v>
      </c>
      <c r="D241" s="260" t="s">
        <v>42</v>
      </c>
      <c r="E241" s="33" t="n">
        <f aca="false">IF(D241="totale",(C241/(A241*24))/F241,IF(D241="marché libre",(C241/(A241*24))/G241,"spécifier histo"))</f>
        <v>0.102388659320478</v>
      </c>
      <c r="F241" s="59" t="n">
        <v>1610</v>
      </c>
      <c r="G241" s="59" t="n">
        <f aca="false">F241-H241</f>
        <v>1210</v>
      </c>
      <c r="H241" s="58" t="n">
        <v>400</v>
      </c>
      <c r="J241" s="208"/>
    </row>
    <row r="242" customFormat="false" ht="19.85" hidden="false" customHeight="true" outlineLevel="0" collapsed="false">
      <c r="A242" s="0" t="n">
        <v>31</v>
      </c>
      <c r="B242" s="31" t="n">
        <v>42856</v>
      </c>
      <c r="C242" s="9" t="n">
        <v>637266</v>
      </c>
      <c r="D242" s="260" t="s">
        <v>42</v>
      </c>
      <c r="E242" s="33" t="n">
        <f aca="false">IF(D242="totale",(C242/(A242*24))/F242,IF(D242="marché libre",(C242/(A242*24))/G242,"spécifier histo"))</f>
        <v>0.707884564116236</v>
      </c>
      <c r="F242" s="59" t="n">
        <v>1610</v>
      </c>
      <c r="G242" s="59" t="n">
        <f aca="false">F242-H242</f>
        <v>1210</v>
      </c>
      <c r="H242" s="58" t="n">
        <v>400</v>
      </c>
      <c r="J242" s="208"/>
    </row>
    <row r="243" customFormat="false" ht="22.45" hidden="false" customHeight="true" outlineLevel="0" collapsed="false">
      <c r="A243" s="0" t="n">
        <v>30</v>
      </c>
      <c r="B243" s="34" t="n">
        <v>42887</v>
      </c>
      <c r="C243" s="9" t="n">
        <v>411927</v>
      </c>
      <c r="D243" s="260" t="s">
        <v>42</v>
      </c>
      <c r="E243" s="33" t="n">
        <f aca="false">IF(D243="totale",(C243/(A243*24))/F243,IF(D243="marché libre",(C243/(A243*24))/G243,"spécifier histo"))</f>
        <v>0.472827134986226</v>
      </c>
      <c r="F243" s="59" t="n">
        <v>1610</v>
      </c>
      <c r="G243" s="59" t="n">
        <f aca="false">F243-H243</f>
        <v>1210</v>
      </c>
      <c r="H243" s="58" t="n">
        <v>400</v>
      </c>
      <c r="J243" s="208"/>
    </row>
    <row r="244" customFormat="false" ht="21.65" hidden="false" customHeight="true" outlineLevel="0" collapsed="false">
      <c r="A244" s="0" t="n">
        <v>31</v>
      </c>
      <c r="B244" s="31" t="n">
        <v>42917</v>
      </c>
      <c r="C244" s="9" t="n">
        <v>124583</v>
      </c>
      <c r="D244" s="260" t="s">
        <v>42</v>
      </c>
      <c r="E244" s="33" t="n">
        <f aca="false">IF(D244="totale",(C244/(A244*24))/F244,IF(D244="marché libre",(C244/(A244*24))/G244,"spécifier histo"))</f>
        <v>0.138388651915045</v>
      </c>
      <c r="F244" s="59" t="n">
        <v>1610</v>
      </c>
      <c r="G244" s="59" t="n">
        <f aca="false">F244-H244</f>
        <v>1210</v>
      </c>
      <c r="H244" s="58" t="n">
        <v>400</v>
      </c>
      <c r="J244" s="208"/>
    </row>
    <row r="245" customFormat="false" ht="21.65" hidden="false" customHeight="true" outlineLevel="0" collapsed="false">
      <c r="A245" s="0" t="n">
        <v>31</v>
      </c>
      <c r="B245" s="34" t="n">
        <v>42948</v>
      </c>
      <c r="C245" s="9" t="n">
        <v>5424</v>
      </c>
      <c r="D245" s="260" t="s">
        <v>42</v>
      </c>
      <c r="E245" s="33" t="n">
        <f aca="false">IF(D245="totale",(C245/(A245*24))/F245,IF(D245="marché libre",(C245/(A245*24))/G245,"spécifier histo"))</f>
        <v>0.00602505998400427</v>
      </c>
      <c r="F245" s="59" t="n">
        <v>1610</v>
      </c>
      <c r="G245" s="59" t="n">
        <f aca="false">F245-H245</f>
        <v>1210</v>
      </c>
      <c r="H245" s="58" t="n">
        <v>400</v>
      </c>
      <c r="J245" s="208"/>
    </row>
    <row r="246" customFormat="false" ht="21.65" hidden="false" customHeight="true" outlineLevel="0" collapsed="false">
      <c r="A246" s="0" t="n">
        <v>30</v>
      </c>
      <c r="B246" s="31" t="n">
        <v>42979</v>
      </c>
      <c r="C246" s="9" t="n">
        <v>7276</v>
      </c>
      <c r="D246" s="260" t="s">
        <v>42</v>
      </c>
      <c r="E246" s="33" t="n">
        <f aca="false">IF(D246="totale",(C246/(A246*24))/F246,IF(D246="marché libre",(C246/(A246*24))/G246,"spécifier histo"))</f>
        <v>0.00835169880624426</v>
      </c>
      <c r="F246" s="59" t="n">
        <v>1610</v>
      </c>
      <c r="G246" s="59" t="n">
        <f aca="false">F246-H246</f>
        <v>1210</v>
      </c>
      <c r="H246" s="58" t="n">
        <v>400</v>
      </c>
      <c r="J246" s="208"/>
    </row>
    <row r="247" customFormat="false" ht="21.65" hidden="false" customHeight="true" outlineLevel="0" collapsed="false">
      <c r="A247" s="0" t="n">
        <v>31</v>
      </c>
      <c r="B247" s="34" t="n">
        <v>43009</v>
      </c>
      <c r="C247" s="9" t="n">
        <v>1027</v>
      </c>
      <c r="D247" s="260" t="s">
        <v>42</v>
      </c>
      <c r="E247" s="33" t="n">
        <f aca="false">IF(D247="totale",(C247/(A247*24))/F247,IF(D247="marché libre",(C247/(A247*24))/G247,"spécifier histo"))</f>
        <v>0.00114080689593886</v>
      </c>
      <c r="F247" s="59" t="n">
        <v>1610</v>
      </c>
      <c r="G247" s="59" t="n">
        <f aca="false">F247-H247</f>
        <v>1210</v>
      </c>
      <c r="H247" s="58" t="n">
        <v>400</v>
      </c>
      <c r="J247" s="208"/>
    </row>
    <row r="248" customFormat="false" ht="21.65" hidden="false" customHeight="true" outlineLevel="0" collapsed="false">
      <c r="A248" s="0" t="n">
        <v>30</v>
      </c>
      <c r="B248" s="31" t="n">
        <v>43040</v>
      </c>
      <c r="C248" s="9" t="n">
        <v>4911</v>
      </c>
      <c r="D248" s="260" t="s">
        <v>42</v>
      </c>
      <c r="E248" s="33" t="n">
        <f aca="false">IF(D248="totale",(C248/(A248*24))/F248,IF(D248="marché libre",(C248/(A248*24))/G248,"spécifier histo"))</f>
        <v>0.0056370523415978</v>
      </c>
      <c r="F248" s="59" t="n">
        <v>1610</v>
      </c>
      <c r="G248" s="59" t="n">
        <f aca="false">F248-H248</f>
        <v>1210</v>
      </c>
      <c r="H248" s="58" t="n">
        <v>400</v>
      </c>
      <c r="J248" s="208"/>
    </row>
    <row r="249" customFormat="false" ht="21.65" hidden="false" customHeight="true" outlineLevel="0" collapsed="false">
      <c r="A249" s="0" t="n">
        <v>31</v>
      </c>
      <c r="B249" s="34" t="n">
        <v>43070</v>
      </c>
      <c r="C249" s="9" t="n">
        <v>99847</v>
      </c>
      <c r="D249" s="260" t="s">
        <v>42</v>
      </c>
      <c r="E249" s="33" t="n">
        <f aca="false">IF(D249="totale",(C249/(A249*24))/F249,IF(D249="marché libre",(C249/(A249*24))/G249,"spécifier histo"))</f>
        <v>0.110911534701857</v>
      </c>
      <c r="F249" s="59" t="n">
        <v>1610</v>
      </c>
      <c r="G249" s="59" t="n">
        <f aca="false">F249-H249</f>
        <v>1210</v>
      </c>
      <c r="H249" s="58" t="n">
        <v>400</v>
      </c>
      <c r="J249" s="208"/>
    </row>
    <row r="250" customFormat="false" ht="28.35" hidden="false" customHeight="true" outlineLevel="0" collapsed="false">
      <c r="A250" s="0" t="n">
        <v>31</v>
      </c>
      <c r="B250" s="31" t="n">
        <v>43101</v>
      </c>
      <c r="C250" s="1" t="n">
        <v>544246</v>
      </c>
      <c r="D250" s="260" t="s">
        <v>42</v>
      </c>
      <c r="E250" s="33" t="n">
        <f aca="false">IF(D250="totale",(C250/(A250*24))/F250,IF(D250="marché libre",(C250/(A250*24))/G250,"spécifier histo"))</f>
        <v>0.604556562694393</v>
      </c>
      <c r="F250" s="59" t="n">
        <v>1610</v>
      </c>
      <c r="G250" s="59" t="n">
        <f aca="false">F250-H250</f>
        <v>1210</v>
      </c>
      <c r="H250" s="58" t="n">
        <v>400</v>
      </c>
      <c r="J250" s="216"/>
    </row>
    <row r="251" customFormat="false" ht="12.8" hidden="false" customHeight="false" outlineLevel="0" collapsed="false">
      <c r="A251" s="0"/>
      <c r="J251" s="180"/>
    </row>
    <row r="252" customFormat="false" ht="12.8" hidden="false" customHeight="false" outlineLevel="0" collapsed="false">
      <c r="A252" s="0"/>
      <c r="J252" s="180"/>
    </row>
    <row r="253" customFormat="false" ht="12.8" hidden="false" customHeight="false" outlineLevel="0" collapsed="false">
      <c r="A253" s="0"/>
      <c r="J253" s="180"/>
    </row>
    <row r="254" customFormat="false" ht="12.8" hidden="false" customHeight="false" outlineLevel="0" collapsed="false">
      <c r="A254" s="0"/>
      <c r="J254" s="180"/>
    </row>
    <row r="255" customFormat="false" ht="12.8" hidden="false" customHeight="false" outlineLevel="0" collapsed="false">
      <c r="A255" s="0"/>
      <c r="J255" s="180"/>
    </row>
    <row r="256" customFormat="false" ht="12.8" hidden="false" customHeight="false" outlineLevel="0" collapsed="false">
      <c r="A256" s="0"/>
      <c r="J256" s="180"/>
    </row>
    <row r="257" customFormat="false" ht="12.8" hidden="false" customHeight="false" outlineLevel="0" collapsed="false">
      <c r="A257" s="0"/>
      <c r="J257" s="180"/>
    </row>
    <row r="258" customFormat="false" ht="12.8" hidden="false" customHeight="false" outlineLevel="0" collapsed="false">
      <c r="A258" s="0"/>
      <c r="J258" s="180"/>
    </row>
    <row r="259" customFormat="false" ht="12.8" hidden="false" customHeight="false" outlineLevel="0" collapsed="false">
      <c r="A259" s="0"/>
      <c r="J259" s="180"/>
    </row>
    <row r="260" customFormat="false" ht="12.8" hidden="false" customHeight="false" outlineLevel="0" collapsed="false">
      <c r="A260" s="0"/>
      <c r="J260" s="180"/>
    </row>
    <row r="261" customFormat="false" ht="12.8" hidden="false" customHeight="false" outlineLevel="0" collapsed="false">
      <c r="A261" s="0"/>
    </row>
    <row r="262" customFormat="false" ht="12.8" hidden="false" customHeight="false" outlineLevel="0" collapsed="false">
      <c r="A262" s="0"/>
    </row>
    <row r="263" customFormat="false" ht="12.8" hidden="false" customHeight="false" outlineLevel="0" collapsed="false">
      <c r="A263" s="0"/>
    </row>
    <row r="264" customFormat="false" ht="12.8" hidden="false" customHeight="false" outlineLevel="0" collapsed="false">
      <c r="A264" s="0"/>
    </row>
    <row r="265" customFormat="false" ht="12.8" hidden="false" customHeight="false" outlineLevel="0" collapsed="false">
      <c r="A265" s="0"/>
    </row>
    <row r="266" customFormat="false" ht="12.8" hidden="false" customHeight="false" outlineLevel="0" collapsed="false">
      <c r="A266" s="0"/>
    </row>
    <row r="267" customFormat="false" ht="12.8" hidden="false" customHeight="false" outlineLevel="0" collapsed="false">
      <c r="A267" s="0"/>
    </row>
    <row r="268" customFormat="false" ht="12.8" hidden="false" customHeight="false" outlineLevel="0" collapsed="false">
      <c r="A268" s="0"/>
    </row>
    <row r="269" customFormat="false" ht="12.8" hidden="false" customHeight="false" outlineLevel="0" collapsed="false">
      <c r="A269" s="0"/>
    </row>
    <row r="270" customFormat="false" ht="12.8" hidden="false" customHeight="false" outlineLevel="0" collapsed="false">
      <c r="A270" s="0"/>
    </row>
    <row r="271" customFormat="false" ht="12.8" hidden="false" customHeight="false" outlineLevel="0" collapsed="false">
      <c r="A271" s="0"/>
    </row>
    <row r="272" customFormat="false" ht="12.8" hidden="false" customHeight="false" outlineLevel="0" collapsed="false">
      <c r="A272" s="0"/>
    </row>
    <row r="273" customFormat="false" ht="12.8" hidden="false" customHeight="false" outlineLevel="0" collapsed="false">
      <c r="A273" s="0"/>
    </row>
    <row r="274" customFormat="false" ht="12.8" hidden="false" customHeight="false" outlineLevel="0" collapsed="false">
      <c r="A274" s="0"/>
    </row>
    <row r="275" customFormat="false" ht="12.8" hidden="false" customHeight="false" outlineLevel="0" collapsed="false">
      <c r="A275" s="0"/>
    </row>
    <row r="276" customFormat="false" ht="12.8" hidden="false" customHeight="false" outlineLevel="0" collapsed="false">
      <c r="A276" s="0"/>
    </row>
  </sheetData>
  <mergeCells count="14">
    <mergeCell ref="B1:E2"/>
    <mergeCell ref="F1:N1"/>
    <mergeCell ref="F2:I2"/>
    <mergeCell ref="J2:K2"/>
    <mergeCell ref="L2:M2"/>
    <mergeCell ref="N2:N3"/>
    <mergeCell ref="U2:U3"/>
    <mergeCell ref="T4:V4"/>
    <mergeCell ref="C6:D6"/>
    <mergeCell ref="F6:F7"/>
    <mergeCell ref="G6:N7"/>
    <mergeCell ref="C7:D7"/>
    <mergeCell ref="L96:Q97"/>
    <mergeCell ref="L98:Q99"/>
  </mergeCells>
  <conditionalFormatting sqref="E215:E250 E10:E21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214">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77.xml><?xml version="1.0" encoding="utf-8"?>
<worksheet xmlns="http://schemas.openxmlformats.org/spreadsheetml/2006/main" xmlns:r="http://schemas.openxmlformats.org/officeDocument/2006/relationships">
  <sheetPr filterMode="false">
    <tabColor rgb="FF00CC33"/>
    <pageSetUpPr fitToPage="false"/>
  </sheetPr>
  <dimension ref="A1:AS46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457" activePane="bottomRight" state="frozen"/>
      <selection pane="topLeft" activeCell="A1" activeCellId="0" sqref="A1"/>
      <selection pane="topRight" activeCell="B1" activeCellId="0" sqref="B1"/>
      <selection pane="bottomLeft" activeCell="A457" activeCellId="0" sqref="A457"/>
      <selection pane="bottomRight" activeCell="B462" activeCellId="0" sqref="B462"/>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52"/>
    <col collapsed="false" customWidth="true" hidden="false" outlineLevel="0" max="5" min="5" style="1" width="18.38"/>
    <col collapsed="false" customWidth="true" hidden="false" outlineLevel="0" max="6" min="6" style="1" width="16.07"/>
    <col collapsed="false" customWidth="true" hidden="false" outlineLevel="0" max="7" min="7" style="1" width="14.66"/>
    <col collapsed="false" customWidth="true" hidden="false" outlineLevel="0" max="8" min="8" style="1" width="16.67"/>
    <col collapsed="false" customWidth="true" hidden="false" outlineLevel="0" max="9" min="9" style="1" width="19.31"/>
    <col collapsed="false" customWidth="true" hidden="false" outlineLevel="0" max="10" min="10" style="29" width="23.46"/>
    <col collapsed="false" customWidth="true" hidden="false" outlineLevel="0" max="11" min="11" style="1" width="19.77"/>
    <col collapsed="false" customWidth="true" hidden="false" outlineLevel="0" max="12" min="12" style="1" width="24.54"/>
    <col collapsed="false" customWidth="false" hidden="false" outlineLevel="0" max="13" min="13" style="1" width="11.52"/>
    <col collapsed="false" customWidth="true" hidden="false" outlineLevel="0" max="14" min="14" style="1" width="9.4"/>
    <col collapsed="false" customWidth="true" hidden="false" outlineLevel="0" max="15" min="15" style="1" width="5.24"/>
    <col collapsed="false" customWidth="false" hidden="false" outlineLevel="0" max="16" min="16" style="1" width="11.52"/>
    <col collapsed="false" customWidth="true" hidden="false" outlineLevel="0" max="17" min="17" style="1" width="15.42"/>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197" t="s">
        <v>108</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40" t="s">
        <v>3</v>
      </c>
      <c r="K2" s="340"/>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341" t="s">
        <v>17</v>
      </c>
      <c r="K3" s="10" t="s">
        <v>18</v>
      </c>
      <c r="L3" s="10" t="s">
        <v>19</v>
      </c>
      <c r="M3" s="10" t="s">
        <v>17</v>
      </c>
      <c r="N3" s="3"/>
      <c r="P3" s="12"/>
      <c r="Q3" s="5" t="s">
        <v>20</v>
      </c>
      <c r="S3" s="13"/>
      <c r="T3" s="7" t="s">
        <v>21</v>
      </c>
      <c r="U3" s="8"/>
      <c r="V3" s="9"/>
    </row>
    <row r="4" customFormat="false" ht="42.45" hidden="false" customHeight="true" outlineLevel="0" collapsed="false">
      <c r="A4" s="0"/>
      <c r="B4" s="16" t="s">
        <v>1204</v>
      </c>
      <c r="C4" s="16" t="n">
        <v>529289</v>
      </c>
      <c r="D4" s="5" t="s">
        <v>1205</v>
      </c>
      <c r="E4" s="14" t="s">
        <v>308</v>
      </c>
      <c r="F4" s="15" t="n">
        <v>3360</v>
      </c>
      <c r="G4" s="15" t="n">
        <v>4490</v>
      </c>
      <c r="H4" s="15" t="n">
        <v>3360</v>
      </c>
      <c r="I4" s="16" t="s">
        <v>1206</v>
      </c>
      <c r="J4" s="342" t="n">
        <v>3360</v>
      </c>
      <c r="K4" s="16" t="s">
        <v>1207</v>
      </c>
      <c r="L4" s="16" t="s">
        <v>1208</v>
      </c>
      <c r="M4" s="16" t="n">
        <v>1680</v>
      </c>
      <c r="N4" s="17"/>
      <c r="P4" s="17"/>
      <c r="Q4" s="16" t="s">
        <v>23</v>
      </c>
      <c r="S4" s="18"/>
      <c r="T4" s="19" t="s">
        <v>24</v>
      </c>
      <c r="U4" s="19"/>
      <c r="V4" s="19"/>
    </row>
    <row r="5" customFormat="false" ht="28.35" hidden="false" customHeight="true" outlineLevel="0" collapsed="false">
      <c r="A5" s="0"/>
      <c r="F5" s="9"/>
      <c r="G5" s="9"/>
      <c r="H5" s="9"/>
      <c r="J5" s="59"/>
      <c r="P5" s="9"/>
      <c r="Q5" s="9"/>
    </row>
    <row r="6" customFormat="false" ht="44.95" hidden="false" customHeight="true" outlineLevel="0" collapsed="false">
      <c r="A6" s="0"/>
      <c r="B6" s="0"/>
      <c r="C6" s="10" t="s">
        <v>25</v>
      </c>
      <c r="D6" s="10"/>
      <c r="F6" s="20" t="s">
        <v>26</v>
      </c>
      <c r="G6" s="19" t="s">
        <v>1209</v>
      </c>
      <c r="H6" s="19"/>
      <c r="I6" s="19"/>
      <c r="J6" s="19"/>
      <c r="K6" s="19"/>
      <c r="L6" s="19"/>
      <c r="M6" s="19"/>
      <c r="N6" s="19"/>
      <c r="P6" s="21" t="n">
        <v>42370</v>
      </c>
      <c r="Q6" s="19" t="s">
        <v>27</v>
      </c>
      <c r="R6" s="9"/>
      <c r="S6" s="22"/>
      <c r="T6" s="5" t="s">
        <v>28</v>
      </c>
    </row>
    <row r="7" customFormat="false" ht="66.9" hidden="false" customHeight="true" outlineLevel="0" collapsed="false">
      <c r="A7" s="0"/>
      <c r="B7" s="0"/>
      <c r="C7" s="126" t="s">
        <v>1210</v>
      </c>
      <c r="D7" s="126"/>
      <c r="F7" s="20"/>
      <c r="G7" s="20"/>
      <c r="H7" s="19"/>
      <c r="I7" s="19"/>
      <c r="J7" s="19"/>
      <c r="K7" s="19"/>
      <c r="L7" s="19"/>
      <c r="M7" s="19"/>
      <c r="N7" s="19"/>
      <c r="P7" s="24"/>
      <c r="Q7" s="5" t="s">
        <v>29</v>
      </c>
      <c r="R7" s="9"/>
      <c r="S7" s="25"/>
      <c r="T7" s="5" t="s">
        <v>30</v>
      </c>
    </row>
    <row r="8" customFormat="false" ht="43.3" hidden="false" customHeight="true" outlineLevel="0" collapsed="false">
      <c r="C8" s="0"/>
      <c r="G8" s="9"/>
      <c r="H8" s="9"/>
      <c r="I8" s="9"/>
      <c r="K8" s="9"/>
      <c r="R8" s="9"/>
      <c r="S8" s="27"/>
      <c r="T8" s="16" t="s">
        <v>31</v>
      </c>
    </row>
    <row r="9" customFormat="false" ht="40.8" hidden="false" customHeight="true" outlineLevel="0" collapsed="false">
      <c r="B9" s="9" t="s">
        <v>32</v>
      </c>
      <c r="C9" s="1" t="s">
        <v>33</v>
      </c>
      <c r="D9" s="0"/>
      <c r="E9" s="1" t="s">
        <v>35</v>
      </c>
      <c r="F9" s="9" t="s">
        <v>97</v>
      </c>
      <c r="G9" s="9" t="s">
        <v>37</v>
      </c>
      <c r="H9" s="9" t="s">
        <v>38</v>
      </c>
      <c r="I9" s="9" t="s">
        <v>39</v>
      </c>
      <c r="J9" s="205" t="s">
        <v>40</v>
      </c>
    </row>
    <row r="10" customFormat="false" ht="21.15" hidden="false" customHeight="true" outlineLevel="0" collapsed="false">
      <c r="A10" s="1" t="n">
        <v>31</v>
      </c>
      <c r="B10" s="31" t="n">
        <v>29587</v>
      </c>
      <c r="C10" s="1" t="n">
        <v>243200</v>
      </c>
      <c r="D10" s="9" t="s">
        <v>41</v>
      </c>
      <c r="E10" s="33" t="n">
        <f aca="false">IF(D10="totale",(C10/(A10*24))/F10,IF(D10="marché libre",(C10/(A10*24))/G10,"spécifier histo"))</f>
        <v>0.0728021649064827</v>
      </c>
      <c r="F10" s="56" t="n">
        <v>4490</v>
      </c>
      <c r="G10" s="56" t="n">
        <v>4490</v>
      </c>
      <c r="H10" s="9" t="n">
        <v>0</v>
      </c>
      <c r="I10" s="9"/>
      <c r="J10" s="205"/>
    </row>
    <row r="11" customFormat="false" ht="21.15" hidden="false" customHeight="true" outlineLevel="0" collapsed="false">
      <c r="A11" s="1" t="n">
        <v>28</v>
      </c>
      <c r="B11" s="34" t="n">
        <v>29618</v>
      </c>
      <c r="C11" s="1" t="n">
        <v>137600</v>
      </c>
      <c r="D11" s="9" t="s">
        <v>41</v>
      </c>
      <c r="E11" s="33" t="n">
        <f aca="false">IF(D11="totale",(C11/(A11*24))/F11,IF(D11="marché libre",(C11/(A11*24))/G11,"spécifier histo"))</f>
        <v>0.0456039876975289</v>
      </c>
      <c r="F11" s="56" t="n">
        <v>4490</v>
      </c>
      <c r="G11" s="56" t="n">
        <v>4490</v>
      </c>
      <c r="H11" s="9" t="n">
        <v>0</v>
      </c>
      <c r="I11" s="9"/>
      <c r="J11" s="205"/>
    </row>
    <row r="12" customFormat="false" ht="21.15" hidden="false" customHeight="true" outlineLevel="0" collapsed="false">
      <c r="A12" s="1" t="n">
        <v>31</v>
      </c>
      <c r="B12" s="31" t="n">
        <v>29646</v>
      </c>
      <c r="C12" s="1" t="n">
        <v>452800</v>
      </c>
      <c r="D12" s="9" t="s">
        <v>41</v>
      </c>
      <c r="E12" s="33" t="n">
        <f aca="false">IF(D12="totale",(C12/(A12*24))/F12,IF(D12="marché libre",(C12/(A12*24))/G12,"spécifier histo"))</f>
        <v>0.135546135977201</v>
      </c>
      <c r="F12" s="56" t="n">
        <v>4490</v>
      </c>
      <c r="G12" s="56" t="n">
        <v>4490</v>
      </c>
      <c r="H12" s="9" t="n">
        <v>0</v>
      </c>
      <c r="I12" s="9"/>
      <c r="J12" s="205"/>
    </row>
    <row r="13" customFormat="false" ht="21.15" hidden="false" customHeight="true" outlineLevel="0" collapsed="false">
      <c r="A13" s="1" t="n">
        <v>30</v>
      </c>
      <c r="B13" s="34" t="n">
        <v>29677</v>
      </c>
      <c r="C13" s="1" t="n">
        <v>890400</v>
      </c>
      <c r="D13" s="9" t="s">
        <v>41</v>
      </c>
      <c r="E13" s="33" t="n">
        <f aca="false">IF(D13="totale",(C13/(A13*24))/F13,IF(D13="marché libre",(C13/(A13*24))/G13,"spécifier histo"))</f>
        <v>0.275426874536006</v>
      </c>
      <c r="F13" s="56" t="n">
        <v>4490</v>
      </c>
      <c r="G13" s="56" t="n">
        <v>4490</v>
      </c>
      <c r="H13" s="9" t="n">
        <v>0</v>
      </c>
      <c r="I13" s="9"/>
      <c r="J13" s="205"/>
    </row>
    <row r="14" customFormat="false" ht="21.15" hidden="false" customHeight="true" outlineLevel="0" collapsed="false">
      <c r="A14" s="1" t="n">
        <v>31</v>
      </c>
      <c r="B14" s="31" t="n">
        <v>29707</v>
      </c>
      <c r="C14" s="1" t="n">
        <v>1334400</v>
      </c>
      <c r="D14" s="9" t="s">
        <v>41</v>
      </c>
      <c r="E14" s="33" t="n">
        <f aca="false">IF(D14="totale",(C14/(A14*24))/F14,IF(D14="marché libre",(C14/(A14*24))/G14,"spécifier histo"))</f>
        <v>0.399453983763201</v>
      </c>
      <c r="F14" s="56" t="n">
        <v>4490</v>
      </c>
      <c r="G14" s="56" t="n">
        <v>4490</v>
      </c>
      <c r="H14" s="9" t="n">
        <v>0</v>
      </c>
      <c r="I14" s="9"/>
      <c r="J14" s="205"/>
    </row>
    <row r="15" customFormat="false" ht="21.15" hidden="false" customHeight="true" outlineLevel="0" collapsed="false">
      <c r="A15" s="1" t="n">
        <v>30</v>
      </c>
      <c r="B15" s="34" t="n">
        <v>29738</v>
      </c>
      <c r="C15" s="1" t="n">
        <v>1666400</v>
      </c>
      <c r="D15" s="9" t="s">
        <v>41</v>
      </c>
      <c r="E15" s="33" t="n">
        <f aca="false">IF(D15="totale",(C15/(A15*24))/F15,IF(D15="marché libre",(C15/(A15*24))/G15,"spécifier histo"))</f>
        <v>0.515466468695867</v>
      </c>
      <c r="F15" s="56" t="n">
        <v>4490</v>
      </c>
      <c r="G15" s="56" t="n">
        <v>4490</v>
      </c>
      <c r="H15" s="9" t="n">
        <v>0</v>
      </c>
      <c r="I15" s="9"/>
      <c r="J15" s="205"/>
    </row>
    <row r="16" customFormat="false" ht="21.15" hidden="false" customHeight="true" outlineLevel="0" collapsed="false">
      <c r="A16" s="1" t="n">
        <v>31</v>
      </c>
      <c r="B16" s="31" t="n">
        <v>29768</v>
      </c>
      <c r="C16" s="1" t="n">
        <v>1854000</v>
      </c>
      <c r="D16" s="9" t="s">
        <v>41</v>
      </c>
      <c r="E16" s="33" t="n">
        <f aca="false">IF(D16="totale",(C16/(A16*24))/F16,IF(D16="marché libre",(C16/(A16*24))/G16,"spécifier histo"))</f>
        <v>0.554996767009124</v>
      </c>
      <c r="F16" s="56" t="n">
        <v>4490</v>
      </c>
      <c r="G16" s="56" t="n">
        <v>4490</v>
      </c>
      <c r="H16" s="9" t="n">
        <v>0</v>
      </c>
      <c r="I16" s="9"/>
      <c r="J16" s="205"/>
    </row>
    <row r="17" customFormat="false" ht="21.15" hidden="false" customHeight="true" outlineLevel="0" collapsed="false">
      <c r="A17" s="1" t="n">
        <v>31</v>
      </c>
      <c r="B17" s="34" t="n">
        <v>29799</v>
      </c>
      <c r="C17" s="1" t="n">
        <v>1100000</v>
      </c>
      <c r="D17" s="9" t="s">
        <v>41</v>
      </c>
      <c r="E17" s="33" t="n">
        <f aca="false">IF(D17="totale",(C17/(A17*24))/F17,IF(D17="marché libre",(C17/(A17*24))/G17,"spécifier histo"))</f>
        <v>0.329286107718466</v>
      </c>
      <c r="F17" s="56" t="n">
        <v>4490</v>
      </c>
      <c r="G17" s="56" t="n">
        <v>4490</v>
      </c>
      <c r="H17" s="9" t="n">
        <v>0</v>
      </c>
      <c r="I17" s="9"/>
      <c r="J17" s="205"/>
    </row>
    <row r="18" customFormat="false" ht="21.15" hidden="false" customHeight="true" outlineLevel="0" collapsed="false">
      <c r="A18" s="1" t="n">
        <v>30</v>
      </c>
      <c r="B18" s="31" t="n">
        <v>29830</v>
      </c>
      <c r="C18" s="1" t="n">
        <v>682000</v>
      </c>
      <c r="D18" s="9" t="s">
        <v>41</v>
      </c>
      <c r="E18" s="33" t="n">
        <f aca="false">IF(D18="totale",(C18/(A18*24))/F18,IF(D18="marché libre",(C18/(A18*24))/G18,"spécifier histo"))</f>
        <v>0.210962633011631</v>
      </c>
      <c r="F18" s="56" t="n">
        <v>4490</v>
      </c>
      <c r="G18" s="56" t="n">
        <v>4490</v>
      </c>
      <c r="H18" s="9" t="n">
        <v>0</v>
      </c>
      <c r="I18" s="9"/>
      <c r="J18" s="205"/>
    </row>
    <row r="19" customFormat="false" ht="21.15" hidden="false" customHeight="true" outlineLevel="0" collapsed="false">
      <c r="A19" s="1" t="n">
        <v>31</v>
      </c>
      <c r="B19" s="34" t="n">
        <v>29860</v>
      </c>
      <c r="C19" s="1" t="n">
        <v>1145000</v>
      </c>
      <c r="D19" s="9" t="s">
        <v>41</v>
      </c>
      <c r="E19" s="33" t="n">
        <f aca="false">IF(D19="totale",(C19/(A19*24))/F19,IF(D19="marché libre",(C19/(A19*24))/G19,"spécifier histo"))</f>
        <v>0.342756903034222</v>
      </c>
      <c r="F19" s="56" t="n">
        <v>4490</v>
      </c>
      <c r="G19" s="56" t="n">
        <v>4490</v>
      </c>
      <c r="H19" s="9" t="n">
        <v>0</v>
      </c>
      <c r="I19" s="9"/>
      <c r="J19" s="205"/>
    </row>
    <row r="20" customFormat="false" ht="21.15" hidden="false" customHeight="true" outlineLevel="0" collapsed="false">
      <c r="A20" s="1" t="n">
        <v>30</v>
      </c>
      <c r="B20" s="31" t="n">
        <v>29891</v>
      </c>
      <c r="C20" s="1" t="n">
        <v>619000</v>
      </c>
      <c r="D20" s="9" t="s">
        <v>41</v>
      </c>
      <c r="E20" s="33" t="n">
        <f aca="false">IF(D20="totale",(C20/(A20*24))/F20,IF(D20="marché libre",(C20/(A20*24))/G20,"spécifier histo"))</f>
        <v>0.191474882454838</v>
      </c>
      <c r="F20" s="56" t="n">
        <v>4490</v>
      </c>
      <c r="G20" s="56" t="n">
        <v>4490</v>
      </c>
      <c r="H20" s="9" t="n">
        <v>0</v>
      </c>
      <c r="I20" s="9"/>
      <c r="J20" s="205"/>
    </row>
    <row r="21" customFormat="false" ht="21.15" hidden="false" customHeight="true" outlineLevel="0" collapsed="false">
      <c r="A21" s="1" t="n">
        <v>31</v>
      </c>
      <c r="B21" s="34" t="n">
        <v>29921</v>
      </c>
      <c r="C21" s="1" t="n">
        <v>445600</v>
      </c>
      <c r="D21" s="9" t="s">
        <v>41</v>
      </c>
      <c r="E21" s="33" t="n">
        <f aca="false">IF(D21="totale",(C21/(A21*24))/F21,IF(D21="marché libre",(C21/(A21*24))/G21,"spécifier histo"))</f>
        <v>0.133390808726681</v>
      </c>
      <c r="F21" s="56" t="n">
        <v>4490</v>
      </c>
      <c r="G21" s="56" t="n">
        <v>4490</v>
      </c>
      <c r="H21" s="9" t="n">
        <v>0</v>
      </c>
      <c r="I21" s="9"/>
      <c r="J21" s="205"/>
    </row>
    <row r="22" customFormat="false" ht="21.15" hidden="false" customHeight="true" outlineLevel="0" collapsed="false">
      <c r="A22" s="1" t="n">
        <v>31</v>
      </c>
      <c r="B22" s="31" t="n">
        <v>29952</v>
      </c>
      <c r="C22" s="1" t="n">
        <v>411200</v>
      </c>
      <c r="D22" s="9" t="s">
        <v>41</v>
      </c>
      <c r="E22" s="33" t="n">
        <f aca="false">IF(D22="totale",(C22/(A22*24))/F22,IF(D22="marché libre",(C22/(A22*24))/G22,"spécifier histo"))</f>
        <v>0.123093134085303</v>
      </c>
      <c r="F22" s="56" t="n">
        <v>4490</v>
      </c>
      <c r="G22" s="56" t="n">
        <v>4490</v>
      </c>
      <c r="H22" s="9" t="n">
        <v>0</v>
      </c>
      <c r="I22" s="9"/>
      <c r="J22" s="205"/>
    </row>
    <row r="23" customFormat="false" ht="21.15" hidden="false" customHeight="true" outlineLevel="0" collapsed="false">
      <c r="A23" s="1" t="n">
        <v>28</v>
      </c>
      <c r="B23" s="34" t="n">
        <v>29983</v>
      </c>
      <c r="C23" s="1" t="n">
        <v>226000</v>
      </c>
      <c r="D23" s="9" t="s">
        <v>41</v>
      </c>
      <c r="E23" s="33" t="n">
        <f aca="false">IF(D23="totale",(C23/(A23*24))/F23,IF(D23="marché libre",(C23/(A23*24))/G23,"spécifier histo"))</f>
        <v>0.0749018983985576</v>
      </c>
      <c r="F23" s="56" t="n">
        <v>4490</v>
      </c>
      <c r="G23" s="56" t="n">
        <v>4490</v>
      </c>
      <c r="H23" s="9" t="n">
        <v>0</v>
      </c>
      <c r="I23" s="9"/>
      <c r="J23" s="205"/>
    </row>
    <row r="24" customFormat="false" ht="21.15" hidden="false" customHeight="true" outlineLevel="0" collapsed="false">
      <c r="A24" s="1" t="n">
        <v>31</v>
      </c>
      <c r="B24" s="31" t="n">
        <v>30011</v>
      </c>
      <c r="C24" s="1" t="n">
        <v>186600</v>
      </c>
      <c r="D24" s="9" t="s">
        <v>41</v>
      </c>
      <c r="E24" s="33" t="n">
        <f aca="false">IF(D24="totale",(C24/(A24*24))/F24,IF(D24="marché libre",(C24/(A24*24))/G24,"spécifier histo"))</f>
        <v>0.0558588979093326</v>
      </c>
      <c r="F24" s="56" t="n">
        <v>4490</v>
      </c>
      <c r="G24" s="56" t="n">
        <v>4490</v>
      </c>
      <c r="H24" s="9" t="n">
        <v>0</v>
      </c>
      <c r="I24" s="9"/>
      <c r="J24" s="205"/>
    </row>
    <row r="25" customFormat="false" ht="21.15" hidden="false" customHeight="true" outlineLevel="0" collapsed="false">
      <c r="A25" s="1" t="n">
        <v>30</v>
      </c>
      <c r="B25" s="34" t="n">
        <v>30042</v>
      </c>
      <c r="C25" s="1" t="n">
        <v>576400</v>
      </c>
      <c r="D25" s="9" t="s">
        <v>41</v>
      </c>
      <c r="E25" s="33" t="n">
        <f aca="false">IF(D25="totale",(C25/(A25*24))/F25,IF(D25="marché libre",(C25/(A25*24))/G25,"spécifier histo"))</f>
        <v>0.178297451125959</v>
      </c>
      <c r="F25" s="56" t="n">
        <v>4490</v>
      </c>
      <c r="G25" s="56" t="n">
        <v>4490</v>
      </c>
      <c r="H25" s="9" t="n">
        <v>0</v>
      </c>
      <c r="I25" s="9"/>
      <c r="J25" s="205"/>
    </row>
    <row r="26" customFormat="false" ht="21.15" hidden="false" customHeight="true" outlineLevel="0" collapsed="false">
      <c r="A26" s="1" t="n">
        <v>31</v>
      </c>
      <c r="B26" s="31" t="n">
        <v>30072</v>
      </c>
      <c r="C26" s="1" t="n">
        <v>1458800</v>
      </c>
      <c r="D26" s="9" t="s">
        <v>41</v>
      </c>
      <c r="E26" s="33" t="n">
        <f aca="false">IF(D26="totale",(C26/(A26*24))/F26,IF(D26="marché libre",(C26/(A26*24))/G26,"spécifier histo"))</f>
        <v>0.43669324903609</v>
      </c>
      <c r="F26" s="56" t="n">
        <v>4490</v>
      </c>
      <c r="G26" s="56" t="n">
        <v>4490</v>
      </c>
      <c r="H26" s="9" t="n">
        <v>0</v>
      </c>
      <c r="I26" s="9"/>
      <c r="J26" s="205"/>
    </row>
    <row r="27" customFormat="false" ht="21.15" hidden="false" customHeight="true" outlineLevel="0" collapsed="false">
      <c r="A27" s="1" t="n">
        <v>30</v>
      </c>
      <c r="B27" s="34" t="n">
        <v>30103</v>
      </c>
      <c r="C27" s="1" t="n">
        <v>2045600</v>
      </c>
      <c r="D27" s="9" t="s">
        <v>41</v>
      </c>
      <c r="E27" s="33" t="n">
        <f aca="false">IF(D27="totale",(C27/(A27*24))/F27,IF(D27="marché libre",(C27/(A27*24))/G27,"spécifier histo"))</f>
        <v>0.632764167285326</v>
      </c>
      <c r="F27" s="56" t="n">
        <v>4490</v>
      </c>
      <c r="G27" s="56" t="n">
        <v>4490</v>
      </c>
      <c r="H27" s="9" t="n">
        <v>0</v>
      </c>
      <c r="I27" s="9"/>
      <c r="J27" s="205"/>
    </row>
    <row r="28" customFormat="false" ht="21.15" hidden="false" customHeight="true" outlineLevel="0" collapsed="false">
      <c r="A28" s="1" t="n">
        <v>31</v>
      </c>
      <c r="B28" s="31" t="n">
        <v>30133</v>
      </c>
      <c r="C28" s="1" t="n">
        <v>1701600</v>
      </c>
      <c r="D28" s="9" t="s">
        <v>41</v>
      </c>
      <c r="E28" s="33" t="n">
        <f aca="false">IF(D28="totale",(C28/(A28*24))/F28,IF(D28="marché libre",(C28/(A28*24))/G28,"spécifier histo"))</f>
        <v>0.509375673539766</v>
      </c>
      <c r="F28" s="56" t="n">
        <v>4490</v>
      </c>
      <c r="G28" s="56" t="n">
        <v>4490</v>
      </c>
      <c r="H28" s="9" t="n">
        <v>0</v>
      </c>
      <c r="I28" s="9"/>
      <c r="J28" s="205"/>
    </row>
    <row r="29" customFormat="false" ht="21.15" hidden="false" customHeight="true" outlineLevel="0" collapsed="false">
      <c r="A29" s="1" t="n">
        <v>31</v>
      </c>
      <c r="B29" s="34" t="n">
        <v>30164</v>
      </c>
      <c r="C29" s="1" t="n">
        <v>1066000</v>
      </c>
      <c r="D29" s="9" t="s">
        <v>41</v>
      </c>
      <c r="E29" s="33" t="n">
        <f aca="false">IF(D29="totale",(C29/(A29*24))/F29,IF(D29="marché libre",(C29/(A29*24))/G29,"spécifier histo"))</f>
        <v>0.319108173479896</v>
      </c>
      <c r="F29" s="56" t="n">
        <v>4490</v>
      </c>
      <c r="G29" s="56" t="n">
        <v>4490</v>
      </c>
      <c r="H29" s="9" t="n">
        <v>0</v>
      </c>
      <c r="I29" s="9"/>
      <c r="J29" s="205"/>
    </row>
    <row r="30" customFormat="false" ht="21.15" hidden="false" customHeight="true" outlineLevel="0" collapsed="false">
      <c r="A30" s="1" t="n">
        <v>30</v>
      </c>
      <c r="B30" s="31" t="n">
        <v>30195</v>
      </c>
      <c r="C30" s="1" t="n">
        <v>770000</v>
      </c>
      <c r="D30" s="9" t="s">
        <v>41</v>
      </c>
      <c r="E30" s="33" t="n">
        <f aca="false">IF(D30="totale",(C30/(A30*24))/F30,IF(D30="marché libre",(C30/(A30*24))/G30,"spécifier histo"))</f>
        <v>0.238183617916357</v>
      </c>
      <c r="F30" s="56" t="n">
        <v>4490</v>
      </c>
      <c r="G30" s="56" t="n">
        <v>4490</v>
      </c>
      <c r="H30" s="9" t="n">
        <v>0</v>
      </c>
      <c r="I30" s="9"/>
      <c r="J30" s="205"/>
    </row>
    <row r="31" customFormat="false" ht="21.15" hidden="false" customHeight="true" outlineLevel="0" collapsed="false">
      <c r="A31" s="1" t="n">
        <v>31</v>
      </c>
      <c r="B31" s="34" t="n">
        <v>30225</v>
      </c>
      <c r="C31" s="1" t="n">
        <v>1023200</v>
      </c>
      <c r="D31" s="9" t="s">
        <v>41</v>
      </c>
      <c r="E31" s="33" t="n">
        <f aca="false">IF(D31="totale",(C31/(A31*24))/F31,IF(D31="marché libre",(C31/(A31*24))/G31,"spécifier histo"))</f>
        <v>0.306295950379577</v>
      </c>
      <c r="F31" s="56" t="n">
        <v>4490</v>
      </c>
      <c r="G31" s="56" t="n">
        <v>4490</v>
      </c>
      <c r="H31" s="9" t="n">
        <v>0</v>
      </c>
      <c r="I31" s="9"/>
      <c r="J31" s="205"/>
    </row>
    <row r="32" customFormat="false" ht="21.15" hidden="false" customHeight="true" outlineLevel="0" collapsed="false">
      <c r="A32" s="1" t="n">
        <v>30</v>
      </c>
      <c r="B32" s="31" t="n">
        <v>30256</v>
      </c>
      <c r="C32" s="1" t="n">
        <v>594400</v>
      </c>
      <c r="D32" s="9" t="s">
        <v>41</v>
      </c>
      <c r="E32" s="33" t="n">
        <f aca="false">IF(D32="totale",(C32/(A32*24))/F32,IF(D32="marché libre",(C32/(A32*24))/G32,"spécifier histo"))</f>
        <v>0.183865379856471</v>
      </c>
      <c r="F32" s="56" t="n">
        <v>4490</v>
      </c>
      <c r="G32" s="56" t="n">
        <v>4490</v>
      </c>
      <c r="H32" s="9" t="n">
        <v>0</v>
      </c>
      <c r="I32" s="9"/>
      <c r="J32" s="205"/>
    </row>
    <row r="33" customFormat="false" ht="21.15" hidden="false" customHeight="true" outlineLevel="0" collapsed="false">
      <c r="A33" s="1" t="n">
        <v>31</v>
      </c>
      <c r="B33" s="34" t="n">
        <v>30286</v>
      </c>
      <c r="C33" s="1" t="n">
        <v>679600</v>
      </c>
      <c r="D33" s="9" t="s">
        <v>41</v>
      </c>
      <c r="E33" s="33" t="n">
        <f aca="false">IF(D33="totale",(C33/(A33*24))/F33,IF(D33="marché libre",(C33/(A33*24))/G33,"spécifier histo"))</f>
        <v>0.203438944368609</v>
      </c>
      <c r="F33" s="56" t="n">
        <v>4490</v>
      </c>
      <c r="G33" s="56" t="n">
        <v>4490</v>
      </c>
      <c r="H33" s="9" t="n">
        <v>0</v>
      </c>
      <c r="I33" s="9"/>
      <c r="J33" s="205"/>
    </row>
    <row r="34" customFormat="false" ht="21.15" hidden="false" customHeight="true" outlineLevel="0" collapsed="false">
      <c r="A34" s="1" t="n">
        <v>31</v>
      </c>
      <c r="B34" s="31" t="n">
        <v>30317</v>
      </c>
      <c r="C34" s="1" t="n">
        <v>352800</v>
      </c>
      <c r="D34" s="9" t="s">
        <v>41</v>
      </c>
      <c r="E34" s="33" t="n">
        <f aca="false">IF(D34="totale",(C34/(A34*24))/F34,IF(D34="marché libre",(C34/(A34*24))/G34,"spécifier histo"))</f>
        <v>0.105611035275523</v>
      </c>
      <c r="F34" s="56" t="n">
        <v>4490</v>
      </c>
      <c r="G34" s="56" t="n">
        <v>4490</v>
      </c>
      <c r="H34" s="9" t="n">
        <v>0</v>
      </c>
      <c r="I34" s="9"/>
      <c r="J34" s="205"/>
    </row>
    <row r="35" customFormat="false" ht="21.15" hidden="false" customHeight="true" outlineLevel="0" collapsed="false">
      <c r="A35" s="1" t="n">
        <v>28</v>
      </c>
      <c r="B35" s="34" t="n">
        <v>30348</v>
      </c>
      <c r="C35" s="1" t="n">
        <v>230400</v>
      </c>
      <c r="D35" s="9" t="s">
        <v>41</v>
      </c>
      <c r="E35" s="33" t="n">
        <f aca="false">IF(D35="totale",(C35/(A35*24))/F35,IF(D35="marché libre",(C35/(A35*24))/G35,"spécifier histo"))</f>
        <v>0.0763601654470251</v>
      </c>
      <c r="F35" s="56" t="n">
        <v>4490</v>
      </c>
      <c r="G35" s="56" t="n">
        <v>4490</v>
      </c>
      <c r="H35" s="9" t="n">
        <v>0</v>
      </c>
      <c r="I35" s="9"/>
      <c r="J35" s="205"/>
    </row>
    <row r="36" customFormat="false" ht="21.15" hidden="false" customHeight="true" outlineLevel="0" collapsed="false">
      <c r="A36" s="1" t="n">
        <v>31</v>
      </c>
      <c r="B36" s="31" t="n">
        <v>30376</v>
      </c>
      <c r="C36" s="1" t="n">
        <v>324000</v>
      </c>
      <c r="D36" s="9" t="s">
        <v>41</v>
      </c>
      <c r="E36" s="33" t="n">
        <f aca="false">IF(D36="totale",(C36/(A36*24))/F36,IF(D36="marché libre",(C36/(A36*24))/G36,"spécifier histo"))</f>
        <v>0.0969897262734392</v>
      </c>
      <c r="F36" s="56" t="n">
        <v>4490</v>
      </c>
      <c r="G36" s="56" t="n">
        <v>4490</v>
      </c>
      <c r="H36" s="9" t="n">
        <v>0</v>
      </c>
      <c r="I36" s="9"/>
      <c r="J36" s="205"/>
    </row>
    <row r="37" customFormat="false" ht="21.15" hidden="false" customHeight="true" outlineLevel="0" collapsed="false">
      <c r="A37" s="1" t="n">
        <v>30</v>
      </c>
      <c r="B37" s="34" t="n">
        <v>30407</v>
      </c>
      <c r="C37" s="1" t="n">
        <v>875600</v>
      </c>
      <c r="D37" s="9" t="s">
        <v>41</v>
      </c>
      <c r="E37" s="33" t="n">
        <f aca="false">IF(D37="totale",(C37/(A37*24))/F37,IF(D37="marché libre",(C37/(A37*24))/G37,"spécifier histo"))</f>
        <v>0.270848799802029</v>
      </c>
      <c r="F37" s="56" t="n">
        <v>4490</v>
      </c>
      <c r="G37" s="56" t="n">
        <v>4490</v>
      </c>
      <c r="H37" s="9" t="n">
        <v>0</v>
      </c>
      <c r="I37" s="9"/>
      <c r="J37" s="205"/>
    </row>
    <row r="38" customFormat="false" ht="21.15" hidden="false" customHeight="true" outlineLevel="0" collapsed="false">
      <c r="A38" s="1" t="n">
        <v>31</v>
      </c>
      <c r="B38" s="31" t="n">
        <v>30437</v>
      </c>
      <c r="C38" s="1" t="n">
        <v>1501600</v>
      </c>
      <c r="D38" s="9" t="s">
        <v>41</v>
      </c>
      <c r="E38" s="33" t="n">
        <f aca="false">IF(D38="totale",(C38/(A38*24))/F38,IF(D38="marché libre",(C38/(A38*24))/G38,"spécifier histo"))</f>
        <v>0.449505472136408</v>
      </c>
      <c r="F38" s="56" t="n">
        <v>4490</v>
      </c>
      <c r="G38" s="56" t="n">
        <v>4490</v>
      </c>
      <c r="H38" s="9" t="n">
        <v>0</v>
      </c>
      <c r="I38" s="9"/>
      <c r="J38" s="205"/>
    </row>
    <row r="39" customFormat="false" ht="21.15" hidden="false" customHeight="true" outlineLevel="0" collapsed="false">
      <c r="A39" s="1" t="n">
        <v>30</v>
      </c>
      <c r="B39" s="34" t="n">
        <v>30468</v>
      </c>
      <c r="C39" s="1" t="n">
        <v>1997200</v>
      </c>
      <c r="D39" s="9" t="s">
        <v>41</v>
      </c>
      <c r="E39" s="33" t="n">
        <f aca="false">IF(D39="totale",(C39/(A39*24))/F39,IF(D39="marché libre",(C39/(A39*24))/G39,"spécifier histo"))</f>
        <v>0.617792625587726</v>
      </c>
      <c r="F39" s="56" t="n">
        <v>4490</v>
      </c>
      <c r="G39" s="56" t="n">
        <v>4490</v>
      </c>
      <c r="H39" s="9" t="n">
        <v>0</v>
      </c>
      <c r="I39" s="9"/>
      <c r="J39" s="205"/>
    </row>
    <row r="40" customFormat="false" ht="21.15" hidden="false" customHeight="true" outlineLevel="0" collapsed="false">
      <c r="A40" s="1" t="n">
        <v>31</v>
      </c>
      <c r="B40" s="31" t="n">
        <v>30498</v>
      </c>
      <c r="C40" s="1" t="n">
        <v>1955200</v>
      </c>
      <c r="D40" s="9" t="s">
        <v>41</v>
      </c>
      <c r="E40" s="33" t="n">
        <f aca="false">IF(D40="totale",(C40/(A40*24))/F40,IF(D40="marché libre",(C40/(A40*24))/G40,"spécifier histo"))</f>
        <v>0.585291088919223</v>
      </c>
      <c r="F40" s="56" t="n">
        <v>4490</v>
      </c>
      <c r="G40" s="56" t="n">
        <v>4490</v>
      </c>
      <c r="H40" s="9" t="n">
        <v>0</v>
      </c>
      <c r="I40" s="9"/>
      <c r="J40" s="205"/>
    </row>
    <row r="41" customFormat="false" ht="21.15" hidden="false" customHeight="true" outlineLevel="0" collapsed="false">
      <c r="A41" s="1" t="n">
        <v>31</v>
      </c>
      <c r="B41" s="34" t="n">
        <v>30529</v>
      </c>
      <c r="C41" s="1" t="n">
        <v>982800</v>
      </c>
      <c r="D41" s="9" t="s">
        <v>41</v>
      </c>
      <c r="E41" s="33" t="n">
        <f aca="false">IF(D41="totale",(C41/(A41*24))/F41,IF(D41="marché libre",(C41/(A41*24))/G41,"spécifier histo"))</f>
        <v>0.294202169696099</v>
      </c>
      <c r="F41" s="56" t="n">
        <v>4490</v>
      </c>
      <c r="G41" s="56" t="n">
        <v>4490</v>
      </c>
      <c r="H41" s="9" t="n">
        <v>0</v>
      </c>
      <c r="I41" s="9"/>
      <c r="J41" s="205"/>
    </row>
    <row r="42" customFormat="false" ht="21.15" hidden="false" customHeight="true" outlineLevel="0" collapsed="false">
      <c r="A42" s="1" t="n">
        <v>30</v>
      </c>
      <c r="B42" s="31" t="n">
        <v>30560</v>
      </c>
      <c r="C42" s="1" t="n">
        <v>662000</v>
      </c>
      <c r="D42" s="9" t="s">
        <v>41</v>
      </c>
      <c r="E42" s="33" t="n">
        <f aca="false">IF(D42="totale",(C42/(A42*24))/F42,IF(D42="marché libre",(C42/(A42*24))/G42,"spécifier histo"))</f>
        <v>0.204776045533284</v>
      </c>
      <c r="F42" s="56" t="n">
        <v>4490</v>
      </c>
      <c r="G42" s="56" t="n">
        <v>4490</v>
      </c>
      <c r="H42" s="9" t="n">
        <v>0</v>
      </c>
      <c r="I42" s="9"/>
      <c r="J42" s="205"/>
    </row>
    <row r="43" customFormat="false" ht="21.15" hidden="false" customHeight="true" outlineLevel="0" collapsed="false">
      <c r="A43" s="1" t="n">
        <v>31</v>
      </c>
      <c r="B43" s="34" t="n">
        <v>30590</v>
      </c>
      <c r="C43" s="1" t="n">
        <v>486800</v>
      </c>
      <c r="D43" s="9" t="s">
        <v>41</v>
      </c>
      <c r="E43" s="33" t="n">
        <f aca="false">IF(D43="totale",(C43/(A43*24))/F43,IF(D43="marché libre",(C43/(A43*24))/G43,"spécifier histo"))</f>
        <v>0.145724070215772</v>
      </c>
      <c r="F43" s="56" t="n">
        <v>4490</v>
      </c>
      <c r="G43" s="56" t="n">
        <v>4490</v>
      </c>
      <c r="H43" s="9" t="n">
        <v>0</v>
      </c>
      <c r="I43" s="9"/>
      <c r="J43" s="205"/>
    </row>
    <row r="44" customFormat="false" ht="21.15" hidden="false" customHeight="true" outlineLevel="0" collapsed="false">
      <c r="A44" s="1" t="n">
        <v>30</v>
      </c>
      <c r="B44" s="31" t="n">
        <v>30621</v>
      </c>
      <c r="C44" s="1" t="n">
        <v>386000</v>
      </c>
      <c r="D44" s="9" t="s">
        <v>41</v>
      </c>
      <c r="E44" s="33" t="n">
        <f aca="false">IF(D44="totale",(C44/(A44*24))/F44,IF(D44="marché libre",(C44/(A44*24))/G44,"spécifier histo"))</f>
        <v>0.119401138332096</v>
      </c>
      <c r="F44" s="56" t="n">
        <v>4490</v>
      </c>
      <c r="G44" s="56" t="n">
        <v>4490</v>
      </c>
      <c r="H44" s="9" t="n">
        <v>0</v>
      </c>
      <c r="I44" s="9"/>
      <c r="J44" s="205"/>
    </row>
    <row r="45" customFormat="false" ht="21.15" hidden="false" customHeight="true" outlineLevel="0" collapsed="false">
      <c r="A45" s="1" t="n">
        <v>31</v>
      </c>
      <c r="B45" s="34" t="n">
        <v>30651</v>
      </c>
      <c r="C45" s="1" t="n">
        <v>414800</v>
      </c>
      <c r="D45" s="9" t="s">
        <v>41</v>
      </c>
      <c r="E45" s="33" t="n">
        <f aca="false">IF(D45="totale",(C45/(A45*24))/F45,IF(D45="marché libre",(C45/(A45*24))/G45,"spécifier histo"))</f>
        <v>0.124170797710564</v>
      </c>
      <c r="F45" s="56" t="n">
        <v>4490</v>
      </c>
      <c r="G45" s="56" t="n">
        <v>4490</v>
      </c>
      <c r="H45" s="9" t="n">
        <v>0</v>
      </c>
      <c r="I45" s="9"/>
      <c r="J45" s="205"/>
    </row>
    <row r="46" customFormat="false" ht="21.15" hidden="false" customHeight="true" outlineLevel="0" collapsed="false">
      <c r="A46" s="1" t="n">
        <v>31</v>
      </c>
      <c r="B46" s="31" t="n">
        <v>30682</v>
      </c>
      <c r="C46" s="1" t="n">
        <v>315200</v>
      </c>
      <c r="D46" s="9" t="s">
        <v>41</v>
      </c>
      <c r="E46" s="33" t="n">
        <f aca="false">IF(D46="totale",(C46/(A46*24))/F46,IF(D46="marché libre",(C46/(A46*24))/G46,"spécifier histo"))</f>
        <v>0.0943554374116915</v>
      </c>
      <c r="F46" s="56" t="n">
        <v>4490</v>
      </c>
      <c r="G46" s="56" t="n">
        <v>4490</v>
      </c>
      <c r="H46" s="9" t="n">
        <v>0</v>
      </c>
      <c r="I46" s="9"/>
      <c r="J46" s="205"/>
    </row>
    <row r="47" customFormat="false" ht="21.15" hidden="false" customHeight="true" outlineLevel="0" collapsed="false">
      <c r="A47" s="1" t="n">
        <v>28</v>
      </c>
      <c r="B47" s="34" t="n">
        <v>30713</v>
      </c>
      <c r="C47" s="1" t="n">
        <v>242400</v>
      </c>
      <c r="D47" s="9" t="s">
        <v>41</v>
      </c>
      <c r="E47" s="33" t="n">
        <f aca="false">IF(D47="totale",(C47/(A47*24))/F47,IF(D47="marché libre",(C47/(A47*24))/G47,"spécifier histo"))</f>
        <v>0.080337257397391</v>
      </c>
      <c r="F47" s="56" t="n">
        <v>4490</v>
      </c>
      <c r="G47" s="56" t="n">
        <v>4490</v>
      </c>
      <c r="H47" s="9" t="n">
        <v>0</v>
      </c>
      <c r="I47" s="9"/>
      <c r="J47" s="205"/>
    </row>
    <row r="48" customFormat="false" ht="21.15" hidden="false" customHeight="true" outlineLevel="0" collapsed="false">
      <c r="A48" s="1" t="n">
        <v>31</v>
      </c>
      <c r="B48" s="31" t="n">
        <v>30742</v>
      </c>
      <c r="C48" s="1" t="n">
        <v>221600</v>
      </c>
      <c r="D48" s="9" t="s">
        <v>41</v>
      </c>
      <c r="E48" s="33" t="n">
        <f aca="false">IF(D48="totale",(C48/(A48*24))/F48,IF(D48="marché libre",(C48/(A48*24))/G48,"spécifier histo"))</f>
        <v>0.0663361831549201</v>
      </c>
      <c r="F48" s="56" t="n">
        <v>4490</v>
      </c>
      <c r="G48" s="56" t="n">
        <v>4490</v>
      </c>
      <c r="H48" s="9" t="n">
        <v>0</v>
      </c>
      <c r="I48" s="9"/>
      <c r="J48" s="205"/>
    </row>
    <row r="49" customFormat="false" ht="21.15" hidden="false" customHeight="true" outlineLevel="0" collapsed="false">
      <c r="A49" s="1" t="n">
        <v>30</v>
      </c>
      <c r="B49" s="34" t="n">
        <v>30773</v>
      </c>
      <c r="C49" s="1" t="n">
        <v>694800</v>
      </c>
      <c r="D49" s="9" t="s">
        <v>41</v>
      </c>
      <c r="E49" s="33" t="n">
        <f aca="false">IF(D49="totale",(C49/(A49*24))/F49,IF(D49="marché libre",(C49/(A49*24))/G49,"spécifier histo"))</f>
        <v>0.214922048997773</v>
      </c>
      <c r="F49" s="56" t="n">
        <v>4490</v>
      </c>
      <c r="G49" s="56" t="n">
        <v>4490</v>
      </c>
      <c r="H49" s="9" t="n">
        <v>0</v>
      </c>
      <c r="I49" s="9"/>
      <c r="J49" s="205"/>
    </row>
    <row r="50" customFormat="false" ht="21.15" hidden="false" customHeight="true" outlineLevel="0" collapsed="false">
      <c r="A50" s="1" t="n">
        <v>31</v>
      </c>
      <c r="B50" s="31" t="n">
        <v>30803</v>
      </c>
      <c r="C50" s="1" t="n">
        <v>1145200</v>
      </c>
      <c r="D50" s="9" t="s">
        <v>41</v>
      </c>
      <c r="E50" s="33" t="n">
        <f aca="false">IF(D50="totale",(C50/(A50*24))/F50,IF(D50="marché libre",(C50/(A50*24))/G50,"spécifier histo"))</f>
        <v>0.342816773235625</v>
      </c>
      <c r="F50" s="56" t="n">
        <v>4490</v>
      </c>
      <c r="G50" s="56" t="n">
        <v>4490</v>
      </c>
      <c r="H50" s="9" t="n">
        <v>0</v>
      </c>
      <c r="I50" s="9"/>
      <c r="J50" s="205"/>
    </row>
    <row r="51" customFormat="false" ht="21.15" hidden="false" customHeight="true" outlineLevel="0" collapsed="false">
      <c r="A51" s="1" t="n">
        <v>30</v>
      </c>
      <c r="B51" s="34" t="n">
        <v>30834</v>
      </c>
      <c r="C51" s="1" t="n">
        <v>1758800</v>
      </c>
      <c r="D51" s="9" t="s">
        <v>41</v>
      </c>
      <c r="E51" s="33" t="n">
        <f aca="false">IF(D51="totale",(C51/(A51*24))/F51,IF(D51="marché libre",(C51/(A51*24))/G51,"spécifier histo"))</f>
        <v>0.54404850284583</v>
      </c>
      <c r="F51" s="56" t="n">
        <v>4490</v>
      </c>
      <c r="G51" s="56" t="n">
        <v>4490</v>
      </c>
      <c r="H51" s="9" t="n">
        <v>0</v>
      </c>
      <c r="I51" s="9"/>
      <c r="J51" s="205"/>
    </row>
    <row r="52" customFormat="false" ht="21.15" hidden="false" customHeight="true" outlineLevel="0" collapsed="false">
      <c r="A52" s="1" t="n">
        <v>31</v>
      </c>
      <c r="B52" s="31" t="n">
        <v>30864</v>
      </c>
      <c r="C52" s="1" t="n">
        <v>1742000</v>
      </c>
      <c r="D52" s="9" t="s">
        <v>41</v>
      </c>
      <c r="E52" s="33" t="n">
        <f aca="false">IF(D52="totale",(C52/(A52*24))/F52,IF(D52="marché libre",(C52/(A52*24))/G52,"spécifier histo"))</f>
        <v>0.521469454223244</v>
      </c>
      <c r="F52" s="56" t="n">
        <v>4490</v>
      </c>
      <c r="G52" s="56" t="n">
        <v>4490</v>
      </c>
      <c r="H52" s="9" t="n">
        <v>0</v>
      </c>
      <c r="I52" s="9"/>
      <c r="J52" s="205"/>
    </row>
    <row r="53" customFormat="false" ht="21.15" hidden="false" customHeight="true" outlineLevel="0" collapsed="false">
      <c r="A53" s="1" t="n">
        <v>31</v>
      </c>
      <c r="B53" s="34" t="n">
        <v>30895</v>
      </c>
      <c r="C53" s="1" t="n">
        <v>996000</v>
      </c>
      <c r="D53" s="9" t="s">
        <v>41</v>
      </c>
      <c r="E53" s="33" t="n">
        <f aca="false">IF(D53="totale",(C53/(A53*24))/F53,IF(D53="marché libre",(C53/(A53*24))/G53,"spécifier histo"))</f>
        <v>0.29815360298872</v>
      </c>
      <c r="F53" s="56" t="n">
        <v>4490</v>
      </c>
      <c r="G53" s="56" t="n">
        <v>4490</v>
      </c>
      <c r="H53" s="9" t="n">
        <v>0</v>
      </c>
      <c r="I53" s="9"/>
      <c r="J53" s="205"/>
    </row>
    <row r="54" customFormat="false" ht="21.15" hidden="false" customHeight="true" outlineLevel="0" collapsed="false">
      <c r="A54" s="1" t="n">
        <v>30</v>
      </c>
      <c r="B54" s="31" t="n">
        <v>30926</v>
      </c>
      <c r="C54" s="1" t="n">
        <v>1228000</v>
      </c>
      <c r="D54" s="9" t="s">
        <v>41</v>
      </c>
      <c r="E54" s="33" t="n">
        <f aca="false">IF(D54="totale",(C54/(A54*24))/F54,IF(D54="marché libre",(C54/(A54*24))/G54,"spécifier histo"))</f>
        <v>0.379856471170502</v>
      </c>
      <c r="F54" s="56" t="n">
        <v>4490</v>
      </c>
      <c r="G54" s="56" t="n">
        <v>4490</v>
      </c>
      <c r="H54" s="9" t="n">
        <v>0</v>
      </c>
      <c r="I54" s="9"/>
      <c r="J54" s="205"/>
    </row>
    <row r="55" customFormat="false" ht="21.15" hidden="false" customHeight="true" outlineLevel="0" collapsed="false">
      <c r="A55" s="1" t="n">
        <v>31</v>
      </c>
      <c r="B55" s="34" t="n">
        <v>30956</v>
      </c>
      <c r="C55" s="1" t="n">
        <v>1063200</v>
      </c>
      <c r="D55" s="9" t="s">
        <v>41</v>
      </c>
      <c r="E55" s="33" t="n">
        <f aca="false">IF(D55="totale",(C55/(A55*24))/F55,IF(D55="marché libre",(C55/(A55*24))/G55,"spécifier histo"))</f>
        <v>0.318269990660249</v>
      </c>
      <c r="F55" s="56" t="n">
        <v>4490</v>
      </c>
      <c r="G55" s="56" t="n">
        <v>4490</v>
      </c>
      <c r="H55" s="9" t="n">
        <v>0</v>
      </c>
      <c r="I55" s="9"/>
      <c r="J55" s="205"/>
    </row>
    <row r="56" customFormat="false" ht="21.15" hidden="false" customHeight="true" outlineLevel="0" collapsed="false">
      <c r="A56" s="1" t="n">
        <v>30</v>
      </c>
      <c r="B56" s="31" t="n">
        <v>30987</v>
      </c>
      <c r="C56" s="1" t="n">
        <v>609600</v>
      </c>
      <c r="D56" s="9" t="s">
        <v>41</v>
      </c>
      <c r="E56" s="33" t="n">
        <f aca="false">IF(D56="totale",(C56/(A56*24))/F56,IF(D56="marché libre",(C56/(A56*24))/G56,"spécifier histo"))</f>
        <v>0.188567186340015</v>
      </c>
      <c r="F56" s="56" t="n">
        <v>4490</v>
      </c>
      <c r="G56" s="56" t="n">
        <v>4490</v>
      </c>
      <c r="H56" s="9" t="n">
        <v>0</v>
      </c>
      <c r="I56" s="9"/>
      <c r="J56" s="205"/>
    </row>
    <row r="57" customFormat="false" ht="21.15" hidden="false" customHeight="true" outlineLevel="0" collapsed="false">
      <c r="A57" s="1" t="n">
        <v>31</v>
      </c>
      <c r="B57" s="34" t="n">
        <v>31017</v>
      </c>
      <c r="C57" s="1" t="n">
        <v>422800</v>
      </c>
      <c r="D57" s="9" t="s">
        <v>41</v>
      </c>
      <c r="E57" s="33" t="n">
        <f aca="false">IF(D57="totale",(C57/(A57*24))/F57,IF(D57="marché libre",(C57/(A57*24))/G57,"spécifier histo"))</f>
        <v>0.126565605766698</v>
      </c>
      <c r="F57" s="56" t="n">
        <v>4490</v>
      </c>
      <c r="G57" s="56" t="n">
        <v>4490</v>
      </c>
      <c r="H57" s="9" t="n">
        <v>0</v>
      </c>
      <c r="I57" s="9"/>
      <c r="J57" s="205"/>
    </row>
    <row r="58" customFormat="false" ht="21.15" hidden="false" customHeight="true" outlineLevel="0" collapsed="false">
      <c r="A58" s="1" t="n">
        <v>31</v>
      </c>
      <c r="B58" s="31" t="n">
        <v>31048</v>
      </c>
      <c r="C58" s="1" t="n">
        <v>300800</v>
      </c>
      <c r="D58" s="9" t="s">
        <v>41</v>
      </c>
      <c r="E58" s="33" t="n">
        <f aca="false">IF(D58="totale",(C58/(A58*24))/F58,IF(D58="marché libre",(C58/(A58*24))/G58,"spécifier histo"))</f>
        <v>0.0900447829106497</v>
      </c>
      <c r="F58" s="56" t="n">
        <v>4490</v>
      </c>
      <c r="G58" s="56" t="n">
        <v>4490</v>
      </c>
      <c r="H58" s="9" t="n">
        <v>0</v>
      </c>
      <c r="I58" s="9"/>
      <c r="J58" s="205"/>
    </row>
    <row r="59" customFormat="false" ht="21.15" hidden="false" customHeight="true" outlineLevel="0" collapsed="false">
      <c r="A59" s="1" t="n">
        <v>28</v>
      </c>
      <c r="B59" s="34" t="n">
        <v>31079</v>
      </c>
      <c r="C59" s="1" t="n">
        <v>322800</v>
      </c>
      <c r="D59" s="9" t="s">
        <v>41</v>
      </c>
      <c r="E59" s="33" t="n">
        <f aca="false">IF(D59="totale",(C59/(A59*24))/F59,IF(D59="marché libre",(C59/(A59*24))/G59,"spécifier histo"))</f>
        <v>0.106983773464843</v>
      </c>
      <c r="F59" s="56" t="n">
        <v>4490</v>
      </c>
      <c r="G59" s="56" t="n">
        <v>4490</v>
      </c>
      <c r="H59" s="9" t="n">
        <v>0</v>
      </c>
      <c r="I59" s="9"/>
      <c r="J59" s="205"/>
    </row>
    <row r="60" customFormat="false" ht="21.15" hidden="false" customHeight="true" outlineLevel="0" collapsed="false">
      <c r="A60" s="1" t="n">
        <v>31</v>
      </c>
      <c r="B60" s="31" t="n">
        <v>31107</v>
      </c>
      <c r="C60" s="1" t="n">
        <v>227600</v>
      </c>
      <c r="D60" s="9" t="s">
        <v>41</v>
      </c>
      <c r="E60" s="33" t="n">
        <f aca="false">IF(D60="totale",(C60/(A60*24))/F60,IF(D60="marché libre",(C60/(A60*24))/G60,"spécifier histo"))</f>
        <v>0.0681322891970209</v>
      </c>
      <c r="F60" s="56" t="n">
        <v>4490</v>
      </c>
      <c r="G60" s="56" t="n">
        <v>4490</v>
      </c>
      <c r="H60" s="9" t="n">
        <v>0</v>
      </c>
      <c r="I60" s="9"/>
      <c r="J60" s="205"/>
    </row>
    <row r="61" customFormat="false" ht="21.15" hidden="false" customHeight="true" outlineLevel="0" collapsed="false">
      <c r="A61" s="1" t="n">
        <v>30</v>
      </c>
      <c r="B61" s="34" t="n">
        <v>31138</v>
      </c>
      <c r="C61" s="1" t="n">
        <v>838400</v>
      </c>
      <c r="D61" s="9" t="s">
        <v>41</v>
      </c>
      <c r="E61" s="33" t="n">
        <f aca="false">IF(D61="totale",(C61/(A61*24))/F61,IF(D61="marché libre",(C61/(A61*24))/G61,"spécifier histo"))</f>
        <v>0.259341747092304</v>
      </c>
      <c r="F61" s="56" t="n">
        <v>4490</v>
      </c>
      <c r="G61" s="56" t="n">
        <v>4490</v>
      </c>
      <c r="H61" s="9" t="n">
        <v>0</v>
      </c>
      <c r="I61" s="9"/>
      <c r="J61" s="205"/>
    </row>
    <row r="62" customFormat="false" ht="21.15" hidden="false" customHeight="true" outlineLevel="0" collapsed="false">
      <c r="A62" s="1" t="n">
        <v>31</v>
      </c>
      <c r="B62" s="31" t="n">
        <v>31168</v>
      </c>
      <c r="C62" s="1" t="n">
        <v>1392400</v>
      </c>
      <c r="D62" s="9" t="s">
        <v>41</v>
      </c>
      <c r="E62" s="33" t="n">
        <f aca="false">IF(D62="totale",(C62/(A62*24))/F62,IF(D62="marché libre",(C62/(A62*24))/G62,"spécifier histo"))</f>
        <v>0.416816342170175</v>
      </c>
      <c r="F62" s="56" t="n">
        <v>4490</v>
      </c>
      <c r="G62" s="56" t="n">
        <v>4490</v>
      </c>
      <c r="H62" s="9" t="n">
        <v>0</v>
      </c>
      <c r="I62" s="9"/>
      <c r="J62" s="205"/>
    </row>
    <row r="63" customFormat="false" ht="21.15" hidden="false" customHeight="true" outlineLevel="0" collapsed="false">
      <c r="A63" s="1" t="n">
        <v>30</v>
      </c>
      <c r="B63" s="34" t="n">
        <v>31199</v>
      </c>
      <c r="C63" s="1" t="n">
        <v>1828800</v>
      </c>
      <c r="D63" s="9" t="s">
        <v>41</v>
      </c>
      <c r="E63" s="33" t="n">
        <f aca="false">IF(D63="totale",(C63/(A63*24))/F63,IF(D63="marché libre",(C63/(A63*24))/G63,"spécifier histo"))</f>
        <v>0.565701559020045</v>
      </c>
      <c r="F63" s="56" t="n">
        <v>4490</v>
      </c>
      <c r="G63" s="56" t="n">
        <v>4490</v>
      </c>
      <c r="H63" s="9" t="n">
        <v>0</v>
      </c>
      <c r="I63" s="9"/>
      <c r="J63" s="205"/>
    </row>
    <row r="64" customFormat="false" ht="21.15" hidden="false" customHeight="true" outlineLevel="0" collapsed="false">
      <c r="A64" s="1" t="n">
        <v>31</v>
      </c>
      <c r="B64" s="31" t="n">
        <v>31229</v>
      </c>
      <c r="C64" s="1" t="n">
        <v>1636400</v>
      </c>
      <c r="D64" s="9" t="s">
        <v>41</v>
      </c>
      <c r="E64" s="33" t="n">
        <f aca="false">IF(D64="totale",(C64/(A64*24))/F64,IF(D64="marché libre",(C64/(A64*24))/G64,"spécifier histo"))</f>
        <v>0.489857987882271</v>
      </c>
      <c r="F64" s="56" t="n">
        <v>4490</v>
      </c>
      <c r="G64" s="56" t="n">
        <v>4490</v>
      </c>
      <c r="H64" s="9" t="n">
        <v>0</v>
      </c>
      <c r="I64" s="9"/>
      <c r="J64" s="205"/>
    </row>
    <row r="65" customFormat="false" ht="21.15" hidden="false" customHeight="true" outlineLevel="0" collapsed="false">
      <c r="A65" s="1" t="n">
        <v>31</v>
      </c>
      <c r="B65" s="34" t="n">
        <v>31260</v>
      </c>
      <c r="C65" s="1" t="n">
        <v>1062000</v>
      </c>
      <c r="D65" s="9" t="s">
        <v>41</v>
      </c>
      <c r="E65" s="33" t="n">
        <f aca="false">IF(D65="totale",(C65/(A65*24))/F65,IF(D65="marché libre",(C65/(A65*24))/G65,"spécifier histo"))</f>
        <v>0.317910769451828</v>
      </c>
      <c r="F65" s="56" t="n">
        <v>4490</v>
      </c>
      <c r="G65" s="56" t="n">
        <v>4490</v>
      </c>
      <c r="H65" s="9" t="n">
        <v>0</v>
      </c>
      <c r="I65" s="9"/>
      <c r="J65" s="205"/>
    </row>
    <row r="66" customFormat="false" ht="21.15" hidden="false" customHeight="true" outlineLevel="0" collapsed="false">
      <c r="A66" s="1" t="n">
        <v>30</v>
      </c>
      <c r="B66" s="31" t="n">
        <v>31291</v>
      </c>
      <c r="C66" s="1" t="n">
        <v>648400</v>
      </c>
      <c r="D66" s="9" t="s">
        <v>41</v>
      </c>
      <c r="E66" s="33" t="n">
        <f aca="false">IF(D66="totale",(C66/(A66*24))/F66,IF(D66="marché libre",(C66/(A66*24))/G66,"spécifier histo"))</f>
        <v>0.200569166048008</v>
      </c>
      <c r="F66" s="56" t="n">
        <v>4490</v>
      </c>
      <c r="G66" s="56" t="n">
        <v>4490</v>
      </c>
      <c r="H66" s="9" t="n">
        <v>0</v>
      </c>
      <c r="I66" s="9"/>
      <c r="J66" s="205"/>
    </row>
    <row r="67" customFormat="false" ht="21.15" hidden="false" customHeight="true" outlineLevel="0" collapsed="false">
      <c r="A67" s="1" t="n">
        <v>31</v>
      </c>
      <c r="B67" s="34" t="n">
        <v>31321</v>
      </c>
      <c r="C67" s="1" t="n">
        <v>391200</v>
      </c>
      <c r="D67" s="9" t="s">
        <v>41</v>
      </c>
      <c r="E67" s="33" t="n">
        <f aca="false">IF(D67="totale",(C67/(A67*24))/F67,IF(D67="marché libre",(C67/(A67*24))/G67,"spécifier histo"))</f>
        <v>0.117106113944967</v>
      </c>
      <c r="F67" s="56" t="n">
        <v>4490</v>
      </c>
      <c r="G67" s="56" t="n">
        <v>4490</v>
      </c>
      <c r="H67" s="9" t="n">
        <v>0</v>
      </c>
      <c r="I67" s="9"/>
      <c r="J67" s="205"/>
    </row>
    <row r="68" customFormat="false" ht="21.15" hidden="false" customHeight="true" outlineLevel="0" collapsed="false">
      <c r="A68" s="1" t="n">
        <v>30</v>
      </c>
      <c r="B68" s="31" t="n">
        <v>31352</v>
      </c>
      <c r="C68" s="1" t="n">
        <v>330800</v>
      </c>
      <c r="D68" s="9" t="s">
        <v>41</v>
      </c>
      <c r="E68" s="33" t="n">
        <f aca="false">IF(D68="totale",(C68/(A68*24))/F68,IF(D68="marché libre",(C68/(A68*24))/G68,"spécifier histo"))</f>
        <v>0.102326156891858</v>
      </c>
      <c r="F68" s="56" t="n">
        <v>4490</v>
      </c>
      <c r="G68" s="56" t="n">
        <v>4490</v>
      </c>
      <c r="H68" s="9" t="n">
        <v>0</v>
      </c>
      <c r="I68" s="9"/>
      <c r="J68" s="205"/>
    </row>
    <row r="69" customFormat="false" ht="21.15" hidden="false" customHeight="true" outlineLevel="0" collapsed="false">
      <c r="A69" s="1" t="n">
        <v>31</v>
      </c>
      <c r="B69" s="34" t="n">
        <v>31382</v>
      </c>
      <c r="C69" s="1" t="n">
        <v>227600</v>
      </c>
      <c r="D69" s="9" t="s">
        <v>41</v>
      </c>
      <c r="E69" s="33" t="n">
        <f aca="false">IF(D69="totale",(C69/(A69*24))/F69,IF(D69="marché libre",(C69/(A69*24))/G69,"spécifier histo"))</f>
        <v>0.0681322891970209</v>
      </c>
      <c r="F69" s="56" t="n">
        <v>4490</v>
      </c>
      <c r="G69" s="56" t="n">
        <v>4490</v>
      </c>
      <c r="H69" s="9" t="n">
        <v>0</v>
      </c>
      <c r="I69" s="9"/>
      <c r="J69" s="205"/>
    </row>
    <row r="70" customFormat="false" ht="21.15" hidden="false" customHeight="true" outlineLevel="0" collapsed="false">
      <c r="A70" s="1" t="n">
        <v>31</v>
      </c>
      <c r="B70" s="31" t="n">
        <v>31413</v>
      </c>
      <c r="C70" s="1" t="n">
        <v>236800</v>
      </c>
      <c r="D70" s="9" t="s">
        <v>41</v>
      </c>
      <c r="E70" s="33" t="n">
        <f aca="false">IF(D70="totale",(C70/(A70*24))/F70,IF(D70="marché libre",(C70/(A70*24))/G70,"spécifier histo"))</f>
        <v>0.0708863184615753</v>
      </c>
      <c r="F70" s="56" t="n">
        <v>4490</v>
      </c>
      <c r="G70" s="56" t="n">
        <v>4490</v>
      </c>
      <c r="H70" s="9" t="n">
        <v>0</v>
      </c>
      <c r="I70" s="9"/>
      <c r="J70" s="205"/>
    </row>
    <row r="71" customFormat="false" ht="21.15" hidden="false" customHeight="true" outlineLevel="0" collapsed="false">
      <c r="A71" s="1" t="n">
        <v>28</v>
      </c>
      <c r="B71" s="34" t="n">
        <v>31444</v>
      </c>
      <c r="C71" s="1" t="n">
        <v>142000</v>
      </c>
      <c r="D71" s="9" t="s">
        <v>41</v>
      </c>
      <c r="E71" s="33" t="n">
        <f aca="false">IF(D71="totale",(C71/(A71*24))/F71,IF(D71="marché libre",(C71/(A71*24))/G71,"spécifier histo"))</f>
        <v>0.0470622547459964</v>
      </c>
      <c r="F71" s="56" t="n">
        <v>4490</v>
      </c>
      <c r="G71" s="56" t="n">
        <v>4490</v>
      </c>
      <c r="H71" s="9" t="n">
        <v>0</v>
      </c>
      <c r="I71" s="9"/>
      <c r="J71" s="205"/>
    </row>
    <row r="72" customFormat="false" ht="21.15" hidden="false" customHeight="true" outlineLevel="0" collapsed="false">
      <c r="A72" s="1" t="n">
        <v>31</v>
      </c>
      <c r="B72" s="31" t="n">
        <v>31472</v>
      </c>
      <c r="C72" s="1" t="n">
        <v>292400</v>
      </c>
      <c r="D72" s="9" t="s">
        <v>41</v>
      </c>
      <c r="E72" s="33" t="n">
        <f aca="false">IF(D72="totale",(C72/(A72*24))/F72,IF(D72="marché libre",(C72/(A72*24))/G72,"spécifier histo"))</f>
        <v>0.0875302344517087</v>
      </c>
      <c r="F72" s="56" t="n">
        <v>4490</v>
      </c>
      <c r="G72" s="56" t="n">
        <v>4490</v>
      </c>
      <c r="H72" s="9" t="n">
        <v>0</v>
      </c>
      <c r="I72" s="9"/>
      <c r="J72" s="205"/>
    </row>
    <row r="73" customFormat="false" ht="21.15" hidden="false" customHeight="true" outlineLevel="0" collapsed="false">
      <c r="A73" s="1" t="n">
        <v>30</v>
      </c>
      <c r="B73" s="34" t="n">
        <v>31503</v>
      </c>
      <c r="C73" s="1" t="n">
        <v>518400</v>
      </c>
      <c r="D73" s="9" t="s">
        <v>41</v>
      </c>
      <c r="E73" s="33" t="n">
        <f aca="false">IF(D73="totale",(C73/(A73*24))/F73,IF(D73="marché libre",(C73/(A73*24))/G73,"spécifier histo"))</f>
        <v>0.160356347438753</v>
      </c>
      <c r="F73" s="56" t="n">
        <v>4490</v>
      </c>
      <c r="G73" s="56" t="n">
        <v>4490</v>
      </c>
      <c r="H73" s="9" t="n">
        <v>0</v>
      </c>
      <c r="I73" s="9"/>
      <c r="J73" s="205"/>
    </row>
    <row r="74" customFormat="false" ht="21.15" hidden="false" customHeight="true" outlineLevel="0" collapsed="false">
      <c r="A74" s="1" t="n">
        <v>31</v>
      </c>
      <c r="B74" s="31" t="n">
        <v>31533</v>
      </c>
      <c r="C74" s="1" t="n">
        <v>1934800</v>
      </c>
      <c r="D74" s="9" t="s">
        <v>41</v>
      </c>
      <c r="E74" s="33" t="n">
        <f aca="false">IF(D74="totale",(C74/(A74*24))/F74,IF(D74="marché libre",(C74/(A74*24))/G74,"spécifier histo"))</f>
        <v>0.579184328376081</v>
      </c>
      <c r="F74" s="56" t="n">
        <v>4490</v>
      </c>
      <c r="G74" s="56" t="n">
        <v>4490</v>
      </c>
      <c r="H74" s="9" t="n">
        <v>0</v>
      </c>
      <c r="I74" s="9"/>
      <c r="J74" s="205"/>
    </row>
    <row r="75" customFormat="false" ht="21.15" hidden="false" customHeight="true" outlineLevel="0" collapsed="false">
      <c r="A75" s="1" t="n">
        <v>30</v>
      </c>
      <c r="B75" s="34" t="n">
        <v>31564</v>
      </c>
      <c r="C75" s="1" t="n">
        <v>1746800</v>
      </c>
      <c r="D75" s="9" t="s">
        <v>41</v>
      </c>
      <c r="E75" s="33" t="n">
        <f aca="false">IF(D75="totale",(C75/(A75*24))/F75,IF(D75="marché libre",(C75/(A75*24))/G75,"spécifier histo"))</f>
        <v>0.540336550358822</v>
      </c>
      <c r="F75" s="56" t="n">
        <v>4490</v>
      </c>
      <c r="G75" s="56" t="n">
        <v>4490</v>
      </c>
      <c r="H75" s="9" t="n">
        <v>0</v>
      </c>
      <c r="I75" s="9"/>
      <c r="J75" s="205"/>
    </row>
    <row r="76" customFormat="false" ht="21.15" hidden="false" customHeight="true" outlineLevel="0" collapsed="false">
      <c r="A76" s="1" t="n">
        <v>31</v>
      </c>
      <c r="B76" s="31" t="n">
        <v>31594</v>
      </c>
      <c r="C76" s="1" t="n">
        <v>1237600</v>
      </c>
      <c r="D76" s="9" t="s">
        <v>41</v>
      </c>
      <c r="E76" s="33" t="n">
        <f aca="false">IF(D76="totale",(C76/(A76*24))/F76,IF(D76="marché libre",(C76/(A76*24))/G76,"spécifier histo"))</f>
        <v>0.370476806283976</v>
      </c>
      <c r="F76" s="56" t="n">
        <v>4490</v>
      </c>
      <c r="G76" s="56" t="n">
        <v>4490</v>
      </c>
      <c r="H76" s="9" t="n">
        <v>0</v>
      </c>
      <c r="I76" s="9"/>
      <c r="J76" s="205"/>
    </row>
    <row r="77" customFormat="false" ht="21.15" hidden="false" customHeight="true" outlineLevel="0" collapsed="false">
      <c r="A77" s="1" t="n">
        <v>31</v>
      </c>
      <c r="B77" s="34" t="n">
        <v>31625</v>
      </c>
      <c r="C77" s="1" t="n">
        <v>847200</v>
      </c>
      <c r="D77" s="9" t="s">
        <v>41</v>
      </c>
      <c r="E77" s="33" t="n">
        <f aca="false">IF(D77="totale",(C77/(A77*24))/F77,IF(D77="marché libre",(C77/(A77*24))/G77,"spécifier histo"))</f>
        <v>0.253610173144622</v>
      </c>
      <c r="F77" s="56" t="n">
        <v>4490</v>
      </c>
      <c r="G77" s="56" t="n">
        <v>4490</v>
      </c>
      <c r="H77" s="9" t="n">
        <v>0</v>
      </c>
      <c r="I77" s="9"/>
      <c r="J77" s="205"/>
    </row>
    <row r="78" customFormat="false" ht="21.15" hidden="false" customHeight="true" outlineLevel="0" collapsed="false">
      <c r="A78" s="1" t="n">
        <v>30</v>
      </c>
      <c r="B78" s="31" t="n">
        <v>31656</v>
      </c>
      <c r="C78" s="1" t="n">
        <v>550400</v>
      </c>
      <c r="D78" s="9" t="s">
        <v>41</v>
      </c>
      <c r="E78" s="33" t="n">
        <f aca="false">IF(D78="totale",(C78/(A78*24))/F78,IF(D78="marché libre",(C78/(A78*24))/G78,"spécifier histo"))</f>
        <v>0.170254887404108</v>
      </c>
      <c r="F78" s="56" t="n">
        <v>4490</v>
      </c>
      <c r="G78" s="56" t="n">
        <v>4490</v>
      </c>
      <c r="H78" s="9" t="n">
        <v>0</v>
      </c>
      <c r="I78" s="9"/>
      <c r="J78" s="205"/>
    </row>
    <row r="79" customFormat="false" ht="21.15" hidden="false" customHeight="true" outlineLevel="0" collapsed="false">
      <c r="A79" s="1" t="n">
        <v>31</v>
      </c>
      <c r="B79" s="34" t="n">
        <v>31686</v>
      </c>
      <c r="C79" s="1" t="n">
        <v>516400</v>
      </c>
      <c r="D79" s="9" t="s">
        <v>41</v>
      </c>
      <c r="E79" s="33" t="n">
        <f aca="false">IF(D79="totale",(C79/(A79*24))/F79,IF(D79="marché libre",(C79/(A79*24))/G79,"spécifier histo"))</f>
        <v>0.154584860023469</v>
      </c>
      <c r="F79" s="56" t="n">
        <v>4490</v>
      </c>
      <c r="G79" s="56" t="n">
        <v>4490</v>
      </c>
      <c r="H79" s="9" t="n">
        <v>0</v>
      </c>
      <c r="I79" s="9"/>
      <c r="J79" s="205"/>
    </row>
    <row r="80" customFormat="false" ht="21.15" hidden="false" customHeight="true" outlineLevel="0" collapsed="false">
      <c r="A80" s="1" t="n">
        <v>30</v>
      </c>
      <c r="B80" s="31" t="n">
        <v>31717</v>
      </c>
      <c r="C80" s="1" t="n">
        <v>493600</v>
      </c>
      <c r="D80" s="9" t="s">
        <v>41</v>
      </c>
      <c r="E80" s="33" t="n">
        <f aca="false">IF(D80="totale",(C80/(A80*24))/F80,IF(D80="marché libre",(C80/(A80*24))/G80,"spécifier histo"))</f>
        <v>0.152684978965603</v>
      </c>
      <c r="F80" s="56" t="n">
        <v>4490</v>
      </c>
      <c r="G80" s="56" t="n">
        <v>4490</v>
      </c>
      <c r="H80" s="9" t="n">
        <v>0</v>
      </c>
      <c r="I80" s="9"/>
      <c r="J80" s="205"/>
    </row>
    <row r="81" customFormat="false" ht="21.15" hidden="false" customHeight="true" outlineLevel="0" collapsed="false">
      <c r="A81" s="1" t="n">
        <v>31</v>
      </c>
      <c r="B81" s="34" t="n">
        <v>31747</v>
      </c>
      <c r="C81" s="1" t="n">
        <v>356800</v>
      </c>
      <c r="D81" s="9" t="s">
        <v>41</v>
      </c>
      <c r="E81" s="33" t="n">
        <f aca="false">IF(D81="totale",(C81/(A81*24))/F81,IF(D81="marché libre",(C81/(A81*24))/G81,"spécifier histo"))</f>
        <v>0.10680843930359</v>
      </c>
      <c r="F81" s="56" t="n">
        <v>4490</v>
      </c>
      <c r="G81" s="56" t="n">
        <v>4490</v>
      </c>
      <c r="H81" s="9" t="n">
        <v>0</v>
      </c>
      <c r="I81" s="9"/>
      <c r="J81" s="205"/>
    </row>
    <row r="82" customFormat="false" ht="21.15" hidden="false" customHeight="true" outlineLevel="0" collapsed="false">
      <c r="A82" s="1" t="n">
        <v>31</v>
      </c>
      <c r="B82" s="31" t="n">
        <v>31778</v>
      </c>
      <c r="C82" s="1" t="n">
        <v>296400</v>
      </c>
      <c r="D82" s="9" t="s">
        <v>41</v>
      </c>
      <c r="E82" s="33" t="n">
        <f aca="false">IF(D82="totale",(C82/(A82*24))/F82,IF(D82="marché libre",(C82/(A82*24))/G82,"spécifier histo"))</f>
        <v>0.0887276384797758</v>
      </c>
      <c r="F82" s="56" t="n">
        <v>4490</v>
      </c>
      <c r="G82" s="56" t="n">
        <v>4490</v>
      </c>
      <c r="H82" s="9" t="n">
        <v>0</v>
      </c>
      <c r="I82" s="9"/>
      <c r="J82" s="205"/>
    </row>
    <row r="83" customFormat="false" ht="21.15" hidden="false" customHeight="true" outlineLevel="0" collapsed="false">
      <c r="A83" s="1" t="n">
        <v>28</v>
      </c>
      <c r="B83" s="34" t="n">
        <v>31809</v>
      </c>
      <c r="C83" s="1" t="n">
        <v>224400</v>
      </c>
      <c r="D83" s="9" t="s">
        <v>41</v>
      </c>
      <c r="E83" s="33" t="n">
        <f aca="false">IF(D83="totale",(C83/(A83*24))/F83,IF(D83="marché libre",(C83/(A83*24))/G83,"spécifier histo"))</f>
        <v>0.0743716194718422</v>
      </c>
      <c r="F83" s="56" t="n">
        <v>4490</v>
      </c>
      <c r="G83" s="56" t="n">
        <v>4490</v>
      </c>
      <c r="H83" s="9" t="n">
        <v>0</v>
      </c>
      <c r="I83" s="9"/>
      <c r="J83" s="205"/>
    </row>
    <row r="84" customFormat="false" ht="21.15" hidden="false" customHeight="true" outlineLevel="0" collapsed="false">
      <c r="A84" s="1" t="n">
        <v>31</v>
      </c>
      <c r="B84" s="31" t="n">
        <v>31837</v>
      </c>
      <c r="C84" s="1" t="n">
        <v>288000</v>
      </c>
      <c r="D84" s="9" t="s">
        <v>41</v>
      </c>
      <c r="E84" s="33" t="n">
        <f aca="false">IF(D84="totale",(C84/(A84*24))/F84,IF(D84="marché libre",(C84/(A84*24))/G84,"spécifier histo"))</f>
        <v>0.0862130900208348</v>
      </c>
      <c r="F84" s="56" t="n">
        <v>4490</v>
      </c>
      <c r="G84" s="56" t="n">
        <v>4490</v>
      </c>
      <c r="H84" s="9" t="n">
        <v>0</v>
      </c>
      <c r="I84" s="9"/>
      <c r="J84" s="205"/>
    </row>
    <row r="85" customFormat="false" ht="21.15" hidden="false" customHeight="true" outlineLevel="0" collapsed="false">
      <c r="A85" s="1" t="n">
        <v>30</v>
      </c>
      <c r="B85" s="34" t="n">
        <v>31868</v>
      </c>
      <c r="C85" s="1" t="n">
        <v>895200</v>
      </c>
      <c r="D85" s="9" t="s">
        <v>41</v>
      </c>
      <c r="E85" s="33" t="n">
        <f aca="false">IF(D85="totale",(C85/(A85*24))/F85,IF(D85="marché libre",(C85/(A85*24))/G85,"spécifier histo"))</f>
        <v>0.276911655530809</v>
      </c>
      <c r="F85" s="56" t="n">
        <v>4490</v>
      </c>
      <c r="G85" s="56" t="n">
        <v>4490</v>
      </c>
      <c r="H85" s="9" t="n">
        <v>0</v>
      </c>
      <c r="I85" s="9"/>
      <c r="J85" s="205"/>
    </row>
    <row r="86" customFormat="false" ht="21.15" hidden="false" customHeight="true" outlineLevel="0" collapsed="false">
      <c r="A86" s="1" t="n">
        <v>31</v>
      </c>
      <c r="B86" s="31" t="n">
        <v>31898</v>
      </c>
      <c r="C86" s="1" t="n">
        <v>1231400</v>
      </c>
      <c r="D86" s="9" t="s">
        <v>41</v>
      </c>
      <c r="E86" s="33" t="n">
        <f aca="false">IF(D86="totale",(C86/(A86*24))/F86,IF(D86="marché libre",(C86/(A86*24))/G86,"spécifier histo"))</f>
        <v>0.368620830040472</v>
      </c>
      <c r="F86" s="56" t="n">
        <v>4490</v>
      </c>
      <c r="G86" s="56" t="n">
        <v>4490</v>
      </c>
      <c r="H86" s="9" t="n">
        <v>0</v>
      </c>
      <c r="I86" s="9"/>
      <c r="J86" s="205"/>
    </row>
    <row r="87" customFormat="false" ht="21.15" hidden="false" customHeight="true" outlineLevel="0" collapsed="false">
      <c r="A87" s="1" t="n">
        <v>30</v>
      </c>
      <c r="B87" s="34" t="n">
        <v>31929</v>
      </c>
      <c r="C87" s="1" t="n">
        <v>1947600</v>
      </c>
      <c r="D87" s="9" t="s">
        <v>41</v>
      </c>
      <c r="E87" s="33" t="n">
        <f aca="false">IF(D87="totale",(C87/(A87*24))/F87,IF(D87="marché libre",(C87/(A87*24))/G87,"spécifier histo"))</f>
        <v>0.602449888641425</v>
      </c>
      <c r="F87" s="56" t="n">
        <v>4490</v>
      </c>
      <c r="G87" s="56" t="n">
        <v>4490</v>
      </c>
      <c r="H87" s="9" t="n">
        <v>0</v>
      </c>
      <c r="I87" s="9"/>
      <c r="J87" s="205"/>
    </row>
    <row r="88" customFormat="false" ht="21.15" hidden="false" customHeight="true" outlineLevel="0" collapsed="false">
      <c r="A88" s="1" t="n">
        <v>31</v>
      </c>
      <c r="B88" s="31" t="n">
        <v>31959</v>
      </c>
      <c r="C88" s="1" t="n">
        <v>1983600</v>
      </c>
      <c r="D88" s="9" t="s">
        <v>41</v>
      </c>
      <c r="E88" s="33" t="n">
        <f aca="false">IF(D88="totale",(C88/(A88*24))/F88,IF(D88="marché libre",(C88/(A88*24))/G88,"spécifier histo"))</f>
        <v>0.5937926575185</v>
      </c>
      <c r="F88" s="56" t="n">
        <v>4490</v>
      </c>
      <c r="G88" s="56" t="n">
        <v>4490</v>
      </c>
      <c r="H88" s="9" t="n">
        <v>0</v>
      </c>
      <c r="I88" s="9"/>
      <c r="J88" s="205"/>
    </row>
    <row r="89" customFormat="false" ht="21.15" hidden="false" customHeight="true" outlineLevel="0" collapsed="false">
      <c r="A89" s="1" t="n">
        <v>31</v>
      </c>
      <c r="B89" s="34" t="n">
        <v>31990</v>
      </c>
      <c r="C89" s="1" t="n">
        <v>1407600</v>
      </c>
      <c r="D89" s="9" t="s">
        <v>41</v>
      </c>
      <c r="E89" s="33" t="n">
        <f aca="false">IF(D89="totale",(C89/(A89*24))/F89,IF(D89="marché libre",(C89/(A89*24))/G89,"spécifier histo"))</f>
        <v>0.42136647747683</v>
      </c>
      <c r="F89" s="56" t="n">
        <v>4490</v>
      </c>
      <c r="G89" s="56" t="n">
        <v>4490</v>
      </c>
      <c r="H89" s="9" t="n">
        <v>0</v>
      </c>
      <c r="I89" s="9"/>
      <c r="J89" s="205"/>
    </row>
    <row r="90" customFormat="false" ht="21.15" hidden="false" customHeight="true" outlineLevel="0" collapsed="false">
      <c r="A90" s="1" t="n">
        <v>30</v>
      </c>
      <c r="B90" s="31" t="n">
        <v>32021</v>
      </c>
      <c r="C90" s="1" t="n">
        <v>719600</v>
      </c>
      <c r="D90" s="9" t="s">
        <v>41</v>
      </c>
      <c r="E90" s="33" t="n">
        <f aca="false">IF(D90="totale",(C90/(A90*24))/F90,IF(D90="marché libre",(C90/(A90*24))/G90,"spécifier histo"))</f>
        <v>0.222593417470923</v>
      </c>
      <c r="F90" s="56" t="n">
        <v>4490</v>
      </c>
      <c r="G90" s="56" t="n">
        <v>4490</v>
      </c>
      <c r="H90" s="9" t="n">
        <v>0</v>
      </c>
      <c r="I90" s="9"/>
      <c r="J90" s="205"/>
    </row>
    <row r="91" customFormat="false" ht="21.15" hidden="false" customHeight="true" outlineLevel="0" collapsed="false">
      <c r="A91" s="1" t="n">
        <v>31</v>
      </c>
      <c r="B91" s="34" t="n">
        <v>32051</v>
      </c>
      <c r="C91" s="1" t="n">
        <v>628400</v>
      </c>
      <c r="D91" s="9" t="s">
        <v>41</v>
      </c>
      <c r="E91" s="33" t="n">
        <f aca="false">IF(D91="totale",(C91/(A91*24))/F91,IF(D91="marché libre",(C91/(A91*24))/G91,"spécifier histo"))</f>
        <v>0.188112172809349</v>
      </c>
      <c r="F91" s="56" t="n">
        <v>4490</v>
      </c>
      <c r="G91" s="56" t="n">
        <v>4490</v>
      </c>
      <c r="H91" s="9" t="n">
        <v>0</v>
      </c>
      <c r="I91" s="9"/>
      <c r="J91" s="205"/>
    </row>
    <row r="92" customFormat="false" ht="21.15" hidden="false" customHeight="true" outlineLevel="0" collapsed="false">
      <c r="A92" s="1" t="n">
        <v>30</v>
      </c>
      <c r="B92" s="31" t="n">
        <v>32082</v>
      </c>
      <c r="C92" s="1" t="n">
        <v>589600</v>
      </c>
      <c r="D92" s="9" t="s">
        <v>41</v>
      </c>
      <c r="E92" s="33" t="n">
        <f aca="false">IF(D92="totale",(C92/(A92*24))/F92,IF(D92="marché libre",(C92/(A92*24))/G92,"spécifier histo"))</f>
        <v>0.182380598861668</v>
      </c>
      <c r="F92" s="56" t="n">
        <v>4490</v>
      </c>
      <c r="G92" s="56" t="n">
        <v>4490</v>
      </c>
      <c r="H92" s="9" t="n">
        <v>0</v>
      </c>
      <c r="I92" s="9"/>
      <c r="J92" s="205"/>
    </row>
    <row r="93" customFormat="false" ht="21.15" hidden="false" customHeight="true" outlineLevel="0" collapsed="false">
      <c r="A93" s="1" t="n">
        <v>31</v>
      </c>
      <c r="B93" s="34" t="n">
        <v>32112</v>
      </c>
      <c r="C93" s="1" t="n">
        <v>541600</v>
      </c>
      <c r="D93" s="9" t="s">
        <v>41</v>
      </c>
      <c r="E93" s="33" t="n">
        <f aca="false">IF(D93="totale",(C93/(A93*24))/F93,IF(D93="marché libre",(C93/(A93*24))/G93,"spécifier histo"))</f>
        <v>0.162128505400292</v>
      </c>
      <c r="F93" s="56" t="n">
        <v>4490</v>
      </c>
      <c r="G93" s="56" t="n">
        <v>4490</v>
      </c>
      <c r="H93" s="9" t="n">
        <v>0</v>
      </c>
      <c r="I93" s="9"/>
      <c r="J93" s="205"/>
    </row>
    <row r="94" customFormat="false" ht="21.15" hidden="false" customHeight="true" outlineLevel="0" collapsed="false">
      <c r="A94" s="1" t="n">
        <v>31</v>
      </c>
      <c r="B94" s="31" t="n">
        <v>32143</v>
      </c>
      <c r="C94" s="1" t="n">
        <v>381600</v>
      </c>
      <c r="D94" s="9" t="s">
        <v>41</v>
      </c>
      <c r="E94" s="33" t="n">
        <f aca="false">IF(D94="totale",(C94/(A94*24))/F94,IF(D94="marché libre",(C94/(A94*24))/G94,"spécifier histo"))</f>
        <v>0.114232344277606</v>
      </c>
      <c r="F94" s="56" t="n">
        <v>4490</v>
      </c>
      <c r="G94" s="56" t="n">
        <v>4490</v>
      </c>
      <c r="H94" s="9" t="n">
        <v>0</v>
      </c>
      <c r="I94" s="9"/>
      <c r="J94" s="205"/>
    </row>
    <row r="95" customFormat="false" ht="21.15" hidden="false" customHeight="true" outlineLevel="0" collapsed="false">
      <c r="A95" s="1" t="n">
        <v>28</v>
      </c>
      <c r="B95" s="34" t="n">
        <v>32174</v>
      </c>
      <c r="C95" s="1" t="n">
        <v>280800</v>
      </c>
      <c r="D95" s="9" t="s">
        <v>41</v>
      </c>
      <c r="E95" s="33" t="n">
        <f aca="false">IF(D95="totale",(C95/(A95*24))/F95,IF(D95="marché libre",(C95/(A95*24))/G95,"spécifier histo"))</f>
        <v>0.0930639516385619</v>
      </c>
      <c r="F95" s="56" t="n">
        <v>4490</v>
      </c>
      <c r="G95" s="56" t="n">
        <v>4490</v>
      </c>
      <c r="H95" s="9" t="n">
        <v>0</v>
      </c>
      <c r="I95" s="9"/>
      <c r="J95" s="205"/>
    </row>
    <row r="96" customFormat="false" ht="21.15" hidden="false" customHeight="true" outlineLevel="0" collapsed="false">
      <c r="A96" s="1" t="n">
        <v>31</v>
      </c>
      <c r="B96" s="31" t="n">
        <v>32203</v>
      </c>
      <c r="C96" s="1" t="n">
        <v>480800</v>
      </c>
      <c r="D96" s="9" t="s">
        <v>41</v>
      </c>
      <c r="E96" s="33" t="n">
        <f aca="false">IF(D96="totale",(C96/(A96*24))/F96,IF(D96="marché libre",(C96/(A96*24))/G96,"spécifier histo"))</f>
        <v>0.143927964173671</v>
      </c>
      <c r="F96" s="56" t="n">
        <v>4490</v>
      </c>
      <c r="G96" s="56" t="n">
        <v>4490</v>
      </c>
      <c r="H96" s="9" t="n">
        <v>0</v>
      </c>
      <c r="I96" s="9"/>
      <c r="J96" s="205"/>
    </row>
    <row r="97" customFormat="false" ht="21.15" hidden="false" customHeight="true" outlineLevel="0" collapsed="false">
      <c r="A97" s="1" t="n">
        <v>30</v>
      </c>
      <c r="B97" s="34" t="n">
        <v>32234</v>
      </c>
      <c r="C97" s="1" t="n">
        <v>976800</v>
      </c>
      <c r="D97" s="9" t="s">
        <v>41</v>
      </c>
      <c r="E97" s="33" t="n">
        <f aca="false">IF(D97="totale",(C97/(A97*24))/F97,IF(D97="marché libre",(C97/(A97*24))/G97,"spécifier histo"))</f>
        <v>0.302152932442465</v>
      </c>
      <c r="F97" s="56" t="n">
        <v>4490</v>
      </c>
      <c r="G97" s="56" t="n">
        <v>4490</v>
      </c>
      <c r="H97" s="9" t="n">
        <v>0</v>
      </c>
      <c r="I97" s="9"/>
      <c r="J97" s="205"/>
    </row>
    <row r="98" customFormat="false" ht="21.15" hidden="false" customHeight="true" outlineLevel="0" collapsed="false">
      <c r="A98" s="1" t="n">
        <v>31</v>
      </c>
      <c r="B98" s="31" t="n">
        <v>32264</v>
      </c>
      <c r="C98" s="1" t="n">
        <v>1795200</v>
      </c>
      <c r="D98" s="9" t="s">
        <v>41</v>
      </c>
      <c r="E98" s="33" t="n">
        <f aca="false">IF(D98="totale",(C98/(A98*24))/F98,IF(D98="marché libre",(C98/(A98*24))/G98,"spécifier histo"))</f>
        <v>0.537394927796537</v>
      </c>
      <c r="F98" s="56" t="n">
        <v>4490</v>
      </c>
      <c r="G98" s="56" t="n">
        <v>4490</v>
      </c>
      <c r="H98" s="9" t="n">
        <v>0</v>
      </c>
      <c r="I98" s="9"/>
      <c r="J98" s="205"/>
    </row>
    <row r="99" customFormat="false" ht="21.15" hidden="false" customHeight="true" outlineLevel="0" collapsed="false">
      <c r="A99" s="1" t="n">
        <v>30</v>
      </c>
      <c r="B99" s="34" t="n">
        <v>32295</v>
      </c>
      <c r="C99" s="1" t="n">
        <v>1838400</v>
      </c>
      <c r="D99" s="9" t="s">
        <v>41</v>
      </c>
      <c r="E99" s="33" t="n">
        <f aca="false">IF(D99="totale",(C99/(A99*24))/F99,IF(D99="marché libre",(C99/(A99*24))/G99,"spécifier histo"))</f>
        <v>0.568671121009651</v>
      </c>
      <c r="F99" s="56" t="n">
        <v>4490</v>
      </c>
      <c r="G99" s="56" t="n">
        <v>4490</v>
      </c>
      <c r="H99" s="9" t="n">
        <v>0</v>
      </c>
      <c r="I99" s="9"/>
      <c r="J99" s="205"/>
    </row>
    <row r="100" customFormat="false" ht="21.15" hidden="false" customHeight="true" outlineLevel="0" collapsed="false">
      <c r="A100" s="1" t="n">
        <v>31</v>
      </c>
      <c r="B100" s="31" t="n">
        <v>32325</v>
      </c>
      <c r="C100" s="1" t="n">
        <v>1729200</v>
      </c>
      <c r="D100" s="9" t="s">
        <v>41</v>
      </c>
      <c r="E100" s="33" t="n">
        <f aca="false">IF(D100="totale",(C100/(A100*24))/F100,IF(D100="marché libre",(C100/(A100*24))/G100,"spécifier histo"))</f>
        <v>0.517637761333429</v>
      </c>
      <c r="F100" s="56" t="n">
        <v>4490</v>
      </c>
      <c r="G100" s="56" t="n">
        <v>4490</v>
      </c>
      <c r="H100" s="9" t="n">
        <v>0</v>
      </c>
      <c r="I100" s="9"/>
      <c r="J100" s="205"/>
    </row>
    <row r="101" customFormat="false" ht="21.15" hidden="false" customHeight="true" outlineLevel="0" collapsed="false">
      <c r="A101" s="1" t="n">
        <v>31</v>
      </c>
      <c r="B101" s="34" t="n">
        <v>32356</v>
      </c>
      <c r="C101" s="1" t="n">
        <v>995200</v>
      </c>
      <c r="D101" s="9" t="s">
        <v>41</v>
      </c>
      <c r="E101" s="33" t="n">
        <f aca="false">IF(D101="totale",(C101/(A101*24))/F101,IF(D101="marché libre",(C101/(A101*24))/G101,"spécifier histo"))</f>
        <v>0.297914122183107</v>
      </c>
      <c r="F101" s="56" t="n">
        <v>4490</v>
      </c>
      <c r="G101" s="56" t="n">
        <v>4490</v>
      </c>
      <c r="H101" s="9" t="n">
        <v>0</v>
      </c>
      <c r="I101" s="9"/>
      <c r="J101" s="205"/>
    </row>
    <row r="102" customFormat="false" ht="21.15" hidden="false" customHeight="true" outlineLevel="0" collapsed="false">
      <c r="A102" s="1" t="n">
        <v>30</v>
      </c>
      <c r="B102" s="31" t="n">
        <v>32387</v>
      </c>
      <c r="C102" s="1" t="n">
        <v>769600</v>
      </c>
      <c r="D102" s="9" t="s">
        <v>41</v>
      </c>
      <c r="E102" s="33" t="n">
        <f aca="false">IF(D102="totale",(C102/(A102*24))/F102,IF(D102="marché libre",(C102/(A102*24))/G102,"spécifier histo"))</f>
        <v>0.23805988616679</v>
      </c>
      <c r="F102" s="56" t="n">
        <v>4490</v>
      </c>
      <c r="G102" s="56" t="n">
        <v>4490</v>
      </c>
      <c r="H102" s="9" t="n">
        <v>0</v>
      </c>
      <c r="I102" s="9"/>
      <c r="J102" s="205"/>
    </row>
    <row r="103" customFormat="false" ht="21.15" hidden="false" customHeight="true" outlineLevel="0" collapsed="false">
      <c r="A103" s="1" t="n">
        <v>31</v>
      </c>
      <c r="B103" s="34" t="n">
        <v>32417</v>
      </c>
      <c r="C103" s="1" t="n">
        <v>857600</v>
      </c>
      <c r="D103" s="9" t="s">
        <v>41</v>
      </c>
      <c r="E103" s="33" t="n">
        <f aca="false">IF(D103="totale",(C103/(A103*24))/F103,IF(D103="marché libre",(C103/(A103*24))/G103,"spécifier histo"))</f>
        <v>0.256723423617597</v>
      </c>
      <c r="F103" s="56" t="n">
        <v>4490</v>
      </c>
      <c r="G103" s="56" t="n">
        <v>4490</v>
      </c>
      <c r="H103" s="9" t="n">
        <v>0</v>
      </c>
      <c r="I103" s="9"/>
      <c r="J103" s="205"/>
    </row>
    <row r="104" customFormat="false" ht="21.15" hidden="false" customHeight="true" outlineLevel="0" collapsed="false">
      <c r="A104" s="1" t="n">
        <v>30</v>
      </c>
      <c r="B104" s="31" t="n">
        <v>32448</v>
      </c>
      <c r="C104" s="1" t="n">
        <v>456800</v>
      </c>
      <c r="D104" s="9" t="s">
        <v>41</v>
      </c>
      <c r="E104" s="33" t="n">
        <f aca="false">IF(D104="totale",(C104/(A104*24))/F104,IF(D104="marché libre",(C104/(A104*24))/G104,"spécifier histo"))</f>
        <v>0.141301658005444</v>
      </c>
      <c r="F104" s="56" t="n">
        <v>4490</v>
      </c>
      <c r="G104" s="56" t="n">
        <v>4490</v>
      </c>
      <c r="H104" s="9" t="n">
        <v>0</v>
      </c>
      <c r="I104" s="9"/>
      <c r="J104" s="205"/>
    </row>
    <row r="105" customFormat="false" ht="21.15" hidden="false" customHeight="true" outlineLevel="0" collapsed="false">
      <c r="A105" s="1" t="n">
        <v>31</v>
      </c>
      <c r="B105" s="34" t="n">
        <v>32478</v>
      </c>
      <c r="C105" s="1" t="n">
        <v>497600</v>
      </c>
      <c r="D105" s="9" t="s">
        <v>41</v>
      </c>
      <c r="E105" s="33" t="n">
        <f aca="false">IF(D105="totale",(C105/(A105*24))/F105,IF(D105="marché libre",(C105/(A105*24))/G105,"spécifier histo"))</f>
        <v>0.148957061091554</v>
      </c>
      <c r="F105" s="56" t="n">
        <v>4490</v>
      </c>
      <c r="G105" s="56" t="n">
        <v>4490</v>
      </c>
      <c r="H105" s="9" t="n">
        <v>0</v>
      </c>
      <c r="I105" s="9"/>
      <c r="J105" s="205"/>
    </row>
    <row r="106" customFormat="false" ht="21.15" hidden="false" customHeight="true" outlineLevel="0" collapsed="false">
      <c r="A106" s="1" t="n">
        <v>31</v>
      </c>
      <c r="B106" s="31" t="n">
        <v>32509</v>
      </c>
      <c r="C106" s="1" t="n">
        <v>254000</v>
      </c>
      <c r="D106" s="9" t="s">
        <v>41</v>
      </c>
      <c r="E106" s="33" t="n">
        <f aca="false">IF(D106="totale",(C106/(A106*24))/F106,IF(D106="marché libre",(C106/(A106*24))/G106,"spécifier histo"))</f>
        <v>0.0760351557822641</v>
      </c>
      <c r="F106" s="56" t="n">
        <v>4490</v>
      </c>
      <c r="G106" s="56" t="n">
        <v>4490</v>
      </c>
      <c r="H106" s="9" t="n">
        <v>0</v>
      </c>
      <c r="I106" s="9"/>
      <c r="J106" s="205"/>
    </row>
    <row r="107" customFormat="false" ht="21.15" hidden="false" customHeight="true" outlineLevel="0" collapsed="false">
      <c r="A107" s="1" t="n">
        <v>28</v>
      </c>
      <c r="B107" s="34" t="n">
        <v>32540</v>
      </c>
      <c r="C107" s="1" t="n">
        <v>188000</v>
      </c>
      <c r="D107" s="9" t="s">
        <v>41</v>
      </c>
      <c r="E107" s="33" t="n">
        <f aca="false">IF(D107="totale",(C107/(A107*24))/F107,IF(D107="marché libre",(C107/(A107*24))/G107,"spécifier histo"))</f>
        <v>0.0623077738890657</v>
      </c>
      <c r="F107" s="56" t="n">
        <v>4490</v>
      </c>
      <c r="G107" s="56" t="n">
        <v>4490</v>
      </c>
      <c r="H107" s="9" t="n">
        <v>0</v>
      </c>
      <c r="I107" s="9"/>
      <c r="J107" s="205"/>
    </row>
    <row r="108" customFormat="false" ht="21.15" hidden="false" customHeight="true" outlineLevel="0" collapsed="false">
      <c r="A108" s="1" t="n">
        <v>31</v>
      </c>
      <c r="B108" s="31" t="n">
        <v>32568</v>
      </c>
      <c r="C108" s="1" t="n">
        <v>413600</v>
      </c>
      <c r="D108" s="9" t="s">
        <v>41</v>
      </c>
      <c r="E108" s="33" t="n">
        <f aca="false">IF(D108="totale",(C108/(A108*24))/F108,IF(D108="marché libre",(C108/(A108*24))/G108,"spécifier histo"))</f>
        <v>0.123811576502143</v>
      </c>
      <c r="F108" s="56" t="n">
        <v>4490</v>
      </c>
      <c r="G108" s="56" t="n">
        <v>4490</v>
      </c>
      <c r="H108" s="9" t="n">
        <v>0</v>
      </c>
      <c r="I108" s="9"/>
      <c r="J108" s="205"/>
    </row>
    <row r="109" customFormat="false" ht="21.15" hidden="false" customHeight="true" outlineLevel="0" collapsed="false">
      <c r="A109" s="1" t="n">
        <v>30</v>
      </c>
      <c r="B109" s="34" t="n">
        <v>32599</v>
      </c>
      <c r="C109" s="1" t="n">
        <v>504800</v>
      </c>
      <c r="D109" s="9" t="s">
        <v>41</v>
      </c>
      <c r="E109" s="33" t="n">
        <f aca="false">IF(D109="totale",(C109/(A109*24))/F109,IF(D109="marché libre",(C109/(A109*24))/G109,"spécifier histo"))</f>
        <v>0.156149467953477</v>
      </c>
      <c r="F109" s="56" t="n">
        <v>4490</v>
      </c>
      <c r="G109" s="56" t="n">
        <v>4490</v>
      </c>
      <c r="H109" s="9" t="n">
        <v>0</v>
      </c>
      <c r="I109" s="9"/>
      <c r="J109" s="205"/>
    </row>
    <row r="110" customFormat="false" ht="21.15" hidden="false" customHeight="true" outlineLevel="0" collapsed="false">
      <c r="A110" s="1" t="n">
        <v>31</v>
      </c>
      <c r="B110" s="31" t="n">
        <v>32629</v>
      </c>
      <c r="C110" s="1" t="n">
        <v>1498800</v>
      </c>
      <c r="D110" s="9" t="s">
        <v>41</v>
      </c>
      <c r="E110" s="33" t="n">
        <f aca="false">IF(D110="totale",(C110/(A110*24))/F110,IF(D110="marché libre",(C110/(A110*24))/G110,"spécifier histo"))</f>
        <v>0.448667289316761</v>
      </c>
      <c r="F110" s="56" t="n">
        <v>4490</v>
      </c>
      <c r="G110" s="56" t="n">
        <v>4490</v>
      </c>
      <c r="H110" s="9" t="n">
        <v>0</v>
      </c>
      <c r="I110" s="9"/>
      <c r="J110" s="205"/>
    </row>
    <row r="111" customFormat="false" ht="21.15" hidden="false" customHeight="true" outlineLevel="0" collapsed="false">
      <c r="A111" s="1" t="n">
        <v>30</v>
      </c>
      <c r="B111" s="34" t="n">
        <v>32660</v>
      </c>
      <c r="C111" s="1" t="n">
        <v>1357200</v>
      </c>
      <c r="D111" s="9" t="s">
        <v>41</v>
      </c>
      <c r="E111" s="33" t="n">
        <f aca="false">IF(D111="totale",(C111/(A111*24))/F111,IF(D111="marché libre",(C111/(A111*24))/G111,"spécifier histo"))</f>
        <v>0.419821826280624</v>
      </c>
      <c r="F111" s="56" t="n">
        <v>4490</v>
      </c>
      <c r="G111" s="56" t="n">
        <v>4490</v>
      </c>
      <c r="H111" s="9" t="n">
        <v>0</v>
      </c>
      <c r="I111" s="9"/>
      <c r="J111" s="205"/>
    </row>
    <row r="112" customFormat="false" ht="21.15" hidden="false" customHeight="true" outlineLevel="0" collapsed="false">
      <c r="A112" s="1" t="n">
        <v>31</v>
      </c>
      <c r="B112" s="31" t="n">
        <v>32690</v>
      </c>
      <c r="C112" s="1" t="n">
        <v>1034000</v>
      </c>
      <c r="D112" s="9" t="s">
        <v>41</v>
      </c>
      <c r="E112" s="33" t="n">
        <f aca="false">IF(D112="totale",(C112/(A112*24))/F112,IF(D112="marché libre",(C112/(A112*24))/G112,"spécifier histo"))</f>
        <v>0.309528941255358</v>
      </c>
      <c r="F112" s="56" t="n">
        <v>4490</v>
      </c>
      <c r="G112" s="56" t="n">
        <v>4490</v>
      </c>
      <c r="H112" s="9" t="n">
        <v>0</v>
      </c>
      <c r="I112" s="9"/>
      <c r="J112" s="205"/>
    </row>
    <row r="113" customFormat="false" ht="21.15" hidden="false" customHeight="true" outlineLevel="0" collapsed="false">
      <c r="A113" s="1" t="n">
        <v>31</v>
      </c>
      <c r="B113" s="34" t="n">
        <v>32721</v>
      </c>
      <c r="C113" s="1" t="n">
        <v>556400</v>
      </c>
      <c r="D113" s="9" t="s">
        <v>41</v>
      </c>
      <c r="E113" s="33" t="n">
        <f aca="false">IF(D113="totale",(C113/(A113*24))/F113,IF(D113="marché libre",(C113/(A113*24))/G113,"spécifier histo"))</f>
        <v>0.166558900304141</v>
      </c>
      <c r="F113" s="56" t="n">
        <v>4490</v>
      </c>
      <c r="G113" s="56" t="n">
        <v>4490</v>
      </c>
      <c r="H113" s="9" t="n">
        <v>0</v>
      </c>
      <c r="I113" s="9"/>
      <c r="J113" s="205"/>
    </row>
    <row r="114" customFormat="false" ht="21.15" hidden="false" customHeight="true" outlineLevel="0" collapsed="false">
      <c r="A114" s="1" t="n">
        <v>30</v>
      </c>
      <c r="B114" s="31" t="n">
        <v>32752</v>
      </c>
      <c r="C114" s="1" t="n">
        <v>371600</v>
      </c>
      <c r="D114" s="9" t="s">
        <v>41</v>
      </c>
      <c r="E114" s="33" t="n">
        <f aca="false">IF(D114="totale",(C114/(A114*24))/F114,IF(D114="marché libre",(C114/(A114*24))/G114,"spécifier histo"))</f>
        <v>0.114946795347686</v>
      </c>
      <c r="F114" s="56" t="n">
        <v>4490</v>
      </c>
      <c r="G114" s="56" t="n">
        <v>4490</v>
      </c>
      <c r="H114" s="9" t="n">
        <v>0</v>
      </c>
      <c r="I114" s="9"/>
      <c r="J114" s="205"/>
    </row>
    <row r="115" customFormat="false" ht="21.15" hidden="false" customHeight="true" outlineLevel="0" collapsed="false">
      <c r="A115" s="1" t="n">
        <v>31</v>
      </c>
      <c r="B115" s="34" t="n">
        <v>32782</v>
      </c>
      <c r="C115" s="1" t="n">
        <v>279200</v>
      </c>
      <c r="D115" s="9" t="s">
        <v>41</v>
      </c>
      <c r="E115" s="33" t="n">
        <f aca="false">IF(D115="totale",(C115/(A115*24))/F115,IF(D115="marché libre",(C115/(A115*24))/G115,"spécifier histo"))</f>
        <v>0.0835788011590871</v>
      </c>
      <c r="F115" s="56" t="n">
        <v>4490</v>
      </c>
      <c r="G115" s="56" t="n">
        <v>4490</v>
      </c>
      <c r="H115" s="9" t="n">
        <v>0</v>
      </c>
      <c r="I115" s="9"/>
      <c r="J115" s="205"/>
    </row>
    <row r="116" customFormat="false" ht="21.15" hidden="false" customHeight="true" outlineLevel="0" collapsed="false">
      <c r="A116" s="1" t="n">
        <v>30</v>
      </c>
      <c r="B116" s="31" t="n">
        <v>32813</v>
      </c>
      <c r="C116" s="1" t="n">
        <v>227200</v>
      </c>
      <c r="D116" s="9" t="s">
        <v>41</v>
      </c>
      <c r="E116" s="33" t="n">
        <f aca="false">IF(D116="totale",(C116/(A116*24))/F116,IF(D116="marché libre",(C116/(A116*24))/G116,"spécifier histo"))</f>
        <v>0.0702796337540213</v>
      </c>
      <c r="F116" s="56" t="n">
        <v>4490</v>
      </c>
      <c r="G116" s="56" t="n">
        <v>4490</v>
      </c>
      <c r="H116" s="9" t="n">
        <v>0</v>
      </c>
      <c r="I116" s="9"/>
      <c r="J116" s="205"/>
    </row>
    <row r="117" customFormat="false" ht="21.15" hidden="false" customHeight="true" outlineLevel="0" collapsed="false">
      <c r="A117" s="1" t="n">
        <v>31</v>
      </c>
      <c r="B117" s="34" t="n">
        <v>32843</v>
      </c>
      <c r="C117" s="1" t="n">
        <v>296800</v>
      </c>
      <c r="D117" s="9" t="s">
        <v>41</v>
      </c>
      <c r="E117" s="33" t="n">
        <f aca="false">IF(D117="totale",(C117/(A117*24))/F117,IF(D117="marché libre",(C117/(A117*24))/G117,"spécifier histo"))</f>
        <v>0.0888473788825826</v>
      </c>
      <c r="F117" s="56" t="n">
        <v>4490</v>
      </c>
      <c r="G117" s="56" t="n">
        <v>4490</v>
      </c>
      <c r="H117" s="9" t="n">
        <v>0</v>
      </c>
      <c r="I117" s="9"/>
      <c r="J117" s="205"/>
    </row>
    <row r="118" customFormat="false" ht="21.15" hidden="false" customHeight="true" outlineLevel="0" collapsed="false">
      <c r="A118" s="1" t="n">
        <v>31</v>
      </c>
      <c r="B118" s="31" t="n">
        <v>32874</v>
      </c>
      <c r="C118" s="1" t="n">
        <v>141200</v>
      </c>
      <c r="D118" s="9" t="s">
        <v>41</v>
      </c>
      <c r="E118" s="33" t="n">
        <f aca="false">IF(D118="totale",(C118/(A118*24))/F118,IF(D118="marché libre",(C118/(A118*24))/G118,"spécifier histo"))</f>
        <v>0.0422683621907704</v>
      </c>
      <c r="F118" s="56" t="n">
        <v>4490</v>
      </c>
      <c r="G118" s="56" t="n">
        <v>4490</v>
      </c>
      <c r="H118" s="9" t="n">
        <v>0</v>
      </c>
      <c r="I118" s="9"/>
      <c r="J118" s="205"/>
    </row>
    <row r="119" customFormat="false" ht="21.15" hidden="false" customHeight="true" outlineLevel="0" collapsed="false">
      <c r="A119" s="1" t="n">
        <v>28</v>
      </c>
      <c r="B119" s="34" t="n">
        <v>32905</v>
      </c>
      <c r="C119" s="1" t="n">
        <v>410000</v>
      </c>
      <c r="D119" s="9" t="s">
        <v>41</v>
      </c>
      <c r="E119" s="33" t="n">
        <f aca="false">IF(D119="totale",(C119/(A119*24))/F119,IF(D119="marché libre",(C119/(A119*24))/G119,"spécifier histo"))</f>
        <v>0.135883974970835</v>
      </c>
      <c r="F119" s="56" t="n">
        <v>4490</v>
      </c>
      <c r="G119" s="56" t="n">
        <v>4490</v>
      </c>
      <c r="H119" s="9" t="n">
        <v>0</v>
      </c>
      <c r="I119" s="9"/>
      <c r="J119" s="205"/>
    </row>
    <row r="120" customFormat="false" ht="21.15" hidden="false" customHeight="true" outlineLevel="0" collapsed="false">
      <c r="A120" s="1" t="n">
        <v>31</v>
      </c>
      <c r="B120" s="31" t="n">
        <v>32933</v>
      </c>
      <c r="C120" s="1" t="n">
        <v>491200</v>
      </c>
      <c r="D120" s="9" t="s">
        <v>41</v>
      </c>
      <c r="E120" s="33" t="n">
        <f aca="false">IF(D120="totale",(C120/(A120*24))/F120,IF(D120="marché libre",(C120/(A120*24))/G120,"spécifier histo"))</f>
        <v>0.147041214646646</v>
      </c>
      <c r="F120" s="56" t="n">
        <v>4490</v>
      </c>
      <c r="G120" s="56" t="n">
        <v>4490</v>
      </c>
      <c r="H120" s="9" t="n">
        <v>0</v>
      </c>
      <c r="I120" s="9"/>
      <c r="J120" s="205"/>
    </row>
    <row r="121" customFormat="false" ht="21.15" hidden="false" customHeight="true" outlineLevel="0" collapsed="false">
      <c r="A121" s="1" t="n">
        <v>30</v>
      </c>
      <c r="B121" s="34" t="n">
        <v>32964</v>
      </c>
      <c r="C121" s="1" t="n">
        <v>381600</v>
      </c>
      <c r="D121" s="9" t="s">
        <v>41</v>
      </c>
      <c r="E121" s="33" t="n">
        <f aca="false">IF(D121="totale",(C121/(A121*24))/F121,IF(D121="marché libre",(C121/(A121*24))/G121,"spécifier histo"))</f>
        <v>0.11804008908686</v>
      </c>
      <c r="F121" s="56" t="n">
        <v>4490</v>
      </c>
      <c r="G121" s="56" t="n">
        <v>4490</v>
      </c>
      <c r="H121" s="9" t="n">
        <v>0</v>
      </c>
      <c r="I121" s="9"/>
      <c r="J121" s="205"/>
    </row>
    <row r="122" customFormat="false" ht="21.15" hidden="false" customHeight="true" outlineLevel="0" collapsed="false">
      <c r="A122" s="1" t="n">
        <v>31</v>
      </c>
      <c r="B122" s="31" t="n">
        <v>32994</v>
      </c>
      <c r="C122" s="1" t="n">
        <v>1332800</v>
      </c>
      <c r="D122" s="9" t="s">
        <v>41</v>
      </c>
      <c r="E122" s="33" t="n">
        <f aca="false">IF(D122="totale",(C122/(A122*24))/F122,IF(D122="marché libre",(C122/(A122*24))/G122,"spécifier histo"))</f>
        <v>0.398975022151975</v>
      </c>
      <c r="F122" s="56" t="n">
        <v>4490</v>
      </c>
      <c r="G122" s="56" t="n">
        <v>4490</v>
      </c>
      <c r="H122" s="9" t="n">
        <v>0</v>
      </c>
      <c r="I122" s="9"/>
      <c r="J122" s="205"/>
    </row>
    <row r="123" customFormat="false" ht="21.15" hidden="false" customHeight="true" outlineLevel="0" collapsed="false">
      <c r="A123" s="1" t="n">
        <v>30</v>
      </c>
      <c r="B123" s="34" t="n">
        <v>33025</v>
      </c>
      <c r="C123" s="1" t="n">
        <v>1503200</v>
      </c>
      <c r="D123" s="9" t="s">
        <v>41</v>
      </c>
      <c r="E123" s="33" t="n">
        <f aca="false">IF(D123="totale",(C123/(A123*24))/F123,IF(D123="marché libre",(C123/(A123*24))/G123,"spécifier histo"))</f>
        <v>0.464983914872556</v>
      </c>
      <c r="F123" s="56" t="n">
        <v>4490</v>
      </c>
      <c r="G123" s="56" t="n">
        <v>4490</v>
      </c>
      <c r="H123" s="9" t="n">
        <v>0</v>
      </c>
      <c r="I123" s="9"/>
      <c r="J123" s="205"/>
    </row>
    <row r="124" customFormat="false" ht="21.15" hidden="false" customHeight="true" outlineLevel="0" collapsed="false">
      <c r="A124" s="1" t="n">
        <v>31</v>
      </c>
      <c r="B124" s="31" t="n">
        <v>33055</v>
      </c>
      <c r="C124" s="1" t="n">
        <v>1147600</v>
      </c>
      <c r="D124" s="9" t="s">
        <v>41</v>
      </c>
      <c r="E124" s="33" t="n">
        <f aca="false">IF(D124="totale",(C124/(A124*24))/F124,IF(D124="marché libre",(C124/(A124*24))/G124,"spécifier histo"))</f>
        <v>0.343535215652465</v>
      </c>
      <c r="F124" s="56" t="n">
        <v>4490</v>
      </c>
      <c r="G124" s="56" t="n">
        <v>4490</v>
      </c>
      <c r="H124" s="9" t="n">
        <v>0</v>
      </c>
      <c r="I124" s="9"/>
      <c r="J124" s="205"/>
    </row>
    <row r="125" customFormat="false" ht="21.15" hidden="false" customHeight="true" outlineLevel="0" collapsed="false">
      <c r="A125" s="1" t="n">
        <v>31</v>
      </c>
      <c r="B125" s="34" t="n">
        <v>33086</v>
      </c>
      <c r="C125" s="1" t="n">
        <v>515200</v>
      </c>
      <c r="D125" s="9" t="s">
        <v>41</v>
      </c>
      <c r="E125" s="33" t="n">
        <f aca="false">IF(D125="totale",(C125/(A125*24))/F125,IF(D125="marché libre",(C125/(A125*24))/G125,"spécifier histo"))</f>
        <v>0.154225638815049</v>
      </c>
      <c r="F125" s="56" t="n">
        <v>4490</v>
      </c>
      <c r="G125" s="56" t="n">
        <v>4490</v>
      </c>
      <c r="H125" s="9" t="n">
        <v>0</v>
      </c>
      <c r="I125" s="9"/>
      <c r="J125" s="205"/>
    </row>
    <row r="126" customFormat="false" ht="21.15" hidden="false" customHeight="true" outlineLevel="0" collapsed="false">
      <c r="A126" s="1" t="n">
        <v>30</v>
      </c>
      <c r="B126" s="31" t="n">
        <v>33117</v>
      </c>
      <c r="C126" s="1" t="n">
        <v>380000</v>
      </c>
      <c r="D126" s="9" t="s">
        <v>41</v>
      </c>
      <c r="E126" s="33" t="n">
        <f aca="false">IF(D126="totale",(C126/(A126*24))/F126,IF(D126="marché libre",(C126/(A126*24))/G126,"spécifier histo"))</f>
        <v>0.117545162088592</v>
      </c>
      <c r="F126" s="56" t="n">
        <v>4490</v>
      </c>
      <c r="G126" s="56" t="n">
        <v>4490</v>
      </c>
      <c r="H126" s="9" t="n">
        <v>0</v>
      </c>
      <c r="I126" s="9"/>
      <c r="J126" s="205"/>
    </row>
    <row r="127" customFormat="false" ht="21.15" hidden="false" customHeight="true" outlineLevel="0" collapsed="false">
      <c r="A127" s="1" t="n">
        <v>31</v>
      </c>
      <c r="B127" s="34" t="n">
        <v>33147</v>
      </c>
      <c r="C127" s="1" t="n">
        <v>465600</v>
      </c>
      <c r="D127" s="9" t="s">
        <v>41</v>
      </c>
      <c r="E127" s="33" t="n">
        <f aca="false">IF(D127="totale",(C127/(A127*24))/F127,IF(D127="marché libre",(C127/(A127*24))/G127,"spécifier histo"))</f>
        <v>0.139377828867016</v>
      </c>
      <c r="F127" s="56" t="n">
        <v>4490</v>
      </c>
      <c r="G127" s="56" t="n">
        <v>4490</v>
      </c>
      <c r="H127" s="9" t="n">
        <v>0</v>
      </c>
      <c r="I127" s="9"/>
      <c r="J127" s="205"/>
    </row>
    <row r="128" customFormat="false" ht="21.15" hidden="false" customHeight="true" outlineLevel="0" collapsed="false">
      <c r="A128" s="1" t="n">
        <v>30</v>
      </c>
      <c r="B128" s="31" t="n">
        <v>33178</v>
      </c>
      <c r="C128" s="1" t="n">
        <v>804000</v>
      </c>
      <c r="D128" s="9" t="s">
        <v>41</v>
      </c>
      <c r="E128" s="33" t="n">
        <f aca="false">IF(D128="totale",(C128/(A128*24))/F128,IF(D128="marché libre",(C128/(A128*24))/G128,"spécifier histo"))</f>
        <v>0.248700816629547</v>
      </c>
      <c r="F128" s="56" t="n">
        <v>4490</v>
      </c>
      <c r="G128" s="56" t="n">
        <v>4490</v>
      </c>
      <c r="H128" s="9" t="n">
        <v>0</v>
      </c>
      <c r="I128" s="9"/>
      <c r="J128" s="205"/>
    </row>
    <row r="129" customFormat="false" ht="21.15" hidden="false" customHeight="true" outlineLevel="0" collapsed="false">
      <c r="A129" s="1" t="n">
        <v>31</v>
      </c>
      <c r="B129" s="34" t="n">
        <v>33208</v>
      </c>
      <c r="C129" s="1" t="n">
        <v>370400</v>
      </c>
      <c r="D129" s="9" t="s">
        <v>41</v>
      </c>
      <c r="E129" s="33" t="n">
        <f aca="false">IF(D129="totale",(C129/(A129*24))/F129,IF(D129="marché libre",(C129/(A129*24))/G129,"spécifier histo"))</f>
        <v>0.110879612999018</v>
      </c>
      <c r="F129" s="56" t="n">
        <v>4490</v>
      </c>
      <c r="G129" s="56" t="n">
        <v>4490</v>
      </c>
      <c r="H129" s="9" t="n">
        <v>0</v>
      </c>
      <c r="I129" s="9"/>
      <c r="J129" s="205"/>
    </row>
    <row r="130" customFormat="false" ht="21.15" hidden="false" customHeight="true" outlineLevel="0" collapsed="false">
      <c r="A130" s="1" t="n">
        <v>31</v>
      </c>
      <c r="B130" s="31" t="n">
        <v>33239</v>
      </c>
      <c r="C130" s="1" t="n">
        <v>435200</v>
      </c>
      <c r="D130" s="9" t="s">
        <v>41</v>
      </c>
      <c r="E130" s="33" t="n">
        <f aca="false">IF(D130="totale",(C130/(A130*24))/F130,IF(D130="marché libre",(C130/(A130*24))/G130,"spécifier histo"))</f>
        <v>0.130277558253706</v>
      </c>
      <c r="F130" s="56" t="n">
        <v>4490</v>
      </c>
      <c r="G130" s="56" t="n">
        <v>4490</v>
      </c>
      <c r="H130" s="9" t="n">
        <v>0</v>
      </c>
      <c r="I130" s="9"/>
      <c r="J130" s="205"/>
    </row>
    <row r="131" customFormat="false" ht="21.15" hidden="false" customHeight="true" outlineLevel="0" collapsed="false">
      <c r="A131" s="1" t="n">
        <v>28</v>
      </c>
      <c r="B131" s="34" t="n">
        <v>33270</v>
      </c>
      <c r="C131" s="1" t="n">
        <v>197600</v>
      </c>
      <c r="D131" s="9" t="s">
        <v>41</v>
      </c>
      <c r="E131" s="33" t="n">
        <f aca="false">IF(D131="totale",(C131/(A131*24))/F131,IF(D131="marché libre",(C131/(A131*24))/G131,"spécifier histo"))</f>
        <v>0.0654894474493584</v>
      </c>
      <c r="F131" s="56" t="n">
        <v>4490</v>
      </c>
      <c r="G131" s="56" t="n">
        <v>4490</v>
      </c>
      <c r="H131" s="9" t="n">
        <v>0</v>
      </c>
      <c r="I131" s="9"/>
      <c r="J131" s="205"/>
    </row>
    <row r="132" customFormat="false" ht="21.15" hidden="false" customHeight="true" outlineLevel="0" collapsed="false">
      <c r="A132" s="1" t="n">
        <v>31</v>
      </c>
      <c r="B132" s="31" t="n">
        <v>33298</v>
      </c>
      <c r="C132" s="1" t="n">
        <v>485800</v>
      </c>
      <c r="D132" s="9" t="s">
        <v>41</v>
      </c>
      <c r="E132" s="33" t="n">
        <f aca="false">IF(D132="totale",(C132/(A132*24))/F132,IF(D132="marché libre",(C132/(A132*24))/G132,"spécifier histo"))</f>
        <v>0.145424719208755</v>
      </c>
      <c r="F132" s="56" t="n">
        <v>4490</v>
      </c>
      <c r="G132" s="56" t="n">
        <v>4490</v>
      </c>
      <c r="H132" s="9" t="n">
        <v>0</v>
      </c>
      <c r="I132" s="9"/>
      <c r="J132" s="205"/>
    </row>
    <row r="133" customFormat="false" ht="21.15" hidden="false" customHeight="true" outlineLevel="0" collapsed="false">
      <c r="A133" s="1" t="n">
        <v>30</v>
      </c>
      <c r="B133" s="34" t="n">
        <v>33329</v>
      </c>
      <c r="C133" s="1" t="n">
        <v>422400</v>
      </c>
      <c r="D133" s="9" t="s">
        <v>41</v>
      </c>
      <c r="E133" s="33" t="n">
        <f aca="false">IF(D133="totale",(C133/(A133*24))/F133,IF(D133="marché libre",(C133/(A133*24))/G133,"spécifier histo"))</f>
        <v>0.130660727542687</v>
      </c>
      <c r="F133" s="56" t="n">
        <v>4490</v>
      </c>
      <c r="G133" s="56" t="n">
        <v>4490</v>
      </c>
      <c r="H133" s="9" t="n">
        <v>0</v>
      </c>
      <c r="I133" s="9"/>
      <c r="J133" s="205"/>
    </row>
    <row r="134" customFormat="false" ht="21.15" hidden="false" customHeight="true" outlineLevel="0" collapsed="false">
      <c r="A134" s="1" t="n">
        <v>31</v>
      </c>
      <c r="B134" s="31" t="n">
        <v>33359</v>
      </c>
      <c r="C134" s="1" t="n">
        <v>923200</v>
      </c>
      <c r="D134" s="9" t="s">
        <v>41</v>
      </c>
      <c r="E134" s="33" t="n">
        <f aca="false">IF(D134="totale",(C134/(A134*24))/F134,IF(D134="marché libre",(C134/(A134*24))/G134,"spécifier histo"))</f>
        <v>0.276360849677898</v>
      </c>
      <c r="F134" s="56" t="n">
        <v>4490</v>
      </c>
      <c r="G134" s="56" t="n">
        <v>4490</v>
      </c>
      <c r="H134" s="9" t="n">
        <v>0</v>
      </c>
      <c r="I134" s="9"/>
      <c r="J134" s="205"/>
    </row>
    <row r="135" customFormat="false" ht="21.15" hidden="false" customHeight="true" outlineLevel="0" collapsed="false">
      <c r="A135" s="1" t="n">
        <v>30</v>
      </c>
      <c r="B135" s="34" t="n">
        <v>33390</v>
      </c>
      <c r="C135" s="1" t="n">
        <v>1786000</v>
      </c>
      <c r="D135" s="9" t="s">
        <v>41</v>
      </c>
      <c r="E135" s="33" t="n">
        <f aca="false">IF(D135="totale",(C135/(A135*24))/F135,IF(D135="marché libre",(C135/(A135*24))/G135,"spécifier histo"))</f>
        <v>0.552462261816382</v>
      </c>
      <c r="F135" s="56" t="n">
        <v>4490</v>
      </c>
      <c r="G135" s="56" t="n">
        <v>4490</v>
      </c>
      <c r="H135" s="9" t="n">
        <v>0</v>
      </c>
      <c r="I135" s="9"/>
      <c r="J135" s="205"/>
    </row>
    <row r="136" customFormat="false" ht="21.15" hidden="false" customHeight="true" outlineLevel="0" collapsed="false">
      <c r="A136" s="1" t="n">
        <v>31</v>
      </c>
      <c r="B136" s="31" t="n">
        <v>33420</v>
      </c>
      <c r="C136" s="1" t="n">
        <v>1319600</v>
      </c>
      <c r="D136" s="9" t="s">
        <v>41</v>
      </c>
      <c r="E136" s="33" t="n">
        <f aca="false">IF(D136="totale",(C136/(A136*24))/F136,IF(D136="marché libre",(C136/(A136*24))/G136,"spécifier histo"))</f>
        <v>0.395023588859353</v>
      </c>
      <c r="F136" s="56" t="n">
        <v>4490</v>
      </c>
      <c r="G136" s="56" t="n">
        <v>4490</v>
      </c>
      <c r="H136" s="9" t="n">
        <v>0</v>
      </c>
      <c r="I136" s="9"/>
      <c r="J136" s="205"/>
    </row>
    <row r="137" customFormat="false" ht="21.15" hidden="false" customHeight="true" outlineLevel="0" collapsed="false">
      <c r="A137" s="1" t="n">
        <v>31</v>
      </c>
      <c r="B137" s="34" t="n">
        <v>33451</v>
      </c>
      <c r="C137" s="1" t="n">
        <v>642800</v>
      </c>
      <c r="D137" s="9" t="s">
        <v>41</v>
      </c>
      <c r="E137" s="33" t="n">
        <f aca="false">IF(D137="totale",(C137/(A137*24))/F137,IF(D137="marché libre",(C137/(A137*24))/G137,"spécifier histo"))</f>
        <v>0.192422827310391</v>
      </c>
      <c r="F137" s="56" t="n">
        <v>4490</v>
      </c>
      <c r="G137" s="56" t="n">
        <v>4490</v>
      </c>
      <c r="H137" s="9" t="n">
        <v>0</v>
      </c>
      <c r="I137" s="9"/>
      <c r="J137" s="205"/>
    </row>
    <row r="138" customFormat="false" ht="21.15" hidden="false" customHeight="true" outlineLevel="0" collapsed="false">
      <c r="A138" s="1" t="n">
        <v>30</v>
      </c>
      <c r="B138" s="31" t="n">
        <v>33482</v>
      </c>
      <c r="C138" s="1" t="n">
        <v>490800</v>
      </c>
      <c r="D138" s="9" t="s">
        <v>41</v>
      </c>
      <c r="E138" s="33" t="n">
        <f aca="false">IF(D138="totale",(C138/(A138*24))/F138,IF(D138="marché libre",(C138/(A138*24))/G138,"spécifier histo"))</f>
        <v>0.151818856718634</v>
      </c>
      <c r="F138" s="56" t="n">
        <v>4490</v>
      </c>
      <c r="G138" s="56" t="n">
        <v>4490</v>
      </c>
      <c r="H138" s="9" t="n">
        <v>0</v>
      </c>
      <c r="I138" s="9"/>
      <c r="J138" s="205"/>
    </row>
    <row r="139" customFormat="false" ht="21.15" hidden="false" customHeight="true" outlineLevel="0" collapsed="false">
      <c r="A139" s="1" t="n">
        <v>31</v>
      </c>
      <c r="B139" s="34" t="n">
        <v>33512</v>
      </c>
      <c r="C139" s="1" t="n">
        <v>686800</v>
      </c>
      <c r="D139" s="9" t="s">
        <v>41</v>
      </c>
      <c r="E139" s="33" t="n">
        <f aca="false">IF(D139="totale",(C139/(A139*24))/F139,IF(D139="marché libre",(C139/(A139*24))/G139,"spécifier histo"))</f>
        <v>0.20559427161913</v>
      </c>
      <c r="F139" s="56" t="n">
        <v>4490</v>
      </c>
      <c r="G139" s="56" t="n">
        <v>4490</v>
      </c>
      <c r="H139" s="9" t="n">
        <v>0</v>
      </c>
      <c r="I139" s="9"/>
      <c r="J139" s="205"/>
    </row>
    <row r="140" customFormat="false" ht="21.15" hidden="false" customHeight="true" outlineLevel="0" collapsed="false">
      <c r="A140" s="1" t="n">
        <v>30</v>
      </c>
      <c r="B140" s="31" t="n">
        <v>33543</v>
      </c>
      <c r="C140" s="1" t="n">
        <v>608400</v>
      </c>
      <c r="D140" s="9" t="s">
        <v>41</v>
      </c>
      <c r="E140" s="33" t="n">
        <f aca="false">IF(D140="totale",(C140/(A140*24))/F140,IF(D140="marché libre",(C140/(A140*24))/G140,"spécifier histo"))</f>
        <v>0.188195991091314</v>
      </c>
      <c r="F140" s="56" t="n">
        <v>4490</v>
      </c>
      <c r="G140" s="56" t="n">
        <v>4490</v>
      </c>
      <c r="H140" s="9" t="n">
        <v>0</v>
      </c>
      <c r="I140" s="9"/>
      <c r="J140" s="205"/>
    </row>
    <row r="141" customFormat="false" ht="21.15" hidden="false" customHeight="true" outlineLevel="0" collapsed="false">
      <c r="A141" s="1" t="n">
        <v>31</v>
      </c>
      <c r="B141" s="34" t="n">
        <v>33573</v>
      </c>
      <c r="C141" s="1" t="n">
        <v>336400</v>
      </c>
      <c r="D141" s="9" t="s">
        <v>41</v>
      </c>
      <c r="E141" s="33" t="n">
        <f aca="false">IF(D141="totale",(C141/(A141*24))/F141,IF(D141="marché libre",(C141/(A141*24))/G141,"spécifier histo"))</f>
        <v>0.100701678760447</v>
      </c>
      <c r="F141" s="56" t="n">
        <v>4490</v>
      </c>
      <c r="G141" s="56" t="n">
        <v>4490</v>
      </c>
      <c r="H141" s="9" t="n">
        <v>0</v>
      </c>
      <c r="I141" s="9"/>
      <c r="J141" s="205"/>
    </row>
    <row r="142" customFormat="false" ht="21.15" hidden="false" customHeight="true" outlineLevel="0" collapsed="false">
      <c r="A142" s="1" t="n">
        <v>31</v>
      </c>
      <c r="B142" s="31" t="n">
        <v>33604</v>
      </c>
      <c r="C142" s="1" t="n">
        <v>221600</v>
      </c>
      <c r="D142" s="9" t="s">
        <v>41</v>
      </c>
      <c r="E142" s="33" t="n">
        <f aca="false">IF(D142="totale",(C142/(A142*24))/F142,IF(D142="marché libre",(C142/(A142*24))/G142,"spécifier histo"))</f>
        <v>0.0663361831549201</v>
      </c>
      <c r="F142" s="56" t="n">
        <v>4490</v>
      </c>
      <c r="G142" s="56" t="n">
        <v>4490</v>
      </c>
      <c r="H142" s="9" t="n">
        <v>0</v>
      </c>
      <c r="I142" s="9"/>
      <c r="J142" s="205"/>
    </row>
    <row r="143" customFormat="false" ht="21.15" hidden="false" customHeight="true" outlineLevel="0" collapsed="false">
      <c r="A143" s="1" t="n">
        <v>28</v>
      </c>
      <c r="B143" s="34" t="n">
        <v>33635</v>
      </c>
      <c r="C143" s="1" t="n">
        <v>188800</v>
      </c>
      <c r="D143" s="9" t="s">
        <v>41</v>
      </c>
      <c r="E143" s="33" t="n">
        <f aca="false">IF(D143="totale",(C143/(A143*24))/F143,IF(D143="marché libre",(C143/(A143*24))/G143,"spécifier histo"))</f>
        <v>0.0625729133524234</v>
      </c>
      <c r="F143" s="56" t="n">
        <v>4490</v>
      </c>
      <c r="G143" s="56" t="n">
        <v>4490</v>
      </c>
      <c r="H143" s="9" t="n">
        <v>0</v>
      </c>
      <c r="I143" s="9"/>
      <c r="J143" s="205"/>
    </row>
    <row r="144" customFormat="false" ht="21.15" hidden="false" customHeight="true" outlineLevel="0" collapsed="false">
      <c r="A144" s="1" t="n">
        <v>31</v>
      </c>
      <c r="B144" s="31" t="n">
        <v>33664</v>
      </c>
      <c r="C144" s="1" t="n">
        <v>325200</v>
      </c>
      <c r="D144" s="9" t="s">
        <v>41</v>
      </c>
      <c r="E144" s="33" t="n">
        <f aca="false">IF(D144="totale",(C144/(A144*24))/F144,IF(D144="marché libre",(C144/(A144*24))/G144,"spécifier histo"))</f>
        <v>0.0973489474818593</v>
      </c>
      <c r="F144" s="56" t="n">
        <v>4490</v>
      </c>
      <c r="G144" s="56" t="n">
        <v>4490</v>
      </c>
      <c r="H144" s="9" t="n">
        <v>0</v>
      </c>
      <c r="I144" s="9"/>
      <c r="J144" s="205"/>
    </row>
    <row r="145" customFormat="false" ht="21.15" hidden="false" customHeight="true" outlineLevel="0" collapsed="false">
      <c r="A145" s="1" t="n">
        <v>30</v>
      </c>
      <c r="B145" s="34" t="n">
        <v>33695</v>
      </c>
      <c r="C145" s="1" t="n">
        <v>732400</v>
      </c>
      <c r="D145" s="9" t="s">
        <v>41</v>
      </c>
      <c r="E145" s="33" t="n">
        <f aca="false">IF(D145="totale",(C145/(A145*24))/F145,IF(D145="marché libre",(C145/(A145*24))/G145,"spécifier histo"))</f>
        <v>0.226552833457065</v>
      </c>
      <c r="F145" s="56" t="n">
        <v>4490</v>
      </c>
      <c r="G145" s="56" t="n">
        <v>4490</v>
      </c>
      <c r="H145" s="9" t="n">
        <v>0</v>
      </c>
      <c r="I145" s="9"/>
      <c r="J145" s="205"/>
    </row>
    <row r="146" customFormat="false" ht="21.15" hidden="false" customHeight="true" outlineLevel="0" collapsed="false">
      <c r="A146" s="1" t="n">
        <v>31</v>
      </c>
      <c r="B146" s="31" t="n">
        <v>33725</v>
      </c>
      <c r="C146" s="1" t="n">
        <v>1407200</v>
      </c>
      <c r="D146" s="9" t="s">
        <v>41</v>
      </c>
      <c r="E146" s="33" t="n">
        <f aca="false">IF(D146="totale",(C146/(A146*24))/F146,IF(D146="marché libre",(C146/(A146*24))/G146,"spécifier histo"))</f>
        <v>0.421246737074024</v>
      </c>
      <c r="F146" s="56" t="n">
        <v>4490</v>
      </c>
      <c r="G146" s="56" t="n">
        <v>4490</v>
      </c>
      <c r="H146" s="9" t="n">
        <v>0</v>
      </c>
      <c r="I146" s="9"/>
      <c r="J146" s="205"/>
    </row>
    <row r="147" customFormat="false" ht="21.15" hidden="false" customHeight="true" outlineLevel="0" collapsed="false">
      <c r="A147" s="1" t="n">
        <v>30</v>
      </c>
      <c r="B147" s="34" t="n">
        <v>33756</v>
      </c>
      <c r="C147" s="1" t="n">
        <v>1550000</v>
      </c>
      <c r="D147" s="9" t="s">
        <v>41</v>
      </c>
      <c r="E147" s="33" t="n">
        <f aca="false">IF(D147="totale",(C147/(A147*24))/F147,IF(D147="marché libre",(C147/(A147*24))/G147,"spécifier histo"))</f>
        <v>0.479460529571888</v>
      </c>
      <c r="F147" s="56" t="n">
        <v>4490</v>
      </c>
      <c r="G147" s="56" t="n">
        <v>4490</v>
      </c>
      <c r="H147" s="9" t="n">
        <v>0</v>
      </c>
      <c r="I147" s="9"/>
      <c r="J147" s="205"/>
    </row>
    <row r="148" customFormat="false" ht="21.15" hidden="false" customHeight="true" outlineLevel="0" collapsed="false">
      <c r="A148" s="1" t="n">
        <v>31</v>
      </c>
      <c r="B148" s="31" t="n">
        <v>33786</v>
      </c>
      <c r="C148" s="1" t="n">
        <v>1438200</v>
      </c>
      <c r="D148" s="9" t="s">
        <v>41</v>
      </c>
      <c r="E148" s="33" t="n">
        <f aca="false">IF(D148="totale",(C148/(A148*24))/F148,IF(D148="marché libre",(C148/(A148*24))/G148,"spécifier histo"))</f>
        <v>0.430526618291544</v>
      </c>
      <c r="F148" s="56" t="n">
        <v>4490</v>
      </c>
      <c r="G148" s="56" t="n">
        <v>4490</v>
      </c>
      <c r="H148" s="9" t="n">
        <v>0</v>
      </c>
      <c r="I148" s="9"/>
      <c r="J148" s="205"/>
    </row>
    <row r="149" customFormat="false" ht="21.15" hidden="false" customHeight="true" outlineLevel="0" collapsed="false">
      <c r="A149" s="1" t="n">
        <v>31</v>
      </c>
      <c r="B149" s="34" t="n">
        <v>33817</v>
      </c>
      <c r="C149" s="1" t="n">
        <v>598000</v>
      </c>
      <c r="D149" s="9" t="s">
        <v>41</v>
      </c>
      <c r="E149" s="33" t="n">
        <f aca="false">IF(D149="totale",(C149/(A149*24))/F149,IF(D149="marché libre",(C149/(A149*24))/G149,"spécifier histo"))</f>
        <v>0.179011902196039</v>
      </c>
      <c r="F149" s="56" t="n">
        <v>4490</v>
      </c>
      <c r="G149" s="56" t="n">
        <v>4490</v>
      </c>
      <c r="H149" s="9" t="n">
        <v>0</v>
      </c>
      <c r="I149" s="9"/>
      <c r="J149" s="205"/>
    </row>
    <row r="150" customFormat="false" ht="21.15" hidden="false" customHeight="true" outlineLevel="0" collapsed="false">
      <c r="A150" s="1" t="n">
        <v>30</v>
      </c>
      <c r="B150" s="31" t="n">
        <v>33848</v>
      </c>
      <c r="C150" s="1" t="n">
        <v>569600</v>
      </c>
      <c r="D150" s="9" t="s">
        <v>41</v>
      </c>
      <c r="E150" s="33" t="n">
        <f aca="false">IF(D150="totale",(C150/(A150*24))/F150,IF(D150="marché libre",(C150/(A150*24))/G150,"spécifier histo"))</f>
        <v>0.176194011383321</v>
      </c>
      <c r="F150" s="56" t="n">
        <v>4490</v>
      </c>
      <c r="G150" s="56" t="n">
        <v>4490</v>
      </c>
      <c r="H150" s="9" t="n">
        <v>0</v>
      </c>
      <c r="I150" s="9"/>
      <c r="J150" s="205"/>
    </row>
    <row r="151" customFormat="false" ht="21.15" hidden="false" customHeight="true" outlineLevel="0" collapsed="false">
      <c r="A151" s="1" t="n">
        <v>31</v>
      </c>
      <c r="B151" s="34" t="n">
        <v>33878</v>
      </c>
      <c r="C151" s="1" t="n">
        <v>820800</v>
      </c>
      <c r="D151" s="9" t="s">
        <v>41</v>
      </c>
      <c r="E151" s="33" t="n">
        <f aca="false">IF(D151="totale",(C151/(A151*24))/F151,IF(D151="marché libre",(C151/(A151*24))/G151,"spécifier histo"))</f>
        <v>0.245707306559379</v>
      </c>
      <c r="F151" s="56" t="n">
        <v>4490</v>
      </c>
      <c r="G151" s="56" t="n">
        <v>4490</v>
      </c>
      <c r="H151" s="9" t="n">
        <v>0</v>
      </c>
      <c r="I151" s="9"/>
      <c r="J151" s="205"/>
    </row>
    <row r="152" customFormat="false" ht="21.15" hidden="false" customHeight="true" outlineLevel="0" collapsed="false">
      <c r="A152" s="1" t="n">
        <v>30</v>
      </c>
      <c r="B152" s="31" t="n">
        <v>33909</v>
      </c>
      <c r="C152" s="1" t="n">
        <v>1147200</v>
      </c>
      <c r="D152" s="9" t="s">
        <v>41</v>
      </c>
      <c r="E152" s="33" t="n">
        <f aca="false">IF(D152="totale",(C152/(A152*24))/F152,IF(D152="marché libre",(C152/(A152*24))/G152,"spécifier histo"))</f>
        <v>0.354862657757981</v>
      </c>
      <c r="F152" s="56" t="n">
        <v>4490</v>
      </c>
      <c r="G152" s="56" t="n">
        <v>4490</v>
      </c>
      <c r="H152" s="9" t="n">
        <v>0</v>
      </c>
      <c r="I152" s="9"/>
      <c r="J152" s="205"/>
    </row>
    <row r="153" customFormat="false" ht="21.15" hidden="false" customHeight="true" outlineLevel="0" collapsed="false">
      <c r="A153" s="1" t="n">
        <v>31</v>
      </c>
      <c r="B153" s="34" t="n">
        <v>33939</v>
      </c>
      <c r="C153" s="1" t="n">
        <v>727200</v>
      </c>
      <c r="D153" s="9" t="s">
        <v>41</v>
      </c>
      <c r="E153" s="33" t="n">
        <f aca="false">IF(D153="totale",(C153/(A153*24))/F153,IF(D153="marché libre",(C153/(A153*24))/G153,"spécifier histo"))</f>
        <v>0.217688052302608</v>
      </c>
      <c r="F153" s="56" t="n">
        <v>4490</v>
      </c>
      <c r="G153" s="56" t="n">
        <v>4490</v>
      </c>
      <c r="H153" s="9" t="n">
        <v>0</v>
      </c>
      <c r="I153" s="9"/>
      <c r="J153" s="205"/>
    </row>
    <row r="154" customFormat="false" ht="21.15" hidden="false" customHeight="true" outlineLevel="0" collapsed="false">
      <c r="A154" s="1" t="n">
        <v>31</v>
      </c>
      <c r="B154" s="31" t="n">
        <v>33970</v>
      </c>
      <c r="C154" s="1" t="n">
        <v>496400</v>
      </c>
      <c r="D154" s="9" t="s">
        <v>41</v>
      </c>
      <c r="E154" s="33" t="n">
        <f aca="false">IF(D154="totale",(C154/(A154*24))/F154,IF(D154="marché libre",(C154/(A154*24))/G154,"spécifier histo"))</f>
        <v>0.148597839883133</v>
      </c>
      <c r="F154" s="56" t="n">
        <v>4490</v>
      </c>
      <c r="G154" s="56" t="n">
        <v>4490</v>
      </c>
      <c r="H154" s="9" t="n">
        <v>0</v>
      </c>
      <c r="I154" s="9"/>
      <c r="J154" s="205"/>
    </row>
    <row r="155" customFormat="false" ht="21.15" hidden="false" customHeight="true" outlineLevel="0" collapsed="false">
      <c r="A155" s="1" t="n">
        <v>28</v>
      </c>
      <c r="B155" s="34" t="n">
        <v>34001</v>
      </c>
      <c r="C155" s="1" t="n">
        <v>328400</v>
      </c>
      <c r="D155" s="9" t="s">
        <v>41</v>
      </c>
      <c r="E155" s="33" t="n">
        <f aca="false">IF(D155="totale",(C155/(A155*24))/F155,IF(D155="marché libre",(C155/(A155*24))/G155,"spécifier histo"))</f>
        <v>0.108839749708347</v>
      </c>
      <c r="F155" s="56" t="n">
        <v>4490</v>
      </c>
      <c r="G155" s="56" t="n">
        <v>4490</v>
      </c>
      <c r="H155" s="9" t="n">
        <v>0</v>
      </c>
      <c r="I155" s="9"/>
      <c r="J155" s="205"/>
    </row>
    <row r="156" customFormat="false" ht="21.15" hidden="false" customHeight="true" outlineLevel="0" collapsed="false">
      <c r="A156" s="1" t="n">
        <v>31</v>
      </c>
      <c r="B156" s="31" t="n">
        <v>34029</v>
      </c>
      <c r="C156" s="1" t="n">
        <v>336000</v>
      </c>
      <c r="D156" s="9" t="s">
        <v>41</v>
      </c>
      <c r="E156" s="33" t="n">
        <f aca="false">IF(D156="totale",(C156/(A156*24))/F156,IF(D156="marché libre",(C156/(A156*24))/G156,"spécifier histo"))</f>
        <v>0.100581938357641</v>
      </c>
      <c r="F156" s="56" t="n">
        <v>4490</v>
      </c>
      <c r="G156" s="56" t="n">
        <v>4490</v>
      </c>
      <c r="H156" s="9" t="n">
        <v>0</v>
      </c>
      <c r="I156" s="9"/>
      <c r="J156" s="205"/>
    </row>
    <row r="157" customFormat="false" ht="21.15" hidden="false" customHeight="true" outlineLevel="0" collapsed="false">
      <c r="A157" s="1" t="n">
        <v>30</v>
      </c>
      <c r="B157" s="34" t="n">
        <v>34060</v>
      </c>
      <c r="C157" s="1" t="n">
        <v>678800</v>
      </c>
      <c r="D157" s="9" t="s">
        <v>41</v>
      </c>
      <c r="E157" s="33" t="n">
        <f aca="false">IF(D157="totale",(C157/(A157*24))/F157,IF(D157="marché libre",(C157/(A157*24))/G157,"spécifier histo"))</f>
        <v>0.209972779015095</v>
      </c>
      <c r="F157" s="56" t="n">
        <v>4490</v>
      </c>
      <c r="G157" s="56" t="n">
        <v>4490</v>
      </c>
      <c r="H157" s="9" t="n">
        <v>0</v>
      </c>
      <c r="I157" s="9"/>
      <c r="J157" s="205"/>
    </row>
    <row r="158" customFormat="false" ht="21.15" hidden="false" customHeight="true" outlineLevel="0" collapsed="false">
      <c r="A158" s="1" t="n">
        <v>31</v>
      </c>
      <c r="B158" s="31" t="n">
        <v>34090</v>
      </c>
      <c r="C158" s="1" t="n">
        <v>965200</v>
      </c>
      <c r="D158" s="9" t="s">
        <v>41</v>
      </c>
      <c r="E158" s="33" t="n">
        <f aca="false">IF(D158="totale",(C158/(A158*24))/F158,IF(D158="marché libre",(C158/(A158*24))/G158,"spécifier histo"))</f>
        <v>0.288933591972603</v>
      </c>
      <c r="F158" s="56" t="n">
        <v>4490</v>
      </c>
      <c r="G158" s="56" t="n">
        <v>4490</v>
      </c>
      <c r="H158" s="9" t="n">
        <v>0</v>
      </c>
      <c r="I158" s="9"/>
      <c r="J158" s="205"/>
    </row>
    <row r="159" customFormat="false" ht="21.15" hidden="false" customHeight="true" outlineLevel="0" collapsed="false">
      <c r="A159" s="1" t="n">
        <v>30</v>
      </c>
      <c r="B159" s="34" t="n">
        <v>34121</v>
      </c>
      <c r="C159" s="1" t="n">
        <v>1537200</v>
      </c>
      <c r="D159" s="9" t="s">
        <v>41</v>
      </c>
      <c r="E159" s="33" t="n">
        <f aca="false">IF(D159="totale",(C159/(A159*24))/F159,IF(D159="marché libre",(C159/(A159*24))/G159,"spécifier histo"))</f>
        <v>0.475501113585746</v>
      </c>
      <c r="F159" s="56" t="n">
        <v>4490</v>
      </c>
      <c r="G159" s="56" t="n">
        <v>4490</v>
      </c>
      <c r="H159" s="9" t="n">
        <v>0</v>
      </c>
      <c r="I159" s="9"/>
      <c r="J159" s="205"/>
    </row>
    <row r="160" customFormat="false" ht="21.15" hidden="false" customHeight="true" outlineLevel="0" collapsed="false">
      <c r="A160" s="1" t="n">
        <v>31</v>
      </c>
      <c r="B160" s="31" t="n">
        <v>34151</v>
      </c>
      <c r="C160" s="1" t="n">
        <v>1405200</v>
      </c>
      <c r="D160" s="9" t="s">
        <v>41</v>
      </c>
      <c r="E160" s="33" t="n">
        <f aca="false">IF(D160="totale",(C160/(A160*24))/F160,IF(D160="marché libre",(C160/(A160*24))/G160,"spécifier histo"))</f>
        <v>0.42064803505999</v>
      </c>
      <c r="F160" s="56" t="n">
        <v>4490</v>
      </c>
      <c r="G160" s="56" t="n">
        <v>4490</v>
      </c>
      <c r="H160" s="9" t="n">
        <v>0</v>
      </c>
      <c r="I160" s="9"/>
      <c r="J160" s="205"/>
    </row>
    <row r="161" customFormat="false" ht="21.15" hidden="false" customHeight="true" outlineLevel="0" collapsed="false">
      <c r="A161" s="1" t="n">
        <v>31</v>
      </c>
      <c r="B161" s="34" t="n">
        <v>34182</v>
      </c>
      <c r="C161" s="1" t="n">
        <v>739800</v>
      </c>
      <c r="D161" s="9" t="s">
        <v>41</v>
      </c>
      <c r="E161" s="33" t="n">
        <f aca="false">IF(D161="totale",(C161/(A161*24))/F161,IF(D161="marché libre",(C161/(A161*24))/G161,"spécifier histo"))</f>
        <v>0.221459874991019</v>
      </c>
      <c r="F161" s="56" t="n">
        <v>4490</v>
      </c>
      <c r="G161" s="56" t="n">
        <v>4490</v>
      </c>
      <c r="H161" s="9" t="n">
        <v>0</v>
      </c>
      <c r="I161" s="9"/>
      <c r="J161" s="205"/>
    </row>
    <row r="162" customFormat="false" ht="21.15" hidden="false" customHeight="true" outlineLevel="0" collapsed="false">
      <c r="A162" s="1" t="n">
        <v>30</v>
      </c>
      <c r="B162" s="31" t="n">
        <v>34213</v>
      </c>
      <c r="C162" s="1" t="n">
        <v>615200</v>
      </c>
      <c r="D162" s="9" t="s">
        <v>41</v>
      </c>
      <c r="E162" s="33" t="n">
        <f aca="false">IF(D162="totale",(C162/(A162*24))/F162,IF(D162="marché libre",(C162/(A162*24))/G162,"spécifier histo"))</f>
        <v>0.190299430833952</v>
      </c>
      <c r="F162" s="56" t="n">
        <v>4490</v>
      </c>
      <c r="G162" s="56" t="n">
        <v>4490</v>
      </c>
      <c r="H162" s="9" t="n">
        <v>0</v>
      </c>
      <c r="I162" s="9"/>
      <c r="J162" s="205"/>
    </row>
    <row r="163" customFormat="false" ht="21.15" hidden="false" customHeight="true" outlineLevel="0" collapsed="false">
      <c r="A163" s="1" t="n">
        <v>31</v>
      </c>
      <c r="B163" s="34" t="n">
        <v>34243</v>
      </c>
      <c r="C163" s="1" t="n">
        <v>977200</v>
      </c>
      <c r="D163" s="9" t="s">
        <v>41</v>
      </c>
      <c r="E163" s="33" t="n">
        <f aca="false">IF(D163="totale",(C163/(A163*24))/F163,IF(D163="marché libre",(C163/(A163*24))/G163,"spécifier histo"))</f>
        <v>0.292525804056805</v>
      </c>
      <c r="F163" s="56" t="n">
        <v>4490</v>
      </c>
      <c r="G163" s="56" t="n">
        <v>4490</v>
      </c>
      <c r="H163" s="9" t="n">
        <v>0</v>
      </c>
      <c r="I163" s="9"/>
      <c r="J163" s="205"/>
    </row>
    <row r="164" customFormat="false" ht="21.15" hidden="false" customHeight="true" outlineLevel="0" collapsed="false">
      <c r="A164" s="1" t="n">
        <v>30</v>
      </c>
      <c r="B164" s="31" t="n">
        <v>34274</v>
      </c>
      <c r="C164" s="1" t="n">
        <v>512000</v>
      </c>
      <c r="D164" s="9" t="s">
        <v>41</v>
      </c>
      <c r="E164" s="33" t="n">
        <f aca="false">IF(D164="totale",(C164/(A164*24))/F164,IF(D164="marché libre",(C164/(A164*24))/G164,"spécifier histo"))</f>
        <v>0.158376639445682</v>
      </c>
      <c r="F164" s="56" t="n">
        <v>4490</v>
      </c>
      <c r="G164" s="56" t="n">
        <v>4490</v>
      </c>
      <c r="H164" s="9" t="n">
        <v>0</v>
      </c>
      <c r="I164" s="9"/>
      <c r="J164" s="205"/>
    </row>
    <row r="165" customFormat="false" ht="21.15" hidden="false" customHeight="true" outlineLevel="0" collapsed="false">
      <c r="A165" s="1" t="n">
        <v>31</v>
      </c>
      <c r="B165" s="34" t="n">
        <v>34304</v>
      </c>
      <c r="C165" s="1" t="n">
        <v>598000</v>
      </c>
      <c r="D165" s="9" t="s">
        <v>41</v>
      </c>
      <c r="E165" s="33" t="n">
        <f aca="false">IF(D165="totale",(C165/(A165*24))/F165,IF(D165="marché libre",(C165/(A165*24))/G165,"spécifier histo"))</f>
        <v>0.179011902196039</v>
      </c>
      <c r="F165" s="56" t="n">
        <v>4490</v>
      </c>
      <c r="G165" s="56" t="n">
        <v>4490</v>
      </c>
      <c r="H165" s="9" t="n">
        <v>0</v>
      </c>
      <c r="I165" s="9"/>
      <c r="J165" s="205"/>
    </row>
    <row r="166" customFormat="false" ht="21.15" hidden="false" customHeight="true" outlineLevel="0" collapsed="false">
      <c r="A166" s="1" t="n">
        <v>31</v>
      </c>
      <c r="B166" s="31" t="n">
        <v>34335</v>
      </c>
      <c r="C166" s="1" t="n">
        <v>466800</v>
      </c>
      <c r="D166" s="9" t="s">
        <v>41</v>
      </c>
      <c r="E166" s="33" t="n">
        <f aca="false">IF(D166="totale",(C166/(A166*24))/F166,IF(D166="marché libre",(C166/(A166*24))/G166,"spécifier histo"))</f>
        <v>0.139737050075436</v>
      </c>
      <c r="F166" s="56" t="n">
        <v>4490</v>
      </c>
      <c r="G166" s="56" t="n">
        <v>4490</v>
      </c>
      <c r="H166" s="9" t="n">
        <v>0</v>
      </c>
      <c r="I166" s="9"/>
      <c r="J166" s="205"/>
    </row>
    <row r="167" customFormat="false" ht="21.15" hidden="false" customHeight="true" outlineLevel="0" collapsed="false">
      <c r="A167" s="1" t="n">
        <v>28</v>
      </c>
      <c r="B167" s="34" t="n">
        <v>34366</v>
      </c>
      <c r="C167" s="1" t="n">
        <v>243200</v>
      </c>
      <c r="D167" s="9" t="s">
        <v>41</v>
      </c>
      <c r="E167" s="33" t="n">
        <f aca="false">IF(D167="totale",(C167/(A167*24))/F167,IF(D167="marché libre",(C167/(A167*24))/G167,"spécifier histo"))</f>
        <v>0.0806023968607488</v>
      </c>
      <c r="F167" s="56" t="n">
        <v>4490</v>
      </c>
      <c r="G167" s="56" t="n">
        <v>4490</v>
      </c>
      <c r="H167" s="9" t="n">
        <v>0</v>
      </c>
      <c r="I167" s="9"/>
      <c r="J167" s="205"/>
    </row>
    <row r="168" customFormat="false" ht="21.15" hidden="false" customHeight="true" outlineLevel="0" collapsed="false">
      <c r="A168" s="1" t="n">
        <v>31</v>
      </c>
      <c r="B168" s="31" t="n">
        <v>34394</v>
      </c>
      <c r="C168" s="1" t="n">
        <v>612400</v>
      </c>
      <c r="D168" s="9" t="s">
        <v>41</v>
      </c>
      <c r="E168" s="33" t="n">
        <f aca="false">IF(D168="totale",(C168/(A168*24))/F168,IF(D168="marché libre",(C168/(A168*24))/G168,"spécifier histo"))</f>
        <v>0.183322556697081</v>
      </c>
      <c r="F168" s="56" t="n">
        <v>4490</v>
      </c>
      <c r="G168" s="56" t="n">
        <v>4490</v>
      </c>
      <c r="H168" s="9" t="n">
        <v>0</v>
      </c>
      <c r="I168" s="9"/>
      <c r="J168" s="205"/>
    </row>
    <row r="169" customFormat="false" ht="21.15" hidden="false" customHeight="true" outlineLevel="0" collapsed="false">
      <c r="A169" s="1" t="n">
        <v>30</v>
      </c>
      <c r="B169" s="34" t="n">
        <v>34425</v>
      </c>
      <c r="C169" s="1" t="n">
        <v>638400</v>
      </c>
      <c r="D169" s="9" t="s">
        <v>41</v>
      </c>
      <c r="E169" s="33" t="n">
        <f aca="false">IF(D169="totale",(C169/(A169*24))/F169,IF(D169="marché libre",(C169/(A169*24))/G169,"spécifier histo"))</f>
        <v>0.197475872308834</v>
      </c>
      <c r="F169" s="56" t="n">
        <v>4490</v>
      </c>
      <c r="G169" s="56" t="n">
        <v>4490</v>
      </c>
      <c r="H169" s="9" t="n">
        <v>0</v>
      </c>
      <c r="I169" s="9"/>
      <c r="J169" s="205"/>
    </row>
    <row r="170" customFormat="false" ht="21.15" hidden="false" customHeight="true" outlineLevel="0" collapsed="false">
      <c r="A170" s="1" t="n">
        <v>31</v>
      </c>
      <c r="B170" s="31" t="n">
        <v>34455</v>
      </c>
      <c r="C170" s="1" t="n">
        <v>1692800</v>
      </c>
      <c r="D170" s="9" t="s">
        <v>41</v>
      </c>
      <c r="E170" s="33" t="n">
        <f aca="false">IF(D170="totale",(C170/(A170*24))/F170,IF(D170="marché libre",(C170/(A170*24))/G170,"spécifier histo"))</f>
        <v>0.506741384678018</v>
      </c>
      <c r="F170" s="56" t="n">
        <v>4490</v>
      </c>
      <c r="G170" s="56" t="n">
        <v>4490</v>
      </c>
      <c r="H170" s="9" t="n">
        <v>0</v>
      </c>
      <c r="I170" s="9"/>
      <c r="J170" s="205"/>
    </row>
    <row r="171" customFormat="false" ht="21.15" hidden="false" customHeight="true" outlineLevel="0" collapsed="false">
      <c r="A171" s="1" t="n">
        <v>30</v>
      </c>
      <c r="B171" s="34" t="n">
        <v>34486</v>
      </c>
      <c r="C171" s="1" t="n">
        <v>1680400</v>
      </c>
      <c r="D171" s="9" t="s">
        <v>41</v>
      </c>
      <c r="E171" s="33" t="n">
        <f aca="false">IF(D171="totale",(C171/(A171*24))/F171,IF(D171="marché libre",(C171/(A171*24))/G171,"spécifier histo"))</f>
        <v>0.51979707993071</v>
      </c>
      <c r="F171" s="56" t="n">
        <v>4490</v>
      </c>
      <c r="G171" s="56" t="n">
        <v>4490</v>
      </c>
      <c r="H171" s="9" t="n">
        <v>0</v>
      </c>
      <c r="I171" s="9"/>
      <c r="J171" s="205"/>
    </row>
    <row r="172" customFormat="false" ht="21.15" hidden="false" customHeight="true" outlineLevel="0" collapsed="false">
      <c r="A172" s="1" t="n">
        <v>31</v>
      </c>
      <c r="B172" s="31" t="n">
        <v>34516</v>
      </c>
      <c r="C172" s="1" t="n">
        <v>1324800</v>
      </c>
      <c r="D172" s="9" t="s">
        <v>41</v>
      </c>
      <c r="E172" s="33" t="n">
        <f aca="false">IF(D172="totale",(C172/(A172*24))/F172,IF(D172="marché libre",(C172/(A172*24))/G172,"spécifier histo"))</f>
        <v>0.39658021409584</v>
      </c>
      <c r="F172" s="56" t="n">
        <v>4490</v>
      </c>
      <c r="G172" s="56" t="n">
        <v>4490</v>
      </c>
      <c r="H172" s="9" t="n">
        <v>0</v>
      </c>
      <c r="I172" s="9"/>
      <c r="J172" s="205"/>
    </row>
    <row r="173" customFormat="false" ht="21.15" hidden="false" customHeight="true" outlineLevel="0" collapsed="false">
      <c r="A173" s="1" t="n">
        <v>31</v>
      </c>
      <c r="B173" s="34" t="n">
        <v>34547</v>
      </c>
      <c r="C173" s="1" t="n">
        <v>687600</v>
      </c>
      <c r="D173" s="9" t="s">
        <v>41</v>
      </c>
      <c r="E173" s="33" t="n">
        <f aca="false">IF(D173="totale",(C173/(A173*24))/F173,IF(D173="marché libre",(C173/(A173*24))/G173,"spécifier histo"))</f>
        <v>0.205833752424743</v>
      </c>
      <c r="F173" s="56" t="n">
        <v>4490</v>
      </c>
      <c r="G173" s="56" t="n">
        <v>4490</v>
      </c>
      <c r="H173" s="9" t="n">
        <v>0</v>
      </c>
      <c r="I173" s="9"/>
      <c r="J173" s="205"/>
    </row>
    <row r="174" customFormat="false" ht="21.15" hidden="false" customHeight="true" outlineLevel="0" collapsed="false">
      <c r="A174" s="1" t="n">
        <v>30</v>
      </c>
      <c r="B174" s="31" t="n">
        <v>34578</v>
      </c>
      <c r="C174" s="1" t="n">
        <v>1034000</v>
      </c>
      <c r="D174" s="9" t="s">
        <v>41</v>
      </c>
      <c r="E174" s="33" t="n">
        <f aca="false">IF(D174="totale",(C174/(A174*24))/F174,IF(D174="marché libre",(C174/(A174*24))/G174,"spécifier histo"))</f>
        <v>0.319846572630537</v>
      </c>
      <c r="F174" s="56" t="n">
        <v>4490</v>
      </c>
      <c r="G174" s="56" t="n">
        <v>4490</v>
      </c>
      <c r="H174" s="9" t="n">
        <v>0</v>
      </c>
      <c r="I174" s="9"/>
      <c r="J174" s="205"/>
    </row>
    <row r="175" customFormat="false" ht="21.15" hidden="false" customHeight="true" outlineLevel="0" collapsed="false">
      <c r="A175" s="1" t="n">
        <v>31</v>
      </c>
      <c r="B175" s="34" t="n">
        <v>34608</v>
      </c>
      <c r="C175" s="1" t="n">
        <v>646800</v>
      </c>
      <c r="D175" s="9" t="s">
        <v>41</v>
      </c>
      <c r="E175" s="33" t="n">
        <f aca="false">IF(D175="totale",(C175/(A175*24))/F175,IF(D175="marché libre",(C175/(A175*24))/G175,"spécifier histo"))</f>
        <v>0.193620231338458</v>
      </c>
      <c r="F175" s="56" t="n">
        <v>4490</v>
      </c>
      <c r="G175" s="56" t="n">
        <v>4490</v>
      </c>
      <c r="H175" s="9" t="n">
        <v>0</v>
      </c>
      <c r="I175" s="9"/>
      <c r="J175" s="205"/>
    </row>
    <row r="176" customFormat="false" ht="21.15" hidden="false" customHeight="true" outlineLevel="0" collapsed="false">
      <c r="A176" s="1" t="n">
        <v>30</v>
      </c>
      <c r="B176" s="31" t="n">
        <v>34639</v>
      </c>
      <c r="C176" s="1" t="n">
        <v>688800</v>
      </c>
      <c r="D176" s="9" t="s">
        <v>41</v>
      </c>
      <c r="E176" s="33" t="n">
        <f aca="false">IF(D176="totale",(C176/(A176*24))/F176,IF(D176="marché libre",(C176/(A176*24))/G176,"spécifier histo"))</f>
        <v>0.213066072754269</v>
      </c>
      <c r="F176" s="56" t="n">
        <v>4490</v>
      </c>
      <c r="G176" s="56" t="n">
        <v>4490</v>
      </c>
      <c r="H176" s="9" t="n">
        <v>0</v>
      </c>
      <c r="I176" s="9"/>
      <c r="J176" s="205"/>
    </row>
    <row r="177" customFormat="false" ht="21.15" hidden="false" customHeight="true" outlineLevel="0" collapsed="false">
      <c r="A177" s="1" t="n">
        <v>31</v>
      </c>
      <c r="B177" s="34" t="n">
        <v>34669</v>
      </c>
      <c r="C177" s="1" t="n">
        <v>492800</v>
      </c>
      <c r="D177" s="9" t="s">
        <v>41</v>
      </c>
      <c r="E177" s="33" t="n">
        <f aca="false">IF(D177="totale",(C177/(A177*24))/F177,IF(D177="marché libre",(C177/(A177*24))/G177,"spécifier histo"))</f>
        <v>0.147520176257873</v>
      </c>
      <c r="F177" s="56" t="n">
        <v>4490</v>
      </c>
      <c r="G177" s="56" t="n">
        <v>4490</v>
      </c>
      <c r="H177" s="9" t="n">
        <v>0</v>
      </c>
      <c r="I177" s="9"/>
      <c r="J177" s="205"/>
    </row>
    <row r="178" customFormat="false" ht="21.15" hidden="false" customHeight="true" outlineLevel="0" collapsed="false">
      <c r="A178" s="1" t="n">
        <v>31</v>
      </c>
      <c r="B178" s="31" t="n">
        <v>34700</v>
      </c>
      <c r="C178" s="1" t="n">
        <v>375200</v>
      </c>
      <c r="D178" s="9" t="s">
        <v>41</v>
      </c>
      <c r="E178" s="33" t="n">
        <f aca="false">IF(D178="totale",(C178/(A178*24))/F178,IF(D178="marché libre",(C178/(A178*24))/G178,"spécifier histo"))</f>
        <v>0.112316497832699</v>
      </c>
      <c r="F178" s="56" t="n">
        <v>4490</v>
      </c>
      <c r="G178" s="56" t="n">
        <v>4490</v>
      </c>
      <c r="H178" s="9" t="n">
        <v>0</v>
      </c>
      <c r="I178" s="9"/>
      <c r="J178" s="205"/>
    </row>
    <row r="179" customFormat="false" ht="21.15" hidden="false" customHeight="true" outlineLevel="0" collapsed="false">
      <c r="A179" s="1" t="n">
        <v>28</v>
      </c>
      <c r="B179" s="34" t="n">
        <v>34731</v>
      </c>
      <c r="C179" s="1" t="n">
        <v>339600</v>
      </c>
      <c r="D179" s="9" t="s">
        <v>41</v>
      </c>
      <c r="E179" s="33" t="n">
        <f aca="false">IF(D179="totale",(C179/(A179*24))/F179,IF(D179="marché libre",(C179/(A179*24))/G179,"spécifier histo"))</f>
        <v>0.112551702195355</v>
      </c>
      <c r="F179" s="56" t="n">
        <v>4490</v>
      </c>
      <c r="G179" s="56" t="n">
        <v>4490</v>
      </c>
      <c r="H179" s="9" t="n">
        <v>0</v>
      </c>
      <c r="I179" s="9"/>
      <c r="J179" s="205"/>
    </row>
    <row r="180" customFormat="false" ht="21.15" hidden="false" customHeight="true" outlineLevel="0" collapsed="false">
      <c r="A180" s="1" t="n">
        <v>31</v>
      </c>
      <c r="B180" s="31" t="n">
        <v>34759</v>
      </c>
      <c r="C180" s="1" t="n">
        <v>308400</v>
      </c>
      <c r="D180" s="9" t="s">
        <v>41</v>
      </c>
      <c r="E180" s="33" t="n">
        <f aca="false">IF(D180="totale",(C180/(A180*24))/F180,IF(D180="marché libre",(C180/(A180*24))/G180,"spécifier histo"))</f>
        <v>0.0923198505639773</v>
      </c>
      <c r="F180" s="56" t="n">
        <v>4490</v>
      </c>
      <c r="G180" s="56" t="n">
        <v>4490</v>
      </c>
      <c r="H180" s="9" t="n">
        <v>0</v>
      </c>
      <c r="I180" s="9"/>
      <c r="J180" s="205"/>
    </row>
    <row r="181" customFormat="false" ht="21.15" hidden="false" customHeight="true" outlineLevel="0" collapsed="false">
      <c r="A181" s="1" t="n">
        <v>30</v>
      </c>
      <c r="B181" s="34" t="n">
        <v>34790</v>
      </c>
      <c r="C181" s="1" t="n">
        <v>773600</v>
      </c>
      <c r="D181" s="9" t="s">
        <v>41</v>
      </c>
      <c r="E181" s="33" t="n">
        <f aca="false">IF(D181="totale",(C181/(A181*24))/F181,IF(D181="marché libre",(C181/(A181*24))/G181,"spécifier histo"))</f>
        <v>0.23929720366246</v>
      </c>
      <c r="F181" s="56" t="n">
        <v>4490</v>
      </c>
      <c r="G181" s="56" t="n">
        <v>4490</v>
      </c>
      <c r="H181" s="9" t="n">
        <v>0</v>
      </c>
      <c r="I181" s="9"/>
      <c r="J181" s="205"/>
    </row>
    <row r="182" customFormat="false" ht="21.15" hidden="false" customHeight="true" outlineLevel="0" collapsed="false">
      <c r="A182" s="1" t="n">
        <v>31</v>
      </c>
      <c r="B182" s="31" t="n">
        <v>34820</v>
      </c>
      <c r="C182" s="1" t="n">
        <v>1658800</v>
      </c>
      <c r="D182" s="9" t="s">
        <v>41</v>
      </c>
      <c r="E182" s="33" t="n">
        <f aca="false">IF(D182="totale",(C182/(A182*24))/F182,IF(D182="marché libre",(C182/(A182*24))/G182,"spécifier histo"))</f>
        <v>0.496563450439447</v>
      </c>
      <c r="F182" s="56" t="n">
        <v>4490</v>
      </c>
      <c r="G182" s="56" t="n">
        <v>4490</v>
      </c>
      <c r="H182" s="9" t="n">
        <v>0</v>
      </c>
      <c r="I182" s="9"/>
      <c r="J182" s="205"/>
    </row>
    <row r="183" customFormat="false" ht="21.15" hidden="false" customHeight="true" outlineLevel="0" collapsed="false">
      <c r="A183" s="1" t="n">
        <v>30</v>
      </c>
      <c r="B183" s="34" t="n">
        <v>34851</v>
      </c>
      <c r="C183" s="1" t="n">
        <v>1872400</v>
      </c>
      <c r="D183" s="9" t="s">
        <v>41</v>
      </c>
      <c r="E183" s="33" t="n">
        <f aca="false">IF(D183="totale",(C183/(A183*24))/F183,IF(D183="marché libre",(C183/(A183*24))/G183,"spécifier histo"))</f>
        <v>0.579188319722841</v>
      </c>
      <c r="F183" s="56" t="n">
        <v>4490</v>
      </c>
      <c r="G183" s="56" t="n">
        <v>4490</v>
      </c>
      <c r="H183" s="9" t="n">
        <v>0</v>
      </c>
      <c r="I183" s="9"/>
      <c r="J183" s="205"/>
    </row>
    <row r="184" customFormat="false" ht="21.15" hidden="false" customHeight="true" outlineLevel="0" collapsed="false">
      <c r="A184" s="1" t="n">
        <v>31</v>
      </c>
      <c r="B184" s="31" t="n">
        <v>34881</v>
      </c>
      <c r="C184" s="1" t="n">
        <v>1829600</v>
      </c>
      <c r="D184" s="9" t="s">
        <v>41</v>
      </c>
      <c r="E184" s="33" t="n">
        <f aca="false">IF(D184="totale",(C184/(A184*24))/F184,IF(D184="marché libre",(C184/(A184*24))/G184,"spécifier histo"))</f>
        <v>0.547692602437915</v>
      </c>
      <c r="F184" s="56" t="n">
        <v>4490</v>
      </c>
      <c r="G184" s="56" t="n">
        <v>4490</v>
      </c>
      <c r="H184" s="9" t="n">
        <v>0</v>
      </c>
      <c r="I184" s="9"/>
      <c r="J184" s="205"/>
    </row>
    <row r="185" customFormat="false" ht="21.15" hidden="false" customHeight="true" outlineLevel="0" collapsed="false">
      <c r="A185" s="1" t="n">
        <v>31</v>
      </c>
      <c r="B185" s="34" t="n">
        <v>34912</v>
      </c>
      <c r="C185" s="1" t="n">
        <v>1106800</v>
      </c>
      <c r="D185" s="9" t="s">
        <v>41</v>
      </c>
      <c r="E185" s="33" t="n">
        <f aca="false">IF(D185="totale",(C185/(A185*24))/F185,IF(D185="marché libre",(C185/(A185*24))/G185,"spécifier histo"))</f>
        <v>0.331321694566181</v>
      </c>
      <c r="F185" s="56" t="n">
        <v>4490</v>
      </c>
      <c r="G185" s="56" t="n">
        <v>4490</v>
      </c>
      <c r="H185" s="9" t="n">
        <v>0</v>
      </c>
      <c r="I185" s="9"/>
      <c r="J185" s="205"/>
    </row>
    <row r="186" customFormat="false" ht="21.15" hidden="false" customHeight="true" outlineLevel="0" collapsed="false">
      <c r="A186" s="1" t="n">
        <v>30</v>
      </c>
      <c r="B186" s="31" t="n">
        <v>34943</v>
      </c>
      <c r="C186" s="1" t="n">
        <v>954800</v>
      </c>
      <c r="D186" s="9" t="s">
        <v>41</v>
      </c>
      <c r="E186" s="33" t="n">
        <f aca="false">IF(D186="totale",(C186/(A186*24))/F186,IF(D186="marché libre",(C186/(A186*24))/G186,"spécifier histo"))</f>
        <v>0.295347686216283</v>
      </c>
      <c r="F186" s="56" t="n">
        <v>4490</v>
      </c>
      <c r="G186" s="56" t="n">
        <v>4490</v>
      </c>
      <c r="H186" s="9" t="n">
        <v>0</v>
      </c>
      <c r="I186" s="9"/>
      <c r="J186" s="205"/>
    </row>
    <row r="187" customFormat="false" ht="21.15" hidden="false" customHeight="true" outlineLevel="0" collapsed="false">
      <c r="A187" s="1" t="n">
        <v>31</v>
      </c>
      <c r="B187" s="34" t="n">
        <v>34973</v>
      </c>
      <c r="C187" s="1" t="n">
        <v>589200</v>
      </c>
      <c r="D187" s="9" t="s">
        <v>41</v>
      </c>
      <c r="E187" s="33" t="n">
        <f aca="false">IF(D187="totale",(C187/(A187*24))/F187,IF(D187="marché libre",(C187/(A187*24))/G187,"spécifier histo"))</f>
        <v>0.176377613334291</v>
      </c>
      <c r="F187" s="56" t="n">
        <v>4490</v>
      </c>
      <c r="G187" s="56" t="n">
        <v>4490</v>
      </c>
      <c r="H187" s="9" t="n">
        <v>0</v>
      </c>
      <c r="I187" s="9"/>
      <c r="J187" s="205"/>
    </row>
    <row r="188" customFormat="false" ht="21.15" hidden="false" customHeight="true" outlineLevel="0" collapsed="false">
      <c r="A188" s="1" t="n">
        <v>30</v>
      </c>
      <c r="B188" s="31" t="n">
        <v>35004</v>
      </c>
      <c r="C188" s="1" t="n">
        <v>437600</v>
      </c>
      <c r="D188" s="9" t="s">
        <v>41</v>
      </c>
      <c r="E188" s="33" t="n">
        <f aca="false">IF(D188="totale",(C188/(A188*24))/F188,IF(D188="marché libre",(C188/(A188*24))/G188,"spécifier histo"))</f>
        <v>0.135362534026231</v>
      </c>
      <c r="F188" s="56" t="n">
        <v>4490</v>
      </c>
      <c r="G188" s="56" t="n">
        <v>4490</v>
      </c>
      <c r="H188" s="9" t="n">
        <v>0</v>
      </c>
      <c r="I188" s="9"/>
      <c r="J188" s="205"/>
    </row>
    <row r="189" customFormat="false" ht="21.15" hidden="false" customHeight="true" outlineLevel="0" collapsed="false">
      <c r="A189" s="1" t="n">
        <v>31</v>
      </c>
      <c r="B189" s="34" t="n">
        <v>35034</v>
      </c>
      <c r="C189" s="1" t="n">
        <v>394400</v>
      </c>
      <c r="D189" s="9" t="s">
        <v>41</v>
      </c>
      <c r="E189" s="33" t="n">
        <f aca="false">IF(D189="totale",(C189/(A189*24))/F189,IF(D189="marché libre",(C189/(A189*24))/G189,"spécifier histo"))</f>
        <v>0.118064037167421</v>
      </c>
      <c r="F189" s="56" t="n">
        <v>4490</v>
      </c>
      <c r="G189" s="56" t="n">
        <v>4490</v>
      </c>
      <c r="H189" s="9" t="n">
        <v>0</v>
      </c>
      <c r="I189" s="9"/>
      <c r="J189" s="205"/>
    </row>
    <row r="190" customFormat="false" ht="21.15" hidden="false" customHeight="true" outlineLevel="0" collapsed="false">
      <c r="A190" s="1" t="n">
        <v>31</v>
      </c>
      <c r="B190" s="31" t="n">
        <v>35065</v>
      </c>
      <c r="C190" s="1" t="n">
        <v>283600</v>
      </c>
      <c r="D190" s="9" t="s">
        <v>41</v>
      </c>
      <c r="E190" s="33" t="n">
        <f aca="false">IF(D190="totale",(C190/(A190*24))/F190,IF(D190="marché libre",(C190/(A190*24))/G190,"spécifier histo"))</f>
        <v>0.084895945589961</v>
      </c>
      <c r="F190" s="56" t="n">
        <v>4490</v>
      </c>
      <c r="G190" s="56" t="n">
        <v>4490</v>
      </c>
      <c r="H190" s="9" t="n">
        <v>0</v>
      </c>
      <c r="I190" s="9"/>
      <c r="J190" s="205"/>
    </row>
    <row r="191" customFormat="false" ht="21.15" hidden="false" customHeight="true" outlineLevel="0" collapsed="false">
      <c r="A191" s="1" t="n">
        <v>28</v>
      </c>
      <c r="B191" s="34" t="n">
        <v>35096</v>
      </c>
      <c r="C191" s="1" t="n">
        <v>166000</v>
      </c>
      <c r="D191" s="9" t="s">
        <v>41</v>
      </c>
      <c r="E191" s="33" t="n">
        <f aca="false">IF(D191="totale",(C191/(A191*24))/F191,IF(D191="marché libre",(C191/(A191*24))/G191,"spécifier histo"))</f>
        <v>0.0550164386467282</v>
      </c>
      <c r="F191" s="56" t="n">
        <v>4490</v>
      </c>
      <c r="G191" s="56" t="n">
        <v>4490</v>
      </c>
      <c r="H191" s="9" t="n">
        <v>0</v>
      </c>
      <c r="I191" s="9"/>
      <c r="J191" s="205"/>
    </row>
    <row r="192" customFormat="false" ht="21.15" hidden="false" customHeight="true" outlineLevel="0" collapsed="false">
      <c r="A192" s="1" t="n">
        <v>31</v>
      </c>
      <c r="B192" s="31" t="n">
        <v>35125</v>
      </c>
      <c r="C192" s="1" t="n">
        <v>324000</v>
      </c>
      <c r="D192" s="9" t="s">
        <v>41</v>
      </c>
      <c r="E192" s="33" t="n">
        <f aca="false">IF(D192="totale",(C192/(A192*24))/F192,IF(D192="marché libre",(C192/(A192*24))/G192,"spécifier histo"))</f>
        <v>0.0969897262734392</v>
      </c>
      <c r="F192" s="56" t="n">
        <v>4490</v>
      </c>
      <c r="G192" s="56" t="n">
        <v>4490</v>
      </c>
      <c r="H192" s="9" t="n">
        <v>0</v>
      </c>
      <c r="I192" s="9"/>
      <c r="J192" s="205"/>
    </row>
    <row r="193" customFormat="false" ht="21.15" hidden="false" customHeight="true" outlineLevel="0" collapsed="false">
      <c r="A193" s="1" t="n">
        <v>30</v>
      </c>
      <c r="B193" s="34" t="n">
        <v>35156</v>
      </c>
      <c r="C193" s="1" t="n">
        <v>528400</v>
      </c>
      <c r="D193" s="9" t="s">
        <v>41</v>
      </c>
      <c r="E193" s="33" t="n">
        <f aca="false">IF(D193="totale",(C193/(A193*24))/F193,IF(D193="marché libre",(C193/(A193*24))/G193,"spécifier histo"))</f>
        <v>0.163449641177926</v>
      </c>
      <c r="F193" s="56" t="n">
        <v>4490</v>
      </c>
      <c r="G193" s="56" t="n">
        <v>4490</v>
      </c>
      <c r="H193" s="9" t="n">
        <v>0</v>
      </c>
      <c r="I193" s="9"/>
      <c r="J193" s="205"/>
    </row>
    <row r="194" customFormat="false" ht="21.15" hidden="false" customHeight="true" outlineLevel="0" collapsed="false">
      <c r="A194" s="1" t="n">
        <v>31</v>
      </c>
      <c r="B194" s="31" t="n">
        <v>35186</v>
      </c>
      <c r="C194" s="1" t="n">
        <v>1210800</v>
      </c>
      <c r="D194" s="9" t="s">
        <v>41</v>
      </c>
      <c r="E194" s="33" t="n">
        <f aca="false">IF(D194="totale",(C194/(A194*24))/F194,IF(D194="marché libre",(C194/(A194*24))/G194,"spécifier histo"))</f>
        <v>0.362454199295926</v>
      </c>
      <c r="F194" s="56" t="n">
        <v>4490</v>
      </c>
      <c r="G194" s="56" t="n">
        <v>4490</v>
      </c>
      <c r="H194" s="9" t="n">
        <v>0</v>
      </c>
      <c r="I194" s="9"/>
      <c r="J194" s="205"/>
    </row>
    <row r="195" customFormat="false" ht="21.15" hidden="false" customHeight="true" outlineLevel="0" collapsed="false">
      <c r="A195" s="1" t="n">
        <v>30</v>
      </c>
      <c r="B195" s="34" t="n">
        <v>35217</v>
      </c>
      <c r="C195" s="1" t="n">
        <v>1175600</v>
      </c>
      <c r="D195" s="9" t="s">
        <v>41</v>
      </c>
      <c r="E195" s="33" t="n">
        <f aca="false">IF(D195="totale",(C195/(A195*24))/F195,IF(D195="marché libre",(C195/(A195*24))/G195,"spécifier histo"))</f>
        <v>0.363647611977233</v>
      </c>
      <c r="F195" s="56" t="n">
        <v>4490</v>
      </c>
      <c r="G195" s="56" t="n">
        <v>4490</v>
      </c>
      <c r="H195" s="9" t="n">
        <v>0</v>
      </c>
      <c r="I195" s="9"/>
      <c r="J195" s="205"/>
    </row>
    <row r="196" customFormat="false" ht="21.15" hidden="false" customHeight="true" outlineLevel="0" collapsed="false">
      <c r="A196" s="1" t="n">
        <v>31</v>
      </c>
      <c r="B196" s="31" t="n">
        <v>35247</v>
      </c>
      <c r="C196" s="1" t="n">
        <v>1053600</v>
      </c>
      <c r="D196" s="9" t="s">
        <v>41</v>
      </c>
      <c r="E196" s="33" t="n">
        <f aca="false">IF(D196="totale",(C196/(A196*24))/F196,IF(D196="marché libre",(C196/(A196*24))/G196,"spécifier histo"))</f>
        <v>0.315396220992887</v>
      </c>
      <c r="F196" s="56" t="n">
        <v>4490</v>
      </c>
      <c r="G196" s="56" t="n">
        <v>4490</v>
      </c>
      <c r="H196" s="9" t="n">
        <v>0</v>
      </c>
      <c r="I196" s="9"/>
      <c r="J196" s="205"/>
    </row>
    <row r="197" customFormat="false" ht="21.15" hidden="false" customHeight="true" outlineLevel="0" collapsed="false">
      <c r="A197" s="1" t="n">
        <v>31</v>
      </c>
      <c r="B197" s="34" t="n">
        <v>35278</v>
      </c>
      <c r="C197" s="1" t="n">
        <v>811200</v>
      </c>
      <c r="D197" s="9" t="s">
        <v>41</v>
      </c>
      <c r="E197" s="33" t="n">
        <f aca="false">IF(D197="totale",(C197/(A197*24))/F197,IF(D197="marché libre",(C197/(A197*24))/G197,"spécifier histo"))</f>
        <v>0.242833536892018</v>
      </c>
      <c r="F197" s="56" t="n">
        <v>4490</v>
      </c>
      <c r="G197" s="56" t="n">
        <v>4490</v>
      </c>
      <c r="H197" s="9" t="n">
        <v>0</v>
      </c>
      <c r="I197" s="9"/>
      <c r="J197" s="205"/>
    </row>
    <row r="198" customFormat="false" ht="21.15" hidden="false" customHeight="true" outlineLevel="0" collapsed="false">
      <c r="A198" s="1" t="n">
        <v>30</v>
      </c>
      <c r="B198" s="31" t="n">
        <v>35309</v>
      </c>
      <c r="C198" s="1" t="n">
        <v>536000</v>
      </c>
      <c r="D198" s="9" t="s">
        <v>41</v>
      </c>
      <c r="E198" s="33" t="n">
        <f aca="false">IF(D198="totale",(C198/(A198*24))/F198,IF(D198="marché libre",(C198/(A198*24))/G198,"spécifier histo"))</f>
        <v>0.165800544419698</v>
      </c>
      <c r="F198" s="56" t="n">
        <v>4490</v>
      </c>
      <c r="G198" s="56" t="n">
        <v>4490</v>
      </c>
      <c r="H198" s="9" t="n">
        <v>0</v>
      </c>
      <c r="I198" s="9"/>
      <c r="J198" s="205"/>
    </row>
    <row r="199" customFormat="false" ht="21.15" hidden="false" customHeight="true" outlineLevel="0" collapsed="false">
      <c r="A199" s="1" t="n">
        <v>31</v>
      </c>
      <c r="B199" s="34" t="n">
        <v>35339</v>
      </c>
      <c r="C199" s="1" t="n">
        <v>645200</v>
      </c>
      <c r="D199" s="9" t="s">
        <v>41</v>
      </c>
      <c r="E199" s="33" t="n">
        <f aca="false">IF(D199="totale",(C199/(A199*24))/F199,IF(D199="marché libre",(C199/(A199*24))/G199,"spécifier histo"))</f>
        <v>0.193141269727231</v>
      </c>
      <c r="F199" s="56" t="n">
        <v>4490</v>
      </c>
      <c r="G199" s="56" t="n">
        <v>4490</v>
      </c>
      <c r="H199" s="9" t="n">
        <v>0</v>
      </c>
      <c r="I199" s="9"/>
      <c r="J199" s="205"/>
    </row>
    <row r="200" customFormat="false" ht="21.15" hidden="false" customHeight="true" outlineLevel="0" collapsed="false">
      <c r="A200" s="1" t="n">
        <v>30</v>
      </c>
      <c r="B200" s="31" t="n">
        <v>35370</v>
      </c>
      <c r="C200" s="1" t="n">
        <v>683600</v>
      </c>
      <c r="D200" s="9" t="s">
        <v>41</v>
      </c>
      <c r="E200" s="33" t="n">
        <f aca="false">IF(D200="totale",(C200/(A200*24))/F200,IF(D200="marché libre",(C200/(A200*24))/G200,"spécifier histo"))</f>
        <v>0.211457560009899</v>
      </c>
      <c r="F200" s="56" t="n">
        <v>4490</v>
      </c>
      <c r="G200" s="56" t="n">
        <v>4490</v>
      </c>
      <c r="H200" s="9" t="n">
        <v>0</v>
      </c>
      <c r="I200" s="9"/>
      <c r="J200" s="205"/>
    </row>
    <row r="201" customFormat="false" ht="21.15" hidden="false" customHeight="true" outlineLevel="0" collapsed="false">
      <c r="A201" s="1" t="n">
        <v>31</v>
      </c>
      <c r="B201" s="34" t="n">
        <v>35400</v>
      </c>
      <c r="C201" s="1" t="n">
        <v>578000</v>
      </c>
      <c r="D201" s="9" t="s">
        <v>41</v>
      </c>
      <c r="E201" s="33" t="n">
        <f aca="false">IF(D201="totale",(C201/(A201*24))/F201,IF(D201="marché libre",(C201/(A201*24))/G201,"spécifier histo"))</f>
        <v>0.173024882055703</v>
      </c>
      <c r="F201" s="56" t="n">
        <v>4490</v>
      </c>
      <c r="G201" s="56" t="n">
        <v>4490</v>
      </c>
      <c r="H201" s="9" t="n">
        <v>0</v>
      </c>
      <c r="I201" s="9"/>
      <c r="J201" s="205"/>
    </row>
    <row r="202" customFormat="false" ht="21.15" hidden="false" customHeight="true" outlineLevel="0" collapsed="false">
      <c r="A202" s="1" t="n">
        <v>31</v>
      </c>
      <c r="B202" s="31" t="n">
        <v>35431</v>
      </c>
      <c r="C202" s="1" t="n">
        <v>301200</v>
      </c>
      <c r="D202" s="9" t="s">
        <v>41</v>
      </c>
      <c r="E202" s="33" t="n">
        <f aca="false">IF(D202="totale",(C202/(A202*24))/F202,IF(D202="marché libre",(C202/(A202*24))/G202,"spécifier histo"))</f>
        <v>0.0901645233134564</v>
      </c>
      <c r="F202" s="56" t="n">
        <v>4490</v>
      </c>
      <c r="G202" s="56" t="n">
        <v>4490</v>
      </c>
      <c r="H202" s="9" t="n">
        <v>0</v>
      </c>
      <c r="I202" s="9"/>
      <c r="J202" s="205"/>
    </row>
    <row r="203" customFormat="false" ht="21.15" hidden="false" customHeight="true" outlineLevel="0" collapsed="false">
      <c r="A203" s="1" t="n">
        <v>28</v>
      </c>
      <c r="B203" s="34" t="n">
        <v>35462</v>
      </c>
      <c r="C203" s="1" t="n">
        <v>321600</v>
      </c>
      <c r="D203" s="9" t="s">
        <v>41</v>
      </c>
      <c r="E203" s="33" t="n">
        <f aca="false">IF(D203="totale",(C203/(A203*24))/F203,IF(D203="marché libre",(C203/(A203*24))/G203,"spécifier histo"))</f>
        <v>0.106586064269806</v>
      </c>
      <c r="F203" s="56" t="n">
        <v>4490</v>
      </c>
      <c r="G203" s="56" t="n">
        <v>4490</v>
      </c>
      <c r="H203" s="9" t="n">
        <v>0</v>
      </c>
      <c r="I203" s="9"/>
      <c r="J203" s="205"/>
    </row>
    <row r="204" customFormat="false" ht="21.15" hidden="false" customHeight="true" outlineLevel="0" collapsed="false">
      <c r="A204" s="1" t="n">
        <v>31</v>
      </c>
      <c r="B204" s="31" t="n">
        <v>35490</v>
      </c>
      <c r="C204" s="1" t="n">
        <v>470800</v>
      </c>
      <c r="D204" s="9" t="s">
        <v>41</v>
      </c>
      <c r="E204" s="33" t="n">
        <f aca="false">IF(D204="totale",(C204/(A204*24))/F204,IF(D204="marché libre",(C204/(A204*24))/G204,"spécifier histo"))</f>
        <v>0.140934454103504</v>
      </c>
      <c r="F204" s="56" t="n">
        <v>4490</v>
      </c>
      <c r="G204" s="56" t="n">
        <v>4490</v>
      </c>
      <c r="H204" s="9" t="n">
        <v>0</v>
      </c>
      <c r="I204" s="9"/>
      <c r="J204" s="205"/>
    </row>
    <row r="205" customFormat="false" ht="21.15" hidden="false" customHeight="true" outlineLevel="0" collapsed="false">
      <c r="A205" s="1" t="n">
        <v>30</v>
      </c>
      <c r="B205" s="34" t="n">
        <v>35521</v>
      </c>
      <c r="C205" s="1" t="n">
        <v>546400</v>
      </c>
      <c r="D205" s="9" t="s">
        <v>41</v>
      </c>
      <c r="E205" s="33" t="n">
        <f aca="false">IF(D205="totale",(C205/(A205*24))/F205,IF(D205="marché libre",(C205/(A205*24))/G205,"spécifier histo"))</f>
        <v>0.169017569908438</v>
      </c>
      <c r="F205" s="56" t="n">
        <v>4490</v>
      </c>
      <c r="G205" s="56" t="n">
        <v>4490</v>
      </c>
      <c r="H205" s="9" t="n">
        <v>0</v>
      </c>
      <c r="I205" s="9"/>
      <c r="J205" s="205"/>
    </row>
    <row r="206" customFormat="false" ht="21.15" hidden="false" customHeight="true" outlineLevel="0" collapsed="false">
      <c r="A206" s="1" t="n">
        <v>31</v>
      </c>
      <c r="B206" s="31" t="n">
        <v>35551</v>
      </c>
      <c r="C206" s="1" t="n">
        <v>1330400</v>
      </c>
      <c r="D206" s="9" t="s">
        <v>41</v>
      </c>
      <c r="E206" s="33" t="n">
        <f aca="false">IF(D206="totale",(C206/(A206*24))/F206,IF(D206="marché libre",(C206/(A206*24))/G206,"spécifier histo"))</f>
        <v>0.398256579735134</v>
      </c>
      <c r="F206" s="56" t="n">
        <v>4490</v>
      </c>
      <c r="G206" s="56" t="n">
        <v>4490</v>
      </c>
      <c r="H206" s="9" t="n">
        <v>0</v>
      </c>
      <c r="I206" s="9"/>
      <c r="J206" s="205"/>
    </row>
    <row r="207" customFormat="false" ht="21.15" hidden="false" customHeight="true" outlineLevel="0" collapsed="false">
      <c r="A207" s="1" t="n">
        <v>30</v>
      </c>
      <c r="B207" s="34" t="n">
        <v>35582</v>
      </c>
      <c r="C207" s="1" t="n">
        <v>1432800</v>
      </c>
      <c r="D207" s="9" t="s">
        <v>41</v>
      </c>
      <c r="E207" s="33" t="n">
        <f aca="false">IF(D207="totale",(C207/(A207*24))/F207,IF(D207="marché libre",(C207/(A207*24))/G207,"spécifier histo"))</f>
        <v>0.443207126948775</v>
      </c>
      <c r="F207" s="56" t="n">
        <v>4490</v>
      </c>
      <c r="G207" s="56" t="n">
        <v>4490</v>
      </c>
      <c r="H207" s="9" t="n">
        <v>0</v>
      </c>
      <c r="I207" s="9"/>
      <c r="J207" s="205"/>
    </row>
    <row r="208" customFormat="false" ht="21.15" hidden="false" customHeight="true" outlineLevel="0" collapsed="false">
      <c r="A208" s="1" t="n">
        <v>31</v>
      </c>
      <c r="B208" s="31" t="n">
        <v>35612</v>
      </c>
      <c r="C208" s="1" t="n">
        <v>1400400</v>
      </c>
      <c r="D208" s="9" t="s">
        <v>41</v>
      </c>
      <c r="E208" s="33" t="n">
        <f aca="false">IF(D208="totale",(C208/(A208*24))/F208,IF(D208="marché libre",(C208/(A208*24))/G208,"spécifier histo"))</f>
        <v>0.419211150226309</v>
      </c>
      <c r="F208" s="56" t="n">
        <v>4490</v>
      </c>
      <c r="G208" s="56" t="n">
        <v>4490</v>
      </c>
      <c r="H208" s="9" t="n">
        <v>0</v>
      </c>
      <c r="I208" s="9"/>
      <c r="J208" s="205"/>
    </row>
    <row r="209" customFormat="false" ht="21.15" hidden="false" customHeight="true" outlineLevel="0" collapsed="false">
      <c r="A209" s="1" t="n">
        <v>31</v>
      </c>
      <c r="B209" s="34" t="n">
        <v>35643</v>
      </c>
      <c r="C209" s="1" t="n">
        <v>683200</v>
      </c>
      <c r="D209" s="9" t="s">
        <v>41</v>
      </c>
      <c r="E209" s="33" t="n">
        <f aca="false">IF(D209="totale",(C209/(A209*24))/F209,IF(D209="marché libre",(C209/(A209*24))/G209,"spécifier histo"))</f>
        <v>0.204516607993869</v>
      </c>
      <c r="F209" s="56" t="n">
        <v>4490</v>
      </c>
      <c r="G209" s="56" t="n">
        <v>4490</v>
      </c>
      <c r="H209" s="9" t="n">
        <v>0</v>
      </c>
      <c r="I209" s="9"/>
      <c r="J209" s="205"/>
    </row>
    <row r="210" customFormat="false" ht="21.15" hidden="false" customHeight="true" outlineLevel="0" collapsed="false">
      <c r="A210" s="1" t="n">
        <v>30</v>
      </c>
      <c r="B210" s="31" t="n">
        <v>35674</v>
      </c>
      <c r="C210" s="1" t="n">
        <v>478000</v>
      </c>
      <c r="D210" s="9" t="s">
        <v>41</v>
      </c>
      <c r="E210" s="33" t="n">
        <f aca="false">IF(D210="totale",(C210/(A210*24))/F210,IF(D210="marché libre",(C210/(A210*24))/G210,"spécifier histo"))</f>
        <v>0.147859440732492</v>
      </c>
      <c r="F210" s="56" t="n">
        <v>4490</v>
      </c>
      <c r="G210" s="56" t="n">
        <v>4490</v>
      </c>
      <c r="H210" s="9" t="n">
        <v>0</v>
      </c>
      <c r="I210" s="9"/>
      <c r="J210" s="205"/>
    </row>
    <row r="211" customFormat="false" ht="21.15" hidden="false" customHeight="true" outlineLevel="0" collapsed="false">
      <c r="A211" s="1" t="n">
        <v>31</v>
      </c>
      <c r="B211" s="34" t="n">
        <v>35704</v>
      </c>
      <c r="C211" s="1" t="n">
        <v>401200</v>
      </c>
      <c r="D211" s="9" t="s">
        <v>41</v>
      </c>
      <c r="E211" s="33" t="n">
        <f aca="false">IF(D211="totale",(C211/(A211*24))/F211,IF(D211="marché libre",(C211/(A211*24))/G211,"spécifier histo"))</f>
        <v>0.120099624015135</v>
      </c>
      <c r="F211" s="56" t="n">
        <v>4490</v>
      </c>
      <c r="G211" s="56" t="n">
        <v>4490</v>
      </c>
      <c r="H211" s="9" t="n">
        <v>0</v>
      </c>
      <c r="I211" s="9"/>
      <c r="J211" s="205"/>
    </row>
    <row r="212" customFormat="false" ht="21.15" hidden="false" customHeight="true" outlineLevel="0" collapsed="false">
      <c r="A212" s="1" t="n">
        <v>30</v>
      </c>
      <c r="B212" s="31" t="n">
        <v>35735</v>
      </c>
      <c r="C212" s="1" t="n">
        <v>318800</v>
      </c>
      <c r="D212" s="9" t="s">
        <v>41</v>
      </c>
      <c r="E212" s="33" t="n">
        <f aca="false">IF(D212="totale",(C212/(A212*24))/F212,IF(D212="marché libre",(C212/(A212*24))/G212,"spécifier histo"))</f>
        <v>0.0986142044048503</v>
      </c>
      <c r="F212" s="56" t="n">
        <v>4490</v>
      </c>
      <c r="G212" s="56" t="n">
        <v>4490</v>
      </c>
      <c r="H212" s="9" t="n">
        <v>0</v>
      </c>
      <c r="I212" s="9"/>
      <c r="J212" s="205"/>
    </row>
    <row r="213" customFormat="false" ht="21.15" hidden="false" customHeight="true" outlineLevel="0" collapsed="false">
      <c r="A213" s="1" t="n">
        <v>31</v>
      </c>
      <c r="B213" s="34" t="n">
        <v>35765</v>
      </c>
      <c r="C213" s="1" t="n">
        <v>384400</v>
      </c>
      <c r="D213" s="9" t="s">
        <v>41</v>
      </c>
      <c r="E213" s="33" t="n">
        <f aca="false">IF(D213="totale",(C213/(A213*24))/F213,IF(D213="marché libre",(C213/(A213*24))/G213,"spécifier histo"))</f>
        <v>0.115070527097253</v>
      </c>
      <c r="F213" s="56" t="n">
        <v>4490</v>
      </c>
      <c r="G213" s="56" t="n">
        <v>4490</v>
      </c>
      <c r="H213" s="9" t="n">
        <v>0</v>
      </c>
      <c r="I213" s="9"/>
      <c r="J213" s="205"/>
    </row>
    <row r="214" customFormat="false" ht="21.15" hidden="false" customHeight="true" outlineLevel="0" collapsed="false">
      <c r="A214" s="1" t="n">
        <v>31</v>
      </c>
      <c r="B214" s="31" t="n">
        <v>35796</v>
      </c>
      <c r="C214" s="1" t="n">
        <v>318800</v>
      </c>
      <c r="D214" s="9" t="s">
        <v>41</v>
      </c>
      <c r="E214" s="33" t="n">
        <f aca="false">IF(D214="totale",(C214/(A214*24))/F214,IF(D214="marché libre",(C214/(A214*24))/G214,"spécifier histo"))</f>
        <v>0.0954331010369519</v>
      </c>
      <c r="F214" s="56" t="n">
        <v>4490</v>
      </c>
      <c r="G214" s="56" t="n">
        <v>4490</v>
      </c>
      <c r="H214" s="9" t="n">
        <v>0</v>
      </c>
      <c r="I214" s="9"/>
      <c r="J214" s="205"/>
    </row>
    <row r="215" customFormat="false" ht="21.15" hidden="false" customHeight="true" outlineLevel="0" collapsed="false">
      <c r="A215" s="1" t="n">
        <v>28</v>
      </c>
      <c r="B215" s="34" t="n">
        <v>35827</v>
      </c>
      <c r="C215" s="1" t="n">
        <v>217200</v>
      </c>
      <c r="D215" s="9" t="s">
        <v>41</v>
      </c>
      <c r="E215" s="33" t="n">
        <f aca="false">IF(D215="totale",(C215/(A215*24))/F215,IF(D215="marché libre",(C215/(A215*24))/G215,"spécifier histo"))</f>
        <v>0.0719853643016227</v>
      </c>
      <c r="F215" s="56" t="n">
        <v>4490</v>
      </c>
      <c r="G215" s="56" t="n">
        <v>4490</v>
      </c>
      <c r="H215" s="9" t="n">
        <v>0</v>
      </c>
      <c r="I215" s="9"/>
      <c r="J215" s="205"/>
    </row>
    <row r="216" customFormat="false" ht="21.15" hidden="false" customHeight="true" outlineLevel="0" collapsed="false">
      <c r="A216" s="1" t="n">
        <v>31</v>
      </c>
      <c r="B216" s="31" t="n">
        <v>35855</v>
      </c>
      <c r="C216" s="1" t="n">
        <v>338000</v>
      </c>
      <c r="D216" s="9" t="s">
        <v>41</v>
      </c>
      <c r="E216" s="33" t="n">
        <f aca="false">IF(D216="totale",(C216/(A216*24))/F216,IF(D216="marché libre",(C216/(A216*24))/G216,"spécifier histo"))</f>
        <v>0.101180640371674</v>
      </c>
      <c r="F216" s="56" t="n">
        <v>4490</v>
      </c>
      <c r="G216" s="56" t="n">
        <v>4490</v>
      </c>
      <c r="H216" s="9" t="n">
        <v>0</v>
      </c>
      <c r="I216" s="9"/>
      <c r="J216" s="205"/>
    </row>
    <row r="217" customFormat="false" ht="21.15" hidden="false" customHeight="true" outlineLevel="0" collapsed="false">
      <c r="A217" s="1" t="n">
        <v>30</v>
      </c>
      <c r="B217" s="34" t="n">
        <v>35886</v>
      </c>
      <c r="C217" s="1" t="n">
        <v>573200</v>
      </c>
      <c r="D217" s="9" t="s">
        <v>41</v>
      </c>
      <c r="E217" s="33" t="n">
        <f aca="false">IF(D217="totale",(C217/(A217*24))/F217,IF(D217="marché libre",(C217/(A217*24))/G217,"spécifier histo"))</f>
        <v>0.177307597129423</v>
      </c>
      <c r="F217" s="56" t="n">
        <v>4490</v>
      </c>
      <c r="G217" s="56" t="n">
        <v>4490</v>
      </c>
      <c r="H217" s="9" t="n">
        <v>0</v>
      </c>
      <c r="I217" s="9"/>
      <c r="J217" s="205"/>
    </row>
    <row r="218" customFormat="false" ht="21.15" hidden="false" customHeight="true" outlineLevel="0" collapsed="false">
      <c r="A218" s="1" t="n">
        <v>31</v>
      </c>
      <c r="B218" s="31" t="n">
        <v>35916</v>
      </c>
      <c r="C218" s="1" t="n">
        <v>1186800</v>
      </c>
      <c r="D218" s="9" t="s">
        <v>41</v>
      </c>
      <c r="E218" s="33" t="n">
        <f aca="false">IF(D218="totale",(C218/(A218*24))/F218,IF(D218="marché libre",(C218/(A218*24))/G218,"spécifier histo"))</f>
        <v>0.355269775127524</v>
      </c>
      <c r="F218" s="56" t="n">
        <v>4490</v>
      </c>
      <c r="G218" s="56" t="n">
        <v>4490</v>
      </c>
      <c r="H218" s="9" t="n">
        <v>0</v>
      </c>
      <c r="I218" s="9"/>
      <c r="J218" s="205"/>
    </row>
    <row r="219" customFormat="false" ht="21.15" hidden="false" customHeight="true" outlineLevel="0" collapsed="false">
      <c r="A219" s="1" t="n">
        <v>30</v>
      </c>
      <c r="B219" s="34" t="n">
        <v>35947</v>
      </c>
      <c r="C219" s="1" t="n">
        <v>1382000</v>
      </c>
      <c r="D219" s="9" t="s">
        <v>41</v>
      </c>
      <c r="E219" s="33" t="n">
        <f aca="false">IF(D219="totale",(C219/(A219*24))/F219,IF(D219="marché libre",(C219/(A219*24))/G219,"spécifier histo"))</f>
        <v>0.427493194753774</v>
      </c>
      <c r="F219" s="56" t="n">
        <v>4490</v>
      </c>
      <c r="G219" s="56" t="n">
        <v>4490</v>
      </c>
      <c r="H219" s="9" t="n">
        <v>0</v>
      </c>
      <c r="I219" s="9"/>
      <c r="J219" s="205"/>
    </row>
    <row r="220" customFormat="false" ht="21.15" hidden="false" customHeight="true" outlineLevel="0" collapsed="false">
      <c r="A220" s="1" t="n">
        <v>31</v>
      </c>
      <c r="B220" s="31" t="n">
        <v>35977</v>
      </c>
      <c r="C220" s="1" t="n">
        <v>853200</v>
      </c>
      <c r="D220" s="9" t="s">
        <v>41</v>
      </c>
      <c r="E220" s="33" t="n">
        <f aca="false">IF(D220="totale",(C220/(A220*24))/F220,IF(D220="marché libre",(C220/(A220*24))/G220,"spécifier histo"))</f>
        <v>0.255406279186723</v>
      </c>
      <c r="F220" s="56" t="n">
        <v>4490</v>
      </c>
      <c r="G220" s="56" t="n">
        <v>4490</v>
      </c>
      <c r="H220" s="9" t="n">
        <v>0</v>
      </c>
      <c r="I220" s="9"/>
      <c r="J220" s="205"/>
    </row>
    <row r="221" customFormat="false" ht="21.15" hidden="false" customHeight="true" outlineLevel="0" collapsed="false">
      <c r="A221" s="1" t="n">
        <v>31</v>
      </c>
      <c r="B221" s="34" t="n">
        <v>36008</v>
      </c>
      <c r="C221" s="1" t="n">
        <v>402400</v>
      </c>
      <c r="D221" s="9" t="s">
        <v>41</v>
      </c>
      <c r="E221" s="33" t="n">
        <f aca="false">IF(D221="totale",(C221/(A221*24))/F221,IF(D221="marché libre",(C221/(A221*24))/G221,"spécifier histo"))</f>
        <v>0.120458845223555</v>
      </c>
      <c r="F221" s="56" t="n">
        <v>4490</v>
      </c>
      <c r="G221" s="56" t="n">
        <v>4490</v>
      </c>
      <c r="H221" s="9" t="n">
        <v>0</v>
      </c>
      <c r="I221" s="9"/>
      <c r="J221" s="205"/>
    </row>
    <row r="222" customFormat="false" ht="21.15" hidden="false" customHeight="true" outlineLevel="0" collapsed="false">
      <c r="A222" s="1" t="n">
        <v>30</v>
      </c>
      <c r="B222" s="31" t="n">
        <v>36039</v>
      </c>
      <c r="C222" s="1" t="n">
        <v>830400</v>
      </c>
      <c r="D222" s="9" t="s">
        <v>41</v>
      </c>
      <c r="E222" s="33" t="n">
        <f aca="false">IF(D222="totale",(C222/(A222*24))/F222,IF(D222="marché libre",(C222/(A222*24))/G222,"spécifier histo"))</f>
        <v>0.256867112100965</v>
      </c>
      <c r="F222" s="56" t="n">
        <v>4490</v>
      </c>
      <c r="G222" s="56" t="n">
        <v>4490</v>
      </c>
      <c r="H222" s="9" t="n">
        <v>0</v>
      </c>
      <c r="I222" s="9"/>
      <c r="J222" s="205"/>
    </row>
    <row r="223" customFormat="false" ht="21.15" hidden="false" customHeight="true" outlineLevel="0" collapsed="false">
      <c r="A223" s="1" t="n">
        <v>31</v>
      </c>
      <c r="B223" s="34" t="n">
        <v>36069</v>
      </c>
      <c r="C223" s="1" t="n">
        <v>948800</v>
      </c>
      <c r="D223" s="9" t="s">
        <v>41</v>
      </c>
      <c r="E223" s="33" t="n">
        <f aca="false">IF(D223="totale",(C223/(A223*24))/F223,IF(D223="marché libre",(C223/(A223*24))/G223,"spécifier histo"))</f>
        <v>0.284024235457528</v>
      </c>
      <c r="F223" s="56" t="n">
        <v>4490</v>
      </c>
      <c r="G223" s="56" t="n">
        <v>4490</v>
      </c>
      <c r="H223" s="9" t="n">
        <v>0</v>
      </c>
      <c r="I223" s="9"/>
      <c r="J223" s="205"/>
    </row>
    <row r="224" customFormat="false" ht="21.15" hidden="false" customHeight="true" outlineLevel="0" collapsed="false">
      <c r="A224" s="1" t="n">
        <v>30</v>
      </c>
      <c r="B224" s="31" t="n">
        <v>36100</v>
      </c>
      <c r="C224" s="1" t="n">
        <v>860800</v>
      </c>
      <c r="D224" s="9" t="s">
        <v>41</v>
      </c>
      <c r="E224" s="33" t="n">
        <f aca="false">IF(D224="totale",(C224/(A224*24))/F224,IF(D224="marché libre",(C224/(A224*24))/G224,"spécifier histo"))</f>
        <v>0.266270725068052</v>
      </c>
      <c r="F224" s="56" t="n">
        <v>4490</v>
      </c>
      <c r="G224" s="56" t="n">
        <v>4490</v>
      </c>
      <c r="H224" s="9" t="n">
        <v>0</v>
      </c>
      <c r="I224" s="9"/>
      <c r="J224" s="205"/>
    </row>
    <row r="225" customFormat="false" ht="21.15" hidden="false" customHeight="true" outlineLevel="0" collapsed="false">
      <c r="A225" s="1" t="n">
        <v>31</v>
      </c>
      <c r="B225" s="34" t="n">
        <v>36130</v>
      </c>
      <c r="C225" s="1" t="n">
        <v>393200</v>
      </c>
      <c r="D225" s="9" t="s">
        <v>41</v>
      </c>
      <c r="E225" s="33" t="n">
        <f aca="false">IF(D225="totale",(C225/(A225*24))/F225,IF(D225="marché libre",(C225/(A225*24))/G225,"spécifier histo"))</f>
        <v>0.117704815959001</v>
      </c>
      <c r="F225" s="56" t="n">
        <v>4490</v>
      </c>
      <c r="G225" s="56" t="n">
        <v>4490</v>
      </c>
      <c r="H225" s="9" t="n">
        <v>0</v>
      </c>
      <c r="I225" s="9"/>
      <c r="J225" s="205"/>
    </row>
    <row r="226" customFormat="false" ht="21.15" hidden="false" customHeight="true" outlineLevel="0" collapsed="false">
      <c r="A226" s="1" t="n">
        <v>31</v>
      </c>
      <c r="B226" s="31" t="n">
        <v>36161</v>
      </c>
      <c r="C226" s="1" t="n">
        <v>259200</v>
      </c>
      <c r="D226" s="9" t="s">
        <v>41</v>
      </c>
      <c r="E226" s="33" t="n">
        <f aca="false">IF(D226="totale",(C226/(A226*24))/F226,IF(D226="marché libre",(C226/(A226*24))/G226,"spécifier histo"))</f>
        <v>0.0775917810187513</v>
      </c>
      <c r="F226" s="56" t="n">
        <v>4490</v>
      </c>
      <c r="G226" s="56" t="n">
        <v>4490</v>
      </c>
      <c r="H226" s="9" t="n">
        <v>0</v>
      </c>
      <c r="I226" s="9"/>
      <c r="J226" s="205"/>
    </row>
    <row r="227" customFormat="false" ht="21.15" hidden="false" customHeight="true" outlineLevel="0" collapsed="false">
      <c r="A227" s="1" t="n">
        <v>28</v>
      </c>
      <c r="B227" s="34" t="n">
        <v>36192</v>
      </c>
      <c r="C227" s="1" t="n">
        <v>237200</v>
      </c>
      <c r="D227" s="9" t="s">
        <v>41</v>
      </c>
      <c r="E227" s="33" t="n">
        <f aca="false">IF(D227="totale",(C227/(A227*24))/F227,IF(D227="marché libre",(C227/(A227*24))/G227,"spécifier histo"))</f>
        <v>0.0786138508855658</v>
      </c>
      <c r="F227" s="56" t="n">
        <v>4490</v>
      </c>
      <c r="G227" s="56" t="n">
        <v>4490</v>
      </c>
      <c r="H227" s="9" t="n">
        <v>0</v>
      </c>
      <c r="I227" s="9"/>
      <c r="J227" s="205"/>
    </row>
    <row r="228" customFormat="false" ht="21.15" hidden="false" customHeight="true" outlineLevel="0" collapsed="false">
      <c r="A228" s="1" t="n">
        <v>31</v>
      </c>
      <c r="B228" s="31" t="n">
        <v>36220</v>
      </c>
      <c r="C228" s="1" t="n">
        <v>381600</v>
      </c>
      <c r="D228" s="9" t="s">
        <v>41</v>
      </c>
      <c r="E228" s="33" t="n">
        <f aca="false">IF(D228="totale",(C228/(A228*24))/F228,IF(D228="marché libre",(C228/(A228*24))/G228,"spécifier histo"))</f>
        <v>0.114232344277606</v>
      </c>
      <c r="F228" s="56" t="n">
        <v>4490</v>
      </c>
      <c r="G228" s="56" t="n">
        <v>4490</v>
      </c>
      <c r="H228" s="9" t="n">
        <v>0</v>
      </c>
      <c r="I228" s="9"/>
      <c r="J228" s="205"/>
    </row>
    <row r="229" customFormat="false" ht="21.15" hidden="false" customHeight="true" outlineLevel="0" collapsed="false">
      <c r="A229" s="1" t="n">
        <v>30</v>
      </c>
      <c r="B229" s="34" t="n">
        <v>36251</v>
      </c>
      <c r="C229" s="1" t="n">
        <v>654800</v>
      </c>
      <c r="D229" s="9" t="s">
        <v>41</v>
      </c>
      <c r="E229" s="33" t="n">
        <f aca="false">IF(D229="totale",(C229/(A229*24))/F229,IF(D229="marché libre",(C229/(A229*24))/G229,"spécifier histo"))</f>
        <v>0.202548874041079</v>
      </c>
      <c r="F229" s="56" t="n">
        <v>4490</v>
      </c>
      <c r="G229" s="56" t="n">
        <v>4490</v>
      </c>
      <c r="H229" s="9" t="n">
        <v>0</v>
      </c>
      <c r="I229" s="9"/>
      <c r="J229" s="205"/>
    </row>
    <row r="230" customFormat="false" ht="21.15" hidden="false" customHeight="true" outlineLevel="0" collapsed="false">
      <c r="A230" s="1" t="n">
        <v>31</v>
      </c>
      <c r="B230" s="31" t="n">
        <v>36281</v>
      </c>
      <c r="C230" s="1" t="n">
        <v>1724800</v>
      </c>
      <c r="D230" s="9" t="s">
        <v>41</v>
      </c>
      <c r="E230" s="33" t="n">
        <f aca="false">IF(D230="totale",(C230/(A230*24))/F230,IF(D230="marché libre",(C230/(A230*24))/G230,"spécifier histo"))</f>
        <v>0.516320616902555</v>
      </c>
      <c r="F230" s="56" t="n">
        <v>4490</v>
      </c>
      <c r="G230" s="56" t="n">
        <v>4490</v>
      </c>
      <c r="H230" s="9" t="n">
        <v>0</v>
      </c>
      <c r="I230" s="9"/>
      <c r="J230" s="205"/>
    </row>
    <row r="231" customFormat="false" ht="21.15" hidden="false" customHeight="true" outlineLevel="0" collapsed="false">
      <c r="A231" s="1" t="n">
        <v>30</v>
      </c>
      <c r="B231" s="34" t="n">
        <v>36312</v>
      </c>
      <c r="C231" s="1" t="n">
        <v>1604800</v>
      </c>
      <c r="D231" s="9" t="s">
        <v>41</v>
      </c>
      <c r="E231" s="33" t="n">
        <f aca="false">IF(D231="totale",(C231/(A231*24))/F231,IF(D231="marché libre",(C231/(A231*24))/G231,"spécifier histo"))</f>
        <v>0.496411779262559</v>
      </c>
      <c r="F231" s="56" t="n">
        <v>4490</v>
      </c>
      <c r="G231" s="56" t="n">
        <v>4490</v>
      </c>
      <c r="H231" s="9" t="n">
        <v>0</v>
      </c>
      <c r="I231" s="9"/>
      <c r="J231" s="205"/>
    </row>
    <row r="232" customFormat="false" ht="21.15" hidden="false" customHeight="true" outlineLevel="0" collapsed="false">
      <c r="A232" s="1" t="n">
        <v>31</v>
      </c>
      <c r="B232" s="31" t="n">
        <v>36342</v>
      </c>
      <c r="C232" s="1" t="n">
        <v>1208000</v>
      </c>
      <c r="D232" s="9" t="s">
        <v>41</v>
      </c>
      <c r="E232" s="33" t="n">
        <f aca="false">IF(D232="totale",(C232/(A232*24))/F232,IF(D232="marché libre",(C232/(A232*24))/G232,"spécifier histo"))</f>
        <v>0.361616016476279</v>
      </c>
      <c r="F232" s="56" t="n">
        <v>4490</v>
      </c>
      <c r="G232" s="56" t="n">
        <v>4490</v>
      </c>
      <c r="H232" s="9" t="n">
        <v>0</v>
      </c>
      <c r="I232" s="9"/>
      <c r="J232" s="205"/>
    </row>
    <row r="233" customFormat="false" ht="21.15" hidden="false" customHeight="true" outlineLevel="0" collapsed="false">
      <c r="A233" s="1" t="n">
        <v>31</v>
      </c>
      <c r="B233" s="34" t="n">
        <v>36373</v>
      </c>
      <c r="C233" s="1" t="n">
        <v>822000</v>
      </c>
      <c r="D233" s="9" t="s">
        <v>41</v>
      </c>
      <c r="E233" s="33" t="n">
        <f aca="false">IF(D233="totale",(C233/(A233*24))/F233,IF(D233="marché libre",(C233/(A233*24))/G233,"spécifier histo"))</f>
        <v>0.246066527767799</v>
      </c>
      <c r="F233" s="56" t="n">
        <v>4490</v>
      </c>
      <c r="G233" s="56" t="n">
        <v>4490</v>
      </c>
      <c r="H233" s="9" t="n">
        <v>0</v>
      </c>
      <c r="I233" s="9"/>
      <c r="J233" s="205"/>
    </row>
    <row r="234" customFormat="false" ht="21.15" hidden="false" customHeight="true" outlineLevel="0" collapsed="false">
      <c r="A234" s="1" t="n">
        <v>30</v>
      </c>
      <c r="B234" s="31" t="n">
        <v>36404</v>
      </c>
      <c r="C234" s="1" t="n">
        <v>500800</v>
      </c>
      <c r="D234" s="9" t="s">
        <v>41</v>
      </c>
      <c r="E234" s="33" t="n">
        <f aca="false">IF(D234="totale",(C234/(A234*24))/F234,IF(D234="marché libre",(C234/(A234*24))/G234,"spécifier histo"))</f>
        <v>0.154912150457807</v>
      </c>
      <c r="F234" s="56" t="n">
        <v>4490</v>
      </c>
      <c r="G234" s="56" t="n">
        <v>4490</v>
      </c>
      <c r="H234" s="9" t="n">
        <v>0</v>
      </c>
      <c r="I234" s="9"/>
      <c r="J234" s="205"/>
    </row>
    <row r="235" customFormat="false" ht="21.15" hidden="false" customHeight="true" outlineLevel="0" collapsed="false">
      <c r="A235" s="1" t="n">
        <v>31</v>
      </c>
      <c r="B235" s="34" t="n">
        <v>36434</v>
      </c>
      <c r="C235" s="1" t="n">
        <v>584000</v>
      </c>
      <c r="D235" s="9" t="s">
        <v>41</v>
      </c>
      <c r="E235" s="33" t="n">
        <f aca="false">IF(D235="totale",(C235/(A235*24))/F235,IF(D235="marché libre",(C235/(A235*24))/G235,"spécifier histo"))</f>
        <v>0.174820988097804</v>
      </c>
      <c r="F235" s="56" t="n">
        <v>4490</v>
      </c>
      <c r="G235" s="56" t="n">
        <v>4490</v>
      </c>
      <c r="H235" s="9" t="n">
        <v>0</v>
      </c>
      <c r="I235" s="9"/>
      <c r="J235" s="205"/>
    </row>
    <row r="236" customFormat="false" ht="21.15" hidden="false" customHeight="true" outlineLevel="0" collapsed="false">
      <c r="A236" s="1" t="n">
        <v>30</v>
      </c>
      <c r="B236" s="31" t="n">
        <v>36465</v>
      </c>
      <c r="C236" s="1" t="n">
        <v>444800</v>
      </c>
      <c r="D236" s="9" t="s">
        <v>41</v>
      </c>
      <c r="E236" s="33" t="n">
        <f aca="false">IF(D236="totale",(C236/(A236*24))/F236,IF(D236="marché libre",(C236/(A236*24))/G236,"spécifier histo"))</f>
        <v>0.137589705518436</v>
      </c>
      <c r="F236" s="56" t="n">
        <v>4490</v>
      </c>
      <c r="G236" s="56" t="n">
        <v>4490</v>
      </c>
      <c r="H236" s="9" t="n">
        <v>0</v>
      </c>
      <c r="I236" s="9"/>
      <c r="J236" s="205"/>
    </row>
    <row r="237" customFormat="false" ht="21.15" hidden="false" customHeight="true" outlineLevel="0" collapsed="false">
      <c r="A237" s="1" t="n">
        <v>31</v>
      </c>
      <c r="B237" s="34" t="n">
        <v>36495</v>
      </c>
      <c r="C237" s="1" t="n">
        <v>438800</v>
      </c>
      <c r="D237" s="9" t="s">
        <v>41</v>
      </c>
      <c r="E237" s="33" t="n">
        <f aca="false">IF(D237="totale",(C237/(A237*24))/F237,IF(D237="marché libre",(C237/(A237*24))/G237,"spécifier histo"))</f>
        <v>0.131355221878966</v>
      </c>
      <c r="F237" s="56" t="n">
        <v>4490</v>
      </c>
      <c r="G237" s="56" t="n">
        <v>4490</v>
      </c>
      <c r="H237" s="9" t="n">
        <v>0</v>
      </c>
      <c r="I237" s="9"/>
      <c r="J237" s="205"/>
    </row>
    <row r="238" customFormat="false" ht="21.15" hidden="false" customHeight="true" outlineLevel="0" collapsed="false">
      <c r="A238" s="1" t="n">
        <v>31</v>
      </c>
      <c r="B238" s="31" t="n">
        <v>36526</v>
      </c>
      <c r="C238" s="1" t="n">
        <v>243600</v>
      </c>
      <c r="D238" s="9" t="s">
        <v>41</v>
      </c>
      <c r="E238" s="33" t="n">
        <f aca="false">IF(D238="totale",(C238/(A238*24))/F238,IF(D238="marché libre",(C238/(A238*24))/G238,"spécifier histo"))</f>
        <v>0.0729219053092895</v>
      </c>
      <c r="F238" s="56" t="n">
        <v>4490</v>
      </c>
      <c r="G238" s="56" t="n">
        <v>4490</v>
      </c>
      <c r="H238" s="9" t="n">
        <v>0</v>
      </c>
      <c r="I238" s="9"/>
      <c r="J238" s="205"/>
    </row>
    <row r="239" customFormat="false" ht="21.15" hidden="false" customHeight="true" outlineLevel="0" collapsed="false">
      <c r="A239" s="1" t="n">
        <v>28</v>
      </c>
      <c r="B239" s="34" t="n">
        <v>36557</v>
      </c>
      <c r="C239" s="1" t="n">
        <v>290800</v>
      </c>
      <c r="D239" s="9" t="s">
        <v>41</v>
      </c>
      <c r="E239" s="33" t="n">
        <f aca="false">IF(D239="totale",(C239/(A239*24))/F239,IF(D239="marché libre",(C239/(A239*24))/G239,"spécifier histo"))</f>
        <v>0.0963781949305335</v>
      </c>
      <c r="F239" s="56" t="n">
        <v>4490</v>
      </c>
      <c r="G239" s="56" t="n">
        <v>4490</v>
      </c>
      <c r="H239" s="9" t="n">
        <v>0</v>
      </c>
      <c r="I239" s="9"/>
      <c r="J239" s="205"/>
    </row>
    <row r="240" customFormat="false" ht="21.15" hidden="false" customHeight="true" outlineLevel="0" collapsed="false">
      <c r="A240" s="1" t="n">
        <v>31</v>
      </c>
      <c r="B240" s="31" t="n">
        <v>36586</v>
      </c>
      <c r="C240" s="1" t="n">
        <v>372800</v>
      </c>
      <c r="D240" s="9" t="s">
        <v>41</v>
      </c>
      <c r="E240" s="33" t="n">
        <f aca="false">IF(D240="totale",(C240/(A240*24))/F240,IF(D240="marché libre",(C240/(A240*24))/G240,"spécifier histo"))</f>
        <v>0.111598055415858</v>
      </c>
      <c r="F240" s="56" t="n">
        <v>4490</v>
      </c>
      <c r="G240" s="56" t="n">
        <v>4490</v>
      </c>
      <c r="H240" s="9" t="n">
        <v>0</v>
      </c>
      <c r="I240" s="9"/>
      <c r="J240" s="205"/>
    </row>
    <row r="241" customFormat="false" ht="21.15" hidden="false" customHeight="true" outlineLevel="0" collapsed="false">
      <c r="A241" s="1" t="n">
        <v>30</v>
      </c>
      <c r="B241" s="34" t="n">
        <v>36617</v>
      </c>
      <c r="C241" s="1" t="n">
        <v>658800</v>
      </c>
      <c r="D241" s="9" t="s">
        <v>41</v>
      </c>
      <c r="E241" s="33" t="n">
        <f aca="false">IF(D241="totale",(C241/(A241*24))/F241,IF(D241="marché libre",(C241/(A241*24))/G241,"spécifier histo"))</f>
        <v>0.203786191536748</v>
      </c>
      <c r="F241" s="56" t="n">
        <v>4490</v>
      </c>
      <c r="G241" s="56" t="n">
        <v>4490</v>
      </c>
      <c r="H241" s="9" t="n">
        <v>0</v>
      </c>
      <c r="I241" s="9"/>
      <c r="J241" s="205"/>
    </row>
    <row r="242" customFormat="false" ht="21.15" hidden="false" customHeight="true" outlineLevel="0" collapsed="false">
      <c r="A242" s="1" t="n">
        <v>31</v>
      </c>
      <c r="B242" s="31" t="n">
        <v>36647</v>
      </c>
      <c r="C242" s="1" t="n">
        <v>1576800</v>
      </c>
      <c r="D242" s="9" t="s">
        <v>41</v>
      </c>
      <c r="E242" s="33" t="n">
        <f aca="false">IF(D242="totale",(C242/(A242*24))/F242,IF(D242="marché libre",(C242/(A242*24))/G242,"spécifier histo"))</f>
        <v>0.472016667864071</v>
      </c>
      <c r="F242" s="56" t="n">
        <v>4490</v>
      </c>
      <c r="G242" s="56" t="n">
        <v>4490</v>
      </c>
      <c r="H242" s="9" t="n">
        <v>0</v>
      </c>
      <c r="I242" s="9"/>
      <c r="J242" s="205"/>
    </row>
    <row r="243" customFormat="false" ht="21.15" hidden="false" customHeight="true" outlineLevel="0" collapsed="false">
      <c r="A243" s="1" t="n">
        <v>30</v>
      </c>
      <c r="B243" s="34" t="n">
        <v>36678</v>
      </c>
      <c r="C243" s="1" t="n">
        <v>1413600</v>
      </c>
      <c r="D243" s="9" t="s">
        <v>41</v>
      </c>
      <c r="E243" s="33" t="n">
        <f aca="false">IF(D243="totale",(C243/(A243*24))/F243,IF(D243="marché libre",(C243/(A243*24))/G243,"spécifier histo"))</f>
        <v>0.437268002969562</v>
      </c>
      <c r="F243" s="56" t="n">
        <v>4490</v>
      </c>
      <c r="G243" s="56" t="n">
        <v>4490</v>
      </c>
      <c r="H243" s="9" t="n">
        <v>0</v>
      </c>
      <c r="I243" s="9"/>
      <c r="J243" s="205"/>
    </row>
    <row r="244" customFormat="false" ht="21.15" hidden="false" customHeight="true" outlineLevel="0" collapsed="false">
      <c r="A244" s="1" t="n">
        <v>31</v>
      </c>
      <c r="B244" s="31" t="n">
        <v>36708</v>
      </c>
      <c r="C244" s="1" t="n">
        <v>1136800</v>
      </c>
      <c r="D244" s="9" t="s">
        <v>41</v>
      </c>
      <c r="E244" s="33" t="n">
        <f aca="false">IF(D244="totale",(C244/(A244*24))/F244,IF(D244="marché libre",(C244/(A244*24))/G244,"spécifier histo"))</f>
        <v>0.340302224776684</v>
      </c>
      <c r="F244" s="56" t="n">
        <v>4490</v>
      </c>
      <c r="G244" s="56" t="n">
        <v>4490</v>
      </c>
      <c r="H244" s="9" t="n">
        <v>0</v>
      </c>
      <c r="I244" s="9"/>
      <c r="J244" s="205"/>
    </row>
    <row r="245" customFormat="false" ht="21.15" hidden="false" customHeight="true" outlineLevel="0" collapsed="false">
      <c r="A245" s="1" t="n">
        <v>31</v>
      </c>
      <c r="B245" s="34" t="n">
        <v>36739</v>
      </c>
      <c r="C245" s="1" t="n">
        <v>896000</v>
      </c>
      <c r="D245" s="9" t="s">
        <v>41</v>
      </c>
      <c r="E245" s="33" t="n">
        <f aca="false">IF(D245="totale",(C245/(A245*24))/F245,IF(D245="marché libre",(C245/(A245*24))/G245,"spécifier histo"))</f>
        <v>0.268218502287042</v>
      </c>
      <c r="F245" s="56" t="n">
        <v>4490</v>
      </c>
      <c r="G245" s="56" t="n">
        <v>4490</v>
      </c>
      <c r="H245" s="9" t="n">
        <v>0</v>
      </c>
      <c r="I245" s="9"/>
      <c r="J245" s="205"/>
    </row>
    <row r="246" customFormat="false" ht="21.15" hidden="false" customHeight="true" outlineLevel="0" collapsed="false">
      <c r="A246" s="1" t="n">
        <v>30</v>
      </c>
      <c r="B246" s="31" t="n">
        <v>36770</v>
      </c>
      <c r="C246" s="1" t="n">
        <v>492400</v>
      </c>
      <c r="D246" s="9" t="s">
        <v>41</v>
      </c>
      <c r="E246" s="33" t="n">
        <f aca="false">IF(D246="totale",(C246/(A246*24))/F246,IF(D246="marché libre",(C246/(A246*24))/G246,"spécifier histo"))</f>
        <v>0.152313783716902</v>
      </c>
      <c r="F246" s="56" t="n">
        <v>4490</v>
      </c>
      <c r="G246" s="56" t="n">
        <v>4490</v>
      </c>
      <c r="H246" s="9" t="n">
        <v>0</v>
      </c>
      <c r="I246" s="9"/>
      <c r="J246" s="205"/>
    </row>
    <row r="247" customFormat="false" ht="21.15" hidden="false" customHeight="true" outlineLevel="0" collapsed="false">
      <c r="A247" s="1" t="n">
        <v>31</v>
      </c>
      <c r="B247" s="34" t="n">
        <v>36800</v>
      </c>
      <c r="C247" s="1" t="n">
        <v>787600</v>
      </c>
      <c r="D247" s="9" t="s">
        <v>41</v>
      </c>
      <c r="E247" s="33" t="n">
        <f aca="false">IF(D247="totale",(C247/(A247*24))/F247,IF(D247="marché libre",(C247/(A247*24))/G247,"spécifier histo"))</f>
        <v>0.235768853126422</v>
      </c>
      <c r="F247" s="56" t="n">
        <v>4490</v>
      </c>
      <c r="G247" s="56" t="n">
        <v>4490</v>
      </c>
      <c r="H247" s="9" t="n">
        <v>0</v>
      </c>
      <c r="I247" s="9"/>
      <c r="J247" s="205"/>
    </row>
    <row r="248" customFormat="false" ht="21.15" hidden="false" customHeight="true" outlineLevel="0" collapsed="false">
      <c r="A248" s="1" t="n">
        <v>30</v>
      </c>
      <c r="B248" s="31" t="n">
        <v>36831</v>
      </c>
      <c r="C248" s="1" t="n">
        <v>638000</v>
      </c>
      <c r="D248" s="9" t="s">
        <v>41</v>
      </c>
      <c r="E248" s="33" t="n">
        <f aca="false">IF(D248="totale",(C248/(A248*24))/F248,IF(D248="marché libre",(C248/(A248*24))/G248,"spécifier histo"))</f>
        <v>0.197352140559268</v>
      </c>
      <c r="F248" s="56" t="n">
        <v>4490</v>
      </c>
      <c r="G248" s="56" t="n">
        <v>4490</v>
      </c>
      <c r="H248" s="9" t="n">
        <v>0</v>
      </c>
      <c r="I248" s="9"/>
      <c r="J248" s="205"/>
    </row>
    <row r="249" customFormat="false" ht="21.15" hidden="false" customHeight="true" outlineLevel="0" collapsed="false">
      <c r="A249" s="1" t="n">
        <v>31</v>
      </c>
      <c r="B249" s="34" t="n">
        <v>36861</v>
      </c>
      <c r="C249" s="1" t="n">
        <v>478000</v>
      </c>
      <c r="D249" s="9" t="s">
        <v>41</v>
      </c>
      <c r="E249" s="33" t="n">
        <f aca="false">IF(D249="totale",(C249/(A249*24))/F249,IF(D249="marché libre",(C249/(A249*24))/G249,"spécifier histo"))</f>
        <v>0.143089781354024</v>
      </c>
      <c r="F249" s="56" t="n">
        <v>4490</v>
      </c>
      <c r="G249" s="56" t="n">
        <v>4490</v>
      </c>
      <c r="H249" s="9" t="n">
        <v>0</v>
      </c>
      <c r="I249" s="9"/>
      <c r="J249" s="205"/>
    </row>
    <row r="250" customFormat="false" ht="21.15" hidden="false" customHeight="true" outlineLevel="0" collapsed="false">
      <c r="A250" s="1" t="n">
        <v>31</v>
      </c>
      <c r="B250" s="31" t="n">
        <v>36892</v>
      </c>
      <c r="C250" s="1" t="n">
        <v>339200</v>
      </c>
      <c r="D250" s="9" t="s">
        <v>41</v>
      </c>
      <c r="E250" s="33" t="n">
        <f aca="false">IF(D250="totale",(C250/(A250*24))/F250,IF(D250="marché libre",(C250/(A250*24))/G250,"spécifier histo"))</f>
        <v>0.101539861580094</v>
      </c>
      <c r="F250" s="56" t="n">
        <v>4490</v>
      </c>
      <c r="G250" s="56" t="n">
        <v>4490</v>
      </c>
      <c r="H250" s="9" t="n">
        <v>0</v>
      </c>
      <c r="I250" s="9"/>
      <c r="J250" s="205"/>
    </row>
    <row r="251" customFormat="false" ht="21.15" hidden="false" customHeight="true" outlineLevel="0" collapsed="false">
      <c r="A251" s="1" t="n">
        <v>28</v>
      </c>
      <c r="B251" s="34" t="n">
        <v>36923</v>
      </c>
      <c r="C251" s="1" t="n">
        <v>292400</v>
      </c>
      <c r="D251" s="9" t="s">
        <v>41</v>
      </c>
      <c r="E251" s="33" t="n">
        <f aca="false">IF(D251="totale",(C251/(A251*24))/F251,IF(D251="marché libre",(C251/(A251*24))/G251,"spécifier histo"))</f>
        <v>0.0969084738572489</v>
      </c>
      <c r="F251" s="56" t="n">
        <v>4490</v>
      </c>
      <c r="G251" s="56" t="n">
        <v>4490</v>
      </c>
      <c r="H251" s="9" t="n">
        <v>0</v>
      </c>
      <c r="I251" s="9"/>
      <c r="J251" s="205"/>
    </row>
    <row r="252" customFormat="false" ht="21.15" hidden="false" customHeight="true" outlineLevel="0" collapsed="false">
      <c r="A252" s="1" t="n">
        <v>31</v>
      </c>
      <c r="B252" s="31" t="n">
        <v>36951</v>
      </c>
      <c r="C252" s="1" t="n">
        <v>895600</v>
      </c>
      <c r="D252" s="9" t="s">
        <v>41</v>
      </c>
      <c r="E252" s="33" t="n">
        <f aca="false">IF(D252="totale",(C252/(A252*24))/F252,IF(D252="marché libre",(C252/(A252*24))/G252,"spécifier histo"))</f>
        <v>0.268098761884235</v>
      </c>
      <c r="F252" s="56" t="n">
        <v>4490</v>
      </c>
      <c r="G252" s="56" t="n">
        <v>4490</v>
      </c>
      <c r="H252" s="9" t="n">
        <v>0</v>
      </c>
      <c r="I252" s="9"/>
      <c r="J252" s="205"/>
    </row>
    <row r="253" customFormat="false" ht="21.15" hidden="false" customHeight="true" outlineLevel="0" collapsed="false">
      <c r="A253" s="1" t="n">
        <v>30</v>
      </c>
      <c r="B253" s="34" t="n">
        <v>36982</v>
      </c>
      <c r="C253" s="1" t="n">
        <v>742800</v>
      </c>
      <c r="D253" s="9" t="s">
        <v>41</v>
      </c>
      <c r="E253" s="33" t="n">
        <f aca="false">IF(D253="totale",(C253/(A253*24))/F253,IF(D253="marché libre",(C253/(A253*24))/G253,"spécifier histo"))</f>
        <v>0.229769858945805</v>
      </c>
      <c r="F253" s="56" t="n">
        <v>4490</v>
      </c>
      <c r="G253" s="56" t="n">
        <v>4490</v>
      </c>
      <c r="H253" s="9" t="n">
        <v>0</v>
      </c>
      <c r="I253" s="9"/>
      <c r="J253" s="205"/>
    </row>
    <row r="254" customFormat="false" ht="21.15" hidden="false" customHeight="true" outlineLevel="0" collapsed="false">
      <c r="A254" s="1" t="n">
        <v>31</v>
      </c>
      <c r="B254" s="31" t="n">
        <v>37012</v>
      </c>
      <c r="C254" s="1" t="n">
        <v>1734000</v>
      </c>
      <c r="D254" s="9" t="s">
        <v>41</v>
      </c>
      <c r="E254" s="33" t="n">
        <f aca="false">IF(D254="totale",(C254/(A254*24))/F254,IF(D254="marché libre",(C254/(A254*24))/G254,"spécifier histo"))</f>
        <v>0.51907464616711</v>
      </c>
      <c r="F254" s="56" t="n">
        <v>4490</v>
      </c>
      <c r="G254" s="56" t="n">
        <v>4490</v>
      </c>
      <c r="H254" s="9" t="n">
        <v>0</v>
      </c>
      <c r="I254" s="9"/>
      <c r="J254" s="205"/>
    </row>
    <row r="255" customFormat="false" ht="21.15" hidden="false" customHeight="true" outlineLevel="0" collapsed="false">
      <c r="A255" s="1" t="n">
        <v>30</v>
      </c>
      <c r="B255" s="34" t="n">
        <v>37043</v>
      </c>
      <c r="C255" s="1" t="n">
        <v>1753000</v>
      </c>
      <c r="D255" s="9" t="s">
        <v>41</v>
      </c>
      <c r="E255" s="33" t="n">
        <f aca="false">IF(D255="totale",(C255/(A255*24))/F255,IF(D255="marché libre",(C255/(A255*24))/G255,"spécifier histo"))</f>
        <v>0.54225439247711</v>
      </c>
      <c r="F255" s="56" t="n">
        <v>4490</v>
      </c>
      <c r="G255" s="56" t="n">
        <v>4490</v>
      </c>
      <c r="H255" s="9" t="n">
        <v>0</v>
      </c>
      <c r="I255" s="9"/>
      <c r="J255" s="205"/>
    </row>
    <row r="256" customFormat="false" ht="21.15" hidden="false" customHeight="true" outlineLevel="0" collapsed="false">
      <c r="A256" s="1" t="n">
        <v>31</v>
      </c>
      <c r="B256" s="31" t="n">
        <v>37073</v>
      </c>
      <c r="C256" s="1" t="n">
        <v>1489200</v>
      </c>
      <c r="D256" s="9" t="s">
        <v>41</v>
      </c>
      <c r="E256" s="33" t="n">
        <f aca="false">IF(D256="totale",(C256/(A256*24))/F256,IF(D256="marché libre",(C256/(A256*24))/G256,"spécifier histo"))</f>
        <v>0.4457935196494</v>
      </c>
      <c r="F256" s="56" t="n">
        <v>4490</v>
      </c>
      <c r="G256" s="56" t="n">
        <v>4490</v>
      </c>
      <c r="H256" s="9" t="n">
        <v>0</v>
      </c>
      <c r="I256" s="9"/>
      <c r="J256" s="205"/>
    </row>
    <row r="257" customFormat="false" ht="21.15" hidden="false" customHeight="true" outlineLevel="0" collapsed="false">
      <c r="A257" s="1" t="n">
        <v>31</v>
      </c>
      <c r="B257" s="34" t="n">
        <v>37104</v>
      </c>
      <c r="C257" s="1" t="n">
        <v>843200</v>
      </c>
      <c r="D257" s="9" t="s">
        <v>41</v>
      </c>
      <c r="E257" s="33" t="n">
        <f aca="false">IF(D257="totale",(C257/(A257*24))/F257,IF(D257="marché libre",(C257/(A257*24))/G257,"spécifier histo"))</f>
        <v>0.252412769116555</v>
      </c>
      <c r="F257" s="56" t="n">
        <v>4490</v>
      </c>
      <c r="G257" s="56" t="n">
        <v>4490</v>
      </c>
      <c r="H257" s="9" t="n">
        <v>0</v>
      </c>
      <c r="I257" s="9"/>
      <c r="J257" s="205"/>
    </row>
    <row r="258" customFormat="false" ht="21.15" hidden="false" customHeight="true" outlineLevel="0" collapsed="false">
      <c r="A258" s="1" t="n">
        <v>30</v>
      </c>
      <c r="B258" s="31" t="n">
        <v>37135</v>
      </c>
      <c r="C258" s="1" t="n">
        <v>826800</v>
      </c>
      <c r="D258" s="9" t="s">
        <v>41</v>
      </c>
      <c r="E258" s="33" t="n">
        <f aca="false">IF(D258="totale",(C258/(A258*24))/F258,IF(D258="marché libre",(C258/(A258*24))/G258,"spécifier histo"))</f>
        <v>0.255753526354863</v>
      </c>
      <c r="F258" s="56" t="n">
        <v>4490</v>
      </c>
      <c r="G258" s="56" t="n">
        <v>4490</v>
      </c>
      <c r="H258" s="9" t="n">
        <v>0</v>
      </c>
      <c r="I258" s="9"/>
      <c r="J258" s="205"/>
    </row>
    <row r="259" customFormat="false" ht="21.15" hidden="false" customHeight="true" outlineLevel="0" collapsed="false">
      <c r="A259" s="1" t="n">
        <v>31</v>
      </c>
      <c r="B259" s="34" t="n">
        <v>37165</v>
      </c>
      <c r="C259" s="1" t="n">
        <v>684200</v>
      </c>
      <c r="D259" s="9" t="s">
        <v>41</v>
      </c>
      <c r="E259" s="33" t="n">
        <f aca="false">IF(D259="totale",(C259/(A259*24))/F259,IF(D259="marché libre",(C259/(A259*24))/G259,"spécifier histo"))</f>
        <v>0.204815959000886</v>
      </c>
      <c r="F259" s="56" t="n">
        <v>4490</v>
      </c>
      <c r="G259" s="56" t="n">
        <v>4490</v>
      </c>
      <c r="H259" s="9" t="n">
        <v>0</v>
      </c>
      <c r="I259" s="9"/>
      <c r="J259" s="205"/>
    </row>
    <row r="260" customFormat="false" ht="21.15" hidden="false" customHeight="true" outlineLevel="0" collapsed="false">
      <c r="A260" s="1" t="n">
        <v>30</v>
      </c>
      <c r="B260" s="31" t="n">
        <v>37196</v>
      </c>
      <c r="C260" s="1" t="n">
        <v>453600</v>
      </c>
      <c r="D260" s="9" t="s">
        <v>41</v>
      </c>
      <c r="E260" s="33" t="n">
        <f aca="false">IF(D260="totale",(C260/(A260*24))/F260,IF(D260="marché libre",(C260/(A260*24))/G260,"spécifier histo"))</f>
        <v>0.140311804008909</v>
      </c>
      <c r="F260" s="56" t="n">
        <v>4490</v>
      </c>
      <c r="G260" s="56" t="n">
        <v>4490</v>
      </c>
      <c r="H260" s="9" t="n">
        <v>0</v>
      </c>
      <c r="I260" s="9"/>
      <c r="J260" s="205"/>
    </row>
    <row r="261" customFormat="false" ht="21.15" hidden="false" customHeight="true" outlineLevel="0" collapsed="false">
      <c r="A261" s="1" t="n">
        <v>31</v>
      </c>
      <c r="B261" s="34" t="n">
        <v>37226</v>
      </c>
      <c r="C261" s="1" t="n">
        <v>314800</v>
      </c>
      <c r="D261" s="9" t="s">
        <v>41</v>
      </c>
      <c r="E261" s="33" t="n">
        <f aca="false">IF(D261="totale",(C261/(A261*24))/F261,IF(D261="marché libre",(C261/(A261*24))/G261,"spécifier histo"))</f>
        <v>0.0942356970088847</v>
      </c>
      <c r="F261" s="56" t="n">
        <v>4490</v>
      </c>
      <c r="G261" s="56" t="n">
        <v>4490</v>
      </c>
      <c r="H261" s="9" t="n">
        <v>0</v>
      </c>
      <c r="I261" s="9"/>
      <c r="J261" s="205"/>
    </row>
    <row r="262" customFormat="false" ht="21.15" hidden="false" customHeight="true" outlineLevel="0" collapsed="false">
      <c r="A262" s="1" t="n">
        <v>31</v>
      </c>
      <c r="B262" s="31" t="n">
        <v>37257</v>
      </c>
      <c r="C262" s="1" t="n">
        <v>203200</v>
      </c>
      <c r="D262" s="9" t="s">
        <v>41</v>
      </c>
      <c r="E262" s="33" t="n">
        <f aca="false">IF(D262="totale",(C262/(A262*24))/F262,IF(D262="marché libre",(C262/(A262*24))/G262,"spécifier histo"))</f>
        <v>0.0608281246258112</v>
      </c>
      <c r="F262" s="56" t="n">
        <v>4490</v>
      </c>
      <c r="G262" s="56" t="n">
        <v>4490</v>
      </c>
      <c r="H262" s="9" t="n">
        <v>0</v>
      </c>
      <c r="I262" s="9"/>
      <c r="J262" s="205"/>
    </row>
    <row r="263" customFormat="false" ht="21.15" hidden="false" customHeight="true" outlineLevel="0" collapsed="false">
      <c r="A263" s="1" t="n">
        <v>28</v>
      </c>
      <c r="B263" s="34" t="n">
        <v>37288</v>
      </c>
      <c r="C263" s="1" t="n">
        <v>216600</v>
      </c>
      <c r="D263" s="9" t="s">
        <v>41</v>
      </c>
      <c r="E263" s="33" t="n">
        <f aca="false">IF(D263="totale",(C263/(A263*24))/F263,IF(D263="marché libre",(C263/(A263*24))/G263,"spécifier histo"))</f>
        <v>0.0717865097041044</v>
      </c>
      <c r="F263" s="56" t="n">
        <v>4490</v>
      </c>
      <c r="G263" s="56" t="n">
        <v>4490</v>
      </c>
      <c r="H263" s="9" t="n">
        <v>0</v>
      </c>
      <c r="I263" s="9"/>
      <c r="J263" s="205"/>
    </row>
    <row r="264" customFormat="false" ht="21.15" hidden="false" customHeight="true" outlineLevel="0" collapsed="false">
      <c r="A264" s="1" t="n">
        <v>31</v>
      </c>
      <c r="B264" s="31" t="n">
        <v>37316</v>
      </c>
      <c r="C264" s="1" t="n">
        <v>455600</v>
      </c>
      <c r="D264" s="9" t="s">
        <v>41</v>
      </c>
      <c r="E264" s="33" t="n">
        <f aca="false">IF(D264="totale",(C264/(A264*24))/F264,IF(D264="marché libre",(C264/(A264*24))/G264,"spécifier histo"))</f>
        <v>0.136384318796848</v>
      </c>
      <c r="F264" s="56" t="n">
        <v>4490</v>
      </c>
      <c r="G264" s="56" t="n">
        <v>4490</v>
      </c>
      <c r="H264" s="9" t="n">
        <v>0</v>
      </c>
      <c r="I264" s="9"/>
      <c r="J264" s="205"/>
    </row>
    <row r="265" customFormat="false" ht="21.15" hidden="false" customHeight="true" outlineLevel="0" collapsed="false">
      <c r="A265" s="1" t="n">
        <v>30</v>
      </c>
      <c r="B265" s="34" t="n">
        <v>37347</v>
      </c>
      <c r="C265" s="1" t="n">
        <v>450400</v>
      </c>
      <c r="D265" s="9" t="s">
        <v>41</v>
      </c>
      <c r="E265" s="33" t="n">
        <f aca="false">IF(D265="totale",(C265/(A265*24))/F265,IF(D265="marché libre",(C265/(A265*24))/G265,"spécifier histo"))</f>
        <v>0.139321950012373</v>
      </c>
      <c r="F265" s="56" t="n">
        <v>4490</v>
      </c>
      <c r="G265" s="56" t="n">
        <v>4490</v>
      </c>
      <c r="H265" s="9" t="n">
        <v>0</v>
      </c>
      <c r="I265" s="9"/>
      <c r="J265" s="205"/>
    </row>
    <row r="266" customFormat="false" ht="21.15" hidden="false" customHeight="true" outlineLevel="0" collapsed="false">
      <c r="A266" s="1" t="n">
        <v>31</v>
      </c>
      <c r="B266" s="31" t="n">
        <v>37377</v>
      </c>
      <c r="C266" s="1" t="n">
        <v>1067200</v>
      </c>
      <c r="D266" s="9" t="s">
        <v>41</v>
      </c>
      <c r="E266" s="33" t="n">
        <f aca="false">IF(D266="totale",(C266/(A266*24))/F266,IF(D266="marché libre",(C266/(A266*24))/G266,"spécifier histo"))</f>
        <v>0.319467394688316</v>
      </c>
      <c r="F266" s="56" t="n">
        <v>4490</v>
      </c>
      <c r="G266" s="56" t="n">
        <v>4490</v>
      </c>
      <c r="H266" s="9" t="n">
        <v>0</v>
      </c>
      <c r="I266" s="9"/>
      <c r="J266" s="205"/>
    </row>
    <row r="267" customFormat="false" ht="21.15" hidden="false" customHeight="true" outlineLevel="0" collapsed="false">
      <c r="A267" s="1" t="n">
        <v>30</v>
      </c>
      <c r="B267" s="34" t="n">
        <v>37408</v>
      </c>
      <c r="C267" s="1" t="n">
        <v>1269000</v>
      </c>
      <c r="D267" s="9" t="s">
        <v>41</v>
      </c>
      <c r="E267" s="33" t="n">
        <f aca="false">IF(D267="totale",(C267/(A267*24))/F267,IF(D267="marché libre",(C267/(A267*24))/G267,"spécifier histo"))</f>
        <v>0.392538975501114</v>
      </c>
      <c r="F267" s="56" t="n">
        <v>4490</v>
      </c>
      <c r="G267" s="56" t="n">
        <v>4490</v>
      </c>
      <c r="H267" s="9" t="n">
        <v>0</v>
      </c>
      <c r="I267" s="9"/>
      <c r="J267" s="205"/>
    </row>
    <row r="268" customFormat="false" ht="21.15" hidden="false" customHeight="true" outlineLevel="0" collapsed="false">
      <c r="A268" s="1" t="n">
        <v>31</v>
      </c>
      <c r="B268" s="31" t="n">
        <v>37438</v>
      </c>
      <c r="C268" s="1" t="n">
        <v>799200</v>
      </c>
      <c r="D268" s="9" t="s">
        <v>41</v>
      </c>
      <c r="E268" s="33" t="n">
        <f aca="false">IF(D268="totale",(C268/(A268*24))/F268,IF(D268="marché libre",(C268/(A268*24))/G268,"spécifier histo"))</f>
        <v>0.239241324807817</v>
      </c>
      <c r="F268" s="56" t="n">
        <v>4490</v>
      </c>
      <c r="G268" s="56" t="n">
        <v>4490</v>
      </c>
      <c r="H268" s="9" t="n">
        <v>0</v>
      </c>
      <c r="I268" s="9"/>
      <c r="J268" s="205"/>
    </row>
    <row r="269" customFormat="false" ht="21.15" hidden="false" customHeight="true" outlineLevel="0" collapsed="false">
      <c r="A269" s="1" t="n">
        <v>31</v>
      </c>
      <c r="B269" s="34" t="n">
        <v>37469</v>
      </c>
      <c r="C269" s="1" t="n">
        <v>782400</v>
      </c>
      <c r="D269" s="9" t="s">
        <v>41</v>
      </c>
      <c r="E269" s="33" t="n">
        <f aca="false">IF(D269="totale",(C269/(A269*24))/F269,IF(D269="marché libre",(C269/(A269*24))/G269,"spécifier histo"))</f>
        <v>0.234212227889935</v>
      </c>
      <c r="F269" s="56" t="n">
        <v>4490</v>
      </c>
      <c r="G269" s="56" t="n">
        <v>4490</v>
      </c>
      <c r="H269" s="9" t="n">
        <v>0</v>
      </c>
      <c r="I269" s="9"/>
      <c r="J269" s="205"/>
    </row>
    <row r="270" customFormat="false" ht="21.15" hidden="false" customHeight="true" outlineLevel="0" collapsed="false">
      <c r="A270" s="1" t="n">
        <v>30</v>
      </c>
      <c r="B270" s="31" t="n">
        <v>37500</v>
      </c>
      <c r="C270" s="1" t="n">
        <v>718800</v>
      </c>
      <c r="D270" s="9" t="s">
        <v>41</v>
      </c>
      <c r="E270" s="33" t="n">
        <f aca="false">IF(D270="totale",(C270/(A270*24))/F270,IF(D270="marché libre",(C270/(A270*24))/G270,"spécifier histo"))</f>
        <v>0.222345953971789</v>
      </c>
      <c r="F270" s="56" t="n">
        <v>4490</v>
      </c>
      <c r="G270" s="56" t="n">
        <v>4490</v>
      </c>
      <c r="H270" s="9" t="n">
        <v>0</v>
      </c>
      <c r="I270" s="9"/>
      <c r="J270" s="205"/>
    </row>
    <row r="271" customFormat="false" ht="21.15" hidden="false" customHeight="true" outlineLevel="0" collapsed="false">
      <c r="A271" s="1" t="n">
        <v>31</v>
      </c>
      <c r="B271" s="34" t="n">
        <v>37530</v>
      </c>
      <c r="C271" s="1" t="n">
        <v>709600</v>
      </c>
      <c r="D271" s="9" t="s">
        <v>41</v>
      </c>
      <c r="E271" s="33" t="n">
        <f aca="false">IF(D271="totale",(C271/(A271*24))/F271,IF(D271="marché libre",(C271/(A271*24))/G271,"spécifier histo"))</f>
        <v>0.212419474579112</v>
      </c>
      <c r="F271" s="56" t="n">
        <v>4490</v>
      </c>
      <c r="G271" s="56" t="n">
        <v>4490</v>
      </c>
      <c r="H271" s="9" t="n">
        <v>0</v>
      </c>
      <c r="I271" s="9"/>
      <c r="J271" s="205"/>
    </row>
    <row r="272" customFormat="false" ht="21.15" hidden="false" customHeight="true" outlineLevel="0" collapsed="false">
      <c r="A272" s="1" t="n">
        <v>30</v>
      </c>
      <c r="B272" s="31" t="n">
        <v>37561</v>
      </c>
      <c r="C272" s="1" t="n">
        <v>995600</v>
      </c>
      <c r="D272" s="9" t="s">
        <v>41</v>
      </c>
      <c r="E272" s="33" t="n">
        <f aca="false">IF(D272="totale",(C272/(A272*24))/F272,IF(D272="marché libre",(C272/(A272*24))/G272,"spécifier histo"))</f>
        <v>0.307968324672111</v>
      </c>
      <c r="F272" s="56" t="n">
        <v>4490</v>
      </c>
      <c r="G272" s="56" t="n">
        <v>4490</v>
      </c>
      <c r="H272" s="9" t="n">
        <v>0</v>
      </c>
      <c r="I272" s="9"/>
      <c r="J272" s="205"/>
    </row>
    <row r="273" customFormat="false" ht="21.15" hidden="false" customHeight="true" outlineLevel="0" collapsed="false">
      <c r="A273" s="1" t="n">
        <v>31</v>
      </c>
      <c r="B273" s="34" t="n">
        <v>37591</v>
      </c>
      <c r="C273" s="1" t="n">
        <v>514800</v>
      </c>
      <c r="D273" s="9" t="s">
        <v>41</v>
      </c>
      <c r="E273" s="33" t="n">
        <f aca="false">IF(D273="totale",(C273/(A273*24))/F273,IF(D273="marché libre",(C273/(A273*24))/G273,"spécifier histo"))</f>
        <v>0.154105898412242</v>
      </c>
      <c r="F273" s="56" t="n">
        <v>4490</v>
      </c>
      <c r="G273" s="56" t="n">
        <v>4490</v>
      </c>
      <c r="H273" s="9" t="n">
        <v>0</v>
      </c>
      <c r="I273" s="9"/>
      <c r="J273" s="205"/>
    </row>
    <row r="274" customFormat="false" ht="21.15" hidden="false" customHeight="true" outlineLevel="0" collapsed="false">
      <c r="A274" s="1" t="n">
        <v>31</v>
      </c>
      <c r="B274" s="31" t="n">
        <v>37622</v>
      </c>
      <c r="C274" s="1" t="n">
        <v>482000</v>
      </c>
      <c r="D274" s="9" t="s">
        <v>41</v>
      </c>
      <c r="E274" s="33" t="n">
        <f aca="false">IF(D274="totale",(C274/(A274*24))/F274,IF(D274="marché libre",(C274/(A274*24))/G274,"spécifier histo"))</f>
        <v>0.144287185382092</v>
      </c>
      <c r="F274" s="56" t="n">
        <v>4490</v>
      </c>
      <c r="G274" s="56" t="n">
        <v>4490</v>
      </c>
      <c r="H274" s="9" t="n">
        <v>0</v>
      </c>
      <c r="I274" s="9"/>
      <c r="J274" s="205"/>
    </row>
    <row r="275" customFormat="false" ht="21.15" hidden="false" customHeight="true" outlineLevel="0" collapsed="false">
      <c r="A275" s="1" t="n">
        <v>28</v>
      </c>
      <c r="B275" s="34" t="n">
        <v>37653</v>
      </c>
      <c r="C275" s="1" t="n">
        <v>237000</v>
      </c>
      <c r="D275" s="9" t="s">
        <v>41</v>
      </c>
      <c r="E275" s="33" t="n">
        <f aca="false">IF(D275="totale",(C275/(A275*24))/F275,IF(D275="marché libre",(C275/(A275*24))/G275,"spécifier histo"))</f>
        <v>0.0785475660197264</v>
      </c>
      <c r="F275" s="56" t="n">
        <v>4490</v>
      </c>
      <c r="G275" s="56" t="n">
        <v>4490</v>
      </c>
      <c r="H275" s="9" t="n">
        <v>0</v>
      </c>
      <c r="I275" s="9"/>
      <c r="J275" s="205"/>
    </row>
    <row r="276" customFormat="false" ht="21.15" hidden="false" customHeight="true" outlineLevel="0" collapsed="false">
      <c r="A276" s="1" t="n">
        <v>31</v>
      </c>
      <c r="B276" s="31" t="n">
        <v>37681</v>
      </c>
      <c r="C276" s="1" t="n">
        <v>377600</v>
      </c>
      <c r="D276" s="9" t="s">
        <v>41</v>
      </c>
      <c r="E276" s="33" t="n">
        <f aca="false">IF(D276="totale",(C276/(A276*24))/F276,IF(D276="marché libre",(C276/(A276*24))/G276,"spécifier histo"))</f>
        <v>0.113034940249539</v>
      </c>
      <c r="F276" s="56" t="n">
        <v>4490</v>
      </c>
      <c r="G276" s="56" t="n">
        <v>4490</v>
      </c>
      <c r="H276" s="9" t="n">
        <v>0</v>
      </c>
      <c r="I276" s="9"/>
      <c r="J276" s="205"/>
    </row>
    <row r="277" customFormat="false" ht="21.15" hidden="false" customHeight="true" outlineLevel="0" collapsed="false">
      <c r="A277" s="1" t="n">
        <v>30</v>
      </c>
      <c r="B277" s="34" t="n">
        <v>37712</v>
      </c>
      <c r="C277" s="1" t="n">
        <v>581600</v>
      </c>
      <c r="D277" s="9" t="s">
        <v>41</v>
      </c>
      <c r="E277" s="33" t="n">
        <f aca="false">IF(D277="totale",(C277/(A277*24))/F277,IF(D277="marché libre",(C277/(A277*24))/G277,"spécifier histo"))</f>
        <v>0.179905963870329</v>
      </c>
      <c r="F277" s="56" t="n">
        <v>4490</v>
      </c>
      <c r="G277" s="56" t="n">
        <v>4490</v>
      </c>
      <c r="H277" s="9" t="n">
        <v>0</v>
      </c>
      <c r="I277" s="9"/>
      <c r="J277" s="205"/>
    </row>
    <row r="278" customFormat="false" ht="21.15" hidden="false" customHeight="true" outlineLevel="0" collapsed="false">
      <c r="A278" s="1" t="n">
        <v>31</v>
      </c>
      <c r="B278" s="31" t="n">
        <v>37742</v>
      </c>
      <c r="C278" s="1" t="n">
        <v>1341600</v>
      </c>
      <c r="D278" s="9" t="s">
        <v>41</v>
      </c>
      <c r="E278" s="33" t="n">
        <f aca="false">IF(D278="totale",(C278/(A278*24))/F278,IF(D278="marché libre",(C278/(A278*24))/G278,"spécifier histo"))</f>
        <v>0.401609311013722</v>
      </c>
      <c r="F278" s="56" t="n">
        <v>4490</v>
      </c>
      <c r="G278" s="56" t="n">
        <v>4490</v>
      </c>
      <c r="H278" s="9" t="n">
        <v>0</v>
      </c>
      <c r="I278" s="9"/>
      <c r="J278" s="205"/>
    </row>
    <row r="279" customFormat="false" ht="21.15" hidden="false" customHeight="true" outlineLevel="0" collapsed="false">
      <c r="A279" s="1" t="n">
        <v>30</v>
      </c>
      <c r="B279" s="34" t="n">
        <v>37773</v>
      </c>
      <c r="C279" s="1" t="n">
        <v>1233200</v>
      </c>
      <c r="D279" s="9" t="s">
        <v>41</v>
      </c>
      <c r="E279" s="33" t="n">
        <f aca="false">IF(D279="totale",(C279/(A279*24))/F279,IF(D279="marché libre",(C279/(A279*24))/G279,"spécifier histo"))</f>
        <v>0.381464983914873</v>
      </c>
      <c r="F279" s="56" t="n">
        <v>4490</v>
      </c>
      <c r="G279" s="56" t="n">
        <v>4490</v>
      </c>
      <c r="H279" s="9" t="n">
        <v>0</v>
      </c>
      <c r="I279" s="9"/>
      <c r="J279" s="205"/>
    </row>
    <row r="280" customFormat="false" ht="21.15" hidden="false" customHeight="true" outlineLevel="0" collapsed="false">
      <c r="A280" s="1" t="n">
        <v>31</v>
      </c>
      <c r="B280" s="31" t="n">
        <v>37803</v>
      </c>
      <c r="C280" s="1" t="n">
        <v>546400</v>
      </c>
      <c r="D280" s="9" t="s">
        <v>41</v>
      </c>
      <c r="E280" s="33" t="n">
        <f aca="false">IF(D280="totale",(C280/(A280*24))/F280,IF(D280="marché libre",(C280/(A280*24))/G280,"spécifier histo"))</f>
        <v>0.163565390233973</v>
      </c>
      <c r="F280" s="56" t="n">
        <v>4490</v>
      </c>
      <c r="G280" s="56" t="n">
        <v>4490</v>
      </c>
      <c r="H280" s="9" t="n">
        <v>0</v>
      </c>
      <c r="I280" s="9"/>
      <c r="J280" s="205"/>
    </row>
    <row r="281" customFormat="false" ht="21.15" hidden="false" customHeight="true" outlineLevel="0" collapsed="false">
      <c r="A281" s="1" t="n">
        <v>31</v>
      </c>
      <c r="B281" s="34" t="n">
        <v>37834</v>
      </c>
      <c r="C281" s="1" t="n">
        <v>285600</v>
      </c>
      <c r="D281" s="9" t="s">
        <v>41</v>
      </c>
      <c r="E281" s="33" t="n">
        <f aca="false">IF(D281="totale",(C281/(A281*24))/F281,IF(D281="marché libre",(C281/(A281*24))/G281,"spécifier histo"))</f>
        <v>0.0854946476039945</v>
      </c>
      <c r="F281" s="56" t="n">
        <v>4490</v>
      </c>
      <c r="G281" s="56" t="n">
        <v>4490</v>
      </c>
      <c r="H281" s="9" t="n">
        <v>0</v>
      </c>
      <c r="I281" s="9"/>
      <c r="J281" s="205"/>
    </row>
    <row r="282" customFormat="false" ht="21.15" hidden="false" customHeight="true" outlineLevel="0" collapsed="false">
      <c r="A282" s="1" t="n">
        <v>30</v>
      </c>
      <c r="B282" s="31" t="n">
        <v>37865</v>
      </c>
      <c r="C282" s="1" t="n">
        <v>242000</v>
      </c>
      <c r="D282" s="9" t="s">
        <v>41</v>
      </c>
      <c r="E282" s="33" t="n">
        <f aca="false">IF(D282="totale",(C282/(A282*24))/F282,IF(D282="marché libre",(C282/(A282*24))/G282,"spécifier histo"))</f>
        <v>0.074857708487998</v>
      </c>
      <c r="F282" s="56" t="n">
        <v>4490</v>
      </c>
      <c r="G282" s="56" t="n">
        <v>4490</v>
      </c>
      <c r="H282" s="9" t="n">
        <v>0</v>
      </c>
      <c r="I282" s="9"/>
      <c r="J282" s="205"/>
    </row>
    <row r="283" customFormat="false" ht="21.15" hidden="false" customHeight="true" outlineLevel="0" collapsed="false">
      <c r="A283" s="1" t="n">
        <v>31</v>
      </c>
      <c r="B283" s="34" t="n">
        <v>37895</v>
      </c>
      <c r="C283" s="1" t="n">
        <v>502400</v>
      </c>
      <c r="D283" s="9" t="s">
        <v>41</v>
      </c>
      <c r="E283" s="33" t="n">
        <f aca="false">IF(D283="totale",(C283/(A283*24))/F283,IF(D283="marché libre",(C283/(A283*24))/G283,"spécifier histo"))</f>
        <v>0.150393945925234</v>
      </c>
      <c r="F283" s="56" t="n">
        <v>4490</v>
      </c>
      <c r="G283" s="56" t="n">
        <v>4490</v>
      </c>
      <c r="H283" s="9" t="n">
        <v>0</v>
      </c>
      <c r="I283" s="9"/>
      <c r="J283" s="205"/>
    </row>
    <row r="284" customFormat="false" ht="21.15" hidden="false" customHeight="true" outlineLevel="0" collapsed="false">
      <c r="A284" s="1" t="n">
        <v>30</v>
      </c>
      <c r="B284" s="31" t="n">
        <v>37926</v>
      </c>
      <c r="C284" s="1" t="n">
        <v>395600</v>
      </c>
      <c r="D284" s="9" t="s">
        <v>41</v>
      </c>
      <c r="E284" s="33" t="n">
        <f aca="false">IF(D284="totale",(C284/(A284*24))/F284,IF(D284="marché libre",(C284/(A284*24))/G284,"spécifier histo"))</f>
        <v>0.122370700321703</v>
      </c>
      <c r="F284" s="56" t="n">
        <v>4490</v>
      </c>
      <c r="G284" s="56" t="n">
        <v>4490</v>
      </c>
      <c r="H284" s="9" t="n">
        <v>0</v>
      </c>
      <c r="I284" s="9"/>
      <c r="J284" s="205"/>
    </row>
    <row r="285" customFormat="false" ht="21.15" hidden="false" customHeight="true" outlineLevel="0" collapsed="false">
      <c r="A285" s="1" t="n">
        <v>31</v>
      </c>
      <c r="B285" s="34" t="n">
        <v>37956</v>
      </c>
      <c r="C285" s="1" t="n">
        <v>270000</v>
      </c>
      <c r="D285" s="9" t="s">
        <v>41</v>
      </c>
      <c r="E285" s="33" t="n">
        <f aca="false">IF(D285="totale",(C285/(A285*24))/F285,IF(D285="marché libre",(C285/(A285*24))/G285,"spécifier histo"))</f>
        <v>0.0808247718945326</v>
      </c>
      <c r="F285" s="56" t="n">
        <v>4490</v>
      </c>
      <c r="G285" s="56" t="n">
        <v>4490</v>
      </c>
      <c r="H285" s="9" t="n">
        <v>0</v>
      </c>
      <c r="I285" s="9"/>
      <c r="J285" s="205"/>
    </row>
    <row r="286" customFormat="false" ht="21.15" hidden="false" customHeight="true" outlineLevel="0" collapsed="false">
      <c r="A286" s="1" t="n">
        <v>31</v>
      </c>
      <c r="B286" s="31" t="n">
        <v>37987</v>
      </c>
      <c r="C286" s="1" t="n">
        <v>380800</v>
      </c>
      <c r="D286" s="9" t="s">
        <v>41</v>
      </c>
      <c r="E286" s="33" t="n">
        <f aca="false">IF(D286="totale",(C286/(A286*24))/F286,IF(D286="marché libre",(C286/(A286*24))/G286,"spécifier histo"))</f>
        <v>0.113992863471993</v>
      </c>
      <c r="F286" s="56" t="n">
        <v>4490</v>
      </c>
      <c r="G286" s="56" t="n">
        <v>4490</v>
      </c>
      <c r="H286" s="9" t="n">
        <v>0</v>
      </c>
      <c r="I286" s="9"/>
      <c r="J286" s="205"/>
    </row>
    <row r="287" customFormat="false" ht="21.15" hidden="false" customHeight="true" outlineLevel="0" collapsed="false">
      <c r="A287" s="1" t="n">
        <v>28</v>
      </c>
      <c r="B287" s="34" t="n">
        <v>38018</v>
      </c>
      <c r="C287" s="1" t="n">
        <v>191200</v>
      </c>
      <c r="D287" s="9" t="s">
        <v>41</v>
      </c>
      <c r="E287" s="33" t="n">
        <f aca="false">IF(D287="totale",(C287/(A287*24))/F287,IF(D287="marché libre",(C287/(A287*24))/G287,"spécifier histo"))</f>
        <v>0.0633683317424966</v>
      </c>
      <c r="F287" s="56" t="n">
        <v>4490</v>
      </c>
      <c r="G287" s="56" t="n">
        <v>4490</v>
      </c>
      <c r="H287" s="9" t="n">
        <v>0</v>
      </c>
      <c r="I287" s="9"/>
      <c r="J287" s="205"/>
    </row>
    <row r="288" customFormat="false" ht="21.15" hidden="false" customHeight="true" outlineLevel="0" collapsed="false">
      <c r="A288" s="1" t="n">
        <v>31</v>
      </c>
      <c r="B288" s="31" t="n">
        <v>38047</v>
      </c>
      <c r="C288" s="1" t="n">
        <v>298800</v>
      </c>
      <c r="D288" s="9" t="s">
        <v>41</v>
      </c>
      <c r="E288" s="33" t="n">
        <f aca="false">IF(D288="totale",(C288/(A288*24))/F288,IF(D288="marché libre",(C288/(A288*24))/G288,"spécifier histo"))</f>
        <v>0.0894460808966161</v>
      </c>
      <c r="F288" s="56" t="n">
        <v>4490</v>
      </c>
      <c r="G288" s="56" t="n">
        <v>4490</v>
      </c>
      <c r="H288" s="9" t="n">
        <v>0</v>
      </c>
      <c r="I288" s="9"/>
      <c r="J288" s="205"/>
    </row>
    <row r="289" customFormat="false" ht="21.15" hidden="false" customHeight="true" outlineLevel="0" collapsed="false">
      <c r="A289" s="1" t="n">
        <v>30</v>
      </c>
      <c r="B289" s="34" t="n">
        <v>38078</v>
      </c>
      <c r="C289" s="1" t="n">
        <v>525600</v>
      </c>
      <c r="D289" s="9" t="s">
        <v>41</v>
      </c>
      <c r="E289" s="33" t="n">
        <f aca="false">IF(D289="totale",(C289/(A289*24))/F289,IF(D289="marché libre",(C289/(A289*24))/G289,"spécifier histo"))</f>
        <v>0.162583518930958</v>
      </c>
      <c r="F289" s="56" t="n">
        <v>4490</v>
      </c>
      <c r="G289" s="56" t="n">
        <v>4490</v>
      </c>
      <c r="H289" s="9" t="n">
        <v>0</v>
      </c>
      <c r="I289" s="9"/>
      <c r="J289" s="205"/>
    </row>
    <row r="290" customFormat="false" ht="21.15" hidden="false" customHeight="true" outlineLevel="0" collapsed="false">
      <c r="A290" s="1" t="n">
        <v>31</v>
      </c>
      <c r="B290" s="31" t="n">
        <v>38108</v>
      </c>
      <c r="C290" s="1" t="n">
        <v>1111600</v>
      </c>
      <c r="D290" s="9" t="s">
        <v>41</v>
      </c>
      <c r="E290" s="33" t="n">
        <f aca="false">IF(D290="totale",(C290/(A290*24))/F290,IF(D290="marché libre",(C290/(A290*24))/G290,"spécifier histo"))</f>
        <v>0.332758579399861</v>
      </c>
      <c r="F290" s="56" t="n">
        <v>4490</v>
      </c>
      <c r="G290" s="56" t="n">
        <v>4490</v>
      </c>
      <c r="H290" s="9" t="n">
        <v>0</v>
      </c>
      <c r="I290" s="9"/>
      <c r="J290" s="205"/>
    </row>
    <row r="291" customFormat="false" ht="21.15" hidden="false" customHeight="true" outlineLevel="0" collapsed="false">
      <c r="A291" s="1" t="n">
        <v>30</v>
      </c>
      <c r="B291" s="34" t="n">
        <v>38139</v>
      </c>
      <c r="C291" s="1" t="n">
        <v>1527200</v>
      </c>
      <c r="D291" s="9" t="s">
        <v>41</v>
      </c>
      <c r="E291" s="33" t="n">
        <f aca="false">IF(D291="totale",(C291/(A291*24))/F291,IF(D291="marché libre",(C291/(A291*24))/G291,"spécifier histo"))</f>
        <v>0.472407819846573</v>
      </c>
      <c r="F291" s="56" t="n">
        <v>4490</v>
      </c>
      <c r="G291" s="56" t="n">
        <v>4490</v>
      </c>
      <c r="H291" s="9" t="n">
        <v>0</v>
      </c>
      <c r="I291" s="9"/>
      <c r="J291" s="205"/>
    </row>
    <row r="292" customFormat="false" ht="21.15" hidden="false" customHeight="true" outlineLevel="0" collapsed="false">
      <c r="A292" s="1" t="n">
        <v>31</v>
      </c>
      <c r="B292" s="31" t="n">
        <v>38169</v>
      </c>
      <c r="C292" s="1" t="n">
        <v>1019600</v>
      </c>
      <c r="D292" s="9" t="s">
        <v>41</v>
      </c>
      <c r="E292" s="33" t="n">
        <f aca="false">IF(D292="totale",(C292/(A292*24))/F292,IF(D292="marché libre",(C292/(A292*24))/G292,"spécifier histo"))</f>
        <v>0.305218286754317</v>
      </c>
      <c r="F292" s="56" t="n">
        <v>4490</v>
      </c>
      <c r="G292" s="56" t="n">
        <v>4490</v>
      </c>
      <c r="H292" s="9" t="n">
        <v>0</v>
      </c>
      <c r="I292" s="9"/>
      <c r="J292" s="205"/>
    </row>
    <row r="293" customFormat="false" ht="21.15" hidden="false" customHeight="true" outlineLevel="0" collapsed="false">
      <c r="A293" s="1" t="n">
        <v>31</v>
      </c>
      <c r="B293" s="34" t="n">
        <v>38200</v>
      </c>
      <c r="C293" s="1" t="n">
        <v>792800</v>
      </c>
      <c r="D293" s="9" t="s">
        <v>41</v>
      </c>
      <c r="E293" s="33" t="n">
        <f aca="false">IF(D293="totale",(C293/(A293*24))/F293,IF(D293="marché libre",(C293/(A293*24))/G293,"spécifier histo"))</f>
        <v>0.237325478362909</v>
      </c>
      <c r="F293" s="56" t="n">
        <v>4490</v>
      </c>
      <c r="G293" s="56" t="n">
        <v>4490</v>
      </c>
      <c r="H293" s="9" t="n">
        <v>0</v>
      </c>
      <c r="I293" s="9"/>
      <c r="J293" s="205"/>
    </row>
    <row r="294" customFormat="false" ht="21.15" hidden="false" customHeight="true" outlineLevel="0" collapsed="false">
      <c r="A294" s="1" t="n">
        <v>30</v>
      </c>
      <c r="B294" s="31" t="n">
        <v>38231</v>
      </c>
      <c r="C294" s="1" t="n">
        <v>491600</v>
      </c>
      <c r="D294" s="9" t="s">
        <v>41</v>
      </c>
      <c r="E294" s="33" t="n">
        <f aca="false">IF(D294="totale",(C294/(A294*24))/F294,IF(D294="marché libre",(C294/(A294*24))/G294,"spécifier histo"))</f>
        <v>0.152066320217768</v>
      </c>
      <c r="F294" s="56" t="n">
        <v>4490</v>
      </c>
      <c r="G294" s="56" t="n">
        <v>4490</v>
      </c>
      <c r="H294" s="9" t="n">
        <v>0</v>
      </c>
      <c r="I294" s="9"/>
      <c r="J294" s="205"/>
    </row>
    <row r="295" customFormat="false" ht="21.15" hidden="false" customHeight="true" outlineLevel="0" collapsed="false">
      <c r="A295" s="1" t="n">
        <v>31</v>
      </c>
      <c r="B295" s="34" t="n">
        <v>38261</v>
      </c>
      <c r="C295" s="1" t="n">
        <v>396000</v>
      </c>
      <c r="D295" s="9" t="s">
        <v>41</v>
      </c>
      <c r="E295" s="33" t="n">
        <f aca="false">IF(D295="totale",(C295/(A295*24))/F295,IF(D295="marché libre",(C295/(A295*24))/G295,"spécifier histo"))</f>
        <v>0.118542998778648</v>
      </c>
      <c r="F295" s="56" t="n">
        <v>4490</v>
      </c>
      <c r="G295" s="56" t="n">
        <v>4490</v>
      </c>
      <c r="H295" s="9" t="n">
        <v>0</v>
      </c>
      <c r="I295" s="9"/>
      <c r="J295" s="205"/>
    </row>
    <row r="296" customFormat="false" ht="21.15" hidden="false" customHeight="true" outlineLevel="0" collapsed="false">
      <c r="A296" s="1" t="n">
        <v>30</v>
      </c>
      <c r="B296" s="31" t="n">
        <v>38292</v>
      </c>
      <c r="C296" s="1" t="n">
        <v>316800</v>
      </c>
      <c r="D296" s="9" t="s">
        <v>41</v>
      </c>
      <c r="E296" s="33" t="n">
        <f aca="false">IF(D296="totale",(C296/(A296*24))/F296,IF(D296="marché libre",(C296/(A296*24))/G296,"spécifier histo"))</f>
        <v>0.0979955456570156</v>
      </c>
      <c r="F296" s="56" t="n">
        <v>4490</v>
      </c>
      <c r="G296" s="56" t="n">
        <v>4490</v>
      </c>
      <c r="H296" s="9" t="n">
        <v>0</v>
      </c>
      <c r="I296" s="9"/>
      <c r="J296" s="205"/>
    </row>
    <row r="297" customFormat="false" ht="21.15" hidden="false" customHeight="true" outlineLevel="0" collapsed="false">
      <c r="A297" s="1" t="n">
        <v>31</v>
      </c>
      <c r="B297" s="34" t="n">
        <v>38322</v>
      </c>
      <c r="C297" s="1" t="n">
        <v>220000</v>
      </c>
      <c r="D297" s="9" t="s">
        <v>41</v>
      </c>
      <c r="E297" s="33" t="n">
        <f aca="false">IF(D297="totale",(C297/(A297*24))/F297,IF(D297="marché libre",(C297/(A297*24))/G297,"spécifier histo"))</f>
        <v>0.0658572215436933</v>
      </c>
      <c r="F297" s="56" t="n">
        <v>4490</v>
      </c>
      <c r="G297" s="56" t="n">
        <v>4490</v>
      </c>
      <c r="H297" s="9" t="n">
        <v>0</v>
      </c>
      <c r="I297" s="9"/>
      <c r="J297" s="205"/>
    </row>
    <row r="298" customFormat="false" ht="19.85" hidden="false" customHeight="true" outlineLevel="0" collapsed="false">
      <c r="A298" s="1" t="n">
        <v>31</v>
      </c>
      <c r="B298" s="31" t="n">
        <v>38353</v>
      </c>
      <c r="C298" s="1" t="n">
        <v>159600</v>
      </c>
      <c r="D298" s="9" t="s">
        <v>41</v>
      </c>
      <c r="E298" s="33" t="n">
        <f aca="false">IF(D298="totale",(C298/(A298*24))/F298,IF(D298="marché libre",(C298/(A298*24))/G298,"spécifier histo"))</f>
        <v>0.0477764207198793</v>
      </c>
      <c r="F298" s="56" t="n">
        <v>4490</v>
      </c>
      <c r="G298" s="56" t="n">
        <v>4490</v>
      </c>
      <c r="H298" s="9" t="n">
        <v>0</v>
      </c>
      <c r="J298" s="344"/>
    </row>
    <row r="299" customFormat="false" ht="19.85" hidden="false" customHeight="true" outlineLevel="0" collapsed="false">
      <c r="A299" s="1" t="n">
        <v>28</v>
      </c>
      <c r="B299" s="34" t="n">
        <v>38384</v>
      </c>
      <c r="C299" s="1" t="n">
        <v>146000</v>
      </c>
      <c r="D299" s="9" t="s">
        <v>41</v>
      </c>
      <c r="E299" s="33" t="n">
        <f aca="false">IF(D299="totale",(C299/(A299*24))/F299,IF(D299="marché libre",(C299/(A299*24))/G299,"spécifier histo"))</f>
        <v>0.048387952062785</v>
      </c>
      <c r="F299" s="56" t="n">
        <v>4490</v>
      </c>
      <c r="G299" s="56" t="n">
        <v>4490</v>
      </c>
      <c r="H299" s="9" t="n">
        <v>0</v>
      </c>
      <c r="J299" s="344"/>
    </row>
    <row r="300" customFormat="false" ht="19.85" hidden="false" customHeight="true" outlineLevel="0" collapsed="false">
      <c r="A300" s="1" t="n">
        <v>31</v>
      </c>
      <c r="B300" s="31" t="n">
        <v>38412</v>
      </c>
      <c r="C300" s="1" t="n">
        <v>454800</v>
      </c>
      <c r="D300" s="9" t="s">
        <v>41</v>
      </c>
      <c r="E300" s="33" t="n">
        <f aca="false">IF(D300="totale",(C300/(A300*24))/F300,IF(D300="marché libre",(C300/(A300*24))/G300,"spécifier histo"))</f>
        <v>0.136144837991235</v>
      </c>
      <c r="F300" s="56" t="n">
        <v>4490</v>
      </c>
      <c r="G300" s="56" t="n">
        <v>4490</v>
      </c>
      <c r="H300" s="9" t="n">
        <v>0</v>
      </c>
      <c r="J300" s="344"/>
    </row>
    <row r="301" customFormat="false" ht="19.85" hidden="false" customHeight="true" outlineLevel="0" collapsed="false">
      <c r="A301" s="1" t="n">
        <v>30</v>
      </c>
      <c r="B301" s="34" t="n">
        <v>38443</v>
      </c>
      <c r="C301" s="1" t="n">
        <v>553600</v>
      </c>
      <c r="D301" s="9" t="s">
        <v>41</v>
      </c>
      <c r="E301" s="33" t="n">
        <f aca="false">IF(D301="totale",(C301/(A301*24))/F301,IF(D301="marché libre",(C301/(A301*24))/G301,"spécifier histo"))</f>
        <v>0.171244741400643</v>
      </c>
      <c r="F301" s="56" t="n">
        <v>4490</v>
      </c>
      <c r="G301" s="56" t="n">
        <v>4490</v>
      </c>
      <c r="H301" s="9" t="n">
        <v>0</v>
      </c>
      <c r="J301" s="344"/>
      <c r="AG301" s="0"/>
      <c r="AH301" s="0"/>
      <c r="AI301" s="0"/>
      <c r="AJ301" s="0"/>
      <c r="AK301" s="0"/>
      <c r="AL301" s="0"/>
      <c r="AM301" s="0"/>
      <c r="AN301" s="0"/>
      <c r="AO301" s="0"/>
      <c r="AP301" s="0"/>
      <c r="AQ301" s="0"/>
      <c r="AR301" s="0"/>
      <c r="AS301" s="0"/>
    </row>
    <row r="302" customFormat="false" ht="19.85" hidden="false" customHeight="true" outlineLevel="0" collapsed="false">
      <c r="A302" s="1" t="n">
        <v>31</v>
      </c>
      <c r="B302" s="31" t="n">
        <v>38473</v>
      </c>
      <c r="C302" s="1" t="n">
        <v>1113000</v>
      </c>
      <c r="D302" s="9" t="s">
        <v>41</v>
      </c>
      <c r="E302" s="33" t="n">
        <f aca="false">IF(D302="totale",(C302/(A302*24))/F302,IF(D302="marché libre",(C302/(A302*24))/G302,"spécifier histo"))</f>
        <v>0.333177670809685</v>
      </c>
      <c r="F302" s="56" t="n">
        <v>4490</v>
      </c>
      <c r="G302" s="56" t="n">
        <v>4490</v>
      </c>
      <c r="H302" s="9" t="n">
        <v>0</v>
      </c>
      <c r="J302" s="344"/>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row>
    <row r="303" customFormat="false" ht="19.85" hidden="false" customHeight="true" outlineLevel="0" collapsed="false">
      <c r="A303" s="1" t="n">
        <v>30</v>
      </c>
      <c r="B303" s="34" t="n">
        <v>38504</v>
      </c>
      <c r="C303" s="1" t="n">
        <v>1086000</v>
      </c>
      <c r="D303" s="9" t="s">
        <v>41</v>
      </c>
      <c r="E303" s="33" t="n">
        <f aca="false">IF(D303="totale",(C303/(A303*24))/F303,IF(D303="marché libre",(C303/(A303*24))/G303,"spécifier histo"))</f>
        <v>0.335931700074239</v>
      </c>
      <c r="F303" s="56" t="n">
        <v>4490</v>
      </c>
      <c r="G303" s="56" t="n">
        <v>4490</v>
      </c>
      <c r="H303" s="9" t="n">
        <v>0</v>
      </c>
      <c r="J303" s="344"/>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row>
    <row r="304" customFormat="false" ht="19.85" hidden="false" customHeight="true" outlineLevel="0" collapsed="false">
      <c r="A304" s="1" t="n">
        <v>31</v>
      </c>
      <c r="B304" s="31" t="n">
        <v>38534</v>
      </c>
      <c r="C304" s="1" t="n">
        <v>752000</v>
      </c>
      <c r="D304" s="9" t="s">
        <v>41</v>
      </c>
      <c r="E304" s="33" t="n">
        <f aca="false">IF(D304="totale",(C304/(A304*24))/F304,IF(D304="marché libre",(C304/(A304*24))/G304,"spécifier histo"))</f>
        <v>0.225111957276624</v>
      </c>
      <c r="F304" s="56" t="n">
        <v>4490</v>
      </c>
      <c r="G304" s="56" t="n">
        <v>4490</v>
      </c>
      <c r="H304" s="9" t="n">
        <v>0</v>
      </c>
      <c r="J304" s="344"/>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row>
    <row r="305" customFormat="false" ht="19.85" hidden="false" customHeight="true" outlineLevel="0" collapsed="false">
      <c r="A305" s="1" t="n">
        <v>31</v>
      </c>
      <c r="B305" s="34" t="n">
        <v>38565</v>
      </c>
      <c r="C305" s="1" t="n">
        <v>660000</v>
      </c>
      <c r="D305" s="9" t="s">
        <v>41</v>
      </c>
      <c r="E305" s="33" t="n">
        <f aca="false">IF(D305="totale",(C305/(A305*24))/F305,IF(D305="marché libre",(C305/(A305*24))/G305,"spécifier histo"))</f>
        <v>0.19757166463108</v>
      </c>
      <c r="F305" s="56" t="n">
        <v>4490</v>
      </c>
      <c r="G305" s="56" t="n">
        <v>4490</v>
      </c>
      <c r="H305" s="9" t="n">
        <v>0</v>
      </c>
      <c r="J305" s="344"/>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row>
    <row r="306" customFormat="false" ht="19.85" hidden="false" customHeight="true" outlineLevel="0" collapsed="false">
      <c r="A306" s="1" t="n">
        <v>30</v>
      </c>
      <c r="B306" s="31" t="n">
        <v>38596</v>
      </c>
      <c r="C306" s="1" t="n">
        <v>502400</v>
      </c>
      <c r="D306" s="9" t="s">
        <v>41</v>
      </c>
      <c r="E306" s="33" t="n">
        <f aca="false">IF(D306="totale",(C306/(A306*24))/F306,IF(D306="marché libre",(C306/(A306*24))/G306,"spécifier histo"))</f>
        <v>0.155407077456075</v>
      </c>
      <c r="F306" s="56" t="n">
        <v>4490</v>
      </c>
      <c r="G306" s="56" t="n">
        <v>4490</v>
      </c>
      <c r="H306" s="9" t="n">
        <v>0</v>
      </c>
      <c r="J306" s="344"/>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row>
    <row r="307" customFormat="false" ht="19.85" hidden="false" customHeight="true" outlineLevel="0" collapsed="false">
      <c r="A307" s="1" t="n">
        <v>31</v>
      </c>
      <c r="B307" s="34" t="n">
        <v>38626</v>
      </c>
      <c r="C307" s="1" t="n">
        <v>521200</v>
      </c>
      <c r="D307" s="9" t="s">
        <v>41</v>
      </c>
      <c r="E307" s="33" t="n">
        <f aca="false">IF(D307="totale",(C307/(A307*24))/F307,IF(D307="marché libre",(C307/(A307*24))/G307,"spécifier histo"))</f>
        <v>0.15602174485715</v>
      </c>
      <c r="F307" s="56" t="n">
        <v>4490</v>
      </c>
      <c r="G307" s="56" t="n">
        <v>4490</v>
      </c>
      <c r="H307" s="9" t="n">
        <v>0</v>
      </c>
      <c r="J307" s="344"/>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row>
    <row r="308" customFormat="false" ht="19.85" hidden="false" customHeight="true" outlineLevel="0" collapsed="false">
      <c r="A308" s="1" t="n">
        <v>30</v>
      </c>
      <c r="B308" s="31" t="n">
        <v>38657</v>
      </c>
      <c r="C308" s="1" t="n">
        <v>402000</v>
      </c>
      <c r="D308" s="9" t="s">
        <v>41</v>
      </c>
      <c r="E308" s="33" t="n">
        <f aca="false">IF(D308="totale",(C308/(A308*24))/F308,IF(D308="marché libre",(C308/(A308*24))/G308,"spécifier histo"))</f>
        <v>0.124350408314774</v>
      </c>
      <c r="F308" s="56" t="n">
        <v>4490</v>
      </c>
      <c r="G308" s="56" t="n">
        <v>4490</v>
      </c>
      <c r="H308" s="9" t="n">
        <v>0</v>
      </c>
      <c r="J308" s="344"/>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row>
    <row r="309" customFormat="false" ht="19.85" hidden="false" customHeight="true" outlineLevel="0" collapsed="false">
      <c r="A309" s="1" t="n">
        <v>31</v>
      </c>
      <c r="B309" s="34" t="n">
        <v>38687</v>
      </c>
      <c r="C309" s="1" t="n">
        <v>244000</v>
      </c>
      <c r="D309" s="9" t="s">
        <v>41</v>
      </c>
      <c r="E309" s="33" t="n">
        <f aca="false">IF(D309="totale",(C309/(A309*24))/F309,IF(D309="marché libre",(C309/(A309*24))/G309,"spécifier histo"))</f>
        <v>0.0730416457120962</v>
      </c>
      <c r="F309" s="56" t="n">
        <v>4490</v>
      </c>
      <c r="G309" s="56" t="n">
        <v>4490</v>
      </c>
      <c r="H309" s="9" t="n">
        <v>0</v>
      </c>
      <c r="J309" s="344"/>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row>
    <row r="310" customFormat="false" ht="19.85" hidden="false" customHeight="true" outlineLevel="0" collapsed="false">
      <c r="A310" s="1" t="n">
        <v>31</v>
      </c>
      <c r="B310" s="31" t="n">
        <v>38718</v>
      </c>
      <c r="C310" s="1" t="n">
        <v>164400</v>
      </c>
      <c r="D310" s="9" t="s">
        <v>41</v>
      </c>
      <c r="E310" s="33" t="n">
        <f aca="false">IF(D310="totale",(C310/(A310*24))/F310,IF(D310="marché libre",(C310/(A310*24))/G310,"spécifier histo"))</f>
        <v>0.0492133055535599</v>
      </c>
      <c r="F310" s="56" t="n">
        <v>4490</v>
      </c>
      <c r="G310" s="56" t="n">
        <v>4490</v>
      </c>
      <c r="H310" s="9" t="n">
        <v>0</v>
      </c>
      <c r="J310" s="216"/>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row>
    <row r="311" customFormat="false" ht="19.85" hidden="false" customHeight="true" outlineLevel="0" collapsed="false">
      <c r="A311" s="1" t="n">
        <v>28</v>
      </c>
      <c r="B311" s="34" t="n">
        <v>38749</v>
      </c>
      <c r="C311" s="1" t="n">
        <v>137600</v>
      </c>
      <c r="D311" s="9" t="s">
        <v>41</v>
      </c>
      <c r="E311" s="33" t="n">
        <f aca="false">IF(D311="totale",(C311/(A311*24))/F311,IF(D311="marché libre",(C311/(A311*24))/G311,"spécifier histo"))</f>
        <v>0.0456039876975289</v>
      </c>
      <c r="F311" s="56" t="n">
        <v>4490</v>
      </c>
      <c r="G311" s="56" t="n">
        <v>4490</v>
      </c>
      <c r="H311" s="9" t="n">
        <v>0</v>
      </c>
      <c r="J311" s="216"/>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row>
    <row r="312" customFormat="false" ht="19.85" hidden="false" customHeight="true" outlineLevel="0" collapsed="false">
      <c r="A312" s="1" t="n">
        <v>31</v>
      </c>
      <c r="B312" s="31" t="n">
        <v>38777</v>
      </c>
      <c r="C312" s="1" t="n">
        <v>390400</v>
      </c>
      <c r="D312" s="9" t="s">
        <v>41</v>
      </c>
      <c r="E312" s="33" t="n">
        <f aca="false">IF(D312="totale",(C312/(A312*24))/F312,IF(D312="marché libre",(C312/(A312*24))/G312,"spécifier histo"))</f>
        <v>0.116866633139354</v>
      </c>
      <c r="F312" s="56" t="n">
        <v>4490</v>
      </c>
      <c r="G312" s="56" t="n">
        <v>4490</v>
      </c>
      <c r="H312" s="9" t="n">
        <v>0</v>
      </c>
      <c r="J312" s="216"/>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row>
    <row r="313" customFormat="false" ht="19.85" hidden="false" customHeight="true" outlineLevel="0" collapsed="false">
      <c r="A313" s="1" t="n">
        <v>30</v>
      </c>
      <c r="B313" s="34" t="n">
        <v>38808</v>
      </c>
      <c r="C313" s="1" t="n">
        <v>969600</v>
      </c>
      <c r="D313" s="9" t="s">
        <v>41</v>
      </c>
      <c r="E313" s="33" t="n">
        <f aca="false">IF(D313="totale",(C313/(A313*24))/F313,IF(D313="marché libre",(C313/(A313*24))/G313,"spécifier histo"))</f>
        <v>0.29992576095026</v>
      </c>
      <c r="F313" s="56" t="n">
        <v>4490</v>
      </c>
      <c r="G313" s="56" t="n">
        <v>4490</v>
      </c>
      <c r="H313" s="9" t="n">
        <v>0</v>
      </c>
      <c r="J313" s="216"/>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row>
    <row r="314" customFormat="false" ht="19.85" hidden="false" customHeight="true" outlineLevel="0" collapsed="false">
      <c r="A314" s="1" t="n">
        <v>31</v>
      </c>
      <c r="B314" s="31" t="n">
        <v>38838</v>
      </c>
      <c r="C314" s="1" t="n">
        <v>1577600</v>
      </c>
      <c r="D314" s="9" t="s">
        <v>41</v>
      </c>
      <c r="E314" s="33" t="n">
        <f aca="false">IF(D314="totale",(C314/(A314*24))/F314,IF(D314="marché libre",(C314/(A314*24))/G314,"spécifier histo"))</f>
        <v>0.472256148669684</v>
      </c>
      <c r="F314" s="56" t="n">
        <v>4490</v>
      </c>
      <c r="G314" s="56" t="n">
        <v>4490</v>
      </c>
      <c r="H314" s="9" t="n">
        <v>0</v>
      </c>
      <c r="J314" s="216"/>
      <c r="M314" s="0"/>
      <c r="P314" s="0"/>
      <c r="S314" s="0"/>
      <c r="V314" s="0"/>
      <c r="X314" s="0"/>
      <c r="AB314" s="0"/>
      <c r="AD314" s="0"/>
    </row>
    <row r="315" customFormat="false" ht="19.85" hidden="false" customHeight="true" outlineLevel="0" collapsed="false">
      <c r="A315" s="1" t="n">
        <v>30</v>
      </c>
      <c r="B315" s="34" t="n">
        <v>38869</v>
      </c>
      <c r="C315" s="1" t="n">
        <v>1288400</v>
      </c>
      <c r="D315" s="9" t="s">
        <v>41</v>
      </c>
      <c r="E315" s="33" t="n">
        <f aca="false">IF(D315="totale",(C315/(A315*24))/F315,IF(D315="marché libre",(C315/(A315*24))/G315,"spécifier histo"))</f>
        <v>0.39853996535511</v>
      </c>
      <c r="F315" s="56" t="n">
        <v>4490</v>
      </c>
      <c r="G315" s="56" t="n">
        <v>4490</v>
      </c>
      <c r="H315" s="9" t="n">
        <v>0</v>
      </c>
      <c r="J315" s="216"/>
      <c r="M315" s="0"/>
      <c r="P315" s="0"/>
      <c r="S315" s="0"/>
      <c r="V315" s="0"/>
      <c r="X315" s="0"/>
      <c r="AB315" s="0"/>
      <c r="AD315" s="0"/>
    </row>
    <row r="316" customFormat="false" ht="19.85" hidden="false" customHeight="true" outlineLevel="0" collapsed="false">
      <c r="A316" s="1" t="n">
        <v>31</v>
      </c>
      <c r="B316" s="31" t="n">
        <v>38899</v>
      </c>
      <c r="C316" s="1" t="n">
        <v>830800</v>
      </c>
      <c r="D316" s="9" t="s">
        <v>41</v>
      </c>
      <c r="E316" s="33" t="n">
        <f aca="false">IF(D316="totale",(C316/(A316*24))/F316,IF(D316="marché libre",(C316/(A316*24))/G316,"spécifier histo"))</f>
        <v>0.248700816629547</v>
      </c>
      <c r="F316" s="56" t="n">
        <v>4490</v>
      </c>
      <c r="G316" s="56" t="n">
        <v>4490</v>
      </c>
      <c r="H316" s="9" t="n">
        <v>0</v>
      </c>
      <c r="J316" s="216"/>
      <c r="M316" s="0"/>
      <c r="P316" s="0"/>
      <c r="S316" s="0"/>
      <c r="V316" s="0"/>
      <c r="X316" s="0"/>
      <c r="AB316" s="0"/>
      <c r="AD316" s="0"/>
    </row>
    <row r="317" customFormat="false" ht="19.85" hidden="false" customHeight="true" outlineLevel="0" collapsed="false">
      <c r="A317" s="1" t="n">
        <v>31</v>
      </c>
      <c r="B317" s="34" t="n">
        <v>38930</v>
      </c>
      <c r="C317" s="1" t="n">
        <v>766000</v>
      </c>
      <c r="D317" s="9" t="s">
        <v>41</v>
      </c>
      <c r="E317" s="33" t="n">
        <f aca="false">IF(D317="totale",(C317/(A317*24))/F317,IF(D317="marché libre",(C317/(A317*24))/G317,"spécifier histo"))</f>
        <v>0.229302871374859</v>
      </c>
      <c r="F317" s="56" t="n">
        <v>4490</v>
      </c>
      <c r="G317" s="56" t="n">
        <v>4490</v>
      </c>
      <c r="H317" s="9" t="n">
        <v>0</v>
      </c>
      <c r="J317" s="216"/>
      <c r="M317" s="0"/>
      <c r="P317" s="0"/>
      <c r="S317" s="0"/>
      <c r="V317" s="0"/>
      <c r="X317" s="0"/>
      <c r="AB317" s="0"/>
      <c r="AD317" s="0"/>
    </row>
    <row r="318" customFormat="false" ht="19.85" hidden="false" customHeight="true" outlineLevel="0" collapsed="false">
      <c r="A318" s="1" t="n">
        <v>30</v>
      </c>
      <c r="B318" s="31" t="n">
        <v>38961</v>
      </c>
      <c r="C318" s="1" t="n">
        <v>601600</v>
      </c>
      <c r="D318" s="9" t="s">
        <v>41</v>
      </c>
      <c r="E318" s="33" t="n">
        <f aca="false">IF(D318="totale",(C318/(A318*24))/F318,IF(D318="marché libre",(C318/(A318*24))/G318,"spécifier histo"))</f>
        <v>0.186092551348676</v>
      </c>
      <c r="F318" s="56" t="n">
        <v>4490</v>
      </c>
      <c r="G318" s="56" t="n">
        <v>4490</v>
      </c>
      <c r="H318" s="9" t="n">
        <v>0</v>
      </c>
      <c r="J318" s="216"/>
      <c r="M318" s="0"/>
      <c r="P318" s="0"/>
      <c r="S318" s="0"/>
      <c r="V318" s="0"/>
      <c r="X318" s="0"/>
      <c r="AB318" s="0"/>
      <c r="AD318" s="0"/>
    </row>
    <row r="319" customFormat="false" ht="19.85" hidden="false" customHeight="true" outlineLevel="0" collapsed="false">
      <c r="A319" s="1" t="n">
        <v>31</v>
      </c>
      <c r="B319" s="34" t="n">
        <v>38991</v>
      </c>
      <c r="C319" s="1" t="n">
        <v>532000</v>
      </c>
      <c r="D319" s="9" t="s">
        <v>41</v>
      </c>
      <c r="E319" s="33" t="n">
        <f aca="false">IF(D319="totale",(C319/(A319*24))/F319,IF(D319="marché libre",(C319/(A319*24))/G319,"spécifier histo"))</f>
        <v>0.159254735732931</v>
      </c>
      <c r="F319" s="56" t="n">
        <v>4490</v>
      </c>
      <c r="G319" s="56" t="n">
        <v>4490</v>
      </c>
      <c r="H319" s="9" t="n">
        <v>0</v>
      </c>
      <c r="J319" s="216"/>
      <c r="M319" s="0"/>
      <c r="P319" s="0"/>
      <c r="S319" s="0"/>
      <c r="V319" s="0"/>
      <c r="X319" s="0"/>
      <c r="AB319" s="0"/>
      <c r="AD319" s="0"/>
    </row>
    <row r="320" customFormat="false" ht="19.85" hidden="false" customHeight="true" outlineLevel="0" collapsed="false">
      <c r="A320" s="1" t="n">
        <v>30</v>
      </c>
      <c r="B320" s="31" t="n">
        <v>39022</v>
      </c>
      <c r="C320" s="1" t="n">
        <v>367600</v>
      </c>
      <c r="D320" s="9" t="s">
        <v>41</v>
      </c>
      <c r="E320" s="33" t="n">
        <f aca="false">IF(D320="totale",(C320/(A320*24))/F320,IF(D320="marché libre",(C320/(A320*24))/G320,"spécifier histo"))</f>
        <v>0.113709477852017</v>
      </c>
      <c r="F320" s="56" t="n">
        <v>4490</v>
      </c>
      <c r="G320" s="56" t="n">
        <v>4490</v>
      </c>
      <c r="H320" s="9" t="n">
        <v>0</v>
      </c>
      <c r="J320" s="216"/>
      <c r="M320" s="0"/>
      <c r="P320" s="0"/>
      <c r="S320" s="0"/>
      <c r="V320" s="0"/>
      <c r="X320" s="0"/>
      <c r="AB320" s="0"/>
      <c r="AD320" s="0"/>
    </row>
    <row r="321" customFormat="false" ht="19.85" hidden="false" customHeight="true" outlineLevel="0" collapsed="false">
      <c r="A321" s="1" t="n">
        <v>31</v>
      </c>
      <c r="B321" s="34" t="n">
        <v>39052</v>
      </c>
      <c r="C321" s="1" t="n">
        <v>390000</v>
      </c>
      <c r="D321" s="9" t="s">
        <v>41</v>
      </c>
      <c r="E321" s="33" t="n">
        <f aca="false">IF(D321="totale",(C321/(A321*24))/F321,IF(D321="marché libre",(C321/(A321*24))/G321,"spécifier histo"))</f>
        <v>0.116746892736547</v>
      </c>
      <c r="F321" s="56" t="n">
        <v>4490</v>
      </c>
      <c r="G321" s="56" t="n">
        <v>4490</v>
      </c>
      <c r="H321" s="9" t="n">
        <v>0</v>
      </c>
      <c r="J321" s="216"/>
      <c r="M321" s="0"/>
      <c r="P321" s="0"/>
      <c r="S321" s="0"/>
      <c r="V321" s="0"/>
      <c r="X321" s="0"/>
      <c r="AB321" s="0"/>
      <c r="AD321" s="0"/>
    </row>
    <row r="322" customFormat="false" ht="19.85" hidden="false" customHeight="true" outlineLevel="0" collapsed="false">
      <c r="A322" s="1" t="n">
        <v>31</v>
      </c>
      <c r="B322" s="31" t="n">
        <v>39083</v>
      </c>
      <c r="C322" s="1" t="n">
        <v>428000</v>
      </c>
      <c r="D322" s="9" t="s">
        <v>41</v>
      </c>
      <c r="E322" s="33" t="n">
        <f aca="false">IF(D322="totale",(C322/(A322*24))/F322,IF(D322="marché libre",(C322/(A322*24))/G322,"spécifier histo"))</f>
        <v>0.128122231003185</v>
      </c>
      <c r="F322" s="56" t="n">
        <v>4490</v>
      </c>
      <c r="G322" s="56" t="n">
        <v>4490</v>
      </c>
      <c r="H322" s="9" t="n">
        <v>0</v>
      </c>
      <c r="J322" s="216"/>
      <c r="M322" s="0"/>
      <c r="P322" s="0"/>
      <c r="S322" s="0"/>
      <c r="V322" s="0"/>
      <c r="X322" s="0"/>
      <c r="AB322" s="0"/>
      <c r="AD322" s="0"/>
    </row>
    <row r="323" customFormat="false" ht="19.85" hidden="false" customHeight="true" outlineLevel="0" collapsed="false">
      <c r="A323" s="1" t="n">
        <v>28</v>
      </c>
      <c r="B323" s="34" t="n">
        <v>39114</v>
      </c>
      <c r="C323" s="1" t="n">
        <v>293200</v>
      </c>
      <c r="D323" s="9" t="s">
        <v>41</v>
      </c>
      <c r="E323" s="33" t="n">
        <f aca="false">IF(D323="totale",(C323/(A323*24))/F323,IF(D323="marché libre",(C323/(A323*24))/G323,"spécifier histo"))</f>
        <v>0.0971736133206066</v>
      </c>
      <c r="F323" s="56" t="n">
        <v>4490</v>
      </c>
      <c r="G323" s="56" t="n">
        <v>4490</v>
      </c>
      <c r="H323" s="9" t="n">
        <v>0</v>
      </c>
      <c r="J323" s="216"/>
      <c r="M323" s="0"/>
      <c r="P323" s="0"/>
      <c r="S323" s="0"/>
      <c r="V323" s="0"/>
      <c r="X323" s="0"/>
      <c r="AB323" s="0"/>
      <c r="AD323" s="0"/>
    </row>
    <row r="324" customFormat="false" ht="19.85" hidden="false" customHeight="true" outlineLevel="0" collapsed="false">
      <c r="A324" s="1" t="n">
        <v>31</v>
      </c>
      <c r="B324" s="31" t="n">
        <v>39142</v>
      </c>
      <c r="C324" s="1" t="n">
        <v>560400</v>
      </c>
      <c r="D324" s="9" t="s">
        <v>41</v>
      </c>
      <c r="E324" s="33" t="n">
        <f aca="false">IF(D324="totale",(C324/(A324*24))/F324,IF(D324="marché libre",(C324/(A324*24))/G324,"spécifier histo"))</f>
        <v>0.167756304332208</v>
      </c>
      <c r="F324" s="56" t="n">
        <v>4490</v>
      </c>
      <c r="G324" s="56" t="n">
        <v>4490</v>
      </c>
      <c r="H324" s="9" t="n">
        <v>0</v>
      </c>
      <c r="J324" s="216"/>
      <c r="M324" s="0"/>
      <c r="P324" s="0"/>
      <c r="S324" s="0"/>
      <c r="V324" s="0"/>
      <c r="X324" s="0"/>
      <c r="AB324" s="0"/>
      <c r="AD324" s="0"/>
    </row>
    <row r="325" customFormat="false" ht="19.85" hidden="false" customHeight="true" outlineLevel="0" collapsed="false">
      <c r="A325" s="1" t="n">
        <v>30</v>
      </c>
      <c r="B325" s="34" t="n">
        <v>39173</v>
      </c>
      <c r="C325" s="1" t="n">
        <v>923600</v>
      </c>
      <c r="D325" s="9" t="s">
        <v>41</v>
      </c>
      <c r="E325" s="33" t="n">
        <f aca="false">IF(D325="totale",(C325/(A325*24))/F325,IF(D325="marché libre",(C325/(A325*24))/G325,"spécifier histo"))</f>
        <v>0.285696609750062</v>
      </c>
      <c r="F325" s="56" t="n">
        <v>4490</v>
      </c>
      <c r="G325" s="56" t="n">
        <v>4490</v>
      </c>
      <c r="H325" s="9" t="n">
        <v>0</v>
      </c>
      <c r="J325" s="216"/>
      <c r="M325" s="0"/>
      <c r="P325" s="0"/>
      <c r="S325" s="0"/>
      <c r="V325" s="0"/>
      <c r="X325" s="0"/>
      <c r="AB325" s="0"/>
      <c r="AD325" s="0"/>
    </row>
    <row r="326" customFormat="false" ht="19.85" hidden="false" customHeight="true" outlineLevel="0" collapsed="false">
      <c r="A326" s="1" t="n">
        <v>31</v>
      </c>
      <c r="B326" s="31" t="n">
        <v>39203</v>
      </c>
      <c r="C326" s="1" t="n">
        <v>1463600</v>
      </c>
      <c r="D326" s="9" t="s">
        <v>41</v>
      </c>
      <c r="E326" s="33" t="n">
        <f aca="false">IF(D326="totale",(C326/(A326*24))/F326,IF(D326="marché libre",(C326/(A326*24))/G326,"spécifier histo"))</f>
        <v>0.43813013386977</v>
      </c>
      <c r="F326" s="56" t="n">
        <v>4490</v>
      </c>
      <c r="G326" s="56" t="n">
        <v>4490</v>
      </c>
      <c r="H326" s="9" t="n">
        <v>0</v>
      </c>
      <c r="J326" s="216"/>
      <c r="M326" s="0"/>
      <c r="P326" s="0"/>
      <c r="S326" s="0"/>
      <c r="V326" s="0"/>
      <c r="X326" s="0"/>
      <c r="AD326" s="0"/>
    </row>
    <row r="327" customFormat="false" ht="19.85" hidden="false" customHeight="true" outlineLevel="0" collapsed="false">
      <c r="A327" s="1" t="n">
        <v>30</v>
      </c>
      <c r="B327" s="34" t="n">
        <v>39234</v>
      </c>
      <c r="C327" s="1" t="n">
        <v>1707600</v>
      </c>
      <c r="D327" s="9" t="s">
        <v>41</v>
      </c>
      <c r="E327" s="33" t="n">
        <f aca="false">IF(D327="totale",(C327/(A327*24))/F327,IF(D327="marché libre",(C327/(A327*24))/G327,"spécifier histo"))</f>
        <v>0.528210838901262</v>
      </c>
      <c r="F327" s="56" t="n">
        <v>4490</v>
      </c>
      <c r="G327" s="56" t="n">
        <v>4490</v>
      </c>
      <c r="H327" s="9" t="n">
        <v>0</v>
      </c>
      <c r="J327" s="216"/>
      <c r="M327" s="0"/>
      <c r="P327" s="0"/>
      <c r="S327" s="0"/>
      <c r="V327" s="0"/>
      <c r="X327" s="0"/>
      <c r="AD327" s="0"/>
    </row>
    <row r="328" customFormat="false" ht="19.85" hidden="false" customHeight="true" outlineLevel="0" collapsed="false">
      <c r="A328" s="1" t="n">
        <v>31</v>
      </c>
      <c r="B328" s="31" t="n">
        <v>39264</v>
      </c>
      <c r="C328" s="1" t="n">
        <v>1340800</v>
      </c>
      <c r="D328" s="9" t="s">
        <v>41</v>
      </c>
      <c r="E328" s="33" t="n">
        <f aca="false">IF(D328="totale",(C328/(A328*24))/F328,IF(D328="marché libre",(C328/(A328*24))/G328,"spécifier histo"))</f>
        <v>0.401369830208109</v>
      </c>
      <c r="F328" s="56" t="n">
        <v>4490</v>
      </c>
      <c r="G328" s="56" t="n">
        <v>4490</v>
      </c>
      <c r="H328" s="9" t="n">
        <v>0</v>
      </c>
      <c r="J328" s="216"/>
      <c r="M328" s="0"/>
      <c r="P328" s="0"/>
      <c r="S328" s="0"/>
      <c r="V328" s="0"/>
      <c r="X328" s="0"/>
      <c r="AD328" s="0"/>
    </row>
    <row r="329" customFormat="false" ht="19.85" hidden="false" customHeight="true" outlineLevel="0" collapsed="false">
      <c r="A329" s="1" t="n">
        <v>31</v>
      </c>
      <c r="B329" s="34" t="n">
        <v>39295</v>
      </c>
      <c r="C329" s="1" t="n">
        <v>1016000</v>
      </c>
      <c r="D329" s="9" t="s">
        <v>41</v>
      </c>
      <c r="E329" s="33" t="n">
        <f aca="false">IF(D329="totale",(C329/(A329*24))/F329,IF(D329="marché libre",(C329/(A329*24))/G329,"spécifier histo"))</f>
        <v>0.304140623129056</v>
      </c>
      <c r="F329" s="56" t="n">
        <v>4490</v>
      </c>
      <c r="G329" s="56" t="n">
        <v>4490</v>
      </c>
      <c r="H329" s="9" t="n">
        <v>0</v>
      </c>
      <c r="J329" s="216"/>
      <c r="M329" s="0"/>
      <c r="P329" s="0"/>
      <c r="S329" s="0"/>
      <c r="V329" s="0"/>
      <c r="X329" s="0"/>
      <c r="AD329" s="0"/>
    </row>
    <row r="330" customFormat="false" ht="19.85" hidden="false" customHeight="true" outlineLevel="0" collapsed="false">
      <c r="A330" s="1" t="n">
        <v>30</v>
      </c>
      <c r="B330" s="31" t="n">
        <v>39326</v>
      </c>
      <c r="C330" s="1" t="n">
        <v>642800</v>
      </c>
      <c r="D330" s="9" t="s">
        <v>41</v>
      </c>
      <c r="E330" s="33" t="n">
        <f aca="false">IF(D330="totale",(C330/(A330*24))/F330,IF(D330="marché libre",(C330/(A330*24))/G330,"spécifier histo"))</f>
        <v>0.198836921554071</v>
      </c>
      <c r="F330" s="56" t="n">
        <v>4490</v>
      </c>
      <c r="G330" s="56" t="n">
        <v>4490</v>
      </c>
      <c r="H330" s="9" t="n">
        <v>0</v>
      </c>
      <c r="J330" s="216"/>
      <c r="M330" s="0"/>
      <c r="P330" s="0"/>
      <c r="S330" s="0"/>
      <c r="V330" s="0"/>
      <c r="X330" s="0"/>
      <c r="AD330" s="0"/>
    </row>
    <row r="331" customFormat="false" ht="19.85" hidden="false" customHeight="true" outlineLevel="0" collapsed="false">
      <c r="A331" s="1" t="n">
        <v>31</v>
      </c>
      <c r="B331" s="34" t="n">
        <v>39356</v>
      </c>
      <c r="C331" s="1" t="n">
        <v>628000</v>
      </c>
      <c r="D331" s="9" t="s">
        <v>41</v>
      </c>
      <c r="E331" s="33" t="n">
        <f aca="false">IF(D331="totale",(C331/(A331*24))/F331,IF(D331="marché libre",(C331/(A331*24))/G331,"spécifier histo"))</f>
        <v>0.187992432406543</v>
      </c>
      <c r="F331" s="56" t="n">
        <v>4490</v>
      </c>
      <c r="G331" s="56" t="n">
        <v>4490</v>
      </c>
      <c r="H331" s="9" t="n">
        <v>0</v>
      </c>
      <c r="J331" s="216"/>
      <c r="M331" s="0"/>
      <c r="P331" s="0"/>
      <c r="S331" s="0"/>
      <c r="V331" s="0"/>
      <c r="X331" s="0"/>
      <c r="AD331" s="0"/>
    </row>
    <row r="332" customFormat="false" ht="19.85" hidden="false" customHeight="true" outlineLevel="0" collapsed="false">
      <c r="A332" s="1" t="n">
        <v>30</v>
      </c>
      <c r="B332" s="31" t="n">
        <v>39387</v>
      </c>
      <c r="C332" s="1" t="n">
        <v>411200</v>
      </c>
      <c r="D332" s="9" t="s">
        <v>41</v>
      </c>
      <c r="E332" s="33" t="n">
        <f aca="false">IF(D332="totale",(C332/(A332*24))/F332,IF(D332="marché libre",(C332/(A332*24))/G332,"spécifier histo"))</f>
        <v>0.127196238554813</v>
      </c>
      <c r="F332" s="56" t="n">
        <v>4490</v>
      </c>
      <c r="G332" s="56" t="n">
        <v>4490</v>
      </c>
      <c r="H332" s="9" t="n">
        <v>0</v>
      </c>
      <c r="J332" s="216"/>
      <c r="M332" s="0"/>
      <c r="P332" s="0"/>
      <c r="S332" s="0"/>
      <c r="V332" s="0"/>
      <c r="X332" s="0"/>
      <c r="AD332" s="0"/>
    </row>
    <row r="333" customFormat="false" ht="19.85" hidden="false" customHeight="true" outlineLevel="0" collapsed="false">
      <c r="A333" s="1" t="n">
        <v>31</v>
      </c>
      <c r="B333" s="34" t="n">
        <v>39417</v>
      </c>
      <c r="C333" s="1" t="n">
        <v>422400</v>
      </c>
      <c r="D333" s="9" t="s">
        <v>41</v>
      </c>
      <c r="E333" s="33" t="n">
        <f aca="false">IF(D333="totale",(C333/(A333*24))/F333,IF(D333="marché libre",(C333/(A333*24))/G333,"spécifier histo"))</f>
        <v>0.126445865363891</v>
      </c>
      <c r="F333" s="56" t="n">
        <v>4490</v>
      </c>
      <c r="G333" s="56" t="n">
        <v>4490</v>
      </c>
      <c r="H333" s="9" t="n">
        <v>0</v>
      </c>
      <c r="J333" s="216"/>
      <c r="M333" s="0"/>
      <c r="P333" s="0"/>
      <c r="S333" s="0"/>
      <c r="V333" s="0"/>
      <c r="X333" s="0"/>
      <c r="AD333" s="0"/>
    </row>
    <row r="334" customFormat="false" ht="19.85" hidden="false" customHeight="true" outlineLevel="0" collapsed="false">
      <c r="A334" s="1" t="n">
        <v>31</v>
      </c>
      <c r="B334" s="31" t="n">
        <v>39448</v>
      </c>
      <c r="C334" s="1" t="n">
        <v>380400</v>
      </c>
      <c r="D334" s="9" t="s">
        <v>41</v>
      </c>
      <c r="E334" s="33" t="n">
        <f aca="false">IF(D334="totale",(C334/(A334*24))/F334,IF(D334="marché libre",(C334/(A334*24))/G334,"spécifier histo"))</f>
        <v>0.113873123069186</v>
      </c>
      <c r="F334" s="56" t="n">
        <v>4490</v>
      </c>
      <c r="G334" s="56" t="n">
        <v>4490</v>
      </c>
      <c r="H334" s="9" t="n">
        <v>0</v>
      </c>
      <c r="J334" s="216"/>
      <c r="M334" s="0"/>
      <c r="P334" s="0"/>
      <c r="S334" s="0"/>
      <c r="V334" s="0"/>
      <c r="X334" s="0"/>
      <c r="AD334" s="0"/>
    </row>
    <row r="335" customFormat="false" ht="19.85" hidden="false" customHeight="true" outlineLevel="0" collapsed="false">
      <c r="A335" s="1" t="n">
        <v>28</v>
      </c>
      <c r="B335" s="34" t="n">
        <v>39479</v>
      </c>
      <c r="C335" s="1" t="n">
        <v>254400</v>
      </c>
      <c r="D335" s="9" t="s">
        <v>41</v>
      </c>
      <c r="E335" s="33" t="n">
        <f aca="false">IF(D335="totale",(C335/(A335*24))/F335,IF(D335="marché libre",(C335/(A335*24))/G335,"spécifier histo"))</f>
        <v>0.0843143493477569</v>
      </c>
      <c r="F335" s="56" t="n">
        <v>4490</v>
      </c>
      <c r="G335" s="56" t="n">
        <v>4490</v>
      </c>
      <c r="H335" s="9" t="n">
        <v>0</v>
      </c>
      <c r="J335" s="216"/>
      <c r="M335" s="0"/>
      <c r="P335" s="0"/>
      <c r="S335" s="0"/>
      <c r="V335" s="0"/>
      <c r="X335" s="0"/>
      <c r="AD335" s="0"/>
    </row>
    <row r="336" customFormat="false" ht="19.85" hidden="false" customHeight="true" outlineLevel="0" collapsed="false">
      <c r="A336" s="1" t="n">
        <v>31</v>
      </c>
      <c r="B336" s="31" t="n">
        <v>39508</v>
      </c>
      <c r="C336" s="1" t="n">
        <v>416000</v>
      </c>
      <c r="D336" s="9" t="s">
        <v>41</v>
      </c>
      <c r="E336" s="33" t="n">
        <f aca="false">IF(D336="totale",(C336/(A336*24))/F336,IF(D336="marché libre",(C336/(A336*24))/G336,"spécifier histo"))</f>
        <v>0.124530018918984</v>
      </c>
      <c r="F336" s="56" t="n">
        <v>4490</v>
      </c>
      <c r="G336" s="56" t="n">
        <v>4490</v>
      </c>
      <c r="H336" s="9" t="n">
        <v>0</v>
      </c>
      <c r="J336" s="216"/>
      <c r="M336" s="0"/>
      <c r="P336" s="0"/>
      <c r="S336" s="0"/>
      <c r="V336" s="0"/>
      <c r="X336" s="0"/>
      <c r="AD336" s="0"/>
    </row>
    <row r="337" customFormat="false" ht="19.85" hidden="false" customHeight="true" outlineLevel="0" collapsed="false">
      <c r="A337" s="1" t="n">
        <v>30</v>
      </c>
      <c r="B337" s="34" t="n">
        <v>39539</v>
      </c>
      <c r="C337" s="1" t="n">
        <v>698800</v>
      </c>
      <c r="D337" s="9" t="s">
        <v>41</v>
      </c>
      <c r="E337" s="33" t="n">
        <f aca="false">IF(D337="totale",(C337/(A337*24))/F337,IF(D337="marché libre",(C337/(A337*24))/G337,"spécifier histo"))</f>
        <v>0.216159366493442</v>
      </c>
      <c r="F337" s="56" t="n">
        <v>4490</v>
      </c>
      <c r="G337" s="56" t="n">
        <v>4490</v>
      </c>
      <c r="H337" s="9" t="n">
        <v>0</v>
      </c>
      <c r="J337" s="216"/>
      <c r="M337" s="0"/>
      <c r="P337" s="0"/>
      <c r="S337" s="0"/>
      <c r="V337" s="0"/>
      <c r="X337" s="0"/>
      <c r="AD337" s="0"/>
    </row>
    <row r="338" customFormat="false" ht="19.85" hidden="false" customHeight="true" outlineLevel="0" collapsed="false">
      <c r="A338" s="1" t="n">
        <v>31</v>
      </c>
      <c r="B338" s="31" t="n">
        <v>39569</v>
      </c>
      <c r="C338" s="1" t="n">
        <v>1750400</v>
      </c>
      <c r="D338" s="9" t="s">
        <v>41</v>
      </c>
      <c r="E338" s="33" t="n">
        <f aca="false">IF(D338="totale",(C338/(A338*24))/F338,IF(D338="marché libre",(C338/(A338*24))/G338,"spécifier histo"))</f>
        <v>0.523984002682185</v>
      </c>
      <c r="F338" s="56" t="n">
        <v>4490</v>
      </c>
      <c r="G338" s="56" t="n">
        <v>4490</v>
      </c>
      <c r="H338" s="9" t="n">
        <v>0</v>
      </c>
      <c r="J338" s="216"/>
      <c r="M338" s="0"/>
      <c r="P338" s="0"/>
      <c r="S338" s="0"/>
      <c r="V338" s="0"/>
      <c r="X338" s="0"/>
    </row>
    <row r="339" customFormat="false" ht="19.85" hidden="false" customHeight="true" outlineLevel="0" collapsed="false">
      <c r="A339" s="1" t="n">
        <v>30</v>
      </c>
      <c r="B339" s="34" t="n">
        <v>39600</v>
      </c>
      <c r="C339" s="1" t="n">
        <v>1723200</v>
      </c>
      <c r="D339" s="9" t="s">
        <v>41</v>
      </c>
      <c r="E339" s="33" t="n">
        <f aca="false">IF(D339="totale",(C339/(A339*24))/F339,IF(D339="marché libre",(C339/(A339*24))/G339,"spécifier histo"))</f>
        <v>0.533036377134373</v>
      </c>
      <c r="F339" s="56" t="n">
        <v>4490</v>
      </c>
      <c r="G339" s="56" t="n">
        <v>4490</v>
      </c>
      <c r="H339" s="9" t="n">
        <v>0</v>
      </c>
      <c r="J339" s="216"/>
      <c r="M339" s="0"/>
      <c r="P339" s="0"/>
      <c r="S339" s="0"/>
      <c r="V339" s="0"/>
      <c r="X339" s="0"/>
    </row>
    <row r="340" customFormat="false" ht="19.85" hidden="false" customHeight="true" outlineLevel="0" collapsed="false">
      <c r="A340" s="1" t="n">
        <v>31</v>
      </c>
      <c r="B340" s="31" t="n">
        <v>39630</v>
      </c>
      <c r="C340" s="1" t="n">
        <v>1582800</v>
      </c>
      <c r="D340" s="9" t="s">
        <v>41</v>
      </c>
      <c r="E340" s="33" t="n">
        <f aca="false">IF(D340="totale",(C340/(A340*24))/F340,IF(D340="marché libre",(C340/(A340*24))/G340,"spécifier histo"))</f>
        <v>0.473812773906171</v>
      </c>
      <c r="F340" s="56" t="n">
        <v>4490</v>
      </c>
      <c r="G340" s="56" t="n">
        <v>4490</v>
      </c>
      <c r="H340" s="9" t="n">
        <v>0</v>
      </c>
      <c r="J340" s="216"/>
      <c r="M340" s="0"/>
      <c r="P340" s="0"/>
      <c r="S340" s="0"/>
      <c r="V340" s="0"/>
      <c r="X340" s="0"/>
    </row>
    <row r="341" customFormat="false" ht="19.85" hidden="false" customHeight="true" outlineLevel="0" collapsed="false">
      <c r="A341" s="1" t="n">
        <v>31</v>
      </c>
      <c r="B341" s="34" t="n">
        <v>39661</v>
      </c>
      <c r="C341" s="1" t="n">
        <v>834800</v>
      </c>
      <c r="D341" s="9" t="s">
        <v>41</v>
      </c>
      <c r="E341" s="33" t="n">
        <f aca="false">IF(D341="totale",(C341/(A341*24))/F341,IF(D341="marché libre",(C341/(A341*24))/G341,"spécifier histo"))</f>
        <v>0.249898220657614</v>
      </c>
      <c r="F341" s="56" t="n">
        <v>4490</v>
      </c>
      <c r="G341" s="56" t="n">
        <v>4490</v>
      </c>
      <c r="H341" s="9" t="n">
        <v>0</v>
      </c>
      <c r="J341" s="216"/>
      <c r="M341" s="0"/>
      <c r="P341" s="0"/>
      <c r="S341" s="0"/>
      <c r="V341" s="0"/>
      <c r="X341" s="0"/>
    </row>
    <row r="342" customFormat="false" ht="19.85" hidden="false" customHeight="true" outlineLevel="0" collapsed="false">
      <c r="A342" s="1" t="n">
        <v>30</v>
      </c>
      <c r="B342" s="31" t="n">
        <v>39692</v>
      </c>
      <c r="C342" s="1" t="n">
        <v>958400</v>
      </c>
      <c r="D342" s="9" t="s">
        <v>41</v>
      </c>
      <c r="E342" s="33" t="n">
        <f aca="false">IF(D342="totale",(C342/(A342*24))/F342,IF(D342="marché libre",(C342/(A342*24))/G342,"spécifier histo"))</f>
        <v>0.296461271962385</v>
      </c>
      <c r="F342" s="56" t="n">
        <v>4490</v>
      </c>
      <c r="G342" s="56" t="n">
        <v>4490</v>
      </c>
      <c r="H342" s="9" t="n">
        <v>0</v>
      </c>
      <c r="J342" s="216"/>
      <c r="M342" s="0"/>
      <c r="P342" s="0"/>
      <c r="S342" s="0"/>
      <c r="V342" s="0"/>
      <c r="X342" s="0"/>
    </row>
    <row r="343" customFormat="false" ht="19.85" hidden="false" customHeight="true" outlineLevel="0" collapsed="false">
      <c r="A343" s="1" t="n">
        <v>31</v>
      </c>
      <c r="B343" s="34" t="n">
        <v>39722</v>
      </c>
      <c r="C343" s="1" t="n">
        <v>578000</v>
      </c>
      <c r="D343" s="9" t="s">
        <v>41</v>
      </c>
      <c r="E343" s="33" t="n">
        <f aca="false">IF(D343="totale",(C343/(A343*24))/F343,IF(D343="marché libre",(C343/(A343*24))/G343,"spécifier histo"))</f>
        <v>0.173024882055703</v>
      </c>
      <c r="F343" s="56" t="n">
        <v>4490</v>
      </c>
      <c r="G343" s="56" t="n">
        <v>4490</v>
      </c>
      <c r="H343" s="9" t="n">
        <v>0</v>
      </c>
      <c r="J343" s="216"/>
      <c r="M343" s="0"/>
      <c r="P343" s="0"/>
      <c r="S343" s="0"/>
      <c r="V343" s="0"/>
      <c r="X343" s="0"/>
    </row>
    <row r="344" customFormat="false" ht="19.85" hidden="false" customHeight="true" outlineLevel="0" collapsed="false">
      <c r="A344" s="1" t="n">
        <v>30</v>
      </c>
      <c r="B344" s="31" t="n">
        <v>39753</v>
      </c>
      <c r="C344" s="1" t="n">
        <v>534800</v>
      </c>
      <c r="D344" s="9" t="s">
        <v>41</v>
      </c>
      <c r="E344" s="33" t="n">
        <f aca="false">IF(D344="totale",(C344/(A344*24))/F344,IF(D344="marché libre",(C344/(A344*24))/G344,"spécifier histo"))</f>
        <v>0.165429349170997</v>
      </c>
      <c r="F344" s="56" t="n">
        <v>4490</v>
      </c>
      <c r="G344" s="56" t="n">
        <v>4490</v>
      </c>
      <c r="H344" s="9" t="n">
        <v>0</v>
      </c>
      <c r="J344" s="216"/>
      <c r="M344" s="0"/>
      <c r="P344" s="0"/>
      <c r="S344" s="0"/>
      <c r="V344" s="0"/>
      <c r="X344" s="0"/>
    </row>
    <row r="345" customFormat="false" ht="19.85" hidden="false" customHeight="true" outlineLevel="0" collapsed="false">
      <c r="A345" s="1" t="n">
        <v>31</v>
      </c>
      <c r="B345" s="34" t="n">
        <v>39783</v>
      </c>
      <c r="C345" s="1" t="n">
        <v>320800</v>
      </c>
      <c r="D345" s="9" t="s">
        <v>41</v>
      </c>
      <c r="E345" s="33" t="n">
        <f aca="false">IF(D345="totale",(C345/(A345*24))/F345,IF(D345="marché libre",(C345/(A345*24))/G345,"spécifier histo"))</f>
        <v>0.0960318030509855</v>
      </c>
      <c r="F345" s="56" t="n">
        <v>4490</v>
      </c>
      <c r="G345" s="56" t="n">
        <v>4490</v>
      </c>
      <c r="H345" s="9" t="n">
        <v>0</v>
      </c>
      <c r="J345" s="216"/>
      <c r="M345" s="0"/>
      <c r="P345" s="0"/>
      <c r="S345" s="0"/>
      <c r="V345" s="0"/>
      <c r="X345" s="0"/>
    </row>
    <row r="346" customFormat="false" ht="19.85" hidden="false" customHeight="true" outlineLevel="0" collapsed="false">
      <c r="A346" s="1" t="n">
        <v>31</v>
      </c>
      <c r="B346" s="31" t="n">
        <v>39814</v>
      </c>
      <c r="C346" s="1" t="n">
        <v>250800</v>
      </c>
      <c r="D346" s="9" t="s">
        <v>41</v>
      </c>
      <c r="E346" s="33" t="n">
        <f aca="false">IF(D346="totale",(C346/(A346*24))/F346,IF(D346="marché libre",(C346/(A346*24))/G346,"spécifier histo"))</f>
        <v>0.0750772325598103</v>
      </c>
      <c r="F346" s="56" t="n">
        <v>4490</v>
      </c>
      <c r="G346" s="56" t="n">
        <v>4490</v>
      </c>
      <c r="H346" s="9" t="n">
        <v>0</v>
      </c>
      <c r="J346" s="216"/>
      <c r="M346" s="0"/>
      <c r="P346" s="0"/>
      <c r="S346" s="0"/>
      <c r="V346" s="0"/>
      <c r="X346" s="0"/>
    </row>
    <row r="347" customFormat="false" ht="19.85" hidden="false" customHeight="true" outlineLevel="0" collapsed="false">
      <c r="A347" s="1" t="n">
        <v>28</v>
      </c>
      <c r="B347" s="34" t="n">
        <v>39845</v>
      </c>
      <c r="C347" s="1" t="n">
        <v>180000</v>
      </c>
      <c r="D347" s="9" t="s">
        <v>41</v>
      </c>
      <c r="E347" s="33" t="n">
        <f aca="false">IF(D347="totale",(C347/(A347*24))/F347,IF(D347="marché libre",(C347/(A347*24))/G347,"spécifier histo"))</f>
        <v>0.0596563792554884</v>
      </c>
      <c r="F347" s="56" t="n">
        <v>4490</v>
      </c>
      <c r="G347" s="56" t="n">
        <v>4490</v>
      </c>
      <c r="H347" s="9" t="n">
        <v>0</v>
      </c>
      <c r="J347" s="216"/>
      <c r="M347" s="0"/>
      <c r="P347" s="0"/>
      <c r="S347" s="0"/>
      <c r="V347" s="0"/>
      <c r="X347" s="0"/>
    </row>
    <row r="348" customFormat="false" ht="19.85" hidden="false" customHeight="true" outlineLevel="0" collapsed="false">
      <c r="A348" s="1" t="n">
        <v>31</v>
      </c>
      <c r="B348" s="31" t="n">
        <v>39873</v>
      </c>
      <c r="C348" s="1" t="n">
        <v>260800</v>
      </c>
      <c r="D348" s="9" t="s">
        <v>41</v>
      </c>
      <c r="E348" s="33" t="n">
        <f aca="false">IF(D348="totale",(C348/(A348*24))/F348,IF(D348="marché libre",(C348/(A348*24))/G348,"spécifier histo"))</f>
        <v>0.0780707426299782</v>
      </c>
      <c r="F348" s="56" t="n">
        <v>4490</v>
      </c>
      <c r="G348" s="56" t="n">
        <v>4490</v>
      </c>
      <c r="H348" s="9" t="n">
        <v>0</v>
      </c>
      <c r="J348" s="216"/>
      <c r="M348" s="0"/>
      <c r="P348" s="0"/>
      <c r="S348" s="0"/>
      <c r="V348" s="0"/>
      <c r="X348" s="0"/>
    </row>
    <row r="349" customFormat="false" ht="19.85" hidden="false" customHeight="true" outlineLevel="0" collapsed="false">
      <c r="A349" s="1" t="n">
        <v>30</v>
      </c>
      <c r="B349" s="34" t="n">
        <v>39904</v>
      </c>
      <c r="C349" s="1" t="n">
        <v>782400</v>
      </c>
      <c r="D349" s="9" t="s">
        <v>41</v>
      </c>
      <c r="E349" s="33" t="n">
        <f aca="false">IF(D349="totale",(C349/(A349*24))/F349,IF(D349="marché libre",(C349/(A349*24))/G349,"spécifier histo"))</f>
        <v>0.242019302152932</v>
      </c>
      <c r="F349" s="56" t="n">
        <v>4490</v>
      </c>
      <c r="G349" s="56" t="n">
        <v>4490</v>
      </c>
      <c r="H349" s="9" t="n">
        <v>0</v>
      </c>
      <c r="J349" s="216"/>
      <c r="M349" s="0"/>
      <c r="P349" s="0"/>
      <c r="S349" s="0"/>
      <c r="V349" s="0"/>
      <c r="X349" s="0"/>
    </row>
    <row r="350" customFormat="false" ht="19.85" hidden="false" customHeight="true" outlineLevel="0" collapsed="false">
      <c r="A350" s="1" t="n">
        <v>31</v>
      </c>
      <c r="B350" s="31" t="n">
        <v>39934</v>
      </c>
      <c r="C350" s="1" t="n">
        <v>1414000</v>
      </c>
      <c r="D350" s="9" t="s">
        <v>41</v>
      </c>
      <c r="E350" s="33" t="n">
        <f aca="false">IF(D350="totale",(C350/(A350*24))/F350,IF(D350="marché libre",(C350/(A350*24))/G350,"spécifier histo"))</f>
        <v>0.423282323921738</v>
      </c>
      <c r="F350" s="56" t="n">
        <v>4490</v>
      </c>
      <c r="G350" s="56" t="n">
        <v>4490</v>
      </c>
      <c r="H350" s="9" t="n">
        <v>0</v>
      </c>
      <c r="J350" s="216"/>
      <c r="M350" s="0"/>
      <c r="P350" s="0"/>
      <c r="S350" s="0"/>
      <c r="V350" s="0"/>
      <c r="X350" s="0"/>
    </row>
    <row r="351" customFormat="false" ht="19.85" hidden="false" customHeight="true" outlineLevel="0" collapsed="false">
      <c r="A351" s="1" t="n">
        <v>30</v>
      </c>
      <c r="B351" s="34" t="n">
        <v>39965</v>
      </c>
      <c r="C351" s="1" t="n">
        <v>1056400</v>
      </c>
      <c r="D351" s="9" t="s">
        <v>41</v>
      </c>
      <c r="E351" s="33" t="n">
        <f aca="false">IF(D351="totale",(C351/(A351*24))/F351,IF(D351="marché libre",(C351/(A351*24))/G351,"spécifier histo"))</f>
        <v>0.326775550606286</v>
      </c>
      <c r="F351" s="56" t="n">
        <v>4490</v>
      </c>
      <c r="G351" s="56" t="n">
        <v>4490</v>
      </c>
      <c r="H351" s="9" t="n">
        <v>0</v>
      </c>
      <c r="J351" s="216"/>
      <c r="M351" s="0"/>
      <c r="P351" s="0"/>
      <c r="S351" s="0"/>
      <c r="V351" s="0"/>
      <c r="X351" s="0"/>
    </row>
    <row r="352" customFormat="false" ht="19.85" hidden="false" customHeight="true" outlineLevel="0" collapsed="false">
      <c r="A352" s="1" t="n">
        <v>31</v>
      </c>
      <c r="B352" s="31" t="n">
        <v>39995</v>
      </c>
      <c r="C352" s="1" t="n">
        <v>814800</v>
      </c>
      <c r="D352" s="9" t="s">
        <v>41</v>
      </c>
      <c r="E352" s="33" t="n">
        <f aca="false">IF(D352="totale",(C352/(A352*24))/F352,IF(D352="marché libre",(C352/(A352*24))/G352,"spécifier histo"))</f>
        <v>0.243911200517279</v>
      </c>
      <c r="F352" s="56" t="n">
        <v>4490</v>
      </c>
      <c r="G352" s="56" t="n">
        <v>4490</v>
      </c>
      <c r="H352" s="9" t="n">
        <v>0</v>
      </c>
      <c r="J352" s="216"/>
      <c r="M352" s="0"/>
      <c r="P352" s="0"/>
      <c r="S352" s="0"/>
      <c r="V352" s="0"/>
      <c r="X352" s="0"/>
    </row>
    <row r="353" customFormat="false" ht="19.85" hidden="false" customHeight="true" outlineLevel="0" collapsed="false">
      <c r="A353" s="1" t="n">
        <v>31</v>
      </c>
      <c r="B353" s="34" t="n">
        <v>40026</v>
      </c>
      <c r="C353" s="1" t="n">
        <v>452800</v>
      </c>
      <c r="D353" s="9" t="s">
        <v>41</v>
      </c>
      <c r="E353" s="33" t="n">
        <f aca="false">IF(D353="totale",(C353/(A353*24))/F353,IF(D353="marché libre",(C353/(A353*24))/G353,"spécifier histo"))</f>
        <v>0.135546135977201</v>
      </c>
      <c r="F353" s="56" t="n">
        <v>4490</v>
      </c>
      <c r="G353" s="56" t="n">
        <v>4490</v>
      </c>
      <c r="H353" s="9" t="n">
        <v>0</v>
      </c>
      <c r="J353" s="216"/>
      <c r="M353" s="0"/>
      <c r="P353" s="0"/>
      <c r="S353" s="0"/>
      <c r="V353" s="0"/>
      <c r="X353" s="0"/>
    </row>
    <row r="354" customFormat="false" ht="19.85" hidden="false" customHeight="true" outlineLevel="0" collapsed="false">
      <c r="A354" s="1" t="n">
        <v>30</v>
      </c>
      <c r="B354" s="31" t="n">
        <v>40057</v>
      </c>
      <c r="C354" s="1" t="n">
        <v>321600</v>
      </c>
      <c r="D354" s="9" t="s">
        <v>41</v>
      </c>
      <c r="E354" s="33" t="n">
        <f aca="false">IF(D354="totale",(C354/(A354*24))/F354,IF(D354="marché libre",(C354/(A354*24))/G354,"spécifier histo"))</f>
        <v>0.0994803266518189</v>
      </c>
      <c r="F354" s="56" t="n">
        <v>4490</v>
      </c>
      <c r="G354" s="56" t="n">
        <v>4490</v>
      </c>
      <c r="H354" s="9" t="n">
        <v>0</v>
      </c>
      <c r="J354" s="216"/>
      <c r="M354" s="0"/>
      <c r="P354" s="0"/>
      <c r="S354" s="0"/>
      <c r="V354" s="0"/>
      <c r="X354" s="0"/>
    </row>
    <row r="355" customFormat="false" ht="19.85" hidden="false" customHeight="true" outlineLevel="0" collapsed="false">
      <c r="A355" s="1" t="n">
        <v>31</v>
      </c>
      <c r="B355" s="34" t="n">
        <v>40087</v>
      </c>
      <c r="C355" s="1" t="n">
        <v>274600</v>
      </c>
      <c r="D355" s="9" t="s">
        <v>41</v>
      </c>
      <c r="E355" s="33" t="n">
        <f aca="false">IF(D355="totale",(C355/(A355*24))/F355,IF(D355="marché libre",(C355/(A355*24))/G355,"spécifier histo"))</f>
        <v>0.0822017865268099</v>
      </c>
      <c r="F355" s="56" t="n">
        <v>4490</v>
      </c>
      <c r="G355" s="56" t="n">
        <v>4490</v>
      </c>
      <c r="H355" s="9" t="n">
        <v>0</v>
      </c>
      <c r="J355" s="216"/>
      <c r="M355" s="0"/>
      <c r="P355" s="0"/>
      <c r="S355" s="0"/>
      <c r="V355" s="0"/>
      <c r="X355" s="0"/>
    </row>
    <row r="356" customFormat="false" ht="19.85" hidden="false" customHeight="true" outlineLevel="0" collapsed="false">
      <c r="A356" s="1" t="n">
        <v>30</v>
      </c>
      <c r="B356" s="31" t="n">
        <v>40118</v>
      </c>
      <c r="C356" s="1" t="n">
        <v>439600</v>
      </c>
      <c r="D356" s="9" t="s">
        <v>41</v>
      </c>
      <c r="E356" s="33" t="n">
        <f aca="false">IF(D356="totale",(C356/(A356*24))/F356,IF(D356="marché libre",(C356/(A356*24))/G356,"spécifier histo"))</f>
        <v>0.135981192774066</v>
      </c>
      <c r="F356" s="56" t="n">
        <v>4490</v>
      </c>
      <c r="G356" s="56" t="n">
        <v>4490</v>
      </c>
      <c r="H356" s="9" t="n">
        <v>0</v>
      </c>
      <c r="J356" s="216"/>
      <c r="M356" s="0"/>
      <c r="P356" s="0"/>
      <c r="S356" s="0"/>
      <c r="V356" s="0"/>
      <c r="X356" s="0"/>
    </row>
    <row r="357" customFormat="false" ht="19.85" hidden="false" customHeight="true" outlineLevel="0" collapsed="false">
      <c r="A357" s="1" t="n">
        <v>31</v>
      </c>
      <c r="B357" s="34" t="n">
        <v>40148</v>
      </c>
      <c r="C357" s="1" t="n">
        <v>515200</v>
      </c>
      <c r="D357" s="9" t="s">
        <v>41</v>
      </c>
      <c r="E357" s="33" t="n">
        <f aca="false">IF(D357="totale",(C357/(A357*24))/F357,IF(D357="marché libre",(C357/(A357*24))/G357,"spécifier histo"))</f>
        <v>0.154225638815049</v>
      </c>
      <c r="F357" s="56" t="n">
        <v>4490</v>
      </c>
      <c r="G357" s="56" t="n">
        <v>4490</v>
      </c>
      <c r="H357" s="9" t="n">
        <v>0</v>
      </c>
      <c r="J357" s="216"/>
      <c r="M357" s="0"/>
      <c r="P357" s="0"/>
      <c r="S357" s="0"/>
      <c r="V357" s="0"/>
      <c r="X357" s="0"/>
    </row>
    <row r="358" customFormat="false" ht="19.85" hidden="false" customHeight="true" outlineLevel="0" collapsed="false">
      <c r="A358" s="1" t="n">
        <v>31</v>
      </c>
      <c r="B358" s="31" t="n">
        <v>40179</v>
      </c>
      <c r="C358" s="1" t="n">
        <v>309200</v>
      </c>
      <c r="D358" s="9" t="s">
        <v>41</v>
      </c>
      <c r="E358" s="33" t="n">
        <f aca="false">IF(D358="totale",(C358/(A358*24))/F358,IF(D358="marché libre",(C358/(A358*24))/G358,"spécifier histo"))</f>
        <v>0.0925593313695907</v>
      </c>
      <c r="F358" s="56" t="n">
        <v>4490</v>
      </c>
      <c r="G358" s="56" t="n">
        <v>4490</v>
      </c>
      <c r="H358" s="9" t="n">
        <v>0</v>
      </c>
      <c r="J358" s="216"/>
      <c r="M358" s="0"/>
      <c r="P358" s="0"/>
      <c r="S358" s="0"/>
      <c r="V358" s="0"/>
      <c r="X358" s="0"/>
    </row>
    <row r="359" customFormat="false" ht="19.85" hidden="false" customHeight="true" outlineLevel="0" collapsed="false">
      <c r="A359" s="1" t="n">
        <v>28</v>
      </c>
      <c r="B359" s="34" t="n">
        <v>40210</v>
      </c>
      <c r="C359" s="1" t="n">
        <v>183600</v>
      </c>
      <c r="D359" s="9" t="s">
        <v>41</v>
      </c>
      <c r="E359" s="33" t="n">
        <f aca="false">IF(D359="totale",(C359/(A359*24))/F359,IF(D359="marché libre",(C359/(A359*24))/G359,"spécifier histo"))</f>
        <v>0.0608495068405982</v>
      </c>
      <c r="F359" s="56" t="n">
        <v>4490</v>
      </c>
      <c r="G359" s="56" t="n">
        <v>4490</v>
      </c>
      <c r="H359" s="9" t="n">
        <v>0</v>
      </c>
      <c r="J359" s="216"/>
      <c r="M359" s="0"/>
      <c r="P359" s="0"/>
      <c r="S359" s="0"/>
      <c r="V359" s="0"/>
      <c r="X359" s="0"/>
    </row>
    <row r="360" customFormat="false" ht="19.85" hidden="false" customHeight="true" outlineLevel="0" collapsed="false">
      <c r="A360" s="1" t="n">
        <v>31</v>
      </c>
      <c r="B360" s="31" t="n">
        <v>40238</v>
      </c>
      <c r="C360" s="1" t="n">
        <v>294245</v>
      </c>
      <c r="D360" s="9" t="s">
        <v>41</v>
      </c>
      <c r="E360" s="33" t="n">
        <f aca="false">IF(D360="totale",(C360/(A360*24))/F360,IF(D360="marché libre",(C360/(A360*24))/G360,"spécifier histo"))</f>
        <v>0.0880825370596547</v>
      </c>
      <c r="F360" s="56" t="n">
        <v>4490</v>
      </c>
      <c r="G360" s="56" t="n">
        <v>4490</v>
      </c>
      <c r="H360" s="9" t="n">
        <v>0</v>
      </c>
      <c r="J360" s="216"/>
      <c r="M360" s="0"/>
      <c r="P360" s="0"/>
      <c r="S360" s="0"/>
      <c r="V360" s="0"/>
      <c r="X360" s="0"/>
    </row>
    <row r="361" customFormat="false" ht="19.85" hidden="false" customHeight="true" outlineLevel="0" collapsed="false">
      <c r="A361" s="1" t="n">
        <v>30</v>
      </c>
      <c r="B361" s="34" t="n">
        <v>40269</v>
      </c>
      <c r="C361" s="1" t="n">
        <v>749200</v>
      </c>
      <c r="D361" s="9" t="s">
        <v>41</v>
      </c>
      <c r="E361" s="33" t="n">
        <f aca="false">IF(D361="totale",(C361/(A361*24))/F361,IF(D361="marché libre",(C361/(A361*24))/G361,"spécifier histo"))</f>
        <v>0.231749566938877</v>
      </c>
      <c r="F361" s="56" t="n">
        <v>4490</v>
      </c>
      <c r="G361" s="56" t="n">
        <v>4490</v>
      </c>
      <c r="H361" s="9" t="n">
        <v>0</v>
      </c>
      <c r="J361" s="216"/>
      <c r="M361" s="0"/>
      <c r="P361" s="0"/>
      <c r="S361" s="0"/>
      <c r="V361" s="0"/>
      <c r="X361" s="0"/>
    </row>
    <row r="362" customFormat="false" ht="19.85" hidden="false" customHeight="true" outlineLevel="0" collapsed="false">
      <c r="A362" s="1" t="n">
        <v>31</v>
      </c>
      <c r="B362" s="31" t="n">
        <v>40299</v>
      </c>
      <c r="C362" s="1" t="n">
        <v>1326400</v>
      </c>
      <c r="D362" s="9" t="s">
        <v>41</v>
      </c>
      <c r="E362" s="33" t="n">
        <f aca="false">IF(D362="totale",(C362/(A362*24))/F362,IF(D362="marché libre",(C362/(A362*24))/G362,"spécifier histo"))</f>
        <v>0.397059175707067</v>
      </c>
      <c r="F362" s="56" t="n">
        <v>4490</v>
      </c>
      <c r="G362" s="56" t="n">
        <v>4490</v>
      </c>
      <c r="H362" s="9" t="n">
        <v>0</v>
      </c>
      <c r="J362" s="216"/>
      <c r="M362" s="0"/>
      <c r="P362" s="0"/>
      <c r="S362" s="0"/>
      <c r="V362" s="0"/>
    </row>
    <row r="363" customFormat="false" ht="19.85" hidden="false" customHeight="true" outlineLevel="0" collapsed="false">
      <c r="A363" s="1" t="n">
        <v>30</v>
      </c>
      <c r="B363" s="34" t="n">
        <v>40330</v>
      </c>
      <c r="C363" s="1" t="n">
        <v>1807600</v>
      </c>
      <c r="D363" s="9" t="s">
        <v>41</v>
      </c>
      <c r="E363" s="33" t="n">
        <f aca="false">IF(D363="totale",(C363/(A363*24))/F363,IF(D363="marché libre",(C363/(A363*24))/G363,"spécifier histo"))</f>
        <v>0.559143776292997</v>
      </c>
      <c r="F363" s="56" t="n">
        <v>4490</v>
      </c>
      <c r="G363" s="56" t="n">
        <v>4490</v>
      </c>
      <c r="H363" s="9" t="n">
        <v>0</v>
      </c>
      <c r="J363" s="216"/>
      <c r="M363" s="0"/>
      <c r="P363" s="0"/>
      <c r="S363" s="0"/>
      <c r="V363" s="0"/>
    </row>
    <row r="364" customFormat="false" ht="19.85" hidden="false" customHeight="true" outlineLevel="0" collapsed="false">
      <c r="A364" s="1" t="n">
        <v>31</v>
      </c>
      <c r="B364" s="31" t="n">
        <v>40360</v>
      </c>
      <c r="C364" s="1" t="n">
        <v>1142800</v>
      </c>
      <c r="D364" s="9" t="s">
        <v>41</v>
      </c>
      <c r="E364" s="33" t="n">
        <f aca="false">IF(D364="totale",(C364/(A364*24))/F364,IF(D364="marché libre",(C364/(A364*24))/G364,"spécifier histo"))</f>
        <v>0.342098330818785</v>
      </c>
      <c r="F364" s="56" t="n">
        <v>4490</v>
      </c>
      <c r="G364" s="56" t="n">
        <v>4490</v>
      </c>
      <c r="H364" s="9" t="n">
        <v>0</v>
      </c>
      <c r="J364" s="216"/>
      <c r="M364" s="0"/>
      <c r="P364" s="0"/>
      <c r="S364" s="0"/>
      <c r="V364" s="0"/>
    </row>
    <row r="365" customFormat="false" ht="19.85" hidden="false" customHeight="true" outlineLevel="0" collapsed="false">
      <c r="A365" s="1" t="n">
        <v>31</v>
      </c>
      <c r="B365" s="34" t="n">
        <v>40391</v>
      </c>
      <c r="C365" s="1" t="n">
        <v>794800</v>
      </c>
      <c r="D365" s="9" t="s">
        <v>41</v>
      </c>
      <c r="E365" s="33" t="n">
        <f aca="false">IF(D365="totale",(C365/(A365*24))/F365,IF(D365="marché libre",(C365/(A365*24))/G365,"spécifier histo"))</f>
        <v>0.237924180376943</v>
      </c>
      <c r="F365" s="56" t="n">
        <v>4490</v>
      </c>
      <c r="G365" s="56" t="n">
        <v>4490</v>
      </c>
      <c r="H365" s="9" t="n">
        <v>0</v>
      </c>
      <c r="J365" s="216"/>
      <c r="M365" s="0"/>
      <c r="P365" s="0"/>
      <c r="S365" s="0"/>
      <c r="V365" s="0"/>
    </row>
    <row r="366" customFormat="false" ht="19.85" hidden="false" customHeight="true" outlineLevel="0" collapsed="false">
      <c r="A366" s="1" t="n">
        <v>30</v>
      </c>
      <c r="B366" s="31" t="n">
        <v>40422</v>
      </c>
      <c r="C366" s="1" t="n">
        <v>520800</v>
      </c>
      <c r="D366" s="9" t="s">
        <v>41</v>
      </c>
      <c r="E366" s="33" t="n">
        <f aca="false">IF(D366="totale",(C366/(A366*24))/F366,IF(D366="marché libre",(C366/(A366*24))/G366,"spécifier histo"))</f>
        <v>0.161098737936154</v>
      </c>
      <c r="F366" s="56" t="n">
        <v>4490</v>
      </c>
      <c r="G366" s="56" t="n">
        <v>4490</v>
      </c>
      <c r="H366" s="9" t="n">
        <v>0</v>
      </c>
      <c r="J366" s="216"/>
      <c r="M366" s="0"/>
      <c r="P366" s="0"/>
      <c r="S366" s="0"/>
      <c r="V366" s="0"/>
    </row>
    <row r="367" customFormat="false" ht="19.85" hidden="false" customHeight="true" outlineLevel="0" collapsed="false">
      <c r="A367" s="1" t="n">
        <v>31</v>
      </c>
      <c r="B367" s="34" t="n">
        <v>40452</v>
      </c>
      <c r="C367" s="1" t="n">
        <v>749200</v>
      </c>
      <c r="D367" s="9" t="s">
        <v>41</v>
      </c>
      <c r="E367" s="33" t="n">
        <f aca="false">IF(D367="totale",(C367/(A367*24))/F367,IF(D367="marché libre",(C367/(A367*24))/G367,"spécifier histo"))</f>
        <v>0.224273774456977</v>
      </c>
      <c r="F367" s="56" t="n">
        <v>4490</v>
      </c>
      <c r="G367" s="56" t="n">
        <v>4490</v>
      </c>
      <c r="H367" s="9" t="n">
        <v>0</v>
      </c>
      <c r="J367" s="216"/>
      <c r="M367" s="0"/>
      <c r="P367" s="0"/>
      <c r="S367" s="0"/>
      <c r="V367" s="0"/>
    </row>
    <row r="368" customFormat="false" ht="19.85" hidden="false" customHeight="true" outlineLevel="0" collapsed="false">
      <c r="A368" s="1" t="n">
        <v>30</v>
      </c>
      <c r="B368" s="31" t="n">
        <v>40483</v>
      </c>
      <c r="C368" s="1" t="n">
        <v>546800</v>
      </c>
      <c r="D368" s="9" t="s">
        <v>41</v>
      </c>
      <c r="E368" s="33" t="n">
        <f aca="false">IF(D368="totale",(C368/(A368*24))/F368,IF(D368="marché libre",(C368/(A368*24))/G368,"spécifier histo"))</f>
        <v>0.169141301658005</v>
      </c>
      <c r="F368" s="56" t="n">
        <v>4490</v>
      </c>
      <c r="G368" s="56" t="n">
        <v>4490</v>
      </c>
      <c r="H368" s="9" t="n">
        <v>0</v>
      </c>
      <c r="J368" s="216"/>
      <c r="M368" s="0"/>
      <c r="P368" s="0"/>
      <c r="S368" s="0"/>
      <c r="V368" s="0"/>
    </row>
    <row r="369" customFormat="false" ht="19.85" hidden="false" customHeight="true" outlineLevel="0" collapsed="false">
      <c r="A369" s="1" t="n">
        <v>31</v>
      </c>
      <c r="B369" s="34" t="n">
        <v>40513</v>
      </c>
      <c r="C369" s="1" t="n">
        <v>524400</v>
      </c>
      <c r="D369" s="9" t="s">
        <v>41</v>
      </c>
      <c r="E369" s="33" t="n">
        <f aca="false">IF(D369="totale",(C369/(A369*24))/F369,IF(D369="marché libre",(C369/(A369*24))/G369,"spécifier histo"))</f>
        <v>0.156979668079603</v>
      </c>
      <c r="F369" s="56" t="n">
        <v>4490</v>
      </c>
      <c r="G369" s="56" t="n">
        <v>4490</v>
      </c>
      <c r="H369" s="9" t="n">
        <v>0</v>
      </c>
      <c r="J369" s="216"/>
      <c r="M369" s="0"/>
      <c r="P369" s="0"/>
      <c r="S369" s="0"/>
      <c r="V369" s="0"/>
    </row>
    <row r="370" customFormat="false" ht="19.85" hidden="false" customHeight="true" outlineLevel="0" collapsed="false">
      <c r="A370" s="1" t="n">
        <v>31</v>
      </c>
      <c r="B370" s="31" t="n">
        <v>40544</v>
      </c>
      <c r="C370" s="1" t="n">
        <v>322400</v>
      </c>
      <c r="D370" s="9" t="s">
        <v>41</v>
      </c>
      <c r="E370" s="33" t="n">
        <f aca="false">IF(D370="totale",(C370/(A370*24))/F370,IF(D370="marché libre",(C370/(A370*24))/G370,"spécifier histo"))</f>
        <v>0.0965107646622123</v>
      </c>
      <c r="F370" s="56" t="n">
        <v>4490</v>
      </c>
      <c r="G370" s="56" t="n">
        <v>4490</v>
      </c>
      <c r="H370" s="9" t="n">
        <v>0</v>
      </c>
      <c r="J370" s="216"/>
      <c r="M370" s="0"/>
      <c r="P370" s="0"/>
      <c r="S370" s="0"/>
      <c r="V370" s="0"/>
    </row>
    <row r="371" customFormat="false" ht="19.85" hidden="false" customHeight="true" outlineLevel="0" collapsed="false">
      <c r="A371" s="1" t="n">
        <v>28</v>
      </c>
      <c r="B371" s="34" t="n">
        <v>40575</v>
      </c>
      <c r="C371" s="1" t="n">
        <v>193600</v>
      </c>
      <c r="D371" s="9" t="s">
        <v>41</v>
      </c>
      <c r="E371" s="33" t="n">
        <f aca="false">IF(D371="totale",(C371/(A371*24))/F371,IF(D371="marché libre",(C371/(A371*24))/G371,"spécifier histo"))</f>
        <v>0.0641637501325697</v>
      </c>
      <c r="F371" s="56" t="n">
        <v>4490</v>
      </c>
      <c r="G371" s="56" t="n">
        <v>4490</v>
      </c>
      <c r="H371" s="9" t="n">
        <v>0</v>
      </c>
      <c r="J371" s="216"/>
      <c r="M371" s="0"/>
      <c r="P371" s="0"/>
      <c r="S371" s="0"/>
      <c r="V371" s="0"/>
    </row>
    <row r="372" customFormat="false" ht="19.85" hidden="false" customHeight="true" outlineLevel="0" collapsed="false">
      <c r="A372" s="1" t="n">
        <v>31</v>
      </c>
      <c r="B372" s="31" t="n">
        <v>40603</v>
      </c>
      <c r="C372" s="1" t="n">
        <v>348000</v>
      </c>
      <c r="D372" s="9" t="s">
        <v>41</v>
      </c>
      <c r="E372" s="33" t="n">
        <f aca="false">IF(D372="totale",(C372/(A372*24))/F372,IF(D372="marché libre",(C372/(A372*24))/G372,"spécifier histo"))</f>
        <v>0.104174150441842</v>
      </c>
      <c r="F372" s="56" t="n">
        <v>4490</v>
      </c>
      <c r="G372" s="56" t="n">
        <v>4490</v>
      </c>
      <c r="H372" s="9" t="n">
        <v>0</v>
      </c>
      <c r="J372" s="216"/>
      <c r="M372" s="0"/>
      <c r="P372" s="0"/>
      <c r="S372" s="0"/>
      <c r="V372" s="0"/>
    </row>
    <row r="373" customFormat="false" ht="19.85" hidden="false" customHeight="true" outlineLevel="0" collapsed="false">
      <c r="A373" s="1" t="n">
        <v>30</v>
      </c>
      <c r="B373" s="34" t="n">
        <v>40634</v>
      </c>
      <c r="C373" s="1" t="n">
        <v>775200</v>
      </c>
      <c r="D373" s="9" t="s">
        <v>41</v>
      </c>
      <c r="E373" s="33" t="n">
        <f aca="false">IF(D373="totale",(C373/(A373*24))/F373,IF(D373="marché libre",(C373/(A373*24))/G373,"spécifier histo"))</f>
        <v>0.239792130660728</v>
      </c>
      <c r="F373" s="56" t="n">
        <v>4490</v>
      </c>
      <c r="G373" s="56" t="n">
        <v>4490</v>
      </c>
      <c r="H373" s="9" t="n">
        <v>0</v>
      </c>
      <c r="J373" s="216"/>
      <c r="M373" s="0"/>
      <c r="P373" s="0"/>
      <c r="S373" s="0"/>
      <c r="V373" s="0"/>
    </row>
    <row r="374" customFormat="false" ht="19.85" hidden="false" customHeight="true" outlineLevel="0" collapsed="false">
      <c r="A374" s="1" t="n">
        <v>31</v>
      </c>
      <c r="B374" s="31" t="n">
        <v>40664</v>
      </c>
      <c r="C374" s="1" t="n">
        <v>1078000</v>
      </c>
      <c r="D374" s="9" t="s">
        <v>41</v>
      </c>
      <c r="E374" s="33" t="n">
        <f aca="false">IF(D374="totale",(C374/(A374*24))/F374,IF(D374="marché libre",(C374/(A374*24))/G374,"spécifier histo"))</f>
        <v>0.322700385564097</v>
      </c>
      <c r="F374" s="56" t="n">
        <v>4490</v>
      </c>
      <c r="G374" s="56" t="n">
        <v>4490</v>
      </c>
      <c r="H374" s="9" t="n">
        <v>0</v>
      </c>
      <c r="J374" s="216"/>
      <c r="M374" s="0"/>
      <c r="P374" s="0"/>
      <c r="S374" s="0"/>
      <c r="V374" s="0"/>
    </row>
    <row r="375" customFormat="false" ht="19.85" hidden="false" customHeight="true" outlineLevel="0" collapsed="false">
      <c r="A375" s="1" t="n">
        <v>30</v>
      </c>
      <c r="B375" s="34" t="n">
        <v>40695</v>
      </c>
      <c r="C375" s="1" t="n">
        <v>1404000</v>
      </c>
      <c r="D375" s="9" t="s">
        <v>41</v>
      </c>
      <c r="E375" s="33" t="n">
        <f aca="false">IF(D375="totale",(C375/(A375*24))/F375,IF(D375="marché libre",(C375/(A375*24))/G375,"spécifier histo"))</f>
        <v>0.434298440979956</v>
      </c>
      <c r="F375" s="56" t="n">
        <v>4490</v>
      </c>
      <c r="G375" s="56" t="n">
        <v>4490</v>
      </c>
      <c r="H375" s="9" t="n">
        <v>0</v>
      </c>
      <c r="J375" s="216"/>
      <c r="M375" s="0"/>
      <c r="P375" s="0"/>
      <c r="S375" s="0"/>
      <c r="V375" s="0"/>
    </row>
    <row r="376" customFormat="false" ht="19.85" hidden="false" customHeight="true" outlineLevel="0" collapsed="false">
      <c r="A376" s="1" t="n">
        <v>31</v>
      </c>
      <c r="B376" s="31" t="n">
        <v>40725</v>
      </c>
      <c r="C376" s="1" t="n">
        <v>1141600</v>
      </c>
      <c r="D376" s="9" t="s">
        <v>41</v>
      </c>
      <c r="E376" s="33" t="n">
        <f aca="false">IF(D376="totale",(C376/(A376*24))/F376,IF(D376="marché libre",(C376/(A376*24))/G376,"spécifier histo"))</f>
        <v>0.341739109610365</v>
      </c>
      <c r="F376" s="56" t="n">
        <v>4490</v>
      </c>
      <c r="G376" s="56" t="n">
        <v>4490</v>
      </c>
      <c r="H376" s="9" t="n">
        <v>0</v>
      </c>
      <c r="J376" s="216"/>
      <c r="M376" s="0"/>
      <c r="P376" s="0"/>
      <c r="S376" s="0"/>
      <c r="V376" s="0"/>
    </row>
    <row r="377" customFormat="false" ht="19.85" hidden="false" customHeight="true" outlineLevel="0" collapsed="false">
      <c r="A377" s="1" t="n">
        <v>31</v>
      </c>
      <c r="B377" s="34" t="n">
        <v>40756</v>
      </c>
      <c r="C377" s="1" t="n">
        <v>725600</v>
      </c>
      <c r="D377" s="9" t="s">
        <v>41</v>
      </c>
      <c r="E377" s="33" t="n">
        <f aca="false">IF(D377="totale",(C377/(A377*24))/F377,IF(D377="marché libre",(C377/(A377*24))/G377,"spécifier histo"))</f>
        <v>0.217209090691381</v>
      </c>
      <c r="F377" s="56" t="n">
        <v>4490</v>
      </c>
      <c r="G377" s="56" t="n">
        <v>4490</v>
      </c>
      <c r="H377" s="9" t="n">
        <v>0</v>
      </c>
      <c r="J377" s="216"/>
      <c r="M377" s="0"/>
      <c r="P377" s="0"/>
      <c r="S377" s="0"/>
      <c r="V377" s="0"/>
    </row>
    <row r="378" customFormat="false" ht="19.85" hidden="false" customHeight="true" outlineLevel="0" collapsed="false">
      <c r="A378" s="1" t="n">
        <v>30</v>
      </c>
      <c r="B378" s="31" t="n">
        <v>40787</v>
      </c>
      <c r="C378" s="1" t="n">
        <v>568000</v>
      </c>
      <c r="D378" s="9" t="s">
        <v>41</v>
      </c>
      <c r="E378" s="33" t="n">
        <f aca="false">IF(D378="totale",(C378/(A378*24))/F378,IF(D378="marché libre",(C378/(A378*24))/G378,"spécifier histo"))</f>
        <v>0.175699084385053</v>
      </c>
      <c r="F378" s="56" t="n">
        <v>4490</v>
      </c>
      <c r="G378" s="56" t="n">
        <v>4490</v>
      </c>
      <c r="H378" s="9" t="n">
        <v>0</v>
      </c>
      <c r="J378" s="216"/>
      <c r="M378" s="0"/>
      <c r="P378" s="0"/>
      <c r="S378" s="0"/>
      <c r="V378" s="0"/>
    </row>
    <row r="379" customFormat="false" ht="19.85" hidden="false" customHeight="true" outlineLevel="0" collapsed="false">
      <c r="A379" s="1" t="n">
        <v>31</v>
      </c>
      <c r="B379" s="34" t="n">
        <v>40817</v>
      </c>
      <c r="C379" s="1" t="n">
        <v>505200</v>
      </c>
      <c r="D379" s="9" t="s">
        <v>41</v>
      </c>
      <c r="E379" s="33" t="n">
        <f aca="false">IF(D379="totale",(C379/(A379*24))/F379,IF(D379="marché libre",(C379/(A379*24))/G379,"spécifier histo"))</f>
        <v>0.151232128744881</v>
      </c>
      <c r="F379" s="56" t="n">
        <v>4490</v>
      </c>
      <c r="G379" s="56" t="n">
        <v>4490</v>
      </c>
      <c r="H379" s="9" t="n">
        <v>0</v>
      </c>
      <c r="J379" s="216"/>
      <c r="M379" s="0"/>
      <c r="P379" s="0"/>
      <c r="S379" s="0"/>
      <c r="V379" s="0"/>
    </row>
    <row r="380" customFormat="false" ht="19.85" hidden="false" customHeight="true" outlineLevel="0" collapsed="false">
      <c r="A380" s="1" t="n">
        <v>30</v>
      </c>
      <c r="B380" s="31" t="n">
        <v>40848</v>
      </c>
      <c r="C380" s="1" t="n">
        <v>345200</v>
      </c>
      <c r="D380" s="9" t="s">
        <v>41</v>
      </c>
      <c r="E380" s="33" t="n">
        <f aca="false">IF(D380="totale",(C380/(A380*24))/F380,IF(D380="marché libre",(C380/(A380*24))/G380,"spécifier histo"))</f>
        <v>0.106780499876268</v>
      </c>
      <c r="F380" s="56" t="n">
        <v>4490</v>
      </c>
      <c r="G380" s="56" t="n">
        <v>4490</v>
      </c>
      <c r="H380" s="9" t="n">
        <v>0</v>
      </c>
      <c r="J380" s="216"/>
      <c r="M380" s="0"/>
      <c r="P380" s="0"/>
      <c r="S380" s="0"/>
      <c r="V380" s="0"/>
    </row>
    <row r="381" customFormat="false" ht="19.85" hidden="false" customHeight="true" outlineLevel="0" collapsed="false">
      <c r="A381" s="1" t="n">
        <v>31</v>
      </c>
      <c r="B381" s="34" t="n">
        <v>40878</v>
      </c>
      <c r="C381" s="1" t="n">
        <v>393600</v>
      </c>
      <c r="D381" s="9" t="s">
        <v>41</v>
      </c>
      <c r="E381" s="33" t="n">
        <f aca="false">IF(D381="totale",(C381/(A381*24))/F381,IF(D381="marché libre",(C381/(A381*24))/G381,"spécifier histo"))</f>
        <v>0.117824556361808</v>
      </c>
      <c r="F381" s="56" t="n">
        <v>4490</v>
      </c>
      <c r="G381" s="56" t="n">
        <v>4490</v>
      </c>
      <c r="H381" s="9" t="n">
        <v>0</v>
      </c>
      <c r="J381" s="216"/>
      <c r="M381" s="0"/>
      <c r="P381" s="0"/>
      <c r="S381" s="0"/>
      <c r="V381" s="0"/>
    </row>
    <row r="382" customFormat="false" ht="19.85" hidden="false" customHeight="true" outlineLevel="0" collapsed="false">
      <c r="A382" s="1" t="n">
        <v>31</v>
      </c>
      <c r="B382" s="31" t="n">
        <v>40909</v>
      </c>
      <c r="C382" s="1" t="n">
        <v>343200</v>
      </c>
      <c r="D382" s="9" t="s">
        <v>41</v>
      </c>
      <c r="E382" s="33" t="n">
        <f aca="false">IF(D382="totale",(C382/(A382*24))/F382,IF(D382="marché libre",(C382/(A382*24))/G382,"spécifier histo"))</f>
        <v>0.102737265608162</v>
      </c>
      <c r="F382" s="56" t="n">
        <v>4490</v>
      </c>
      <c r="G382" s="56" t="n">
        <v>4490</v>
      </c>
      <c r="H382" s="9" t="n">
        <v>0</v>
      </c>
      <c r="J382" s="216"/>
      <c r="M382" s="0"/>
      <c r="P382" s="0"/>
      <c r="S382" s="0"/>
      <c r="V382" s="0"/>
    </row>
    <row r="383" customFormat="false" ht="19.85" hidden="false" customHeight="true" outlineLevel="0" collapsed="false">
      <c r="A383" s="1" t="n">
        <v>28</v>
      </c>
      <c r="B383" s="34" t="n">
        <v>40940</v>
      </c>
      <c r="C383" s="1" t="n">
        <v>210000</v>
      </c>
      <c r="D383" s="9" t="s">
        <v>41</v>
      </c>
      <c r="E383" s="33" t="n">
        <f aca="false">IF(D383="totale",(C383/(A383*24))/F383,IF(D383="marché libre",(C383/(A383*24))/G383,"spécifier histo"))</f>
        <v>0.0695991091314031</v>
      </c>
      <c r="F383" s="56" t="n">
        <v>4490</v>
      </c>
      <c r="G383" s="56" t="n">
        <v>4490</v>
      </c>
      <c r="H383" s="9" t="n">
        <v>0</v>
      </c>
      <c r="J383" s="216"/>
      <c r="M383" s="0"/>
      <c r="P383" s="0"/>
      <c r="S383" s="0"/>
      <c r="V383" s="0"/>
    </row>
    <row r="384" customFormat="false" ht="19.85" hidden="false" customHeight="true" outlineLevel="0" collapsed="false">
      <c r="A384" s="1" t="n">
        <v>31</v>
      </c>
      <c r="B384" s="31" t="n">
        <v>40969</v>
      </c>
      <c r="C384" s="1" t="n">
        <v>510800</v>
      </c>
      <c r="D384" s="9" t="s">
        <v>41</v>
      </c>
      <c r="E384" s="33" t="n">
        <f aca="false">IF(D384="totale",(C384/(A384*24))/F384,IF(D384="marché libre",(C384/(A384*24))/G384,"spécifier histo"))</f>
        <v>0.152908494384175</v>
      </c>
      <c r="F384" s="56" t="n">
        <v>4490</v>
      </c>
      <c r="G384" s="56" t="n">
        <v>4490</v>
      </c>
      <c r="H384" s="9" t="n">
        <v>0</v>
      </c>
      <c r="J384" s="216"/>
      <c r="M384" s="0"/>
      <c r="P384" s="0"/>
      <c r="S384" s="0"/>
      <c r="V384" s="0"/>
    </row>
    <row r="385" customFormat="false" ht="19.85" hidden="false" customHeight="true" outlineLevel="0" collapsed="false">
      <c r="A385" s="1" t="n">
        <v>30</v>
      </c>
      <c r="B385" s="34" t="n">
        <v>41000</v>
      </c>
      <c r="C385" s="1" t="n">
        <v>729200</v>
      </c>
      <c r="D385" s="9" t="s">
        <v>41</v>
      </c>
      <c r="E385" s="33" t="n">
        <f aca="false">IF(D385="totale",(C385/(A385*24))/F385,IF(D385="marché libre",(C385/(A385*24))/G385,"spécifier histo"))</f>
        <v>0.22556297946053</v>
      </c>
      <c r="F385" s="56" t="n">
        <v>4490</v>
      </c>
      <c r="G385" s="56" t="n">
        <v>4490</v>
      </c>
      <c r="H385" s="9" t="n">
        <v>0</v>
      </c>
      <c r="J385" s="216"/>
      <c r="M385" s="0"/>
      <c r="P385" s="0"/>
      <c r="S385" s="0"/>
      <c r="V385" s="0"/>
    </row>
    <row r="386" customFormat="false" ht="19.85" hidden="false" customHeight="true" outlineLevel="0" collapsed="false">
      <c r="A386" s="1" t="n">
        <v>31</v>
      </c>
      <c r="B386" s="31" t="n">
        <v>41030</v>
      </c>
      <c r="C386" s="1" t="n">
        <v>1361200</v>
      </c>
      <c r="D386" s="9" t="s">
        <v>41</v>
      </c>
      <c r="E386" s="33" t="n">
        <f aca="false">IF(D386="totale",(C386/(A386*24))/F386,IF(D386="marché libre",(C386/(A386*24))/G386,"spécifier histo"))</f>
        <v>0.407476590751251</v>
      </c>
      <c r="F386" s="56" t="n">
        <v>4490</v>
      </c>
      <c r="G386" s="56" t="n">
        <v>4490</v>
      </c>
      <c r="H386" s="9" t="n">
        <v>0</v>
      </c>
      <c r="J386" s="216"/>
      <c r="M386" s="0"/>
      <c r="P386" s="0"/>
      <c r="S386" s="0"/>
      <c r="V386" s="0"/>
    </row>
    <row r="387" customFormat="false" ht="19.85" hidden="false" customHeight="true" outlineLevel="0" collapsed="false">
      <c r="A387" s="1" t="n">
        <v>30</v>
      </c>
      <c r="B387" s="34" t="n">
        <v>41061</v>
      </c>
      <c r="C387" s="1" t="n">
        <v>1743200</v>
      </c>
      <c r="D387" s="9" t="s">
        <v>41</v>
      </c>
      <c r="E387" s="33" t="n">
        <f aca="false">IF(D387="totale",(C387/(A387*24))/F387,IF(D387="marché libre",(C387/(A387*24))/G387,"spécifier histo"))</f>
        <v>0.53922296461272</v>
      </c>
      <c r="F387" s="56" t="n">
        <v>4490</v>
      </c>
      <c r="G387" s="56" t="n">
        <v>4490</v>
      </c>
      <c r="H387" s="9" t="n">
        <v>0</v>
      </c>
      <c r="J387" s="216"/>
      <c r="M387" s="0"/>
      <c r="P387" s="0"/>
      <c r="S387" s="0"/>
      <c r="V387" s="0"/>
    </row>
    <row r="388" customFormat="false" ht="19.85" hidden="false" customHeight="true" outlineLevel="0" collapsed="false">
      <c r="A388" s="1" t="n">
        <v>31</v>
      </c>
      <c r="B388" s="31" t="n">
        <v>41091</v>
      </c>
      <c r="C388" s="1" t="n">
        <v>1020800</v>
      </c>
      <c r="D388" s="9" t="s">
        <v>41</v>
      </c>
      <c r="E388" s="33" t="n">
        <f aca="false">IF(D388="totale",(C388/(A388*24))/F388,IF(D388="marché libre",(C388/(A388*24))/G388,"spécifier histo"))</f>
        <v>0.305577507962737</v>
      </c>
      <c r="F388" s="56" t="n">
        <v>4490</v>
      </c>
      <c r="G388" s="56" t="n">
        <v>4490</v>
      </c>
      <c r="H388" s="9" t="n">
        <v>0</v>
      </c>
      <c r="J388" s="216"/>
      <c r="M388" s="0"/>
      <c r="P388" s="0"/>
      <c r="S388" s="0"/>
      <c r="V388" s="0"/>
    </row>
    <row r="389" customFormat="false" ht="19.85" hidden="false" customHeight="true" outlineLevel="0" collapsed="false">
      <c r="A389" s="1" t="n">
        <v>31</v>
      </c>
      <c r="B389" s="34" t="n">
        <v>41122</v>
      </c>
      <c r="C389" s="1" t="n">
        <v>534800</v>
      </c>
      <c r="D389" s="9" t="s">
        <v>41</v>
      </c>
      <c r="E389" s="33" t="n">
        <f aca="false">IF(D389="totale",(C389/(A389*24))/F389,IF(D389="marché libre",(C389/(A389*24))/G389,"spécifier histo"))</f>
        <v>0.160092918552578</v>
      </c>
      <c r="F389" s="56" t="n">
        <v>4490</v>
      </c>
      <c r="G389" s="56" t="n">
        <v>4490</v>
      </c>
      <c r="H389" s="9" t="n">
        <v>0</v>
      </c>
      <c r="J389" s="216"/>
      <c r="M389" s="0"/>
      <c r="P389" s="0"/>
      <c r="S389" s="0"/>
      <c r="V389" s="0"/>
    </row>
    <row r="390" customFormat="false" ht="19.85" hidden="false" customHeight="true" outlineLevel="0" collapsed="false">
      <c r="A390" s="1" t="n">
        <v>30</v>
      </c>
      <c r="B390" s="31" t="n">
        <v>41153</v>
      </c>
      <c r="C390" s="1" t="n">
        <v>758100</v>
      </c>
      <c r="D390" s="9" t="s">
        <v>41</v>
      </c>
      <c r="E390" s="33" t="n">
        <f aca="false">IF(D390="totale",(C390/(A390*24))/F390,IF(D390="marché libre",(C390/(A390*24))/G390,"spécifier histo"))</f>
        <v>0.234502598366741</v>
      </c>
      <c r="F390" s="56" t="n">
        <v>4490</v>
      </c>
      <c r="G390" s="56" t="n">
        <v>4490</v>
      </c>
      <c r="H390" s="9" t="n">
        <v>0</v>
      </c>
      <c r="J390" s="216"/>
      <c r="M390" s="0"/>
      <c r="P390" s="0"/>
      <c r="S390" s="0"/>
      <c r="V390" s="0"/>
    </row>
    <row r="391" customFormat="false" ht="19.85" hidden="false" customHeight="true" outlineLevel="0" collapsed="false">
      <c r="A391" s="1" t="n">
        <v>31</v>
      </c>
      <c r="B391" s="34" t="n">
        <v>41183</v>
      </c>
      <c r="C391" s="1" t="n">
        <v>812750</v>
      </c>
      <c r="D391" s="9" t="s">
        <v>41</v>
      </c>
      <c r="E391" s="33" t="n">
        <f aca="false">IF(D391="totale",(C391/(A391*24))/F391,IF(D391="marché libre",(C391/(A391*24))/G391,"spécifier histo"))</f>
        <v>0.243297530952894</v>
      </c>
      <c r="F391" s="56" t="n">
        <v>4490</v>
      </c>
      <c r="G391" s="56" t="n">
        <v>4490</v>
      </c>
      <c r="H391" s="9" t="n">
        <v>0</v>
      </c>
      <c r="J391" s="216"/>
      <c r="M391" s="0"/>
      <c r="P391" s="0"/>
      <c r="S391" s="0"/>
      <c r="V391" s="0"/>
    </row>
    <row r="392" customFormat="false" ht="19.85" hidden="false" customHeight="true" outlineLevel="0" collapsed="false">
      <c r="A392" s="1" t="n">
        <v>30</v>
      </c>
      <c r="B392" s="31" t="n">
        <v>41214</v>
      </c>
      <c r="C392" s="1" t="n">
        <v>800450</v>
      </c>
      <c r="D392" s="9" t="s">
        <v>41</v>
      </c>
      <c r="E392" s="33" t="n">
        <f aca="false">IF(D392="totale",(C392/(A392*24))/F392,IF(D392="marché libre",(C392/(A392*24))/G392,"spécifier histo"))</f>
        <v>0.247602697352141</v>
      </c>
      <c r="F392" s="56" t="n">
        <v>4490</v>
      </c>
      <c r="G392" s="56" t="n">
        <v>4490</v>
      </c>
      <c r="H392" s="9" t="n">
        <v>0</v>
      </c>
      <c r="J392" s="216"/>
      <c r="M392" s="0"/>
      <c r="P392" s="0"/>
      <c r="S392" s="0"/>
      <c r="V392" s="0"/>
    </row>
    <row r="393" customFormat="false" ht="19.85" hidden="false" customHeight="true" outlineLevel="0" collapsed="false">
      <c r="A393" s="1" t="n">
        <v>31</v>
      </c>
      <c r="B393" s="34" t="n">
        <v>41244</v>
      </c>
      <c r="C393" s="1" t="n">
        <v>612700</v>
      </c>
      <c r="D393" s="9" t="s">
        <v>41</v>
      </c>
      <c r="E393" s="33" t="n">
        <f aca="false">IF(D393="totale",(C393/(A393*24))/F393,IF(D393="marché libre",(C393/(A393*24))/G393,"spécifier histo"))</f>
        <v>0.183412361999186</v>
      </c>
      <c r="F393" s="56" t="n">
        <v>4490</v>
      </c>
      <c r="G393" s="56" t="n">
        <v>4490</v>
      </c>
      <c r="H393" s="9" t="n">
        <v>0</v>
      </c>
      <c r="J393" s="216"/>
      <c r="M393" s="0"/>
      <c r="P393" s="0"/>
      <c r="S393" s="0"/>
      <c r="V393" s="0"/>
    </row>
    <row r="394" customFormat="false" ht="19.85" hidden="false" customHeight="true" outlineLevel="0" collapsed="false">
      <c r="A394" s="1" t="n">
        <v>31</v>
      </c>
      <c r="B394" s="31" t="n">
        <v>41275</v>
      </c>
      <c r="C394" s="1" t="n">
        <v>377220</v>
      </c>
      <c r="D394" s="9" t="s">
        <v>41</v>
      </c>
      <c r="E394" s="33" t="n">
        <f aca="false">IF(D394="totale",(C394/(A394*24))/F394,IF(D394="marché libre",(C394/(A394*24))/G394,"spécifier histo"))</f>
        <v>0.112921186866873</v>
      </c>
      <c r="F394" s="56" t="n">
        <v>4490</v>
      </c>
      <c r="G394" s="56" t="n">
        <v>4490</v>
      </c>
      <c r="H394" s="9" t="n">
        <v>0</v>
      </c>
      <c r="J394" s="216"/>
      <c r="M394" s="0"/>
      <c r="P394" s="0"/>
      <c r="S394" s="0"/>
      <c r="V394" s="0"/>
    </row>
    <row r="395" customFormat="false" ht="19.85" hidden="false" customHeight="true" outlineLevel="0" collapsed="false">
      <c r="A395" s="1" t="n">
        <v>28</v>
      </c>
      <c r="B395" s="34" t="n">
        <v>41306</v>
      </c>
      <c r="C395" s="1" t="n">
        <v>250000</v>
      </c>
      <c r="D395" s="9" t="s">
        <v>41</v>
      </c>
      <c r="E395" s="33" t="n">
        <f aca="false">IF(D395="totale",(C395/(A395*24))/F395,IF(D395="marché libre",(C395/(A395*24))/G395,"spécifier histo"))</f>
        <v>0.0828560822992894</v>
      </c>
      <c r="F395" s="56" t="n">
        <v>4490</v>
      </c>
      <c r="G395" s="56" t="n">
        <v>4490</v>
      </c>
      <c r="H395" s="9" t="n">
        <v>0</v>
      </c>
      <c r="J395" s="216"/>
      <c r="M395" s="0"/>
      <c r="P395" s="0"/>
      <c r="S395" s="0"/>
      <c r="V395" s="0"/>
    </row>
    <row r="396" customFormat="false" ht="19.85" hidden="false" customHeight="true" outlineLevel="0" collapsed="false">
      <c r="A396" s="1" t="n">
        <v>31</v>
      </c>
      <c r="B396" s="31" t="n">
        <v>41334</v>
      </c>
      <c r="C396" s="1" t="n">
        <v>282600</v>
      </c>
      <c r="D396" s="9" t="s">
        <v>41</v>
      </c>
      <c r="E396" s="33" t="n">
        <f aca="false">IF(D396="totale",(C396/(A396*24))/F396,IF(D396="marché libre",(C396/(A396*24))/G396,"spécifier histo"))</f>
        <v>0.0845965945829442</v>
      </c>
      <c r="F396" s="56" t="n">
        <v>4490</v>
      </c>
      <c r="G396" s="56" t="n">
        <v>4490</v>
      </c>
      <c r="H396" s="9" t="n">
        <v>0</v>
      </c>
      <c r="J396" s="216"/>
      <c r="M396" s="0"/>
      <c r="P396" s="0"/>
      <c r="S396" s="0"/>
      <c r="V396" s="0"/>
    </row>
    <row r="397" customFormat="false" ht="19.85" hidden="false" customHeight="true" outlineLevel="0" collapsed="false">
      <c r="A397" s="1" t="n">
        <v>30</v>
      </c>
      <c r="B397" s="34" t="n">
        <v>41365</v>
      </c>
      <c r="C397" s="1" t="n">
        <v>970944</v>
      </c>
      <c r="D397" s="9" t="s">
        <v>41</v>
      </c>
      <c r="E397" s="33" t="n">
        <f aca="false">IF(D397="totale",(C397/(A397*24))/F397,IF(D397="marché libre",(C397/(A397*24))/G397,"spécifier histo"))</f>
        <v>0.300341499628805</v>
      </c>
      <c r="F397" s="56" t="n">
        <v>4490</v>
      </c>
      <c r="G397" s="56" t="n">
        <v>4490</v>
      </c>
      <c r="H397" s="9" t="n">
        <v>0</v>
      </c>
      <c r="J397" s="216"/>
      <c r="M397" s="0"/>
      <c r="P397" s="0"/>
      <c r="S397" s="0"/>
      <c r="V397" s="0"/>
    </row>
    <row r="398" customFormat="false" ht="19.85" hidden="false" customHeight="true" outlineLevel="0" collapsed="false">
      <c r="A398" s="1" t="n">
        <v>31</v>
      </c>
      <c r="B398" s="31" t="n">
        <v>41395</v>
      </c>
      <c r="C398" s="1" t="n">
        <v>1469350</v>
      </c>
      <c r="D398" s="9" t="s">
        <v>41</v>
      </c>
      <c r="E398" s="33" t="n">
        <f aca="false">IF(D398="totale",(C398/(A398*24))/F398,IF(D398="marché libre",(C398/(A398*24))/G398,"spécifier histo"))</f>
        <v>0.439851402160117</v>
      </c>
      <c r="F398" s="56" t="n">
        <v>4490</v>
      </c>
      <c r="G398" s="56" t="n">
        <v>4490</v>
      </c>
      <c r="H398" s="9" t="n">
        <v>0</v>
      </c>
      <c r="J398" s="216"/>
      <c r="M398" s="0"/>
      <c r="P398" s="0"/>
      <c r="S398" s="0"/>
      <c r="V398" s="0"/>
    </row>
    <row r="399" customFormat="false" ht="19.85" hidden="false" customHeight="true" outlineLevel="0" collapsed="false">
      <c r="A399" s="1" t="n">
        <v>30</v>
      </c>
      <c r="B399" s="34" t="n">
        <v>41426</v>
      </c>
      <c r="C399" s="1" t="n">
        <v>1763200</v>
      </c>
      <c r="D399" s="9" t="s">
        <v>41</v>
      </c>
      <c r="E399" s="33" t="n">
        <f aca="false">IF(D399="totale",(C399/(A399*24))/F399,IF(D399="marché libre",(C399/(A399*24))/G399,"spécifier histo"))</f>
        <v>0.545409552091067</v>
      </c>
      <c r="F399" s="56" t="n">
        <v>4490</v>
      </c>
      <c r="G399" s="56" t="n">
        <v>4490</v>
      </c>
      <c r="H399" s="9" t="n">
        <v>0</v>
      </c>
      <c r="J399" s="216"/>
      <c r="M399" s="0"/>
      <c r="P399" s="0"/>
      <c r="S399" s="0"/>
      <c r="V399" s="0"/>
    </row>
    <row r="400" customFormat="false" ht="19.85" hidden="false" customHeight="true" outlineLevel="0" collapsed="false">
      <c r="A400" s="1" t="n">
        <v>31</v>
      </c>
      <c r="B400" s="31" t="n">
        <v>41456</v>
      </c>
      <c r="C400" s="1" t="n">
        <v>1540131</v>
      </c>
      <c r="D400" s="9" t="s">
        <v>41</v>
      </c>
      <c r="E400" s="33" t="n">
        <f aca="false">IF(D400="totale",(C400/(A400*24))/F400,IF(D400="marché libre",(C400/(A400*24))/G400,"spécifier histo"))</f>
        <v>0.461039765787772</v>
      </c>
      <c r="F400" s="56" t="n">
        <v>4490</v>
      </c>
      <c r="G400" s="56" t="n">
        <v>4490</v>
      </c>
      <c r="H400" s="9" t="n">
        <v>0</v>
      </c>
      <c r="J400" s="216"/>
      <c r="M400" s="0"/>
      <c r="P400" s="0"/>
      <c r="S400" s="0"/>
      <c r="V400" s="0"/>
    </row>
    <row r="401" customFormat="false" ht="19.85" hidden="false" customHeight="true" outlineLevel="0" collapsed="false">
      <c r="A401" s="1" t="n">
        <v>31</v>
      </c>
      <c r="B401" s="34" t="n">
        <v>41487</v>
      </c>
      <c r="C401" s="1" t="n">
        <v>1050571</v>
      </c>
      <c r="D401" s="9" t="s">
        <v>41</v>
      </c>
      <c r="E401" s="33" t="n">
        <f aca="false">IF(D401="totale",(C401/(A401*24))/F401,IF(D401="marché libre",(C401/(A401*24))/G401,"spécifier histo"))</f>
        <v>0.314489486792634</v>
      </c>
      <c r="F401" s="56" t="n">
        <v>4490</v>
      </c>
      <c r="G401" s="56" t="n">
        <v>4490</v>
      </c>
      <c r="H401" s="9" t="n">
        <v>0</v>
      </c>
      <c r="J401" s="216"/>
      <c r="M401" s="0"/>
      <c r="P401" s="0"/>
      <c r="S401" s="0"/>
      <c r="V401" s="0"/>
    </row>
    <row r="402" customFormat="false" ht="19.85" hidden="false" customHeight="true" outlineLevel="0" collapsed="false">
      <c r="A402" s="1" t="n">
        <v>30</v>
      </c>
      <c r="B402" s="31" t="n">
        <v>41518</v>
      </c>
      <c r="C402" s="1" t="n">
        <v>612300</v>
      </c>
      <c r="D402" s="9" t="s">
        <v>41</v>
      </c>
      <c r="E402" s="33" t="n">
        <f aca="false">IF(D402="totale",(C402/(A402*24))/F402,IF(D402="marché libre",(C402/(A402*24))/G402,"spécifier histo"))</f>
        <v>0.189402375649592</v>
      </c>
      <c r="F402" s="56" t="n">
        <v>4490</v>
      </c>
      <c r="G402" s="56" t="n">
        <v>4490</v>
      </c>
      <c r="H402" s="9" t="n">
        <v>0</v>
      </c>
      <c r="J402" s="216"/>
      <c r="M402" s="0"/>
      <c r="P402" s="0"/>
      <c r="S402" s="0"/>
      <c r="V402" s="0"/>
    </row>
    <row r="403" customFormat="false" ht="19.85" hidden="false" customHeight="true" outlineLevel="0" collapsed="false">
      <c r="A403" s="1" t="n">
        <v>31</v>
      </c>
      <c r="B403" s="34" t="n">
        <v>41548</v>
      </c>
      <c r="C403" s="1" t="n">
        <v>888650</v>
      </c>
      <c r="D403" s="9" t="s">
        <v>41</v>
      </c>
      <c r="E403" s="33" t="n">
        <f aca="false">IF(D403="totale",(C403/(A403*24))/F403,IF(D403="marché libre",(C403/(A403*24))/G403,"spécifier histo"))</f>
        <v>0.266018272385468</v>
      </c>
      <c r="F403" s="56" t="n">
        <v>4490</v>
      </c>
      <c r="G403" s="56" t="n">
        <v>4490</v>
      </c>
      <c r="H403" s="9" t="n">
        <v>0</v>
      </c>
      <c r="J403" s="216"/>
      <c r="M403" s="0"/>
      <c r="P403" s="0"/>
      <c r="S403" s="0"/>
      <c r="V403" s="0"/>
    </row>
    <row r="404" customFormat="false" ht="19.85" hidden="false" customHeight="true" outlineLevel="0" collapsed="false">
      <c r="A404" s="1" t="n">
        <v>30</v>
      </c>
      <c r="B404" s="31" t="n">
        <v>41579</v>
      </c>
      <c r="C404" s="1" t="n">
        <v>984150</v>
      </c>
      <c r="D404" s="9" t="s">
        <v>41</v>
      </c>
      <c r="E404" s="33" t="n">
        <f aca="false">IF(D404="totale",(C404/(A404*24))/F404,IF(D404="marché libre",(C404/(A404*24))/G404,"spécifier histo"))</f>
        <v>0.304426503340757</v>
      </c>
      <c r="F404" s="56" t="n">
        <v>4490</v>
      </c>
      <c r="G404" s="56" t="n">
        <v>4490</v>
      </c>
      <c r="H404" s="9" t="n">
        <v>0</v>
      </c>
      <c r="J404" s="216"/>
      <c r="M404" s="0"/>
      <c r="P404" s="0"/>
      <c r="S404" s="0"/>
      <c r="V404" s="0"/>
    </row>
    <row r="405" customFormat="false" ht="19.85" hidden="false" customHeight="true" outlineLevel="0" collapsed="false">
      <c r="A405" s="1" t="n">
        <v>31</v>
      </c>
      <c r="B405" s="34" t="n">
        <v>41609</v>
      </c>
      <c r="C405" s="1" t="n">
        <v>455450</v>
      </c>
      <c r="D405" s="9" t="s">
        <v>41</v>
      </c>
      <c r="E405" s="33" t="n">
        <f aca="false">IF(D405="totale",(C405/(A405*24))/F405,IF(D405="marché libre",(C405/(A405*24))/G405,"spécifier histo"))</f>
        <v>0.136339416145796</v>
      </c>
      <c r="F405" s="56" t="n">
        <v>4490</v>
      </c>
      <c r="G405" s="56" t="n">
        <v>4490</v>
      </c>
      <c r="H405" s="9" t="n">
        <v>0</v>
      </c>
      <c r="J405" s="216"/>
      <c r="M405" s="0"/>
      <c r="P405" s="0"/>
      <c r="S405" s="0"/>
      <c r="V405" s="0"/>
    </row>
    <row r="406" customFormat="false" ht="19.85" hidden="false" customHeight="true" outlineLevel="0" collapsed="false">
      <c r="A406" s="1" t="n">
        <v>31</v>
      </c>
      <c r="B406" s="31" t="n">
        <v>41640</v>
      </c>
      <c r="C406" s="558" t="n">
        <v>398955</v>
      </c>
      <c r="D406" s="9" t="s">
        <v>41</v>
      </c>
      <c r="E406" s="33" t="n">
        <f aca="false">IF(D406="totale",(C406/(A406*24))/F406,IF(D406="marché libre",(C406/(A406*24))/G406,"spécifier histo"))</f>
        <v>0.119427581004382</v>
      </c>
      <c r="F406" s="56" t="n">
        <v>4490</v>
      </c>
      <c r="G406" s="56" t="n">
        <v>4490</v>
      </c>
      <c r="H406" s="9" t="n">
        <v>0</v>
      </c>
      <c r="J406" s="216"/>
      <c r="M406" s="0"/>
      <c r="P406" s="0"/>
      <c r="S406" s="0"/>
      <c r="V406" s="0"/>
    </row>
    <row r="407" customFormat="false" ht="19.85" hidden="false" customHeight="true" outlineLevel="0" collapsed="false">
      <c r="A407" s="1" t="n">
        <v>28</v>
      </c>
      <c r="B407" s="34" t="n">
        <v>41671</v>
      </c>
      <c r="C407" s="558" t="n">
        <v>241928</v>
      </c>
      <c r="D407" s="9" t="s">
        <v>41</v>
      </c>
      <c r="E407" s="33" t="n">
        <f aca="false">IF(D407="totale",(C407/(A407*24))/F407,IF(D407="marché libre",(C407/(A407*24))/G407,"spécifier histo"))</f>
        <v>0.08018082511401</v>
      </c>
      <c r="F407" s="56" t="n">
        <v>4490</v>
      </c>
      <c r="G407" s="56" t="n">
        <v>4490</v>
      </c>
      <c r="H407" s="9" t="n">
        <v>0</v>
      </c>
      <c r="J407" s="216"/>
      <c r="M407" s="0"/>
      <c r="P407" s="0"/>
      <c r="S407" s="0"/>
      <c r="V407" s="0"/>
    </row>
    <row r="408" customFormat="false" ht="19.85" hidden="false" customHeight="true" outlineLevel="0" collapsed="false">
      <c r="A408" s="1" t="n">
        <v>31</v>
      </c>
      <c r="B408" s="31" t="n">
        <v>41699</v>
      </c>
      <c r="C408" s="558" t="n">
        <v>480207</v>
      </c>
      <c r="D408" s="9" t="s">
        <v>41</v>
      </c>
      <c r="E408" s="33" t="n">
        <f aca="false">IF(D408="totale",(C408/(A408*24))/F408,IF(D408="marché libre",(C408/(A408*24))/G408,"spécifier histo"))</f>
        <v>0.143750449026511</v>
      </c>
      <c r="F408" s="56" t="n">
        <v>4490</v>
      </c>
      <c r="G408" s="56" t="n">
        <v>4490</v>
      </c>
      <c r="H408" s="9" t="n">
        <v>0</v>
      </c>
      <c r="J408" s="216"/>
      <c r="M408" s="0"/>
      <c r="P408" s="0"/>
      <c r="S408" s="0"/>
      <c r="V408" s="0"/>
    </row>
    <row r="409" customFormat="false" ht="19.85" hidden="false" customHeight="true" outlineLevel="0" collapsed="false">
      <c r="A409" s="1" t="n">
        <v>30</v>
      </c>
      <c r="B409" s="34" t="n">
        <v>41730</v>
      </c>
      <c r="C409" s="558" t="n">
        <v>898848</v>
      </c>
      <c r="D409" s="9" t="s">
        <v>41</v>
      </c>
      <c r="E409" s="33" t="n">
        <f aca="false">IF(D409="totale",(C409/(A409*24))/F409,IF(D409="marché libre",(C409/(A409*24))/G409,"spécifier histo"))</f>
        <v>0.27804008908686</v>
      </c>
      <c r="F409" s="56" t="n">
        <v>4490</v>
      </c>
      <c r="G409" s="56" t="n">
        <v>4490</v>
      </c>
      <c r="H409" s="9" t="n">
        <v>0</v>
      </c>
      <c r="J409" s="216"/>
      <c r="M409" s="0"/>
      <c r="P409" s="0"/>
      <c r="S409" s="0"/>
      <c r="V409" s="0"/>
    </row>
    <row r="410" customFormat="false" ht="19.85" hidden="false" customHeight="true" outlineLevel="0" collapsed="false">
      <c r="A410" s="1" t="n">
        <v>31</v>
      </c>
      <c r="B410" s="31" t="n">
        <v>41760</v>
      </c>
      <c r="C410" s="703"/>
      <c r="D410" s="9" t="s">
        <v>41</v>
      </c>
      <c r="E410" s="33" t="e">
        <f aca="false">IF(D410="totale",(C410/(A410*24))/F410,IF(D410="marché libre",(C410/(A410*24))/G410,"spécifier histo"))</f>
        <v>#DIV/0!</v>
      </c>
      <c r="F410" s="56" t="n">
        <v>0</v>
      </c>
      <c r="G410" s="56" t="n">
        <v>0</v>
      </c>
      <c r="H410" s="9" t="n">
        <v>0</v>
      </c>
      <c r="I410" s="1" t="s">
        <v>1211</v>
      </c>
      <c r="J410" s="216"/>
      <c r="P410" s="0"/>
      <c r="S410" s="0"/>
      <c r="V410" s="0"/>
    </row>
    <row r="411" customFormat="false" ht="19.85" hidden="false" customHeight="true" outlineLevel="0" collapsed="false">
      <c r="A411" s="1" t="n">
        <v>30</v>
      </c>
      <c r="B411" s="34" t="n">
        <v>41791</v>
      </c>
      <c r="C411" s="558" t="n">
        <v>1513208</v>
      </c>
      <c r="D411" s="9" t="s">
        <v>41</v>
      </c>
      <c r="E411" s="33" t="n">
        <f aca="false">IF(D411="totale",(C411/(A411*24))/F411,IF(D411="marché libre",(C411/(A411*24))/G411,"spécifier histo"))</f>
        <v>0.468079683246721</v>
      </c>
      <c r="F411" s="56" t="n">
        <v>4490</v>
      </c>
      <c r="G411" s="56" t="n">
        <v>4490</v>
      </c>
      <c r="H411" s="9" t="n">
        <v>0</v>
      </c>
      <c r="J411" s="216"/>
      <c r="P411" s="0"/>
      <c r="S411" s="0"/>
      <c r="V411" s="0"/>
    </row>
    <row r="412" customFormat="false" ht="19.85" hidden="false" customHeight="true" outlineLevel="0" collapsed="false">
      <c r="A412" s="1" t="n">
        <v>31</v>
      </c>
      <c r="B412" s="31" t="n">
        <v>41821</v>
      </c>
      <c r="C412" s="558" t="n">
        <v>1650062</v>
      </c>
      <c r="D412" s="9" t="s">
        <v>41</v>
      </c>
      <c r="E412" s="33" t="n">
        <f aca="false">IF(D412="totale",(C412/(A412*24))/F412,IF(D412="marché libre",(C412/(A412*24))/G412,"spécifier histo"))</f>
        <v>0.493947721340135</v>
      </c>
      <c r="F412" s="56" t="n">
        <v>4490</v>
      </c>
      <c r="G412" s="56" t="n">
        <v>4490</v>
      </c>
      <c r="H412" s="9" t="n">
        <v>0</v>
      </c>
      <c r="J412" s="216"/>
      <c r="P412" s="0"/>
      <c r="S412" s="0"/>
      <c r="V412" s="0"/>
    </row>
    <row r="413" customFormat="false" ht="19.85" hidden="false" customHeight="true" outlineLevel="0" collapsed="false">
      <c r="A413" s="1" t="n">
        <v>31</v>
      </c>
      <c r="B413" s="34" t="n">
        <v>41852</v>
      </c>
      <c r="C413" s="558" t="n">
        <v>1045113</v>
      </c>
      <c r="D413" s="9" t="s">
        <v>41</v>
      </c>
      <c r="E413" s="33" t="n">
        <f aca="false">IF(D413="totale",(C413/(A413*24))/F413,IF(D413="marché libre",(C413/(A413*24))/G413,"spécifier histo"))</f>
        <v>0.312855628996336</v>
      </c>
      <c r="F413" s="56" t="n">
        <v>4490</v>
      </c>
      <c r="G413" s="56" t="n">
        <v>4490</v>
      </c>
      <c r="H413" s="9" t="n">
        <v>0</v>
      </c>
      <c r="J413" s="216"/>
      <c r="P413" s="0"/>
      <c r="S413" s="0"/>
      <c r="V413" s="0"/>
    </row>
    <row r="414" customFormat="false" ht="19.85" hidden="false" customHeight="true" outlineLevel="0" collapsed="false">
      <c r="A414" s="1" t="n">
        <v>30</v>
      </c>
      <c r="B414" s="31" t="n">
        <v>41883</v>
      </c>
      <c r="C414" s="558" t="n">
        <v>515122</v>
      </c>
      <c r="D414" s="9" t="s">
        <v>41</v>
      </c>
      <c r="E414" s="33" t="n">
        <f aca="false">IF(D414="totale",(C414/(A414*24))/F414,IF(D414="marché libre",(C414/(A414*24))/G414,"spécifier histo"))</f>
        <v>0.159342365751052</v>
      </c>
      <c r="F414" s="56" t="n">
        <v>4490</v>
      </c>
      <c r="G414" s="56" t="n">
        <v>4490</v>
      </c>
      <c r="H414" s="9" t="n">
        <v>0</v>
      </c>
      <c r="J414" s="216"/>
      <c r="P414" s="0"/>
      <c r="S414" s="0"/>
      <c r="V414" s="0"/>
    </row>
    <row r="415" customFormat="false" ht="19.85" hidden="false" customHeight="true" outlineLevel="0" collapsed="false">
      <c r="A415" s="1" t="n">
        <v>31</v>
      </c>
      <c r="B415" s="34" t="n">
        <v>41913</v>
      </c>
      <c r="C415" s="558" t="n">
        <v>400080</v>
      </c>
      <c r="D415" s="9" t="s">
        <v>41</v>
      </c>
      <c r="E415" s="33" t="n">
        <f aca="false">IF(D415="totale",(C415/(A415*24))/F415,IF(D415="marché libre",(C415/(A415*24))/G415,"spécifier histo"))</f>
        <v>0.119764350887276</v>
      </c>
      <c r="F415" s="56" t="n">
        <v>4490</v>
      </c>
      <c r="G415" s="56" t="n">
        <v>4490</v>
      </c>
      <c r="H415" s="9" t="n">
        <v>0</v>
      </c>
      <c r="J415" s="216"/>
      <c r="P415" s="0"/>
      <c r="S415" s="0"/>
      <c r="V415" s="0"/>
    </row>
    <row r="416" customFormat="false" ht="19.85" hidden="false" customHeight="true" outlineLevel="0" collapsed="false">
      <c r="A416" s="1" t="n">
        <v>30</v>
      </c>
      <c r="B416" s="31" t="n">
        <v>41944</v>
      </c>
      <c r="C416" s="558" t="n">
        <v>483133</v>
      </c>
      <c r="D416" s="9" t="s">
        <v>41</v>
      </c>
      <c r="E416" s="33" t="n">
        <f aca="false">IF(D416="totale",(C416/(A416*24))/F416,IF(D416="marché libre",(C416/(A416*24))/G416,"spécifier histo"))</f>
        <v>0.14944722840881</v>
      </c>
      <c r="F416" s="56" t="n">
        <v>4490</v>
      </c>
      <c r="G416" s="56" t="n">
        <v>4490</v>
      </c>
      <c r="H416" s="9" t="n">
        <v>0</v>
      </c>
      <c r="J416" s="216"/>
      <c r="P416" s="0"/>
      <c r="S416" s="0"/>
      <c r="V416" s="0"/>
    </row>
    <row r="417" customFormat="false" ht="19.85" hidden="false" customHeight="true" outlineLevel="0" collapsed="false">
      <c r="A417" s="1" t="n">
        <v>31</v>
      </c>
      <c r="B417" s="34" t="n">
        <v>41974</v>
      </c>
      <c r="C417" s="558" t="n">
        <v>334846</v>
      </c>
      <c r="D417" s="9" t="s">
        <v>41</v>
      </c>
      <c r="E417" s="33" t="n">
        <f aca="false">IF(D417="totale",(C417/(A417*24))/F417,IF(D417="marché libre",(C417/(A417*24))/G417,"spécifier histo"))</f>
        <v>0.100236487295543</v>
      </c>
      <c r="F417" s="56" t="n">
        <v>4490</v>
      </c>
      <c r="G417" s="56" t="n">
        <v>4490</v>
      </c>
      <c r="H417" s="9" t="n">
        <v>0</v>
      </c>
      <c r="J417" s="216"/>
      <c r="P417" s="0"/>
      <c r="S417" s="0"/>
      <c r="V417" s="0"/>
    </row>
    <row r="418" customFormat="false" ht="19.85" hidden="false" customHeight="true" outlineLevel="0" collapsed="false">
      <c r="A418" s="1" t="n">
        <v>31</v>
      </c>
      <c r="B418" s="31" t="n">
        <v>42005</v>
      </c>
      <c r="C418" s="558" t="n">
        <v>398918</v>
      </c>
      <c r="D418" s="9" t="s">
        <v>41</v>
      </c>
      <c r="E418" s="33" t="n">
        <f aca="false">IF(D418="totale",(C418/(A418*24))/F418,IF(D418="marché libre",(C418/(A418*24))/G418,"spécifier histo"))</f>
        <v>0.119416505017123</v>
      </c>
      <c r="F418" s="56" t="n">
        <v>4490</v>
      </c>
      <c r="G418" s="56" t="n">
        <v>4490</v>
      </c>
      <c r="H418" s="9" t="n">
        <v>0</v>
      </c>
      <c r="J418" s="216"/>
      <c r="P418" s="0"/>
      <c r="S418" s="0"/>
      <c r="V418" s="0"/>
    </row>
    <row r="419" customFormat="false" ht="19.85" hidden="false" customHeight="true" outlineLevel="0" collapsed="false">
      <c r="A419" s="1" t="n">
        <v>28</v>
      </c>
      <c r="B419" s="34" t="n">
        <v>42036</v>
      </c>
      <c r="C419" s="558" t="n">
        <v>205083</v>
      </c>
      <c r="D419" s="9" t="s">
        <v>41</v>
      </c>
      <c r="E419" s="33" t="n">
        <f aca="false">IF(D419="totale",(C419/(A419*24))/F419,IF(D419="marché libre",(C419/(A419*24))/G419,"spécifier histo"))</f>
        <v>0.0679694957047407</v>
      </c>
      <c r="F419" s="56" t="n">
        <v>4490</v>
      </c>
      <c r="G419" s="56" t="n">
        <v>4490</v>
      </c>
      <c r="H419" s="9" t="n">
        <v>0</v>
      </c>
      <c r="J419" s="216"/>
      <c r="P419" s="0"/>
      <c r="S419" s="0"/>
      <c r="V419" s="0"/>
    </row>
    <row r="420" customFormat="false" ht="19.85" hidden="false" customHeight="true" outlineLevel="0" collapsed="false">
      <c r="A420" s="1" t="n">
        <v>31</v>
      </c>
      <c r="B420" s="31" t="n">
        <v>42064</v>
      </c>
      <c r="C420" s="558" t="n">
        <v>458022</v>
      </c>
      <c r="D420" s="9" t="s">
        <v>41</v>
      </c>
      <c r="E420" s="33" t="n">
        <f aca="false">IF(D420="totale",(C420/(A420*24))/F420,IF(D420="marché libre",(C420/(A420*24))/G420,"spécifier histo"))</f>
        <v>0.137109346935843</v>
      </c>
      <c r="F420" s="56" t="n">
        <v>4490</v>
      </c>
      <c r="G420" s="56" t="n">
        <v>4490</v>
      </c>
      <c r="H420" s="9" t="n">
        <v>0</v>
      </c>
      <c r="J420" s="216"/>
      <c r="P420" s="0"/>
      <c r="S420" s="0"/>
      <c r="V420" s="0"/>
    </row>
    <row r="421" customFormat="false" ht="19.85" hidden="false" customHeight="true" outlineLevel="0" collapsed="false">
      <c r="A421" s="1" t="n">
        <v>30</v>
      </c>
      <c r="B421" s="34" t="n">
        <v>42095</v>
      </c>
      <c r="C421" s="558" t="n">
        <v>893107</v>
      </c>
      <c r="D421" s="9" t="s">
        <v>41</v>
      </c>
      <c r="E421" s="33" t="n">
        <f aca="false">IF(D421="totale",(C421/(A421*24))/F421,IF(D421="marché libre",(C421/(A421*24))/G421,"spécifier histo"))</f>
        <v>0.2762642291512</v>
      </c>
      <c r="F421" s="56" t="n">
        <v>4490</v>
      </c>
      <c r="G421" s="56" t="n">
        <v>4490</v>
      </c>
      <c r="H421" s="9" t="n">
        <v>0</v>
      </c>
      <c r="J421" s="216"/>
      <c r="P421" s="0"/>
      <c r="S421" s="0"/>
      <c r="V421" s="0"/>
    </row>
    <row r="422" customFormat="false" ht="19.85" hidden="false" customHeight="true" outlineLevel="0" collapsed="false">
      <c r="A422" s="1" t="n">
        <v>31</v>
      </c>
      <c r="B422" s="31" t="n">
        <v>42125</v>
      </c>
      <c r="C422" s="558" t="n">
        <v>721609</v>
      </c>
      <c r="D422" s="9" t="s">
        <v>41</v>
      </c>
      <c r="E422" s="33" t="n">
        <f aca="false">IF(D422="totale",(C422/(A422*24))/F422,IF(D422="marché libre",(C422/(A422*24))/G422,"spécifier histo"))</f>
        <v>0.216014380822377</v>
      </c>
      <c r="F422" s="56" t="n">
        <v>4490</v>
      </c>
      <c r="G422" s="56" t="n">
        <v>4490</v>
      </c>
      <c r="H422" s="9" t="n">
        <v>0</v>
      </c>
      <c r="J422" s="216"/>
      <c r="P422" s="0"/>
      <c r="V422" s="0"/>
    </row>
    <row r="423" customFormat="false" ht="19.85" hidden="false" customHeight="true" outlineLevel="0" collapsed="false">
      <c r="A423" s="1" t="n">
        <v>30</v>
      </c>
      <c r="B423" s="34" t="n">
        <v>42156</v>
      </c>
      <c r="C423" s="558" t="n">
        <v>1183997</v>
      </c>
      <c r="D423" s="9" t="s">
        <v>41</v>
      </c>
      <c r="E423" s="33" t="n">
        <f aca="false">IF(D423="totale",(C423/(A423*24))/F423,IF(D423="marché libre",(C423/(A423*24))/G423,"spécifier histo"))</f>
        <v>0.366245050730017</v>
      </c>
      <c r="F423" s="56" t="n">
        <v>4490</v>
      </c>
      <c r="G423" s="56" t="n">
        <v>4490</v>
      </c>
      <c r="H423" s="9" t="n">
        <v>0</v>
      </c>
      <c r="J423" s="216"/>
      <c r="P423" s="0"/>
      <c r="V423" s="0"/>
    </row>
    <row r="424" customFormat="false" ht="19.85" hidden="false" customHeight="true" outlineLevel="0" collapsed="false">
      <c r="A424" s="1" t="n">
        <v>31</v>
      </c>
      <c r="B424" s="31" t="n">
        <v>42186</v>
      </c>
      <c r="C424" s="558" t="n">
        <v>658823</v>
      </c>
      <c r="D424" s="9" t="s">
        <v>41</v>
      </c>
      <c r="E424" s="33" t="n">
        <f aca="false">IF(D424="totale",(C424/(A424*24))/F424,IF(D424="marché libre",(C424/(A424*24))/G424,"spécifier histo"))</f>
        <v>0.197219328495821</v>
      </c>
      <c r="F424" s="56" t="n">
        <v>4490</v>
      </c>
      <c r="G424" s="56" t="n">
        <v>4490</v>
      </c>
      <c r="H424" s="9" t="n">
        <v>0</v>
      </c>
      <c r="J424" s="216"/>
      <c r="P424" s="0"/>
      <c r="V424" s="0"/>
    </row>
    <row r="425" customFormat="false" ht="19.85" hidden="false" customHeight="true" outlineLevel="0" collapsed="false">
      <c r="A425" s="1" t="n">
        <v>31</v>
      </c>
      <c r="B425" s="34" t="n">
        <v>42217</v>
      </c>
      <c r="C425" s="558" t="n">
        <v>498422</v>
      </c>
      <c r="D425" s="9" t="s">
        <v>41</v>
      </c>
      <c r="E425" s="33" t="n">
        <f aca="false">IF(D425="totale",(C425/(A425*24))/F425,IF(D425="marché libre",(C425/(A425*24))/G425,"spécifier histo"))</f>
        <v>0.149203127619321</v>
      </c>
      <c r="F425" s="56" t="n">
        <v>4490</v>
      </c>
      <c r="G425" s="56" t="n">
        <v>4490</v>
      </c>
      <c r="H425" s="9" t="n">
        <v>0</v>
      </c>
      <c r="J425" s="216"/>
      <c r="P425" s="0"/>
      <c r="V425" s="0"/>
    </row>
    <row r="426" customFormat="false" ht="19.85" hidden="false" customHeight="true" outlineLevel="0" collapsed="false">
      <c r="A426" s="1" t="n">
        <v>30</v>
      </c>
      <c r="B426" s="31" t="n">
        <v>42248</v>
      </c>
      <c r="C426" s="558" t="n">
        <v>527558</v>
      </c>
      <c r="D426" s="9" t="s">
        <v>41</v>
      </c>
      <c r="E426" s="33" t="n">
        <f aca="false">IF(D426="totale",(C426/(A426*24))/F426,IF(D426="marché libre",(C426/(A426*24))/G426,"spécifier histo"))</f>
        <v>0.163189185845088</v>
      </c>
      <c r="F426" s="56" t="n">
        <v>4490</v>
      </c>
      <c r="G426" s="56" t="n">
        <v>4490</v>
      </c>
      <c r="H426" s="9" t="n">
        <v>0</v>
      </c>
      <c r="J426" s="216" t="s">
        <v>494</v>
      </c>
      <c r="P426" s="0"/>
      <c r="V426" s="0"/>
    </row>
    <row r="427" customFormat="false" ht="19.85" hidden="false" customHeight="true" outlineLevel="0" collapsed="false">
      <c r="A427" s="1" t="n">
        <v>31</v>
      </c>
      <c r="B427" s="34" t="n">
        <v>42278</v>
      </c>
      <c r="C427" s="558" t="n">
        <v>256938</v>
      </c>
      <c r="D427" s="9" t="s">
        <v>41</v>
      </c>
      <c r="E427" s="33" t="n">
        <f aca="false">IF(D427="totale",(C427/(A427*24))/F427,IF(D427="marché libre",(C427/(A427*24))/G427,"spécifier histo"))</f>
        <v>0.0769146490408794</v>
      </c>
      <c r="F427" s="56" t="n">
        <v>4490</v>
      </c>
      <c r="G427" s="56" t="n">
        <v>4490</v>
      </c>
      <c r="H427" s="9" t="n">
        <v>0</v>
      </c>
      <c r="J427" s="216" t="s">
        <v>495</v>
      </c>
      <c r="P427" s="0"/>
      <c r="V427" s="0"/>
    </row>
    <row r="428" customFormat="false" ht="19.85" hidden="false" customHeight="true" outlineLevel="0" collapsed="false">
      <c r="A428" s="1" t="n">
        <v>30</v>
      </c>
      <c r="B428" s="31" t="n">
        <v>42309</v>
      </c>
      <c r="C428" s="558" t="n">
        <v>292389</v>
      </c>
      <c r="D428" s="9" t="s">
        <v>41</v>
      </c>
      <c r="E428" s="33" t="n">
        <f aca="false">IF(D428="totale",(C428/(A428*24))/F428,IF(D428="marché libre",(C428/(A428*24))/G428,"spécifier histo"))</f>
        <v>0.0904445063103192</v>
      </c>
      <c r="F428" s="56" t="n">
        <v>4490</v>
      </c>
      <c r="G428" s="56" t="n">
        <v>4490</v>
      </c>
      <c r="H428" s="9" t="n">
        <v>0</v>
      </c>
      <c r="J428" s="216" t="s">
        <v>496</v>
      </c>
      <c r="P428" s="0"/>
      <c r="V428" s="0"/>
    </row>
    <row r="429" customFormat="false" ht="19.85" hidden="false" customHeight="true" outlineLevel="0" collapsed="false">
      <c r="A429" s="1" t="n">
        <v>31</v>
      </c>
      <c r="B429" s="34" t="n">
        <v>42339</v>
      </c>
      <c r="C429" s="558" t="n">
        <v>360958</v>
      </c>
      <c r="D429" s="9" t="s">
        <v>41</v>
      </c>
      <c r="E429" s="33" t="n">
        <f aca="false">IF(D429="totale",(C429/(A429*24))/F429,IF(D429="marché libre",(C429/(A429*24))/G429,"spécifier histo"))</f>
        <v>0.108053140790766</v>
      </c>
      <c r="F429" s="56" t="n">
        <v>4490</v>
      </c>
      <c r="G429" s="56" t="n">
        <v>4490</v>
      </c>
      <c r="H429" s="9" t="n">
        <v>0</v>
      </c>
      <c r="J429" s="216" t="s">
        <v>497</v>
      </c>
      <c r="P429" s="0"/>
      <c r="V429" s="0"/>
    </row>
    <row r="430" customFormat="false" ht="19.85" hidden="false" customHeight="true" outlineLevel="0" collapsed="false">
      <c r="A430" s="1" t="n">
        <v>31</v>
      </c>
      <c r="B430" s="267" t="n">
        <v>42370</v>
      </c>
      <c r="C430" s="76" t="n">
        <v>453423</v>
      </c>
      <c r="D430" s="266" t="s">
        <v>42</v>
      </c>
      <c r="E430" s="33" t="n">
        <f aca="false">IF(D430="totale",(C430/(A430*24))/F430,IF(D430="marché libre",(C430/(A430*24))/G430,"spécifier histo"))</f>
        <v>0.135732631654573</v>
      </c>
      <c r="F430" s="64" t="n">
        <v>4490</v>
      </c>
      <c r="G430" s="64" t="n">
        <v>4490</v>
      </c>
      <c r="H430" s="701" t="n">
        <v>0</v>
      </c>
      <c r="J430" s="216"/>
      <c r="P430" s="0"/>
      <c r="V430" s="0"/>
    </row>
    <row r="431" customFormat="false" ht="19.85" hidden="false" customHeight="true" outlineLevel="0" collapsed="false">
      <c r="A431" s="1" t="n">
        <v>28</v>
      </c>
      <c r="B431" s="34" t="n">
        <v>42401</v>
      </c>
      <c r="C431" s="9" t="n">
        <v>129770.01</v>
      </c>
      <c r="D431" s="266" t="s">
        <v>42</v>
      </c>
      <c r="E431" s="33" t="n">
        <f aca="false">IF(D431="totale",(C431/(A431*24))/F431,IF(D431="marché libre",(C431/(A431*24))/G431,"spécifier histo"))</f>
        <v>0.0574732541454082</v>
      </c>
      <c r="F431" s="56" t="n">
        <v>3760</v>
      </c>
      <c r="G431" s="56" t="n">
        <v>3360</v>
      </c>
      <c r="H431" s="56" t="n">
        <v>400</v>
      </c>
      <c r="J431" s="216" t="s">
        <v>498</v>
      </c>
      <c r="P431" s="0"/>
      <c r="V431" s="0"/>
    </row>
    <row r="432" customFormat="false" ht="19.85" hidden="false" customHeight="true" outlineLevel="0" collapsed="false">
      <c r="A432" s="1" t="n">
        <v>31</v>
      </c>
      <c r="B432" s="31" t="n">
        <v>42430</v>
      </c>
      <c r="C432" s="9" t="n">
        <v>29708.79</v>
      </c>
      <c r="D432" s="266" t="s">
        <v>42</v>
      </c>
      <c r="E432" s="33" t="n">
        <f aca="false">IF(D432="totale",(C432/(A432*24))/F432,IF(D432="marché libre",(C432/(A432*24))/G432,"spécifier histo"))</f>
        <v>0.011884276593702</v>
      </c>
      <c r="F432" s="56" t="n">
        <v>3760</v>
      </c>
      <c r="G432" s="56" t="n">
        <v>3360</v>
      </c>
      <c r="H432" s="9" t="n">
        <v>400</v>
      </c>
      <c r="J432" s="216"/>
      <c r="P432" s="0"/>
      <c r="V432" s="0"/>
    </row>
    <row r="433" customFormat="false" ht="19.85" hidden="false" customHeight="true" outlineLevel="0" collapsed="false">
      <c r="A433" s="1" t="n">
        <v>30</v>
      </c>
      <c r="B433" s="34" t="n">
        <v>42461</v>
      </c>
      <c r="C433" s="9" t="n">
        <v>706823.6</v>
      </c>
      <c r="D433" s="266" t="s">
        <v>42</v>
      </c>
      <c r="E433" s="33" t="n">
        <f aca="false">IF(D433="totale",(C433/(A433*24))/F433,IF(D433="marché libre",(C433/(A433*24))/G433,"spécifier histo"))</f>
        <v>0.292172453703704</v>
      </c>
      <c r="F433" s="56" t="n">
        <v>3760</v>
      </c>
      <c r="G433" s="56" t="n">
        <v>3360</v>
      </c>
      <c r="H433" s="9" t="n">
        <v>400</v>
      </c>
      <c r="J433" s="704" t="s">
        <v>1212</v>
      </c>
      <c r="P433" s="0"/>
      <c r="V433" s="0"/>
    </row>
    <row r="434" customFormat="false" ht="19.85" hidden="false" customHeight="true" outlineLevel="0" collapsed="false">
      <c r="A434" s="1" t="n">
        <v>31</v>
      </c>
      <c r="B434" s="31" t="n">
        <v>42491</v>
      </c>
      <c r="C434" s="9" t="n">
        <v>1182971.6</v>
      </c>
      <c r="D434" s="266" t="s">
        <v>42</v>
      </c>
      <c r="E434" s="33" t="n">
        <f aca="false">IF(D434="totale",(C434/(A434*24))/F434,IF(D434="marché libre",(C434/(A434*24))/G434,"spécifier histo"))</f>
        <v>0.473218926011265</v>
      </c>
      <c r="F434" s="56" t="n">
        <v>3760</v>
      </c>
      <c r="G434" s="56" t="n">
        <v>3360</v>
      </c>
      <c r="H434" s="9" t="n">
        <v>400</v>
      </c>
      <c r="J434" s="705" t="s">
        <v>1213</v>
      </c>
      <c r="P434" s="0"/>
    </row>
    <row r="435" customFormat="false" ht="19.85" hidden="false" customHeight="true" outlineLevel="0" collapsed="false">
      <c r="A435" s="1" t="n">
        <v>30</v>
      </c>
      <c r="B435" s="34" t="n">
        <v>42522</v>
      </c>
      <c r="C435" s="9" t="n">
        <v>1486171.99</v>
      </c>
      <c r="D435" s="266" t="s">
        <v>42</v>
      </c>
      <c r="E435" s="33" t="n">
        <f aca="false">IF(D435="totale",(C435/(A435*24))/F435,IF(D435="marché libre",(C435/(A435*24))/G435,"spécifier histo"))</f>
        <v>0.614323739252646</v>
      </c>
      <c r="F435" s="56" t="n">
        <v>3760</v>
      </c>
      <c r="G435" s="56" t="n">
        <v>3360</v>
      </c>
      <c r="H435" s="9" t="n">
        <v>400</v>
      </c>
      <c r="J435" s="216"/>
      <c r="P435" s="0"/>
    </row>
    <row r="436" customFormat="false" ht="19.85" hidden="false" customHeight="true" outlineLevel="0" collapsed="false">
      <c r="A436" s="1" t="n">
        <v>31</v>
      </c>
      <c r="B436" s="31" t="n">
        <v>42552</v>
      </c>
      <c r="C436" s="9" t="n">
        <v>1175464.12</v>
      </c>
      <c r="D436" s="266" t="s">
        <v>42</v>
      </c>
      <c r="E436" s="33" t="n">
        <f aca="false">IF(D436="totale",(C436/(A436*24))/F436,IF(D436="marché libre",(C436/(A436*24))/G436,"spécifier histo"))</f>
        <v>0.470215741807476</v>
      </c>
      <c r="F436" s="56" t="n">
        <v>3760</v>
      </c>
      <c r="G436" s="56" t="n">
        <v>3360</v>
      </c>
      <c r="H436" s="9" t="n">
        <v>400</v>
      </c>
      <c r="J436" s="216"/>
      <c r="P436" s="0"/>
    </row>
    <row r="437" customFormat="false" ht="19.85" hidden="false" customHeight="true" outlineLevel="0" collapsed="false">
      <c r="A437" s="1" t="n">
        <v>31</v>
      </c>
      <c r="B437" s="34" t="n">
        <v>42583</v>
      </c>
      <c r="C437" s="9" t="n">
        <v>626550.5</v>
      </c>
      <c r="D437" s="266" t="s">
        <v>42</v>
      </c>
      <c r="E437" s="33" t="n">
        <f aca="false">IF(D437="totale",(C437/(A437*24))/F437,IF(D437="marché libre",(C437/(A437*24))/G437,"spécifier histo"))</f>
        <v>0.250636240719406</v>
      </c>
      <c r="F437" s="56" t="n">
        <v>3760</v>
      </c>
      <c r="G437" s="56" t="n">
        <v>3360</v>
      </c>
      <c r="H437" s="9" t="n">
        <v>400</v>
      </c>
      <c r="J437" s="216"/>
      <c r="P437" s="0"/>
    </row>
    <row r="438" customFormat="false" ht="19.85" hidden="false" customHeight="true" outlineLevel="0" collapsed="false">
      <c r="A438" s="1" t="n">
        <v>30</v>
      </c>
      <c r="B438" s="31" t="n">
        <v>42614</v>
      </c>
      <c r="C438" s="9" t="n">
        <v>209253.5</v>
      </c>
      <c r="D438" s="266" t="s">
        <v>42</v>
      </c>
      <c r="E438" s="33" t="n">
        <f aca="false">IF(D438="totale",(C438/(A438*24))/F438,IF(D438="marché libre",(C438/(A438*24))/G438,"spécifier histo"))</f>
        <v>0.086496982473545</v>
      </c>
      <c r="F438" s="56" t="n">
        <v>3760</v>
      </c>
      <c r="G438" s="56" t="n">
        <v>3360</v>
      </c>
      <c r="H438" s="9" t="n">
        <v>400</v>
      </c>
      <c r="J438" s="216"/>
      <c r="P438" s="0"/>
    </row>
    <row r="439" customFormat="false" ht="19.85" hidden="false" customHeight="true" outlineLevel="0" collapsed="false">
      <c r="A439" s="1" t="n">
        <v>31</v>
      </c>
      <c r="B439" s="34" t="n">
        <v>42644</v>
      </c>
      <c r="C439" s="9" t="n">
        <v>113663.19</v>
      </c>
      <c r="D439" s="266" t="s">
        <v>42</v>
      </c>
      <c r="E439" s="33" t="n">
        <f aca="false">IF(D439="totale",(C439/(A439*24))/F439,IF(D439="marché libre",(C439/(A439*24))/G439,"spécifier histo"))</f>
        <v>0.0454681859639017</v>
      </c>
      <c r="F439" s="56" t="n">
        <v>3760</v>
      </c>
      <c r="G439" s="56" t="n">
        <v>3360</v>
      </c>
      <c r="H439" s="9" t="n">
        <v>400</v>
      </c>
      <c r="J439" s="216"/>
      <c r="P439" s="0"/>
    </row>
    <row r="440" customFormat="false" ht="19.85" hidden="false" customHeight="true" outlineLevel="0" collapsed="false">
      <c r="A440" s="1" t="n">
        <v>30</v>
      </c>
      <c r="B440" s="31" t="n">
        <v>42675</v>
      </c>
      <c r="C440" s="9" t="n">
        <v>282099.5</v>
      </c>
      <c r="D440" s="266" t="s">
        <v>42</v>
      </c>
      <c r="E440" s="33" t="n">
        <f aca="false">IF(D440="totale",(C440/(A440*24))/F440,IF(D440="marché libre",(C440/(A440*24))/G440,"spécifier histo"))</f>
        <v>0.116608589616402</v>
      </c>
      <c r="F440" s="56" t="n">
        <v>3760</v>
      </c>
      <c r="G440" s="56" t="n">
        <v>3360</v>
      </c>
      <c r="H440" s="9" t="n">
        <v>400</v>
      </c>
      <c r="J440" s="216"/>
      <c r="P440" s="0"/>
    </row>
    <row r="441" customFormat="false" ht="19.85" hidden="false" customHeight="true" outlineLevel="0" collapsed="false">
      <c r="A441" s="1" t="n">
        <v>31</v>
      </c>
      <c r="B441" s="34" t="n">
        <v>42705</v>
      </c>
      <c r="C441" s="9" t="n">
        <v>20405.7</v>
      </c>
      <c r="D441" s="266" t="s">
        <v>42</v>
      </c>
      <c r="E441" s="33" t="n">
        <f aca="false">IF(D441="totale",(C441/(A441*24))/F441,IF(D441="marché libre",(C441/(A441*24))/G441,"spécifier histo"))</f>
        <v>0.00816280241935484</v>
      </c>
      <c r="F441" s="56" t="n">
        <v>3760</v>
      </c>
      <c r="G441" s="56" t="n">
        <v>3360</v>
      </c>
      <c r="H441" s="9" t="n">
        <v>400</v>
      </c>
      <c r="J441" s="216"/>
      <c r="P441" s="0"/>
    </row>
    <row r="442" customFormat="false" ht="19.85" hidden="false" customHeight="true" outlineLevel="0" collapsed="false">
      <c r="A442" s="1" t="n">
        <v>31</v>
      </c>
      <c r="B442" s="31" t="n">
        <v>42736</v>
      </c>
      <c r="C442" s="9" t="n">
        <v>5349.67999999999</v>
      </c>
      <c r="D442" s="266" t="s">
        <v>42</v>
      </c>
      <c r="E442" s="33" t="n">
        <f aca="false">IF(D442="totale",(C442/(A442*24))/F442,IF(D442="marché libre",(C442/(A442*24))/G442,"spécifier histo"))</f>
        <v>0.00214000896057347</v>
      </c>
      <c r="F442" s="56" t="n">
        <v>3760</v>
      </c>
      <c r="G442" s="56" t="n">
        <v>3360</v>
      </c>
      <c r="H442" s="9" t="n">
        <v>400</v>
      </c>
      <c r="J442" s="216"/>
      <c r="P442" s="0"/>
    </row>
    <row r="443" customFormat="false" ht="19.85" hidden="false" customHeight="true" outlineLevel="0" collapsed="false">
      <c r="A443" s="1" t="n">
        <v>28</v>
      </c>
      <c r="B443" s="34" t="n">
        <v>42767</v>
      </c>
      <c r="C443" s="9" t="n">
        <v>0</v>
      </c>
      <c r="D443" s="266" t="s">
        <v>42</v>
      </c>
      <c r="E443" s="33" t="n">
        <f aca="false">IF(D443="totale",(C443/(A443*24))/F443,IF(D443="marché libre",(C443/(A443*24))/G443,"spécifier histo"))</f>
        <v>0</v>
      </c>
      <c r="F443" s="56" t="n">
        <v>3760</v>
      </c>
      <c r="G443" s="56" t="n">
        <v>3360</v>
      </c>
      <c r="H443" s="9" t="n">
        <v>400</v>
      </c>
      <c r="J443" s="216"/>
      <c r="P443" s="0"/>
    </row>
    <row r="444" customFormat="false" ht="19.85" hidden="false" customHeight="true" outlineLevel="0" collapsed="false">
      <c r="A444" s="1" t="n">
        <v>31</v>
      </c>
      <c r="B444" s="31" t="n">
        <v>42795</v>
      </c>
      <c r="C444" s="9" t="n">
        <v>152579.58</v>
      </c>
      <c r="D444" s="266" t="s">
        <v>42</v>
      </c>
      <c r="E444" s="33" t="n">
        <f aca="false">IF(D444="totale",(C444/(A444*24))/F444,IF(D444="marché libre",(C444/(A444*24))/G444,"spécifier histo"))</f>
        <v>0.0610357382872504</v>
      </c>
      <c r="F444" s="56" t="n">
        <v>3760</v>
      </c>
      <c r="G444" s="56" t="n">
        <v>3360</v>
      </c>
      <c r="H444" s="9" t="n">
        <v>400</v>
      </c>
      <c r="J444" s="216"/>
      <c r="P444" s="0"/>
    </row>
    <row r="445" customFormat="false" ht="19.85" hidden="false" customHeight="true" outlineLevel="0" collapsed="false">
      <c r="A445" s="1" t="n">
        <v>30</v>
      </c>
      <c r="B445" s="34" t="n">
        <v>42826</v>
      </c>
      <c r="C445" s="121" t="n">
        <v>206613</v>
      </c>
      <c r="D445" s="266" t="s">
        <v>42</v>
      </c>
      <c r="E445" s="33" t="n">
        <f aca="false">IF(D445="totale",(C445/(A445*24))/F445,IF(D445="marché libre",(C445/(A445*24))/G445,"spécifier histo"))</f>
        <v>0.085405505952381</v>
      </c>
      <c r="F445" s="56" t="n">
        <v>3760</v>
      </c>
      <c r="G445" s="56" t="n">
        <v>3360</v>
      </c>
      <c r="H445" s="9" t="n">
        <v>400</v>
      </c>
      <c r="J445" s="216"/>
      <c r="P445" s="0"/>
    </row>
    <row r="446" customFormat="false" ht="19.85" hidden="false" customHeight="true" outlineLevel="0" collapsed="false">
      <c r="A446" s="1" t="n">
        <v>31</v>
      </c>
      <c r="B446" s="31" t="n">
        <v>42856</v>
      </c>
      <c r="C446" s="121" t="n">
        <v>1017842</v>
      </c>
      <c r="D446" s="266" t="s">
        <v>42</v>
      </c>
      <c r="E446" s="33" t="n">
        <f aca="false">IF(D446="totale",(C446/(A446*24))/F446,IF(D446="marché libre",(C446/(A446*24))/G446,"spécifier histo"))</f>
        <v>0.407162858422939</v>
      </c>
      <c r="F446" s="56" t="n">
        <v>3760</v>
      </c>
      <c r="G446" s="56" t="n">
        <v>3360</v>
      </c>
      <c r="H446" s="9" t="n">
        <v>400</v>
      </c>
      <c r="J446" s="216"/>
      <c r="P446" s="0"/>
    </row>
    <row r="447" customFormat="false" ht="19.85" hidden="false" customHeight="true" outlineLevel="0" collapsed="false">
      <c r="A447" s="1" t="n">
        <v>30</v>
      </c>
      <c r="B447" s="34" t="n">
        <v>42887</v>
      </c>
      <c r="C447" s="9" t="n">
        <v>954904</v>
      </c>
      <c r="D447" s="266" t="s">
        <v>42</v>
      </c>
      <c r="E447" s="33" t="n">
        <f aca="false">IF(D447="totale",(C447/(A447*24))/F447,IF(D447="marché libre",(C447/(A447*24))/G447,"spécifier histo"))</f>
        <v>0.394718915343915</v>
      </c>
      <c r="F447" s="56" t="n">
        <v>3760</v>
      </c>
      <c r="G447" s="56" t="n">
        <v>3360</v>
      </c>
      <c r="H447" s="9" t="n">
        <v>400</v>
      </c>
      <c r="J447" s="117"/>
      <c r="P447" s="0"/>
    </row>
    <row r="448" customFormat="false" ht="19.85" hidden="false" customHeight="true" outlineLevel="0" collapsed="false">
      <c r="A448" s="1" t="n">
        <v>31</v>
      </c>
      <c r="B448" s="31" t="n">
        <v>42917</v>
      </c>
      <c r="C448" s="9" t="n">
        <v>578372</v>
      </c>
      <c r="D448" s="266" t="s">
        <v>42</v>
      </c>
      <c r="E448" s="33" t="n">
        <f aca="false">IF(D448="totale",(C448/(A448*24))/F448,IF(D448="marché libre",(C448/(A448*24))/G448,"spécifier histo"))</f>
        <v>0.231363607270865</v>
      </c>
      <c r="F448" s="56" t="n">
        <v>3760</v>
      </c>
      <c r="G448" s="56" t="n">
        <v>3360</v>
      </c>
      <c r="H448" s="9" t="n">
        <v>400</v>
      </c>
      <c r="J448" s="117"/>
      <c r="P448" s="0"/>
    </row>
    <row r="449" customFormat="false" ht="19.85" hidden="false" customHeight="true" outlineLevel="0" collapsed="false">
      <c r="A449" s="1" t="n">
        <v>31</v>
      </c>
      <c r="B449" s="34" t="n">
        <v>42948</v>
      </c>
      <c r="C449" s="9" t="n">
        <v>354059</v>
      </c>
      <c r="D449" s="266" t="s">
        <v>42</v>
      </c>
      <c r="E449" s="33" t="n">
        <f aca="false">IF(D449="totale",(C449/(A449*24))/F449,IF(D449="marché libre",(C449/(A449*24))/G449,"spécifier histo"))</f>
        <v>0.141632664490527</v>
      </c>
      <c r="F449" s="56" t="n">
        <v>3760</v>
      </c>
      <c r="G449" s="56" t="n">
        <v>3360</v>
      </c>
      <c r="H449" s="9" t="n">
        <v>400</v>
      </c>
      <c r="J449" s="117"/>
      <c r="P449" s="0"/>
    </row>
    <row r="450" customFormat="false" ht="19.85" hidden="false" customHeight="true" outlineLevel="0" collapsed="false">
      <c r="A450" s="1" t="n">
        <v>30</v>
      </c>
      <c r="B450" s="31" t="n">
        <v>42979</v>
      </c>
      <c r="C450" s="9" t="n">
        <v>287513</v>
      </c>
      <c r="D450" s="266" t="s">
        <v>42</v>
      </c>
      <c r="E450" s="33" t="n">
        <f aca="false">IF(D450="totale",(C450/(A450*24))/F450,IF(D450="marché libre",(C450/(A450*24))/G450,"spécifier histo"))</f>
        <v>0.118846312830688</v>
      </c>
      <c r="F450" s="56" t="n">
        <v>3760</v>
      </c>
      <c r="G450" s="56" t="n">
        <v>3360</v>
      </c>
      <c r="H450" s="9" t="n">
        <v>400</v>
      </c>
      <c r="J450" s="117"/>
      <c r="P450" s="0"/>
    </row>
    <row r="451" customFormat="false" ht="19.85" hidden="false" customHeight="true" outlineLevel="0" collapsed="false">
      <c r="A451" s="1" t="n">
        <v>31</v>
      </c>
      <c r="B451" s="34" t="n">
        <v>43009</v>
      </c>
      <c r="C451" s="9" t="n">
        <v>82720</v>
      </c>
      <c r="D451" s="266" t="s">
        <v>42</v>
      </c>
      <c r="E451" s="33" t="n">
        <f aca="false">IF(D451="totale",(C451/(A451*24))/F451,IF(D451="marché libre",(C451/(A451*24))/G451,"spécifier histo"))</f>
        <v>0.0330901177675371</v>
      </c>
      <c r="F451" s="56" t="n">
        <v>3760</v>
      </c>
      <c r="G451" s="56" t="n">
        <v>3360</v>
      </c>
      <c r="H451" s="9" t="n">
        <v>400</v>
      </c>
      <c r="J451" s="117"/>
      <c r="P451" s="0"/>
    </row>
    <row r="452" customFormat="false" ht="19.85" hidden="false" customHeight="true" outlineLevel="0" collapsed="false">
      <c r="A452" s="1" t="n">
        <v>30</v>
      </c>
      <c r="B452" s="31" t="n">
        <v>43040</v>
      </c>
      <c r="C452" s="9" t="n">
        <v>33346</v>
      </c>
      <c r="D452" s="266" t="s">
        <v>42</v>
      </c>
      <c r="E452" s="33" t="n">
        <f aca="false">IF(D452="totale",(C452/(A452*24))/F452,IF(D452="marché libre",(C452/(A452*24))/G452,"spécifier histo"))</f>
        <v>0.0137838955026455</v>
      </c>
      <c r="F452" s="56" t="n">
        <v>3760</v>
      </c>
      <c r="G452" s="56" t="n">
        <v>3360</v>
      </c>
      <c r="H452" s="9" t="n">
        <v>400</v>
      </c>
      <c r="J452" s="117"/>
      <c r="P452" s="0"/>
    </row>
    <row r="453" s="1" customFormat="true" ht="19.85" hidden="false" customHeight="true" outlineLevel="0" collapsed="false">
      <c r="A453" s="1" t="n">
        <v>31</v>
      </c>
      <c r="B453" s="34" t="n">
        <v>43070</v>
      </c>
      <c r="C453" s="9" t="n">
        <v>78927</v>
      </c>
      <c r="D453" s="266" t="s">
        <v>42</v>
      </c>
      <c r="E453" s="33" t="n">
        <f aca="false">IF(D453="totale",(C453/(A453*24))/F453,IF(D453="marché libre",(C453/(A453*24))/G453,"spécifier histo"))</f>
        <v>0.0315728206605223</v>
      </c>
      <c r="F453" s="56" t="n">
        <v>3760</v>
      </c>
      <c r="G453" s="56" t="n">
        <v>3360</v>
      </c>
      <c r="H453" s="9" t="n">
        <v>400</v>
      </c>
      <c r="P453" s="0"/>
    </row>
    <row r="454" customFormat="false" ht="19.85" hidden="false" customHeight="true" outlineLevel="0" collapsed="false">
      <c r="A454" s="0" t="n">
        <v>31</v>
      </c>
      <c r="B454" s="31" t="n">
        <v>43101</v>
      </c>
      <c r="C454" s="9" t="n">
        <v>343741</v>
      </c>
      <c r="D454" s="266" t="s">
        <v>42</v>
      </c>
      <c r="E454" s="33" t="n">
        <f aca="false">IF(D454="totale",(C454/(A454*24))/F454,IF(D454="marché libre",(C454/(A454*24))/G454,"spécifier histo"))</f>
        <v>0.137505200332821</v>
      </c>
      <c r="F454" s="56" t="n">
        <v>3760</v>
      </c>
      <c r="G454" s="56" t="n">
        <v>3360</v>
      </c>
      <c r="H454" s="9" t="n">
        <v>400</v>
      </c>
      <c r="P454" s="0"/>
    </row>
    <row r="455" customFormat="false" ht="28.35" hidden="false" customHeight="true" outlineLevel="0" collapsed="false">
      <c r="A455" s="0" t="n">
        <v>31</v>
      </c>
      <c r="B455" s="34" t="n">
        <v>43132</v>
      </c>
      <c r="C455" s="9" t="n">
        <v>343741</v>
      </c>
      <c r="D455" s="266" t="s">
        <v>42</v>
      </c>
      <c r="E455" s="33" t="n">
        <f aca="false">IF(D455="totale",(C455/(A455*24))/F455,IF(D455="marché libre",(C455/(A455*24))/G455,"spécifier histo"))</f>
        <v>0.137505200332821</v>
      </c>
      <c r="F455" s="56" t="n">
        <v>3760</v>
      </c>
      <c r="G455" s="56" t="n">
        <v>3360</v>
      </c>
      <c r="H455" s="9" t="n">
        <v>400</v>
      </c>
      <c r="P455" s="0"/>
    </row>
    <row r="456" customFormat="false" ht="28.35" hidden="false" customHeight="true" outlineLevel="0" collapsed="false">
      <c r="A456" s="0" t="n">
        <v>28</v>
      </c>
      <c r="B456" s="31" t="n">
        <v>43160</v>
      </c>
      <c r="C456" s="9" t="n">
        <v>42845.76</v>
      </c>
      <c r="D456" s="266" t="s">
        <v>42</v>
      </c>
      <c r="E456" s="33" t="n">
        <f aca="false">IF(D456="totale",(C456/(A456*24))/F456,IF(D456="marché libre",(C456/(A456*24))/G456,"spécifier histo"))</f>
        <v>0.0189757653061225</v>
      </c>
      <c r="F456" s="56" t="n">
        <v>3760</v>
      </c>
      <c r="G456" s="56" t="n">
        <v>3360</v>
      </c>
      <c r="H456" s="9" t="n">
        <v>400</v>
      </c>
      <c r="P456" s="0"/>
    </row>
    <row r="457" customFormat="false" ht="28.35" hidden="false" customHeight="true" outlineLevel="0" collapsed="false">
      <c r="A457" s="0" t="n">
        <v>31</v>
      </c>
      <c r="B457" s="34" t="n">
        <v>43191</v>
      </c>
      <c r="C457" s="9" t="n">
        <v>18891</v>
      </c>
      <c r="D457" s="266" t="s">
        <v>42</v>
      </c>
      <c r="E457" s="33" t="n">
        <f aca="false">IF(D457="totale",(C457/(A457*24))/F457,IF(D457="marché libre",(C457/(A457*24))/G457,"spécifier histo"))</f>
        <v>0.007556883640553</v>
      </c>
      <c r="F457" s="56" t="n">
        <v>3760</v>
      </c>
      <c r="G457" s="56" t="n">
        <v>3360</v>
      </c>
      <c r="H457" s="9" t="n">
        <v>400</v>
      </c>
      <c r="P457" s="0"/>
    </row>
    <row r="458" customFormat="false" ht="28.35" hidden="false" customHeight="true" outlineLevel="0" collapsed="false">
      <c r="A458" s="0" t="n">
        <v>30</v>
      </c>
      <c r="B458" s="31" t="n">
        <v>43221</v>
      </c>
      <c r="C458" s="9" t="n">
        <v>839024</v>
      </c>
      <c r="D458" s="266" t="s">
        <v>42</v>
      </c>
      <c r="E458" s="33" t="n">
        <f aca="false">IF(D458="totale",(C458/(A458*24))/F458,IF(D458="marché libre",(C458/(A458*24))/G458,"spécifier histo"))</f>
        <v>0.346818783068783</v>
      </c>
      <c r="F458" s="56" t="n">
        <v>3760</v>
      </c>
      <c r="G458" s="56" t="n">
        <v>3360</v>
      </c>
      <c r="H458" s="9" t="n">
        <v>400</v>
      </c>
    </row>
    <row r="459" customFormat="false" ht="28.35" hidden="false" customHeight="true" outlineLevel="0" collapsed="false">
      <c r="A459" s="0" t="n">
        <v>31</v>
      </c>
      <c r="B459" s="34" t="n">
        <v>43252</v>
      </c>
      <c r="C459" s="9" t="n">
        <v>1270981</v>
      </c>
      <c r="D459" s="266" t="s">
        <v>42</v>
      </c>
      <c r="E459" s="33" t="n">
        <f aca="false">IF(D459="totale",(C459/(A459*24))/F459,IF(D459="marché libre",(C459/(A459*24))/G459,"spécifier histo"))</f>
        <v>0.508424939196109</v>
      </c>
      <c r="F459" s="56" t="n">
        <v>3760</v>
      </c>
      <c r="G459" s="56" t="n">
        <v>3360</v>
      </c>
      <c r="H459" s="9" t="n">
        <v>400</v>
      </c>
    </row>
    <row r="460" customFormat="false" ht="28.35" hidden="false" customHeight="true" outlineLevel="0" collapsed="false">
      <c r="A460" s="0" t="n">
        <v>30</v>
      </c>
      <c r="B460" s="31" t="n">
        <v>43282</v>
      </c>
      <c r="C460" s="9" t="n">
        <v>1339226</v>
      </c>
      <c r="D460" s="266" t="s">
        <v>42</v>
      </c>
      <c r="E460" s="33" t="n">
        <f aca="false">IF(D460="totale",(C460/(A460*24))/F460,IF(D460="marché libre",(C460/(A460*24))/G460,"spécifier histo"))</f>
        <v>0.553582175925926</v>
      </c>
      <c r="F460" s="56" t="n">
        <v>3760</v>
      </c>
      <c r="G460" s="56" t="n">
        <v>3360</v>
      </c>
      <c r="H460" s="9" t="n">
        <v>400</v>
      </c>
    </row>
    <row r="461" customFormat="false" ht="28.35" hidden="false" customHeight="true" outlineLevel="0" collapsed="false">
      <c r="A461" s="0" t="n">
        <v>31</v>
      </c>
      <c r="B461" s="34" t="n">
        <v>43313</v>
      </c>
      <c r="C461" s="9" t="n">
        <v>976754</v>
      </c>
      <c r="D461" s="266" t="s">
        <v>42</v>
      </c>
      <c r="E461" s="33" t="n">
        <f aca="false">IF(D461="totale",(C461/(A461*24))/F461,IF(D461="marché libre",(C461/(A461*24))/G461,"spécifier histo"))</f>
        <v>0.390726606502816</v>
      </c>
      <c r="F461" s="56" t="n">
        <v>3760</v>
      </c>
      <c r="G461" s="56" t="n">
        <v>3360</v>
      </c>
      <c r="H461" s="9" t="n">
        <v>400</v>
      </c>
    </row>
    <row r="462" customFormat="false" ht="28.35" hidden="false" customHeight="true" outlineLevel="0" collapsed="false">
      <c r="C462" s="9"/>
    </row>
    <row r="463" customFormat="false" ht="28.35" hidden="false" customHeight="true" outlineLevel="0" collapsed="false">
      <c r="C463" s="9"/>
    </row>
    <row r="464" customFormat="false" ht="28.35" hidden="false" customHeight="true" outlineLevel="0" collapsed="false">
      <c r="C464" s="9"/>
    </row>
    <row r="465" customFormat="false" ht="28.35" hidden="false" customHeight="true" outlineLevel="0" collapsed="false">
      <c r="C465" s="9"/>
    </row>
    <row r="466" customFormat="false" ht="28.35" hidden="false" customHeight="true" outlineLevel="0" collapsed="false">
      <c r="C466" s="9"/>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461">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8.xml><?xml version="1.0" encoding="utf-8"?>
<worksheet xmlns="http://schemas.openxmlformats.org/spreadsheetml/2006/main" xmlns:r="http://schemas.openxmlformats.org/officeDocument/2006/relationships">
  <sheetPr filterMode="false">
    <tabColor rgb="FF00CC33"/>
    <pageSetUpPr fitToPage="false"/>
  </sheetPr>
  <dimension ref="A1:AV55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490" activePane="bottomRight" state="frozen"/>
      <selection pane="topLeft" activeCell="A1" activeCellId="0" sqref="A1"/>
      <selection pane="topRight" activeCell="B1" activeCellId="0" sqref="B1"/>
      <selection pane="bottomLeft" activeCell="A490" activeCellId="0" sqref="A490"/>
      <selection pane="bottomRight" activeCell="B502" activeCellId="0" sqref="B502"/>
    </sheetView>
  </sheetViews>
  <sheetFormatPr defaultRowHeight="12.8" zeroHeight="false" outlineLevelRow="0" outlineLevelCol="0"/>
  <cols>
    <col collapsed="false" customWidth="true" hidden="false" outlineLevel="0" max="1" min="1" style="1" width="3.85"/>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8.38"/>
    <col collapsed="false" customWidth="true" hidden="false" outlineLevel="0" max="6" min="6" style="1" width="16.07"/>
    <col collapsed="false" customWidth="true" hidden="false" outlineLevel="0" max="7" min="7" style="1" width="14.66"/>
    <col collapsed="false" customWidth="true" hidden="false" outlineLevel="0" max="8" min="8" style="1" width="15.74"/>
    <col collapsed="false" customWidth="true" hidden="false" outlineLevel="0" max="9" min="9" style="1" width="16.07"/>
    <col collapsed="false" customWidth="true" hidden="false" outlineLevel="0" max="10" min="10" style="1" width="23.01"/>
    <col collapsed="false" customWidth="true" hidden="false" outlineLevel="0" max="11" min="11" style="1" width="24.39"/>
    <col collapsed="false" customWidth="true" hidden="false" outlineLevel="0" max="12" min="12" style="1" width="22.69"/>
    <col collapsed="false" customWidth="false" hidden="false" outlineLevel="0" max="13" min="13" style="1" width="11.52"/>
    <col collapsed="false" customWidth="true" hidden="false" outlineLevel="0" max="14" min="14" style="1" width="9.72"/>
    <col collapsed="false" customWidth="true" hidden="false" outlineLevel="0" max="15" min="15" style="1" width="4.78"/>
    <col collapsed="false" customWidth="false" hidden="false" outlineLevel="0" max="16" min="16" style="1" width="11.52"/>
    <col collapsed="false" customWidth="true" hidden="false" outlineLevel="0" max="17" min="17" style="1" width="15.28"/>
    <col collapsed="false" customWidth="true" hidden="false" outlineLevel="0" max="18" min="18" style="1" width="4.93"/>
    <col collapsed="false" customWidth="false" hidden="false" outlineLevel="0" max="19" min="19" style="1" width="11.52"/>
    <col collapsed="false" customWidth="true" hidden="false" outlineLevel="0" max="20" min="20" style="1" width="12.37"/>
    <col collapsed="false" customWidth="false" hidden="false" outlineLevel="0" max="1025" min="21" style="1" width="11.52"/>
  </cols>
  <sheetData>
    <row r="1" customFormat="false" ht="30.8" hidden="false" customHeight="true" outlineLevel="0" collapsed="false">
      <c r="A1" s="122" t="s">
        <v>108</v>
      </c>
      <c r="B1" s="2" t="s">
        <v>0</v>
      </c>
      <c r="C1" s="2"/>
      <c r="D1" s="2"/>
      <c r="E1" s="2"/>
      <c r="F1" s="3" t="s">
        <v>1</v>
      </c>
      <c r="G1" s="3"/>
      <c r="H1" s="3"/>
      <c r="I1" s="3"/>
      <c r="J1" s="3"/>
      <c r="K1" s="3"/>
      <c r="L1" s="3"/>
      <c r="M1" s="3"/>
      <c r="N1" s="3"/>
    </row>
    <row r="2" customFormat="false" ht="30.8" hidden="false" customHeight="true" outlineLevel="0" collapsed="false">
      <c r="A2" s="0" t="n">
        <v>9</v>
      </c>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2.45" hidden="false" customHeight="true" outlineLevel="0" collapsed="false">
      <c r="A4" s="0"/>
      <c r="B4" s="16" t="s">
        <v>1214</v>
      </c>
      <c r="C4" s="16" t="n">
        <v>529291</v>
      </c>
      <c r="D4" s="5" t="s">
        <v>1215</v>
      </c>
      <c r="E4" s="14" t="s">
        <v>308</v>
      </c>
      <c r="F4" s="15" t="n">
        <v>4500</v>
      </c>
      <c r="G4" s="15" t="n">
        <v>4335</v>
      </c>
      <c r="H4" s="15" t="n">
        <v>3935</v>
      </c>
      <c r="I4" s="16" t="s">
        <v>1216</v>
      </c>
      <c r="J4" s="15" t="n">
        <v>3935</v>
      </c>
      <c r="K4" s="16" t="s">
        <v>1217</v>
      </c>
      <c r="L4" s="16" t="s">
        <v>48</v>
      </c>
      <c r="M4" s="16" t="n">
        <v>3995</v>
      </c>
      <c r="N4" s="4"/>
      <c r="P4" s="17"/>
      <c r="Q4" s="16" t="s">
        <v>23</v>
      </c>
      <c r="S4" s="18"/>
      <c r="T4" s="19" t="s">
        <v>24</v>
      </c>
      <c r="U4" s="19"/>
      <c r="V4" s="19"/>
    </row>
    <row r="5" customFormat="false" ht="29.15" hidden="false" customHeight="true" outlineLevel="0" collapsed="false">
      <c r="A5" s="0"/>
      <c r="F5" s="9"/>
      <c r="G5" s="9"/>
      <c r="H5" s="9"/>
      <c r="J5" s="9"/>
      <c r="P5" s="9"/>
      <c r="Q5" s="9"/>
    </row>
    <row r="6" customFormat="false" ht="41.65" hidden="false" customHeight="true" outlineLevel="0" collapsed="false">
      <c r="A6" s="0"/>
      <c r="B6" s="0"/>
      <c r="C6" s="10" t="s">
        <v>25</v>
      </c>
      <c r="D6" s="10"/>
      <c r="F6" s="20" t="s">
        <v>26</v>
      </c>
      <c r="G6" s="19" t="s">
        <v>1218</v>
      </c>
      <c r="H6" s="19"/>
      <c r="I6" s="19"/>
      <c r="J6" s="19"/>
      <c r="K6" s="19"/>
      <c r="L6" s="19"/>
      <c r="M6" s="19"/>
      <c r="N6" s="19"/>
      <c r="P6" s="21" t="n">
        <v>41640</v>
      </c>
      <c r="Q6" s="19" t="s">
        <v>27</v>
      </c>
      <c r="R6" s="9"/>
      <c r="S6" s="22"/>
      <c r="T6" s="5" t="s">
        <v>28</v>
      </c>
    </row>
    <row r="7" customFormat="false" ht="66.9" hidden="false" customHeight="true" outlineLevel="0" collapsed="false">
      <c r="A7" s="0"/>
      <c r="B7" s="0"/>
      <c r="C7" s="23" t="s">
        <v>1219</v>
      </c>
      <c r="D7" s="23"/>
      <c r="F7" s="20"/>
      <c r="G7" s="20"/>
      <c r="H7" s="19"/>
      <c r="I7" s="19"/>
      <c r="J7" s="19"/>
      <c r="K7" s="19"/>
      <c r="L7" s="19"/>
      <c r="M7" s="19"/>
      <c r="N7" s="19"/>
      <c r="P7" s="24"/>
      <c r="Q7" s="5" t="s">
        <v>29</v>
      </c>
      <c r="R7" s="9"/>
      <c r="S7" s="25"/>
      <c r="T7" s="5" t="s">
        <v>30</v>
      </c>
    </row>
    <row r="8" customFormat="false" ht="44.15" hidden="false" customHeight="true" outlineLevel="0" collapsed="false">
      <c r="A8" s="26"/>
      <c r="C8" s="0"/>
      <c r="F8" s="9"/>
      <c r="G8" s="9"/>
      <c r="H8" s="9"/>
      <c r="J8" s="9"/>
      <c r="R8" s="9"/>
      <c r="S8" s="27"/>
      <c r="T8" s="16" t="s">
        <v>31</v>
      </c>
    </row>
    <row r="9" customFormat="false" ht="38.3" hidden="false" customHeight="true" outlineLevel="0" collapsed="false">
      <c r="B9" s="9" t="s">
        <v>32</v>
      </c>
      <c r="C9" s="1" t="s">
        <v>33</v>
      </c>
      <c r="D9" s="0"/>
      <c r="E9" s="706" t="s">
        <v>35</v>
      </c>
      <c r="F9" s="9" t="s">
        <v>97</v>
      </c>
      <c r="G9" s="9" t="s">
        <v>37</v>
      </c>
      <c r="H9" s="9" t="s">
        <v>38</v>
      </c>
      <c r="I9" s="9" t="s">
        <v>39</v>
      </c>
      <c r="J9" s="30" t="s">
        <v>40</v>
      </c>
    </row>
    <row r="10" customFormat="false" ht="12.95" hidden="false" customHeight="true" outlineLevel="0" collapsed="false">
      <c r="A10" s="1" t="n">
        <v>31</v>
      </c>
      <c r="B10" s="31" t="n">
        <v>28126</v>
      </c>
      <c r="C10" s="9" t="n">
        <v>576000</v>
      </c>
      <c r="D10" s="58" t="s">
        <v>41</v>
      </c>
      <c r="E10" s="33" t="n">
        <f aca="false">IF(D10="totale",(C10/(A10*24))/F10,IF(D10="marché libre",(C10/(A10*24))/G10,"spécifier histo"))</f>
        <v>0.196745501496086</v>
      </c>
      <c r="F10" s="59" t="n">
        <v>3935</v>
      </c>
      <c r="G10" s="59" t="n">
        <f aca="false">F10-H10</f>
        <v>3935</v>
      </c>
      <c r="H10" s="9" t="n">
        <v>0</v>
      </c>
      <c r="I10" s="9"/>
      <c r="J10" s="30"/>
    </row>
    <row r="11" customFormat="false" ht="12.95" hidden="false" customHeight="true" outlineLevel="0" collapsed="false">
      <c r="A11" s="1" t="n">
        <v>28</v>
      </c>
      <c r="B11" s="34" t="n">
        <v>28157</v>
      </c>
      <c r="C11" s="9" t="n">
        <v>951000</v>
      </c>
      <c r="D11" s="58" t="s">
        <v>41</v>
      </c>
      <c r="E11" s="33" t="n">
        <f aca="false">IF(D11="totale",(C11/(A11*24))/F11,IF(D11="marché libre",(C11/(A11*24))/G11,"spécifier histo"))</f>
        <v>0.359638772917045</v>
      </c>
      <c r="F11" s="59" t="n">
        <v>3935</v>
      </c>
      <c r="G11" s="59" t="n">
        <f aca="false">F11-H11</f>
        <v>3935</v>
      </c>
      <c r="H11" s="9" t="n">
        <v>0</v>
      </c>
      <c r="I11" s="9"/>
      <c r="J11" s="30"/>
    </row>
    <row r="12" customFormat="false" ht="12.95" hidden="false" customHeight="true" outlineLevel="0" collapsed="false">
      <c r="A12" s="1" t="n">
        <v>31</v>
      </c>
      <c r="B12" s="31" t="n">
        <v>28185</v>
      </c>
      <c r="C12" s="9" t="n">
        <v>988000</v>
      </c>
      <c r="D12" s="58" t="s">
        <v>41</v>
      </c>
      <c r="E12" s="33" t="n">
        <f aca="false">IF(D12="totale",(C12/(A12*24))/F12,IF(D12="marché libre",(C12/(A12*24))/G12,"spécifier histo"))</f>
        <v>0.33747318659398</v>
      </c>
      <c r="F12" s="59" t="n">
        <v>3935</v>
      </c>
      <c r="G12" s="59" t="n">
        <f aca="false">F12-H12</f>
        <v>3935</v>
      </c>
      <c r="H12" s="9" t="n">
        <v>0</v>
      </c>
      <c r="I12" s="9"/>
      <c r="J12" s="30"/>
    </row>
    <row r="13" customFormat="false" ht="12.95" hidden="false" customHeight="true" outlineLevel="0" collapsed="false">
      <c r="A13" s="1" t="n">
        <v>30</v>
      </c>
      <c r="B13" s="34" t="n">
        <v>28216</v>
      </c>
      <c r="C13" s="9" t="n">
        <v>1142000</v>
      </c>
      <c r="D13" s="58" t="s">
        <v>41</v>
      </c>
      <c r="E13" s="33" t="n">
        <f aca="false">IF(D13="totale",(C13/(A13*24))/F13,IF(D13="marché libre",(C13/(A13*24))/G13,"spécifier histo"))</f>
        <v>0.403077791896089</v>
      </c>
      <c r="F13" s="59" t="n">
        <v>3935</v>
      </c>
      <c r="G13" s="59" t="n">
        <f aca="false">F13-H13</f>
        <v>3935</v>
      </c>
      <c r="H13" s="9" t="n">
        <v>0</v>
      </c>
      <c r="I13" s="9"/>
      <c r="J13" s="30"/>
    </row>
    <row r="14" customFormat="false" ht="12.95" hidden="false" customHeight="true" outlineLevel="0" collapsed="false">
      <c r="A14" s="1" t="n">
        <v>31</v>
      </c>
      <c r="B14" s="31" t="n">
        <v>28246</v>
      </c>
      <c r="C14" s="9" t="n">
        <v>227000</v>
      </c>
      <c r="D14" s="58" t="s">
        <v>41</v>
      </c>
      <c r="E14" s="33" t="n">
        <f aca="false">IF(D14="totale",(C14/(A14*24))/F14,IF(D14="marché libre",(C14/(A14*24))/G14,"spécifier histo"))</f>
        <v>0.0775368556243254</v>
      </c>
      <c r="F14" s="59" t="n">
        <v>3935</v>
      </c>
      <c r="G14" s="59" t="n">
        <f aca="false">F14-H14</f>
        <v>3935</v>
      </c>
      <c r="H14" s="9" t="n">
        <v>0</v>
      </c>
      <c r="I14" s="9"/>
      <c r="J14" s="30"/>
    </row>
    <row r="15" customFormat="false" ht="12.95" hidden="false" customHeight="true" outlineLevel="0" collapsed="false">
      <c r="A15" s="1" t="n">
        <v>30</v>
      </c>
      <c r="B15" s="34" t="n">
        <v>28277</v>
      </c>
      <c r="C15" s="9" t="n">
        <v>2874000</v>
      </c>
      <c r="D15" s="58" t="s">
        <v>41</v>
      </c>
      <c r="E15" s="33" t="n">
        <f aca="false">IF(D15="totale",(C15/(A15*24))/F15,IF(D15="marché libre",(C15/(A15*24))/G15,"spécifier histo"))</f>
        <v>1.01440067767895</v>
      </c>
      <c r="F15" s="59" t="n">
        <v>3935</v>
      </c>
      <c r="G15" s="59" t="n">
        <f aca="false">F15-H15</f>
        <v>3935</v>
      </c>
      <c r="H15" s="9" t="n">
        <v>0</v>
      </c>
      <c r="I15" s="9"/>
      <c r="J15" s="30"/>
    </row>
    <row r="16" customFormat="false" ht="12.95" hidden="false" customHeight="true" outlineLevel="0" collapsed="false">
      <c r="A16" s="1" t="n">
        <v>31</v>
      </c>
      <c r="B16" s="31" t="n">
        <v>28307</v>
      </c>
      <c r="C16" s="9" t="n">
        <v>2500000</v>
      </c>
      <c r="D16" s="58" t="s">
        <v>41</v>
      </c>
      <c r="E16" s="33" t="n">
        <f aca="false">IF(D16="totale",(C16/(A16*24))/F16,IF(D16="marché libre",(C16/(A16*24))/G16,"spécifier histo"))</f>
        <v>0.853930128021205</v>
      </c>
      <c r="F16" s="59" t="n">
        <v>3935</v>
      </c>
      <c r="G16" s="59" t="n">
        <f aca="false">F16-H16</f>
        <v>3935</v>
      </c>
      <c r="H16" s="9" t="n">
        <v>0</v>
      </c>
      <c r="I16" s="9"/>
      <c r="J16" s="30"/>
    </row>
    <row r="17" customFormat="false" ht="12.95" hidden="false" customHeight="true" outlineLevel="0" collapsed="false">
      <c r="A17" s="1" t="n">
        <v>31</v>
      </c>
      <c r="B17" s="34" t="n">
        <v>28338</v>
      </c>
      <c r="C17" s="9" t="n">
        <v>2272000</v>
      </c>
      <c r="D17" s="58" t="s">
        <v>41</v>
      </c>
      <c r="E17" s="33" t="n">
        <f aca="false">IF(D17="totale",(C17/(A17*24))/F17,IF(D17="marché libre",(C17/(A17*24))/G17,"spécifier histo"))</f>
        <v>0.776051700345671</v>
      </c>
      <c r="F17" s="59" t="n">
        <v>3935</v>
      </c>
      <c r="G17" s="59" t="n">
        <f aca="false">F17-H17</f>
        <v>3935</v>
      </c>
      <c r="H17" s="9" t="n">
        <v>0</v>
      </c>
      <c r="I17" s="9"/>
      <c r="J17" s="30"/>
    </row>
    <row r="18" customFormat="false" ht="12.95" hidden="false" customHeight="true" outlineLevel="0" collapsed="false">
      <c r="A18" s="1" t="n">
        <v>30</v>
      </c>
      <c r="B18" s="31" t="n">
        <v>28369</v>
      </c>
      <c r="C18" s="9" t="n">
        <v>1507000</v>
      </c>
      <c r="D18" s="58" t="s">
        <v>41</v>
      </c>
      <c r="E18" s="33" t="n">
        <f aca="false">IF(D18="totale",(C18/(A18*24))/F18,IF(D18="marché libre",(C18/(A18*24))/G18,"spécifier histo"))</f>
        <v>0.531907383876888</v>
      </c>
      <c r="F18" s="59" t="n">
        <v>3935</v>
      </c>
      <c r="G18" s="59" t="n">
        <f aca="false">F18-H18</f>
        <v>3935</v>
      </c>
      <c r="H18" s="9" t="n">
        <v>0</v>
      </c>
      <c r="I18" s="9"/>
      <c r="J18" s="30"/>
    </row>
    <row r="19" customFormat="false" ht="12.95" hidden="false" customHeight="true" outlineLevel="0" collapsed="false">
      <c r="A19" s="1" t="n">
        <v>31</v>
      </c>
      <c r="B19" s="34" t="n">
        <v>28399</v>
      </c>
      <c r="C19" s="9" t="n">
        <v>1246000</v>
      </c>
      <c r="D19" s="58" t="s">
        <v>41</v>
      </c>
      <c r="E19" s="33" t="n">
        <f aca="false">IF(D19="totale",(C19/(A19*24))/F19,IF(D19="marché libre",(C19/(A19*24))/G19,"spécifier histo"))</f>
        <v>0.425598775805768</v>
      </c>
      <c r="F19" s="59" t="n">
        <v>3935</v>
      </c>
      <c r="G19" s="59" t="n">
        <f aca="false">F19-H19</f>
        <v>3935</v>
      </c>
      <c r="H19" s="9" t="n">
        <v>0</v>
      </c>
      <c r="I19" s="9"/>
      <c r="J19" s="30"/>
    </row>
    <row r="20" customFormat="false" ht="12.95" hidden="false" customHeight="true" outlineLevel="0" collapsed="false">
      <c r="A20" s="1" t="n">
        <v>30</v>
      </c>
      <c r="B20" s="31" t="n">
        <v>28430</v>
      </c>
      <c r="C20" s="9" t="n">
        <v>1104000</v>
      </c>
      <c r="D20" s="58" t="s">
        <v>41</v>
      </c>
      <c r="E20" s="33" t="n">
        <f aca="false">IF(D20="totale",(C20/(A20*24))/F20,IF(D20="marché libre",(C20/(A20*24))/G20,"spécifier histo"))</f>
        <v>0.389665396018636</v>
      </c>
      <c r="F20" s="59" t="n">
        <v>3935</v>
      </c>
      <c r="G20" s="59" t="n">
        <f aca="false">F20-H20</f>
        <v>3935</v>
      </c>
      <c r="H20" s="9" t="n">
        <v>0</v>
      </c>
      <c r="I20" s="9"/>
      <c r="J20" s="30"/>
    </row>
    <row r="21" customFormat="false" ht="12.95" hidden="false" customHeight="true" outlineLevel="0" collapsed="false">
      <c r="A21" s="1" t="n">
        <v>31</v>
      </c>
      <c r="B21" s="34" t="n">
        <v>28460</v>
      </c>
      <c r="C21" s="9" t="n">
        <v>957000</v>
      </c>
      <c r="D21" s="58" t="s">
        <v>41</v>
      </c>
      <c r="E21" s="33" t="n">
        <f aca="false">IF(D21="totale",(C21/(A21*24))/F21,IF(D21="marché libre",(C21/(A21*24))/G21,"spécifier histo"))</f>
        <v>0.326884453006517</v>
      </c>
      <c r="F21" s="59" t="n">
        <v>3935</v>
      </c>
      <c r="G21" s="59" t="n">
        <f aca="false">F21-H21</f>
        <v>3935</v>
      </c>
      <c r="H21" s="9" t="n">
        <v>0</v>
      </c>
      <c r="I21" s="9"/>
      <c r="J21" s="30"/>
    </row>
    <row r="22" customFormat="false" ht="12.95" hidden="false" customHeight="true" outlineLevel="0" collapsed="false">
      <c r="A22" s="1" t="n">
        <v>31</v>
      </c>
      <c r="B22" s="31" t="n">
        <v>28491</v>
      </c>
      <c r="C22" s="9" t="n">
        <v>700000</v>
      </c>
      <c r="D22" s="58" t="s">
        <v>41</v>
      </c>
      <c r="E22" s="33" t="n">
        <f aca="false">IF(D22="totale",(C22/(A22*24))/F22,IF(D22="marché libre",(C22/(A22*24))/G22,"spécifier histo"))</f>
        <v>0.239100435845937</v>
      </c>
      <c r="F22" s="59" t="n">
        <v>3935</v>
      </c>
      <c r="G22" s="59" t="n">
        <f aca="false">F22-H22</f>
        <v>3935</v>
      </c>
      <c r="H22" s="9" t="n">
        <v>0</v>
      </c>
      <c r="I22" s="9"/>
      <c r="J22" s="30"/>
    </row>
    <row r="23" customFormat="false" ht="12.95" hidden="false" customHeight="true" outlineLevel="0" collapsed="false">
      <c r="A23" s="1" t="n">
        <v>28</v>
      </c>
      <c r="B23" s="34" t="n">
        <v>28522</v>
      </c>
      <c r="C23" s="9" t="n">
        <v>449000</v>
      </c>
      <c r="D23" s="58" t="s">
        <v>41</v>
      </c>
      <c r="E23" s="33" t="n">
        <f aca="false">IF(D23="totale",(C23/(A23*24))/F23,IF(D23="marché libre",(C23/(A23*24))/G23,"spécifier histo"))</f>
        <v>0.169797906456102</v>
      </c>
      <c r="F23" s="59" t="n">
        <v>3935</v>
      </c>
      <c r="G23" s="59" t="n">
        <f aca="false">F23-H23</f>
        <v>3935</v>
      </c>
      <c r="H23" s="9" t="n">
        <v>0</v>
      </c>
      <c r="I23" s="9"/>
      <c r="J23" s="30"/>
    </row>
    <row r="24" customFormat="false" ht="12.95" hidden="false" customHeight="true" outlineLevel="0" collapsed="false">
      <c r="A24" s="1" t="n">
        <v>31</v>
      </c>
      <c r="B24" s="31" t="n">
        <v>28550</v>
      </c>
      <c r="C24" s="9" t="n">
        <v>622000</v>
      </c>
      <c r="D24" s="58" t="s">
        <v>41</v>
      </c>
      <c r="E24" s="33" t="n">
        <f aca="false">IF(D24="totale",(C24/(A24*24))/F24,IF(D24="marché libre",(C24/(A24*24))/G24,"spécifier histo"))</f>
        <v>0.212457815851676</v>
      </c>
      <c r="F24" s="59" t="n">
        <v>3935</v>
      </c>
      <c r="G24" s="59" t="n">
        <f aca="false">F24-H24</f>
        <v>3935</v>
      </c>
      <c r="H24" s="9" t="n">
        <v>0</v>
      </c>
      <c r="I24" s="9"/>
      <c r="J24" s="30"/>
    </row>
    <row r="25" customFormat="false" ht="12.95" hidden="false" customHeight="true" outlineLevel="0" collapsed="false">
      <c r="A25" s="1" t="n">
        <v>30</v>
      </c>
      <c r="B25" s="34" t="n">
        <v>28581</v>
      </c>
      <c r="C25" s="9" t="n">
        <v>682000</v>
      </c>
      <c r="D25" s="58" t="s">
        <v>41</v>
      </c>
      <c r="E25" s="33" t="n">
        <f aca="false">IF(D25="totale",(C25/(A25*24))/F25,IF(D25="marché libre",(C25/(A25*24))/G25,"spécifier histo"))</f>
        <v>0.240717210221657</v>
      </c>
      <c r="F25" s="59" t="n">
        <v>3935</v>
      </c>
      <c r="G25" s="59" t="n">
        <f aca="false">F25-H25</f>
        <v>3935</v>
      </c>
      <c r="H25" s="9" t="n">
        <v>0</v>
      </c>
      <c r="I25" s="9"/>
      <c r="J25" s="30"/>
    </row>
    <row r="26" customFormat="false" ht="12.95" hidden="false" customHeight="true" outlineLevel="0" collapsed="false">
      <c r="A26" s="1" t="n">
        <v>31</v>
      </c>
      <c r="B26" s="31" t="n">
        <v>28611</v>
      </c>
      <c r="C26" s="9" t="n">
        <v>2282000</v>
      </c>
      <c r="D26" s="58" t="s">
        <v>41</v>
      </c>
      <c r="E26" s="33" t="n">
        <f aca="false">IF(D26="totale",(C26/(A26*24))/F26,IF(D26="marché libre",(C26/(A26*24))/G26,"spécifier histo"))</f>
        <v>0.779467420857756</v>
      </c>
      <c r="F26" s="59" t="n">
        <v>3935</v>
      </c>
      <c r="G26" s="59" t="n">
        <f aca="false">F26-H26</f>
        <v>3935</v>
      </c>
      <c r="H26" s="9" t="n">
        <v>0</v>
      </c>
      <c r="I26" s="9"/>
      <c r="J26" s="30"/>
    </row>
    <row r="27" customFormat="false" ht="12.95" hidden="false" customHeight="true" outlineLevel="0" collapsed="false">
      <c r="A27" s="1" t="n">
        <v>30</v>
      </c>
      <c r="B27" s="34" t="n">
        <v>28642</v>
      </c>
      <c r="C27" s="9" t="n">
        <v>3099000</v>
      </c>
      <c r="D27" s="58" t="s">
        <v>41</v>
      </c>
      <c r="E27" s="33" t="n">
        <f aca="false">IF(D27="totale",(C27/(A27*24))/F27,IF(D27="marché libre",(C27/(A27*24))/G27,"spécifier histo"))</f>
        <v>1.09381617958492</v>
      </c>
      <c r="F27" s="59" t="n">
        <v>3935</v>
      </c>
      <c r="G27" s="59" t="n">
        <f aca="false">F27-H27</f>
        <v>3935</v>
      </c>
      <c r="H27" s="9" t="n">
        <v>0</v>
      </c>
      <c r="I27" s="9"/>
      <c r="J27" s="30"/>
    </row>
    <row r="28" customFormat="false" ht="12.95" hidden="false" customHeight="true" outlineLevel="0" collapsed="false">
      <c r="A28" s="1" t="n">
        <v>31</v>
      </c>
      <c r="B28" s="31" t="n">
        <v>28672</v>
      </c>
      <c r="C28" s="9" t="n">
        <v>3458000</v>
      </c>
      <c r="D28" s="58" t="s">
        <v>41</v>
      </c>
      <c r="E28" s="33" t="n">
        <f aca="false">IF(D28="totale",(C28/(A28*24))/F28,IF(D28="marché libre",(C28/(A28*24))/G28,"spécifier histo"))</f>
        <v>1.18115615307893</v>
      </c>
      <c r="F28" s="59" t="n">
        <v>3935</v>
      </c>
      <c r="G28" s="59" t="n">
        <f aca="false">F28-H28</f>
        <v>3935</v>
      </c>
      <c r="H28" s="9" t="n">
        <v>0</v>
      </c>
      <c r="I28" s="9"/>
      <c r="J28" s="30"/>
    </row>
    <row r="29" customFormat="false" ht="12.95" hidden="false" customHeight="true" outlineLevel="0" collapsed="false">
      <c r="A29" s="1" t="n">
        <v>31</v>
      </c>
      <c r="B29" s="34" t="n">
        <v>28703</v>
      </c>
      <c r="C29" s="9" t="n">
        <v>2957000</v>
      </c>
      <c r="D29" s="58" t="s">
        <v>41</v>
      </c>
      <c r="E29" s="33" t="n">
        <f aca="false">IF(D29="totale",(C29/(A29*24))/F29,IF(D29="marché libre",(C29/(A29*24))/G29,"spécifier histo"))</f>
        <v>1.01002855542348</v>
      </c>
      <c r="F29" s="59" t="n">
        <v>3935</v>
      </c>
      <c r="G29" s="59" t="n">
        <f aca="false">F29-H29</f>
        <v>3935</v>
      </c>
      <c r="H29" s="9" t="n">
        <v>0</v>
      </c>
      <c r="I29" s="9"/>
      <c r="J29" s="30"/>
    </row>
    <row r="30" customFormat="false" ht="12.95" hidden="false" customHeight="true" outlineLevel="0" collapsed="false">
      <c r="A30" s="1" t="n">
        <v>30</v>
      </c>
      <c r="B30" s="31" t="n">
        <v>28734</v>
      </c>
      <c r="C30" s="9" t="n">
        <v>1812000</v>
      </c>
      <c r="D30" s="58" t="s">
        <v>41</v>
      </c>
      <c r="E30" s="33" t="n">
        <f aca="false">IF(D30="totale",(C30/(A30*24))/F30,IF(D30="marché libre",(C30/(A30*24))/G30,"spécifier histo"))</f>
        <v>0.639559508682761</v>
      </c>
      <c r="F30" s="59" t="n">
        <v>3935</v>
      </c>
      <c r="G30" s="59" t="n">
        <f aca="false">F30-H30</f>
        <v>3935</v>
      </c>
      <c r="H30" s="9" t="n">
        <v>0</v>
      </c>
      <c r="I30" s="9"/>
      <c r="J30" s="30"/>
    </row>
    <row r="31" customFormat="false" ht="12.95" hidden="false" customHeight="true" outlineLevel="0" collapsed="false">
      <c r="A31" s="1" t="n">
        <v>31</v>
      </c>
      <c r="B31" s="34" t="n">
        <v>28764</v>
      </c>
      <c r="C31" s="9" t="n">
        <v>1262000</v>
      </c>
      <c r="D31" s="58" t="s">
        <v>41</v>
      </c>
      <c r="E31" s="33" t="n">
        <f aca="false">IF(D31="totale",(C31/(A31*24))/F31,IF(D31="marché libre",(C31/(A31*24))/G31,"spécifier histo"))</f>
        <v>0.431063928625104</v>
      </c>
      <c r="F31" s="59" t="n">
        <v>3935</v>
      </c>
      <c r="G31" s="59" t="n">
        <f aca="false">F31-H31</f>
        <v>3935</v>
      </c>
      <c r="H31" s="9" t="n">
        <v>0</v>
      </c>
      <c r="I31" s="9"/>
      <c r="J31" s="30"/>
    </row>
    <row r="32" customFormat="false" ht="12.95" hidden="false" customHeight="true" outlineLevel="0" collapsed="false">
      <c r="A32" s="1" t="n">
        <v>30</v>
      </c>
      <c r="B32" s="31" t="n">
        <v>28795</v>
      </c>
      <c r="C32" s="9" t="n">
        <v>690000</v>
      </c>
      <c r="D32" s="58" t="s">
        <v>41</v>
      </c>
      <c r="E32" s="33" t="n">
        <f aca="false">IF(D32="totale",(C32/(A32*24))/F32,IF(D32="marché libre",(C32/(A32*24))/G32,"spécifier histo"))</f>
        <v>0.243540872511648</v>
      </c>
      <c r="F32" s="59" t="n">
        <v>3935</v>
      </c>
      <c r="G32" s="59" t="n">
        <f aca="false">F32-H32</f>
        <v>3935</v>
      </c>
      <c r="H32" s="9" t="n">
        <v>0</v>
      </c>
      <c r="I32" s="9"/>
      <c r="J32" s="30"/>
    </row>
    <row r="33" customFormat="false" ht="12.95" hidden="false" customHeight="true" outlineLevel="0" collapsed="false">
      <c r="A33" s="1" t="n">
        <v>31</v>
      </c>
      <c r="B33" s="34" t="n">
        <v>28825</v>
      </c>
      <c r="C33" s="9" t="n">
        <v>652000</v>
      </c>
      <c r="D33" s="58" t="s">
        <v>41</v>
      </c>
      <c r="E33" s="33" t="n">
        <f aca="false">IF(D33="totale",(C33/(A33*24))/F33,IF(D33="marché libre",(C33/(A33*24))/G33,"spécifier histo"))</f>
        <v>0.22270497738793</v>
      </c>
      <c r="F33" s="59" t="n">
        <v>3935</v>
      </c>
      <c r="G33" s="59" t="n">
        <f aca="false">F33-H33</f>
        <v>3935</v>
      </c>
      <c r="H33" s="9" t="n">
        <v>0</v>
      </c>
      <c r="I33" s="9"/>
      <c r="J33" s="30"/>
    </row>
    <row r="34" customFormat="false" ht="12.95" hidden="false" customHeight="true" outlineLevel="0" collapsed="false">
      <c r="A34" s="1" t="n">
        <v>31</v>
      </c>
      <c r="B34" s="31" t="n">
        <v>28856</v>
      </c>
      <c r="C34" s="9" t="n">
        <v>637000</v>
      </c>
      <c r="D34" s="58" t="s">
        <v>41</v>
      </c>
      <c r="E34" s="33" t="n">
        <f aca="false">IF(D34="totale",(C34/(A34*24))/F34,IF(D34="marché libre",(C34/(A34*24))/G34,"spécifier histo"))</f>
        <v>0.217581396619803</v>
      </c>
      <c r="F34" s="59" t="n">
        <v>3935</v>
      </c>
      <c r="G34" s="59" t="n">
        <f aca="false">F34-H34</f>
        <v>3935</v>
      </c>
      <c r="H34" s="9" t="n">
        <v>0</v>
      </c>
      <c r="I34" s="9"/>
      <c r="J34" s="30"/>
    </row>
    <row r="35" customFormat="false" ht="12.95" hidden="false" customHeight="true" outlineLevel="0" collapsed="false">
      <c r="A35" s="1" t="n">
        <v>28</v>
      </c>
      <c r="B35" s="34" t="n">
        <v>28887</v>
      </c>
      <c r="C35" s="9" t="n">
        <v>748000</v>
      </c>
      <c r="D35" s="58" t="s">
        <v>41</v>
      </c>
      <c r="E35" s="33" t="n">
        <f aca="false">IF(D35="totale",(C35/(A35*24))/F35,IF(D35="marché libre",(C35/(A35*24))/G35,"spécifier histo"))</f>
        <v>0.282870454407938</v>
      </c>
      <c r="F35" s="59" t="n">
        <v>3935</v>
      </c>
      <c r="G35" s="59" t="n">
        <f aca="false">F35-H35</f>
        <v>3935</v>
      </c>
      <c r="H35" s="9" t="n">
        <v>0</v>
      </c>
      <c r="I35" s="9"/>
      <c r="J35" s="30"/>
    </row>
    <row r="36" customFormat="false" ht="12.95" hidden="false" customHeight="true" outlineLevel="0" collapsed="false">
      <c r="A36" s="1" t="n">
        <v>31</v>
      </c>
      <c r="B36" s="31" t="n">
        <v>28915</v>
      </c>
      <c r="C36" s="9" t="n">
        <v>730000</v>
      </c>
      <c r="D36" s="58" t="s">
        <v>41</v>
      </c>
      <c r="E36" s="33" t="n">
        <f aca="false">IF(D36="totale",(C36/(A36*24))/F36,IF(D36="marché libre",(C36/(A36*24))/G36,"spécifier histo"))</f>
        <v>0.249347597382192</v>
      </c>
      <c r="F36" s="59" t="n">
        <v>3935</v>
      </c>
      <c r="G36" s="59" t="n">
        <f aca="false">F36-H36</f>
        <v>3935</v>
      </c>
      <c r="H36" s="9" t="n">
        <v>0</v>
      </c>
      <c r="I36" s="9"/>
      <c r="J36" s="30"/>
    </row>
    <row r="37" customFormat="false" ht="12.95" hidden="false" customHeight="true" outlineLevel="0" collapsed="false">
      <c r="A37" s="1" t="n">
        <v>30</v>
      </c>
      <c r="B37" s="34" t="n">
        <v>28946</v>
      </c>
      <c r="C37" s="9" t="n">
        <v>782000</v>
      </c>
      <c r="D37" s="58" t="s">
        <v>41</v>
      </c>
      <c r="E37" s="33" t="n">
        <f aca="false">IF(D37="totale",(C37/(A37*24))/F37,IF(D37="marché libre",(C37/(A37*24))/G37,"spécifier histo"))</f>
        <v>0.276012988846534</v>
      </c>
      <c r="F37" s="59" t="n">
        <v>3935</v>
      </c>
      <c r="G37" s="59" t="n">
        <f aca="false">F37-H37</f>
        <v>3935</v>
      </c>
      <c r="H37" s="9" t="n">
        <v>0</v>
      </c>
      <c r="I37" s="9"/>
      <c r="J37" s="30"/>
    </row>
    <row r="38" customFormat="false" ht="12.95" hidden="false" customHeight="true" outlineLevel="0" collapsed="false">
      <c r="A38" s="1" t="n">
        <v>31</v>
      </c>
      <c r="B38" s="31" t="n">
        <v>28976</v>
      </c>
      <c r="C38" s="9" t="n">
        <v>2532000</v>
      </c>
      <c r="D38" s="58" t="s">
        <v>41</v>
      </c>
      <c r="E38" s="33" t="n">
        <f aca="false">IF(D38="totale",(C38/(A38*24))/F38,IF(D38="marché libre",(C38/(A38*24))/G38,"spécifier histo"))</f>
        <v>0.864860433659876</v>
      </c>
      <c r="F38" s="59" t="n">
        <v>3935</v>
      </c>
      <c r="G38" s="59" t="n">
        <f aca="false">F38-H38</f>
        <v>3935</v>
      </c>
      <c r="H38" s="9" t="n">
        <v>0</v>
      </c>
      <c r="I38" s="9"/>
      <c r="J38" s="30"/>
    </row>
    <row r="39" customFormat="false" ht="12.95" hidden="false" customHeight="true" outlineLevel="0" collapsed="false">
      <c r="A39" s="1" t="n">
        <v>30</v>
      </c>
      <c r="B39" s="34" t="n">
        <v>29007</v>
      </c>
      <c r="C39" s="9" t="n">
        <v>3294000</v>
      </c>
      <c r="D39" s="58" t="s">
        <v>41</v>
      </c>
      <c r="E39" s="33" t="n">
        <f aca="false">IF(D39="totale",(C39/(A39*24))/F39,IF(D39="marché libre",(C39/(A39*24))/G39,"spécifier histo"))</f>
        <v>1.16264294790343</v>
      </c>
      <c r="F39" s="59" t="n">
        <v>3935</v>
      </c>
      <c r="G39" s="59" t="n">
        <f aca="false">F39-H39</f>
        <v>3935</v>
      </c>
      <c r="H39" s="9" t="n">
        <v>0</v>
      </c>
      <c r="I39" s="9"/>
      <c r="J39" s="30"/>
    </row>
    <row r="40" customFormat="false" ht="12.95" hidden="false" customHeight="true" outlineLevel="0" collapsed="false">
      <c r="A40" s="1" t="n">
        <v>31</v>
      </c>
      <c r="B40" s="31" t="n">
        <v>29037</v>
      </c>
      <c r="C40" s="9" t="n">
        <v>2455000</v>
      </c>
      <c r="D40" s="58" t="s">
        <v>41</v>
      </c>
      <c r="E40" s="33" t="n">
        <f aca="false">IF(D40="totale",(C40/(A40*24))/F40,IF(D40="marché libre",(C40/(A40*24))/G40,"spécifier histo"))</f>
        <v>0.838559385716823</v>
      </c>
      <c r="F40" s="59" t="n">
        <v>3935</v>
      </c>
      <c r="G40" s="59" t="n">
        <f aca="false">F40-H40</f>
        <v>3935</v>
      </c>
      <c r="H40" s="9" t="n">
        <v>0</v>
      </c>
      <c r="I40" s="9"/>
      <c r="J40" s="30"/>
    </row>
    <row r="41" customFormat="false" ht="12.95" hidden="false" customHeight="true" outlineLevel="0" collapsed="false">
      <c r="A41" s="1" t="n">
        <v>31</v>
      </c>
      <c r="B41" s="34" t="n">
        <v>29068</v>
      </c>
      <c r="C41" s="9" t="n">
        <v>2649000</v>
      </c>
      <c r="D41" s="58" t="s">
        <v>41</v>
      </c>
      <c r="E41" s="33" t="n">
        <f aca="false">IF(D41="totale",(C41/(A41*24))/F41,IF(D41="marché libre",(C41/(A41*24))/G41,"spécifier histo"))</f>
        <v>0.904824363651269</v>
      </c>
      <c r="F41" s="59" t="n">
        <v>3935</v>
      </c>
      <c r="G41" s="59" t="n">
        <f aca="false">F41-H41</f>
        <v>3935</v>
      </c>
      <c r="H41" s="9" t="n">
        <v>0</v>
      </c>
      <c r="I41" s="9"/>
      <c r="J41" s="30"/>
    </row>
    <row r="42" customFormat="false" ht="12.95" hidden="false" customHeight="true" outlineLevel="0" collapsed="false">
      <c r="A42" s="1" t="n">
        <v>30</v>
      </c>
      <c r="B42" s="31" t="n">
        <v>29099</v>
      </c>
      <c r="C42" s="9" t="n">
        <v>1989000</v>
      </c>
      <c r="D42" s="58" t="s">
        <v>41</v>
      </c>
      <c r="E42" s="33" t="n">
        <f aca="false">IF(D42="totale",(C42/(A42*24))/F42,IF(D42="marché libre",(C42/(A42*24))/G42,"spécifier histo"))</f>
        <v>0.702033036848793</v>
      </c>
      <c r="F42" s="59" t="n">
        <v>3935</v>
      </c>
      <c r="G42" s="59" t="n">
        <f aca="false">F42-H42</f>
        <v>3935</v>
      </c>
      <c r="H42" s="9" t="n">
        <v>0</v>
      </c>
      <c r="I42" s="9"/>
      <c r="J42" s="30"/>
    </row>
    <row r="43" customFormat="false" ht="12.95" hidden="false" customHeight="true" outlineLevel="0" collapsed="false">
      <c r="A43" s="1" t="n">
        <v>31</v>
      </c>
      <c r="B43" s="34" t="n">
        <v>29129</v>
      </c>
      <c r="C43" s="9" t="n">
        <v>1473000</v>
      </c>
      <c r="D43" s="58" t="s">
        <v>41</v>
      </c>
      <c r="E43" s="33" t="n">
        <f aca="false">IF(D43="totale",(C43/(A43*24))/F43,IF(D43="marché libre",(C43/(A43*24))/G43,"spécifier histo"))</f>
        <v>0.503135631430094</v>
      </c>
      <c r="F43" s="59" t="n">
        <v>3935</v>
      </c>
      <c r="G43" s="59" t="n">
        <f aca="false">F43-H43</f>
        <v>3935</v>
      </c>
      <c r="H43" s="9" t="n">
        <v>0</v>
      </c>
      <c r="I43" s="9"/>
      <c r="J43" s="30"/>
    </row>
    <row r="44" customFormat="false" ht="12.95" hidden="false" customHeight="true" outlineLevel="0" collapsed="false">
      <c r="A44" s="1" t="n">
        <v>30</v>
      </c>
      <c r="B44" s="31" t="n">
        <v>29160</v>
      </c>
      <c r="C44" s="9" t="n">
        <v>1191000</v>
      </c>
      <c r="D44" s="58" t="s">
        <v>41</v>
      </c>
      <c r="E44" s="33" t="n">
        <f aca="false">IF(D44="totale",(C44/(A44*24))/F44,IF(D44="marché libre",(C44/(A44*24))/G44,"spécifier histo"))</f>
        <v>0.420372723422279</v>
      </c>
      <c r="F44" s="59" t="n">
        <v>3935</v>
      </c>
      <c r="G44" s="59" t="n">
        <f aca="false">F44-H44</f>
        <v>3935</v>
      </c>
      <c r="H44" s="9" t="n">
        <v>0</v>
      </c>
      <c r="I44" s="9"/>
      <c r="J44" s="30"/>
    </row>
    <row r="45" customFormat="false" ht="12.95" hidden="false" customHeight="true" outlineLevel="0" collapsed="false">
      <c r="A45" s="1" t="n">
        <v>31</v>
      </c>
      <c r="B45" s="34" t="n">
        <v>29190</v>
      </c>
      <c r="C45" s="9" t="n">
        <v>1522000</v>
      </c>
      <c r="D45" s="58" t="s">
        <v>41</v>
      </c>
      <c r="E45" s="33" t="n">
        <f aca="false">IF(D45="totale",(C45/(A45*24))/F45,IF(D45="marché libre",(C45/(A45*24))/G45,"spécifier histo"))</f>
        <v>0.51987266193931</v>
      </c>
      <c r="F45" s="59" t="n">
        <v>3935</v>
      </c>
      <c r="G45" s="59" t="n">
        <f aca="false">F45-H45</f>
        <v>3935</v>
      </c>
      <c r="H45" s="9" t="n">
        <v>0</v>
      </c>
      <c r="I45" s="9"/>
      <c r="J45" s="30"/>
    </row>
    <row r="46" customFormat="false" ht="12.95" hidden="false" customHeight="true" outlineLevel="0" collapsed="false">
      <c r="A46" s="1" t="n">
        <v>31</v>
      </c>
      <c r="B46" s="31" t="n">
        <v>29221</v>
      </c>
      <c r="C46" s="9" t="n">
        <v>793000</v>
      </c>
      <c r="D46" s="58" t="s">
        <v>41</v>
      </c>
      <c r="E46" s="33" t="n">
        <f aca="false">IF(D46="totale",(C46/(A46*24))/F46,IF(D46="marché libre",(C46/(A46*24))/G46,"spécifier histo"))</f>
        <v>0.270866636608326</v>
      </c>
      <c r="F46" s="59" t="n">
        <v>3935</v>
      </c>
      <c r="G46" s="59" t="n">
        <f aca="false">F46-H46</f>
        <v>3935</v>
      </c>
      <c r="H46" s="9" t="n">
        <v>0</v>
      </c>
      <c r="I46" s="9"/>
      <c r="J46" s="30"/>
    </row>
    <row r="47" customFormat="false" ht="12.95" hidden="false" customHeight="true" outlineLevel="0" collapsed="false">
      <c r="A47" s="1" t="n">
        <v>28</v>
      </c>
      <c r="B47" s="34" t="n">
        <v>29252</v>
      </c>
      <c r="C47" s="9" t="n">
        <v>942000</v>
      </c>
      <c r="D47" s="58" t="s">
        <v>41</v>
      </c>
      <c r="E47" s="33" t="n">
        <f aca="false">IF(D47="totale",(C47/(A47*24))/F47,IF(D47="marché libre",(C47/(A47*24))/G47,"spécifier histo"))</f>
        <v>0.356235251406789</v>
      </c>
      <c r="F47" s="59" t="n">
        <v>3935</v>
      </c>
      <c r="G47" s="59" t="n">
        <f aca="false">F47-H47</f>
        <v>3935</v>
      </c>
      <c r="H47" s="9" t="n">
        <v>0</v>
      </c>
      <c r="I47" s="9"/>
      <c r="J47" s="30"/>
    </row>
    <row r="48" customFormat="false" ht="12.95" hidden="false" customHeight="true" outlineLevel="0" collapsed="false">
      <c r="A48" s="1" t="n">
        <v>31</v>
      </c>
      <c r="B48" s="31" t="n">
        <v>29281</v>
      </c>
      <c r="C48" s="9" t="n">
        <v>860000</v>
      </c>
      <c r="D48" s="58" t="s">
        <v>41</v>
      </c>
      <c r="E48" s="33" t="n">
        <f aca="false">IF(D48="totale",(C48/(A48*24))/F48,IF(D48="marché libre",(C48/(A48*24))/G48,"spécifier histo"))</f>
        <v>0.293751964039294</v>
      </c>
      <c r="F48" s="59" t="n">
        <v>3935</v>
      </c>
      <c r="G48" s="59" t="n">
        <f aca="false">F48-H48</f>
        <v>3935</v>
      </c>
      <c r="H48" s="9" t="n">
        <v>0</v>
      </c>
      <c r="I48" s="9"/>
      <c r="J48" s="30"/>
    </row>
    <row r="49" customFormat="false" ht="12.95" hidden="false" customHeight="true" outlineLevel="0" collapsed="false">
      <c r="A49" s="1" t="n">
        <v>30</v>
      </c>
      <c r="B49" s="34" t="n">
        <v>29312</v>
      </c>
      <c r="C49" s="9" t="n">
        <v>1253000</v>
      </c>
      <c r="D49" s="58" t="s">
        <v>41</v>
      </c>
      <c r="E49" s="33" t="n">
        <f aca="false">IF(D49="totale",(C49/(A49*24))/F49,IF(D49="marché libre",(C49/(A49*24))/G49,"spécifier histo"))</f>
        <v>0.442256106169702</v>
      </c>
      <c r="F49" s="59" t="n">
        <v>3935</v>
      </c>
      <c r="G49" s="59" t="n">
        <f aca="false">F49-H49</f>
        <v>3935</v>
      </c>
      <c r="H49" s="9" t="n">
        <v>0</v>
      </c>
      <c r="I49" s="9"/>
      <c r="J49" s="30"/>
    </row>
    <row r="50" customFormat="false" ht="12.95" hidden="false" customHeight="true" outlineLevel="0" collapsed="false">
      <c r="A50" s="1" t="n">
        <v>31</v>
      </c>
      <c r="B50" s="31" t="n">
        <v>29342</v>
      </c>
      <c r="C50" s="9" t="n">
        <v>2712000</v>
      </c>
      <c r="D50" s="58" t="s">
        <v>41</v>
      </c>
      <c r="E50" s="33" t="n">
        <f aca="false">IF(D50="totale",(C50/(A50*24))/F50,IF(D50="marché libre",(C50/(A50*24))/G50,"spécifier histo"))</f>
        <v>0.926343402877403</v>
      </c>
      <c r="F50" s="59" t="n">
        <v>3935</v>
      </c>
      <c r="G50" s="59" t="n">
        <f aca="false">F50-H50</f>
        <v>3935</v>
      </c>
      <c r="H50" s="9" t="n">
        <v>0</v>
      </c>
      <c r="I50" s="9"/>
      <c r="J50" s="30"/>
    </row>
    <row r="51" customFormat="false" ht="12.95" hidden="false" customHeight="true" outlineLevel="0" collapsed="false">
      <c r="A51" s="1" t="n">
        <v>30</v>
      </c>
      <c r="B51" s="34" t="n">
        <v>29373</v>
      </c>
      <c r="C51" s="9" t="n">
        <v>3065000</v>
      </c>
      <c r="D51" s="58" t="s">
        <v>41</v>
      </c>
      <c r="E51" s="33" t="n">
        <f aca="false">IF(D51="totale",(C51/(A51*24))/F51,IF(D51="marché libre",(C51/(A51*24))/G51,"spécifier histo"))</f>
        <v>1.08181561485246</v>
      </c>
      <c r="F51" s="59" t="n">
        <v>3935</v>
      </c>
      <c r="G51" s="59" t="n">
        <f aca="false">F51-H51</f>
        <v>3935</v>
      </c>
      <c r="H51" s="9" t="n">
        <v>0</v>
      </c>
      <c r="I51" s="9"/>
      <c r="J51" s="30"/>
    </row>
    <row r="52" customFormat="false" ht="12.95" hidden="false" customHeight="true" outlineLevel="0" collapsed="false">
      <c r="A52" s="1" t="n">
        <v>31</v>
      </c>
      <c r="B52" s="31" t="n">
        <v>29403</v>
      </c>
      <c r="C52" s="9" t="n">
        <v>2943000</v>
      </c>
      <c r="D52" s="58" t="s">
        <v>41</v>
      </c>
      <c r="E52" s="33" t="n">
        <f aca="false">IF(D52="totale",(C52/(A52*24))/F52,IF(D52="marché libre",(C52/(A52*24))/G52,"spécifier histo"))</f>
        <v>1.00524654670656</v>
      </c>
      <c r="F52" s="59" t="n">
        <v>3935</v>
      </c>
      <c r="G52" s="59" t="n">
        <f aca="false">F52-H52</f>
        <v>3935</v>
      </c>
      <c r="H52" s="9" t="n">
        <v>0</v>
      </c>
      <c r="I52" s="9"/>
      <c r="J52" s="30"/>
    </row>
    <row r="53" customFormat="false" ht="12.95" hidden="false" customHeight="true" outlineLevel="0" collapsed="false">
      <c r="A53" s="1" t="n">
        <v>31</v>
      </c>
      <c r="B53" s="34" t="n">
        <v>29434</v>
      </c>
      <c r="C53" s="9" t="n">
        <v>2892000</v>
      </c>
      <c r="D53" s="58" t="s">
        <v>41</v>
      </c>
      <c r="E53" s="33" t="n">
        <f aca="false">IF(D53="totale",(C53/(A53*24))/F53,IF(D53="marché libre",(C53/(A53*24))/G53,"spécifier histo"))</f>
        <v>0.98782637209493</v>
      </c>
      <c r="F53" s="59" t="n">
        <v>3935</v>
      </c>
      <c r="G53" s="59" t="n">
        <f aca="false">F53-H53</f>
        <v>3935</v>
      </c>
      <c r="H53" s="9" t="n">
        <v>0</v>
      </c>
      <c r="I53" s="9"/>
      <c r="J53" s="30"/>
    </row>
    <row r="54" customFormat="false" ht="12.95" hidden="false" customHeight="true" outlineLevel="0" collapsed="false">
      <c r="A54" s="1" t="n">
        <v>30</v>
      </c>
      <c r="B54" s="31" t="n">
        <v>29465</v>
      </c>
      <c r="C54" s="9" t="n">
        <v>2000000</v>
      </c>
      <c r="D54" s="58" t="s">
        <v>41</v>
      </c>
      <c r="E54" s="33" t="n">
        <f aca="false">IF(D54="totale",(C54/(A54*24))/F54,IF(D54="marché libre",(C54/(A54*24))/G54,"spécifier histo"))</f>
        <v>0.705915572497529</v>
      </c>
      <c r="F54" s="59" t="n">
        <v>3935</v>
      </c>
      <c r="G54" s="59" t="n">
        <f aca="false">F54-H54</f>
        <v>3935</v>
      </c>
      <c r="H54" s="9" t="n">
        <v>0</v>
      </c>
      <c r="I54" s="9"/>
      <c r="J54" s="30"/>
    </row>
    <row r="55" customFormat="false" ht="12.95" hidden="false" customHeight="true" outlineLevel="0" collapsed="false">
      <c r="A55" s="1" t="n">
        <v>31</v>
      </c>
      <c r="B55" s="34" t="n">
        <v>29495</v>
      </c>
      <c r="C55" s="9" t="n">
        <v>1777000</v>
      </c>
      <c r="D55" s="58" t="s">
        <v>41</v>
      </c>
      <c r="E55" s="33" t="n">
        <f aca="false">IF(D55="totale",(C55/(A55*24))/F55,IF(D55="marché libre",(C55/(A55*24))/G55,"spécifier histo"))</f>
        <v>0.606973534997472</v>
      </c>
      <c r="F55" s="59" t="n">
        <v>3935</v>
      </c>
      <c r="G55" s="59" t="n">
        <f aca="false">F55-H55</f>
        <v>3935</v>
      </c>
      <c r="H55" s="9" t="n">
        <v>0</v>
      </c>
      <c r="I55" s="9"/>
      <c r="J55" s="30"/>
    </row>
    <row r="56" customFormat="false" ht="12.95" hidden="false" customHeight="true" outlineLevel="0" collapsed="false">
      <c r="A56" s="1" t="n">
        <v>30</v>
      </c>
      <c r="B56" s="31" t="n">
        <v>29526</v>
      </c>
      <c r="C56" s="9" t="n">
        <v>968000</v>
      </c>
      <c r="D56" s="58" t="s">
        <v>41</v>
      </c>
      <c r="E56" s="33" t="n">
        <f aca="false">IF(D56="totale",(C56/(A56*24))/F56,IF(D56="marché libre",(C56/(A56*24))/G56,"spécifier histo"))</f>
        <v>0.341663137088804</v>
      </c>
      <c r="F56" s="59" t="n">
        <v>3935</v>
      </c>
      <c r="G56" s="59" t="n">
        <f aca="false">F56-H56</f>
        <v>3935</v>
      </c>
      <c r="H56" s="9" t="n">
        <v>0</v>
      </c>
      <c r="I56" s="9"/>
      <c r="J56" s="30"/>
    </row>
    <row r="57" customFormat="false" ht="12.95" hidden="false" customHeight="true" outlineLevel="0" collapsed="false">
      <c r="A57" s="1" t="n">
        <v>31</v>
      </c>
      <c r="B57" s="34" t="n">
        <v>29556</v>
      </c>
      <c r="C57" s="9" t="n">
        <v>641000</v>
      </c>
      <c r="D57" s="58" t="s">
        <v>41</v>
      </c>
      <c r="E57" s="33" t="n">
        <f aca="false">IF(D57="totale",(C57/(A57*24))/F57,IF(D57="marché libre",(C57/(A57*24))/G57,"spécifier histo"))</f>
        <v>0.218947684824637</v>
      </c>
      <c r="F57" s="59" t="n">
        <v>3935</v>
      </c>
      <c r="G57" s="59" t="n">
        <f aca="false">F57-H57</f>
        <v>3935</v>
      </c>
      <c r="H57" s="9" t="n">
        <v>0</v>
      </c>
      <c r="I57" s="9"/>
      <c r="J57" s="30"/>
    </row>
    <row r="58" customFormat="false" ht="12.95" hidden="false" customHeight="true" outlineLevel="0" collapsed="false">
      <c r="A58" s="1" t="n">
        <v>31</v>
      </c>
      <c r="B58" s="31" t="n">
        <v>29587</v>
      </c>
      <c r="C58" s="9" t="n">
        <v>470000</v>
      </c>
      <c r="D58" s="58" t="s">
        <v>41</v>
      </c>
      <c r="E58" s="33" t="n">
        <f aca="false">IF(D58="totale",(C58/(A58*24))/F58,IF(D58="marché libre",(C58/(A58*24))/G58,"spécifier histo"))</f>
        <v>0.160538864067987</v>
      </c>
      <c r="F58" s="59" t="n">
        <v>3935</v>
      </c>
      <c r="G58" s="59" t="n">
        <f aca="false">F58-H58</f>
        <v>3935</v>
      </c>
      <c r="H58" s="9" t="n">
        <v>0</v>
      </c>
      <c r="I58" s="9"/>
      <c r="J58" s="30"/>
    </row>
    <row r="59" customFormat="false" ht="12.95" hidden="false" customHeight="true" outlineLevel="0" collapsed="false">
      <c r="A59" s="1" t="n">
        <v>28</v>
      </c>
      <c r="B59" s="34" t="n">
        <v>29618</v>
      </c>
      <c r="C59" s="9" t="n">
        <v>352000</v>
      </c>
      <c r="D59" s="58" t="s">
        <v>41</v>
      </c>
      <c r="E59" s="33" t="n">
        <f aca="false">IF(D59="totale",(C59/(A59*24))/F59,IF(D59="marché libre",(C59/(A59*24))/G59,"spécifier histo"))</f>
        <v>0.133115507956677</v>
      </c>
      <c r="F59" s="59" t="n">
        <v>3935</v>
      </c>
      <c r="G59" s="59" t="n">
        <f aca="false">F59-H59</f>
        <v>3935</v>
      </c>
      <c r="H59" s="9" t="n">
        <v>0</v>
      </c>
      <c r="I59" s="9"/>
      <c r="J59" s="30"/>
    </row>
    <row r="60" customFormat="false" ht="12.95" hidden="false" customHeight="true" outlineLevel="0" collapsed="false">
      <c r="A60" s="1" t="n">
        <v>31</v>
      </c>
      <c r="B60" s="31" t="n">
        <v>29646</v>
      </c>
      <c r="C60" s="9" t="n">
        <v>1035000</v>
      </c>
      <c r="D60" s="58" t="s">
        <v>41</v>
      </c>
      <c r="E60" s="33" t="n">
        <f aca="false">IF(D60="totale",(C60/(A60*24))/F60,IF(D60="marché libre",(C60/(A60*24))/G60,"spécifier histo"))</f>
        <v>0.353527073000779</v>
      </c>
      <c r="F60" s="59" t="n">
        <v>3935</v>
      </c>
      <c r="G60" s="59" t="n">
        <f aca="false">F60-H60</f>
        <v>3935</v>
      </c>
      <c r="H60" s="9" t="n">
        <v>0</v>
      </c>
      <c r="I60" s="9"/>
      <c r="J60" s="30"/>
    </row>
    <row r="61" customFormat="false" ht="12.95" hidden="false" customHeight="true" outlineLevel="0" collapsed="false">
      <c r="A61" s="1" t="n">
        <v>30</v>
      </c>
      <c r="B61" s="34" t="n">
        <v>29677</v>
      </c>
      <c r="C61" s="9" t="n">
        <v>1635000</v>
      </c>
      <c r="D61" s="58" t="s">
        <v>41</v>
      </c>
      <c r="E61" s="33" t="n">
        <f aca="false">IF(D61="totale",(C61/(A61*24))/F61,IF(D61="marché libre",(C61/(A61*24))/G61,"spécifier histo"))</f>
        <v>0.57708598051673</v>
      </c>
      <c r="F61" s="59" t="n">
        <v>3935</v>
      </c>
      <c r="G61" s="59" t="n">
        <f aca="false">F61-H61</f>
        <v>3935</v>
      </c>
      <c r="H61" s="9" t="n">
        <v>0</v>
      </c>
      <c r="I61" s="9"/>
      <c r="J61" s="30"/>
    </row>
    <row r="62" customFormat="false" ht="12.95" hidden="false" customHeight="true" outlineLevel="0" collapsed="false">
      <c r="A62" s="1" t="n">
        <v>31</v>
      </c>
      <c r="B62" s="31" t="n">
        <v>29707</v>
      </c>
      <c r="C62" s="9" t="n">
        <v>2081000</v>
      </c>
      <c r="D62" s="58" t="s">
        <v>41</v>
      </c>
      <c r="E62" s="33" t="n">
        <f aca="false">IF(D62="totale",(C62/(A62*24))/F62,IF(D62="marché libre",(C62/(A62*24))/G62,"spécifier histo"))</f>
        <v>0.710811438564851</v>
      </c>
      <c r="F62" s="59" t="n">
        <v>3935</v>
      </c>
      <c r="G62" s="59" t="n">
        <f aca="false">F62-H62</f>
        <v>3935</v>
      </c>
      <c r="H62" s="9" t="n">
        <v>0</v>
      </c>
      <c r="I62" s="9"/>
      <c r="J62" s="30"/>
    </row>
    <row r="63" customFormat="false" ht="12.95" hidden="false" customHeight="true" outlineLevel="0" collapsed="false">
      <c r="A63" s="1" t="n">
        <v>30</v>
      </c>
      <c r="B63" s="34" t="n">
        <v>29738</v>
      </c>
      <c r="C63" s="9" t="n">
        <v>2702000</v>
      </c>
      <c r="D63" s="58" t="s">
        <v>41</v>
      </c>
      <c r="E63" s="33" t="n">
        <f aca="false">IF(D63="totale",(C63/(A63*24))/F63,IF(D63="marché libre",(C63/(A63*24))/G63,"spécifier histo"))</f>
        <v>0.953691938444162</v>
      </c>
      <c r="F63" s="59" t="n">
        <v>3935</v>
      </c>
      <c r="G63" s="59" t="n">
        <f aca="false">F63-H63</f>
        <v>3935</v>
      </c>
      <c r="H63" s="9" t="n">
        <v>0</v>
      </c>
      <c r="I63" s="9"/>
      <c r="J63" s="30"/>
    </row>
    <row r="64" customFormat="false" ht="12.95" hidden="false" customHeight="true" outlineLevel="0" collapsed="false">
      <c r="A64" s="1" t="n">
        <v>31</v>
      </c>
      <c r="B64" s="31" t="n">
        <v>29768</v>
      </c>
      <c r="C64" s="9" t="n">
        <v>2926000</v>
      </c>
      <c r="D64" s="58" t="s">
        <v>41</v>
      </c>
      <c r="E64" s="33" t="n">
        <f aca="false">IF(D64="totale",(C64/(A64*24))/F64,IF(D64="marché libre",(C64/(A64*24))/G64,"spécifier histo"))</f>
        <v>0.999439821836018</v>
      </c>
      <c r="F64" s="59" t="n">
        <v>3935</v>
      </c>
      <c r="G64" s="59" t="n">
        <f aca="false">F64-H64</f>
        <v>3935</v>
      </c>
      <c r="H64" s="9" t="n">
        <v>0</v>
      </c>
      <c r="I64" s="9"/>
      <c r="J64" s="30"/>
    </row>
    <row r="65" customFormat="false" ht="12.95" hidden="false" customHeight="true" outlineLevel="0" collapsed="false">
      <c r="A65" s="1" t="n">
        <v>31</v>
      </c>
      <c r="B65" s="34" t="n">
        <v>29799</v>
      </c>
      <c r="C65" s="9" t="n">
        <v>1971000</v>
      </c>
      <c r="D65" s="58" t="s">
        <v>41</v>
      </c>
      <c r="E65" s="33" t="n">
        <f aca="false">IF(D65="totale",(C65/(A65*24))/F65,IF(D65="marché libre",(C65/(A65*24))/G65,"spécifier histo"))</f>
        <v>0.673238512931918</v>
      </c>
      <c r="F65" s="59" t="n">
        <v>3935</v>
      </c>
      <c r="G65" s="59" t="n">
        <f aca="false">F65-H65</f>
        <v>3935</v>
      </c>
      <c r="H65" s="9" t="n">
        <v>0</v>
      </c>
      <c r="I65" s="9"/>
      <c r="J65" s="30"/>
    </row>
    <row r="66" customFormat="false" ht="12.95" hidden="false" customHeight="true" outlineLevel="0" collapsed="false">
      <c r="A66" s="1" t="n">
        <v>30</v>
      </c>
      <c r="B66" s="31" t="n">
        <v>29830</v>
      </c>
      <c r="C66" s="9" t="n">
        <v>1392000</v>
      </c>
      <c r="D66" s="58" t="s">
        <v>41</v>
      </c>
      <c r="E66" s="33" t="n">
        <f aca="false">IF(D66="totale",(C66/(A66*24))/F66,IF(D66="marché libre",(C66/(A66*24))/G66,"spécifier histo"))</f>
        <v>0.49131723845828</v>
      </c>
      <c r="F66" s="59" t="n">
        <v>3935</v>
      </c>
      <c r="G66" s="59" t="n">
        <f aca="false">F66-H66</f>
        <v>3935</v>
      </c>
      <c r="H66" s="9" t="n">
        <v>0</v>
      </c>
      <c r="I66" s="9"/>
      <c r="J66" s="30"/>
    </row>
    <row r="67" customFormat="false" ht="12.95" hidden="false" customHeight="true" outlineLevel="0" collapsed="false">
      <c r="A67" s="1" t="n">
        <v>31</v>
      </c>
      <c r="B67" s="34" t="n">
        <v>29860</v>
      </c>
      <c r="C67" s="9" t="n">
        <v>1977000</v>
      </c>
      <c r="D67" s="58" t="s">
        <v>41</v>
      </c>
      <c r="E67" s="33" t="n">
        <f aca="false">IF(D67="totale",(C67/(A67*24))/F67,IF(D67="marché libre",(C67/(A67*24))/G67,"spécifier histo"))</f>
        <v>0.675287945239169</v>
      </c>
      <c r="F67" s="59" t="n">
        <v>3935</v>
      </c>
      <c r="G67" s="59" t="n">
        <f aca="false">F67-H67</f>
        <v>3935</v>
      </c>
      <c r="H67" s="9" t="n">
        <v>0</v>
      </c>
      <c r="I67" s="9"/>
      <c r="J67" s="30"/>
    </row>
    <row r="68" customFormat="false" ht="12.95" hidden="false" customHeight="true" outlineLevel="0" collapsed="false">
      <c r="A68" s="1" t="n">
        <v>30</v>
      </c>
      <c r="B68" s="31" t="n">
        <v>29891</v>
      </c>
      <c r="C68" s="9" t="n">
        <v>1074000</v>
      </c>
      <c r="D68" s="58" t="s">
        <v>41</v>
      </c>
      <c r="E68" s="33" t="n">
        <f aca="false">IF(D68="totale",(C68/(A68*24))/F68,IF(D68="marché libre",(C68/(A68*24))/G68,"spécifier histo"))</f>
        <v>0.379076662431173</v>
      </c>
      <c r="F68" s="59" t="n">
        <v>3935</v>
      </c>
      <c r="G68" s="59" t="n">
        <f aca="false">F68-H68</f>
        <v>3935</v>
      </c>
      <c r="H68" s="9" t="n">
        <v>0</v>
      </c>
      <c r="I68" s="9"/>
      <c r="J68" s="30"/>
    </row>
    <row r="69" customFormat="false" ht="12.95" hidden="false" customHeight="true" outlineLevel="0" collapsed="false">
      <c r="A69" s="1" t="n">
        <v>31</v>
      </c>
      <c r="B69" s="34" t="n">
        <v>29921</v>
      </c>
      <c r="C69" s="9" t="n">
        <v>730000</v>
      </c>
      <c r="D69" s="58" t="s">
        <v>41</v>
      </c>
      <c r="E69" s="33" t="n">
        <f aca="false">IF(D69="totale",(C69/(A69*24))/F69,IF(D69="marché libre",(C69/(A69*24))/G69,"spécifier histo"))</f>
        <v>0.249347597382192</v>
      </c>
      <c r="F69" s="59" t="n">
        <v>3935</v>
      </c>
      <c r="G69" s="59" t="n">
        <f aca="false">F69-H69</f>
        <v>3935</v>
      </c>
      <c r="H69" s="9" t="n">
        <v>0</v>
      </c>
      <c r="I69" s="9"/>
      <c r="J69" s="30"/>
    </row>
    <row r="70" customFormat="false" ht="12.95" hidden="false" customHeight="true" outlineLevel="0" collapsed="false">
      <c r="A70" s="1" t="n">
        <v>31</v>
      </c>
      <c r="B70" s="31" t="n">
        <v>29952</v>
      </c>
      <c r="C70" s="9" t="n">
        <v>725000</v>
      </c>
      <c r="D70" s="58" t="s">
        <v>41</v>
      </c>
      <c r="E70" s="33" t="n">
        <f aca="false">IF(D70="totale",(C70/(A70*24))/F70,IF(D70="marché libre",(C70/(A70*24))/G70,"spécifier histo"))</f>
        <v>0.247639737126149</v>
      </c>
      <c r="F70" s="59" t="n">
        <v>3935</v>
      </c>
      <c r="G70" s="59" t="n">
        <f aca="false">F70-H70</f>
        <v>3935</v>
      </c>
      <c r="H70" s="9" t="n">
        <v>0</v>
      </c>
      <c r="I70" s="9"/>
      <c r="J70" s="30"/>
    </row>
    <row r="71" customFormat="false" ht="12.95" hidden="false" customHeight="true" outlineLevel="0" collapsed="false">
      <c r="A71" s="1" t="n">
        <v>28</v>
      </c>
      <c r="B71" s="34" t="n">
        <v>29983</v>
      </c>
      <c r="C71" s="9" t="n">
        <v>401000</v>
      </c>
      <c r="D71" s="58" t="s">
        <v>41</v>
      </c>
      <c r="E71" s="33" t="n">
        <f aca="false">IF(D71="totale",(C71/(A71*24))/F71,IF(D71="marché libre",(C71/(A71*24))/G71,"spécifier histo"))</f>
        <v>0.151645791734737</v>
      </c>
      <c r="F71" s="59" t="n">
        <v>3935</v>
      </c>
      <c r="G71" s="59" t="n">
        <f aca="false">F71-H71</f>
        <v>3935</v>
      </c>
      <c r="H71" s="9" t="n">
        <v>0</v>
      </c>
      <c r="I71" s="9"/>
      <c r="J71" s="30"/>
    </row>
    <row r="72" customFormat="false" ht="12.95" hidden="false" customHeight="true" outlineLevel="0" collapsed="false">
      <c r="A72" s="1" t="n">
        <v>31</v>
      </c>
      <c r="B72" s="31" t="n">
        <v>30011</v>
      </c>
      <c r="C72" s="9" t="n">
        <v>337000</v>
      </c>
      <c r="D72" s="58" t="s">
        <v>41</v>
      </c>
      <c r="E72" s="33" t="n">
        <f aca="false">IF(D72="totale",(C72/(A72*24))/F72,IF(D72="marché libre",(C72/(A72*24))/G72,"spécifier histo"))</f>
        <v>0.115109781257258</v>
      </c>
      <c r="F72" s="59" t="n">
        <v>3935</v>
      </c>
      <c r="G72" s="59" t="n">
        <f aca="false">F72-H72</f>
        <v>3935</v>
      </c>
      <c r="H72" s="9" t="n">
        <v>0</v>
      </c>
      <c r="I72" s="9"/>
      <c r="J72" s="30"/>
    </row>
    <row r="73" customFormat="false" ht="12.95" hidden="false" customHeight="true" outlineLevel="0" collapsed="false">
      <c r="A73" s="1" t="n">
        <v>30</v>
      </c>
      <c r="B73" s="34" t="n">
        <v>30042</v>
      </c>
      <c r="C73" s="9" t="n">
        <v>936000</v>
      </c>
      <c r="D73" s="58" t="s">
        <v>41</v>
      </c>
      <c r="E73" s="33" t="n">
        <f aca="false">IF(D73="totale",(C73/(A73*24))/F73,IF(D73="marché libre",(C73/(A73*24))/G73,"spécifier histo"))</f>
        <v>0.330368487928844</v>
      </c>
      <c r="F73" s="59" t="n">
        <v>3935</v>
      </c>
      <c r="G73" s="59" t="n">
        <f aca="false">F73-H73</f>
        <v>3935</v>
      </c>
      <c r="H73" s="9" t="n">
        <v>0</v>
      </c>
      <c r="I73" s="9"/>
      <c r="J73" s="30"/>
    </row>
    <row r="74" customFormat="false" ht="12.95" hidden="false" customHeight="true" outlineLevel="0" collapsed="false">
      <c r="A74" s="1" t="n">
        <v>31</v>
      </c>
      <c r="B74" s="31" t="n">
        <v>30072</v>
      </c>
      <c r="C74" s="9" t="n">
        <v>2136000</v>
      </c>
      <c r="D74" s="58" t="s">
        <v>41</v>
      </c>
      <c r="E74" s="33" t="n">
        <f aca="false">IF(D74="totale",(C74/(A74*24))/F74,IF(D74="marché libre",(C74/(A74*24))/G74,"spécifier histo"))</f>
        <v>0.729597901381317</v>
      </c>
      <c r="F74" s="59" t="n">
        <v>3935</v>
      </c>
      <c r="G74" s="59" t="n">
        <f aca="false">F74-H74</f>
        <v>3935</v>
      </c>
      <c r="H74" s="9" t="n">
        <v>0</v>
      </c>
      <c r="I74" s="9"/>
      <c r="J74" s="30"/>
    </row>
    <row r="75" customFormat="false" ht="12.95" hidden="false" customHeight="true" outlineLevel="0" collapsed="false">
      <c r="A75" s="1" t="n">
        <v>30</v>
      </c>
      <c r="B75" s="34" t="n">
        <v>30103</v>
      </c>
      <c r="C75" s="9" t="n">
        <v>2849000</v>
      </c>
      <c r="D75" s="58" t="s">
        <v>41</v>
      </c>
      <c r="E75" s="33" t="n">
        <f aca="false">IF(D75="totale",(C75/(A75*24))/F75,IF(D75="marché libre",(C75/(A75*24))/G75,"spécifier histo"))</f>
        <v>1.00557673302273</v>
      </c>
      <c r="F75" s="59" t="n">
        <v>3935</v>
      </c>
      <c r="G75" s="59" t="n">
        <f aca="false">F75-H75</f>
        <v>3935</v>
      </c>
      <c r="H75" s="9" t="n">
        <v>0</v>
      </c>
      <c r="I75" s="9"/>
      <c r="J75" s="30"/>
    </row>
    <row r="76" customFormat="false" ht="12.95" hidden="false" customHeight="true" outlineLevel="0" collapsed="false">
      <c r="A76" s="1" t="n">
        <v>31</v>
      </c>
      <c r="B76" s="31" t="n">
        <v>30133</v>
      </c>
      <c r="C76" s="9" t="n">
        <v>2513000</v>
      </c>
      <c r="D76" s="58" t="s">
        <v>41</v>
      </c>
      <c r="E76" s="33" t="n">
        <f aca="false">IF(D76="totale",(C76/(A76*24))/F76,IF(D76="marché libre",(C76/(A76*24))/G76,"spécifier histo"))</f>
        <v>0.858370564686915</v>
      </c>
      <c r="F76" s="59" t="n">
        <v>3935</v>
      </c>
      <c r="G76" s="59" t="n">
        <f aca="false">F76-H76</f>
        <v>3935</v>
      </c>
      <c r="H76" s="9" t="n">
        <v>0</v>
      </c>
      <c r="I76" s="9"/>
      <c r="J76" s="30"/>
    </row>
    <row r="77" customFormat="false" ht="12.95" hidden="false" customHeight="true" outlineLevel="0" collapsed="false">
      <c r="A77" s="1" t="n">
        <v>31</v>
      </c>
      <c r="B77" s="34" t="n">
        <v>30164</v>
      </c>
      <c r="C77" s="9" t="n">
        <v>1834000</v>
      </c>
      <c r="D77" s="58" t="s">
        <v>41</v>
      </c>
      <c r="E77" s="33" t="n">
        <f aca="false">IF(D77="totale",(C77/(A77*24))/F77,IF(D77="marché libre",(C77/(A77*24))/G77,"spécifier histo"))</f>
        <v>0.626443141916356</v>
      </c>
      <c r="F77" s="59" t="n">
        <v>3935</v>
      </c>
      <c r="G77" s="59" t="n">
        <f aca="false">F77-H77</f>
        <v>3935</v>
      </c>
      <c r="H77" s="9" t="n">
        <v>0</v>
      </c>
      <c r="I77" s="9"/>
      <c r="J77" s="30"/>
    </row>
    <row r="78" customFormat="false" ht="12.95" hidden="false" customHeight="true" outlineLevel="0" collapsed="false">
      <c r="A78" s="1" t="n">
        <v>30</v>
      </c>
      <c r="B78" s="31" t="n">
        <v>30195</v>
      </c>
      <c r="C78" s="9" t="n">
        <v>1417000</v>
      </c>
      <c r="D78" s="58" t="s">
        <v>41</v>
      </c>
      <c r="E78" s="33" t="n">
        <f aca="false">IF(D78="totale",(C78/(A78*24))/F78,IF(D78="marché libre",(C78/(A78*24))/G78,"spécifier histo"))</f>
        <v>0.500141183114499</v>
      </c>
      <c r="F78" s="59" t="n">
        <v>3935</v>
      </c>
      <c r="G78" s="59" t="n">
        <f aca="false">F78-H78</f>
        <v>3935</v>
      </c>
      <c r="H78" s="9" t="n">
        <v>0</v>
      </c>
      <c r="I78" s="9"/>
      <c r="J78" s="30"/>
    </row>
    <row r="79" customFormat="false" ht="12.95" hidden="false" customHeight="true" outlineLevel="0" collapsed="false">
      <c r="A79" s="1" t="n">
        <v>31</v>
      </c>
      <c r="B79" s="34" t="n">
        <v>30225</v>
      </c>
      <c r="C79" s="9" t="n">
        <v>1731000</v>
      </c>
      <c r="D79" s="58" t="s">
        <v>41</v>
      </c>
      <c r="E79" s="33" t="n">
        <f aca="false">IF(D79="totale",(C79/(A79*24))/F79,IF(D79="marché libre",(C79/(A79*24))/G79,"spécifier histo"))</f>
        <v>0.591261220641882</v>
      </c>
      <c r="F79" s="59" t="n">
        <v>3935</v>
      </c>
      <c r="G79" s="59" t="n">
        <f aca="false">F79-H79</f>
        <v>3935</v>
      </c>
      <c r="H79" s="9" t="n">
        <v>0</v>
      </c>
      <c r="I79" s="9"/>
      <c r="J79" s="30"/>
    </row>
    <row r="80" customFormat="false" ht="12.95" hidden="false" customHeight="true" outlineLevel="0" collapsed="false">
      <c r="A80" s="1" t="n">
        <v>30</v>
      </c>
      <c r="B80" s="31" t="n">
        <v>30256</v>
      </c>
      <c r="C80" s="9" t="n">
        <v>1036000</v>
      </c>
      <c r="D80" s="58" t="s">
        <v>41</v>
      </c>
      <c r="E80" s="33" t="n">
        <f aca="false">IF(D80="totale",(C80/(A80*24))/F80,IF(D80="marché libre",(C80/(A80*24))/G80,"spécifier histo"))</f>
        <v>0.36566426655372</v>
      </c>
      <c r="F80" s="59" t="n">
        <v>3935</v>
      </c>
      <c r="G80" s="59" t="n">
        <f aca="false">F80-H80</f>
        <v>3935</v>
      </c>
      <c r="H80" s="9" t="n">
        <v>0</v>
      </c>
      <c r="I80" s="9"/>
      <c r="J80" s="30"/>
    </row>
    <row r="81" customFormat="false" ht="12.95" hidden="false" customHeight="true" outlineLevel="0" collapsed="false">
      <c r="A81" s="1" t="n">
        <v>31</v>
      </c>
      <c r="B81" s="34" t="n">
        <v>30286</v>
      </c>
      <c r="C81" s="9" t="n">
        <v>949000</v>
      </c>
      <c r="D81" s="58" t="s">
        <v>41</v>
      </c>
      <c r="E81" s="33" t="n">
        <f aca="false">IF(D81="totale",(C81/(A81*24))/F81,IF(D81="marché libre",(C81/(A81*24))/G81,"spécifier histo"))</f>
        <v>0.324151876596849</v>
      </c>
      <c r="F81" s="59" t="n">
        <v>3935</v>
      </c>
      <c r="G81" s="59" t="n">
        <f aca="false">F81-H81</f>
        <v>3935</v>
      </c>
      <c r="H81" s="9" t="n">
        <v>0</v>
      </c>
      <c r="I81" s="9"/>
      <c r="J81" s="30"/>
    </row>
    <row r="82" customFormat="false" ht="12.95" hidden="false" customHeight="true" outlineLevel="0" collapsed="false">
      <c r="A82" s="1" t="n">
        <v>31</v>
      </c>
      <c r="B82" s="31" t="n">
        <v>30317</v>
      </c>
      <c r="C82" s="9" t="n">
        <v>586000</v>
      </c>
      <c r="D82" s="58" t="s">
        <v>41</v>
      </c>
      <c r="E82" s="33" t="n">
        <f aca="false">IF(D82="totale",(C82/(A82*24))/F82,IF(D82="marché libre",(C82/(A82*24))/G82,"spécifier histo"))</f>
        <v>0.20016122200817</v>
      </c>
      <c r="F82" s="59" t="n">
        <v>3935</v>
      </c>
      <c r="G82" s="59" t="n">
        <f aca="false">F82-H82</f>
        <v>3935</v>
      </c>
      <c r="H82" s="9" t="n">
        <v>0</v>
      </c>
      <c r="I82" s="9"/>
      <c r="J82" s="30"/>
    </row>
    <row r="83" customFormat="false" ht="12.95" hidden="false" customHeight="true" outlineLevel="0" collapsed="false">
      <c r="A83" s="1" t="n">
        <v>28</v>
      </c>
      <c r="B83" s="34" t="n">
        <v>30348</v>
      </c>
      <c r="C83" s="9" t="n">
        <v>385000</v>
      </c>
      <c r="D83" s="58" t="s">
        <v>41</v>
      </c>
      <c r="E83" s="33" t="n">
        <f aca="false">IF(D83="totale",(C83/(A83*24))/F83,IF(D83="marché libre",(C83/(A83*24))/G83,"spécifier histo"))</f>
        <v>0.145595086827615</v>
      </c>
      <c r="F83" s="59" t="n">
        <v>3935</v>
      </c>
      <c r="G83" s="59" t="n">
        <f aca="false">F83-H83</f>
        <v>3935</v>
      </c>
      <c r="H83" s="9" t="n">
        <v>0</v>
      </c>
      <c r="I83" s="9"/>
      <c r="J83" s="30"/>
    </row>
    <row r="84" customFormat="false" ht="12.95" hidden="false" customHeight="true" outlineLevel="0" collapsed="false">
      <c r="A84" s="1" t="n">
        <v>31</v>
      </c>
      <c r="B84" s="31" t="n">
        <v>30376</v>
      </c>
      <c r="C84" s="9" t="n">
        <v>568000</v>
      </c>
      <c r="D84" s="58" t="s">
        <v>41</v>
      </c>
      <c r="E84" s="33" t="n">
        <f aca="false">IF(D84="totale",(C84/(A84*24))/F84,IF(D84="marché libre",(C84/(A84*24))/G84,"spécifier histo"))</f>
        <v>0.194012925086418</v>
      </c>
      <c r="F84" s="59" t="n">
        <v>3935</v>
      </c>
      <c r="G84" s="59" t="n">
        <f aca="false">F84-H84</f>
        <v>3935</v>
      </c>
      <c r="H84" s="9" t="n">
        <v>0</v>
      </c>
      <c r="I84" s="9"/>
      <c r="J84" s="30"/>
    </row>
    <row r="85" customFormat="false" ht="12.95" hidden="false" customHeight="true" outlineLevel="0" collapsed="false">
      <c r="A85" s="1" t="n">
        <v>30</v>
      </c>
      <c r="B85" s="34" t="n">
        <v>30407</v>
      </c>
      <c r="C85" s="9" t="n">
        <v>1341000</v>
      </c>
      <c r="D85" s="58" t="s">
        <v>41</v>
      </c>
      <c r="E85" s="33" t="n">
        <f aca="false">IF(D85="totale",(C85/(A85*24))/F85,IF(D85="marché libre",(C85/(A85*24))/G85,"spécifier histo"))</f>
        <v>0.473316391359593</v>
      </c>
      <c r="F85" s="59" t="n">
        <v>3935</v>
      </c>
      <c r="G85" s="59" t="n">
        <f aca="false">F85-H85</f>
        <v>3935</v>
      </c>
      <c r="H85" s="9" t="n">
        <v>0</v>
      </c>
      <c r="I85" s="9"/>
      <c r="J85" s="30"/>
    </row>
    <row r="86" customFormat="false" ht="12.95" hidden="false" customHeight="true" outlineLevel="0" collapsed="false">
      <c r="A86" s="1" t="n">
        <v>31</v>
      </c>
      <c r="B86" s="31" t="n">
        <v>30437</v>
      </c>
      <c r="C86" s="9" t="n">
        <v>2185000</v>
      </c>
      <c r="D86" s="58" t="s">
        <v>41</v>
      </c>
      <c r="E86" s="33" t="n">
        <f aca="false">IF(D86="totale",(C86/(A86*24))/F86,IF(D86="marché libre",(C86/(A86*24))/G86,"spécifier histo"))</f>
        <v>0.746334931890533</v>
      </c>
      <c r="F86" s="59" t="n">
        <v>3935</v>
      </c>
      <c r="G86" s="59" t="n">
        <f aca="false">F86-H86</f>
        <v>3935</v>
      </c>
      <c r="H86" s="9" t="n">
        <v>0</v>
      </c>
      <c r="I86" s="9"/>
      <c r="J86" s="30"/>
    </row>
    <row r="87" customFormat="false" ht="12.95" hidden="false" customHeight="true" outlineLevel="0" collapsed="false">
      <c r="A87" s="1" t="n">
        <v>30</v>
      </c>
      <c r="B87" s="34" t="n">
        <v>30468</v>
      </c>
      <c r="C87" s="9" t="n">
        <v>2823000</v>
      </c>
      <c r="D87" s="58" t="s">
        <v>41</v>
      </c>
      <c r="E87" s="33" t="n">
        <f aca="false">IF(D87="totale",(C87/(A87*24))/F87,IF(D87="marché libre",(C87/(A87*24))/G87,"spécifier histo"))</f>
        <v>0.996399830580263</v>
      </c>
      <c r="F87" s="59" t="n">
        <v>3935</v>
      </c>
      <c r="G87" s="59" t="n">
        <f aca="false">F87-H87</f>
        <v>3935</v>
      </c>
      <c r="H87" s="9" t="n">
        <v>0</v>
      </c>
      <c r="I87" s="9"/>
      <c r="J87" s="30"/>
    </row>
    <row r="88" customFormat="false" ht="12.95" hidden="false" customHeight="true" outlineLevel="0" collapsed="false">
      <c r="A88" s="1" t="n">
        <v>31</v>
      </c>
      <c r="B88" s="31" t="n">
        <v>30498</v>
      </c>
      <c r="C88" s="9" t="n">
        <v>3024000</v>
      </c>
      <c r="D88" s="58" t="s">
        <v>41</v>
      </c>
      <c r="E88" s="33" t="n">
        <f aca="false">IF(D88="totale",(C88/(A88*24))/F88,IF(D88="marché libre",(C88/(A88*24))/G88,"spécifier histo"))</f>
        <v>1.03291388285445</v>
      </c>
      <c r="F88" s="59" t="n">
        <v>3935</v>
      </c>
      <c r="G88" s="59" t="n">
        <f aca="false">F88-H88</f>
        <v>3935</v>
      </c>
      <c r="H88" s="9" t="n">
        <v>0</v>
      </c>
      <c r="I88" s="9"/>
      <c r="J88" s="30"/>
    </row>
    <row r="89" customFormat="false" ht="12.95" hidden="false" customHeight="true" outlineLevel="0" collapsed="false">
      <c r="A89" s="1" t="n">
        <v>31</v>
      </c>
      <c r="B89" s="34" t="n">
        <v>30529</v>
      </c>
      <c r="C89" s="9" t="n">
        <v>1853000</v>
      </c>
      <c r="D89" s="58" t="s">
        <v>41</v>
      </c>
      <c r="E89" s="33" t="n">
        <f aca="false">IF(D89="totale",(C89/(A89*24))/F89,IF(D89="marché libre",(C89/(A89*24))/G89,"spécifier histo"))</f>
        <v>0.632933010889317</v>
      </c>
      <c r="F89" s="59" t="n">
        <v>3935</v>
      </c>
      <c r="G89" s="59" t="n">
        <f aca="false">F89-H89</f>
        <v>3935</v>
      </c>
      <c r="H89" s="9" t="n">
        <v>0</v>
      </c>
      <c r="I89" s="9"/>
      <c r="J89" s="30"/>
    </row>
    <row r="90" customFormat="false" ht="12.95" hidden="false" customHeight="true" outlineLevel="0" collapsed="false">
      <c r="A90" s="1" t="n">
        <v>30</v>
      </c>
      <c r="B90" s="31" t="n">
        <v>30560</v>
      </c>
      <c r="C90" s="9" t="n">
        <v>1413000</v>
      </c>
      <c r="D90" s="58" t="s">
        <v>41</v>
      </c>
      <c r="E90" s="33" t="n">
        <f aca="false">IF(D90="totale",(C90/(A90*24))/F90,IF(D90="marché libre",(C90/(A90*24))/G90,"spécifier histo"))</f>
        <v>0.498729351969504</v>
      </c>
      <c r="F90" s="59" t="n">
        <v>3935</v>
      </c>
      <c r="G90" s="59" t="n">
        <f aca="false">F90-H90</f>
        <v>3935</v>
      </c>
      <c r="H90" s="9" t="n">
        <v>0</v>
      </c>
      <c r="I90" s="9"/>
      <c r="J90" s="30"/>
    </row>
    <row r="91" customFormat="false" ht="12.95" hidden="false" customHeight="true" outlineLevel="0" collapsed="false">
      <c r="A91" s="1" t="n">
        <v>31</v>
      </c>
      <c r="B91" s="34" t="n">
        <v>30590</v>
      </c>
      <c r="C91" s="9" t="n">
        <v>1141000</v>
      </c>
      <c r="D91" s="58" t="s">
        <v>41</v>
      </c>
      <c r="E91" s="33" t="n">
        <f aca="false">IF(D91="totale",(C91/(A91*24))/F91,IF(D91="marché libre",(C91/(A91*24))/G91,"spécifier histo"))</f>
        <v>0.389733710428878</v>
      </c>
      <c r="F91" s="59" t="n">
        <v>3935</v>
      </c>
      <c r="G91" s="59" t="n">
        <f aca="false">F91-H91</f>
        <v>3935</v>
      </c>
      <c r="H91" s="9" t="n">
        <v>0</v>
      </c>
      <c r="I91" s="9"/>
      <c r="J91" s="30"/>
    </row>
    <row r="92" customFormat="false" ht="12.95" hidden="false" customHeight="true" outlineLevel="0" collapsed="false">
      <c r="A92" s="1" t="n">
        <v>30</v>
      </c>
      <c r="B92" s="31" t="n">
        <v>30621</v>
      </c>
      <c r="C92" s="9" t="n">
        <v>824000</v>
      </c>
      <c r="D92" s="58" t="s">
        <v>41</v>
      </c>
      <c r="E92" s="33" t="n">
        <f aca="false">IF(D92="totale",(C92/(A92*24))/F92,IF(D92="marché libre",(C92/(A92*24))/G92,"spécifier histo"))</f>
        <v>0.290837215868982</v>
      </c>
      <c r="F92" s="59" t="n">
        <v>3935</v>
      </c>
      <c r="G92" s="59" t="n">
        <f aca="false">F92-H92</f>
        <v>3935</v>
      </c>
      <c r="H92" s="9" t="n">
        <v>0</v>
      </c>
      <c r="I92" s="9"/>
      <c r="J92" s="30"/>
    </row>
    <row r="93" customFormat="false" ht="12.95" hidden="false" customHeight="true" outlineLevel="0" collapsed="false">
      <c r="A93" s="1" t="n">
        <v>31</v>
      </c>
      <c r="B93" s="34" t="n">
        <v>30651</v>
      </c>
      <c r="C93" s="9" t="n">
        <v>775000</v>
      </c>
      <c r="D93" s="58" t="s">
        <v>41</v>
      </c>
      <c r="E93" s="33" t="n">
        <f aca="false">IF(D93="totale",(C93/(A93*24))/F93,IF(D93="marché libre",(C93/(A93*24))/G93,"spécifier histo"))</f>
        <v>0.264718339686573</v>
      </c>
      <c r="F93" s="59" t="n">
        <v>3935</v>
      </c>
      <c r="G93" s="59" t="n">
        <f aca="false">F93-H93</f>
        <v>3935</v>
      </c>
      <c r="H93" s="9" t="n">
        <v>0</v>
      </c>
      <c r="I93" s="9"/>
      <c r="J93" s="30"/>
    </row>
    <row r="94" customFormat="false" ht="12.95" hidden="false" customHeight="true" outlineLevel="0" collapsed="false">
      <c r="A94" s="1" t="n">
        <v>31</v>
      </c>
      <c r="B94" s="31" t="n">
        <v>30682</v>
      </c>
      <c r="C94" s="9" t="n">
        <v>556000</v>
      </c>
      <c r="D94" s="58" t="s">
        <v>41</v>
      </c>
      <c r="E94" s="33" t="n">
        <f aca="false">IF(D94="totale",(C94/(A94*24))/F94,IF(D94="marché libre",(C94/(A94*24))/G94,"spécifier histo"))</f>
        <v>0.189914060471916</v>
      </c>
      <c r="F94" s="59" t="n">
        <v>3935</v>
      </c>
      <c r="G94" s="59" t="n">
        <f aca="false">F94-H94</f>
        <v>3935</v>
      </c>
      <c r="H94" s="9" t="n">
        <v>0</v>
      </c>
      <c r="I94" s="9"/>
      <c r="J94" s="30"/>
    </row>
    <row r="95" customFormat="false" ht="12.95" hidden="false" customHeight="true" outlineLevel="0" collapsed="false">
      <c r="A95" s="1" t="n">
        <v>28</v>
      </c>
      <c r="B95" s="34" t="n">
        <v>30713</v>
      </c>
      <c r="C95" s="9" t="n">
        <v>443000</v>
      </c>
      <c r="D95" s="58" t="s">
        <v>41</v>
      </c>
      <c r="E95" s="33" t="n">
        <f aca="false">IF(D95="totale",(C95/(A95*24))/F95,IF(D95="marché libre",(C95/(A95*24))/G95,"spécifier histo"))</f>
        <v>0.167528892115932</v>
      </c>
      <c r="F95" s="59" t="n">
        <v>3935</v>
      </c>
      <c r="G95" s="59" t="n">
        <f aca="false">F95-H95</f>
        <v>3935</v>
      </c>
      <c r="H95" s="9" t="n">
        <v>0</v>
      </c>
      <c r="I95" s="9"/>
      <c r="J95" s="30"/>
    </row>
    <row r="96" customFormat="false" ht="12.95" hidden="false" customHeight="true" outlineLevel="0" collapsed="false">
      <c r="A96" s="1" t="n">
        <v>31</v>
      </c>
      <c r="B96" s="31" t="n">
        <v>30742</v>
      </c>
      <c r="C96" s="9" t="n">
        <v>393000</v>
      </c>
      <c r="D96" s="58" t="s">
        <v>41</v>
      </c>
      <c r="E96" s="33" t="n">
        <f aca="false">IF(D96="totale",(C96/(A96*24))/F96,IF(D96="marché libre",(C96/(A96*24))/G96,"spécifier histo"))</f>
        <v>0.134237816124933</v>
      </c>
      <c r="F96" s="59" t="n">
        <v>3935</v>
      </c>
      <c r="G96" s="59" t="n">
        <f aca="false">F96-H96</f>
        <v>3935</v>
      </c>
      <c r="H96" s="9" t="n">
        <v>0</v>
      </c>
      <c r="I96" s="9"/>
      <c r="J96" s="30"/>
    </row>
    <row r="97" customFormat="false" ht="12.95" hidden="false" customHeight="true" outlineLevel="0" collapsed="false">
      <c r="A97" s="1" t="n">
        <v>30</v>
      </c>
      <c r="B97" s="34" t="n">
        <v>30773</v>
      </c>
      <c r="C97" s="9" t="n">
        <v>998000</v>
      </c>
      <c r="D97" s="58" t="s">
        <v>41</v>
      </c>
      <c r="E97" s="33" t="n">
        <f aca="false">IF(D97="totale",(C97/(A97*24))/F97,IF(D97="marché libre",(C97/(A97*24))/G97,"spécifier histo"))</f>
        <v>0.352251870676267</v>
      </c>
      <c r="F97" s="59" t="n">
        <v>3935</v>
      </c>
      <c r="G97" s="59" t="n">
        <f aca="false">F97-H97</f>
        <v>3935</v>
      </c>
      <c r="H97" s="9" t="n">
        <v>0</v>
      </c>
      <c r="I97" s="9"/>
      <c r="J97" s="30"/>
    </row>
    <row r="98" customFormat="false" ht="12.95" hidden="false" customHeight="true" outlineLevel="0" collapsed="false">
      <c r="A98" s="1" t="n">
        <v>31</v>
      </c>
      <c r="B98" s="31" t="n">
        <v>30803</v>
      </c>
      <c r="C98" s="9" t="n">
        <v>1763000</v>
      </c>
      <c r="D98" s="58" t="s">
        <v>41</v>
      </c>
      <c r="E98" s="33" t="n">
        <f aca="false">IF(D98="totale",(C98/(A98*24))/F98,IF(D98="marché libre",(C98/(A98*24))/G98,"spécifier histo"))</f>
        <v>0.602191526280554</v>
      </c>
      <c r="F98" s="59" t="n">
        <v>3935</v>
      </c>
      <c r="G98" s="59" t="n">
        <f aca="false">F98-H98</f>
        <v>3935</v>
      </c>
      <c r="H98" s="9" t="n">
        <v>0</v>
      </c>
      <c r="I98" s="9"/>
      <c r="J98" s="30"/>
    </row>
    <row r="99" customFormat="false" ht="12.95" hidden="false" customHeight="true" outlineLevel="0" collapsed="false">
      <c r="A99" s="1" t="n">
        <v>30</v>
      </c>
      <c r="B99" s="34" t="n">
        <v>30834</v>
      </c>
      <c r="C99" s="9" t="n">
        <v>2755000</v>
      </c>
      <c r="D99" s="58" t="s">
        <v>41</v>
      </c>
      <c r="E99" s="33" t="n">
        <f aca="false">IF(D99="totale",(C99/(A99*24))/F99,IF(D99="marché libre",(C99/(A99*24))/G99,"spécifier histo"))</f>
        <v>0.972398701115347</v>
      </c>
      <c r="F99" s="59" t="n">
        <v>3935</v>
      </c>
      <c r="G99" s="59" t="n">
        <f aca="false">F99-H99</f>
        <v>3935</v>
      </c>
      <c r="H99" s="9" t="n">
        <v>0</v>
      </c>
      <c r="I99" s="9"/>
      <c r="J99" s="30"/>
    </row>
    <row r="100" customFormat="false" ht="12.95" hidden="false" customHeight="true" outlineLevel="0" collapsed="false">
      <c r="A100" s="1" t="n">
        <v>31</v>
      </c>
      <c r="B100" s="31" t="n">
        <v>30864</v>
      </c>
      <c r="C100" s="9" t="n">
        <v>2768000</v>
      </c>
      <c r="D100" s="58" t="s">
        <v>41</v>
      </c>
      <c r="E100" s="33" t="n">
        <f aca="false">IF(D100="totale",(C100/(A100*24))/F100,IF(D100="marché libre",(C100/(A100*24))/G100,"spécifier histo"))</f>
        <v>0.945471437745078</v>
      </c>
      <c r="F100" s="59" t="n">
        <v>3935</v>
      </c>
      <c r="G100" s="59" t="n">
        <f aca="false">F100-H100</f>
        <v>3935</v>
      </c>
      <c r="H100" s="9" t="n">
        <v>0</v>
      </c>
      <c r="I100" s="9"/>
      <c r="J100" s="30"/>
    </row>
    <row r="101" customFormat="false" ht="12.95" hidden="false" customHeight="true" outlineLevel="0" collapsed="false">
      <c r="A101" s="1" t="n">
        <v>31</v>
      </c>
      <c r="B101" s="34" t="n">
        <v>30895</v>
      </c>
      <c r="C101" s="9" t="n">
        <v>1895000</v>
      </c>
      <c r="D101" s="58" t="s">
        <v>41</v>
      </c>
      <c r="E101" s="33" t="n">
        <f aca="false">IF(D101="totale",(C101/(A101*24))/F101,IF(D101="marché libre",(C101/(A101*24))/G101,"spécifier histo"))</f>
        <v>0.647279037040073</v>
      </c>
      <c r="F101" s="59" t="n">
        <v>3935</v>
      </c>
      <c r="G101" s="59" t="n">
        <f aca="false">F101-H101</f>
        <v>3935</v>
      </c>
      <c r="H101" s="9" t="n">
        <v>0</v>
      </c>
      <c r="I101" s="9"/>
      <c r="J101" s="30"/>
    </row>
    <row r="102" customFormat="false" ht="12.95" hidden="false" customHeight="true" outlineLevel="0" collapsed="false">
      <c r="A102" s="1" t="n">
        <v>30</v>
      </c>
      <c r="B102" s="31" t="n">
        <v>30926</v>
      </c>
      <c r="C102" s="9" t="n">
        <v>2257000</v>
      </c>
      <c r="D102" s="58" t="s">
        <v>41</v>
      </c>
      <c r="E102" s="33" t="n">
        <f aca="false">IF(D102="totale",(C102/(A102*24))/F102,IF(D102="marché libre",(C102/(A102*24))/G102,"spécifier histo"))</f>
        <v>0.796625723563462</v>
      </c>
      <c r="F102" s="59" t="n">
        <v>3935</v>
      </c>
      <c r="G102" s="59" t="n">
        <f aca="false">F102-H102</f>
        <v>3935</v>
      </c>
      <c r="H102" s="9" t="n">
        <v>0</v>
      </c>
      <c r="I102" s="9"/>
      <c r="J102" s="30"/>
    </row>
    <row r="103" customFormat="false" ht="12.95" hidden="false" customHeight="true" outlineLevel="0" collapsed="false">
      <c r="A103" s="1" t="n">
        <v>31</v>
      </c>
      <c r="B103" s="34" t="n">
        <v>30956</v>
      </c>
      <c r="C103" s="9" t="n">
        <v>1847000</v>
      </c>
      <c r="D103" s="58" t="s">
        <v>41</v>
      </c>
      <c r="E103" s="33" t="n">
        <f aca="false">IF(D103="totale",(C103/(A103*24))/F103,IF(D103="marché libre",(C103/(A103*24))/G103,"spécifier histo"))</f>
        <v>0.630883578582066</v>
      </c>
      <c r="F103" s="59" t="n">
        <v>3935</v>
      </c>
      <c r="G103" s="59" t="n">
        <f aca="false">F103-H103</f>
        <v>3935</v>
      </c>
      <c r="H103" s="9" t="n">
        <v>0</v>
      </c>
      <c r="I103" s="9"/>
      <c r="J103" s="30"/>
    </row>
    <row r="104" customFormat="false" ht="12.95" hidden="false" customHeight="true" outlineLevel="0" collapsed="false">
      <c r="A104" s="1" t="n">
        <v>30</v>
      </c>
      <c r="B104" s="31" t="n">
        <v>30987</v>
      </c>
      <c r="C104" s="9" t="n">
        <v>1112000</v>
      </c>
      <c r="D104" s="58" t="s">
        <v>41</v>
      </c>
      <c r="E104" s="33" t="n">
        <f aca="false">IF(D104="totale",(C104/(A104*24))/F104,IF(D104="marché libre",(C104/(A104*24))/G104,"spécifier histo"))</f>
        <v>0.392489058308626</v>
      </c>
      <c r="F104" s="59" t="n">
        <v>3935</v>
      </c>
      <c r="G104" s="59" t="n">
        <f aca="false">F104-H104</f>
        <v>3935</v>
      </c>
      <c r="H104" s="9" t="n">
        <v>0</v>
      </c>
      <c r="I104" s="9"/>
      <c r="J104" s="30"/>
    </row>
    <row r="105" customFormat="false" ht="12.95" hidden="false" customHeight="true" outlineLevel="0" collapsed="false">
      <c r="A105" s="1" t="n">
        <v>31</v>
      </c>
      <c r="B105" s="34" t="n">
        <v>31017</v>
      </c>
      <c r="C105" s="9" t="n">
        <v>706000</v>
      </c>
      <c r="D105" s="58" t="s">
        <v>41</v>
      </c>
      <c r="E105" s="33" t="n">
        <f aca="false">IF(D105="totale",(C105/(A105*24))/F105,IF(D105="marché libre",(C105/(A105*24))/G105,"spécifier histo"))</f>
        <v>0.241149868153188</v>
      </c>
      <c r="F105" s="59" t="n">
        <v>3935</v>
      </c>
      <c r="G105" s="59" t="n">
        <f aca="false">F105-H105</f>
        <v>3935</v>
      </c>
      <c r="H105" s="9" t="n">
        <v>0</v>
      </c>
      <c r="I105" s="9"/>
      <c r="J105" s="30"/>
    </row>
    <row r="106" customFormat="false" ht="12.95" hidden="false" customHeight="true" outlineLevel="0" collapsed="false">
      <c r="A106" s="1" t="n">
        <v>31</v>
      </c>
      <c r="B106" s="31" t="n">
        <v>31048</v>
      </c>
      <c r="C106" s="9" t="n">
        <v>567000</v>
      </c>
      <c r="D106" s="58" t="s">
        <v>41</v>
      </c>
      <c r="E106" s="33" t="n">
        <f aca="false">IF(D106="totale",(C106/(A106*24))/F106,IF(D106="marché libre",(C106/(A106*24))/G106,"spécifier histo"))</f>
        <v>0.193671353035209</v>
      </c>
      <c r="F106" s="59" t="n">
        <v>3935</v>
      </c>
      <c r="G106" s="59" t="n">
        <f aca="false">F106-H106</f>
        <v>3935</v>
      </c>
      <c r="H106" s="9" t="n">
        <v>0</v>
      </c>
      <c r="I106" s="9"/>
      <c r="J106" s="30"/>
    </row>
    <row r="107" customFormat="false" ht="12.95" hidden="false" customHeight="true" outlineLevel="0" collapsed="false">
      <c r="A107" s="1" t="n">
        <v>28</v>
      </c>
      <c r="B107" s="34" t="n">
        <v>31079</v>
      </c>
      <c r="C107" s="9" t="n">
        <v>522000</v>
      </c>
      <c r="D107" s="58" t="s">
        <v>41</v>
      </c>
      <c r="E107" s="33" t="n">
        <f aca="false">IF(D107="totale",(C107/(A107*24))/F107,IF(D107="marché libre",(C107/(A107*24))/G107,"spécifier histo"))</f>
        <v>0.197404247594845</v>
      </c>
      <c r="F107" s="59" t="n">
        <v>3935</v>
      </c>
      <c r="G107" s="59" t="n">
        <f aca="false">F107-H107</f>
        <v>3935</v>
      </c>
      <c r="H107" s="9" t="n">
        <v>0</v>
      </c>
      <c r="I107" s="9"/>
      <c r="J107" s="30"/>
    </row>
    <row r="108" customFormat="false" ht="12.95" hidden="false" customHeight="true" outlineLevel="0" collapsed="false">
      <c r="A108" s="1" t="n">
        <v>31</v>
      </c>
      <c r="B108" s="31" t="n">
        <v>31107</v>
      </c>
      <c r="C108" s="9" t="n">
        <v>353000</v>
      </c>
      <c r="D108" s="58" t="s">
        <v>41</v>
      </c>
      <c r="E108" s="33" t="n">
        <f aca="false">IF(D108="totale",(C108/(A108*24))/F108,IF(D108="marché libre",(C108/(A108*24))/G108,"spécifier histo"))</f>
        <v>0.120574934076594</v>
      </c>
      <c r="F108" s="59" t="n">
        <v>3935</v>
      </c>
      <c r="G108" s="59" t="n">
        <f aca="false">F108-H108</f>
        <v>3935</v>
      </c>
      <c r="H108" s="9" t="n">
        <v>0</v>
      </c>
      <c r="I108" s="9"/>
      <c r="J108" s="30"/>
    </row>
    <row r="109" customFormat="false" ht="12.95" hidden="false" customHeight="true" outlineLevel="0" collapsed="false">
      <c r="A109" s="1" t="n">
        <v>30</v>
      </c>
      <c r="B109" s="34" t="n">
        <v>31138</v>
      </c>
      <c r="C109" s="9" t="n">
        <v>1260000</v>
      </c>
      <c r="D109" s="58" t="s">
        <v>41</v>
      </c>
      <c r="E109" s="33" t="n">
        <f aca="false">IF(D109="totale",(C109/(A109*24))/F109,IF(D109="marché libre",(C109/(A109*24))/G109,"spécifier histo"))</f>
        <v>0.444726810673443</v>
      </c>
      <c r="F109" s="59" t="n">
        <v>3935</v>
      </c>
      <c r="G109" s="59" t="n">
        <f aca="false">F109-H109</f>
        <v>3935</v>
      </c>
      <c r="H109" s="9" t="n">
        <v>0</v>
      </c>
      <c r="I109" s="9"/>
      <c r="J109" s="30"/>
    </row>
    <row r="110" customFormat="false" ht="12.95" hidden="false" customHeight="true" outlineLevel="0" collapsed="false">
      <c r="A110" s="1" t="n">
        <v>31</v>
      </c>
      <c r="B110" s="31" t="n">
        <v>31168</v>
      </c>
      <c r="C110" s="9" t="n">
        <v>2177000</v>
      </c>
      <c r="D110" s="58" t="s">
        <v>41</v>
      </c>
      <c r="E110" s="33" t="n">
        <f aca="false">IF(D110="totale",(C110/(A110*24))/F110,IF(D110="marché libre",(C110/(A110*24))/G110,"spécifier histo"))</f>
        <v>0.743602355480865</v>
      </c>
      <c r="F110" s="59" t="n">
        <v>3935</v>
      </c>
      <c r="G110" s="59" t="n">
        <f aca="false">F110-H110</f>
        <v>3935</v>
      </c>
      <c r="H110" s="9" t="n">
        <v>0</v>
      </c>
      <c r="I110" s="9"/>
      <c r="J110" s="30"/>
    </row>
    <row r="111" customFormat="false" ht="12.95" hidden="false" customHeight="true" outlineLevel="0" collapsed="false">
      <c r="A111" s="1" t="n">
        <v>30</v>
      </c>
      <c r="B111" s="34" t="n">
        <v>31199</v>
      </c>
      <c r="C111" s="9" t="n">
        <v>2953000</v>
      </c>
      <c r="D111" s="58" t="s">
        <v>41</v>
      </c>
      <c r="E111" s="33" t="n">
        <f aca="false">IF(D111="totale",(C111/(A111*24))/F111,IF(D111="marché libre",(C111/(A111*24))/G111,"spécifier histo"))</f>
        <v>1.0422843427926</v>
      </c>
      <c r="F111" s="59" t="n">
        <v>3935</v>
      </c>
      <c r="G111" s="59" t="n">
        <f aca="false">F111-H111</f>
        <v>3935</v>
      </c>
      <c r="H111" s="9" t="n">
        <v>0</v>
      </c>
      <c r="I111" s="9"/>
      <c r="J111" s="30"/>
    </row>
    <row r="112" customFormat="false" ht="12.95" hidden="false" customHeight="true" outlineLevel="0" collapsed="false">
      <c r="A112" s="1" t="n">
        <v>31</v>
      </c>
      <c r="B112" s="31" t="n">
        <v>31229</v>
      </c>
      <c r="C112" s="9" t="n">
        <v>2850000</v>
      </c>
      <c r="D112" s="58" t="s">
        <v>41</v>
      </c>
      <c r="E112" s="33" t="n">
        <f aca="false">IF(D112="totale",(C112/(A112*24))/F112,IF(D112="marché libre",(C112/(A112*24))/G112,"spécifier histo"))</f>
        <v>0.973480345944173</v>
      </c>
      <c r="F112" s="59" t="n">
        <v>3935</v>
      </c>
      <c r="G112" s="59" t="n">
        <f aca="false">F112-H112</f>
        <v>3935</v>
      </c>
      <c r="H112" s="9" t="n">
        <v>0</v>
      </c>
      <c r="I112" s="9"/>
      <c r="J112" s="30"/>
    </row>
    <row r="113" customFormat="false" ht="12.95" hidden="false" customHeight="true" outlineLevel="0" collapsed="false">
      <c r="A113" s="1" t="n">
        <v>31</v>
      </c>
      <c r="B113" s="34" t="n">
        <v>31260</v>
      </c>
      <c r="C113" s="9" t="n">
        <v>1900000</v>
      </c>
      <c r="D113" s="58" t="s">
        <v>41</v>
      </c>
      <c r="E113" s="33" t="n">
        <f aca="false">IF(D113="totale",(C113/(A113*24))/F113,IF(D113="marché libre",(C113/(A113*24))/G113,"spécifier histo"))</f>
        <v>0.648986897296116</v>
      </c>
      <c r="F113" s="59" t="n">
        <v>3935</v>
      </c>
      <c r="G113" s="59" t="n">
        <f aca="false">F113-H113</f>
        <v>3935</v>
      </c>
      <c r="H113" s="9" t="n">
        <v>0</v>
      </c>
      <c r="I113" s="9"/>
      <c r="J113" s="30"/>
    </row>
    <row r="114" customFormat="false" ht="12.95" hidden="false" customHeight="true" outlineLevel="0" collapsed="false">
      <c r="A114" s="1" t="n">
        <v>30</v>
      </c>
      <c r="B114" s="31" t="n">
        <v>31291</v>
      </c>
      <c r="C114" s="9" t="n">
        <v>1218000</v>
      </c>
      <c r="D114" s="58" t="s">
        <v>41</v>
      </c>
      <c r="E114" s="33" t="n">
        <f aca="false">IF(D114="totale",(C114/(A114*24))/F114,IF(D114="marché libre",(C114/(A114*24))/G114,"spécifier histo"))</f>
        <v>0.429902583650995</v>
      </c>
      <c r="F114" s="59" t="n">
        <v>3935</v>
      </c>
      <c r="G114" s="59" t="n">
        <f aca="false">F114-H114</f>
        <v>3935</v>
      </c>
      <c r="H114" s="9" t="n">
        <v>0</v>
      </c>
      <c r="I114" s="9"/>
      <c r="J114" s="30"/>
    </row>
    <row r="115" customFormat="false" ht="12.95" hidden="false" customHeight="true" outlineLevel="0" collapsed="false">
      <c r="A115" s="1" t="n">
        <v>31</v>
      </c>
      <c r="B115" s="34" t="n">
        <v>31321</v>
      </c>
      <c r="C115" s="9" t="n">
        <v>800000</v>
      </c>
      <c r="D115" s="58" t="s">
        <v>41</v>
      </c>
      <c r="E115" s="33" t="n">
        <f aca="false">IF(D115="totale",(C115/(A115*24))/F115,IF(D115="marché libre",(C115/(A115*24))/G115,"spécifier histo"))</f>
        <v>0.273257640966785</v>
      </c>
      <c r="F115" s="59" t="n">
        <v>3935</v>
      </c>
      <c r="G115" s="59" t="n">
        <f aca="false">F115-H115</f>
        <v>3935</v>
      </c>
      <c r="H115" s="9" t="n">
        <v>0</v>
      </c>
      <c r="I115" s="9"/>
      <c r="J115" s="30"/>
    </row>
    <row r="116" customFormat="false" ht="12.95" hidden="false" customHeight="true" outlineLevel="0" collapsed="false">
      <c r="A116" s="1" t="n">
        <v>30</v>
      </c>
      <c r="B116" s="31" t="n">
        <v>31352</v>
      </c>
      <c r="C116" s="9" t="n">
        <v>661000</v>
      </c>
      <c r="D116" s="58" t="s">
        <v>41</v>
      </c>
      <c r="E116" s="33" t="n">
        <f aca="false">IF(D116="totale",(C116/(A116*24))/F116,IF(D116="marché libre",(C116/(A116*24))/G116,"spécifier histo"))</f>
        <v>0.233305096710433</v>
      </c>
      <c r="F116" s="59" t="n">
        <v>3935</v>
      </c>
      <c r="G116" s="59" t="n">
        <f aca="false">F116-H116</f>
        <v>3935</v>
      </c>
      <c r="H116" s="9" t="n">
        <v>0</v>
      </c>
      <c r="I116" s="9"/>
      <c r="J116" s="30"/>
    </row>
    <row r="117" customFormat="false" ht="12.95" hidden="false" customHeight="true" outlineLevel="0" collapsed="false">
      <c r="A117" s="1" t="n">
        <v>31</v>
      </c>
      <c r="B117" s="34" t="n">
        <v>31382</v>
      </c>
      <c r="C117" s="9" t="n">
        <v>444000</v>
      </c>
      <c r="D117" s="58" t="s">
        <v>41</v>
      </c>
      <c r="E117" s="33" t="n">
        <f aca="false">IF(D117="totale",(C117/(A117*24))/F117,IF(D117="marché libre",(C117/(A117*24))/G117,"spécifier histo"))</f>
        <v>0.151657990736566</v>
      </c>
      <c r="F117" s="59" t="n">
        <v>3935</v>
      </c>
      <c r="G117" s="59" t="n">
        <f aca="false">F117-H117</f>
        <v>3935</v>
      </c>
      <c r="H117" s="9" t="n">
        <v>0</v>
      </c>
      <c r="I117" s="9"/>
      <c r="J117" s="30"/>
    </row>
    <row r="118" customFormat="false" ht="12.95" hidden="false" customHeight="true" outlineLevel="0" collapsed="false">
      <c r="A118" s="1" t="n">
        <v>31</v>
      </c>
      <c r="B118" s="31" t="n">
        <v>31413</v>
      </c>
      <c r="C118" s="9" t="n">
        <v>369000</v>
      </c>
      <c r="D118" s="58" t="s">
        <v>41</v>
      </c>
      <c r="E118" s="33" t="n">
        <f aca="false">IF(D118="totale",(C118/(A118*24))/F118,IF(D118="marché libre",(C118/(A118*24))/G118,"spécifier histo"))</f>
        <v>0.12604008689593</v>
      </c>
      <c r="F118" s="59" t="n">
        <v>3935</v>
      </c>
      <c r="G118" s="59" t="n">
        <f aca="false">F118-H118</f>
        <v>3935</v>
      </c>
      <c r="H118" s="9" t="n">
        <v>0</v>
      </c>
      <c r="I118" s="9"/>
      <c r="J118" s="30"/>
    </row>
    <row r="119" customFormat="false" ht="12.95" hidden="false" customHeight="true" outlineLevel="0" collapsed="false">
      <c r="A119" s="1" t="n">
        <v>28</v>
      </c>
      <c r="B119" s="34" t="n">
        <v>31444</v>
      </c>
      <c r="C119" s="9" t="n">
        <v>277000</v>
      </c>
      <c r="D119" s="58" t="s">
        <v>41</v>
      </c>
      <c r="E119" s="33" t="n">
        <f aca="false">IF(D119="totale",(C119/(A119*24))/F119,IF(D119="marché libre",(C119/(A119*24))/G119,"spécifier histo"))</f>
        <v>0.104752828704544</v>
      </c>
      <c r="F119" s="59" t="n">
        <v>3935</v>
      </c>
      <c r="G119" s="59" t="n">
        <f aca="false">F119-H119</f>
        <v>3935</v>
      </c>
      <c r="H119" s="9" t="n">
        <v>0</v>
      </c>
      <c r="I119" s="9"/>
      <c r="J119" s="30"/>
    </row>
    <row r="120" customFormat="false" ht="12.95" hidden="false" customHeight="true" outlineLevel="0" collapsed="false">
      <c r="A120" s="1" t="n">
        <v>31</v>
      </c>
      <c r="B120" s="31" t="n">
        <v>31472</v>
      </c>
      <c r="C120" s="9" t="n">
        <v>464000</v>
      </c>
      <c r="D120" s="58" t="s">
        <v>41</v>
      </c>
      <c r="E120" s="33" t="n">
        <f aca="false">IF(D120="totale",(C120/(A120*24))/F120,IF(D120="marché libre",(C120/(A120*24))/G120,"spécifier histo"))</f>
        <v>0.158489431760736</v>
      </c>
      <c r="F120" s="59" t="n">
        <v>3935</v>
      </c>
      <c r="G120" s="59" t="n">
        <f aca="false">F120-H120</f>
        <v>3935</v>
      </c>
      <c r="H120" s="9" t="n">
        <v>0</v>
      </c>
      <c r="I120" s="9"/>
      <c r="J120" s="30"/>
    </row>
    <row r="121" customFormat="false" ht="12.95" hidden="false" customHeight="true" outlineLevel="0" collapsed="false">
      <c r="A121" s="1" t="n">
        <v>30</v>
      </c>
      <c r="B121" s="34" t="n">
        <v>31503</v>
      </c>
      <c r="C121" s="9" t="n">
        <v>694000</v>
      </c>
      <c r="D121" s="58" t="s">
        <v>41</v>
      </c>
      <c r="E121" s="33" t="n">
        <f aca="false">IF(D121="totale",(C121/(A121*24))/F121,IF(D121="marché libre",(C121/(A121*24))/G121,"spécifier histo"))</f>
        <v>0.244952703656643</v>
      </c>
      <c r="F121" s="59" t="n">
        <v>3935</v>
      </c>
      <c r="G121" s="59" t="n">
        <f aca="false">F121-H121</f>
        <v>3935</v>
      </c>
      <c r="H121" s="9" t="n">
        <v>0</v>
      </c>
      <c r="I121" s="9"/>
      <c r="J121" s="30"/>
    </row>
    <row r="122" customFormat="false" ht="12.95" hidden="false" customHeight="true" outlineLevel="0" collapsed="false">
      <c r="A122" s="1" t="n">
        <v>31</v>
      </c>
      <c r="B122" s="31" t="n">
        <v>31533</v>
      </c>
      <c r="C122" s="9" t="n">
        <v>2944000</v>
      </c>
      <c r="D122" s="58" t="s">
        <v>41</v>
      </c>
      <c r="E122" s="33" t="n">
        <f aca="false">IF(D122="totale",(C122/(A122*24))/F122,IF(D122="marché libre",(C122/(A122*24))/G122,"spécifier histo"))</f>
        <v>1.00558811875777</v>
      </c>
      <c r="F122" s="59" t="n">
        <v>3935</v>
      </c>
      <c r="G122" s="59" t="n">
        <f aca="false">F122-H122</f>
        <v>3935</v>
      </c>
      <c r="H122" s="9" t="n">
        <v>0</v>
      </c>
      <c r="I122" s="9"/>
      <c r="J122" s="30"/>
    </row>
    <row r="123" customFormat="false" ht="12.95" hidden="false" customHeight="true" outlineLevel="0" collapsed="false">
      <c r="A123" s="1" t="n">
        <v>30</v>
      </c>
      <c r="B123" s="34" t="n">
        <v>31564</v>
      </c>
      <c r="C123" s="9" t="n">
        <v>2769000</v>
      </c>
      <c r="D123" s="58" t="s">
        <v>41</v>
      </c>
      <c r="E123" s="33" t="n">
        <f aca="false">IF(D123="totale",(C123/(A123*24))/F123,IF(D123="marché libre",(C123/(A123*24))/G123,"spécifier histo"))</f>
        <v>0.977340110122829</v>
      </c>
      <c r="F123" s="59" t="n">
        <v>3935</v>
      </c>
      <c r="G123" s="59" t="n">
        <f aca="false">F123-H123</f>
        <v>3935</v>
      </c>
      <c r="H123" s="9" t="n">
        <v>0</v>
      </c>
      <c r="I123" s="9"/>
      <c r="J123" s="30"/>
    </row>
    <row r="124" customFormat="false" ht="12.95" hidden="false" customHeight="true" outlineLevel="0" collapsed="false">
      <c r="A124" s="1" t="n">
        <v>31</v>
      </c>
      <c r="B124" s="31" t="n">
        <v>31594</v>
      </c>
      <c r="C124" s="9" t="n">
        <v>2196000</v>
      </c>
      <c r="D124" s="58" t="s">
        <v>41</v>
      </c>
      <c r="E124" s="33" t="n">
        <f aca="false">IF(D124="totale",(C124/(A124*24))/F124,IF(D124="marché libre",(C124/(A124*24))/G124,"spécifier histo"))</f>
        <v>0.750092224453826</v>
      </c>
      <c r="F124" s="59" t="n">
        <v>3935</v>
      </c>
      <c r="G124" s="59" t="n">
        <f aca="false">F124-H124</f>
        <v>3935</v>
      </c>
      <c r="H124" s="9" t="n">
        <v>0</v>
      </c>
      <c r="I124" s="9"/>
      <c r="J124" s="30"/>
    </row>
    <row r="125" customFormat="false" ht="12.95" hidden="false" customHeight="true" outlineLevel="0" collapsed="false">
      <c r="A125" s="1" t="n">
        <v>31</v>
      </c>
      <c r="B125" s="34" t="n">
        <v>31625</v>
      </c>
      <c r="C125" s="9" t="n">
        <v>1692000</v>
      </c>
      <c r="D125" s="58" t="s">
        <v>41</v>
      </c>
      <c r="E125" s="33" t="n">
        <f aca="false">IF(D125="totale",(C125/(A125*24))/F125,IF(D125="marché libre",(C125/(A125*24))/G125,"spécifier histo"))</f>
        <v>0.577939910644751</v>
      </c>
      <c r="F125" s="59" t="n">
        <v>3935</v>
      </c>
      <c r="G125" s="59" t="n">
        <f aca="false">F125-H125</f>
        <v>3935</v>
      </c>
      <c r="H125" s="9" t="n">
        <v>0</v>
      </c>
      <c r="I125" s="9"/>
      <c r="J125" s="30"/>
    </row>
    <row r="126" customFormat="false" ht="12.95" hidden="false" customHeight="true" outlineLevel="0" collapsed="false">
      <c r="A126" s="1" t="n">
        <v>30</v>
      </c>
      <c r="B126" s="31" t="n">
        <v>31656</v>
      </c>
      <c r="C126" s="9" t="n">
        <v>1111000</v>
      </c>
      <c r="D126" s="58" t="s">
        <v>41</v>
      </c>
      <c r="E126" s="33" t="n">
        <f aca="false">IF(D126="totale",(C126/(A126*24))/F126,IF(D126="marché libre",(C126/(A126*24))/G126,"spécifier histo"))</f>
        <v>0.392136100522378</v>
      </c>
      <c r="F126" s="59" t="n">
        <v>3935</v>
      </c>
      <c r="G126" s="59" t="n">
        <f aca="false">F126-H126</f>
        <v>3935</v>
      </c>
      <c r="H126" s="9" t="n">
        <v>0</v>
      </c>
      <c r="I126" s="9"/>
      <c r="J126" s="30"/>
    </row>
    <row r="127" customFormat="false" ht="12.95" hidden="false" customHeight="true" outlineLevel="0" collapsed="false">
      <c r="A127" s="1" t="n">
        <v>31</v>
      </c>
      <c r="B127" s="34" t="n">
        <v>31686</v>
      </c>
      <c r="C127" s="9" t="n">
        <v>1000000</v>
      </c>
      <c r="D127" s="58" t="s">
        <v>41</v>
      </c>
      <c r="E127" s="33" t="n">
        <f aca="false">IF(D127="totale",(C127/(A127*24))/F127,IF(D127="marché libre",(C127/(A127*24))/G127,"spécifier histo"))</f>
        <v>0.341572051208482</v>
      </c>
      <c r="F127" s="59" t="n">
        <v>3935</v>
      </c>
      <c r="G127" s="59" t="n">
        <f aca="false">F127-H127</f>
        <v>3935</v>
      </c>
      <c r="H127" s="9" t="n">
        <v>0</v>
      </c>
      <c r="I127" s="9"/>
      <c r="J127" s="30"/>
    </row>
    <row r="128" customFormat="false" ht="12.95" hidden="false" customHeight="true" outlineLevel="0" collapsed="false">
      <c r="A128" s="1" t="n">
        <v>30</v>
      </c>
      <c r="B128" s="31" t="n">
        <v>31717</v>
      </c>
      <c r="C128" s="9" t="n">
        <v>869000</v>
      </c>
      <c r="D128" s="58" t="s">
        <v>41</v>
      </c>
      <c r="E128" s="33" t="n">
        <f aca="false">IF(D128="totale",(C128/(A128*24))/F128,IF(D128="marché libre",(C128/(A128*24))/G128,"spécifier histo"))</f>
        <v>0.306720316250176</v>
      </c>
      <c r="F128" s="59" t="n">
        <v>3935</v>
      </c>
      <c r="G128" s="59" t="n">
        <f aca="false">F128-H128</f>
        <v>3935</v>
      </c>
      <c r="H128" s="9" t="n">
        <v>0</v>
      </c>
      <c r="I128" s="9"/>
      <c r="J128" s="30"/>
    </row>
    <row r="129" customFormat="false" ht="12.95" hidden="false" customHeight="true" outlineLevel="0" collapsed="false">
      <c r="A129" s="1" t="n">
        <v>31</v>
      </c>
      <c r="B129" s="34" t="n">
        <v>31747</v>
      </c>
      <c r="C129" s="9" t="n">
        <v>615000</v>
      </c>
      <c r="D129" s="58" t="s">
        <v>41</v>
      </c>
      <c r="E129" s="33" t="n">
        <f aca="false">IF(D129="totale",(C129/(A129*24))/F129,IF(D129="marché libre",(C129/(A129*24))/G129,"spécifier histo"))</f>
        <v>0.210066811493216</v>
      </c>
      <c r="F129" s="59" t="n">
        <v>3935</v>
      </c>
      <c r="G129" s="59" t="n">
        <f aca="false">F129-H129</f>
        <v>3935</v>
      </c>
      <c r="H129" s="9" t="n">
        <v>0</v>
      </c>
      <c r="I129" s="9"/>
      <c r="J129" s="30"/>
    </row>
    <row r="130" customFormat="false" ht="12.95" hidden="false" customHeight="true" outlineLevel="0" collapsed="false">
      <c r="A130" s="1" t="n">
        <v>31</v>
      </c>
      <c r="B130" s="31" t="n">
        <v>31778</v>
      </c>
      <c r="C130" s="9" t="n">
        <v>525000</v>
      </c>
      <c r="D130" s="58" t="s">
        <v>41</v>
      </c>
      <c r="E130" s="33" t="n">
        <f aca="false">IF(D130="totale",(C130/(A130*24))/F130,IF(D130="marché libre",(C130/(A130*24))/G130,"spécifier histo"))</f>
        <v>0.179325326884453</v>
      </c>
      <c r="F130" s="59" t="n">
        <v>3935</v>
      </c>
      <c r="G130" s="59" t="n">
        <f aca="false">F130-H130</f>
        <v>3935</v>
      </c>
      <c r="H130" s="9" t="n">
        <v>0</v>
      </c>
      <c r="I130" s="9"/>
      <c r="J130" s="30"/>
    </row>
    <row r="131" customFormat="false" ht="12.95" hidden="false" customHeight="true" outlineLevel="0" collapsed="false">
      <c r="A131" s="1" t="n">
        <v>28</v>
      </c>
      <c r="B131" s="34" t="n">
        <v>31809</v>
      </c>
      <c r="C131" s="9" t="n">
        <v>419000</v>
      </c>
      <c r="D131" s="58" t="s">
        <v>41</v>
      </c>
      <c r="E131" s="33" t="n">
        <f aca="false">IF(D131="totale",(C131/(A131*24))/F131,IF(D131="marché libre",(C131/(A131*24))/G131,"spécifier histo"))</f>
        <v>0.158452834755249</v>
      </c>
      <c r="F131" s="59" t="n">
        <v>3935</v>
      </c>
      <c r="G131" s="59" t="n">
        <f aca="false">F131-H131</f>
        <v>3935</v>
      </c>
      <c r="H131" s="9" t="n">
        <v>0</v>
      </c>
      <c r="I131" s="9"/>
      <c r="J131" s="30"/>
    </row>
    <row r="132" customFormat="false" ht="12.95" hidden="false" customHeight="true" outlineLevel="0" collapsed="false">
      <c r="A132" s="1" t="n">
        <v>31</v>
      </c>
      <c r="B132" s="31" t="n">
        <v>31837</v>
      </c>
      <c r="C132" s="9" t="n">
        <v>481000</v>
      </c>
      <c r="D132" s="58" t="s">
        <v>41</v>
      </c>
      <c r="E132" s="33" t="n">
        <f aca="false">IF(D132="totale",(C132/(A132*24))/F132,IF(D132="marché libre",(C132/(A132*24))/G132,"spécifier histo"))</f>
        <v>0.16429615663128</v>
      </c>
      <c r="F132" s="59" t="n">
        <v>3935</v>
      </c>
      <c r="G132" s="59" t="n">
        <f aca="false">F132-H132</f>
        <v>3935</v>
      </c>
      <c r="H132" s="9" t="n">
        <v>0</v>
      </c>
      <c r="I132" s="9"/>
      <c r="J132" s="30"/>
    </row>
    <row r="133" customFormat="false" ht="12.95" hidden="false" customHeight="true" outlineLevel="0" collapsed="false">
      <c r="A133" s="1" t="n">
        <v>30</v>
      </c>
      <c r="B133" s="34" t="n">
        <v>31868</v>
      </c>
      <c r="C133" s="9" t="n">
        <v>1446000</v>
      </c>
      <c r="D133" s="58" t="s">
        <v>41</v>
      </c>
      <c r="E133" s="33" t="n">
        <f aca="false">IF(D133="totale",(C133/(A133*24))/F133,IF(D133="marché libre",(C133/(A133*24))/G133,"spécifier histo"))</f>
        <v>0.510376958915714</v>
      </c>
      <c r="F133" s="59" t="n">
        <v>3935</v>
      </c>
      <c r="G133" s="59" t="n">
        <f aca="false">F133-H133</f>
        <v>3935</v>
      </c>
      <c r="H133" s="9" t="n">
        <v>0</v>
      </c>
      <c r="I133" s="9"/>
      <c r="J133" s="30"/>
    </row>
    <row r="134" customFormat="false" ht="12.95" hidden="false" customHeight="true" outlineLevel="0" collapsed="false">
      <c r="A134" s="1" t="n">
        <v>31</v>
      </c>
      <c r="B134" s="31" t="n">
        <v>31898</v>
      </c>
      <c r="C134" s="9" t="n">
        <v>1898000</v>
      </c>
      <c r="D134" s="58" t="s">
        <v>41</v>
      </c>
      <c r="E134" s="33" t="n">
        <f aca="false">IF(D134="totale",(C134/(A134*24))/F134,IF(D134="marché libre",(C134/(A134*24))/G134,"spécifier histo"))</f>
        <v>0.648303753193699</v>
      </c>
      <c r="F134" s="59" t="n">
        <v>3935</v>
      </c>
      <c r="G134" s="59" t="n">
        <f aca="false">F134-H134</f>
        <v>3935</v>
      </c>
      <c r="H134" s="9" t="n">
        <v>0</v>
      </c>
      <c r="I134" s="9"/>
      <c r="J134" s="30"/>
    </row>
    <row r="135" customFormat="false" ht="12.95" hidden="false" customHeight="true" outlineLevel="0" collapsed="false">
      <c r="A135" s="1" t="n">
        <v>30</v>
      </c>
      <c r="B135" s="34" t="n">
        <v>31929</v>
      </c>
      <c r="C135" s="9" t="n">
        <v>3095000</v>
      </c>
      <c r="D135" s="58" t="s">
        <v>41</v>
      </c>
      <c r="E135" s="33" t="n">
        <f aca="false">IF(D135="totale",(C135/(A135*24))/F135,IF(D135="marché libre",(C135/(A135*24))/G135,"spécifier histo"))</f>
        <v>1.09240434843993</v>
      </c>
      <c r="F135" s="59" t="n">
        <v>3935</v>
      </c>
      <c r="G135" s="59" t="n">
        <f aca="false">F135-H135</f>
        <v>3935</v>
      </c>
      <c r="H135" s="9" t="n">
        <v>0</v>
      </c>
      <c r="I135" s="9"/>
      <c r="J135" s="30"/>
    </row>
    <row r="136" customFormat="false" ht="12.95" hidden="false" customHeight="true" outlineLevel="0" collapsed="false">
      <c r="A136" s="1" t="n">
        <v>31</v>
      </c>
      <c r="B136" s="31" t="n">
        <v>31959</v>
      </c>
      <c r="C136" s="9" t="n">
        <v>3382000</v>
      </c>
      <c r="D136" s="58" t="s">
        <v>41</v>
      </c>
      <c r="E136" s="33" t="n">
        <f aca="false">IF(D136="totale",(C136/(A136*24))/F136,IF(D136="marché libre",(C136/(A136*24))/G136,"spécifier histo"))</f>
        <v>1.15519667718709</v>
      </c>
      <c r="F136" s="59" t="n">
        <v>3935</v>
      </c>
      <c r="G136" s="59" t="n">
        <f aca="false">F136-H136</f>
        <v>3935</v>
      </c>
      <c r="H136" s="9" t="n">
        <v>0</v>
      </c>
      <c r="I136" s="9"/>
      <c r="J136" s="30"/>
    </row>
    <row r="137" customFormat="false" ht="12.95" hidden="false" customHeight="true" outlineLevel="0" collapsed="false">
      <c r="A137" s="1" t="n">
        <v>31</v>
      </c>
      <c r="B137" s="34" t="n">
        <v>31990</v>
      </c>
      <c r="C137" s="9" t="n">
        <v>2619000</v>
      </c>
      <c r="D137" s="58" t="s">
        <v>41</v>
      </c>
      <c r="E137" s="33" t="n">
        <f aca="false">IF(D137="totale",(C137/(A137*24))/F137,IF(D137="marché libre",(C137/(A137*24))/G137,"spécifier histo"))</f>
        <v>0.894577202115014</v>
      </c>
      <c r="F137" s="59" t="n">
        <v>3935</v>
      </c>
      <c r="G137" s="59" t="n">
        <f aca="false">F137-H137</f>
        <v>3935</v>
      </c>
      <c r="H137" s="9" t="n">
        <v>0</v>
      </c>
      <c r="I137" s="9"/>
      <c r="J137" s="30"/>
    </row>
    <row r="138" customFormat="false" ht="12.95" hidden="false" customHeight="true" outlineLevel="0" collapsed="false">
      <c r="A138" s="1" t="n">
        <v>30</v>
      </c>
      <c r="B138" s="31" t="n">
        <v>32021</v>
      </c>
      <c r="C138" s="9" t="n">
        <v>1583000</v>
      </c>
      <c r="D138" s="58" t="s">
        <v>41</v>
      </c>
      <c r="E138" s="33" t="n">
        <f aca="false">IF(D138="totale",(C138/(A138*24))/F138,IF(D138="marché libre",(C138/(A138*24))/G138,"spécifier histo"))</f>
        <v>0.558732175631794</v>
      </c>
      <c r="F138" s="59" t="n">
        <v>3935</v>
      </c>
      <c r="G138" s="59" t="n">
        <f aca="false">F138-H138</f>
        <v>3935</v>
      </c>
      <c r="H138" s="9" t="n">
        <v>0</v>
      </c>
      <c r="I138" s="9"/>
      <c r="J138" s="30"/>
    </row>
    <row r="139" customFormat="false" ht="12.95" hidden="false" customHeight="true" outlineLevel="0" collapsed="false">
      <c r="A139" s="1" t="n">
        <v>31</v>
      </c>
      <c r="B139" s="34" t="n">
        <v>32051</v>
      </c>
      <c r="C139" s="9" t="n">
        <v>1481000</v>
      </c>
      <c r="D139" s="58" t="s">
        <v>41</v>
      </c>
      <c r="E139" s="33" t="n">
        <f aca="false">IF(D139="totale",(C139/(A139*24))/F139,IF(D139="marché libre",(C139/(A139*24))/G139,"spécifier histo"))</f>
        <v>0.505868207839762</v>
      </c>
      <c r="F139" s="59" t="n">
        <v>3935</v>
      </c>
      <c r="G139" s="59" t="n">
        <f aca="false">F139-H139</f>
        <v>3935</v>
      </c>
      <c r="H139" s="9" t="n">
        <v>0</v>
      </c>
      <c r="I139" s="9"/>
      <c r="J139" s="30"/>
    </row>
    <row r="140" customFormat="false" ht="12.95" hidden="false" customHeight="true" outlineLevel="0" collapsed="false">
      <c r="A140" s="1" t="n">
        <v>30</v>
      </c>
      <c r="B140" s="31" t="n">
        <v>32082</v>
      </c>
      <c r="C140" s="9" t="n">
        <v>1095000</v>
      </c>
      <c r="D140" s="58" t="s">
        <v>41</v>
      </c>
      <c r="E140" s="33" t="n">
        <f aca="false">IF(D140="totale",(C140/(A140*24))/F140,IF(D140="marché libre",(C140/(A140*24))/G140,"spécifier histo"))</f>
        <v>0.386488775942397</v>
      </c>
      <c r="F140" s="59" t="n">
        <v>3935</v>
      </c>
      <c r="G140" s="59" t="n">
        <f aca="false">F140-H140</f>
        <v>3935</v>
      </c>
      <c r="H140" s="9" t="n">
        <v>0</v>
      </c>
      <c r="I140" s="9"/>
      <c r="J140" s="30"/>
    </row>
    <row r="141" customFormat="false" ht="12.95" hidden="false" customHeight="true" outlineLevel="0" collapsed="false">
      <c r="A141" s="1" t="n">
        <v>31</v>
      </c>
      <c r="B141" s="34" t="n">
        <v>32112</v>
      </c>
      <c r="C141" s="9" t="n">
        <v>926000</v>
      </c>
      <c r="D141" s="58" t="s">
        <v>41</v>
      </c>
      <c r="E141" s="33" t="n">
        <f aca="false">IF(D141="totale",(C141/(A141*24))/F141,IF(D141="marché libre",(C141/(A141*24))/G141,"spécifier histo"))</f>
        <v>0.316295719419054</v>
      </c>
      <c r="F141" s="59" t="n">
        <v>3935</v>
      </c>
      <c r="G141" s="59" t="n">
        <f aca="false">F141-H141</f>
        <v>3935</v>
      </c>
      <c r="H141" s="9" t="n">
        <v>0</v>
      </c>
      <c r="I141" s="9"/>
      <c r="J141" s="30"/>
    </row>
    <row r="142" customFormat="false" ht="12.95" hidden="false" customHeight="true" outlineLevel="0" collapsed="false">
      <c r="A142" s="1" t="n">
        <v>31</v>
      </c>
      <c r="B142" s="31" t="n">
        <v>32143</v>
      </c>
      <c r="C142" s="9" t="n">
        <v>644000</v>
      </c>
      <c r="D142" s="58" t="s">
        <v>41</v>
      </c>
      <c r="E142" s="33" t="n">
        <f aca="false">IF(D142="totale",(C142/(A142*24))/F142,IF(D142="marché libre",(C142/(A142*24))/G142,"spécifier histo"))</f>
        <v>0.219972400978262</v>
      </c>
      <c r="F142" s="59" t="n">
        <v>3935</v>
      </c>
      <c r="G142" s="59" t="n">
        <f aca="false">F142-H142</f>
        <v>3935</v>
      </c>
      <c r="H142" s="9" t="n">
        <v>0</v>
      </c>
      <c r="I142" s="9"/>
      <c r="J142" s="30"/>
    </row>
    <row r="143" customFormat="false" ht="12.95" hidden="false" customHeight="true" outlineLevel="0" collapsed="false">
      <c r="A143" s="1" t="n">
        <v>28</v>
      </c>
      <c r="B143" s="34" t="n">
        <v>32174</v>
      </c>
      <c r="C143" s="9" t="n">
        <v>430000</v>
      </c>
      <c r="D143" s="58" t="s">
        <v>41</v>
      </c>
      <c r="E143" s="33" t="n">
        <f aca="false">IF(D143="totale",(C143/(A143*24))/F143,IF(D143="marché libre",(C143/(A143*24))/G143,"spécifier histo"))</f>
        <v>0.162612694378895</v>
      </c>
      <c r="F143" s="59" t="n">
        <v>3935</v>
      </c>
      <c r="G143" s="59" t="n">
        <f aca="false">F143-H143</f>
        <v>3935</v>
      </c>
      <c r="H143" s="9" t="n">
        <v>0</v>
      </c>
      <c r="I143" s="9"/>
      <c r="J143" s="30"/>
    </row>
    <row r="144" customFormat="false" ht="12.95" hidden="false" customHeight="true" outlineLevel="0" collapsed="false">
      <c r="A144" s="1" t="n">
        <v>31</v>
      </c>
      <c r="B144" s="31" t="n">
        <v>32203</v>
      </c>
      <c r="C144" s="9" t="n">
        <v>711000</v>
      </c>
      <c r="D144" s="58" t="s">
        <v>41</v>
      </c>
      <c r="E144" s="33" t="n">
        <f aca="false">IF(D144="totale",(C144/(A144*24))/F144,IF(D144="marché libre",(C144/(A144*24))/G144,"spécifier histo"))</f>
        <v>0.242857728409231</v>
      </c>
      <c r="F144" s="59" t="n">
        <v>3935</v>
      </c>
      <c r="G144" s="59" t="n">
        <f aca="false">F144-H144</f>
        <v>3935</v>
      </c>
      <c r="H144" s="9" t="n">
        <v>0</v>
      </c>
      <c r="I144" s="9"/>
      <c r="J144" s="30"/>
    </row>
    <row r="145" customFormat="false" ht="12.95" hidden="false" customHeight="true" outlineLevel="0" collapsed="false">
      <c r="A145" s="1" t="n">
        <v>30</v>
      </c>
      <c r="B145" s="34" t="n">
        <v>32234</v>
      </c>
      <c r="C145" s="9" t="n">
        <v>1438000</v>
      </c>
      <c r="D145" s="58" t="s">
        <v>41</v>
      </c>
      <c r="E145" s="33" t="n">
        <f aca="false">IF(D145="totale",(C145/(A145*24))/F145,IF(D145="marché libre",(C145/(A145*24))/G145,"spécifier histo"))</f>
        <v>0.507553296625724</v>
      </c>
      <c r="F145" s="59" t="n">
        <v>3935</v>
      </c>
      <c r="G145" s="59" t="n">
        <f aca="false">F145-H145</f>
        <v>3935</v>
      </c>
      <c r="H145" s="9" t="n">
        <v>0</v>
      </c>
      <c r="I145" s="9"/>
      <c r="J145" s="30"/>
    </row>
    <row r="146" customFormat="false" ht="12.95" hidden="false" customHeight="true" outlineLevel="0" collapsed="false">
      <c r="A146" s="1" t="n">
        <v>31</v>
      </c>
      <c r="B146" s="31" t="n">
        <v>32264</v>
      </c>
      <c r="C146" s="9" t="n">
        <v>2805000</v>
      </c>
      <c r="D146" s="58" t="s">
        <v>41</v>
      </c>
      <c r="E146" s="33" t="n">
        <f aca="false">IF(D146="totale",(C146/(A146*24))/F146,IF(D146="marché libre",(C146/(A146*24))/G146,"spécifier histo"))</f>
        <v>0.958109603639792</v>
      </c>
      <c r="F146" s="59" t="n">
        <v>3935</v>
      </c>
      <c r="G146" s="59" t="n">
        <f aca="false">F146-H146</f>
        <v>3935</v>
      </c>
      <c r="H146" s="9" t="n">
        <v>0</v>
      </c>
      <c r="I146" s="9"/>
      <c r="J146" s="30"/>
    </row>
    <row r="147" customFormat="false" ht="12.95" hidden="false" customHeight="true" outlineLevel="0" collapsed="false">
      <c r="A147" s="1" t="n">
        <v>30</v>
      </c>
      <c r="B147" s="34" t="n">
        <v>32295</v>
      </c>
      <c r="C147" s="9" t="n">
        <v>2794000</v>
      </c>
      <c r="D147" s="58" t="s">
        <v>41</v>
      </c>
      <c r="E147" s="33" t="n">
        <f aca="false">IF(D147="totale",(C147/(A147*24))/F147,IF(D147="marché libre",(C147/(A147*24))/G147,"spécifier histo"))</f>
        <v>0.986164054779048</v>
      </c>
      <c r="F147" s="59" t="n">
        <v>3935</v>
      </c>
      <c r="G147" s="59" t="n">
        <f aca="false">F147-H147</f>
        <v>3935</v>
      </c>
      <c r="H147" s="9" t="n">
        <v>0</v>
      </c>
      <c r="I147" s="9"/>
      <c r="J147" s="30"/>
    </row>
    <row r="148" customFormat="false" ht="12.95" hidden="false" customHeight="true" outlineLevel="0" collapsed="false">
      <c r="A148" s="1" t="n">
        <v>31</v>
      </c>
      <c r="B148" s="31" t="n">
        <v>32325</v>
      </c>
      <c r="C148" s="9" t="n">
        <v>2913000</v>
      </c>
      <c r="D148" s="58" t="s">
        <v>41</v>
      </c>
      <c r="E148" s="33" t="n">
        <f aca="false">IF(D148="totale",(C148/(A148*24))/F148,IF(D148="marché libre",(C148/(A148*24))/G148,"spécifier histo"))</f>
        <v>0.994999385170308</v>
      </c>
      <c r="F148" s="59" t="n">
        <v>3935</v>
      </c>
      <c r="G148" s="59" t="n">
        <f aca="false">F148-H148</f>
        <v>3935</v>
      </c>
      <c r="H148" s="9" t="n">
        <v>0</v>
      </c>
      <c r="I148" s="9"/>
      <c r="J148" s="30"/>
    </row>
    <row r="149" customFormat="false" ht="12.95" hidden="false" customHeight="true" outlineLevel="0" collapsed="false">
      <c r="A149" s="1" t="n">
        <v>31</v>
      </c>
      <c r="B149" s="34" t="n">
        <v>32356</v>
      </c>
      <c r="C149" s="9" t="n">
        <v>1931000</v>
      </c>
      <c r="D149" s="58" t="s">
        <v>41</v>
      </c>
      <c r="E149" s="33" t="n">
        <f aca="false">IF(D149="totale",(C149/(A149*24))/F149,IF(D149="marché libre",(C149/(A149*24))/G149,"spécifier histo"))</f>
        <v>0.659575630883579</v>
      </c>
      <c r="F149" s="59" t="n">
        <v>3935</v>
      </c>
      <c r="G149" s="59" t="n">
        <f aca="false">F149-H149</f>
        <v>3935</v>
      </c>
      <c r="H149" s="9" t="n">
        <v>0</v>
      </c>
      <c r="I149" s="9"/>
      <c r="J149" s="30"/>
    </row>
    <row r="150" customFormat="false" ht="12.95" hidden="false" customHeight="true" outlineLevel="0" collapsed="false">
      <c r="A150" s="1" t="n">
        <v>30</v>
      </c>
      <c r="B150" s="31" t="n">
        <v>32387</v>
      </c>
      <c r="C150" s="9" t="n">
        <v>1511000</v>
      </c>
      <c r="D150" s="58" t="s">
        <v>41</v>
      </c>
      <c r="E150" s="33" t="n">
        <f aca="false">IF(D150="totale",(C150/(A150*24))/F150,IF(D150="marché libre",(C150/(A150*24))/G150,"spécifier histo"))</f>
        <v>0.533319215021883</v>
      </c>
      <c r="F150" s="59" t="n">
        <v>3935</v>
      </c>
      <c r="G150" s="59" t="n">
        <f aca="false">F150-H150</f>
        <v>3935</v>
      </c>
      <c r="H150" s="9" t="n">
        <v>0</v>
      </c>
      <c r="I150" s="9"/>
      <c r="J150" s="30"/>
    </row>
    <row r="151" customFormat="false" ht="12.95" hidden="false" customHeight="true" outlineLevel="0" collapsed="false">
      <c r="A151" s="1" t="n">
        <v>31</v>
      </c>
      <c r="B151" s="34" t="n">
        <v>32417</v>
      </c>
      <c r="C151" s="9" t="n">
        <v>1525000</v>
      </c>
      <c r="D151" s="58" t="s">
        <v>41</v>
      </c>
      <c r="E151" s="33" t="n">
        <f aca="false">IF(D151="totale",(C151/(A151*24))/F151,IF(D151="marché libre",(C151/(A151*24))/G151,"spécifier histo"))</f>
        <v>0.520897378092935</v>
      </c>
      <c r="F151" s="59" t="n">
        <v>3935</v>
      </c>
      <c r="G151" s="59" t="n">
        <f aca="false">F151-H151</f>
        <v>3935</v>
      </c>
      <c r="H151" s="9" t="n">
        <v>0</v>
      </c>
      <c r="I151" s="9"/>
      <c r="J151" s="30"/>
    </row>
    <row r="152" customFormat="false" ht="12.95" hidden="false" customHeight="true" outlineLevel="0" collapsed="false">
      <c r="A152" s="1" t="n">
        <v>30</v>
      </c>
      <c r="B152" s="31" t="n">
        <v>32448</v>
      </c>
      <c r="C152" s="9" t="n">
        <v>844000</v>
      </c>
      <c r="D152" s="58" t="s">
        <v>41</v>
      </c>
      <c r="E152" s="33" t="n">
        <f aca="false">IF(D152="totale",(C152/(A152*24))/F152,IF(D152="marché libre",(C152/(A152*24))/G152,"spécifier histo"))</f>
        <v>0.297896371593957</v>
      </c>
      <c r="F152" s="59" t="n">
        <v>3935</v>
      </c>
      <c r="G152" s="59" t="n">
        <f aca="false">F152-H152</f>
        <v>3935</v>
      </c>
      <c r="H152" s="9" t="n">
        <v>0</v>
      </c>
      <c r="I152" s="9"/>
      <c r="J152" s="30"/>
    </row>
    <row r="153" customFormat="false" ht="12.95" hidden="false" customHeight="true" outlineLevel="0" collapsed="false">
      <c r="A153" s="1" t="n">
        <v>31</v>
      </c>
      <c r="B153" s="34" t="n">
        <v>32478</v>
      </c>
      <c r="C153" s="9" t="n">
        <v>804000</v>
      </c>
      <c r="D153" s="58" t="s">
        <v>41</v>
      </c>
      <c r="E153" s="33" t="n">
        <f aca="false">IF(D153="totale",(C153/(A153*24))/F153,IF(D153="marché libre",(C153/(A153*24))/G153,"spécifier histo"))</f>
        <v>0.274623929171619</v>
      </c>
      <c r="F153" s="59" t="n">
        <v>3935</v>
      </c>
      <c r="G153" s="59" t="n">
        <f aca="false">F153-H153</f>
        <v>3935</v>
      </c>
      <c r="H153" s="9" t="n">
        <v>0</v>
      </c>
      <c r="I153" s="9"/>
      <c r="J153" s="30"/>
    </row>
    <row r="154" customFormat="false" ht="12.95" hidden="false" customHeight="true" outlineLevel="0" collapsed="false">
      <c r="A154" s="1" t="n">
        <v>31</v>
      </c>
      <c r="B154" s="31" t="n">
        <v>32509</v>
      </c>
      <c r="C154" s="9" t="n">
        <v>445000</v>
      </c>
      <c r="D154" s="58" t="s">
        <v>41</v>
      </c>
      <c r="E154" s="33" t="n">
        <f aca="false">IF(D154="totale",(C154/(A154*24))/F154,IF(D154="marché libre",(C154/(A154*24))/G154,"spécifier histo"))</f>
        <v>0.151999562787774</v>
      </c>
      <c r="F154" s="59" t="n">
        <v>3935</v>
      </c>
      <c r="G154" s="59" t="n">
        <f aca="false">F154-H154</f>
        <v>3935</v>
      </c>
      <c r="H154" s="9" t="n">
        <v>0</v>
      </c>
      <c r="I154" s="9"/>
      <c r="J154" s="30"/>
    </row>
    <row r="155" customFormat="false" ht="12.95" hidden="false" customHeight="true" outlineLevel="0" collapsed="false">
      <c r="A155" s="1" t="n">
        <v>28</v>
      </c>
      <c r="B155" s="34" t="n">
        <v>32540</v>
      </c>
      <c r="C155" s="9" t="n">
        <v>346000</v>
      </c>
      <c r="D155" s="58" t="s">
        <v>41</v>
      </c>
      <c r="E155" s="33" t="n">
        <f aca="false">IF(D155="totale",(C155/(A155*24))/F155,IF(D155="marché libre",(C155/(A155*24))/G155,"spécifier histo"))</f>
        <v>0.130846493616506</v>
      </c>
      <c r="F155" s="59" t="n">
        <v>3935</v>
      </c>
      <c r="G155" s="59" t="n">
        <f aca="false">F155-H155</f>
        <v>3935</v>
      </c>
      <c r="H155" s="9" t="n">
        <v>0</v>
      </c>
      <c r="I155" s="9"/>
      <c r="J155" s="30"/>
    </row>
    <row r="156" customFormat="false" ht="12.95" hidden="false" customHeight="true" outlineLevel="0" collapsed="false">
      <c r="A156" s="1" t="n">
        <v>31</v>
      </c>
      <c r="B156" s="31" t="n">
        <v>32568</v>
      </c>
      <c r="C156" s="9" t="n">
        <v>658000</v>
      </c>
      <c r="D156" s="58" t="s">
        <v>41</v>
      </c>
      <c r="E156" s="33" t="n">
        <f aca="false">IF(D156="totale",(C156/(A156*24))/F156,IF(D156="marché libre",(C156/(A156*24))/G156,"spécifier histo"))</f>
        <v>0.224754409695181</v>
      </c>
      <c r="F156" s="59" t="n">
        <v>3935</v>
      </c>
      <c r="G156" s="59" t="n">
        <f aca="false">F156-H156</f>
        <v>3935</v>
      </c>
      <c r="H156" s="9" t="n">
        <v>0</v>
      </c>
      <c r="I156" s="9"/>
      <c r="J156" s="30"/>
    </row>
    <row r="157" customFormat="false" ht="12.95" hidden="false" customHeight="true" outlineLevel="0" collapsed="false">
      <c r="A157" s="1" t="n">
        <v>30</v>
      </c>
      <c r="B157" s="34" t="n">
        <v>32599</v>
      </c>
      <c r="C157" s="9" t="n">
        <v>776000</v>
      </c>
      <c r="D157" s="58" t="s">
        <v>41</v>
      </c>
      <c r="E157" s="33" t="n">
        <f aca="false">IF(D157="totale",(C157/(A157*24))/F157,IF(D157="marché libre",(C157/(A157*24))/G157,"spécifier histo"))</f>
        <v>0.273895242129041</v>
      </c>
      <c r="F157" s="59" t="n">
        <v>3935</v>
      </c>
      <c r="G157" s="59" t="n">
        <f aca="false">F157-H157</f>
        <v>3935</v>
      </c>
      <c r="H157" s="9" t="n">
        <v>0</v>
      </c>
      <c r="I157" s="9"/>
      <c r="J157" s="30"/>
    </row>
    <row r="158" customFormat="false" ht="12.95" hidden="false" customHeight="true" outlineLevel="0" collapsed="false">
      <c r="A158" s="1" t="n">
        <v>31</v>
      </c>
      <c r="B158" s="31" t="n">
        <v>32629</v>
      </c>
      <c r="C158" s="9" t="n">
        <v>2446000</v>
      </c>
      <c r="D158" s="58" t="s">
        <v>41</v>
      </c>
      <c r="E158" s="33" t="n">
        <f aca="false">IF(D158="totale",(C158/(A158*24))/F158,IF(D158="marché libre",(C158/(A158*24))/G158,"spécifier histo"))</f>
        <v>0.835485237255947</v>
      </c>
      <c r="F158" s="59" t="n">
        <v>3935</v>
      </c>
      <c r="G158" s="59" t="n">
        <f aca="false">F158-H158</f>
        <v>3935</v>
      </c>
      <c r="H158" s="9" t="n">
        <v>0</v>
      </c>
      <c r="I158" s="9"/>
      <c r="J158" s="30"/>
    </row>
    <row r="159" customFormat="false" ht="12.95" hidden="false" customHeight="true" outlineLevel="0" collapsed="false">
      <c r="A159" s="1" t="n">
        <v>30</v>
      </c>
      <c r="B159" s="34" t="n">
        <v>32660</v>
      </c>
      <c r="C159" s="9" t="n">
        <v>2083000</v>
      </c>
      <c r="D159" s="58" t="s">
        <v>41</v>
      </c>
      <c r="E159" s="33" t="n">
        <f aca="false">IF(D159="totale",(C159/(A159*24))/F159,IF(D159="marché libre",(C159/(A159*24))/G159,"spécifier histo"))</f>
        <v>0.735211068756177</v>
      </c>
      <c r="F159" s="59" t="n">
        <v>3935</v>
      </c>
      <c r="G159" s="59" t="n">
        <f aca="false">F159-H159</f>
        <v>3935</v>
      </c>
      <c r="H159" s="9" t="n">
        <v>0</v>
      </c>
      <c r="I159" s="9"/>
      <c r="J159" s="30"/>
    </row>
    <row r="160" customFormat="false" ht="12.95" hidden="false" customHeight="true" outlineLevel="0" collapsed="false">
      <c r="A160" s="1" t="n">
        <v>31</v>
      </c>
      <c r="B160" s="31" t="n">
        <v>32690</v>
      </c>
      <c r="C160" s="9" t="n">
        <v>1878000</v>
      </c>
      <c r="D160" s="58" t="s">
        <v>41</v>
      </c>
      <c r="E160" s="33" t="n">
        <f aca="false">IF(D160="totale",(C160/(A160*24))/F160,IF(D160="marché libre",(C160/(A160*24))/G160,"spécifier histo"))</f>
        <v>0.641472312169529</v>
      </c>
      <c r="F160" s="59" t="n">
        <v>3935</v>
      </c>
      <c r="G160" s="59" t="n">
        <f aca="false">F160-H160</f>
        <v>3935</v>
      </c>
      <c r="H160" s="9" t="n">
        <v>0</v>
      </c>
      <c r="I160" s="9"/>
      <c r="J160" s="30"/>
    </row>
    <row r="161" customFormat="false" ht="12.95" hidden="false" customHeight="true" outlineLevel="0" collapsed="false">
      <c r="A161" s="1" t="n">
        <v>31</v>
      </c>
      <c r="B161" s="34" t="n">
        <v>32721</v>
      </c>
      <c r="C161" s="9" t="n">
        <v>1200000</v>
      </c>
      <c r="D161" s="58" t="s">
        <v>41</v>
      </c>
      <c r="E161" s="33" t="n">
        <f aca="false">IF(D161="totale",(C161/(A161*24))/F161,IF(D161="marché libre",(C161/(A161*24))/G161,"spécifier histo"))</f>
        <v>0.409886461450178</v>
      </c>
      <c r="F161" s="59" t="n">
        <v>3935</v>
      </c>
      <c r="G161" s="59" t="n">
        <f aca="false">F161-H161</f>
        <v>3935</v>
      </c>
      <c r="H161" s="9" t="n">
        <v>0</v>
      </c>
      <c r="I161" s="9"/>
      <c r="J161" s="30"/>
    </row>
    <row r="162" customFormat="false" ht="12.95" hidden="false" customHeight="true" outlineLevel="0" collapsed="false">
      <c r="A162" s="1" t="n">
        <v>30</v>
      </c>
      <c r="B162" s="31" t="n">
        <v>32752</v>
      </c>
      <c r="C162" s="9" t="n">
        <v>832000</v>
      </c>
      <c r="D162" s="58" t="s">
        <v>41</v>
      </c>
      <c r="E162" s="33" t="n">
        <f aca="false">IF(D162="totale",(C162/(A162*24))/F162,IF(D162="marché libre",(C162/(A162*24))/G162,"spécifier histo"))</f>
        <v>0.293660878158972</v>
      </c>
      <c r="F162" s="59" t="n">
        <v>3935</v>
      </c>
      <c r="G162" s="59" t="n">
        <f aca="false">F162-H162</f>
        <v>3935</v>
      </c>
      <c r="H162" s="9" t="n">
        <v>0</v>
      </c>
      <c r="I162" s="9"/>
      <c r="J162" s="30"/>
    </row>
    <row r="163" customFormat="false" ht="12.95" hidden="false" customHeight="true" outlineLevel="0" collapsed="false">
      <c r="A163" s="1" t="n">
        <v>31</v>
      </c>
      <c r="B163" s="34" t="n">
        <v>32782</v>
      </c>
      <c r="C163" s="9" t="n">
        <v>580000</v>
      </c>
      <c r="D163" s="58" t="s">
        <v>41</v>
      </c>
      <c r="E163" s="33" t="n">
        <f aca="false">IF(D163="totale",(C163/(A163*24))/F163,IF(D163="marché libre",(C163/(A163*24))/G163,"spécifier histo"))</f>
        <v>0.19811178970092</v>
      </c>
      <c r="F163" s="59" t="n">
        <v>3935</v>
      </c>
      <c r="G163" s="59" t="n">
        <f aca="false">F163-H163</f>
        <v>3935</v>
      </c>
      <c r="H163" s="9" t="n">
        <v>0</v>
      </c>
      <c r="I163" s="9"/>
      <c r="J163" s="30"/>
    </row>
    <row r="164" customFormat="false" ht="12.95" hidden="false" customHeight="true" outlineLevel="0" collapsed="false">
      <c r="A164" s="1" t="n">
        <v>30</v>
      </c>
      <c r="B164" s="31" t="n">
        <v>32813</v>
      </c>
      <c r="C164" s="9" t="n">
        <v>453000</v>
      </c>
      <c r="D164" s="58" t="s">
        <v>41</v>
      </c>
      <c r="E164" s="33" t="n">
        <f aca="false">IF(D164="totale",(C164/(A164*24))/F164,IF(D164="marché libre",(C164/(A164*24))/G164,"spécifier histo"))</f>
        <v>0.15988987717069</v>
      </c>
      <c r="F164" s="59" t="n">
        <v>3935</v>
      </c>
      <c r="G164" s="59" t="n">
        <f aca="false">F164-H164</f>
        <v>3935</v>
      </c>
      <c r="H164" s="9" t="n">
        <v>0</v>
      </c>
      <c r="I164" s="9"/>
      <c r="J164" s="30"/>
    </row>
    <row r="165" customFormat="false" ht="12.95" hidden="false" customHeight="true" outlineLevel="0" collapsed="false">
      <c r="A165" s="1" t="n">
        <v>31</v>
      </c>
      <c r="B165" s="34" t="n">
        <v>32843</v>
      </c>
      <c r="C165" s="9" t="n">
        <v>539000</v>
      </c>
      <c r="D165" s="58" t="s">
        <v>41</v>
      </c>
      <c r="E165" s="33" t="n">
        <f aca="false">IF(D165="totale",(C165/(A165*24))/F165,IF(D165="marché libre",(C165/(A165*24))/G165,"spécifier histo"))</f>
        <v>0.184107335601372</v>
      </c>
      <c r="F165" s="59" t="n">
        <v>3935</v>
      </c>
      <c r="G165" s="59" t="n">
        <f aca="false">F165-H165</f>
        <v>3935</v>
      </c>
      <c r="H165" s="9" t="n">
        <v>0</v>
      </c>
      <c r="I165" s="9"/>
      <c r="J165" s="30"/>
    </row>
    <row r="166" customFormat="false" ht="12.95" hidden="false" customHeight="true" outlineLevel="0" collapsed="false">
      <c r="A166" s="1" t="n">
        <v>31</v>
      </c>
      <c r="B166" s="31" t="n">
        <v>32874</v>
      </c>
      <c r="C166" s="9" t="n">
        <v>318000</v>
      </c>
      <c r="D166" s="58" t="s">
        <v>41</v>
      </c>
      <c r="E166" s="33" t="n">
        <f aca="false">IF(D166="totale",(C166/(A166*24))/F166,IF(D166="marché libre",(C166/(A166*24))/G166,"spécifier histo"))</f>
        <v>0.108619912284297</v>
      </c>
      <c r="F166" s="59" t="n">
        <v>3935</v>
      </c>
      <c r="G166" s="59" t="n">
        <f aca="false">F166-H166</f>
        <v>3935</v>
      </c>
      <c r="H166" s="9" t="n">
        <v>0</v>
      </c>
      <c r="I166" s="9"/>
      <c r="J166" s="30"/>
    </row>
    <row r="167" customFormat="false" ht="12.95" hidden="false" customHeight="true" outlineLevel="0" collapsed="false">
      <c r="A167" s="1" t="n">
        <v>28</v>
      </c>
      <c r="B167" s="34" t="n">
        <v>32905</v>
      </c>
      <c r="C167" s="9" t="n">
        <v>705000</v>
      </c>
      <c r="D167" s="58" t="s">
        <v>41</v>
      </c>
      <c r="E167" s="33" t="n">
        <f aca="false">IF(D167="totale",(C167/(A167*24))/F167,IF(D167="marché libre",(C167/(A167*24))/G167,"spécifier histo"))</f>
        <v>0.266609184970049</v>
      </c>
      <c r="F167" s="59" t="n">
        <v>3935</v>
      </c>
      <c r="G167" s="59" t="n">
        <f aca="false">F167-H167</f>
        <v>3935</v>
      </c>
      <c r="H167" s="9" t="n">
        <v>0</v>
      </c>
      <c r="I167" s="9"/>
      <c r="J167" s="30"/>
    </row>
    <row r="168" customFormat="false" ht="12.95" hidden="false" customHeight="true" outlineLevel="0" collapsed="false">
      <c r="A168" s="1" t="n">
        <v>31</v>
      </c>
      <c r="B168" s="31" t="n">
        <v>32933</v>
      </c>
      <c r="C168" s="9" t="n">
        <v>768000</v>
      </c>
      <c r="D168" s="58" t="s">
        <v>41</v>
      </c>
      <c r="E168" s="33" t="n">
        <f aca="false">IF(D168="totale",(C168/(A168*24))/F168,IF(D168="marché libre",(C168/(A168*24))/G168,"spécifier histo"))</f>
        <v>0.262327335328114</v>
      </c>
      <c r="F168" s="59" t="n">
        <v>3935</v>
      </c>
      <c r="G168" s="59" t="n">
        <f aca="false">F168-H168</f>
        <v>3935</v>
      </c>
      <c r="H168" s="9" t="n">
        <v>0</v>
      </c>
      <c r="I168" s="9"/>
      <c r="J168" s="30"/>
    </row>
    <row r="169" customFormat="false" ht="12.95" hidden="false" customHeight="true" outlineLevel="0" collapsed="false">
      <c r="A169" s="1" t="n">
        <v>30</v>
      </c>
      <c r="B169" s="34" t="n">
        <v>32964</v>
      </c>
      <c r="C169" s="9" t="n">
        <v>682000</v>
      </c>
      <c r="D169" s="58" t="s">
        <v>41</v>
      </c>
      <c r="E169" s="33" t="n">
        <f aca="false">IF(D169="totale",(C169/(A169*24))/F169,IF(D169="marché libre",(C169/(A169*24))/G169,"spécifier histo"))</f>
        <v>0.240717210221657</v>
      </c>
      <c r="F169" s="59" t="n">
        <v>3935</v>
      </c>
      <c r="G169" s="59" t="n">
        <f aca="false">F169-H169</f>
        <v>3935</v>
      </c>
      <c r="H169" s="9" t="n">
        <v>0</v>
      </c>
      <c r="I169" s="9"/>
      <c r="J169" s="30"/>
    </row>
    <row r="170" customFormat="false" ht="12.95" hidden="false" customHeight="true" outlineLevel="0" collapsed="false">
      <c r="A170" s="1" t="n">
        <v>31</v>
      </c>
      <c r="B170" s="31" t="n">
        <v>32994</v>
      </c>
      <c r="C170" s="9" t="n">
        <v>2373000</v>
      </c>
      <c r="D170" s="58" t="s">
        <v>41</v>
      </c>
      <c r="E170" s="33" t="n">
        <f aca="false">IF(D170="totale",(C170/(A170*24))/F170,IF(D170="marché libre",(C170/(A170*24))/G170,"spécifier histo"))</f>
        <v>0.810550477517728</v>
      </c>
      <c r="F170" s="59" t="n">
        <v>3935</v>
      </c>
      <c r="G170" s="59" t="n">
        <f aca="false">F170-H170</f>
        <v>3935</v>
      </c>
      <c r="H170" s="9" t="n">
        <v>0</v>
      </c>
      <c r="I170" s="9"/>
      <c r="J170" s="30"/>
    </row>
    <row r="171" customFormat="false" ht="12.95" hidden="false" customHeight="true" outlineLevel="0" collapsed="false">
      <c r="A171" s="1" t="n">
        <v>30</v>
      </c>
      <c r="B171" s="34" t="n">
        <v>33025</v>
      </c>
      <c r="C171" s="9" t="n">
        <v>2587000</v>
      </c>
      <c r="D171" s="58" t="s">
        <v>41</v>
      </c>
      <c r="E171" s="33" t="n">
        <f aca="false">IF(D171="totale",(C171/(A171*24))/F171,IF(D171="marché libre",(C171/(A171*24))/G171,"spécifier histo"))</f>
        <v>0.913101793025554</v>
      </c>
      <c r="F171" s="59" t="n">
        <v>3935</v>
      </c>
      <c r="G171" s="59" t="n">
        <f aca="false">F171-H171</f>
        <v>3935</v>
      </c>
      <c r="H171" s="9" t="n">
        <v>0</v>
      </c>
      <c r="I171" s="9"/>
      <c r="J171" s="30"/>
    </row>
    <row r="172" customFormat="false" ht="12.95" hidden="false" customHeight="true" outlineLevel="0" collapsed="false">
      <c r="A172" s="1" t="n">
        <v>31</v>
      </c>
      <c r="B172" s="31" t="n">
        <v>33055</v>
      </c>
      <c r="C172" s="9" t="n">
        <v>2178000</v>
      </c>
      <c r="D172" s="58" t="s">
        <v>41</v>
      </c>
      <c r="E172" s="33" t="n">
        <f aca="false">IF(D172="totale",(C172/(A172*24))/F172,IF(D172="marché libre",(C172/(A172*24))/G172,"spécifier histo"))</f>
        <v>0.743943927532074</v>
      </c>
      <c r="F172" s="59" t="n">
        <v>3935</v>
      </c>
      <c r="G172" s="59" t="n">
        <f aca="false">F172-H172</f>
        <v>3935</v>
      </c>
      <c r="H172" s="9" t="n">
        <v>0</v>
      </c>
      <c r="I172" s="9"/>
      <c r="J172" s="30"/>
    </row>
    <row r="173" customFormat="false" ht="12.95" hidden="false" customHeight="true" outlineLevel="0" collapsed="false">
      <c r="A173" s="1" t="n">
        <v>31</v>
      </c>
      <c r="B173" s="34" t="n">
        <v>33086</v>
      </c>
      <c r="C173" s="9" t="n">
        <v>1182000</v>
      </c>
      <c r="D173" s="58" t="s">
        <v>41</v>
      </c>
      <c r="E173" s="33" t="n">
        <f aca="false">IF(D173="totale",(C173/(A173*24))/F173,IF(D173="marché libre",(C173/(A173*24))/G173,"spécifier histo"))</f>
        <v>0.403738164528426</v>
      </c>
      <c r="F173" s="59" t="n">
        <v>3935</v>
      </c>
      <c r="G173" s="59" t="n">
        <f aca="false">F173-H173</f>
        <v>3935</v>
      </c>
      <c r="H173" s="9" t="n">
        <v>0</v>
      </c>
      <c r="I173" s="9"/>
      <c r="J173" s="30"/>
    </row>
    <row r="174" customFormat="false" ht="12.95" hidden="false" customHeight="true" outlineLevel="0" collapsed="false">
      <c r="A174" s="1" t="n">
        <v>30</v>
      </c>
      <c r="B174" s="31" t="n">
        <v>33117</v>
      </c>
      <c r="C174" s="9" t="n">
        <v>901000</v>
      </c>
      <c r="D174" s="58" t="s">
        <v>41</v>
      </c>
      <c r="E174" s="33" t="n">
        <f aca="false">IF(D174="totale",(C174/(A174*24))/F174,IF(D174="marché libre",(C174/(A174*24))/G174,"spécifier histo"))</f>
        <v>0.318014965410137</v>
      </c>
      <c r="F174" s="59" t="n">
        <v>3935</v>
      </c>
      <c r="G174" s="59" t="n">
        <f aca="false">F174-H174</f>
        <v>3935</v>
      </c>
      <c r="H174" s="9" t="n">
        <v>0</v>
      </c>
      <c r="I174" s="9"/>
      <c r="J174" s="30"/>
    </row>
    <row r="175" customFormat="false" ht="12.95" hidden="false" customHeight="true" outlineLevel="0" collapsed="false">
      <c r="A175" s="1" t="n">
        <v>31</v>
      </c>
      <c r="B175" s="34" t="n">
        <v>33147</v>
      </c>
      <c r="C175" s="9" t="n">
        <v>1015000</v>
      </c>
      <c r="D175" s="58" t="s">
        <v>41</v>
      </c>
      <c r="E175" s="33" t="n">
        <f aca="false">IF(D175="totale",(C175/(A175*24))/F175,IF(D175="marché libre",(C175/(A175*24))/G175,"spécifier histo"))</f>
        <v>0.346695631976609</v>
      </c>
      <c r="F175" s="59" t="n">
        <v>3935</v>
      </c>
      <c r="G175" s="59" t="n">
        <f aca="false">F175-H175</f>
        <v>3935</v>
      </c>
      <c r="H175" s="9" t="n">
        <v>0</v>
      </c>
      <c r="I175" s="9"/>
      <c r="J175" s="30"/>
    </row>
    <row r="176" customFormat="false" ht="12.95" hidden="false" customHeight="true" outlineLevel="0" collapsed="false">
      <c r="A176" s="1" t="n">
        <v>30</v>
      </c>
      <c r="B176" s="31" t="n">
        <v>33178</v>
      </c>
      <c r="C176" s="9" t="n">
        <v>1377000</v>
      </c>
      <c r="D176" s="58" t="s">
        <v>41</v>
      </c>
      <c r="E176" s="33" t="n">
        <f aca="false">IF(D176="totale",(C176/(A176*24))/F176,IF(D176="marché libre",(C176/(A176*24))/G176,"spécifier histo"))</f>
        <v>0.486022871664549</v>
      </c>
      <c r="F176" s="59" t="n">
        <v>3935</v>
      </c>
      <c r="G176" s="59" t="n">
        <f aca="false">F176-H176</f>
        <v>3935</v>
      </c>
      <c r="H176" s="9" t="n">
        <v>0</v>
      </c>
      <c r="I176" s="9"/>
      <c r="J176" s="30"/>
    </row>
    <row r="177" customFormat="false" ht="12.95" hidden="false" customHeight="true" outlineLevel="0" collapsed="false">
      <c r="A177" s="1" t="n">
        <v>31</v>
      </c>
      <c r="B177" s="34" t="n">
        <v>33208</v>
      </c>
      <c r="C177" s="9" t="n">
        <v>714000</v>
      </c>
      <c r="D177" s="58" t="s">
        <v>41</v>
      </c>
      <c r="E177" s="33" t="n">
        <f aca="false">IF(D177="totale",(C177/(A177*24))/F177,IF(D177="marché libre",(C177/(A177*24))/G177,"spécifier histo"))</f>
        <v>0.243882444562856</v>
      </c>
      <c r="F177" s="59" t="n">
        <v>3935</v>
      </c>
      <c r="G177" s="59" t="n">
        <f aca="false">F177-H177</f>
        <v>3935</v>
      </c>
      <c r="H177" s="9" t="n">
        <v>0</v>
      </c>
      <c r="I177" s="9"/>
      <c r="J177" s="30"/>
    </row>
    <row r="178" customFormat="false" ht="12.95" hidden="false" customHeight="true" outlineLevel="0" collapsed="false">
      <c r="A178" s="1" t="n">
        <v>31</v>
      </c>
      <c r="B178" s="31" t="n">
        <v>33239</v>
      </c>
      <c r="C178" s="9" t="n">
        <v>719000</v>
      </c>
      <c r="D178" s="58" t="s">
        <v>41</v>
      </c>
      <c r="E178" s="33" t="n">
        <f aca="false">IF(D178="totale",(C178/(A178*24))/F178,IF(D178="marché libre",(C178/(A178*24))/G178,"spécifier histo"))</f>
        <v>0.245590304818898</v>
      </c>
      <c r="F178" s="59" t="n">
        <v>3935</v>
      </c>
      <c r="G178" s="59" t="n">
        <f aca="false">F178-H178</f>
        <v>3935</v>
      </c>
      <c r="H178" s="9" t="n">
        <v>0</v>
      </c>
      <c r="I178" s="9"/>
      <c r="J178" s="30"/>
    </row>
    <row r="179" customFormat="false" ht="12.95" hidden="false" customHeight="true" outlineLevel="0" collapsed="false">
      <c r="A179" s="1" t="n">
        <v>28</v>
      </c>
      <c r="B179" s="34" t="n">
        <v>33270</v>
      </c>
      <c r="C179" s="9" t="n">
        <v>386000</v>
      </c>
      <c r="D179" s="58" t="s">
        <v>41</v>
      </c>
      <c r="E179" s="33" t="n">
        <f aca="false">IF(D179="totale",(C179/(A179*24))/F179,IF(D179="marché libre",(C179/(A179*24))/G179,"spécifier histo"))</f>
        <v>0.145973255884311</v>
      </c>
      <c r="F179" s="59" t="n">
        <v>3935</v>
      </c>
      <c r="G179" s="59" t="n">
        <f aca="false">F179-H179</f>
        <v>3935</v>
      </c>
      <c r="H179" s="9" t="n">
        <v>0</v>
      </c>
      <c r="I179" s="9"/>
      <c r="J179" s="30"/>
    </row>
    <row r="180" customFormat="false" ht="12.95" hidden="false" customHeight="true" outlineLevel="0" collapsed="false">
      <c r="A180" s="1" t="n">
        <v>31</v>
      </c>
      <c r="B180" s="31" t="n">
        <v>33298</v>
      </c>
      <c r="C180" s="9" t="n">
        <v>812000</v>
      </c>
      <c r="D180" s="58" t="s">
        <v>41</v>
      </c>
      <c r="E180" s="33" t="n">
        <f aca="false">IF(D180="totale",(C180/(A180*24))/F180,IF(D180="marché libre",(C180/(A180*24))/G180,"spécifier histo"))</f>
        <v>0.277356505581287</v>
      </c>
      <c r="F180" s="59" t="n">
        <v>3935</v>
      </c>
      <c r="G180" s="59" t="n">
        <f aca="false">F180-H180</f>
        <v>3935</v>
      </c>
      <c r="H180" s="9" t="n">
        <v>0</v>
      </c>
      <c r="I180" s="9"/>
      <c r="J180" s="30"/>
    </row>
    <row r="181" customFormat="false" ht="12.95" hidden="false" customHeight="true" outlineLevel="0" collapsed="false">
      <c r="A181" s="1" t="n">
        <v>30</v>
      </c>
      <c r="B181" s="34" t="n">
        <v>33329</v>
      </c>
      <c r="C181" s="9" t="n">
        <v>751000</v>
      </c>
      <c r="D181" s="58" t="s">
        <v>41</v>
      </c>
      <c r="E181" s="33" t="n">
        <f aca="false">IF(D181="totale",(C181/(A181*24))/F181,IF(D181="marché libre",(C181/(A181*24))/G181,"spécifier histo"))</f>
        <v>0.265071297472822</v>
      </c>
      <c r="F181" s="59" t="n">
        <v>3935</v>
      </c>
      <c r="G181" s="59" t="n">
        <f aca="false">F181-H181</f>
        <v>3935</v>
      </c>
      <c r="H181" s="9" t="n">
        <v>0</v>
      </c>
      <c r="I181" s="9"/>
      <c r="J181" s="30"/>
    </row>
    <row r="182" customFormat="false" ht="12.95" hidden="false" customHeight="true" outlineLevel="0" collapsed="false">
      <c r="A182" s="1" t="n">
        <v>31</v>
      </c>
      <c r="B182" s="31" t="n">
        <v>33359</v>
      </c>
      <c r="C182" s="9" t="n">
        <v>1437000</v>
      </c>
      <c r="D182" s="58" t="s">
        <v>41</v>
      </c>
      <c r="E182" s="33" t="n">
        <f aca="false">IF(D182="totale",(C182/(A182*24))/F182,IF(D182="marché libre",(C182/(A182*24))/G182,"spécifier histo"))</f>
        <v>0.490839037586589</v>
      </c>
      <c r="F182" s="59" t="n">
        <v>3935</v>
      </c>
      <c r="G182" s="59" t="n">
        <f aca="false">F182-H182</f>
        <v>3935</v>
      </c>
      <c r="H182" s="9" t="n">
        <v>0</v>
      </c>
      <c r="I182" s="9"/>
      <c r="J182" s="30"/>
    </row>
    <row r="183" customFormat="false" ht="12.95" hidden="false" customHeight="true" outlineLevel="0" collapsed="false">
      <c r="A183" s="1" t="n">
        <v>30</v>
      </c>
      <c r="B183" s="34" t="n">
        <v>33390</v>
      </c>
      <c r="C183" s="9" t="n">
        <v>2930000</v>
      </c>
      <c r="D183" s="58" t="s">
        <v>41</v>
      </c>
      <c r="E183" s="33" t="n">
        <f aca="false">IF(D183="totale",(C183/(A183*24))/F183,IF(D183="marché libre",(C183/(A183*24))/G183,"spécifier histo"))</f>
        <v>1.03416631370888</v>
      </c>
      <c r="F183" s="59" t="n">
        <v>3935</v>
      </c>
      <c r="G183" s="59" t="n">
        <f aca="false">F183-H183</f>
        <v>3935</v>
      </c>
      <c r="H183" s="9" t="n">
        <v>0</v>
      </c>
      <c r="I183" s="9"/>
      <c r="J183" s="30"/>
    </row>
    <row r="184" customFormat="false" ht="12.95" hidden="false" customHeight="true" outlineLevel="0" collapsed="false">
      <c r="A184" s="1" t="n">
        <v>31</v>
      </c>
      <c r="B184" s="31" t="n">
        <v>33420</v>
      </c>
      <c r="C184" s="9" t="n">
        <v>2510000</v>
      </c>
      <c r="D184" s="58" t="s">
        <v>41</v>
      </c>
      <c r="E184" s="33" t="n">
        <f aca="false">IF(D184="totale",(C184/(A184*24))/F184,IF(D184="marché libre",(C184/(A184*24))/G184,"spécifier histo"))</f>
        <v>0.857345848533289</v>
      </c>
      <c r="F184" s="59" t="n">
        <v>3935</v>
      </c>
      <c r="G184" s="59" t="n">
        <f aca="false">F184-H184</f>
        <v>3935</v>
      </c>
      <c r="H184" s="9" t="n">
        <v>0</v>
      </c>
      <c r="I184" s="9"/>
      <c r="J184" s="30"/>
    </row>
    <row r="185" customFormat="false" ht="12.95" hidden="false" customHeight="true" outlineLevel="0" collapsed="false">
      <c r="A185" s="1" t="n">
        <v>31</v>
      </c>
      <c r="B185" s="34" t="n">
        <v>33451</v>
      </c>
      <c r="C185" s="9" t="n">
        <v>1379000</v>
      </c>
      <c r="D185" s="58" t="s">
        <v>41</v>
      </c>
      <c r="E185" s="33" t="n">
        <f aca="false">IF(D185="totale",(C185/(A185*24))/F185,IF(D185="marché libre",(C185/(A185*24))/G185,"spécifier histo"))</f>
        <v>0.471027858616497</v>
      </c>
      <c r="F185" s="59" t="n">
        <v>3935</v>
      </c>
      <c r="G185" s="59" t="n">
        <f aca="false">F185-H185</f>
        <v>3935</v>
      </c>
      <c r="H185" s="9" t="n">
        <v>0</v>
      </c>
      <c r="I185" s="9"/>
      <c r="J185" s="30"/>
    </row>
    <row r="186" customFormat="false" ht="12.95" hidden="false" customHeight="true" outlineLevel="0" collapsed="false">
      <c r="A186" s="1" t="n">
        <v>30</v>
      </c>
      <c r="B186" s="31" t="n">
        <v>33482</v>
      </c>
      <c r="C186" s="9" t="n">
        <v>1043000</v>
      </c>
      <c r="D186" s="58" t="s">
        <v>41</v>
      </c>
      <c r="E186" s="33" t="n">
        <f aca="false">IF(D186="totale",(C186/(A186*24))/F186,IF(D186="marché libre",(C186/(A186*24))/G186,"spécifier histo"))</f>
        <v>0.368134971057462</v>
      </c>
      <c r="F186" s="59" t="n">
        <v>3935</v>
      </c>
      <c r="G186" s="59" t="n">
        <f aca="false">F186-H186</f>
        <v>3935</v>
      </c>
      <c r="H186" s="9" t="n">
        <v>0</v>
      </c>
      <c r="I186" s="9"/>
      <c r="J186" s="30"/>
    </row>
    <row r="187" customFormat="false" ht="12.95" hidden="false" customHeight="true" outlineLevel="0" collapsed="false">
      <c r="A187" s="1" t="n">
        <v>31</v>
      </c>
      <c r="B187" s="34" t="n">
        <v>33512</v>
      </c>
      <c r="C187" s="9" t="n">
        <v>1207000</v>
      </c>
      <c r="D187" s="58" t="s">
        <v>41</v>
      </c>
      <c r="E187" s="33" t="n">
        <f aca="false">IF(D187="totale",(C187/(A187*24))/F187,IF(D187="marché libre",(C187/(A187*24))/G187,"spécifier histo"))</f>
        <v>0.412277465808638</v>
      </c>
      <c r="F187" s="59" t="n">
        <v>3935</v>
      </c>
      <c r="G187" s="59" t="n">
        <f aca="false">F187-H187</f>
        <v>3935</v>
      </c>
      <c r="H187" s="9" t="n">
        <v>0</v>
      </c>
      <c r="I187" s="9"/>
      <c r="J187" s="30"/>
    </row>
    <row r="188" customFormat="false" ht="12.95" hidden="false" customHeight="true" outlineLevel="0" collapsed="false">
      <c r="A188" s="1" t="n">
        <v>30</v>
      </c>
      <c r="B188" s="31" t="n">
        <v>33543</v>
      </c>
      <c r="C188" s="9" t="n">
        <v>1075000</v>
      </c>
      <c r="D188" s="58" t="s">
        <v>41</v>
      </c>
      <c r="E188" s="33" t="n">
        <f aca="false">IF(D188="totale",(C188/(A188*24))/F188,IF(D188="marché libre",(C188/(A188*24))/G188,"spécifier histo"))</f>
        <v>0.379429620217422</v>
      </c>
      <c r="F188" s="59" t="n">
        <v>3935</v>
      </c>
      <c r="G188" s="59" t="n">
        <f aca="false">F188-H188</f>
        <v>3935</v>
      </c>
      <c r="H188" s="9" t="n">
        <v>0</v>
      </c>
      <c r="I188" s="9"/>
      <c r="J188" s="30"/>
    </row>
    <row r="189" customFormat="false" ht="12.95" hidden="false" customHeight="true" outlineLevel="0" collapsed="false">
      <c r="A189" s="1" t="n">
        <v>31</v>
      </c>
      <c r="B189" s="34" t="n">
        <v>33573</v>
      </c>
      <c r="C189" s="9" t="n">
        <v>567000</v>
      </c>
      <c r="D189" s="58" t="s">
        <v>41</v>
      </c>
      <c r="E189" s="33" t="n">
        <f aca="false">IF(D189="totale",(C189/(A189*24))/F189,IF(D189="marché libre",(C189/(A189*24))/G189,"spécifier histo"))</f>
        <v>0.193671353035209</v>
      </c>
      <c r="F189" s="59" t="n">
        <v>3935</v>
      </c>
      <c r="G189" s="59" t="n">
        <f aca="false">F189-H189</f>
        <v>3935</v>
      </c>
      <c r="H189" s="9" t="n">
        <v>0</v>
      </c>
      <c r="I189" s="9"/>
      <c r="J189" s="30"/>
    </row>
    <row r="190" customFormat="false" ht="12.95" hidden="false" customHeight="true" outlineLevel="0" collapsed="false">
      <c r="A190" s="1" t="n">
        <v>31</v>
      </c>
      <c r="B190" s="31" t="n">
        <v>33604</v>
      </c>
      <c r="C190" s="9" t="n">
        <v>459000</v>
      </c>
      <c r="D190" s="58" t="s">
        <v>41</v>
      </c>
      <c r="E190" s="33" t="n">
        <f aca="false">IF(D190="totale",(C190/(A190*24))/F190,IF(D190="marché libre",(C190/(A190*24))/G190,"spécifier histo"))</f>
        <v>0.156781571504693</v>
      </c>
      <c r="F190" s="59" t="n">
        <v>3935</v>
      </c>
      <c r="G190" s="59" t="n">
        <f aca="false">F190-H190</f>
        <v>3935</v>
      </c>
      <c r="H190" s="9" t="n">
        <v>0</v>
      </c>
      <c r="I190" s="9"/>
      <c r="J190" s="30"/>
    </row>
    <row r="191" customFormat="false" ht="12.95" hidden="false" customHeight="true" outlineLevel="0" collapsed="false">
      <c r="A191" s="1" t="n">
        <v>28</v>
      </c>
      <c r="B191" s="34" t="n">
        <v>33635</v>
      </c>
      <c r="C191" s="9" t="n">
        <v>393000</v>
      </c>
      <c r="D191" s="58" t="s">
        <v>41</v>
      </c>
      <c r="E191" s="33" t="n">
        <f aca="false">IF(D191="totale",(C191/(A191*24))/F191,IF(D191="marché libre",(C191/(A191*24))/G191,"spécifier histo"))</f>
        <v>0.148620439281176</v>
      </c>
      <c r="F191" s="59" t="n">
        <v>3935</v>
      </c>
      <c r="G191" s="59" t="n">
        <f aca="false">F191-H191</f>
        <v>3935</v>
      </c>
      <c r="H191" s="9" t="n">
        <v>0</v>
      </c>
      <c r="I191" s="9"/>
      <c r="J191" s="30"/>
    </row>
    <row r="192" customFormat="false" ht="12.95" hidden="false" customHeight="true" outlineLevel="0" collapsed="false">
      <c r="A192" s="1" t="n">
        <v>31</v>
      </c>
      <c r="B192" s="31" t="n">
        <v>33664</v>
      </c>
      <c r="C192" s="9" t="n">
        <v>543000</v>
      </c>
      <c r="D192" s="58" t="s">
        <v>41</v>
      </c>
      <c r="E192" s="33" t="n">
        <f aca="false">IF(D192="totale",(C192/(A192*24))/F192,IF(D192="marché libre",(C192/(A192*24))/G192,"spécifier histo"))</f>
        <v>0.185473623806206</v>
      </c>
      <c r="F192" s="59" t="n">
        <v>3935</v>
      </c>
      <c r="G192" s="59" t="n">
        <f aca="false">F192-H192</f>
        <v>3935</v>
      </c>
      <c r="H192" s="9" t="n">
        <v>0</v>
      </c>
      <c r="I192" s="9"/>
      <c r="J192" s="30"/>
    </row>
    <row r="193" customFormat="false" ht="12.95" hidden="false" customHeight="true" outlineLevel="0" collapsed="false">
      <c r="A193" s="1" t="n">
        <v>30</v>
      </c>
      <c r="B193" s="34" t="n">
        <v>33695</v>
      </c>
      <c r="C193" s="9" t="n">
        <v>1065000</v>
      </c>
      <c r="D193" s="58" t="s">
        <v>41</v>
      </c>
      <c r="E193" s="33" t="n">
        <f aca="false">IF(D193="totale",(C193/(A193*24))/F193,IF(D193="marché libre",(C193/(A193*24))/G193,"spécifier histo"))</f>
        <v>0.375900042354934</v>
      </c>
      <c r="F193" s="59" t="n">
        <v>3935</v>
      </c>
      <c r="G193" s="59" t="n">
        <f aca="false">F193-H193</f>
        <v>3935</v>
      </c>
      <c r="H193" s="9" t="n">
        <v>0</v>
      </c>
      <c r="I193" s="9"/>
      <c r="J193" s="30"/>
    </row>
    <row r="194" customFormat="false" ht="12.95" hidden="false" customHeight="true" outlineLevel="0" collapsed="false">
      <c r="A194" s="1" t="n">
        <v>31</v>
      </c>
      <c r="B194" s="31" t="n">
        <v>33725</v>
      </c>
      <c r="C194" s="9" t="n">
        <v>2354000</v>
      </c>
      <c r="D194" s="58" t="s">
        <v>41</v>
      </c>
      <c r="E194" s="33" t="n">
        <f aca="false">IF(D194="totale",(C194/(A194*24))/F194,IF(D194="marché libre",(C194/(A194*24))/G194,"spécifier histo"))</f>
        <v>0.804060608544766</v>
      </c>
      <c r="F194" s="59" t="n">
        <v>3935</v>
      </c>
      <c r="G194" s="59" t="n">
        <f aca="false">F194-H194</f>
        <v>3935</v>
      </c>
      <c r="H194" s="9" t="n">
        <v>0</v>
      </c>
      <c r="I194" s="9"/>
      <c r="J194" s="30"/>
    </row>
    <row r="195" customFormat="false" ht="12.95" hidden="false" customHeight="true" outlineLevel="0" collapsed="false">
      <c r="A195" s="1" t="n">
        <v>30</v>
      </c>
      <c r="B195" s="34" t="n">
        <v>33756</v>
      </c>
      <c r="C195" s="9" t="n">
        <v>2748000</v>
      </c>
      <c r="D195" s="58" t="s">
        <v>41</v>
      </c>
      <c r="E195" s="33" t="n">
        <f aca="false">IF(D195="totale",(C195/(A195*24))/F195,IF(D195="marché libre",(C195/(A195*24))/G195,"spécifier histo"))</f>
        <v>0.969927996611605</v>
      </c>
      <c r="F195" s="59" t="n">
        <v>3935</v>
      </c>
      <c r="G195" s="59" t="n">
        <f aca="false">F195-H195</f>
        <v>3935</v>
      </c>
      <c r="H195" s="9" t="n">
        <v>0</v>
      </c>
      <c r="I195" s="9"/>
      <c r="J195" s="30"/>
    </row>
    <row r="196" customFormat="false" ht="12.95" hidden="false" customHeight="true" outlineLevel="0" collapsed="false">
      <c r="A196" s="1" t="n">
        <v>31</v>
      </c>
      <c r="B196" s="31" t="n">
        <v>33786</v>
      </c>
      <c r="C196" s="9" t="n">
        <v>2454000</v>
      </c>
      <c r="D196" s="58" t="s">
        <v>41</v>
      </c>
      <c r="E196" s="33" t="n">
        <f aca="false">IF(D196="totale",(C196/(A196*24))/F196,IF(D196="marché libre",(C196/(A196*24))/G196,"spécifier histo"))</f>
        <v>0.838217813665615</v>
      </c>
      <c r="F196" s="59" t="n">
        <v>3935</v>
      </c>
      <c r="G196" s="59" t="n">
        <f aca="false">F196-H196</f>
        <v>3935</v>
      </c>
      <c r="H196" s="9" t="n">
        <v>0</v>
      </c>
      <c r="I196" s="9"/>
      <c r="J196" s="30"/>
    </row>
    <row r="197" customFormat="false" ht="12.95" hidden="false" customHeight="true" outlineLevel="0" collapsed="false">
      <c r="A197" s="1" t="n">
        <v>31</v>
      </c>
      <c r="B197" s="34" t="n">
        <v>33817</v>
      </c>
      <c r="C197" s="9" t="n">
        <v>1194000</v>
      </c>
      <c r="D197" s="58" t="s">
        <v>41</v>
      </c>
      <c r="E197" s="33" t="n">
        <f aca="false">IF(D197="totale",(C197/(A197*24))/F197,IF(D197="marché libre",(C197/(A197*24))/G197,"spécifier histo"))</f>
        <v>0.407837029142927</v>
      </c>
      <c r="F197" s="59" t="n">
        <v>3935</v>
      </c>
      <c r="G197" s="59" t="n">
        <f aca="false">F197-H197</f>
        <v>3935</v>
      </c>
      <c r="H197" s="9" t="n">
        <v>0</v>
      </c>
      <c r="I197" s="9"/>
      <c r="J197" s="30"/>
    </row>
    <row r="198" customFormat="false" ht="12.95" hidden="false" customHeight="true" outlineLevel="0" collapsed="false">
      <c r="A198" s="1" t="n">
        <v>30</v>
      </c>
      <c r="B198" s="31" t="n">
        <v>33848</v>
      </c>
      <c r="C198" s="9" t="n">
        <v>1085000</v>
      </c>
      <c r="D198" s="58" t="s">
        <v>41</v>
      </c>
      <c r="E198" s="33" t="n">
        <f aca="false">IF(D198="totale",(C198/(A198*24))/F198,IF(D198="marché libre",(C198/(A198*24))/G198,"spécifier histo"))</f>
        <v>0.38295919807991</v>
      </c>
      <c r="F198" s="59" t="n">
        <v>3935</v>
      </c>
      <c r="G198" s="59" t="n">
        <f aca="false">F198-H198</f>
        <v>3935</v>
      </c>
      <c r="H198" s="9" t="n">
        <v>0</v>
      </c>
      <c r="I198" s="9"/>
      <c r="J198" s="30"/>
    </row>
    <row r="199" customFormat="false" ht="12.95" hidden="false" customHeight="true" outlineLevel="0" collapsed="false">
      <c r="A199" s="1" t="n">
        <v>31</v>
      </c>
      <c r="B199" s="34" t="n">
        <v>33878</v>
      </c>
      <c r="C199" s="9" t="n">
        <v>1445000</v>
      </c>
      <c r="D199" s="58" t="s">
        <v>41</v>
      </c>
      <c r="E199" s="33" t="n">
        <f aca="false">IF(D199="totale",(C199/(A199*24))/F199,IF(D199="marché libre",(C199/(A199*24))/G199,"spécifier histo"))</f>
        <v>0.493571613996256</v>
      </c>
      <c r="F199" s="59" t="n">
        <v>3935</v>
      </c>
      <c r="G199" s="59" t="n">
        <f aca="false">F199-H199</f>
        <v>3935</v>
      </c>
      <c r="H199" s="9" t="n">
        <v>0</v>
      </c>
      <c r="I199" s="9"/>
      <c r="J199" s="30"/>
    </row>
    <row r="200" customFormat="false" ht="12.95" hidden="false" customHeight="true" outlineLevel="0" collapsed="false">
      <c r="A200" s="1" t="n">
        <v>30</v>
      </c>
      <c r="B200" s="31" t="n">
        <v>33909</v>
      </c>
      <c r="C200" s="9" t="n">
        <v>1793000</v>
      </c>
      <c r="D200" s="58" t="s">
        <v>41</v>
      </c>
      <c r="E200" s="33" t="n">
        <f aca="false">IF(D200="totale",(C200/(A200*24))/F200,IF(D200="marché libre",(C200/(A200*24))/G200,"spécifier histo"))</f>
        <v>0.632853310744035</v>
      </c>
      <c r="F200" s="59" t="n">
        <v>3935</v>
      </c>
      <c r="G200" s="59" t="n">
        <f aca="false">F200-H200</f>
        <v>3935</v>
      </c>
      <c r="H200" s="9" t="n">
        <v>0</v>
      </c>
      <c r="I200" s="9"/>
      <c r="J200" s="30"/>
    </row>
    <row r="201" customFormat="false" ht="12.95" hidden="false" customHeight="true" outlineLevel="0" collapsed="false">
      <c r="A201" s="1" t="n">
        <v>31</v>
      </c>
      <c r="B201" s="34" t="n">
        <v>33939</v>
      </c>
      <c r="C201" s="9" t="n">
        <v>1049000</v>
      </c>
      <c r="D201" s="58" t="s">
        <v>41</v>
      </c>
      <c r="E201" s="33" t="n">
        <f aca="false">IF(D201="totale",(C201/(A201*24))/F201,IF(D201="marché libre",(C201/(A201*24))/G201,"spécifier histo"))</f>
        <v>0.358309081717698</v>
      </c>
      <c r="F201" s="59" t="n">
        <v>3935</v>
      </c>
      <c r="G201" s="59" t="n">
        <f aca="false">F201-H201</f>
        <v>3935</v>
      </c>
      <c r="H201" s="9" t="n">
        <v>0</v>
      </c>
      <c r="I201" s="9"/>
      <c r="J201" s="30"/>
      <c r="K201" s="29" t="s">
        <v>1220</v>
      </c>
    </row>
    <row r="202" customFormat="false" ht="12.95" hidden="false" customHeight="true" outlineLevel="0" collapsed="false">
      <c r="A202" s="1" t="n">
        <v>31</v>
      </c>
      <c r="B202" s="31" t="n">
        <v>33970</v>
      </c>
      <c r="C202" s="9" t="n">
        <v>749000</v>
      </c>
      <c r="D202" s="58" t="s">
        <v>41</v>
      </c>
      <c r="E202" s="33" t="n">
        <f aca="false">IF(D202="totale",(C202/(A202*24))/F202,IF(D202="marché libre",(C202/(A202*24))/G202,"spécifier histo"))</f>
        <v>0.255837466355153</v>
      </c>
      <c r="F202" s="59" t="n">
        <v>3935</v>
      </c>
      <c r="G202" s="59" t="n">
        <f aca="false">F202-H202</f>
        <v>3935</v>
      </c>
      <c r="H202" s="9" t="n">
        <v>0</v>
      </c>
      <c r="I202" s="9"/>
      <c r="J202" s="30"/>
      <c r="K202" s="29" t="s">
        <v>1221</v>
      </c>
    </row>
    <row r="203" customFormat="false" ht="12.95" hidden="false" customHeight="true" outlineLevel="0" collapsed="false">
      <c r="A203" s="1" t="n">
        <v>28</v>
      </c>
      <c r="B203" s="34" t="n">
        <v>34001</v>
      </c>
      <c r="C203" s="9" t="n">
        <v>490000</v>
      </c>
      <c r="D203" s="58" t="s">
        <v>41</v>
      </c>
      <c r="E203" s="33" t="n">
        <f aca="false">IF(D203="totale",(C203/(A203*24))/F203,IF(D203="marché libre",(C203/(A203*24))/G203,"spécifier histo"))</f>
        <v>0.185302837780601</v>
      </c>
      <c r="F203" s="59" t="n">
        <v>3935</v>
      </c>
      <c r="G203" s="59" t="n">
        <f aca="false">F203-H203</f>
        <v>3935</v>
      </c>
      <c r="H203" s="9" t="n">
        <v>0</v>
      </c>
      <c r="I203" s="9"/>
      <c r="J203" s="30"/>
      <c r="K203" s="180" t="s">
        <v>1222</v>
      </c>
    </row>
    <row r="204" customFormat="false" ht="12.95" hidden="false" customHeight="true" outlineLevel="0" collapsed="false">
      <c r="A204" s="1" t="n">
        <v>31</v>
      </c>
      <c r="B204" s="31" t="n">
        <v>34029</v>
      </c>
      <c r="C204" s="9" t="n">
        <v>508000</v>
      </c>
      <c r="D204" s="58" t="s">
        <v>41</v>
      </c>
      <c r="E204" s="33" t="n">
        <f aca="false">IF(D204="totale",(C204/(A204*24))/F204,IF(D204="marché libre",(C204/(A204*24))/G204,"spécifier histo"))</f>
        <v>0.173518602013909</v>
      </c>
      <c r="F204" s="59" t="n">
        <v>3935</v>
      </c>
      <c r="G204" s="59" t="n">
        <f aca="false">F204-H204</f>
        <v>3935</v>
      </c>
      <c r="H204" s="9" t="n">
        <v>0</v>
      </c>
      <c r="I204" s="9"/>
      <c r="J204" s="30"/>
    </row>
    <row r="205" customFormat="false" ht="12.95" hidden="false" customHeight="true" outlineLevel="0" collapsed="false">
      <c r="A205" s="1" t="n">
        <v>30</v>
      </c>
      <c r="B205" s="34" t="n">
        <v>34060</v>
      </c>
      <c r="C205" s="9" t="n">
        <v>1050000</v>
      </c>
      <c r="D205" s="58" t="s">
        <v>41</v>
      </c>
      <c r="E205" s="33" t="n">
        <f aca="false">IF(D205="totale",(C205/(A205*24))/F205,IF(D205="marché libre",(C205/(A205*24))/G205,"spécifier histo"))</f>
        <v>0.370605675561203</v>
      </c>
      <c r="F205" s="59" t="n">
        <v>3935</v>
      </c>
      <c r="G205" s="59" t="n">
        <f aca="false">F205-H205</f>
        <v>3935</v>
      </c>
      <c r="H205" s="9" t="n">
        <v>0</v>
      </c>
      <c r="I205" s="9"/>
      <c r="J205" s="30"/>
    </row>
    <row r="206" customFormat="false" ht="12.95" hidden="false" customHeight="true" outlineLevel="0" collapsed="false">
      <c r="A206" s="1" t="n">
        <v>31</v>
      </c>
      <c r="B206" s="31" t="n">
        <v>34090</v>
      </c>
      <c r="C206" s="9" t="n">
        <v>1794000</v>
      </c>
      <c r="D206" s="58" t="s">
        <v>41</v>
      </c>
      <c r="E206" s="33" t="n">
        <f aca="false">IF(D206="totale",(C206/(A206*24))/F206,IF(D206="marché libre",(C206/(A206*24))/G206,"spécifier histo"))</f>
        <v>0.612780259868017</v>
      </c>
      <c r="F206" s="59" t="n">
        <v>3935</v>
      </c>
      <c r="G206" s="59" t="n">
        <f aca="false">F206-H206</f>
        <v>3935</v>
      </c>
      <c r="H206" s="9" t="n">
        <v>0</v>
      </c>
      <c r="I206" s="9"/>
      <c r="J206" s="30"/>
    </row>
    <row r="207" customFormat="false" ht="12.95" hidden="false" customHeight="true" outlineLevel="0" collapsed="false">
      <c r="A207" s="1" t="n">
        <v>30</v>
      </c>
      <c r="B207" s="34" t="n">
        <v>34121</v>
      </c>
      <c r="C207" s="9" t="n">
        <v>2700000</v>
      </c>
      <c r="D207" s="58" t="s">
        <v>41</v>
      </c>
      <c r="E207" s="33" t="n">
        <f aca="false">IF(D207="totale",(C207/(A207*24))/F207,IF(D207="marché libre",(C207/(A207*24))/G207,"spécifier histo"))</f>
        <v>0.952986022871665</v>
      </c>
      <c r="F207" s="59" t="n">
        <v>3935</v>
      </c>
      <c r="G207" s="59" t="n">
        <f aca="false">F207-H207</f>
        <v>3935</v>
      </c>
      <c r="H207" s="9" t="n">
        <v>0</v>
      </c>
      <c r="I207" s="9"/>
      <c r="J207" s="30"/>
    </row>
    <row r="208" customFormat="false" ht="12.95" hidden="false" customHeight="true" outlineLevel="0" collapsed="false">
      <c r="A208" s="1" t="n">
        <v>31</v>
      </c>
      <c r="B208" s="31" t="n">
        <v>34151</v>
      </c>
      <c r="C208" s="9" t="n">
        <v>2712000</v>
      </c>
      <c r="D208" s="58" t="s">
        <v>41</v>
      </c>
      <c r="E208" s="33" t="n">
        <f aca="false">IF(D208="totale",(C208/(A208*24))/F208,IF(D208="marché libre",(C208/(A208*24))/G208,"spécifier histo"))</f>
        <v>0.926343402877403</v>
      </c>
      <c r="F208" s="59" t="n">
        <v>3935</v>
      </c>
      <c r="G208" s="59" t="n">
        <f aca="false">F208-H208</f>
        <v>3935</v>
      </c>
      <c r="H208" s="9" t="n">
        <v>0</v>
      </c>
      <c r="I208" s="9"/>
      <c r="J208" s="30"/>
    </row>
    <row r="209" customFormat="false" ht="12.95" hidden="false" customHeight="true" outlineLevel="0" collapsed="false">
      <c r="A209" s="1" t="n">
        <v>31</v>
      </c>
      <c r="B209" s="34" t="n">
        <v>34182</v>
      </c>
      <c r="C209" s="9" t="n">
        <v>1523000</v>
      </c>
      <c r="D209" s="58" t="s">
        <v>41</v>
      </c>
      <c r="E209" s="33" t="n">
        <f aca="false">IF(D209="totale",(C209/(A209*24))/F209,IF(D209="marché libre",(C209/(A209*24))/G209,"spécifier histo"))</f>
        <v>0.520214233990518</v>
      </c>
      <c r="F209" s="59" t="n">
        <v>3935</v>
      </c>
      <c r="G209" s="59" t="n">
        <f aca="false">F209-H209</f>
        <v>3935</v>
      </c>
      <c r="H209" s="9" t="n">
        <v>0</v>
      </c>
      <c r="I209" s="9"/>
      <c r="J209" s="30"/>
    </row>
    <row r="210" customFormat="false" ht="12.95" hidden="false" customHeight="true" outlineLevel="0" collapsed="false">
      <c r="A210" s="1" t="n">
        <v>30</v>
      </c>
      <c r="B210" s="31" t="n">
        <v>34213</v>
      </c>
      <c r="C210" s="9" t="n">
        <v>1175000</v>
      </c>
      <c r="D210" s="58" t="s">
        <v>41</v>
      </c>
      <c r="E210" s="33" t="n">
        <f aca="false">IF(D210="totale",(C210/(A210*24))/F210,IF(D210="marché libre",(C210/(A210*24))/G210,"spécifier histo"))</f>
        <v>0.414725398842298</v>
      </c>
      <c r="F210" s="59" t="n">
        <v>3935</v>
      </c>
      <c r="G210" s="59" t="n">
        <f aca="false">F210-H210</f>
        <v>3935</v>
      </c>
      <c r="H210" s="9" t="n">
        <v>0</v>
      </c>
      <c r="I210" s="9"/>
      <c r="J210" s="30"/>
    </row>
    <row r="211" customFormat="false" ht="12.95" hidden="false" customHeight="true" outlineLevel="0" collapsed="false">
      <c r="A211" s="1" t="n">
        <v>31</v>
      </c>
      <c r="B211" s="34" t="n">
        <v>34243</v>
      </c>
      <c r="C211" s="9" t="n">
        <v>1594000</v>
      </c>
      <c r="D211" s="58" t="s">
        <v>41</v>
      </c>
      <c r="E211" s="33" t="n">
        <f aca="false">IF(D211="totale",(C211/(A211*24))/F211,IF(D211="marché libre",(C211/(A211*24))/G211,"spécifier histo"))</f>
        <v>0.54446584962632</v>
      </c>
      <c r="F211" s="59" t="n">
        <v>3935</v>
      </c>
      <c r="G211" s="59" t="n">
        <f aca="false">F211-H211</f>
        <v>3935</v>
      </c>
      <c r="H211" s="9" t="n">
        <v>0</v>
      </c>
      <c r="I211" s="9"/>
      <c r="J211" s="30"/>
    </row>
    <row r="212" customFormat="false" ht="12.95" hidden="false" customHeight="true" outlineLevel="0" collapsed="false">
      <c r="A212" s="1" t="n">
        <v>30</v>
      </c>
      <c r="B212" s="31" t="n">
        <v>34274</v>
      </c>
      <c r="C212" s="9" t="n">
        <v>816000</v>
      </c>
      <c r="D212" s="58" t="s">
        <v>41</v>
      </c>
      <c r="E212" s="33" t="n">
        <f aca="false">IF(D212="totale",(C212/(A212*24))/F212,IF(D212="marché libre",(C212/(A212*24))/G212,"spécifier histo"))</f>
        <v>0.288013553578992</v>
      </c>
      <c r="F212" s="59" t="n">
        <v>3935</v>
      </c>
      <c r="G212" s="59" t="n">
        <f aca="false">F212-H212</f>
        <v>3935</v>
      </c>
      <c r="H212" s="9" t="n">
        <v>0</v>
      </c>
      <c r="I212" s="9"/>
      <c r="J212" s="30"/>
    </row>
    <row r="213" customFormat="false" ht="12.95" hidden="false" customHeight="true" outlineLevel="0" collapsed="false">
      <c r="A213" s="1" t="n">
        <v>31</v>
      </c>
      <c r="B213" s="34" t="n">
        <v>34304</v>
      </c>
      <c r="C213" s="9" t="n">
        <v>916000</v>
      </c>
      <c r="D213" s="58" t="s">
        <v>41</v>
      </c>
      <c r="E213" s="33" t="n">
        <f aca="false">IF(D213="totale",(C213/(A213*24))/F213,IF(D213="marché libre",(C213/(A213*24))/G213,"spécifier histo"))</f>
        <v>0.312879998906969</v>
      </c>
      <c r="F213" s="59" t="n">
        <v>3935</v>
      </c>
      <c r="G213" s="59" t="n">
        <f aca="false">F213-H213</f>
        <v>3935</v>
      </c>
      <c r="H213" s="9" t="n">
        <v>0</v>
      </c>
      <c r="I213" s="9"/>
      <c r="J213" s="30"/>
    </row>
    <row r="214" customFormat="false" ht="12.95" hidden="false" customHeight="true" outlineLevel="0" collapsed="false">
      <c r="A214" s="1" t="n">
        <v>31</v>
      </c>
      <c r="B214" s="31" t="n">
        <v>34335</v>
      </c>
      <c r="C214" s="9" t="n">
        <v>698000</v>
      </c>
      <c r="D214" s="58" t="s">
        <v>41</v>
      </c>
      <c r="E214" s="33" t="n">
        <f aca="false">IF(D214="totale",(C214/(A214*24))/F214,IF(D214="marché libre",(C214/(A214*24))/G214,"spécifier histo"))</f>
        <v>0.23841729174352</v>
      </c>
      <c r="F214" s="59" t="n">
        <v>3935</v>
      </c>
      <c r="G214" s="59" t="n">
        <f aca="false">F214-H214</f>
        <v>3935</v>
      </c>
      <c r="H214" s="9" t="n">
        <v>0</v>
      </c>
      <c r="I214" s="9"/>
      <c r="J214" s="30"/>
    </row>
    <row r="215" customFormat="false" ht="12.95" hidden="false" customHeight="true" outlineLevel="0" collapsed="false">
      <c r="A215" s="1" t="n">
        <v>28</v>
      </c>
      <c r="B215" s="34" t="n">
        <v>34366</v>
      </c>
      <c r="C215" s="9" t="n">
        <v>381000</v>
      </c>
      <c r="D215" s="58" t="s">
        <v>41</v>
      </c>
      <c r="E215" s="33" t="n">
        <f aca="false">IF(D215="totale",(C215/(A215*24))/F215,IF(D215="marché libre",(C215/(A215*24))/G215,"spécifier histo"))</f>
        <v>0.144082410600835</v>
      </c>
      <c r="F215" s="59" t="n">
        <v>3935</v>
      </c>
      <c r="G215" s="59" t="n">
        <f aca="false">F215-H215</f>
        <v>3935</v>
      </c>
      <c r="H215" s="9" t="n">
        <v>0</v>
      </c>
      <c r="I215" s="9"/>
      <c r="J215" s="30"/>
    </row>
    <row r="216" customFormat="false" ht="12.95" hidden="false" customHeight="true" outlineLevel="0" collapsed="false">
      <c r="A216" s="1" t="n">
        <v>31</v>
      </c>
      <c r="B216" s="31" t="n">
        <v>34394</v>
      </c>
      <c r="C216" s="9" t="n">
        <v>942000</v>
      </c>
      <c r="D216" s="58" t="s">
        <v>41</v>
      </c>
      <c r="E216" s="33" t="n">
        <f aca="false">IF(D216="totale",(C216/(A216*24))/F216,IF(D216="marché libre",(C216/(A216*24))/G216,"spécifier histo"))</f>
        <v>0.32176087223839</v>
      </c>
      <c r="F216" s="59" t="n">
        <v>3935</v>
      </c>
      <c r="G216" s="59" t="n">
        <f aca="false">F216-H216</f>
        <v>3935</v>
      </c>
      <c r="H216" s="9" t="n">
        <v>0</v>
      </c>
      <c r="I216" s="9"/>
      <c r="J216" s="30"/>
    </row>
    <row r="217" customFormat="false" ht="12.95" hidden="false" customHeight="true" outlineLevel="0" collapsed="false">
      <c r="A217" s="1" t="n">
        <v>30</v>
      </c>
      <c r="B217" s="34" t="n">
        <v>34425</v>
      </c>
      <c r="C217" s="9" t="n">
        <v>953000</v>
      </c>
      <c r="D217" s="58" t="s">
        <v>41</v>
      </c>
      <c r="E217" s="33" t="n">
        <f aca="false">IF(D217="totale",(C217/(A217*24))/F217,IF(D217="marché libre",(C217/(A217*24))/G217,"spécifier histo"))</f>
        <v>0.336368770295073</v>
      </c>
      <c r="F217" s="59" t="n">
        <v>3935</v>
      </c>
      <c r="G217" s="59" t="n">
        <f aca="false">F217-H217</f>
        <v>3935</v>
      </c>
      <c r="H217" s="9" t="n">
        <v>0</v>
      </c>
      <c r="I217" s="9"/>
      <c r="J217" s="30"/>
    </row>
    <row r="218" customFormat="false" ht="12.95" hidden="false" customHeight="true" outlineLevel="0" collapsed="false">
      <c r="A218" s="1" t="n">
        <v>31</v>
      </c>
      <c r="B218" s="31" t="n">
        <v>34455</v>
      </c>
      <c r="C218" s="9" t="n">
        <v>2753000</v>
      </c>
      <c r="D218" s="58" t="s">
        <v>41</v>
      </c>
      <c r="E218" s="33" t="n">
        <f aca="false">IF(D218="totale",(C218/(A218*24))/F218,IF(D218="marché libre",(C218/(A218*24))/G218,"spécifier histo"))</f>
        <v>0.940347856976951</v>
      </c>
      <c r="F218" s="59" t="n">
        <v>3935</v>
      </c>
      <c r="G218" s="59" t="n">
        <f aca="false">F218-H218</f>
        <v>3935</v>
      </c>
      <c r="H218" s="9" t="n">
        <v>0</v>
      </c>
      <c r="I218" s="9"/>
      <c r="J218" s="30"/>
    </row>
    <row r="219" customFormat="false" ht="12.95" hidden="false" customHeight="true" outlineLevel="0" collapsed="false">
      <c r="A219" s="1" t="n">
        <v>30</v>
      </c>
      <c r="B219" s="34" t="n">
        <v>34486</v>
      </c>
      <c r="C219" s="9" t="n">
        <v>2807000</v>
      </c>
      <c r="D219" s="58" t="s">
        <v>41</v>
      </c>
      <c r="E219" s="33" t="n">
        <f aca="false">IF(D219="totale",(C219/(A219*24))/F219,IF(D219="marché libre",(C219/(A219*24))/G219,"spécifier histo"))</f>
        <v>0.990752506000282</v>
      </c>
      <c r="F219" s="59" t="n">
        <v>3935</v>
      </c>
      <c r="G219" s="59" t="n">
        <f aca="false">F219-H219</f>
        <v>3935</v>
      </c>
      <c r="H219" s="9" t="n">
        <v>0</v>
      </c>
      <c r="I219" s="9"/>
      <c r="J219" s="30"/>
    </row>
    <row r="220" customFormat="false" ht="12.95" hidden="false" customHeight="true" outlineLevel="0" collapsed="false">
      <c r="A220" s="1" t="n">
        <v>31</v>
      </c>
      <c r="B220" s="31" t="n">
        <v>34516</v>
      </c>
      <c r="C220" s="9" t="n">
        <v>2582000</v>
      </c>
      <c r="D220" s="58" t="s">
        <v>41</v>
      </c>
      <c r="E220" s="33" t="n">
        <f aca="false">IF(D220="totale",(C220/(A220*24))/F220,IF(D220="marché libre",(C220/(A220*24))/G220,"spécifier histo"))</f>
        <v>0.8819390362203</v>
      </c>
      <c r="F220" s="59" t="n">
        <v>3935</v>
      </c>
      <c r="G220" s="59" t="n">
        <f aca="false">F220-H220</f>
        <v>3935</v>
      </c>
      <c r="H220" s="9" t="n">
        <v>0</v>
      </c>
      <c r="I220" s="9"/>
      <c r="J220" s="30"/>
    </row>
    <row r="221" customFormat="false" ht="12.95" hidden="false" customHeight="true" outlineLevel="0" collapsed="false">
      <c r="A221" s="1" t="n">
        <v>31</v>
      </c>
      <c r="B221" s="34" t="n">
        <v>34547</v>
      </c>
      <c r="C221" s="9" t="n">
        <v>1383000</v>
      </c>
      <c r="D221" s="58" t="s">
        <v>41</v>
      </c>
      <c r="E221" s="33" t="n">
        <f aca="false">IF(D221="totale",(C221/(A221*24))/F221,IF(D221="marché libre",(C221/(A221*24))/G221,"spécifier histo"))</f>
        <v>0.47239414682133</v>
      </c>
      <c r="F221" s="59" t="n">
        <v>3935</v>
      </c>
      <c r="G221" s="59" t="n">
        <f aca="false">F221-H221</f>
        <v>3935</v>
      </c>
      <c r="H221" s="9" t="n">
        <v>0</v>
      </c>
      <c r="I221" s="9"/>
      <c r="J221" s="30"/>
    </row>
    <row r="222" customFormat="false" ht="12.95" hidden="false" customHeight="true" outlineLevel="0" collapsed="false">
      <c r="A222" s="1" t="n">
        <v>30</v>
      </c>
      <c r="B222" s="31" t="n">
        <v>34578</v>
      </c>
      <c r="C222" s="9" t="n">
        <v>1822000</v>
      </c>
      <c r="D222" s="58" t="s">
        <v>41</v>
      </c>
      <c r="E222" s="33" t="n">
        <f aca="false">IF(D222="totale",(C222/(A222*24))/F222,IF(D222="marché libre",(C222/(A222*24))/G222,"spécifier histo"))</f>
        <v>0.643089086545249</v>
      </c>
      <c r="F222" s="59" t="n">
        <v>3935</v>
      </c>
      <c r="G222" s="59" t="n">
        <f aca="false">F222-H222</f>
        <v>3935</v>
      </c>
      <c r="H222" s="9" t="n">
        <v>0</v>
      </c>
      <c r="I222" s="9"/>
      <c r="J222" s="30"/>
    </row>
    <row r="223" customFormat="false" ht="12.95" hidden="false" customHeight="true" outlineLevel="0" collapsed="false">
      <c r="A223" s="1" t="n">
        <v>31</v>
      </c>
      <c r="B223" s="34" t="n">
        <v>34608</v>
      </c>
      <c r="C223" s="9" t="n">
        <v>1312000</v>
      </c>
      <c r="D223" s="58" t="s">
        <v>41</v>
      </c>
      <c r="E223" s="33" t="n">
        <f aca="false">IF(D223="totale",(C223/(A223*24))/F223,IF(D223="marché libre",(C223/(A223*24))/G223,"spécifier histo"))</f>
        <v>0.448142531185528</v>
      </c>
      <c r="F223" s="59" t="n">
        <v>3935</v>
      </c>
      <c r="G223" s="59" t="n">
        <f aca="false">F223-H223</f>
        <v>3935</v>
      </c>
      <c r="H223" s="9" t="n">
        <v>0</v>
      </c>
      <c r="I223" s="9"/>
      <c r="J223" s="30"/>
    </row>
    <row r="224" customFormat="false" ht="12.95" hidden="false" customHeight="true" outlineLevel="0" collapsed="false">
      <c r="A224" s="1" t="n">
        <v>30</v>
      </c>
      <c r="B224" s="31" t="n">
        <v>34639</v>
      </c>
      <c r="C224" s="9" t="n">
        <v>1290000</v>
      </c>
      <c r="D224" s="58" t="s">
        <v>41</v>
      </c>
      <c r="E224" s="33" t="n">
        <f aca="false">IF(D224="totale",(C224/(A224*24))/F224,IF(D224="marché libre",(C224/(A224*24))/G224,"spécifier histo"))</f>
        <v>0.455315544260906</v>
      </c>
      <c r="F224" s="59" t="n">
        <v>3935</v>
      </c>
      <c r="G224" s="59" t="n">
        <f aca="false">F224-H224</f>
        <v>3935</v>
      </c>
      <c r="H224" s="9" t="n">
        <v>0</v>
      </c>
      <c r="I224" s="9"/>
      <c r="J224" s="30"/>
    </row>
    <row r="225" customFormat="false" ht="12.95" hidden="false" customHeight="true" outlineLevel="0" collapsed="false">
      <c r="A225" s="1" t="n">
        <v>31</v>
      </c>
      <c r="B225" s="34" t="n">
        <v>34669</v>
      </c>
      <c r="C225" s="9" t="n">
        <v>901000</v>
      </c>
      <c r="D225" s="58" t="s">
        <v>41</v>
      </c>
      <c r="E225" s="33" t="n">
        <f aca="false">IF(D225="totale",(C225/(A225*24))/F225,IF(D225="marché libre",(C225/(A225*24))/G225,"spécifier histo"))</f>
        <v>0.307756418138842</v>
      </c>
      <c r="F225" s="59" t="n">
        <v>3935</v>
      </c>
      <c r="G225" s="59" t="n">
        <f aca="false">F225-H225</f>
        <v>3935</v>
      </c>
      <c r="H225" s="9" t="n">
        <v>0</v>
      </c>
      <c r="I225" s="9"/>
      <c r="J225" s="30"/>
    </row>
    <row r="226" customFormat="false" ht="12.95" hidden="false" customHeight="true" outlineLevel="0" collapsed="false">
      <c r="A226" s="1" t="n">
        <v>31</v>
      </c>
      <c r="B226" s="31" t="n">
        <v>34700</v>
      </c>
      <c r="C226" s="9" t="n">
        <v>707000</v>
      </c>
      <c r="D226" s="58" t="s">
        <v>41</v>
      </c>
      <c r="E226" s="33" t="n">
        <f aca="false">IF(D226="totale",(C226/(A226*24))/F226,IF(D226="marché libre",(C226/(A226*24))/G226,"spécifier histo"))</f>
        <v>0.241491440204397</v>
      </c>
      <c r="F226" s="59" t="n">
        <v>3935</v>
      </c>
      <c r="G226" s="59" t="n">
        <f aca="false">F226-H226</f>
        <v>3935</v>
      </c>
      <c r="H226" s="9" t="n">
        <v>0</v>
      </c>
      <c r="I226" s="9"/>
      <c r="J226" s="30"/>
    </row>
    <row r="227" customFormat="false" ht="12.95" hidden="false" customHeight="true" outlineLevel="0" collapsed="false">
      <c r="A227" s="1" t="n">
        <v>28</v>
      </c>
      <c r="B227" s="34" t="n">
        <v>34731</v>
      </c>
      <c r="C227" s="9" t="n">
        <v>607000</v>
      </c>
      <c r="D227" s="58" t="s">
        <v>41</v>
      </c>
      <c r="E227" s="33" t="n">
        <f aca="false">IF(D227="totale",(C227/(A227*24))/F227,IF(D227="marché libre",(C227/(A227*24))/G227,"spécifier histo"))</f>
        <v>0.229548617413929</v>
      </c>
      <c r="F227" s="59" t="n">
        <v>3935</v>
      </c>
      <c r="G227" s="59" t="n">
        <f aca="false">F227-H227</f>
        <v>3935</v>
      </c>
      <c r="H227" s="9" t="n">
        <v>0</v>
      </c>
      <c r="I227" s="9"/>
      <c r="J227" s="30"/>
    </row>
    <row r="228" customFormat="false" ht="12.95" hidden="false" customHeight="true" outlineLevel="0" collapsed="false">
      <c r="A228" s="1" t="n">
        <v>31</v>
      </c>
      <c r="B228" s="31" t="n">
        <v>34759</v>
      </c>
      <c r="C228" s="9" t="n">
        <v>505000</v>
      </c>
      <c r="D228" s="58" t="s">
        <v>41</v>
      </c>
      <c r="E228" s="33" t="n">
        <f aca="false">IF(D228="totale",(C228/(A228*24))/F228,IF(D228="marché libre",(C228/(A228*24))/G228,"spécifier histo"))</f>
        <v>0.172493885860283</v>
      </c>
      <c r="F228" s="59" t="n">
        <v>3935</v>
      </c>
      <c r="G228" s="59" t="n">
        <f aca="false">F228-H228</f>
        <v>3935</v>
      </c>
      <c r="H228" s="9" t="n">
        <v>0</v>
      </c>
      <c r="I228" s="9"/>
      <c r="J228" s="30"/>
    </row>
    <row r="229" customFormat="false" ht="12.95" hidden="false" customHeight="true" outlineLevel="0" collapsed="false">
      <c r="A229" s="1" t="n">
        <v>30</v>
      </c>
      <c r="B229" s="34" t="n">
        <v>34790</v>
      </c>
      <c r="C229" s="9" t="n">
        <v>1106000</v>
      </c>
      <c r="D229" s="58" t="s">
        <v>41</v>
      </c>
      <c r="E229" s="33" t="n">
        <f aca="false">IF(D229="totale",(C229/(A229*24))/F229,IF(D229="marché libre",(C229/(A229*24))/G229,"spécifier histo"))</f>
        <v>0.390371311591134</v>
      </c>
      <c r="F229" s="59" t="n">
        <v>3935</v>
      </c>
      <c r="G229" s="59" t="n">
        <f aca="false">F229-H229</f>
        <v>3935</v>
      </c>
      <c r="H229" s="9" t="n">
        <v>0</v>
      </c>
      <c r="I229" s="9"/>
      <c r="J229" s="30"/>
    </row>
    <row r="230" customFormat="false" ht="12.95" hidden="false" customHeight="true" outlineLevel="0" collapsed="false">
      <c r="A230" s="1" t="n">
        <v>31</v>
      </c>
      <c r="B230" s="31" t="n">
        <v>34820</v>
      </c>
      <c r="C230" s="9" t="n">
        <v>2534000</v>
      </c>
      <c r="D230" s="58" t="s">
        <v>41</v>
      </c>
      <c r="E230" s="33" t="n">
        <f aca="false">IF(D230="totale",(C230/(A230*24))/F230,IF(D230="marché libre",(C230/(A230*24))/G230,"spécifier histo"))</f>
        <v>0.865543577762293</v>
      </c>
      <c r="F230" s="59" t="n">
        <v>3935</v>
      </c>
      <c r="G230" s="59" t="n">
        <f aca="false">F230-H230</f>
        <v>3935</v>
      </c>
      <c r="H230" s="9" t="n">
        <v>0</v>
      </c>
      <c r="I230" s="9"/>
      <c r="J230" s="30"/>
    </row>
    <row r="231" customFormat="false" ht="12.95" hidden="false" customHeight="true" outlineLevel="0" collapsed="false">
      <c r="A231" s="1" t="n">
        <v>30</v>
      </c>
      <c r="B231" s="34" t="n">
        <v>34851</v>
      </c>
      <c r="C231" s="9" t="n">
        <v>2670000</v>
      </c>
      <c r="D231" s="58" t="s">
        <v>41</v>
      </c>
      <c r="E231" s="33" t="n">
        <f aca="false">IF(D231="totale",(C231/(A231*24))/F231,IF(D231="marché libre",(C231/(A231*24))/G231,"spécifier histo"))</f>
        <v>0.942397289284202</v>
      </c>
      <c r="F231" s="59" t="n">
        <v>3935</v>
      </c>
      <c r="G231" s="59" t="n">
        <f aca="false">F231-H231</f>
        <v>3935</v>
      </c>
      <c r="H231" s="9" t="n">
        <v>0</v>
      </c>
      <c r="I231" s="9"/>
      <c r="J231" s="30"/>
    </row>
    <row r="232" customFormat="false" ht="12.95" hidden="false" customHeight="true" outlineLevel="0" collapsed="false">
      <c r="A232" s="1" t="n">
        <v>31</v>
      </c>
      <c r="B232" s="31" t="n">
        <v>34881</v>
      </c>
      <c r="C232" s="9" t="n">
        <v>2981000</v>
      </c>
      <c r="D232" s="58" t="s">
        <v>41</v>
      </c>
      <c r="E232" s="33" t="n">
        <f aca="false">IF(D232="totale",(C232/(A232*24))/F232,IF(D232="marché libre",(C232/(A232*24))/G232,"spécifier histo"))</f>
        <v>1.01822628465248</v>
      </c>
      <c r="F232" s="59" t="n">
        <v>3935</v>
      </c>
      <c r="G232" s="59" t="n">
        <f aca="false">F232-H232</f>
        <v>3935</v>
      </c>
      <c r="H232" s="9" t="n">
        <v>0</v>
      </c>
      <c r="I232" s="9"/>
      <c r="J232" s="30"/>
    </row>
    <row r="233" customFormat="false" ht="12.95" hidden="false" customHeight="true" outlineLevel="0" collapsed="false">
      <c r="A233" s="1" t="n">
        <v>31</v>
      </c>
      <c r="B233" s="34" t="n">
        <v>34912</v>
      </c>
      <c r="C233" s="9" t="n">
        <v>1880000</v>
      </c>
      <c r="D233" s="58" t="s">
        <v>41</v>
      </c>
      <c r="E233" s="33" t="n">
        <f aca="false">IF(D233="totale",(C233/(A233*24))/F233,IF(D233="marché libre",(C233/(A233*24))/G233,"spécifier histo"))</f>
        <v>0.642155456271946</v>
      </c>
      <c r="F233" s="59" t="n">
        <v>3935</v>
      </c>
      <c r="G233" s="59" t="n">
        <f aca="false">F233-H233</f>
        <v>3935</v>
      </c>
      <c r="H233" s="9" t="n">
        <v>0</v>
      </c>
      <c r="I233" s="9"/>
      <c r="J233" s="30"/>
    </row>
    <row r="234" customFormat="false" ht="12.95" hidden="false" customHeight="true" outlineLevel="0" collapsed="false">
      <c r="A234" s="1" t="n">
        <v>30</v>
      </c>
      <c r="B234" s="31" t="n">
        <v>34943</v>
      </c>
      <c r="C234" s="9" t="n">
        <v>1671000</v>
      </c>
      <c r="D234" s="58" t="s">
        <v>41</v>
      </c>
      <c r="E234" s="33" t="n">
        <f aca="false">IF(D234="totale",(C234/(A234*24))/F234,IF(D234="marché libre",(C234/(A234*24))/G234,"spécifier histo"))</f>
        <v>0.589792460821686</v>
      </c>
      <c r="F234" s="59" t="n">
        <v>3935</v>
      </c>
      <c r="G234" s="59" t="n">
        <f aca="false">F234-H234</f>
        <v>3935</v>
      </c>
      <c r="H234" s="9" t="n">
        <v>0</v>
      </c>
      <c r="I234" s="9"/>
      <c r="J234" s="30"/>
    </row>
    <row r="235" customFormat="false" ht="12.95" hidden="false" customHeight="true" outlineLevel="0" collapsed="false">
      <c r="A235" s="1" t="n">
        <v>31</v>
      </c>
      <c r="B235" s="34" t="n">
        <v>34973</v>
      </c>
      <c r="C235" s="9" t="n">
        <v>1098000</v>
      </c>
      <c r="D235" s="58" t="s">
        <v>41</v>
      </c>
      <c r="E235" s="33" t="n">
        <f aca="false">IF(D235="totale",(C235/(A235*24))/F235,IF(D235="marché libre",(C235/(A235*24))/G235,"spécifier histo"))</f>
        <v>0.375046112226913</v>
      </c>
      <c r="F235" s="59" t="n">
        <v>3935</v>
      </c>
      <c r="G235" s="59" t="n">
        <f aca="false">F235-H235</f>
        <v>3935</v>
      </c>
      <c r="H235" s="9" t="n">
        <v>0</v>
      </c>
      <c r="I235" s="9"/>
      <c r="J235" s="30"/>
    </row>
    <row r="236" customFormat="false" ht="12.95" hidden="false" customHeight="true" outlineLevel="0" collapsed="false">
      <c r="A236" s="1" t="n">
        <v>30</v>
      </c>
      <c r="B236" s="31" t="n">
        <v>35004</v>
      </c>
      <c r="C236" s="9" t="n">
        <v>734000</v>
      </c>
      <c r="D236" s="58" t="s">
        <v>41</v>
      </c>
      <c r="E236" s="33" t="n">
        <f aca="false">IF(D236="totale",(C236/(A236*24))/F236,IF(D236="marché libre",(C236/(A236*24))/G236,"spécifier histo"))</f>
        <v>0.259071015106593</v>
      </c>
      <c r="F236" s="59" t="n">
        <v>3935</v>
      </c>
      <c r="G236" s="59" t="n">
        <f aca="false">F236-H236</f>
        <v>3935</v>
      </c>
      <c r="H236" s="9" t="n">
        <v>0</v>
      </c>
      <c r="I236" s="9"/>
      <c r="J236" s="30"/>
    </row>
    <row r="237" customFormat="false" ht="12.95" hidden="false" customHeight="true" outlineLevel="0" collapsed="false">
      <c r="A237" s="1" t="n">
        <v>31</v>
      </c>
      <c r="B237" s="34" t="n">
        <v>35034</v>
      </c>
      <c r="C237" s="9" t="n">
        <v>598000</v>
      </c>
      <c r="D237" s="58" t="s">
        <v>41</v>
      </c>
      <c r="E237" s="33" t="n">
        <f aca="false">IF(D237="totale",(C237/(A237*24))/F237,IF(D237="marché libre",(C237/(A237*24))/G237,"spécifier histo"))</f>
        <v>0.204260086622672</v>
      </c>
      <c r="F237" s="59" t="n">
        <v>3935</v>
      </c>
      <c r="G237" s="59" t="n">
        <f aca="false">F237-H237</f>
        <v>3935</v>
      </c>
      <c r="H237" s="9" t="n">
        <v>0</v>
      </c>
      <c r="I237" s="9"/>
      <c r="J237" s="30"/>
    </row>
    <row r="238" customFormat="false" ht="12.95" hidden="false" customHeight="true" outlineLevel="0" collapsed="false">
      <c r="A238" s="1" t="n">
        <v>31</v>
      </c>
      <c r="B238" s="31" t="n">
        <v>35065</v>
      </c>
      <c r="C238" s="9" t="n">
        <v>452000</v>
      </c>
      <c r="D238" s="58" t="s">
        <v>41</v>
      </c>
      <c r="E238" s="33" t="n">
        <f aca="false">IF(D238="totale",(C238/(A238*24))/F238,IF(D238="marché libre",(C238/(A238*24))/G238,"spécifier histo"))</f>
        <v>0.154390567146234</v>
      </c>
      <c r="F238" s="59" t="n">
        <v>3935</v>
      </c>
      <c r="G238" s="59" t="n">
        <f aca="false">F238-H238</f>
        <v>3935</v>
      </c>
      <c r="H238" s="9" t="n">
        <v>0</v>
      </c>
      <c r="I238" s="9"/>
      <c r="J238" s="30"/>
    </row>
    <row r="239" customFormat="false" ht="12.95" hidden="false" customHeight="true" outlineLevel="0" collapsed="false">
      <c r="A239" s="1" t="n">
        <v>28</v>
      </c>
      <c r="B239" s="34" t="n">
        <v>35096</v>
      </c>
      <c r="C239" s="9" t="n">
        <v>273000</v>
      </c>
      <c r="D239" s="58" t="s">
        <v>41</v>
      </c>
      <c r="E239" s="33" t="n">
        <f aca="false">IF(D239="totale",(C239/(A239*24))/F239,IF(D239="marché libre",(C239/(A239*24))/G239,"spécifier histo"))</f>
        <v>0.103240152477764</v>
      </c>
      <c r="F239" s="59" t="n">
        <v>3935</v>
      </c>
      <c r="G239" s="59" t="n">
        <f aca="false">F239-H239</f>
        <v>3935</v>
      </c>
      <c r="H239" s="9" t="n">
        <v>0</v>
      </c>
      <c r="I239" s="9"/>
      <c r="J239" s="30"/>
    </row>
    <row r="240" customFormat="false" ht="12.95" hidden="false" customHeight="true" outlineLevel="0" collapsed="false">
      <c r="A240" s="1" t="n">
        <v>31</v>
      </c>
      <c r="B240" s="31" t="n">
        <v>35125</v>
      </c>
      <c r="C240" s="9" t="n">
        <v>468000</v>
      </c>
      <c r="D240" s="58" t="s">
        <v>41</v>
      </c>
      <c r="E240" s="33" t="n">
        <f aca="false">IF(D240="totale",(C240/(A240*24))/F240,IF(D240="marché libre",(C240/(A240*24))/G240,"spécifier histo"))</f>
        <v>0.15985571996557</v>
      </c>
      <c r="F240" s="59" t="n">
        <v>3935</v>
      </c>
      <c r="G240" s="59" t="n">
        <f aca="false">F240-H240</f>
        <v>3935</v>
      </c>
      <c r="H240" s="9" t="n">
        <v>0</v>
      </c>
      <c r="I240" s="9"/>
      <c r="J240" s="30"/>
    </row>
    <row r="241" customFormat="false" ht="12.95" hidden="false" customHeight="true" outlineLevel="0" collapsed="false">
      <c r="A241" s="1" t="n">
        <v>30</v>
      </c>
      <c r="B241" s="34" t="n">
        <v>35156</v>
      </c>
      <c r="C241" s="9" t="n">
        <v>819000</v>
      </c>
      <c r="D241" s="58" t="s">
        <v>41</v>
      </c>
      <c r="E241" s="33" t="n">
        <f aca="false">IF(D241="totale",(C241/(A241*24))/F241,IF(D241="marché libre",(C241/(A241*24))/G241,"spécifier histo"))</f>
        <v>0.289072426937738</v>
      </c>
      <c r="F241" s="59" t="n">
        <v>3935</v>
      </c>
      <c r="G241" s="59" t="n">
        <f aca="false">F241-H241</f>
        <v>3935</v>
      </c>
      <c r="H241" s="9" t="n">
        <v>0</v>
      </c>
      <c r="I241" s="9"/>
      <c r="J241" s="30"/>
    </row>
    <row r="242" customFormat="false" ht="12.95" hidden="false" customHeight="true" outlineLevel="0" collapsed="false">
      <c r="A242" s="1" t="n">
        <v>31</v>
      </c>
      <c r="B242" s="31" t="n">
        <v>35186</v>
      </c>
      <c r="C242" s="9" t="n">
        <v>1856000</v>
      </c>
      <c r="D242" s="58" t="s">
        <v>41</v>
      </c>
      <c r="E242" s="33" t="n">
        <f aca="false">IF(D242="totale",(C242/(A242*24))/F242,IF(D242="marché libre",(C242/(A242*24))/G242,"spécifier histo"))</f>
        <v>0.633957727042942</v>
      </c>
      <c r="F242" s="59" t="n">
        <v>3935</v>
      </c>
      <c r="G242" s="59" t="n">
        <f aca="false">F242-H242</f>
        <v>3935</v>
      </c>
      <c r="H242" s="9" t="n">
        <v>0</v>
      </c>
      <c r="I242" s="9"/>
      <c r="J242" s="30"/>
    </row>
    <row r="243" customFormat="false" ht="12.95" hidden="false" customHeight="true" outlineLevel="0" collapsed="false">
      <c r="A243" s="1" t="n">
        <v>30</v>
      </c>
      <c r="B243" s="34" t="n">
        <v>35217</v>
      </c>
      <c r="C243" s="9" t="n">
        <v>1971000</v>
      </c>
      <c r="D243" s="58" t="s">
        <v>41</v>
      </c>
      <c r="E243" s="33" t="n">
        <f aca="false">IF(D243="totale",(C243/(A243*24))/F243,IF(D243="marché libre",(C243/(A243*24))/G243,"spécifier histo"))</f>
        <v>0.695679796696315</v>
      </c>
      <c r="F243" s="59" t="n">
        <v>3935</v>
      </c>
      <c r="G243" s="59" t="n">
        <f aca="false">F243-H243</f>
        <v>3935</v>
      </c>
      <c r="H243" s="9" t="n">
        <v>0</v>
      </c>
      <c r="I243" s="9"/>
      <c r="J243" s="30"/>
    </row>
    <row r="244" customFormat="false" ht="12.95" hidden="false" customHeight="true" outlineLevel="0" collapsed="false">
      <c r="A244" s="1" t="n">
        <v>31</v>
      </c>
      <c r="B244" s="31" t="n">
        <v>35247</v>
      </c>
      <c r="C244" s="9" t="n">
        <v>1819000</v>
      </c>
      <c r="D244" s="58" t="s">
        <v>41</v>
      </c>
      <c r="E244" s="33" t="n">
        <f aca="false">IF(D244="totale",(C244/(A244*24))/F244,IF(D244="marché libre",(C244/(A244*24))/G244,"spécifier histo"))</f>
        <v>0.621319561148229</v>
      </c>
      <c r="F244" s="59" t="n">
        <v>3935</v>
      </c>
      <c r="G244" s="59" t="n">
        <f aca="false">F244-H244</f>
        <v>3935</v>
      </c>
      <c r="H244" s="9" t="n">
        <v>0</v>
      </c>
      <c r="I244" s="9"/>
      <c r="J244" s="30"/>
    </row>
    <row r="245" customFormat="false" ht="12.95" hidden="false" customHeight="true" outlineLevel="0" collapsed="false">
      <c r="A245" s="1" t="n">
        <v>31</v>
      </c>
      <c r="B245" s="34" t="n">
        <v>35278</v>
      </c>
      <c r="C245" s="9" t="n">
        <v>1492000</v>
      </c>
      <c r="D245" s="58" t="s">
        <v>41</v>
      </c>
      <c r="E245" s="33" t="n">
        <f aca="false">IF(D245="totale",(C245/(A245*24))/F245,IF(D245="marché libre",(C245/(A245*24))/G245,"spécifier histo"))</f>
        <v>0.509625500403055</v>
      </c>
      <c r="F245" s="59" t="n">
        <v>3935</v>
      </c>
      <c r="G245" s="59" t="n">
        <f aca="false">F245-H245</f>
        <v>3935</v>
      </c>
      <c r="H245" s="9" t="n">
        <v>0</v>
      </c>
      <c r="I245" s="9"/>
      <c r="J245" s="30"/>
    </row>
    <row r="246" customFormat="false" ht="12.95" hidden="false" customHeight="true" outlineLevel="0" collapsed="false">
      <c r="A246" s="1" t="n">
        <v>30</v>
      </c>
      <c r="B246" s="31" t="n">
        <v>35309</v>
      </c>
      <c r="C246" s="9" t="n">
        <v>984000</v>
      </c>
      <c r="D246" s="58" t="s">
        <v>41</v>
      </c>
      <c r="E246" s="33" t="n">
        <f aca="false">IF(D246="totale",(C246/(A246*24))/F246,IF(D246="marché libre",(C246/(A246*24))/G246,"spécifier histo"))</f>
        <v>0.347310461668784</v>
      </c>
      <c r="F246" s="59" t="n">
        <v>3935</v>
      </c>
      <c r="G246" s="59" t="n">
        <f aca="false">F246-H246</f>
        <v>3935</v>
      </c>
      <c r="H246" s="9" t="n">
        <v>0</v>
      </c>
      <c r="I246" s="9"/>
      <c r="J246" s="30"/>
    </row>
    <row r="247" customFormat="false" ht="12.95" hidden="false" customHeight="true" outlineLevel="0" collapsed="false">
      <c r="A247" s="1" t="n">
        <v>31</v>
      </c>
      <c r="B247" s="34" t="n">
        <v>35339</v>
      </c>
      <c r="C247" s="9" t="n">
        <v>1102000</v>
      </c>
      <c r="D247" s="58" t="s">
        <v>41</v>
      </c>
      <c r="E247" s="33" t="n">
        <f aca="false">IF(D247="totale",(C247/(A247*24))/F247,IF(D247="marché libre",(C247/(A247*24))/G247,"spécifier histo"))</f>
        <v>0.376412400431747</v>
      </c>
      <c r="F247" s="59" t="n">
        <v>3935</v>
      </c>
      <c r="G247" s="59" t="n">
        <f aca="false">F247-H247</f>
        <v>3935</v>
      </c>
      <c r="H247" s="9" t="n">
        <v>0</v>
      </c>
      <c r="I247" s="9"/>
      <c r="J247" s="30"/>
    </row>
    <row r="248" customFormat="false" ht="12.95" hidden="false" customHeight="true" outlineLevel="0" collapsed="false">
      <c r="A248" s="1" t="n">
        <v>30</v>
      </c>
      <c r="B248" s="31" t="n">
        <v>35370</v>
      </c>
      <c r="C248" s="9" t="n">
        <v>936000</v>
      </c>
      <c r="D248" s="58" t="s">
        <v>41</v>
      </c>
      <c r="E248" s="33" t="n">
        <f aca="false">IF(D248="totale",(C248/(A248*24))/F248,IF(D248="marché libre",(C248/(A248*24))/G248,"spécifier histo"))</f>
        <v>0.330368487928844</v>
      </c>
      <c r="F248" s="59" t="n">
        <v>3935</v>
      </c>
      <c r="G248" s="59" t="n">
        <f aca="false">F248-H248</f>
        <v>3935</v>
      </c>
      <c r="H248" s="9" t="n">
        <v>0</v>
      </c>
      <c r="I248" s="9"/>
      <c r="J248" s="30"/>
    </row>
    <row r="249" customFormat="false" ht="12.95" hidden="false" customHeight="true" outlineLevel="0" collapsed="false">
      <c r="A249" s="1" t="n">
        <v>31</v>
      </c>
      <c r="B249" s="34" t="n">
        <v>35400</v>
      </c>
      <c r="C249" s="9" t="n">
        <v>797000</v>
      </c>
      <c r="D249" s="58" t="s">
        <v>41</v>
      </c>
      <c r="E249" s="33" t="n">
        <f aca="false">IF(D249="totale",(C249/(A249*24))/F249,IF(D249="marché libre",(C249/(A249*24))/G249,"spécifier histo"))</f>
        <v>0.27223292481316</v>
      </c>
      <c r="F249" s="59" t="n">
        <v>3935</v>
      </c>
      <c r="G249" s="59" t="n">
        <f aca="false">F249-H249</f>
        <v>3935</v>
      </c>
      <c r="H249" s="9" t="n">
        <v>0</v>
      </c>
      <c r="I249" s="9"/>
      <c r="J249" s="30"/>
    </row>
    <row r="250" customFormat="false" ht="12.95" hidden="false" customHeight="true" outlineLevel="0" collapsed="false">
      <c r="A250" s="1" t="n">
        <v>31</v>
      </c>
      <c r="B250" s="31" t="n">
        <v>35431</v>
      </c>
      <c r="C250" s="9" t="n">
        <v>483000</v>
      </c>
      <c r="D250" s="58" t="s">
        <v>41</v>
      </c>
      <c r="E250" s="33" t="n">
        <f aca="false">IF(D250="totale",(C250/(A250*24))/F250,IF(D250="marché libre",(C250/(A250*24))/G250,"spécifier histo"))</f>
        <v>0.164979300733697</v>
      </c>
      <c r="F250" s="59" t="n">
        <v>3935</v>
      </c>
      <c r="G250" s="59" t="n">
        <f aca="false">F250-H250</f>
        <v>3935</v>
      </c>
      <c r="H250" s="9" t="n">
        <v>0</v>
      </c>
      <c r="I250" s="9"/>
      <c r="J250" s="30"/>
    </row>
    <row r="251" customFormat="false" ht="12.95" hidden="false" customHeight="true" outlineLevel="0" collapsed="false">
      <c r="A251" s="1" t="n">
        <v>28</v>
      </c>
      <c r="B251" s="34" t="n">
        <v>35462</v>
      </c>
      <c r="C251" s="9" t="n">
        <v>477000</v>
      </c>
      <c r="D251" s="58" t="s">
        <v>41</v>
      </c>
      <c r="E251" s="33" t="n">
        <f aca="false">IF(D251="totale",(C251/(A251*24))/F251,IF(D251="marché libre",(C251/(A251*24))/G251,"spécifier histo"))</f>
        <v>0.180386640043565</v>
      </c>
      <c r="F251" s="59" t="n">
        <v>3935</v>
      </c>
      <c r="G251" s="59" t="n">
        <f aca="false">F251-H251</f>
        <v>3935</v>
      </c>
      <c r="H251" s="9" t="n">
        <v>0</v>
      </c>
      <c r="I251" s="9"/>
      <c r="J251" s="30"/>
    </row>
    <row r="252" customFormat="false" ht="12.95" hidden="false" customHeight="true" outlineLevel="0" collapsed="false">
      <c r="A252" s="1" t="n">
        <v>31</v>
      </c>
      <c r="B252" s="31" t="n">
        <v>35490</v>
      </c>
      <c r="C252" s="9" t="n">
        <v>701000</v>
      </c>
      <c r="D252" s="58" t="s">
        <v>41</v>
      </c>
      <c r="E252" s="33" t="n">
        <f aca="false">IF(D252="totale",(C252/(A252*24))/F252,IF(D252="marché libre",(C252/(A252*24))/G252,"spécifier histo"))</f>
        <v>0.239442007897146</v>
      </c>
      <c r="F252" s="59" t="n">
        <v>3935</v>
      </c>
      <c r="G252" s="59" t="n">
        <f aca="false">F252-H252</f>
        <v>3935</v>
      </c>
      <c r="H252" s="9" t="n">
        <v>0</v>
      </c>
      <c r="I252" s="9"/>
      <c r="J252" s="30"/>
    </row>
    <row r="253" customFormat="false" ht="12.95" hidden="false" customHeight="true" outlineLevel="0" collapsed="false">
      <c r="A253" s="1" t="n">
        <v>30</v>
      </c>
      <c r="B253" s="34" t="n">
        <v>35521</v>
      </c>
      <c r="C253" s="9" t="n">
        <v>885000</v>
      </c>
      <c r="D253" s="58" t="s">
        <v>41</v>
      </c>
      <c r="E253" s="33" t="n">
        <f aca="false">IF(D253="totale",(C253/(A253*24))/F253,IF(D253="marché libre",(C253/(A253*24))/G253,"spécifier histo"))</f>
        <v>0.312367640830157</v>
      </c>
      <c r="F253" s="59" t="n">
        <v>3935</v>
      </c>
      <c r="G253" s="59" t="n">
        <f aca="false">F253-H253</f>
        <v>3935</v>
      </c>
      <c r="H253" s="9" t="n">
        <v>0</v>
      </c>
      <c r="I253" s="9"/>
      <c r="J253" s="30"/>
    </row>
    <row r="254" customFormat="false" ht="12.95" hidden="false" customHeight="true" outlineLevel="0" collapsed="false">
      <c r="A254" s="1" t="n">
        <v>31</v>
      </c>
      <c r="B254" s="31" t="n">
        <v>35551</v>
      </c>
      <c r="C254" s="9" t="n">
        <v>1903000</v>
      </c>
      <c r="D254" s="58" t="s">
        <v>41</v>
      </c>
      <c r="E254" s="33" t="n">
        <f aca="false">IF(D254="totale",(C254/(A254*24))/F254,IF(D254="marché libre",(C254/(A254*24))/G254,"spécifier histo"))</f>
        <v>0.650011613449741</v>
      </c>
      <c r="F254" s="59" t="n">
        <v>3935</v>
      </c>
      <c r="G254" s="59" t="n">
        <f aca="false">F254-H254</f>
        <v>3935</v>
      </c>
      <c r="H254" s="9" t="n">
        <v>0</v>
      </c>
      <c r="I254" s="9"/>
      <c r="J254" s="30"/>
    </row>
    <row r="255" customFormat="false" ht="12.95" hidden="false" customHeight="true" outlineLevel="0" collapsed="false">
      <c r="A255" s="1" t="n">
        <v>30</v>
      </c>
      <c r="B255" s="34" t="n">
        <v>35582</v>
      </c>
      <c r="C255" s="9" t="n">
        <v>2287000</v>
      </c>
      <c r="D255" s="58" t="s">
        <v>41</v>
      </c>
      <c r="E255" s="33" t="n">
        <f aca="false">IF(D255="totale",(C255/(A255*24))/F255,IF(D255="marché libre",(C255/(A255*24))/G255,"spécifier histo"))</f>
        <v>0.807214457150925</v>
      </c>
      <c r="F255" s="59" t="n">
        <v>3935</v>
      </c>
      <c r="G255" s="59" t="n">
        <f aca="false">F255-H255</f>
        <v>3935</v>
      </c>
      <c r="H255" s="9" t="n">
        <v>0</v>
      </c>
      <c r="I255" s="9"/>
      <c r="J255" s="30"/>
    </row>
    <row r="256" customFormat="false" ht="12.95" hidden="false" customHeight="true" outlineLevel="0" collapsed="false">
      <c r="A256" s="1" t="n">
        <v>31</v>
      </c>
      <c r="B256" s="31" t="n">
        <v>35612</v>
      </c>
      <c r="C256" s="9" t="n">
        <v>2323000</v>
      </c>
      <c r="D256" s="58" t="s">
        <v>41</v>
      </c>
      <c r="E256" s="33" t="n">
        <f aca="false">IF(D256="totale",(C256/(A256*24))/F256,IF(D256="marché libre",(C256/(A256*24))/G256,"spécifier histo"))</f>
        <v>0.793471874957304</v>
      </c>
      <c r="F256" s="59" t="n">
        <v>3935</v>
      </c>
      <c r="G256" s="59" t="n">
        <f aca="false">F256-H256</f>
        <v>3935</v>
      </c>
      <c r="H256" s="9" t="n">
        <v>0</v>
      </c>
      <c r="I256" s="9"/>
      <c r="J256" s="30"/>
    </row>
    <row r="257" customFormat="false" ht="12.95" hidden="false" customHeight="true" outlineLevel="0" collapsed="false">
      <c r="A257" s="1" t="n">
        <v>31</v>
      </c>
      <c r="B257" s="34" t="n">
        <v>35643</v>
      </c>
      <c r="C257" s="9" t="n">
        <v>1436000</v>
      </c>
      <c r="D257" s="58" t="s">
        <v>41</v>
      </c>
      <c r="E257" s="33" t="n">
        <f aca="false">IF(D257="totale",(C257/(A257*24))/F257,IF(D257="marché libre",(C257/(A257*24))/G257,"spécifier histo"))</f>
        <v>0.49049746553538</v>
      </c>
      <c r="F257" s="59" t="n">
        <v>3935</v>
      </c>
      <c r="G257" s="59" t="n">
        <f aca="false">F257-H257</f>
        <v>3935</v>
      </c>
      <c r="H257" s="9" t="n">
        <v>0</v>
      </c>
      <c r="I257" s="9"/>
      <c r="J257" s="30"/>
    </row>
    <row r="258" customFormat="false" ht="12.95" hidden="false" customHeight="true" outlineLevel="0" collapsed="false">
      <c r="A258" s="1" t="n">
        <v>30</v>
      </c>
      <c r="B258" s="31" t="n">
        <v>35674</v>
      </c>
      <c r="C258" s="9" t="n">
        <v>1096000</v>
      </c>
      <c r="D258" s="58" t="s">
        <v>41</v>
      </c>
      <c r="E258" s="33" t="n">
        <f aca="false">IF(D258="totale",(C258/(A258*24))/F258,IF(D258="marché libre",(C258/(A258*24))/G258,"spécifier histo"))</f>
        <v>0.386841733728646</v>
      </c>
      <c r="F258" s="59" t="n">
        <v>3935</v>
      </c>
      <c r="G258" s="59" t="n">
        <f aca="false">F258-H258</f>
        <v>3935</v>
      </c>
      <c r="H258" s="9" t="n">
        <v>0</v>
      </c>
      <c r="I258" s="9"/>
      <c r="J258" s="30"/>
    </row>
    <row r="259" customFormat="false" ht="12.95" hidden="false" customHeight="true" outlineLevel="0" collapsed="false">
      <c r="A259" s="1" t="n">
        <v>31</v>
      </c>
      <c r="B259" s="34" t="n">
        <v>35704</v>
      </c>
      <c r="C259" s="9" t="n">
        <v>833000</v>
      </c>
      <c r="D259" s="58" t="s">
        <v>41</v>
      </c>
      <c r="E259" s="33" t="n">
        <f aca="false">IF(D259="totale",(C259/(A259*24))/F259,IF(D259="marché libre",(C259/(A259*24))/G259,"spécifier histo"))</f>
        <v>0.284529518656665</v>
      </c>
      <c r="F259" s="59" t="n">
        <v>3935</v>
      </c>
      <c r="G259" s="59" t="n">
        <f aca="false">F259-H259</f>
        <v>3935</v>
      </c>
      <c r="H259" s="9" t="n">
        <v>0</v>
      </c>
      <c r="I259" s="9"/>
      <c r="J259" s="30"/>
    </row>
    <row r="260" customFormat="false" ht="12.95" hidden="false" customHeight="true" outlineLevel="0" collapsed="false">
      <c r="A260" s="1" t="n">
        <v>30</v>
      </c>
      <c r="B260" s="31" t="n">
        <v>35735</v>
      </c>
      <c r="C260" s="9" t="n">
        <v>603000</v>
      </c>
      <c r="D260" s="58" t="s">
        <v>41</v>
      </c>
      <c r="E260" s="33" t="n">
        <f aca="false">IF(D260="totale",(C260/(A260*24))/F260,IF(D260="marché libre",(C260/(A260*24))/G260,"spécifier histo"))</f>
        <v>0.212833545108005</v>
      </c>
      <c r="F260" s="59" t="n">
        <v>3935</v>
      </c>
      <c r="G260" s="59" t="n">
        <f aca="false">F260-H260</f>
        <v>3935</v>
      </c>
      <c r="H260" s="9" t="n">
        <v>0</v>
      </c>
      <c r="I260" s="9"/>
      <c r="J260" s="30"/>
    </row>
    <row r="261" customFormat="false" ht="12.95" hidden="false" customHeight="true" outlineLevel="0" collapsed="false">
      <c r="A261" s="1" t="n">
        <v>31</v>
      </c>
      <c r="B261" s="34" t="n">
        <v>35765</v>
      </c>
      <c r="C261" s="9" t="n">
        <v>591000</v>
      </c>
      <c r="D261" s="58" t="s">
        <v>41</v>
      </c>
      <c r="E261" s="33" t="n">
        <f aca="false">IF(D261="totale",(C261/(A261*24))/F261,IF(D261="marché libre",(C261/(A261*24))/G261,"spécifier histo"))</f>
        <v>0.201869082264213</v>
      </c>
      <c r="F261" s="59" t="n">
        <v>3935</v>
      </c>
      <c r="G261" s="59" t="n">
        <f aca="false">F261-H261</f>
        <v>3935</v>
      </c>
      <c r="H261" s="9" t="n">
        <v>0</v>
      </c>
      <c r="I261" s="9"/>
      <c r="J261" s="30"/>
    </row>
    <row r="262" customFormat="false" ht="12.95" hidden="false" customHeight="true" outlineLevel="0" collapsed="false">
      <c r="A262" s="1" t="n">
        <v>31</v>
      </c>
      <c r="B262" s="31" t="n">
        <v>35796</v>
      </c>
      <c r="C262" s="9" t="n">
        <v>532000</v>
      </c>
      <c r="D262" s="58" t="s">
        <v>41</v>
      </c>
      <c r="E262" s="33" t="n">
        <f aca="false">IF(D262="totale",(C262/(A262*24))/F262,IF(D262="marché libre",(C262/(A262*24))/G262,"spécifier histo"))</f>
        <v>0.181716331242912</v>
      </c>
      <c r="F262" s="59" t="n">
        <v>3935</v>
      </c>
      <c r="G262" s="59" t="n">
        <f aca="false">F262-H262</f>
        <v>3935</v>
      </c>
      <c r="H262" s="9" t="n">
        <v>0</v>
      </c>
      <c r="I262" s="9"/>
      <c r="J262" s="30"/>
    </row>
    <row r="263" customFormat="false" ht="12.95" hidden="false" customHeight="true" outlineLevel="0" collapsed="false">
      <c r="A263" s="1" t="n">
        <v>28</v>
      </c>
      <c r="B263" s="34" t="n">
        <v>35827</v>
      </c>
      <c r="C263" s="9" t="n">
        <v>399000</v>
      </c>
      <c r="D263" s="58" t="s">
        <v>41</v>
      </c>
      <c r="E263" s="33" t="n">
        <f aca="false">IF(D263="totale",(C263/(A263*24))/F263,IF(D263="marché libre",(C263/(A263*24))/G263,"spécifier histo"))</f>
        <v>0.150889453621347</v>
      </c>
      <c r="F263" s="59" t="n">
        <v>3935</v>
      </c>
      <c r="G263" s="59" t="n">
        <f aca="false">F263-H263</f>
        <v>3935</v>
      </c>
      <c r="H263" s="9" t="n">
        <v>0</v>
      </c>
      <c r="I263" s="9"/>
      <c r="J263" s="30"/>
    </row>
    <row r="264" customFormat="false" ht="12.95" hidden="false" customHeight="true" outlineLevel="0" collapsed="false">
      <c r="A264" s="1" t="n">
        <v>31</v>
      </c>
      <c r="B264" s="31" t="n">
        <v>35855</v>
      </c>
      <c r="C264" s="9" t="n">
        <v>514000</v>
      </c>
      <c r="D264" s="58" t="s">
        <v>41</v>
      </c>
      <c r="E264" s="33" t="n">
        <f aca="false">IF(D264="totale",(C264/(A264*24))/F264,IF(D264="marché libre",(C264/(A264*24))/G264,"spécifier histo"))</f>
        <v>0.17556803432116</v>
      </c>
      <c r="F264" s="59" t="n">
        <v>3935</v>
      </c>
      <c r="G264" s="59" t="n">
        <f aca="false">F264-H264</f>
        <v>3935</v>
      </c>
      <c r="H264" s="9" t="n">
        <v>0</v>
      </c>
      <c r="I264" s="9"/>
      <c r="J264" s="30"/>
    </row>
    <row r="265" customFormat="false" ht="12.95" hidden="false" customHeight="true" outlineLevel="0" collapsed="false">
      <c r="A265" s="1" t="n">
        <v>30</v>
      </c>
      <c r="B265" s="34" t="n">
        <v>35886</v>
      </c>
      <c r="C265" s="9" t="n">
        <v>865000</v>
      </c>
      <c r="D265" s="58" t="s">
        <v>41</v>
      </c>
      <c r="E265" s="33" t="n">
        <f aca="false">IF(D265="totale",(C265/(A265*24))/F265,IF(D265="marché libre",(C265/(A265*24))/G265,"spécifier histo"))</f>
        <v>0.305308485105181</v>
      </c>
      <c r="F265" s="59" t="n">
        <v>3935</v>
      </c>
      <c r="G265" s="59" t="n">
        <f aca="false">F265-H265</f>
        <v>3935</v>
      </c>
      <c r="H265" s="9" t="n">
        <v>0</v>
      </c>
      <c r="I265" s="9"/>
      <c r="J265" s="30"/>
    </row>
    <row r="266" customFormat="false" ht="12.95" hidden="false" customHeight="true" outlineLevel="0" collapsed="false">
      <c r="A266" s="1" t="n">
        <v>31</v>
      </c>
      <c r="B266" s="31" t="n">
        <v>35916</v>
      </c>
      <c r="C266" s="9" t="n">
        <v>1873000</v>
      </c>
      <c r="D266" s="58" t="s">
        <v>41</v>
      </c>
      <c r="E266" s="33" t="n">
        <f aca="false">IF(D266="totale",(C266/(A266*24))/F266,IF(D266="marché libre",(C266/(A266*24))/G266,"spécifier histo"))</f>
        <v>0.639764451913487</v>
      </c>
      <c r="F266" s="59" t="n">
        <v>3935</v>
      </c>
      <c r="G266" s="59" t="n">
        <f aca="false">F266-H266</f>
        <v>3935</v>
      </c>
      <c r="H266" s="9" t="n">
        <v>0</v>
      </c>
      <c r="I266" s="9"/>
      <c r="J266" s="30"/>
    </row>
    <row r="267" customFormat="false" ht="12.95" hidden="false" customHeight="true" outlineLevel="0" collapsed="false">
      <c r="A267" s="1" t="n">
        <v>30</v>
      </c>
      <c r="B267" s="34" t="n">
        <v>35947</v>
      </c>
      <c r="C267" s="9" t="n">
        <v>2503000</v>
      </c>
      <c r="D267" s="58" t="s">
        <v>41</v>
      </c>
      <c r="E267" s="33" t="n">
        <f aca="false">IF(D267="totale",(C267/(A267*24))/F267,IF(D267="marché libre",(C267/(A267*24))/G267,"spécifier histo"))</f>
        <v>0.883453338980658</v>
      </c>
      <c r="F267" s="59" t="n">
        <v>3935</v>
      </c>
      <c r="G267" s="59" t="n">
        <f aca="false">F267-H267</f>
        <v>3935</v>
      </c>
      <c r="H267" s="9" t="n">
        <v>0</v>
      </c>
      <c r="I267" s="9"/>
      <c r="J267" s="30"/>
    </row>
    <row r="268" customFormat="false" ht="12.95" hidden="false" customHeight="true" outlineLevel="0" collapsed="false">
      <c r="A268" s="1" t="n">
        <v>31</v>
      </c>
      <c r="B268" s="31" t="n">
        <v>35977</v>
      </c>
      <c r="C268" s="9" t="n">
        <v>1874000</v>
      </c>
      <c r="D268" s="58" t="s">
        <v>41</v>
      </c>
      <c r="E268" s="33" t="n">
        <f aca="false">IF(D268="totale",(C268/(A268*24))/F268,IF(D268="marché libre",(C268/(A268*24))/G268,"spécifier histo"))</f>
        <v>0.640106023964695</v>
      </c>
      <c r="F268" s="59" t="n">
        <v>3935</v>
      </c>
      <c r="G268" s="59" t="n">
        <f aca="false">F268-H268</f>
        <v>3935</v>
      </c>
      <c r="H268" s="9" t="n">
        <v>0</v>
      </c>
      <c r="I268" s="9"/>
      <c r="J268" s="30"/>
    </row>
    <row r="269" customFormat="false" ht="12.95" hidden="false" customHeight="true" outlineLevel="0" collapsed="false">
      <c r="A269" s="1" t="n">
        <v>31</v>
      </c>
      <c r="B269" s="34" t="n">
        <v>36008</v>
      </c>
      <c r="C269" s="9" t="n">
        <v>1100000</v>
      </c>
      <c r="D269" s="58" t="s">
        <v>41</v>
      </c>
      <c r="E269" s="33" t="n">
        <f aca="false">IF(D269="totale",(C269/(A269*24))/F269,IF(D269="marché libre",(C269/(A269*24))/G269,"spécifier histo"))</f>
        <v>0.37572925632933</v>
      </c>
      <c r="F269" s="59" t="n">
        <v>3935</v>
      </c>
      <c r="G269" s="59" t="n">
        <f aca="false">F269-H269</f>
        <v>3935</v>
      </c>
      <c r="H269" s="9" t="n">
        <v>0</v>
      </c>
      <c r="I269" s="9"/>
      <c r="J269" s="30"/>
    </row>
    <row r="270" customFormat="false" ht="12.95" hidden="false" customHeight="true" outlineLevel="0" collapsed="false">
      <c r="A270" s="1" t="n">
        <v>30</v>
      </c>
      <c r="B270" s="31" t="n">
        <v>36039</v>
      </c>
      <c r="C270" s="9" t="n">
        <v>1646000</v>
      </c>
      <c r="D270" s="58" t="s">
        <v>41</v>
      </c>
      <c r="E270" s="33" t="n">
        <f aca="false">IF(D270="totale",(C270/(A270*24))/F270,IF(D270="marché libre",(C270/(A270*24))/G270,"spécifier histo"))</f>
        <v>0.580968516165467</v>
      </c>
      <c r="F270" s="59" t="n">
        <v>3935</v>
      </c>
      <c r="G270" s="59" t="n">
        <f aca="false">F270-H270</f>
        <v>3935</v>
      </c>
      <c r="H270" s="9" t="n">
        <v>0</v>
      </c>
      <c r="I270" s="9"/>
      <c r="J270" s="30"/>
    </row>
    <row r="271" customFormat="false" ht="12.95" hidden="false" customHeight="true" outlineLevel="0" collapsed="false">
      <c r="A271" s="1" t="n">
        <v>31</v>
      </c>
      <c r="B271" s="34" t="n">
        <v>36069</v>
      </c>
      <c r="C271" s="9" t="n">
        <v>1679000</v>
      </c>
      <c r="D271" s="58" t="s">
        <v>41</v>
      </c>
      <c r="E271" s="33" t="n">
        <f aca="false">IF(D271="totale",(C271/(A271*24))/F271,IF(D271="marché libre",(C271/(A271*24))/G271,"spécifier histo"))</f>
        <v>0.573499473979041</v>
      </c>
      <c r="F271" s="59" t="n">
        <v>3935</v>
      </c>
      <c r="G271" s="59" t="n">
        <f aca="false">F271-H271</f>
        <v>3935</v>
      </c>
      <c r="H271" s="9" t="n">
        <v>0</v>
      </c>
      <c r="I271" s="9"/>
      <c r="J271" s="30"/>
    </row>
    <row r="272" customFormat="false" ht="12.95" hidden="false" customHeight="true" outlineLevel="0" collapsed="false">
      <c r="A272" s="1" t="n">
        <v>30</v>
      </c>
      <c r="B272" s="31" t="n">
        <v>36100</v>
      </c>
      <c r="C272" s="9" t="n">
        <v>1363000</v>
      </c>
      <c r="D272" s="58" t="s">
        <v>41</v>
      </c>
      <c r="E272" s="33" t="n">
        <f aca="false">IF(D272="totale",(C272/(A272*24))/F272,IF(D272="marché libre",(C272/(A272*24))/G272,"spécifier histo"))</f>
        <v>0.481081462657066</v>
      </c>
      <c r="F272" s="59" t="n">
        <v>3935</v>
      </c>
      <c r="G272" s="59" t="n">
        <f aca="false">F272-H272</f>
        <v>3935</v>
      </c>
      <c r="H272" s="9" t="n">
        <v>0</v>
      </c>
      <c r="I272" s="9"/>
      <c r="J272" s="30"/>
    </row>
    <row r="273" customFormat="false" ht="12.95" hidden="false" customHeight="true" outlineLevel="0" collapsed="false">
      <c r="A273" s="1" t="n">
        <v>31</v>
      </c>
      <c r="B273" s="34" t="n">
        <v>36130</v>
      </c>
      <c r="C273" s="9" t="n">
        <v>721000</v>
      </c>
      <c r="D273" s="58" t="s">
        <v>41</v>
      </c>
      <c r="E273" s="33" t="n">
        <f aca="false">IF(D273="totale",(C273/(A273*24))/F273,IF(D273="marché libre",(C273/(A273*24))/G273,"spécifier histo"))</f>
        <v>0.246273448921315</v>
      </c>
      <c r="F273" s="59" t="n">
        <v>3935</v>
      </c>
      <c r="G273" s="59" t="n">
        <f aca="false">F273-H273</f>
        <v>3935</v>
      </c>
      <c r="H273" s="9" t="n">
        <v>0</v>
      </c>
      <c r="I273" s="9"/>
      <c r="J273" s="30"/>
    </row>
    <row r="274" customFormat="false" ht="12.95" hidden="false" customHeight="true" outlineLevel="0" collapsed="false">
      <c r="A274" s="1" t="n">
        <v>31</v>
      </c>
      <c r="B274" s="31" t="n">
        <v>36161</v>
      </c>
      <c r="C274" s="9" t="n">
        <v>456000</v>
      </c>
      <c r="D274" s="58" t="s">
        <v>41</v>
      </c>
      <c r="E274" s="33" t="n">
        <f aca="false">IF(D274="totale",(C274/(A274*24))/F274,IF(D274="marché libre",(C274/(A274*24))/G274,"spécifier histo"))</f>
        <v>0.155756855351068</v>
      </c>
      <c r="F274" s="59" t="n">
        <v>3935</v>
      </c>
      <c r="G274" s="59" t="n">
        <f aca="false">F274-H274</f>
        <v>3935</v>
      </c>
      <c r="H274" s="9" t="n">
        <v>0</v>
      </c>
      <c r="I274" s="9"/>
      <c r="J274" s="30"/>
    </row>
    <row r="275" customFormat="false" ht="12.95" hidden="false" customHeight="true" outlineLevel="0" collapsed="false">
      <c r="A275" s="1" t="n">
        <v>28</v>
      </c>
      <c r="B275" s="34" t="n">
        <v>36192</v>
      </c>
      <c r="C275" s="9" t="n">
        <v>407000</v>
      </c>
      <c r="D275" s="58" t="s">
        <v>41</v>
      </c>
      <c r="E275" s="33" t="n">
        <f aca="false">IF(D275="totale",(C275/(A275*24))/F275,IF(D275="marché libre",(C275/(A275*24))/G275,"spécifier histo"))</f>
        <v>0.153914806074908</v>
      </c>
      <c r="F275" s="59" t="n">
        <v>3935</v>
      </c>
      <c r="G275" s="59" t="n">
        <f aca="false">F275-H275</f>
        <v>3935</v>
      </c>
      <c r="H275" s="9" t="n">
        <v>0</v>
      </c>
      <c r="I275" s="9"/>
      <c r="J275" s="30"/>
    </row>
    <row r="276" customFormat="false" ht="12.95" hidden="false" customHeight="true" outlineLevel="0" collapsed="false">
      <c r="A276" s="1" t="n">
        <v>31</v>
      </c>
      <c r="B276" s="31" t="n">
        <v>36220</v>
      </c>
      <c r="C276" s="9" t="n">
        <v>503000</v>
      </c>
      <c r="D276" s="58" t="s">
        <v>41</v>
      </c>
      <c r="E276" s="33" t="n">
        <f aca="false">IF(D276="totale",(C276/(A276*24))/F276,IF(D276="marché libre",(C276/(A276*24))/G276,"spécifier histo"))</f>
        <v>0.171810741757866</v>
      </c>
      <c r="F276" s="59" t="n">
        <v>3935</v>
      </c>
      <c r="G276" s="59" t="n">
        <f aca="false">F276-H276</f>
        <v>3935</v>
      </c>
      <c r="H276" s="9" t="n">
        <v>0</v>
      </c>
      <c r="I276" s="9"/>
      <c r="J276" s="30"/>
    </row>
    <row r="277" customFormat="false" ht="12.95" hidden="false" customHeight="true" outlineLevel="0" collapsed="false">
      <c r="A277" s="1" t="n">
        <v>30</v>
      </c>
      <c r="B277" s="34" t="n">
        <v>36251</v>
      </c>
      <c r="C277" s="9" t="n">
        <v>1056000</v>
      </c>
      <c r="D277" s="58" t="s">
        <v>41</v>
      </c>
      <c r="E277" s="33" t="n">
        <f aca="false">IF(D277="totale",(C277/(A277*24))/F277,IF(D277="marché libre",(C277/(A277*24))/G277,"spécifier histo"))</f>
        <v>0.372723422278695</v>
      </c>
      <c r="F277" s="59" t="n">
        <v>3935</v>
      </c>
      <c r="G277" s="59" t="n">
        <f aca="false">F277-H277</f>
        <v>3935</v>
      </c>
      <c r="H277" s="9" t="n">
        <v>0</v>
      </c>
      <c r="I277" s="9"/>
      <c r="J277" s="30"/>
    </row>
    <row r="278" customFormat="false" ht="12.95" hidden="false" customHeight="true" outlineLevel="0" collapsed="false">
      <c r="A278" s="1" t="n">
        <v>31</v>
      </c>
      <c r="B278" s="31" t="n">
        <v>36281</v>
      </c>
      <c r="C278" s="9" t="n">
        <v>2618000</v>
      </c>
      <c r="D278" s="58" t="s">
        <v>41</v>
      </c>
      <c r="E278" s="33" t="n">
        <f aca="false">IF(D278="totale",(C278/(A278*24))/F278,IF(D278="marché libre",(C278/(A278*24))/G278,"spécifier histo"))</f>
        <v>0.894235630063806</v>
      </c>
      <c r="F278" s="59" t="n">
        <v>3935</v>
      </c>
      <c r="G278" s="59" t="n">
        <f aca="false">F278-H278</f>
        <v>3935</v>
      </c>
      <c r="H278" s="9" t="n">
        <v>0</v>
      </c>
      <c r="I278" s="9"/>
      <c r="J278" s="30"/>
    </row>
    <row r="279" customFormat="false" ht="12.95" hidden="false" customHeight="true" outlineLevel="0" collapsed="false">
      <c r="A279" s="1" t="n">
        <v>30</v>
      </c>
      <c r="B279" s="34" t="n">
        <v>36312</v>
      </c>
      <c r="C279" s="9" t="n">
        <v>2548000</v>
      </c>
      <c r="D279" s="58" t="s">
        <v>41</v>
      </c>
      <c r="E279" s="33" t="n">
        <f aca="false">IF(D279="totale",(C279/(A279*24))/F279,IF(D279="marché libre",(C279/(A279*24))/G279,"spécifier histo"))</f>
        <v>0.899336439361852</v>
      </c>
      <c r="F279" s="59" t="n">
        <v>3935</v>
      </c>
      <c r="G279" s="59" t="n">
        <f aca="false">F279-H279</f>
        <v>3935</v>
      </c>
      <c r="H279" s="9" t="n">
        <v>0</v>
      </c>
      <c r="I279" s="9"/>
      <c r="J279" s="30"/>
    </row>
    <row r="280" customFormat="false" ht="12.95" hidden="false" customHeight="true" outlineLevel="0" collapsed="false">
      <c r="A280" s="1" t="n">
        <v>31</v>
      </c>
      <c r="B280" s="31" t="n">
        <v>36342</v>
      </c>
      <c r="C280" s="9" t="n">
        <v>2192000</v>
      </c>
      <c r="D280" s="58" t="s">
        <v>41</v>
      </c>
      <c r="E280" s="33" t="n">
        <f aca="false">IF(D280="totale",(C280/(A280*24))/F280,IF(D280="marché libre",(C280/(A280*24))/G280,"spécifier histo"))</f>
        <v>0.748725936248992</v>
      </c>
      <c r="F280" s="59" t="n">
        <v>3935</v>
      </c>
      <c r="G280" s="59" t="n">
        <f aca="false">F280-H280</f>
        <v>3935</v>
      </c>
      <c r="H280" s="9" t="n">
        <v>0</v>
      </c>
      <c r="I280" s="9"/>
      <c r="J280" s="30"/>
    </row>
    <row r="281" customFormat="false" ht="12.95" hidden="false" customHeight="true" outlineLevel="0" collapsed="false">
      <c r="A281" s="1" t="n">
        <v>31</v>
      </c>
      <c r="B281" s="34" t="n">
        <v>36373</v>
      </c>
      <c r="C281" s="9" t="n">
        <v>1619000</v>
      </c>
      <c r="D281" s="58" t="s">
        <v>41</v>
      </c>
      <c r="E281" s="33" t="n">
        <f aca="false">IF(D281="totale",(C281/(A281*24))/F281,IF(D281="marché libre",(C281/(A281*24))/G281,"spécifier histo"))</f>
        <v>0.553005150906532</v>
      </c>
      <c r="F281" s="59" t="n">
        <v>3935</v>
      </c>
      <c r="G281" s="59" t="n">
        <f aca="false">F281-H281</f>
        <v>3935</v>
      </c>
      <c r="H281" s="9" t="n">
        <v>0</v>
      </c>
      <c r="I281" s="9"/>
      <c r="J281" s="30"/>
    </row>
    <row r="282" customFormat="false" ht="12.95" hidden="false" customHeight="true" outlineLevel="0" collapsed="false">
      <c r="A282" s="1" t="n">
        <v>30</v>
      </c>
      <c r="B282" s="31" t="n">
        <v>36404</v>
      </c>
      <c r="C282" s="9" t="n">
        <v>1085000</v>
      </c>
      <c r="D282" s="58" t="s">
        <v>41</v>
      </c>
      <c r="E282" s="33" t="n">
        <f aca="false">IF(D282="totale",(C282/(A282*24))/F282,IF(D282="marché libre",(C282/(A282*24))/G282,"spécifier histo"))</f>
        <v>0.38295919807991</v>
      </c>
      <c r="F282" s="59" t="n">
        <v>3935</v>
      </c>
      <c r="G282" s="59" t="n">
        <f aca="false">F282-H282</f>
        <v>3935</v>
      </c>
      <c r="H282" s="9" t="n">
        <v>0</v>
      </c>
      <c r="I282" s="9"/>
      <c r="J282" s="30"/>
    </row>
    <row r="283" customFormat="false" ht="12.95" hidden="false" customHeight="true" outlineLevel="0" collapsed="false">
      <c r="A283" s="1" t="n">
        <v>31</v>
      </c>
      <c r="B283" s="34" t="n">
        <v>36434</v>
      </c>
      <c r="C283" s="9" t="n">
        <v>1169000</v>
      </c>
      <c r="D283" s="58" t="s">
        <v>41</v>
      </c>
      <c r="E283" s="33" t="n">
        <f aca="false">IF(D283="totale",(C283/(A283*24))/F283,IF(D283="marché libre",(C283/(A283*24))/G283,"spécifier histo"))</f>
        <v>0.399297727862715</v>
      </c>
      <c r="F283" s="59" t="n">
        <v>3935</v>
      </c>
      <c r="G283" s="59" t="n">
        <f aca="false">F283-H283</f>
        <v>3935</v>
      </c>
      <c r="H283" s="9" t="n">
        <v>0</v>
      </c>
      <c r="I283" s="9"/>
      <c r="J283" s="30"/>
    </row>
    <row r="284" customFormat="false" ht="12.95" hidden="false" customHeight="true" outlineLevel="0" collapsed="false">
      <c r="A284" s="1" t="n">
        <v>30</v>
      </c>
      <c r="B284" s="31" t="n">
        <v>36465</v>
      </c>
      <c r="C284" s="9" t="n">
        <v>776000</v>
      </c>
      <c r="D284" s="58" t="s">
        <v>41</v>
      </c>
      <c r="E284" s="33" t="n">
        <f aca="false">IF(D284="totale",(C284/(A284*24))/F284,IF(D284="marché libre",(C284/(A284*24))/G284,"spécifier histo"))</f>
        <v>0.273895242129041</v>
      </c>
      <c r="F284" s="59" t="n">
        <v>3935</v>
      </c>
      <c r="G284" s="59" t="n">
        <f aca="false">F284-H284</f>
        <v>3935</v>
      </c>
      <c r="H284" s="9" t="n">
        <v>0</v>
      </c>
      <c r="I284" s="9"/>
      <c r="J284" s="30"/>
    </row>
    <row r="285" customFormat="false" ht="12.95" hidden="false" customHeight="true" outlineLevel="0" collapsed="false">
      <c r="A285" s="1" t="n">
        <v>31</v>
      </c>
      <c r="B285" s="34" t="n">
        <v>36495</v>
      </c>
      <c r="C285" s="9" t="n">
        <v>596000</v>
      </c>
      <c r="D285" s="58" t="s">
        <v>41</v>
      </c>
      <c r="E285" s="33" t="n">
        <f aca="false">IF(D285="totale",(C285/(A285*24))/F285,IF(D285="marché libre",(C285/(A285*24))/G285,"spécifier histo"))</f>
        <v>0.203576942520255</v>
      </c>
      <c r="F285" s="59" t="n">
        <v>3935</v>
      </c>
      <c r="G285" s="59" t="n">
        <f aca="false">F285-H285</f>
        <v>3935</v>
      </c>
      <c r="H285" s="9" t="n">
        <v>0</v>
      </c>
      <c r="I285" s="9"/>
      <c r="J285" s="30"/>
    </row>
    <row r="286" customFormat="false" ht="12.95" hidden="false" customHeight="true" outlineLevel="0" collapsed="false">
      <c r="A286" s="1" t="n">
        <v>31</v>
      </c>
      <c r="B286" s="31" t="n">
        <v>36526</v>
      </c>
      <c r="C286" s="9" t="n">
        <v>342000</v>
      </c>
      <c r="D286" s="58" t="s">
        <v>41</v>
      </c>
      <c r="E286" s="33" t="n">
        <f aca="false">IF(D286="totale",(C286/(A286*24))/F286,IF(D286="marché libre",(C286/(A286*24))/G286,"spécifier histo"))</f>
        <v>0.116817641513301</v>
      </c>
      <c r="F286" s="59" t="n">
        <v>3935</v>
      </c>
      <c r="G286" s="59" t="n">
        <f aca="false">F286-H286</f>
        <v>3935</v>
      </c>
      <c r="H286" s="9" t="n">
        <v>0</v>
      </c>
      <c r="I286" s="9"/>
      <c r="J286" s="30"/>
    </row>
    <row r="287" customFormat="false" ht="12.95" hidden="false" customHeight="true" outlineLevel="0" collapsed="false">
      <c r="A287" s="1" t="n">
        <v>28</v>
      </c>
      <c r="B287" s="34" t="n">
        <v>36557</v>
      </c>
      <c r="C287" s="9" t="n">
        <v>410000</v>
      </c>
      <c r="D287" s="58" t="s">
        <v>41</v>
      </c>
      <c r="E287" s="33" t="n">
        <f aca="false">IF(D287="totale",(C287/(A287*24))/F287,IF(D287="marché libre",(C287/(A287*24))/G287,"spécifier histo"))</f>
        <v>0.155049313244993</v>
      </c>
      <c r="F287" s="59" t="n">
        <v>3935</v>
      </c>
      <c r="G287" s="59" t="n">
        <f aca="false">F287-H287</f>
        <v>3935</v>
      </c>
      <c r="H287" s="9" t="n">
        <v>0</v>
      </c>
      <c r="I287" s="9"/>
      <c r="J287" s="30"/>
    </row>
    <row r="288" customFormat="false" ht="12.95" hidden="false" customHeight="true" outlineLevel="0" collapsed="false">
      <c r="A288" s="1" t="n">
        <v>31</v>
      </c>
      <c r="B288" s="31" t="n">
        <v>36586</v>
      </c>
      <c r="C288" s="9" t="n">
        <v>515000</v>
      </c>
      <c r="D288" s="58" t="s">
        <v>41</v>
      </c>
      <c r="E288" s="33" t="n">
        <f aca="false">IF(D288="totale",(C288/(A288*24))/F288,IF(D288="marché libre",(C288/(A288*24))/G288,"spécifier histo"))</f>
        <v>0.175909606372368</v>
      </c>
      <c r="F288" s="59" t="n">
        <v>3935</v>
      </c>
      <c r="G288" s="59" t="n">
        <f aca="false">F288-H288</f>
        <v>3935</v>
      </c>
      <c r="H288" s="9" t="n">
        <v>0</v>
      </c>
      <c r="I288" s="9"/>
      <c r="J288" s="30"/>
    </row>
    <row r="289" customFormat="false" ht="12.95" hidden="false" customHeight="true" outlineLevel="0" collapsed="false">
      <c r="A289" s="1" t="n">
        <v>30</v>
      </c>
      <c r="B289" s="34" t="n">
        <v>36617</v>
      </c>
      <c r="C289" s="9" t="n">
        <v>962000</v>
      </c>
      <c r="D289" s="58" t="s">
        <v>41</v>
      </c>
      <c r="E289" s="33" t="n">
        <f aca="false">IF(D289="totale",(C289/(A289*24))/F289,IF(D289="marché libre",(C289/(A289*24))/G289,"spécifier histo"))</f>
        <v>0.339545390371312</v>
      </c>
      <c r="F289" s="59" t="n">
        <v>3935</v>
      </c>
      <c r="G289" s="59" t="n">
        <f aca="false">F289-H289</f>
        <v>3935</v>
      </c>
      <c r="H289" s="9" t="n">
        <v>0</v>
      </c>
      <c r="I289" s="9"/>
      <c r="J289" s="30"/>
    </row>
    <row r="290" customFormat="false" ht="12.95" hidden="false" customHeight="true" outlineLevel="0" collapsed="false">
      <c r="A290" s="1" t="n">
        <v>31</v>
      </c>
      <c r="B290" s="31" t="n">
        <v>36647</v>
      </c>
      <c r="C290" s="9" t="n">
        <v>2492000</v>
      </c>
      <c r="D290" s="58" t="s">
        <v>41</v>
      </c>
      <c r="E290" s="33" t="n">
        <f aca="false">IF(D290="totale",(C290/(A290*24))/F290,IF(D290="marché libre",(C290/(A290*24))/G290,"spécifier histo"))</f>
        <v>0.851197551611537</v>
      </c>
      <c r="F290" s="59" t="n">
        <v>3935</v>
      </c>
      <c r="G290" s="59" t="n">
        <f aca="false">F290-H290</f>
        <v>3935</v>
      </c>
      <c r="H290" s="9" t="n">
        <v>0</v>
      </c>
      <c r="I290" s="9"/>
      <c r="J290" s="30"/>
    </row>
    <row r="291" customFormat="false" ht="12.95" hidden="false" customHeight="true" outlineLevel="0" collapsed="false">
      <c r="A291" s="1" t="n">
        <v>30</v>
      </c>
      <c r="B291" s="34" t="n">
        <v>36678</v>
      </c>
      <c r="C291" s="9" t="n">
        <v>2408000</v>
      </c>
      <c r="D291" s="58" t="s">
        <v>41</v>
      </c>
      <c r="E291" s="33" t="n">
        <f aca="false">IF(D291="totale",(C291/(A291*24))/F291,IF(D291="marché libre",(C291/(A291*24))/G291,"spécifier histo"))</f>
        <v>0.849922349287025</v>
      </c>
      <c r="F291" s="59" t="n">
        <v>3935</v>
      </c>
      <c r="G291" s="59" t="n">
        <f aca="false">F291-H291</f>
        <v>3935</v>
      </c>
      <c r="H291" s="9" t="n">
        <v>0</v>
      </c>
      <c r="I291" s="9"/>
      <c r="J291" s="30"/>
    </row>
    <row r="292" customFormat="false" ht="12.95" hidden="false" customHeight="true" outlineLevel="0" collapsed="false">
      <c r="A292" s="1" t="n">
        <v>31</v>
      </c>
      <c r="B292" s="31" t="n">
        <v>36708</v>
      </c>
      <c r="C292" s="9" t="n">
        <v>2132000</v>
      </c>
      <c r="D292" s="58" t="s">
        <v>41</v>
      </c>
      <c r="E292" s="33" t="n">
        <f aca="false">IF(D292="totale",(C292/(A292*24))/F292,IF(D292="marché libre",(C292/(A292*24))/G292,"spécifier histo"))</f>
        <v>0.728231613176483</v>
      </c>
      <c r="F292" s="59" t="n">
        <v>3935</v>
      </c>
      <c r="G292" s="59" t="n">
        <f aca="false">F292-H292</f>
        <v>3935</v>
      </c>
      <c r="H292" s="9" t="n">
        <v>0</v>
      </c>
      <c r="I292" s="9"/>
      <c r="J292" s="30"/>
    </row>
    <row r="293" customFormat="false" ht="12.95" hidden="false" customHeight="true" outlineLevel="0" collapsed="false">
      <c r="A293" s="1" t="n">
        <v>31</v>
      </c>
      <c r="B293" s="34" t="n">
        <v>36739</v>
      </c>
      <c r="C293" s="9" t="n">
        <v>1591000</v>
      </c>
      <c r="D293" s="58" t="s">
        <v>41</v>
      </c>
      <c r="E293" s="33" t="n">
        <f aca="false">IF(D293="totale",(C293/(A293*24))/F293,IF(D293="marché libre",(C293/(A293*24))/G293,"spécifier histo"))</f>
        <v>0.543441133472695</v>
      </c>
      <c r="F293" s="59" t="n">
        <v>3935</v>
      </c>
      <c r="G293" s="59" t="n">
        <f aca="false">F293-H293</f>
        <v>3935</v>
      </c>
      <c r="H293" s="9" t="n">
        <v>0</v>
      </c>
      <c r="I293" s="9"/>
      <c r="J293" s="30"/>
    </row>
    <row r="294" customFormat="false" ht="12.95" hidden="false" customHeight="true" outlineLevel="0" collapsed="false">
      <c r="A294" s="1" t="n">
        <v>30</v>
      </c>
      <c r="B294" s="31" t="n">
        <v>36770</v>
      </c>
      <c r="C294" s="9" t="n">
        <v>1030000</v>
      </c>
      <c r="D294" s="58" t="s">
        <v>41</v>
      </c>
      <c r="E294" s="33" t="n">
        <f aca="false">IF(D294="totale",(C294/(A294*24))/F294,IF(D294="marché libre",(C294/(A294*24))/G294,"spécifier histo"))</f>
        <v>0.363546519836228</v>
      </c>
      <c r="F294" s="59" t="n">
        <v>3935</v>
      </c>
      <c r="G294" s="59" t="n">
        <f aca="false">F294-H294</f>
        <v>3935</v>
      </c>
      <c r="H294" s="9" t="n">
        <v>0</v>
      </c>
      <c r="I294" s="9"/>
      <c r="J294" s="30"/>
    </row>
    <row r="295" customFormat="false" ht="12.95" hidden="false" customHeight="true" outlineLevel="0" collapsed="false">
      <c r="A295" s="1" t="n">
        <v>31</v>
      </c>
      <c r="B295" s="34" t="n">
        <v>36800</v>
      </c>
      <c r="C295" s="9" t="n">
        <v>1342000</v>
      </c>
      <c r="D295" s="58" t="s">
        <v>41</v>
      </c>
      <c r="E295" s="33" t="n">
        <f aca="false">IF(D295="totale",(C295/(A295*24))/F295,IF(D295="marché libre",(C295/(A295*24))/G295,"spécifier histo"))</f>
        <v>0.458389692721783</v>
      </c>
      <c r="F295" s="59" t="n">
        <v>3935</v>
      </c>
      <c r="G295" s="59" t="n">
        <f aca="false">F295-H295</f>
        <v>3935</v>
      </c>
      <c r="H295" s="9" t="n">
        <v>0</v>
      </c>
      <c r="I295" s="9"/>
      <c r="J295" s="30"/>
    </row>
    <row r="296" customFormat="false" ht="12.95" hidden="false" customHeight="true" outlineLevel="0" collapsed="false">
      <c r="A296" s="1" t="n">
        <v>30</v>
      </c>
      <c r="B296" s="31" t="n">
        <v>36831</v>
      </c>
      <c r="C296" s="9" t="n">
        <v>1021000</v>
      </c>
      <c r="D296" s="58" t="s">
        <v>41</v>
      </c>
      <c r="E296" s="33" t="n">
        <f aca="false">IF(D296="totale",(C296/(A296*24))/F296,IF(D296="marché libre",(C296/(A296*24))/G296,"spécifier histo"))</f>
        <v>0.360369899759989</v>
      </c>
      <c r="F296" s="59" t="n">
        <v>3935</v>
      </c>
      <c r="G296" s="59" t="n">
        <f aca="false">F296-H296</f>
        <v>3935</v>
      </c>
      <c r="H296" s="9" t="n">
        <v>0</v>
      </c>
      <c r="I296" s="9"/>
      <c r="J296" s="30"/>
    </row>
    <row r="297" customFormat="false" ht="12.95" hidden="false" customHeight="true" outlineLevel="0" collapsed="false">
      <c r="A297" s="1" t="n">
        <v>31</v>
      </c>
      <c r="B297" s="34" t="n">
        <v>36861</v>
      </c>
      <c r="C297" s="9" t="n">
        <v>751000</v>
      </c>
      <c r="D297" s="58" t="s">
        <v>41</v>
      </c>
      <c r="E297" s="33" t="n">
        <f aca="false">IF(D297="totale",(C297/(A297*24))/F297,IF(D297="marché libre",(C297/(A297*24))/G297,"spécifier histo"))</f>
        <v>0.25652061045757</v>
      </c>
      <c r="F297" s="59" t="n">
        <v>3935</v>
      </c>
      <c r="G297" s="59" t="n">
        <f aca="false">F297-H297</f>
        <v>3935</v>
      </c>
      <c r="H297" s="9" t="n">
        <v>0</v>
      </c>
      <c r="I297" s="9"/>
      <c r="J297" s="30"/>
    </row>
    <row r="298" customFormat="false" ht="12.95" hidden="false" customHeight="true" outlineLevel="0" collapsed="false">
      <c r="A298" s="1" t="n">
        <v>31</v>
      </c>
      <c r="B298" s="31" t="n">
        <v>36892</v>
      </c>
      <c r="C298" s="9" t="n">
        <v>521000</v>
      </c>
      <c r="D298" s="58" t="s">
        <v>41</v>
      </c>
      <c r="E298" s="33" t="n">
        <f aca="false">IF(D298="totale",(C298/(A298*24))/F298,IF(D298="marché libre",(C298/(A298*24))/G298,"spécifier histo"))</f>
        <v>0.177959038679619</v>
      </c>
      <c r="F298" s="59" t="n">
        <v>3935</v>
      </c>
      <c r="G298" s="59" t="n">
        <f aca="false">F298-H298</f>
        <v>3935</v>
      </c>
      <c r="H298" s="9" t="n">
        <v>0</v>
      </c>
      <c r="I298" s="9"/>
      <c r="J298" s="30"/>
    </row>
    <row r="299" customFormat="false" ht="12.95" hidden="false" customHeight="true" outlineLevel="0" collapsed="false">
      <c r="A299" s="1" t="n">
        <v>28</v>
      </c>
      <c r="B299" s="34" t="n">
        <v>36923</v>
      </c>
      <c r="C299" s="9" t="n">
        <v>454000</v>
      </c>
      <c r="D299" s="58" t="s">
        <v>41</v>
      </c>
      <c r="E299" s="33" t="n">
        <f aca="false">IF(D299="totale",(C299/(A299*24))/F299,IF(D299="marché libre",(C299/(A299*24))/G299,"spécifier histo"))</f>
        <v>0.171688751739578</v>
      </c>
      <c r="F299" s="59" t="n">
        <v>3935</v>
      </c>
      <c r="G299" s="59" t="n">
        <f aca="false">F299-H299</f>
        <v>3935</v>
      </c>
      <c r="H299" s="9" t="n">
        <v>0</v>
      </c>
      <c r="I299" s="9"/>
      <c r="J299" s="30"/>
    </row>
    <row r="300" customFormat="false" ht="12.95" hidden="false" customHeight="true" outlineLevel="0" collapsed="false">
      <c r="A300" s="1" t="n">
        <v>31</v>
      </c>
      <c r="B300" s="31" t="n">
        <v>36951</v>
      </c>
      <c r="C300" s="9" t="n">
        <v>1287000</v>
      </c>
      <c r="D300" s="58" t="s">
        <v>41</v>
      </c>
      <c r="E300" s="33" t="n">
        <f aca="false">IF(D300="totale",(C300/(A300*24))/F300,IF(D300="marché libre",(C300/(A300*24))/G300,"spécifier histo"))</f>
        <v>0.439603229905316</v>
      </c>
      <c r="F300" s="59" t="n">
        <v>3935</v>
      </c>
      <c r="G300" s="59" t="n">
        <f aca="false">F300-H300</f>
        <v>3935</v>
      </c>
      <c r="H300" s="9" t="n">
        <v>0</v>
      </c>
      <c r="I300" s="9"/>
      <c r="J300" s="30"/>
    </row>
    <row r="301" customFormat="false" ht="12.95" hidden="false" customHeight="true" outlineLevel="0" collapsed="false">
      <c r="A301" s="1" t="n">
        <v>30</v>
      </c>
      <c r="B301" s="34" t="n">
        <v>36982</v>
      </c>
      <c r="C301" s="9" t="n">
        <v>1053000</v>
      </c>
      <c r="D301" s="58" t="s">
        <v>41</v>
      </c>
      <c r="E301" s="33" t="n">
        <f aca="false">IF(D301="totale",(C301/(A301*24))/F301,IF(D301="marché libre",(C301/(A301*24))/G301,"spécifier histo"))</f>
        <v>0.371664548919949</v>
      </c>
      <c r="F301" s="59" t="n">
        <v>3935</v>
      </c>
      <c r="G301" s="59" t="n">
        <f aca="false">F301-H301</f>
        <v>3935</v>
      </c>
      <c r="H301" s="9" t="n">
        <v>0</v>
      </c>
      <c r="I301" s="9"/>
      <c r="J301" s="30"/>
    </row>
    <row r="302" customFormat="false" ht="12.95" hidden="false" customHeight="true" outlineLevel="0" collapsed="false">
      <c r="A302" s="1" t="n">
        <v>31</v>
      </c>
      <c r="B302" s="31" t="n">
        <v>37012</v>
      </c>
      <c r="C302" s="9" t="n">
        <v>2625000</v>
      </c>
      <c r="D302" s="58" t="s">
        <v>41</v>
      </c>
      <c r="E302" s="33" t="n">
        <f aca="false">IF(D302="totale",(C302/(A302*24))/F302,IF(D302="marché libre",(C302/(A302*24))/G302,"spécifier histo"))</f>
        <v>0.896626634422265</v>
      </c>
      <c r="F302" s="59" t="n">
        <v>3935</v>
      </c>
      <c r="G302" s="59" t="n">
        <f aca="false">F302-H302</f>
        <v>3935</v>
      </c>
      <c r="H302" s="9" t="n">
        <v>0</v>
      </c>
      <c r="I302" s="9"/>
      <c r="J302" s="30"/>
    </row>
    <row r="303" customFormat="false" ht="12.95" hidden="false" customHeight="true" outlineLevel="0" collapsed="false">
      <c r="A303" s="1" t="n">
        <v>30</v>
      </c>
      <c r="B303" s="34" t="n">
        <v>37043</v>
      </c>
      <c r="C303" s="9" t="n">
        <v>2717000</v>
      </c>
      <c r="D303" s="58" t="s">
        <v>41</v>
      </c>
      <c r="E303" s="33" t="n">
        <f aca="false">IF(D303="totale",(C303/(A303*24))/F303,IF(D303="marché libre",(C303/(A303*24))/G303,"spécifier histo"))</f>
        <v>0.958986305237894</v>
      </c>
      <c r="F303" s="59" t="n">
        <v>3935</v>
      </c>
      <c r="G303" s="59" t="n">
        <f aca="false">F303-H303</f>
        <v>3935</v>
      </c>
      <c r="H303" s="9" t="n">
        <v>0</v>
      </c>
      <c r="I303" s="9"/>
      <c r="J303" s="30"/>
    </row>
    <row r="304" customFormat="false" ht="12.95" hidden="false" customHeight="true" outlineLevel="0" collapsed="false">
      <c r="A304" s="1" t="n">
        <v>31</v>
      </c>
      <c r="B304" s="31" t="n">
        <v>37073</v>
      </c>
      <c r="C304" s="9" t="n">
        <v>2478000</v>
      </c>
      <c r="D304" s="58" t="s">
        <v>41</v>
      </c>
      <c r="E304" s="33" t="n">
        <f aca="false">IF(D304="totale",(C304/(A304*24))/F304,IF(D304="marché libre",(C304/(A304*24))/G304,"spécifier histo"))</f>
        <v>0.846415542894618</v>
      </c>
      <c r="F304" s="59" t="n">
        <v>3935</v>
      </c>
      <c r="G304" s="59" t="n">
        <f aca="false">F304-H304</f>
        <v>3935</v>
      </c>
      <c r="H304" s="9" t="n">
        <v>0</v>
      </c>
      <c r="I304" s="9"/>
      <c r="J304" s="30"/>
    </row>
    <row r="305" customFormat="false" ht="12.95" hidden="false" customHeight="true" outlineLevel="0" collapsed="false">
      <c r="A305" s="1" t="n">
        <v>31</v>
      </c>
      <c r="B305" s="34" t="n">
        <v>37104</v>
      </c>
      <c r="C305" s="9" t="n">
        <v>1463000</v>
      </c>
      <c r="D305" s="58" t="s">
        <v>41</v>
      </c>
      <c r="E305" s="33" t="n">
        <f aca="false">IF(D305="totale",(C305/(A305*24))/F305,IF(D305="marché libre",(C305/(A305*24))/G305,"spécifier histo"))</f>
        <v>0.499719910918009</v>
      </c>
      <c r="F305" s="59" t="n">
        <v>3935</v>
      </c>
      <c r="G305" s="59" t="n">
        <f aca="false">F305-H305</f>
        <v>3935</v>
      </c>
      <c r="H305" s="9" t="n">
        <v>0</v>
      </c>
      <c r="I305" s="9"/>
      <c r="J305" s="30"/>
    </row>
    <row r="306" customFormat="false" ht="12.95" hidden="false" customHeight="true" outlineLevel="0" collapsed="false">
      <c r="A306" s="1" t="n">
        <v>30</v>
      </c>
      <c r="B306" s="31" t="n">
        <v>37135</v>
      </c>
      <c r="C306" s="9" t="n">
        <v>1533000</v>
      </c>
      <c r="D306" s="58" t="s">
        <v>41</v>
      </c>
      <c r="E306" s="33" t="n">
        <f aca="false">IF(D306="totale",(C306/(A306*24))/F306,IF(D306="marché libre",(C306/(A306*24))/G306,"spécifier histo"))</f>
        <v>0.541084286319356</v>
      </c>
      <c r="F306" s="59" t="n">
        <v>3935</v>
      </c>
      <c r="G306" s="59" t="n">
        <f aca="false">F306-H306</f>
        <v>3935</v>
      </c>
      <c r="H306" s="9" t="n">
        <v>0</v>
      </c>
      <c r="I306" s="9"/>
      <c r="J306" s="30"/>
    </row>
    <row r="307" customFormat="false" ht="12.95" hidden="false" customHeight="true" outlineLevel="0" collapsed="false">
      <c r="A307" s="1" t="n">
        <v>31</v>
      </c>
      <c r="B307" s="34" t="n">
        <v>37165</v>
      </c>
      <c r="C307" s="9" t="n">
        <v>1101000</v>
      </c>
      <c r="D307" s="58" t="s">
        <v>41</v>
      </c>
      <c r="E307" s="33" t="n">
        <f aca="false">IF(D307="totale",(C307/(A307*24))/F307,IF(D307="marché libre",(C307/(A307*24))/G307,"spécifier histo"))</f>
        <v>0.376070828380539</v>
      </c>
      <c r="F307" s="59" t="n">
        <v>3935</v>
      </c>
      <c r="G307" s="59" t="n">
        <f aca="false">F307-H307</f>
        <v>3935</v>
      </c>
      <c r="H307" s="9" t="n">
        <v>0</v>
      </c>
      <c r="I307" s="9"/>
      <c r="J307" s="30"/>
    </row>
    <row r="308" customFormat="false" ht="12.95" hidden="false" customHeight="true" outlineLevel="0" collapsed="false">
      <c r="A308" s="1" t="n">
        <v>30</v>
      </c>
      <c r="B308" s="31" t="n">
        <v>37196</v>
      </c>
      <c r="C308" s="9" t="n">
        <v>942000</v>
      </c>
      <c r="D308" s="58" t="s">
        <v>41</v>
      </c>
      <c r="E308" s="33" t="n">
        <f aca="false">IF(D308="totale",(C308/(A308*24))/F308,IF(D308="marché libre",(C308/(A308*24))/G308,"spécifier histo"))</f>
        <v>0.332486234646336</v>
      </c>
      <c r="F308" s="59" t="n">
        <v>3935</v>
      </c>
      <c r="G308" s="59" t="n">
        <f aca="false">F308-H308</f>
        <v>3935</v>
      </c>
      <c r="H308" s="9" t="n">
        <v>0</v>
      </c>
      <c r="I308" s="9"/>
      <c r="J308" s="30"/>
    </row>
    <row r="309" customFormat="false" ht="12.95" hidden="false" customHeight="true" outlineLevel="0" collapsed="false">
      <c r="A309" s="1" t="n">
        <v>31</v>
      </c>
      <c r="B309" s="34" t="n">
        <v>37226</v>
      </c>
      <c r="C309" s="9" t="n">
        <v>623000</v>
      </c>
      <c r="D309" s="58" t="s">
        <v>41</v>
      </c>
      <c r="E309" s="33" t="n">
        <f aca="false">IF(D309="totale",(C309/(A309*24))/F309,IF(D309="marché libre",(C309/(A309*24))/G309,"spécifier histo"))</f>
        <v>0.212799387902884</v>
      </c>
      <c r="F309" s="59" t="n">
        <v>3935</v>
      </c>
      <c r="G309" s="59" t="n">
        <f aca="false">F309-H309</f>
        <v>3935</v>
      </c>
      <c r="H309" s="9" t="n">
        <v>0</v>
      </c>
      <c r="I309" s="9"/>
      <c r="J309" s="30"/>
    </row>
    <row r="310" customFormat="false" ht="12.95" hidden="false" customHeight="true" outlineLevel="0" collapsed="false">
      <c r="A310" s="1" t="n">
        <v>31</v>
      </c>
      <c r="B310" s="31" t="n">
        <v>37257</v>
      </c>
      <c r="C310" s="9" t="n">
        <v>459000</v>
      </c>
      <c r="D310" s="58" t="s">
        <v>41</v>
      </c>
      <c r="E310" s="33" t="n">
        <f aca="false">IF(D310="totale",(C310/(A310*24))/F310,IF(D310="marché libre",(C310/(A310*24))/G310,"spécifier histo"))</f>
        <v>0.156781571504693</v>
      </c>
      <c r="F310" s="59" t="n">
        <v>3935</v>
      </c>
      <c r="G310" s="59" t="n">
        <f aca="false">F310-H310</f>
        <v>3935</v>
      </c>
      <c r="H310" s="9" t="n">
        <v>0</v>
      </c>
      <c r="I310" s="9"/>
      <c r="J310" s="30"/>
    </row>
    <row r="311" customFormat="false" ht="12.95" hidden="false" customHeight="true" outlineLevel="0" collapsed="false">
      <c r="A311" s="1" t="n">
        <v>28</v>
      </c>
      <c r="B311" s="34" t="n">
        <v>37288</v>
      </c>
      <c r="C311" s="9" t="n">
        <v>442000</v>
      </c>
      <c r="D311" s="58" t="s">
        <v>41</v>
      </c>
      <c r="E311" s="33" t="n">
        <f aca="false">IF(D311="totale",(C311/(A311*24))/F311,IF(D311="marché libre",(C311/(A311*24))/G311,"spécifier histo"))</f>
        <v>0.167150723059236</v>
      </c>
      <c r="F311" s="59" t="n">
        <v>3935</v>
      </c>
      <c r="G311" s="59" t="n">
        <f aca="false">F311-H311</f>
        <v>3935</v>
      </c>
      <c r="H311" s="9" t="n">
        <v>0</v>
      </c>
      <c r="I311" s="9"/>
      <c r="J311" s="30"/>
    </row>
    <row r="312" customFormat="false" ht="12.95" hidden="false" customHeight="true" outlineLevel="0" collapsed="false">
      <c r="A312" s="1" t="n">
        <v>31</v>
      </c>
      <c r="B312" s="31" t="n">
        <v>37316</v>
      </c>
      <c r="C312" s="9" t="n">
        <v>750000</v>
      </c>
      <c r="D312" s="58" t="s">
        <v>41</v>
      </c>
      <c r="E312" s="33" t="n">
        <f aca="false">IF(D312="totale",(C312/(A312*24))/F312,IF(D312="marché libre",(C312/(A312*24))/G312,"spécifier histo"))</f>
        <v>0.256179038406361</v>
      </c>
      <c r="F312" s="59" t="n">
        <v>3935</v>
      </c>
      <c r="G312" s="59" t="n">
        <f aca="false">F312-H312</f>
        <v>3935</v>
      </c>
      <c r="H312" s="9" t="n">
        <v>0</v>
      </c>
      <c r="I312" s="9"/>
      <c r="J312" s="30"/>
    </row>
    <row r="313" customFormat="false" ht="12.95" hidden="false" customHeight="true" outlineLevel="0" collapsed="false">
      <c r="A313" s="1" t="n">
        <v>30</v>
      </c>
      <c r="B313" s="34" t="n">
        <v>37347</v>
      </c>
      <c r="C313" s="9" t="n">
        <v>749000</v>
      </c>
      <c r="D313" s="58" t="s">
        <v>41</v>
      </c>
      <c r="E313" s="33" t="n">
        <f aca="false">IF(D313="totale",(C313/(A313*24))/F313,IF(D313="marché libre",(C313/(A313*24))/G313,"spécifier histo"))</f>
        <v>0.264365381900325</v>
      </c>
      <c r="F313" s="59" t="n">
        <v>3935</v>
      </c>
      <c r="G313" s="59" t="n">
        <f aca="false">F313-H313</f>
        <v>3935</v>
      </c>
      <c r="H313" s="9" t="n">
        <v>0</v>
      </c>
      <c r="I313" s="9"/>
      <c r="J313" s="30"/>
    </row>
    <row r="314" customFormat="false" ht="12.95" hidden="false" customHeight="true" outlineLevel="0" collapsed="false">
      <c r="A314" s="1" t="n">
        <v>31</v>
      </c>
      <c r="B314" s="31" t="n">
        <v>37377</v>
      </c>
      <c r="C314" s="9" t="n">
        <v>1747000</v>
      </c>
      <c r="D314" s="58" t="s">
        <v>41</v>
      </c>
      <c r="E314" s="33" t="n">
        <f aca="false">IF(D314="totale",(C314/(A314*24))/F314,IF(D314="marché libre",(C314/(A314*24))/G314,"spécifier histo"))</f>
        <v>0.596726373461218</v>
      </c>
      <c r="F314" s="59" t="n">
        <v>3935</v>
      </c>
      <c r="G314" s="59" t="n">
        <f aca="false">F314-H314</f>
        <v>3935</v>
      </c>
      <c r="H314" s="9" t="n">
        <v>0</v>
      </c>
      <c r="I314" s="9"/>
      <c r="J314" s="30"/>
    </row>
    <row r="315" customFormat="false" ht="12.95" hidden="false" customHeight="true" outlineLevel="0" collapsed="false">
      <c r="A315" s="1" t="n">
        <v>30</v>
      </c>
      <c r="B315" s="34" t="n">
        <v>37408</v>
      </c>
      <c r="C315" s="9" t="n">
        <v>2050000</v>
      </c>
      <c r="D315" s="58" t="s">
        <v>41</v>
      </c>
      <c r="E315" s="33" t="n">
        <f aca="false">IF(D315="totale",(C315/(A315*24))/F315,IF(D315="marché libre",(C315/(A315*24))/G315,"spécifier histo"))</f>
        <v>0.723563461809968</v>
      </c>
      <c r="F315" s="59" t="n">
        <v>3935</v>
      </c>
      <c r="G315" s="59" t="n">
        <f aca="false">F315-H315</f>
        <v>3935</v>
      </c>
      <c r="H315" s="9" t="n">
        <v>0</v>
      </c>
      <c r="I315" s="9"/>
      <c r="J315" s="30"/>
    </row>
    <row r="316" customFormat="false" ht="12.95" hidden="false" customHeight="true" outlineLevel="0" collapsed="false">
      <c r="A316" s="1" t="n">
        <v>31</v>
      </c>
      <c r="B316" s="31" t="n">
        <v>37438</v>
      </c>
      <c r="C316" s="9" t="n">
        <v>1784000</v>
      </c>
      <c r="D316" s="58" t="s">
        <v>41</v>
      </c>
      <c r="E316" s="33" t="n">
        <f aca="false">IF(D316="totale",(C316/(A316*24))/F316,IF(D316="marché libre",(C316/(A316*24))/G316,"spécifier histo"))</f>
        <v>0.609364539355932</v>
      </c>
      <c r="F316" s="59" t="n">
        <v>3935</v>
      </c>
      <c r="G316" s="59" t="n">
        <f aca="false">F316-H316</f>
        <v>3935</v>
      </c>
      <c r="H316" s="9" t="n">
        <v>0</v>
      </c>
      <c r="I316" s="9"/>
      <c r="J316" s="30"/>
    </row>
    <row r="317" customFormat="false" ht="12.95" hidden="false" customHeight="true" outlineLevel="0" collapsed="false">
      <c r="A317" s="1" t="n">
        <v>31</v>
      </c>
      <c r="B317" s="34" t="n">
        <v>37469</v>
      </c>
      <c r="C317" s="9" t="n">
        <v>1777000</v>
      </c>
      <c r="D317" s="58" t="s">
        <v>41</v>
      </c>
      <c r="E317" s="33" t="n">
        <f aca="false">IF(D317="totale",(C317/(A317*24))/F317,IF(D317="marché libre",(C317/(A317*24))/G317,"spécifier histo"))</f>
        <v>0.606973534997472</v>
      </c>
      <c r="F317" s="59" t="n">
        <v>3935</v>
      </c>
      <c r="G317" s="59" t="n">
        <f aca="false">F317-H317</f>
        <v>3935</v>
      </c>
      <c r="H317" s="9" t="n">
        <v>0</v>
      </c>
      <c r="I317" s="9"/>
      <c r="J317" s="30"/>
    </row>
    <row r="318" customFormat="false" ht="12.95" hidden="false" customHeight="true" outlineLevel="0" collapsed="false">
      <c r="A318" s="1" t="n">
        <v>30</v>
      </c>
      <c r="B318" s="31" t="n">
        <v>37500</v>
      </c>
      <c r="C318" s="9" t="n">
        <v>1456000</v>
      </c>
      <c r="D318" s="58" t="s">
        <v>41</v>
      </c>
      <c r="E318" s="33" t="n">
        <f aca="false">IF(D318="totale",(C318/(A318*24))/F318,IF(D318="marché libre",(C318/(A318*24))/G318,"spécifier histo"))</f>
        <v>0.513906536778201</v>
      </c>
      <c r="F318" s="59" t="n">
        <v>3935</v>
      </c>
      <c r="G318" s="59" t="n">
        <f aca="false">F318-H318</f>
        <v>3935</v>
      </c>
      <c r="H318" s="9" t="n">
        <v>0</v>
      </c>
      <c r="I318" s="9"/>
      <c r="J318" s="30"/>
    </row>
    <row r="319" customFormat="false" ht="12.95" hidden="false" customHeight="true" outlineLevel="0" collapsed="false">
      <c r="A319" s="1" t="n">
        <v>31</v>
      </c>
      <c r="B319" s="34" t="n">
        <v>37530</v>
      </c>
      <c r="C319" s="9" t="n">
        <v>1422000</v>
      </c>
      <c r="D319" s="58" t="s">
        <v>41</v>
      </c>
      <c r="E319" s="33" t="n">
        <f aca="false">IF(D319="totale",(C319/(A319*24))/F319,IF(D319="marché libre",(C319/(A319*24))/G319,"spécifier histo"))</f>
        <v>0.485715456818461</v>
      </c>
      <c r="F319" s="59" t="n">
        <v>3935</v>
      </c>
      <c r="G319" s="59" t="n">
        <f aca="false">F319-H319</f>
        <v>3935</v>
      </c>
      <c r="H319" s="9" t="n">
        <v>0</v>
      </c>
      <c r="I319" s="9"/>
      <c r="J319" s="30"/>
    </row>
    <row r="320" customFormat="false" ht="12.95" hidden="false" customHeight="true" outlineLevel="0" collapsed="false">
      <c r="A320" s="1" t="n">
        <v>30</v>
      </c>
      <c r="B320" s="31" t="n">
        <v>37561</v>
      </c>
      <c r="C320" s="9" t="n">
        <v>1682000</v>
      </c>
      <c r="D320" s="58" t="s">
        <v>41</v>
      </c>
      <c r="E320" s="33" t="n">
        <f aca="false">IF(D320="totale",(C320/(A320*24))/F320,IF(D320="marché libre",(C320/(A320*24))/G320,"spécifier histo"))</f>
        <v>0.593674996470422</v>
      </c>
      <c r="F320" s="59" t="n">
        <v>3935</v>
      </c>
      <c r="G320" s="59" t="n">
        <f aca="false">F320-H320</f>
        <v>3935</v>
      </c>
      <c r="H320" s="9" t="n">
        <v>0</v>
      </c>
      <c r="I320" s="9"/>
      <c r="J320" s="30"/>
    </row>
    <row r="321" customFormat="false" ht="12.95" hidden="false" customHeight="true" outlineLevel="0" collapsed="false">
      <c r="A321" s="1" t="n">
        <v>31</v>
      </c>
      <c r="B321" s="34" t="n">
        <v>37591</v>
      </c>
      <c r="C321" s="9" t="n">
        <v>871000</v>
      </c>
      <c r="D321" s="58" t="s">
        <v>41</v>
      </c>
      <c r="E321" s="33" t="n">
        <f aca="false">IF(D321="totale",(C321/(A321*24))/F321,IF(D321="marché libre",(C321/(A321*24))/G321,"spécifier histo"))</f>
        <v>0.297509256602588</v>
      </c>
      <c r="F321" s="59" t="n">
        <v>3935</v>
      </c>
      <c r="G321" s="59" t="n">
        <f aca="false">F321-H321</f>
        <v>3935</v>
      </c>
      <c r="H321" s="9" t="n">
        <v>0</v>
      </c>
      <c r="I321" s="9"/>
      <c r="J321" s="30"/>
    </row>
    <row r="322" customFormat="false" ht="12.95" hidden="false" customHeight="true" outlineLevel="0" collapsed="false">
      <c r="A322" s="1" t="n">
        <v>31</v>
      </c>
      <c r="B322" s="31" t="n">
        <v>37622</v>
      </c>
      <c r="C322" s="9" t="n">
        <v>847000</v>
      </c>
      <c r="D322" s="58" t="s">
        <v>41</v>
      </c>
      <c r="E322" s="33" t="n">
        <f aca="false">IF(D322="totale",(C322/(A322*24))/F322,IF(D322="marché libre",(C322/(A322*24))/G322,"spécifier histo"))</f>
        <v>0.289311527373584</v>
      </c>
      <c r="F322" s="59" t="n">
        <v>3935</v>
      </c>
      <c r="G322" s="59" t="n">
        <f aca="false">F322-H322</f>
        <v>3935</v>
      </c>
      <c r="H322" s="9" t="n">
        <v>0</v>
      </c>
      <c r="I322" s="9"/>
      <c r="J322" s="30"/>
    </row>
    <row r="323" customFormat="false" ht="12.95" hidden="false" customHeight="true" outlineLevel="0" collapsed="false">
      <c r="A323" s="1" t="n">
        <v>28</v>
      </c>
      <c r="B323" s="34" t="n">
        <v>37653</v>
      </c>
      <c r="C323" s="9" t="n">
        <v>462000</v>
      </c>
      <c r="D323" s="58" t="s">
        <v>41</v>
      </c>
      <c r="E323" s="33" t="n">
        <f aca="false">IF(D323="totale",(C323/(A323*24))/F323,IF(D323="marché libre",(C323/(A323*24))/G323,"spécifier histo"))</f>
        <v>0.174714104193139</v>
      </c>
      <c r="F323" s="59" t="n">
        <v>3935</v>
      </c>
      <c r="G323" s="59" t="n">
        <f aca="false">F323-H323</f>
        <v>3935</v>
      </c>
      <c r="H323" s="9" t="n">
        <v>0</v>
      </c>
      <c r="I323" s="9"/>
      <c r="J323" s="30"/>
    </row>
    <row r="324" customFormat="false" ht="12.95" hidden="false" customHeight="true" outlineLevel="0" collapsed="false">
      <c r="A324" s="1" t="n">
        <v>31</v>
      </c>
      <c r="B324" s="31" t="n">
        <v>37681</v>
      </c>
      <c r="C324" s="9" t="n">
        <v>690000</v>
      </c>
      <c r="D324" s="58" t="s">
        <v>41</v>
      </c>
      <c r="E324" s="33" t="n">
        <f aca="false">IF(D324="totale",(C324/(A324*24))/F324,IF(D324="marché libre",(C324/(A324*24))/G324,"spécifier histo"))</f>
        <v>0.235684715333853</v>
      </c>
      <c r="F324" s="59" t="n">
        <v>3935</v>
      </c>
      <c r="G324" s="59" t="n">
        <f aca="false">F324-H324</f>
        <v>3935</v>
      </c>
      <c r="H324" s="9" t="n">
        <v>0</v>
      </c>
      <c r="I324" s="9"/>
      <c r="J324" s="30"/>
    </row>
    <row r="325" customFormat="false" ht="12.95" hidden="false" customHeight="true" outlineLevel="0" collapsed="false">
      <c r="A325" s="1" t="n">
        <v>30</v>
      </c>
      <c r="B325" s="34" t="n">
        <v>37712</v>
      </c>
      <c r="C325" s="9" t="n">
        <v>1160000</v>
      </c>
      <c r="D325" s="58" t="s">
        <v>41</v>
      </c>
      <c r="E325" s="33" t="n">
        <f aca="false">IF(D325="totale",(C325/(A325*24))/F325,IF(D325="marché libre",(C325/(A325*24))/G325,"spécifier histo"))</f>
        <v>0.409431032048567</v>
      </c>
      <c r="F325" s="59" t="n">
        <v>3935</v>
      </c>
      <c r="G325" s="59" t="n">
        <f aca="false">F325-H325</f>
        <v>3935</v>
      </c>
      <c r="H325" s="9" t="n">
        <v>0</v>
      </c>
      <c r="I325" s="9"/>
      <c r="J325" s="30"/>
    </row>
    <row r="326" customFormat="false" ht="12.95" hidden="false" customHeight="true" outlineLevel="0" collapsed="false">
      <c r="A326" s="1" t="n">
        <v>31</v>
      </c>
      <c r="B326" s="31" t="n">
        <v>37742</v>
      </c>
      <c r="C326" s="9" t="n">
        <v>2186000</v>
      </c>
      <c r="D326" s="58" t="s">
        <v>41</v>
      </c>
      <c r="E326" s="33" t="n">
        <f aca="false">IF(D326="totale",(C326/(A326*24))/F326,IF(D326="marché libre",(C326/(A326*24))/G326,"spécifier histo"))</f>
        <v>0.746676503941741</v>
      </c>
      <c r="F326" s="59" t="n">
        <v>3935</v>
      </c>
      <c r="G326" s="59" t="n">
        <f aca="false">F326-H326</f>
        <v>3935</v>
      </c>
      <c r="H326" s="9" t="n">
        <v>0</v>
      </c>
      <c r="I326" s="9"/>
      <c r="J326" s="30"/>
    </row>
    <row r="327" customFormat="false" ht="12.95" hidden="false" customHeight="true" outlineLevel="0" collapsed="false">
      <c r="A327" s="1" t="n">
        <v>30</v>
      </c>
      <c r="B327" s="34" t="n">
        <v>37773</v>
      </c>
      <c r="C327" s="9" t="n">
        <v>2249000</v>
      </c>
      <c r="D327" s="58" t="s">
        <v>41</v>
      </c>
      <c r="E327" s="33" t="n">
        <f aca="false">IF(D327="totale",(C327/(A327*24))/F327,IF(D327="marché libre",(C327/(A327*24))/G327,"spécifier histo"))</f>
        <v>0.793802061273472</v>
      </c>
      <c r="F327" s="59" t="n">
        <v>3935</v>
      </c>
      <c r="G327" s="59" t="n">
        <f aca="false">F327-H327</f>
        <v>3935</v>
      </c>
      <c r="H327" s="9" t="n">
        <v>0</v>
      </c>
      <c r="I327" s="9"/>
      <c r="J327" s="30"/>
    </row>
    <row r="328" customFormat="false" ht="12.95" hidden="false" customHeight="true" outlineLevel="0" collapsed="false">
      <c r="A328" s="1" t="n">
        <v>31</v>
      </c>
      <c r="B328" s="31" t="n">
        <v>37803</v>
      </c>
      <c r="C328" s="9" t="n">
        <v>1316000</v>
      </c>
      <c r="D328" s="58" t="s">
        <v>41</v>
      </c>
      <c r="E328" s="33" t="n">
        <f aca="false">IF(D328="totale",(C328/(A328*24))/F328,IF(D328="marché libre",(C328/(A328*24))/G328,"spécifier histo"))</f>
        <v>0.449508819390362</v>
      </c>
      <c r="F328" s="59" t="n">
        <v>3935</v>
      </c>
      <c r="G328" s="59" t="n">
        <f aca="false">F328-H328</f>
        <v>3935</v>
      </c>
      <c r="H328" s="9" t="n">
        <v>0</v>
      </c>
      <c r="I328" s="9"/>
      <c r="J328" s="30"/>
    </row>
    <row r="329" customFormat="false" ht="12.95" hidden="false" customHeight="true" outlineLevel="0" collapsed="false">
      <c r="A329" s="1" t="n">
        <v>31</v>
      </c>
      <c r="B329" s="34" t="n">
        <v>37834</v>
      </c>
      <c r="C329" s="9" t="n">
        <v>765000</v>
      </c>
      <c r="D329" s="58" t="s">
        <v>41</v>
      </c>
      <c r="E329" s="33" t="n">
        <f aca="false">IF(D329="totale",(C329/(A329*24))/F329,IF(D329="marché libre",(C329/(A329*24))/G329,"spécifier histo"))</f>
        <v>0.261302619174489</v>
      </c>
      <c r="F329" s="59" t="n">
        <v>3935</v>
      </c>
      <c r="G329" s="59" t="n">
        <f aca="false">F329-H329</f>
        <v>3935</v>
      </c>
      <c r="H329" s="9" t="n">
        <v>0</v>
      </c>
      <c r="I329" s="9"/>
      <c r="J329" s="30"/>
    </row>
    <row r="330" customFormat="false" ht="12.95" hidden="false" customHeight="true" outlineLevel="0" collapsed="false">
      <c r="A330" s="1" t="n">
        <v>30</v>
      </c>
      <c r="B330" s="31" t="n">
        <v>37865</v>
      </c>
      <c r="C330" s="9" t="n">
        <v>649000</v>
      </c>
      <c r="D330" s="58" t="s">
        <v>41</v>
      </c>
      <c r="E330" s="33" t="n">
        <f aca="false">IF(D330="totale",(C330/(A330*24))/F330,IF(D330="marché libre",(C330/(A330*24))/G330,"spécifier histo"))</f>
        <v>0.229069603275448</v>
      </c>
      <c r="F330" s="59" t="n">
        <v>3935</v>
      </c>
      <c r="G330" s="59" t="n">
        <f aca="false">F330-H330</f>
        <v>3935</v>
      </c>
      <c r="H330" s="9" t="n">
        <v>0</v>
      </c>
      <c r="I330" s="9"/>
      <c r="J330" s="30"/>
    </row>
    <row r="331" customFormat="false" ht="12.95" hidden="false" customHeight="true" outlineLevel="0" collapsed="false">
      <c r="A331" s="1" t="n">
        <v>31</v>
      </c>
      <c r="B331" s="34" t="n">
        <v>37895</v>
      </c>
      <c r="C331" s="9" t="n">
        <v>1119000</v>
      </c>
      <c r="D331" s="58" t="s">
        <v>41</v>
      </c>
      <c r="E331" s="33" t="n">
        <f aca="false">IF(D331="totale",(C331/(A331*24))/F331,IF(D331="marché libre",(C331/(A331*24))/G331,"spécifier histo"))</f>
        <v>0.382219125302291</v>
      </c>
      <c r="F331" s="59" t="n">
        <v>3935</v>
      </c>
      <c r="G331" s="59" t="n">
        <f aca="false">F331-H331</f>
        <v>3935</v>
      </c>
      <c r="H331" s="9" t="n">
        <v>0</v>
      </c>
      <c r="I331" s="9"/>
      <c r="J331" s="30"/>
    </row>
    <row r="332" customFormat="false" ht="12.95" hidden="false" customHeight="true" outlineLevel="0" collapsed="false">
      <c r="A332" s="1" t="n">
        <v>30</v>
      </c>
      <c r="B332" s="31" t="n">
        <v>37926</v>
      </c>
      <c r="C332" s="9" t="n">
        <v>858000</v>
      </c>
      <c r="D332" s="58" t="s">
        <v>41</v>
      </c>
      <c r="E332" s="33" t="n">
        <f aca="false">IF(D332="totale",(C332/(A332*24))/F332,IF(D332="marché libre",(C332/(A332*24))/G332,"spécifier histo"))</f>
        <v>0.30283778060144</v>
      </c>
      <c r="F332" s="59" t="n">
        <v>3935</v>
      </c>
      <c r="G332" s="59" t="n">
        <f aca="false">F332-H332</f>
        <v>3935</v>
      </c>
      <c r="H332" s="9" t="n">
        <v>0</v>
      </c>
      <c r="I332" s="9"/>
      <c r="J332" s="30"/>
    </row>
    <row r="333" customFormat="false" ht="12.95" hidden="false" customHeight="true" outlineLevel="0" collapsed="false">
      <c r="A333" s="1" t="n">
        <v>31</v>
      </c>
      <c r="B333" s="34" t="n">
        <v>37956</v>
      </c>
      <c r="C333" s="9" t="n">
        <v>508000</v>
      </c>
      <c r="D333" s="58" t="s">
        <v>41</v>
      </c>
      <c r="E333" s="33" t="n">
        <f aca="false">IF(D333="totale",(C333/(A333*24))/F333,IF(D333="marché libre",(C333/(A333*24))/G333,"spécifier histo"))</f>
        <v>0.173518602013909</v>
      </c>
      <c r="F333" s="59" t="n">
        <v>3935</v>
      </c>
      <c r="G333" s="59" t="n">
        <f aca="false">F333-H333</f>
        <v>3935</v>
      </c>
      <c r="H333" s="9" t="n">
        <v>0</v>
      </c>
      <c r="I333" s="9"/>
      <c r="J333" s="30"/>
    </row>
    <row r="334" customFormat="false" ht="12.95" hidden="false" customHeight="true" outlineLevel="0" collapsed="false">
      <c r="A334" s="1" t="n">
        <v>31</v>
      </c>
      <c r="B334" s="31" t="n">
        <v>37987</v>
      </c>
      <c r="C334" s="9" t="n">
        <v>713000</v>
      </c>
      <c r="D334" s="58" t="s">
        <v>41</v>
      </c>
      <c r="E334" s="33" t="n">
        <f aca="false">IF(D334="totale",(C334/(A334*24))/F334,IF(D334="marché libre",(C334/(A334*24))/G334,"spécifier histo"))</f>
        <v>0.243540872511648</v>
      </c>
      <c r="F334" s="59" t="n">
        <v>3935</v>
      </c>
      <c r="G334" s="59" t="n">
        <f aca="false">F334-H334</f>
        <v>3935</v>
      </c>
      <c r="H334" s="9" t="n">
        <v>0</v>
      </c>
      <c r="I334" s="9"/>
      <c r="J334" s="30"/>
    </row>
    <row r="335" customFormat="false" ht="12.95" hidden="false" customHeight="true" outlineLevel="0" collapsed="false">
      <c r="A335" s="1" t="n">
        <v>28</v>
      </c>
      <c r="B335" s="34" t="n">
        <v>38018</v>
      </c>
      <c r="C335" s="9" t="n">
        <v>428000</v>
      </c>
      <c r="D335" s="58" t="s">
        <v>41</v>
      </c>
      <c r="E335" s="33" t="n">
        <f aca="false">IF(D335="totale",(C335/(A335*24))/F335,IF(D335="marché libre",(C335/(A335*24))/G335,"spécifier histo"))</f>
        <v>0.161856356265505</v>
      </c>
      <c r="F335" s="59" t="n">
        <v>3935</v>
      </c>
      <c r="G335" s="59" t="n">
        <f aca="false">F335-H335</f>
        <v>3935</v>
      </c>
      <c r="H335" s="9" t="n">
        <v>0</v>
      </c>
      <c r="I335" s="9"/>
      <c r="J335" s="30"/>
    </row>
    <row r="336" customFormat="false" ht="12.95" hidden="false" customHeight="true" outlineLevel="0" collapsed="false">
      <c r="A336" s="1" t="n">
        <v>31</v>
      </c>
      <c r="B336" s="31" t="n">
        <v>38047</v>
      </c>
      <c r="C336" s="9" t="n">
        <v>571000</v>
      </c>
      <c r="D336" s="58" t="s">
        <v>41</v>
      </c>
      <c r="E336" s="33" t="n">
        <f aca="false">IF(D336="totale",(C336/(A336*24))/F336,IF(D336="marché libre",(C336/(A336*24))/G336,"spécifier histo"))</f>
        <v>0.195037641240043</v>
      </c>
      <c r="F336" s="59" t="n">
        <v>3935</v>
      </c>
      <c r="G336" s="59" t="n">
        <f aca="false">F336-H336</f>
        <v>3935</v>
      </c>
      <c r="H336" s="9" t="n">
        <v>0</v>
      </c>
      <c r="I336" s="9"/>
      <c r="J336" s="30"/>
    </row>
    <row r="337" customFormat="false" ht="12.95" hidden="false" customHeight="true" outlineLevel="0" collapsed="false">
      <c r="A337" s="1" t="n">
        <v>30</v>
      </c>
      <c r="B337" s="34" t="n">
        <v>38078</v>
      </c>
      <c r="C337" s="9" t="n">
        <v>931000</v>
      </c>
      <c r="D337" s="58" t="s">
        <v>41</v>
      </c>
      <c r="E337" s="33" t="n">
        <f aca="false">IF(D337="totale",(C337/(A337*24))/F337,IF(D337="marché libre",(C337/(A337*24))/G337,"spécifier histo"))</f>
        <v>0.3286036989976</v>
      </c>
      <c r="F337" s="59" t="n">
        <v>3935</v>
      </c>
      <c r="G337" s="59" t="n">
        <f aca="false">F337-H337</f>
        <v>3935</v>
      </c>
      <c r="H337" s="9" t="n">
        <v>0</v>
      </c>
      <c r="I337" s="9"/>
      <c r="J337" s="30"/>
    </row>
    <row r="338" customFormat="false" ht="12.95" hidden="false" customHeight="true" outlineLevel="0" collapsed="false">
      <c r="A338" s="1" t="n">
        <v>31</v>
      </c>
      <c r="B338" s="31" t="n">
        <v>38108</v>
      </c>
      <c r="C338" s="9" t="n">
        <v>2080000</v>
      </c>
      <c r="D338" s="58" t="s">
        <v>41</v>
      </c>
      <c r="E338" s="33" t="n">
        <f aca="false">IF(D338="totale",(C338/(A338*24))/F338,IF(D338="marché libre",(C338/(A338*24))/G338,"spécifier histo"))</f>
        <v>0.710469866513642</v>
      </c>
      <c r="F338" s="59" t="n">
        <v>3935</v>
      </c>
      <c r="G338" s="59" t="n">
        <f aca="false">F338-H338</f>
        <v>3935</v>
      </c>
      <c r="H338" s="9" t="n">
        <v>0</v>
      </c>
      <c r="I338" s="9"/>
      <c r="J338" s="30"/>
    </row>
    <row r="339" customFormat="false" ht="12.95" hidden="false" customHeight="true" outlineLevel="0" collapsed="false">
      <c r="A339" s="1" t="n">
        <v>30</v>
      </c>
      <c r="B339" s="34" t="n">
        <v>38139</v>
      </c>
      <c r="C339" s="9" t="n">
        <v>2863000</v>
      </c>
      <c r="D339" s="58" t="s">
        <v>41</v>
      </c>
      <c r="E339" s="33" t="n">
        <f aca="false">IF(D339="totale",(C339/(A339*24))/F339,IF(D339="marché libre",(C339/(A339*24))/G339,"spécifier histo"))</f>
        <v>1.01051814203021</v>
      </c>
      <c r="F339" s="59" t="n">
        <v>3935</v>
      </c>
      <c r="G339" s="59" t="n">
        <f aca="false">F339-H339</f>
        <v>3935</v>
      </c>
      <c r="H339" s="9" t="n">
        <v>0</v>
      </c>
      <c r="I339" s="9"/>
      <c r="J339" s="30"/>
    </row>
    <row r="340" customFormat="false" ht="12.95" hidden="false" customHeight="true" outlineLevel="0" collapsed="false">
      <c r="A340" s="1" t="n">
        <v>31</v>
      </c>
      <c r="B340" s="31" t="n">
        <v>38169</v>
      </c>
      <c r="C340" s="9" t="n">
        <v>2165000</v>
      </c>
      <c r="D340" s="58" t="s">
        <v>41</v>
      </c>
      <c r="E340" s="33" t="n">
        <f aca="false">IF(D340="totale",(C340/(A340*24))/F340,IF(D340="marché libre",(C340/(A340*24))/G340,"spécifier histo"))</f>
        <v>0.739503490866363</v>
      </c>
      <c r="F340" s="59" t="n">
        <v>3935</v>
      </c>
      <c r="G340" s="59" t="n">
        <f aca="false">F340-H340</f>
        <v>3935</v>
      </c>
      <c r="H340" s="9" t="n">
        <v>0</v>
      </c>
      <c r="I340" s="9"/>
      <c r="J340" s="30"/>
    </row>
    <row r="341" customFormat="false" ht="12.95" hidden="false" customHeight="true" outlineLevel="0" collapsed="false">
      <c r="A341" s="1" t="n">
        <v>31</v>
      </c>
      <c r="B341" s="34" t="n">
        <v>38200</v>
      </c>
      <c r="C341" s="9" t="n">
        <v>1667000</v>
      </c>
      <c r="D341" s="58" t="s">
        <v>41</v>
      </c>
      <c r="E341" s="33" t="n">
        <f aca="false">IF(D341="totale",(C341/(A341*24))/F341,IF(D341="marché libre",(C341/(A341*24))/G341,"spécifier histo"))</f>
        <v>0.569400609364539</v>
      </c>
      <c r="F341" s="59" t="n">
        <v>3935</v>
      </c>
      <c r="G341" s="59" t="n">
        <f aca="false">F341-H341</f>
        <v>3935</v>
      </c>
      <c r="H341" s="9" t="n">
        <v>0</v>
      </c>
      <c r="I341" s="9"/>
      <c r="J341" s="30"/>
    </row>
    <row r="342" customFormat="false" ht="12.95" hidden="false" customHeight="true" outlineLevel="0" collapsed="false">
      <c r="A342" s="1" t="n">
        <v>30</v>
      </c>
      <c r="B342" s="31" t="n">
        <v>38231</v>
      </c>
      <c r="C342" s="9" t="n">
        <v>1134000</v>
      </c>
      <c r="D342" s="58" t="s">
        <v>41</v>
      </c>
      <c r="E342" s="33" t="n">
        <f aca="false">IF(D342="totale",(C342/(A342*24))/F342,IF(D342="marché libre",(C342/(A342*24))/G342,"spécifier histo"))</f>
        <v>0.400254129606099</v>
      </c>
      <c r="F342" s="59" t="n">
        <v>3935</v>
      </c>
      <c r="G342" s="59" t="n">
        <f aca="false">F342-H342</f>
        <v>3935</v>
      </c>
      <c r="H342" s="9" t="n">
        <v>0</v>
      </c>
      <c r="I342" s="9"/>
      <c r="J342" s="30"/>
    </row>
    <row r="343" customFormat="false" ht="12.95" hidden="false" customHeight="true" outlineLevel="0" collapsed="false">
      <c r="A343" s="1" t="n">
        <v>31</v>
      </c>
      <c r="B343" s="34" t="n">
        <v>38261</v>
      </c>
      <c r="C343" s="9" t="n">
        <v>1112000</v>
      </c>
      <c r="D343" s="58" t="s">
        <v>41</v>
      </c>
      <c r="E343" s="33" t="n">
        <f aca="false">IF(D343="totale",(C343/(A343*24))/F343,IF(D343="marché libre",(C343/(A343*24))/G343,"spécifier histo"))</f>
        <v>0.379828120943832</v>
      </c>
      <c r="F343" s="59" t="n">
        <v>3935</v>
      </c>
      <c r="G343" s="59" t="n">
        <f aca="false">F343-H343</f>
        <v>3935</v>
      </c>
      <c r="H343" s="9" t="n">
        <v>0</v>
      </c>
      <c r="I343" s="9"/>
      <c r="J343" s="30"/>
    </row>
    <row r="344" customFormat="false" ht="12.95" hidden="false" customHeight="true" outlineLevel="0" collapsed="false">
      <c r="A344" s="1" t="n">
        <v>30</v>
      </c>
      <c r="B344" s="31" t="n">
        <v>38292</v>
      </c>
      <c r="C344" s="9" t="n">
        <v>634000</v>
      </c>
      <c r="D344" s="58" t="s">
        <v>41</v>
      </c>
      <c r="E344" s="33" t="n">
        <f aca="false">IF(D344="totale",(C344/(A344*24))/F344,IF(D344="marché libre",(C344/(A344*24))/G344,"spécifier histo"))</f>
        <v>0.223775236481717</v>
      </c>
      <c r="F344" s="59" t="n">
        <v>3935</v>
      </c>
      <c r="G344" s="59" t="n">
        <f aca="false">F344-H344</f>
        <v>3935</v>
      </c>
      <c r="H344" s="9" t="n">
        <v>0</v>
      </c>
      <c r="I344" s="9"/>
      <c r="J344" s="30"/>
    </row>
    <row r="345" customFormat="false" ht="12.95" hidden="false" customHeight="true" outlineLevel="0" collapsed="false">
      <c r="A345" s="1" t="n">
        <v>31</v>
      </c>
      <c r="B345" s="34" t="n">
        <v>38322</v>
      </c>
      <c r="C345" s="9" t="n">
        <v>474000</v>
      </c>
      <c r="D345" s="58" t="s">
        <v>41</v>
      </c>
      <c r="E345" s="33" t="n">
        <f aca="false">IF(D345="totale",(C345/(A345*24))/F345,IF(D345="marché libre",(C345/(A345*24))/G345,"spécifier histo"))</f>
        <v>0.16190515227282</v>
      </c>
      <c r="F345" s="59" t="n">
        <v>3935</v>
      </c>
      <c r="G345" s="59" t="n">
        <f aca="false">F345-H345</f>
        <v>3935</v>
      </c>
      <c r="H345" s="9" t="n">
        <v>0</v>
      </c>
      <c r="I345" s="9"/>
      <c r="J345" s="30"/>
    </row>
    <row r="346" customFormat="false" ht="19.85" hidden="false" customHeight="true" outlineLevel="0" collapsed="false">
      <c r="A346" s="1" t="n">
        <v>31</v>
      </c>
      <c r="B346" s="31" t="n">
        <v>38353</v>
      </c>
      <c r="C346" s="9" t="n">
        <v>356000</v>
      </c>
      <c r="D346" s="58" t="s">
        <v>41</v>
      </c>
      <c r="E346" s="33" t="n">
        <f aca="false">IF(D346="totale",(C346/(A346*24))/F346,IF(D346="marché libre",(C346/(A346*24))/G346,"spécifier histo"))</f>
        <v>0.12159965023022</v>
      </c>
      <c r="F346" s="59" t="n">
        <v>3935</v>
      </c>
      <c r="G346" s="59" t="n">
        <f aca="false">F346-H346</f>
        <v>3935</v>
      </c>
      <c r="H346" s="9" t="n">
        <v>0</v>
      </c>
      <c r="J346" s="178"/>
    </row>
    <row r="347" customFormat="false" ht="19.85" hidden="false" customHeight="true" outlineLevel="0" collapsed="false">
      <c r="A347" s="1" t="n">
        <v>28</v>
      </c>
      <c r="B347" s="34" t="n">
        <v>38384</v>
      </c>
      <c r="C347" s="9" t="n">
        <v>295000</v>
      </c>
      <c r="D347" s="58" t="s">
        <v>41</v>
      </c>
      <c r="E347" s="33" t="n">
        <f aca="false">IF(D347="totale",(C347/(A347*24))/F347,IF(D347="marché libre",(C347/(A347*24))/G347,"spécifier histo"))</f>
        <v>0.111559871725056</v>
      </c>
      <c r="F347" s="59" t="n">
        <v>3935</v>
      </c>
      <c r="G347" s="59" t="n">
        <f aca="false">F347-H347</f>
        <v>3935</v>
      </c>
      <c r="H347" s="9" t="n">
        <v>0</v>
      </c>
    </row>
    <row r="348" customFormat="false" ht="19.85" hidden="false" customHeight="true" outlineLevel="0" collapsed="false">
      <c r="A348" s="1" t="n">
        <v>31</v>
      </c>
      <c r="B348" s="31" t="n">
        <v>38412</v>
      </c>
      <c r="C348" s="9" t="n">
        <v>780000</v>
      </c>
      <c r="D348" s="58" t="s">
        <v>41</v>
      </c>
      <c r="E348" s="33" t="n">
        <f aca="false">IF(D348="totale",(C348/(A348*24))/F348,IF(D348="marché libre",(C348/(A348*24))/G348,"spécifier histo"))</f>
        <v>0.266426199942616</v>
      </c>
      <c r="F348" s="59" t="n">
        <v>3935</v>
      </c>
      <c r="G348" s="59" t="n">
        <f aca="false">F348-H348</f>
        <v>3935</v>
      </c>
      <c r="H348" s="9" t="n">
        <v>0</v>
      </c>
      <c r="AF348" s="0"/>
      <c r="AG348" s="0"/>
      <c r="AH348" s="0"/>
      <c r="AI348" s="0"/>
      <c r="AJ348" s="0"/>
      <c r="AK348" s="0"/>
      <c r="AL348" s="0"/>
      <c r="AM348" s="0"/>
      <c r="AN348" s="0"/>
      <c r="AO348" s="0"/>
      <c r="AP348" s="0"/>
      <c r="AQ348" s="0"/>
      <c r="AR348" s="0"/>
      <c r="AS348" s="0"/>
      <c r="AT348" s="0"/>
      <c r="AU348" s="0"/>
      <c r="AV348" s="0"/>
    </row>
    <row r="349" customFormat="false" ht="19.85" hidden="false" customHeight="true" outlineLevel="0" collapsed="false">
      <c r="A349" s="1" t="n">
        <v>30</v>
      </c>
      <c r="B349" s="34" t="n">
        <v>38443</v>
      </c>
      <c r="C349" s="9" t="n">
        <v>908000</v>
      </c>
      <c r="D349" s="58" t="s">
        <v>41</v>
      </c>
      <c r="E349" s="33" t="n">
        <f aca="false">IF(D349="totale",(C349/(A349*24))/F349,IF(D349="marché libre",(C349/(A349*24))/G349,"spécifier histo"))</f>
        <v>0.320485669913878</v>
      </c>
      <c r="F349" s="59" t="n">
        <v>3935</v>
      </c>
      <c r="G349" s="59" t="n">
        <f aca="false">F349-H349</f>
        <v>3935</v>
      </c>
      <c r="H349" s="9" t="n">
        <v>0</v>
      </c>
      <c r="AE349" s="0"/>
      <c r="AF349" s="0"/>
      <c r="AG349" s="0"/>
      <c r="AH349" s="0"/>
      <c r="AI349" s="0"/>
      <c r="AJ349" s="0"/>
      <c r="AK349" s="0"/>
      <c r="AL349" s="0"/>
      <c r="AM349" s="0"/>
      <c r="AN349" s="0"/>
      <c r="AO349" s="0"/>
      <c r="AP349" s="0"/>
      <c r="AQ349" s="0"/>
      <c r="AR349" s="0"/>
      <c r="AS349" s="0"/>
      <c r="AT349" s="0"/>
      <c r="AU349" s="0"/>
      <c r="AV349" s="0"/>
    </row>
    <row r="350" customFormat="false" ht="19.85" hidden="false" customHeight="true" outlineLevel="0" collapsed="false">
      <c r="A350" s="1" t="n">
        <v>31</v>
      </c>
      <c r="B350" s="31" t="n">
        <v>38473</v>
      </c>
      <c r="C350" s="9" t="n">
        <v>2280000</v>
      </c>
      <c r="D350" s="58" t="s">
        <v>41</v>
      </c>
      <c r="E350" s="33" t="n">
        <f aca="false">IF(D350="totale",(C350/(A350*24))/F350,IF(D350="marché libre",(C350/(A350*24))/G350,"spécifier histo"))</f>
        <v>0.778784276755339</v>
      </c>
      <c r="F350" s="59" t="n">
        <v>3935</v>
      </c>
      <c r="G350" s="59" t="n">
        <f aca="false">F350-H350</f>
        <v>3935</v>
      </c>
      <c r="H350" s="9" t="n">
        <v>0</v>
      </c>
      <c r="AE350" s="0"/>
      <c r="AF350" s="0"/>
      <c r="AG350" s="0"/>
      <c r="AH350" s="0"/>
      <c r="AI350" s="0"/>
      <c r="AJ350" s="0"/>
      <c r="AK350" s="0"/>
      <c r="AL350" s="0"/>
      <c r="AM350" s="0"/>
      <c r="AN350" s="0"/>
      <c r="AO350" s="0"/>
      <c r="AP350" s="0"/>
      <c r="AQ350" s="0"/>
      <c r="AR350" s="0"/>
      <c r="AS350" s="0"/>
      <c r="AT350" s="0"/>
      <c r="AU350" s="0"/>
      <c r="AV350" s="0"/>
    </row>
    <row r="351" customFormat="false" ht="19.85" hidden="false" customHeight="true" outlineLevel="0" collapsed="false">
      <c r="A351" s="1" t="n">
        <v>30</v>
      </c>
      <c r="B351" s="34" t="n">
        <v>38504</v>
      </c>
      <c r="C351" s="9" t="n">
        <v>2090000</v>
      </c>
      <c r="D351" s="58" t="s">
        <v>41</v>
      </c>
      <c r="E351" s="33" t="n">
        <f aca="false">IF(D351="totale",(C351/(A351*24))/F351,IF(D351="marché libre",(C351/(A351*24))/G351,"spécifier histo"))</f>
        <v>0.737681773259918</v>
      </c>
      <c r="F351" s="59" t="n">
        <v>3935</v>
      </c>
      <c r="G351" s="59" t="n">
        <f aca="false">F351-H351</f>
        <v>3935</v>
      </c>
      <c r="H351" s="9" t="n">
        <v>0</v>
      </c>
      <c r="AE351" s="0"/>
      <c r="AF351" s="0"/>
      <c r="AG351" s="0"/>
      <c r="AH351" s="0"/>
      <c r="AI351" s="0"/>
      <c r="AJ351" s="0"/>
      <c r="AK351" s="0"/>
      <c r="AL351" s="0"/>
      <c r="AM351" s="0"/>
      <c r="AN351" s="0"/>
      <c r="AO351" s="0"/>
      <c r="AP351" s="0"/>
      <c r="AQ351" s="0"/>
      <c r="AR351" s="0"/>
      <c r="AS351" s="0"/>
      <c r="AT351" s="0"/>
      <c r="AU351" s="0"/>
      <c r="AV351" s="0"/>
    </row>
    <row r="352" customFormat="false" ht="19.85" hidden="false" customHeight="true" outlineLevel="0" collapsed="false">
      <c r="A352" s="1" t="n">
        <v>31</v>
      </c>
      <c r="B352" s="31" t="n">
        <v>38534</v>
      </c>
      <c r="C352" s="9" t="n">
        <v>1730000</v>
      </c>
      <c r="D352" s="58" t="s">
        <v>41</v>
      </c>
      <c r="E352" s="33" t="n">
        <f aca="false">IF(D352="totale",(C352/(A352*24))/F352,IF(D352="marché libre",(C352/(A352*24))/G352,"spécifier histo"))</f>
        <v>0.590919648590674</v>
      </c>
      <c r="F352" s="59" t="n">
        <v>3935</v>
      </c>
      <c r="G352" s="59" t="n">
        <f aca="false">F352-H352</f>
        <v>3935</v>
      </c>
      <c r="H352" s="9" t="n">
        <v>0</v>
      </c>
      <c r="AE352" s="0"/>
      <c r="AF352" s="0"/>
      <c r="AG352" s="0"/>
      <c r="AH352" s="0"/>
      <c r="AI352" s="0"/>
      <c r="AJ352" s="0"/>
      <c r="AK352" s="0"/>
      <c r="AL352" s="0"/>
      <c r="AM352" s="0"/>
      <c r="AN352" s="0"/>
      <c r="AO352" s="0"/>
      <c r="AP352" s="0"/>
      <c r="AQ352" s="0"/>
      <c r="AR352" s="0"/>
      <c r="AS352" s="0"/>
      <c r="AT352" s="0"/>
      <c r="AU352" s="0"/>
      <c r="AV352" s="0"/>
    </row>
    <row r="353" customFormat="false" ht="19.85" hidden="false" customHeight="true" outlineLevel="0" collapsed="false">
      <c r="A353" s="1" t="n">
        <v>31</v>
      </c>
      <c r="B353" s="34" t="n">
        <v>38565</v>
      </c>
      <c r="C353" s="9" t="n">
        <v>1380000</v>
      </c>
      <c r="D353" s="58" t="s">
        <v>41</v>
      </c>
      <c r="E353" s="33" t="n">
        <f aca="false">IF(D353="totale",(C353/(A353*24))/F353,IF(D353="marché libre",(C353/(A353*24))/G353,"spécifier histo"))</f>
        <v>0.471369430667705</v>
      </c>
      <c r="F353" s="59" t="n">
        <v>3935</v>
      </c>
      <c r="G353" s="59" t="n">
        <f aca="false">F353-H353</f>
        <v>3935</v>
      </c>
      <c r="H353" s="9" t="n">
        <v>0</v>
      </c>
      <c r="AE353" s="0"/>
      <c r="AF353" s="0"/>
      <c r="AG353" s="0"/>
      <c r="AH353" s="0"/>
      <c r="AI353" s="0"/>
      <c r="AJ353" s="0"/>
      <c r="AK353" s="0"/>
      <c r="AL353" s="0"/>
      <c r="AM353" s="0"/>
      <c r="AN353" s="0"/>
      <c r="AO353" s="0"/>
      <c r="AP353" s="0"/>
      <c r="AQ353" s="0"/>
      <c r="AR353" s="0"/>
      <c r="AS353" s="0"/>
      <c r="AT353" s="0"/>
      <c r="AU353" s="0"/>
      <c r="AV353" s="0"/>
    </row>
    <row r="354" customFormat="false" ht="19.85" hidden="false" customHeight="true" outlineLevel="0" collapsed="false">
      <c r="A354" s="1" t="n">
        <v>30</v>
      </c>
      <c r="B354" s="31" t="n">
        <v>38596</v>
      </c>
      <c r="C354" s="9" t="n">
        <v>1024000</v>
      </c>
      <c r="D354" s="58" t="s">
        <v>41</v>
      </c>
      <c r="E354" s="33" t="n">
        <f aca="false">IF(D354="totale",(C354/(A354*24))/F354,IF(D354="marché libre",(C354/(A354*24))/G354,"spécifier histo"))</f>
        <v>0.361428773118735</v>
      </c>
      <c r="F354" s="59" t="n">
        <v>3935</v>
      </c>
      <c r="G354" s="59" t="n">
        <f aca="false">F354-H354</f>
        <v>3935</v>
      </c>
      <c r="H354" s="9" t="n">
        <v>0</v>
      </c>
      <c r="AE354" s="0"/>
      <c r="AF354" s="0"/>
      <c r="AG354" s="0"/>
      <c r="AH354" s="0"/>
      <c r="AI354" s="0"/>
      <c r="AJ354" s="0"/>
      <c r="AK354" s="0"/>
      <c r="AL354" s="0"/>
      <c r="AM354" s="0"/>
      <c r="AN354" s="0"/>
      <c r="AO354" s="0"/>
      <c r="AP354" s="0"/>
      <c r="AQ354" s="0"/>
      <c r="AR354" s="0"/>
      <c r="AS354" s="0"/>
      <c r="AT354" s="0"/>
      <c r="AU354" s="0"/>
      <c r="AV354" s="0"/>
    </row>
    <row r="355" customFormat="false" ht="19.85" hidden="false" customHeight="true" outlineLevel="0" collapsed="false">
      <c r="A355" s="1" t="n">
        <v>31</v>
      </c>
      <c r="B355" s="34" t="n">
        <v>38626</v>
      </c>
      <c r="C355" s="9" t="n">
        <v>1087000</v>
      </c>
      <c r="D355" s="58" t="s">
        <v>41</v>
      </c>
      <c r="E355" s="33" t="n">
        <f aca="false">IF(D355="totale",(C355/(A355*24))/F355,IF(D355="marché libre",(C355/(A355*24))/G355,"spécifier histo"))</f>
        <v>0.37128881966362</v>
      </c>
      <c r="F355" s="59" t="n">
        <v>3935</v>
      </c>
      <c r="G355" s="59" t="n">
        <f aca="false">F355-H355</f>
        <v>3935</v>
      </c>
      <c r="H355" s="9" t="n">
        <v>0</v>
      </c>
      <c r="AE355" s="0"/>
      <c r="AF355" s="0"/>
      <c r="AG355" s="0"/>
      <c r="AH355" s="0"/>
      <c r="AI355" s="0"/>
      <c r="AJ355" s="0"/>
      <c r="AK355" s="0"/>
      <c r="AL355" s="0"/>
      <c r="AM355" s="0"/>
      <c r="AN355" s="0"/>
      <c r="AO355" s="0"/>
      <c r="AP355" s="0"/>
      <c r="AQ355" s="0"/>
      <c r="AR355" s="0"/>
      <c r="AS355" s="0"/>
      <c r="AT355" s="0"/>
      <c r="AU355" s="0"/>
      <c r="AV355" s="0"/>
    </row>
    <row r="356" customFormat="false" ht="19.85" hidden="false" customHeight="true" outlineLevel="0" collapsed="false">
      <c r="A356" s="1" t="n">
        <v>30</v>
      </c>
      <c r="B356" s="31" t="n">
        <v>38657</v>
      </c>
      <c r="C356" s="9" t="n">
        <v>721000</v>
      </c>
      <c r="D356" s="58" t="s">
        <v>41</v>
      </c>
      <c r="E356" s="33" t="n">
        <f aca="false">IF(D356="totale",(C356/(A356*24))/F356,IF(D356="marché libre",(C356/(A356*24))/G356,"spécifier histo"))</f>
        <v>0.254482563885359</v>
      </c>
      <c r="F356" s="59" t="n">
        <v>3935</v>
      </c>
      <c r="G356" s="59" t="n">
        <f aca="false">F356-H356</f>
        <v>3935</v>
      </c>
      <c r="H356" s="9" t="n">
        <v>0</v>
      </c>
      <c r="AE356" s="0"/>
      <c r="AF356" s="0"/>
      <c r="AG356" s="0"/>
      <c r="AH356" s="0"/>
      <c r="AI356" s="0"/>
      <c r="AJ356" s="0"/>
      <c r="AK356" s="0"/>
      <c r="AL356" s="0"/>
      <c r="AM356" s="0"/>
      <c r="AN356" s="0"/>
      <c r="AO356" s="0"/>
      <c r="AP356" s="0"/>
      <c r="AQ356" s="0"/>
      <c r="AR356" s="0"/>
      <c r="AS356" s="0"/>
      <c r="AT356" s="0"/>
      <c r="AU356" s="0"/>
      <c r="AV356" s="0"/>
    </row>
    <row r="357" customFormat="false" ht="19.85" hidden="false" customHeight="true" outlineLevel="0" collapsed="false">
      <c r="A357" s="1" t="n">
        <v>31</v>
      </c>
      <c r="B357" s="34" t="n">
        <v>38687</v>
      </c>
      <c r="C357" s="9" t="n">
        <v>523000</v>
      </c>
      <c r="D357" s="58" t="s">
        <v>41</v>
      </c>
      <c r="E357" s="33" t="n">
        <f aca="false">IF(D357="totale",(C357/(A357*24))/F357,IF(D357="marché libre",(C357/(A357*24))/G357,"spécifier histo"))</f>
        <v>0.178642182782036</v>
      </c>
      <c r="F357" s="59" t="n">
        <v>3935</v>
      </c>
      <c r="G357" s="59" t="n">
        <f aca="false">F357-H357</f>
        <v>3935</v>
      </c>
      <c r="H357" s="9" t="n">
        <v>0</v>
      </c>
      <c r="AE357" s="0"/>
      <c r="AF357" s="0"/>
      <c r="AG357" s="0"/>
      <c r="AH357" s="0"/>
      <c r="AI357" s="0"/>
      <c r="AJ357" s="0"/>
      <c r="AK357" s="0"/>
      <c r="AL357" s="0"/>
      <c r="AM357" s="0"/>
      <c r="AN357" s="0"/>
      <c r="AO357" s="0"/>
      <c r="AP357" s="0"/>
      <c r="AQ357" s="0"/>
      <c r="AR357" s="0"/>
      <c r="AS357" s="0"/>
      <c r="AT357" s="0"/>
      <c r="AU357" s="0"/>
      <c r="AV357" s="0"/>
    </row>
    <row r="358" customFormat="false" ht="19.85" hidden="false" customHeight="true" outlineLevel="0" collapsed="false">
      <c r="A358" s="1" t="n">
        <v>31</v>
      </c>
      <c r="B358" s="31" t="n">
        <v>38718</v>
      </c>
      <c r="C358" s="9" t="n">
        <v>400000</v>
      </c>
      <c r="D358" s="58" t="s">
        <v>41</v>
      </c>
      <c r="E358" s="33" t="n">
        <f aca="false">IF(D358="totale",(C358/(A358*24))/F358,IF(D358="marché libre",(C358/(A358*24))/G358,"spécifier histo"))</f>
        <v>0.136628820483393</v>
      </c>
      <c r="F358" s="59" t="n">
        <v>3935</v>
      </c>
      <c r="G358" s="59" t="n">
        <f aca="false">F358-H358</f>
        <v>3935</v>
      </c>
      <c r="H358" s="9" t="n">
        <v>0</v>
      </c>
      <c r="AE358" s="0"/>
      <c r="AF358" s="0"/>
      <c r="AG358" s="0"/>
      <c r="AH358" s="0"/>
      <c r="AI358" s="0"/>
      <c r="AJ358" s="0"/>
      <c r="AK358" s="0"/>
      <c r="AL358" s="0"/>
      <c r="AM358" s="0"/>
      <c r="AN358" s="0"/>
      <c r="AO358" s="0"/>
      <c r="AP358" s="0"/>
      <c r="AQ358" s="0"/>
      <c r="AR358" s="0"/>
      <c r="AS358" s="0"/>
      <c r="AT358" s="0"/>
      <c r="AU358" s="0"/>
      <c r="AV358" s="0"/>
    </row>
    <row r="359" customFormat="false" ht="19.85" hidden="false" customHeight="true" outlineLevel="0" collapsed="false">
      <c r="A359" s="1" t="n">
        <v>28</v>
      </c>
      <c r="B359" s="34" t="n">
        <v>38749</v>
      </c>
      <c r="C359" s="9" t="n">
        <v>313000</v>
      </c>
      <c r="D359" s="58" t="s">
        <v>41</v>
      </c>
      <c r="E359" s="33" t="n">
        <f aca="false">IF(D359="totale",(C359/(A359*24))/F359,IF(D359="marché libre",(C359/(A359*24))/G359,"spécifier histo"))</f>
        <v>0.118366914745568</v>
      </c>
      <c r="F359" s="59" t="n">
        <v>3935</v>
      </c>
      <c r="G359" s="59" t="n">
        <f aca="false">F359-H359</f>
        <v>3935</v>
      </c>
      <c r="H359" s="9" t="n">
        <v>0</v>
      </c>
      <c r="AE359" s="0"/>
      <c r="AF359" s="0"/>
      <c r="AG359" s="0"/>
      <c r="AH359" s="0"/>
      <c r="AI359" s="0"/>
      <c r="AJ359" s="0"/>
      <c r="AK359" s="0"/>
      <c r="AL359" s="0"/>
      <c r="AM359" s="0"/>
      <c r="AN359" s="0"/>
      <c r="AO359" s="0"/>
      <c r="AP359" s="0"/>
      <c r="AQ359" s="0"/>
      <c r="AR359" s="0"/>
      <c r="AS359" s="0"/>
      <c r="AT359" s="0"/>
      <c r="AU359" s="0"/>
      <c r="AV359" s="0"/>
    </row>
    <row r="360" customFormat="false" ht="19.85" hidden="false" customHeight="true" outlineLevel="0" collapsed="false">
      <c r="A360" s="1" t="n">
        <v>31</v>
      </c>
      <c r="B360" s="31" t="n">
        <v>38777</v>
      </c>
      <c r="C360" s="9" t="n">
        <v>680000</v>
      </c>
      <c r="D360" s="58" t="s">
        <v>41</v>
      </c>
      <c r="E360" s="33" t="n">
        <f aca="false">IF(D360="totale",(C360/(A360*24))/F360,IF(D360="marché libre",(C360/(A360*24))/G360,"spécifier histo"))</f>
        <v>0.232268994821768</v>
      </c>
      <c r="F360" s="59" t="n">
        <v>3935</v>
      </c>
      <c r="G360" s="59" t="n">
        <f aca="false">F360-H360</f>
        <v>3935</v>
      </c>
      <c r="H360" s="9" t="n">
        <v>0</v>
      </c>
      <c r="AE360" s="0"/>
      <c r="AF360" s="0"/>
      <c r="AG360" s="0"/>
      <c r="AH360" s="0"/>
      <c r="AI360" s="0"/>
      <c r="AJ360" s="0"/>
      <c r="AK360" s="0"/>
      <c r="AL360" s="0"/>
      <c r="AM360" s="0"/>
      <c r="AN360" s="0"/>
      <c r="AO360" s="0"/>
      <c r="AP360" s="0"/>
      <c r="AQ360" s="0"/>
      <c r="AR360" s="0"/>
      <c r="AS360" s="0"/>
      <c r="AT360" s="0"/>
      <c r="AU360" s="0"/>
      <c r="AV360" s="0"/>
    </row>
    <row r="361" customFormat="false" ht="19.85" hidden="false" customHeight="true" outlineLevel="0" collapsed="false">
      <c r="A361" s="1" t="n">
        <v>30</v>
      </c>
      <c r="B361" s="34" t="n">
        <v>38808</v>
      </c>
      <c r="C361" s="9" t="n">
        <v>1551000</v>
      </c>
      <c r="D361" s="58" t="s">
        <v>41</v>
      </c>
      <c r="E361" s="33" t="n">
        <f aca="false">IF(D361="totale",(C361/(A361*24))/F361,IF(D361="marché libre",(C361/(A361*24))/G361,"spécifier histo"))</f>
        <v>0.547437526471834</v>
      </c>
      <c r="F361" s="59" t="n">
        <v>3935</v>
      </c>
      <c r="G361" s="59" t="n">
        <f aca="false">F361-H361</f>
        <v>3935</v>
      </c>
      <c r="H361" s="9" t="n">
        <v>0</v>
      </c>
    </row>
    <row r="362" customFormat="false" ht="19.85" hidden="false" customHeight="true" outlineLevel="0" collapsed="false">
      <c r="A362" s="1" t="n">
        <v>31</v>
      </c>
      <c r="B362" s="31" t="n">
        <v>38838</v>
      </c>
      <c r="C362" s="9" t="n">
        <v>2480000</v>
      </c>
      <c r="D362" s="58" t="s">
        <v>41</v>
      </c>
      <c r="E362" s="33" t="n">
        <f aca="false">IF(D362="totale",(C362/(A362*24))/F362,IF(D362="marché libre",(C362/(A362*24))/G362,"spécifier histo"))</f>
        <v>0.847098686997035</v>
      </c>
      <c r="F362" s="59" t="n">
        <v>3935</v>
      </c>
      <c r="G362" s="59" t="n">
        <f aca="false">F362-H362</f>
        <v>3935</v>
      </c>
      <c r="H362" s="9" t="n">
        <v>0</v>
      </c>
      <c r="J362" s="183"/>
      <c r="L362" s="0"/>
      <c r="Q362" s="0"/>
      <c r="W362" s="0"/>
      <c r="AA362" s="0"/>
    </row>
    <row r="363" customFormat="false" ht="19.85" hidden="false" customHeight="true" outlineLevel="0" collapsed="false">
      <c r="A363" s="1" t="n">
        <v>30</v>
      </c>
      <c r="B363" s="34" t="n">
        <v>38869</v>
      </c>
      <c r="C363" s="9" t="n">
        <v>2176000</v>
      </c>
      <c r="D363" s="58" t="s">
        <v>41</v>
      </c>
      <c r="E363" s="33" t="n">
        <f aca="false">IF(D363="totale",(C363/(A363*24))/F363,IF(D363="marché libre",(C363/(A363*24))/G363,"spécifier histo"))</f>
        <v>0.768036142877312</v>
      </c>
      <c r="F363" s="59" t="n">
        <v>3935</v>
      </c>
      <c r="G363" s="59" t="n">
        <f aca="false">F363-H363</f>
        <v>3935</v>
      </c>
      <c r="H363" s="9" t="n">
        <v>0</v>
      </c>
      <c r="J363" s="183"/>
      <c r="L363" s="0"/>
      <c r="Q363" s="0"/>
      <c r="W363" s="0"/>
      <c r="AA363" s="0"/>
    </row>
    <row r="364" customFormat="false" ht="19.85" hidden="false" customHeight="true" outlineLevel="0" collapsed="false">
      <c r="A364" s="1" t="n">
        <v>31</v>
      </c>
      <c r="B364" s="31" t="n">
        <v>38899</v>
      </c>
      <c r="C364" s="9" t="n">
        <v>1668000</v>
      </c>
      <c r="D364" s="58" t="s">
        <v>41</v>
      </c>
      <c r="E364" s="33" t="n">
        <f aca="false">IF(D364="totale",(C364/(A364*24))/F364,IF(D364="marché libre",(C364/(A364*24))/G364,"spécifier histo"))</f>
        <v>0.569742181415748</v>
      </c>
      <c r="F364" s="59" t="n">
        <v>3935</v>
      </c>
      <c r="G364" s="59" t="n">
        <f aca="false">F364-H364</f>
        <v>3935</v>
      </c>
      <c r="H364" s="9" t="n">
        <v>0</v>
      </c>
      <c r="J364" s="183"/>
      <c r="L364" s="0"/>
      <c r="Q364" s="0"/>
      <c r="W364" s="0"/>
      <c r="AA364" s="0"/>
    </row>
    <row r="365" customFormat="false" ht="19.85" hidden="false" customHeight="true" outlineLevel="0" collapsed="false">
      <c r="A365" s="1" t="n">
        <v>31</v>
      </c>
      <c r="B365" s="34" t="n">
        <v>38930</v>
      </c>
      <c r="C365" s="9" t="n">
        <v>1571000</v>
      </c>
      <c r="D365" s="58" t="s">
        <v>41</v>
      </c>
      <c r="E365" s="33" t="n">
        <f aca="false">IF(D365="totale",(C365/(A365*24))/F365,IF(D365="marché libre",(C365/(A365*24))/G365,"spécifier histo"))</f>
        <v>0.536609692448525</v>
      </c>
      <c r="F365" s="59" t="n">
        <v>3935</v>
      </c>
      <c r="G365" s="59" t="n">
        <f aca="false">F365-H365</f>
        <v>3935</v>
      </c>
      <c r="H365" s="9" t="n">
        <v>0</v>
      </c>
      <c r="J365" s="183"/>
      <c r="L365" s="0"/>
      <c r="Q365" s="0"/>
      <c r="W365" s="0"/>
      <c r="AA365" s="0"/>
    </row>
    <row r="366" customFormat="false" ht="19.85" hidden="false" customHeight="true" outlineLevel="0" collapsed="false">
      <c r="A366" s="1" t="n">
        <v>30</v>
      </c>
      <c r="B366" s="31" t="n">
        <v>38961</v>
      </c>
      <c r="C366" s="9" t="n">
        <v>1171000</v>
      </c>
      <c r="D366" s="58" t="s">
        <v>41</v>
      </c>
      <c r="E366" s="33" t="n">
        <f aca="false">IF(D366="totale",(C366/(A366*24))/F366,IF(D366="marché libre",(C366/(A366*24))/G366,"spécifier histo"))</f>
        <v>0.413313567697303</v>
      </c>
      <c r="F366" s="59" t="n">
        <v>3935</v>
      </c>
      <c r="G366" s="59" t="n">
        <f aca="false">F366-H366</f>
        <v>3935</v>
      </c>
      <c r="H366" s="9" t="n">
        <v>0</v>
      </c>
      <c r="J366" s="183"/>
      <c r="L366" s="0"/>
      <c r="Q366" s="0"/>
      <c r="W366" s="0"/>
      <c r="AA366" s="0"/>
    </row>
    <row r="367" customFormat="false" ht="19.85" hidden="false" customHeight="true" outlineLevel="0" collapsed="false">
      <c r="A367" s="1" t="n">
        <v>31</v>
      </c>
      <c r="B367" s="34" t="n">
        <v>38991</v>
      </c>
      <c r="C367" s="9" t="n">
        <v>1058000</v>
      </c>
      <c r="D367" s="58" t="s">
        <v>41</v>
      </c>
      <c r="E367" s="33" t="n">
        <f aca="false">IF(D367="totale",(C367/(A367*24))/F367,IF(D367="marché libre",(C367/(A367*24))/G367,"spécifier histo"))</f>
        <v>0.361383230178574</v>
      </c>
      <c r="F367" s="59" t="n">
        <v>3935</v>
      </c>
      <c r="G367" s="59" t="n">
        <f aca="false">F367-H367</f>
        <v>3935</v>
      </c>
      <c r="H367" s="9" t="n">
        <v>0</v>
      </c>
      <c r="J367" s="183"/>
      <c r="L367" s="0"/>
      <c r="Q367" s="0"/>
      <c r="W367" s="0"/>
      <c r="AA367" s="0"/>
    </row>
    <row r="368" customFormat="false" ht="19.85" hidden="false" customHeight="true" outlineLevel="0" collapsed="false">
      <c r="A368" s="1" t="n">
        <v>30</v>
      </c>
      <c r="B368" s="31" t="n">
        <v>39022</v>
      </c>
      <c r="C368" s="9" t="n">
        <v>723000</v>
      </c>
      <c r="D368" s="58" t="s">
        <v>41</v>
      </c>
      <c r="E368" s="33" t="n">
        <f aca="false">IF(D368="totale",(C368/(A368*24))/F368,IF(D368="marché libre",(C368/(A368*24))/G368,"spécifier histo"))</f>
        <v>0.255188479457857</v>
      </c>
      <c r="F368" s="59" t="n">
        <v>3935</v>
      </c>
      <c r="G368" s="59" t="n">
        <f aca="false">F368-H368</f>
        <v>3935</v>
      </c>
      <c r="H368" s="9" t="n">
        <v>0</v>
      </c>
      <c r="J368" s="183"/>
      <c r="L368" s="0"/>
      <c r="Q368" s="0"/>
      <c r="W368" s="0"/>
      <c r="AA368" s="0"/>
    </row>
    <row r="369" customFormat="false" ht="19.85" hidden="false" customHeight="true" outlineLevel="0" collapsed="false">
      <c r="A369" s="1" t="n">
        <v>31</v>
      </c>
      <c r="B369" s="34" t="n">
        <v>39052</v>
      </c>
      <c r="C369" s="9" t="n">
        <v>646000</v>
      </c>
      <c r="D369" s="58" t="s">
        <v>41</v>
      </c>
      <c r="E369" s="33" t="n">
        <f aca="false">IF(D369="totale",(C369/(A369*24))/F369,IF(D369="marché libre",(C369/(A369*24))/G369,"spécifier histo"))</f>
        <v>0.220655545080679</v>
      </c>
      <c r="F369" s="59" t="n">
        <v>3935</v>
      </c>
      <c r="G369" s="59" t="n">
        <f aca="false">F369-H369</f>
        <v>3935</v>
      </c>
      <c r="H369" s="9" t="n">
        <v>0</v>
      </c>
      <c r="J369" s="183"/>
      <c r="L369" s="0"/>
      <c r="Q369" s="0"/>
      <c r="W369" s="0"/>
      <c r="AA369" s="0"/>
    </row>
    <row r="370" customFormat="false" ht="19.85" hidden="false" customHeight="true" outlineLevel="0" collapsed="false">
      <c r="A370" s="1" t="n">
        <v>31</v>
      </c>
      <c r="B370" s="31" t="n">
        <v>39083</v>
      </c>
      <c r="C370" s="9" t="n">
        <v>688000</v>
      </c>
      <c r="D370" s="58" t="s">
        <v>41</v>
      </c>
      <c r="E370" s="33" t="n">
        <f aca="false">IF(D370="totale",(C370/(A370*24))/F370,IF(D370="marché libre",(C370/(A370*24))/G370,"spécifier histo"))</f>
        <v>0.235001571231436</v>
      </c>
      <c r="F370" s="59" t="n">
        <v>3935</v>
      </c>
      <c r="G370" s="59" t="n">
        <f aca="false">F370-H370</f>
        <v>3935</v>
      </c>
      <c r="H370" s="9" t="n">
        <v>0</v>
      </c>
      <c r="J370" s="183"/>
      <c r="L370" s="0"/>
      <c r="Q370" s="0"/>
      <c r="W370" s="0"/>
      <c r="AA370" s="0"/>
    </row>
    <row r="371" customFormat="false" ht="19.85" hidden="false" customHeight="true" outlineLevel="0" collapsed="false">
      <c r="A371" s="1" t="n">
        <v>28</v>
      </c>
      <c r="B371" s="34" t="n">
        <v>39114</v>
      </c>
      <c r="C371" s="9" t="n">
        <v>470000</v>
      </c>
      <c r="D371" s="58" t="s">
        <v>41</v>
      </c>
      <c r="E371" s="33" t="n">
        <f aca="false">IF(D371="totale",(C371/(A371*24))/F371,IF(D371="marché libre",(C371/(A371*24))/G371,"spécifier histo"))</f>
        <v>0.177739456646699</v>
      </c>
      <c r="F371" s="59" t="n">
        <v>3935</v>
      </c>
      <c r="G371" s="59" t="n">
        <f aca="false">F371-H371</f>
        <v>3935</v>
      </c>
      <c r="H371" s="9" t="n">
        <v>0</v>
      </c>
      <c r="J371" s="183"/>
      <c r="L371" s="0"/>
      <c r="Q371" s="0"/>
      <c r="W371" s="0"/>
      <c r="AA371" s="0"/>
    </row>
    <row r="372" customFormat="false" ht="19.85" hidden="false" customHeight="true" outlineLevel="0" collapsed="false">
      <c r="A372" s="1" t="n">
        <v>31</v>
      </c>
      <c r="B372" s="31" t="n">
        <v>39142</v>
      </c>
      <c r="C372" s="9" t="n">
        <v>783000</v>
      </c>
      <c r="D372" s="58" t="s">
        <v>41</v>
      </c>
      <c r="E372" s="33" t="n">
        <f aca="false">IF(D372="totale",(C372/(A372*24))/F372,IF(D372="marché libre",(C372/(A372*24))/G372,"spécifier histo"))</f>
        <v>0.267450916096241</v>
      </c>
      <c r="F372" s="59" t="n">
        <v>3935</v>
      </c>
      <c r="G372" s="59" t="n">
        <f aca="false">F372-H372</f>
        <v>3935</v>
      </c>
      <c r="H372" s="9" t="n">
        <v>0</v>
      </c>
      <c r="J372" s="183"/>
      <c r="L372" s="0"/>
      <c r="Q372" s="0"/>
      <c r="W372" s="0"/>
      <c r="AA372" s="0"/>
    </row>
    <row r="373" customFormat="false" ht="19.85" hidden="false" customHeight="true" outlineLevel="0" collapsed="false">
      <c r="A373" s="1" t="n">
        <v>30</v>
      </c>
      <c r="B373" s="34" t="n">
        <v>39173</v>
      </c>
      <c r="C373" s="9" t="n">
        <v>1664000</v>
      </c>
      <c r="D373" s="58" t="s">
        <v>41</v>
      </c>
      <c r="E373" s="33" t="n">
        <f aca="false">IF(D373="totale",(C373/(A373*24))/F373,IF(D373="marché libre",(C373/(A373*24))/G373,"spécifier histo"))</f>
        <v>0.587321756317945</v>
      </c>
      <c r="F373" s="59" t="n">
        <v>3935</v>
      </c>
      <c r="G373" s="59" t="n">
        <f aca="false">F373-H373</f>
        <v>3935</v>
      </c>
      <c r="H373" s="9" t="n">
        <v>0</v>
      </c>
      <c r="J373" s="183"/>
      <c r="L373" s="0"/>
      <c r="Q373" s="0"/>
      <c r="W373" s="0"/>
      <c r="AA373" s="0"/>
    </row>
    <row r="374" customFormat="false" ht="19.85" hidden="false" customHeight="true" outlineLevel="0" collapsed="false">
      <c r="A374" s="1" t="n">
        <v>31</v>
      </c>
      <c r="B374" s="31" t="n">
        <v>39203</v>
      </c>
      <c r="C374" s="9" t="n">
        <v>2434000</v>
      </c>
      <c r="D374" s="58" t="s">
        <v>41</v>
      </c>
      <c r="E374" s="33" t="n">
        <f aca="false">IF(D374="totale",(C374/(A374*24))/F374,IF(D374="marché libre",(C374/(A374*24))/G374,"spécifier histo"))</f>
        <v>0.831386372641445</v>
      </c>
      <c r="F374" s="59" t="n">
        <v>3935</v>
      </c>
      <c r="G374" s="59" t="n">
        <f aca="false">F374-H374</f>
        <v>3935</v>
      </c>
      <c r="H374" s="9" t="n">
        <v>0</v>
      </c>
      <c r="J374" s="183"/>
      <c r="L374" s="0"/>
      <c r="Q374" s="0"/>
      <c r="W374" s="0"/>
      <c r="AA374" s="0"/>
    </row>
    <row r="375" customFormat="false" ht="19.85" hidden="false" customHeight="true" outlineLevel="0" collapsed="false">
      <c r="A375" s="1" t="n">
        <v>30</v>
      </c>
      <c r="B375" s="34" t="n">
        <v>39234</v>
      </c>
      <c r="C375" s="9" t="n">
        <v>3116000</v>
      </c>
      <c r="D375" s="58" t="s">
        <v>41</v>
      </c>
      <c r="E375" s="33" t="n">
        <f aca="false">IF(D375="totale",(C375/(A375*24))/F375,IF(D375="marché libre",(C375/(A375*24))/G375,"spécifier histo"))</f>
        <v>1.09981646195115</v>
      </c>
      <c r="F375" s="59" t="n">
        <v>3935</v>
      </c>
      <c r="G375" s="59" t="n">
        <f aca="false">F375-H375</f>
        <v>3935</v>
      </c>
      <c r="H375" s="9" t="n">
        <v>0</v>
      </c>
      <c r="J375" s="183"/>
      <c r="L375" s="0"/>
      <c r="Q375" s="0"/>
      <c r="W375" s="0"/>
      <c r="AA375" s="0"/>
    </row>
    <row r="376" customFormat="false" ht="19.85" hidden="false" customHeight="true" outlineLevel="0" collapsed="false">
      <c r="A376" s="1" t="n">
        <v>31</v>
      </c>
      <c r="B376" s="31" t="n">
        <v>39264</v>
      </c>
      <c r="C376" s="9" t="n">
        <v>2521000</v>
      </c>
      <c r="D376" s="58" t="s">
        <v>41</v>
      </c>
      <c r="E376" s="33" t="n">
        <f aca="false">IF(D376="totale",(C376/(A376*24))/F376,IF(D376="marché libre",(C376/(A376*24))/G376,"spécifier histo"))</f>
        <v>0.861103141096583</v>
      </c>
      <c r="F376" s="59" t="n">
        <v>3935</v>
      </c>
      <c r="G376" s="59" t="n">
        <f aca="false">F376-H376</f>
        <v>3935</v>
      </c>
      <c r="H376" s="9" t="n">
        <v>0</v>
      </c>
      <c r="J376" s="183"/>
      <c r="L376" s="0"/>
      <c r="Q376" s="0"/>
      <c r="W376" s="0"/>
      <c r="AA376" s="0"/>
    </row>
    <row r="377" customFormat="false" ht="19.85" hidden="false" customHeight="true" outlineLevel="0" collapsed="false">
      <c r="A377" s="1" t="n">
        <v>31</v>
      </c>
      <c r="B377" s="34" t="n">
        <v>39295</v>
      </c>
      <c r="C377" s="9" t="n">
        <v>1848000</v>
      </c>
      <c r="D377" s="58" t="s">
        <v>41</v>
      </c>
      <c r="E377" s="33" t="n">
        <f aca="false">IF(D377="totale",(C377/(A377*24))/F377,IF(D377="marché libre",(C377/(A377*24))/G377,"spécifier histo"))</f>
        <v>0.631225150633275</v>
      </c>
      <c r="F377" s="59" t="n">
        <v>3935</v>
      </c>
      <c r="G377" s="59" t="n">
        <f aca="false">F377-H377</f>
        <v>3935</v>
      </c>
      <c r="H377" s="9" t="n">
        <v>0</v>
      </c>
      <c r="J377" s="183"/>
      <c r="L377" s="0"/>
      <c r="Q377" s="0"/>
      <c r="W377" s="0"/>
      <c r="AA377" s="0"/>
    </row>
    <row r="378" customFormat="false" ht="19.85" hidden="false" customHeight="true" outlineLevel="0" collapsed="false">
      <c r="A378" s="1" t="n">
        <v>30</v>
      </c>
      <c r="B378" s="31" t="n">
        <v>39326</v>
      </c>
      <c r="C378" s="9" t="n">
        <v>1164000</v>
      </c>
      <c r="D378" s="58" t="s">
        <v>41</v>
      </c>
      <c r="E378" s="33" t="n">
        <f aca="false">IF(D378="totale",(C378/(A378*24))/F378,IF(D378="marché libre",(C378/(A378*24))/G378,"spécifier histo"))</f>
        <v>0.410842863193562</v>
      </c>
      <c r="F378" s="59" t="n">
        <v>3935</v>
      </c>
      <c r="G378" s="59" t="n">
        <f aca="false">F378-H378</f>
        <v>3935</v>
      </c>
      <c r="H378" s="9" t="n">
        <v>0</v>
      </c>
      <c r="J378" s="183"/>
      <c r="L378" s="0"/>
      <c r="Q378" s="0"/>
      <c r="W378" s="0"/>
      <c r="AA378" s="0"/>
    </row>
    <row r="379" customFormat="false" ht="19.85" hidden="false" customHeight="true" outlineLevel="0" collapsed="false">
      <c r="A379" s="1" t="n">
        <v>31</v>
      </c>
      <c r="B379" s="34" t="n">
        <v>39356</v>
      </c>
      <c r="C379" s="9" t="n">
        <v>1046000</v>
      </c>
      <c r="D379" s="58" t="s">
        <v>41</v>
      </c>
      <c r="E379" s="33" t="n">
        <f aca="false">IF(D379="totale",(C379/(A379*24))/F379,IF(D379="marché libre",(C379/(A379*24))/G379,"spécifier histo"))</f>
        <v>0.357284365564072</v>
      </c>
      <c r="F379" s="59" t="n">
        <v>3935</v>
      </c>
      <c r="G379" s="59" t="n">
        <f aca="false">F379-H379</f>
        <v>3935</v>
      </c>
      <c r="H379" s="9" t="n">
        <v>0</v>
      </c>
      <c r="J379" s="183"/>
      <c r="L379" s="0"/>
      <c r="Q379" s="0"/>
      <c r="W379" s="0"/>
      <c r="AA379" s="0"/>
    </row>
    <row r="380" customFormat="false" ht="19.85" hidden="false" customHeight="true" outlineLevel="0" collapsed="false">
      <c r="A380" s="1" t="n">
        <v>30</v>
      </c>
      <c r="B380" s="31" t="n">
        <v>39387</v>
      </c>
      <c r="C380" s="9" t="n">
        <v>665000</v>
      </c>
      <c r="D380" s="58" t="s">
        <v>41</v>
      </c>
      <c r="E380" s="33" t="n">
        <f aca="false">IF(D380="totale",(C380/(A380*24))/F380,IF(D380="marché libre",(C380/(A380*24))/G380,"spécifier histo"))</f>
        <v>0.234716927855428</v>
      </c>
      <c r="F380" s="59" t="n">
        <v>3935</v>
      </c>
      <c r="G380" s="59" t="n">
        <f aca="false">F380-H380</f>
        <v>3935</v>
      </c>
      <c r="H380" s="9" t="n">
        <v>0</v>
      </c>
      <c r="J380" s="183"/>
      <c r="L380" s="0"/>
      <c r="Q380" s="0"/>
      <c r="W380" s="0"/>
      <c r="AA380" s="0"/>
    </row>
    <row r="381" customFormat="false" ht="19.85" hidden="false" customHeight="true" outlineLevel="0" collapsed="false">
      <c r="A381" s="1" t="n">
        <v>31</v>
      </c>
      <c r="B381" s="34" t="n">
        <v>39417</v>
      </c>
      <c r="C381" s="9" t="n">
        <v>621000</v>
      </c>
      <c r="D381" s="58" t="s">
        <v>41</v>
      </c>
      <c r="E381" s="33" t="n">
        <f aca="false">IF(D381="totale",(C381/(A381*24))/F381,IF(D381="marché libre",(C381/(A381*24))/G381,"spécifier histo"))</f>
        <v>0.212116243800467</v>
      </c>
      <c r="F381" s="59" t="n">
        <v>3935</v>
      </c>
      <c r="G381" s="59" t="n">
        <f aca="false">F381-H381</f>
        <v>3935</v>
      </c>
      <c r="H381" s="9" t="n">
        <v>0</v>
      </c>
      <c r="J381" s="183"/>
      <c r="L381" s="0"/>
      <c r="Q381" s="0"/>
      <c r="W381" s="0"/>
      <c r="AA381" s="0"/>
    </row>
    <row r="382" customFormat="false" ht="19.85" hidden="false" customHeight="true" outlineLevel="0" collapsed="false">
      <c r="A382" s="1" t="n">
        <v>31</v>
      </c>
      <c r="B382" s="31" t="n">
        <v>39448</v>
      </c>
      <c r="C382" s="9" t="n">
        <v>547000</v>
      </c>
      <c r="D382" s="58" t="s">
        <v>41</v>
      </c>
      <c r="E382" s="33" t="n">
        <f aca="false">IF(D382="totale",(C382/(A382*24))/F382,IF(D382="marché libre",(C382/(A382*24))/G382,"spécifier histo"))</f>
        <v>0.18683991201104</v>
      </c>
      <c r="F382" s="59" t="n">
        <v>3935</v>
      </c>
      <c r="G382" s="59" t="n">
        <f aca="false">F382-H382</f>
        <v>3935</v>
      </c>
      <c r="H382" s="9" t="n">
        <v>0</v>
      </c>
      <c r="J382" s="183"/>
      <c r="L382" s="0"/>
      <c r="Q382" s="0"/>
      <c r="W382" s="0"/>
      <c r="AA382" s="0"/>
    </row>
    <row r="383" customFormat="false" ht="19.85" hidden="false" customHeight="true" outlineLevel="0" collapsed="false">
      <c r="A383" s="1" t="n">
        <v>28</v>
      </c>
      <c r="B383" s="34" t="n">
        <v>39479</v>
      </c>
      <c r="C383" s="9" t="n">
        <v>365000</v>
      </c>
      <c r="D383" s="58" t="s">
        <v>41</v>
      </c>
      <c r="E383" s="33" t="n">
        <f aca="false">IF(D383="totale",(C383/(A383*24))/F383,IF(D383="marché libre",(C383/(A383*24))/G383,"spécifier histo"))</f>
        <v>0.138031705693713</v>
      </c>
      <c r="F383" s="59" t="n">
        <v>3935</v>
      </c>
      <c r="G383" s="59" t="n">
        <f aca="false">F383-H383</f>
        <v>3935</v>
      </c>
      <c r="H383" s="9" t="n">
        <v>0</v>
      </c>
      <c r="J383" s="183"/>
      <c r="L383" s="0"/>
      <c r="Q383" s="0"/>
      <c r="W383" s="0"/>
      <c r="AA383" s="0"/>
    </row>
    <row r="384" customFormat="false" ht="19.85" hidden="false" customHeight="true" outlineLevel="0" collapsed="false">
      <c r="A384" s="1" t="n">
        <v>31</v>
      </c>
      <c r="B384" s="31" t="n">
        <v>39508</v>
      </c>
      <c r="C384" s="9" t="n">
        <v>492000</v>
      </c>
      <c r="D384" s="58" t="s">
        <v>41</v>
      </c>
      <c r="E384" s="33" t="n">
        <f aca="false">IF(D384="totale",(C384/(A384*24))/F384,IF(D384="marché libre",(C384/(A384*24))/G384,"spécifier histo"))</f>
        <v>0.168053449194573</v>
      </c>
      <c r="F384" s="59" t="n">
        <v>3935</v>
      </c>
      <c r="G384" s="59" t="n">
        <f aca="false">F384-H384</f>
        <v>3935</v>
      </c>
      <c r="H384" s="9" t="n">
        <v>0</v>
      </c>
      <c r="J384" s="183"/>
      <c r="L384" s="0"/>
      <c r="Q384" s="0"/>
      <c r="W384" s="0"/>
      <c r="AA384" s="0"/>
    </row>
    <row r="385" customFormat="false" ht="19.85" hidden="false" customHeight="true" outlineLevel="0" collapsed="false">
      <c r="A385" s="1" t="n">
        <v>30</v>
      </c>
      <c r="B385" s="34" t="n">
        <v>39539</v>
      </c>
      <c r="C385" s="9" t="n">
        <v>987000</v>
      </c>
      <c r="D385" s="58" t="s">
        <v>41</v>
      </c>
      <c r="E385" s="33" t="n">
        <f aca="false">IF(D385="totale",(C385/(A385*24))/F385,IF(D385="marché libre",(C385/(A385*24))/G385,"spécifier histo"))</f>
        <v>0.348369335027531</v>
      </c>
      <c r="F385" s="59" t="n">
        <v>3935</v>
      </c>
      <c r="G385" s="59" t="n">
        <f aca="false">F385-H385</f>
        <v>3935</v>
      </c>
      <c r="H385" s="9" t="n">
        <v>0</v>
      </c>
      <c r="J385" s="183"/>
      <c r="L385" s="0"/>
      <c r="Q385" s="0"/>
      <c r="W385" s="0"/>
      <c r="AA385" s="0"/>
    </row>
    <row r="386" customFormat="false" ht="19.85" hidden="false" customHeight="true" outlineLevel="0" collapsed="false">
      <c r="A386" s="1" t="n">
        <v>31</v>
      </c>
      <c r="B386" s="31" t="n">
        <v>39569</v>
      </c>
      <c r="C386" s="9" t="n">
        <v>2661000</v>
      </c>
      <c r="D386" s="58" t="s">
        <v>41</v>
      </c>
      <c r="E386" s="33" t="n">
        <f aca="false">IF(D386="totale",(C386/(A386*24))/F386,IF(D386="marché libre",(C386/(A386*24))/G386,"spécifier histo"))</f>
        <v>0.90892322826577</v>
      </c>
      <c r="F386" s="59" t="n">
        <v>3935</v>
      </c>
      <c r="G386" s="59" t="n">
        <f aca="false">F386-H386</f>
        <v>3935</v>
      </c>
      <c r="H386" s="9" t="n">
        <v>0</v>
      </c>
      <c r="J386" s="183"/>
      <c r="L386" s="0"/>
      <c r="Q386" s="0"/>
      <c r="W386" s="0"/>
      <c r="AA386" s="0"/>
    </row>
    <row r="387" customFormat="false" ht="19.85" hidden="false" customHeight="true" outlineLevel="0" collapsed="false">
      <c r="A387" s="1" t="n">
        <v>30</v>
      </c>
      <c r="B387" s="34" t="n">
        <v>39600</v>
      </c>
      <c r="C387" s="9" t="n">
        <v>3046000</v>
      </c>
      <c r="D387" s="58" t="s">
        <v>41</v>
      </c>
      <c r="E387" s="33" t="n">
        <f aca="false">IF(D387="totale",(C387/(A387*24))/F387,IF(D387="marché libre",(C387/(A387*24))/G387,"spécifier histo"))</f>
        <v>1.07510941691374</v>
      </c>
      <c r="F387" s="59" t="n">
        <v>3935</v>
      </c>
      <c r="G387" s="59" t="n">
        <f aca="false">F387-H387</f>
        <v>3935</v>
      </c>
      <c r="H387" s="9" t="n">
        <v>0</v>
      </c>
      <c r="J387" s="183"/>
      <c r="L387" s="0"/>
      <c r="Q387" s="0"/>
      <c r="W387" s="0"/>
      <c r="AA387" s="0"/>
    </row>
    <row r="388" customFormat="false" ht="19.85" hidden="false" customHeight="true" outlineLevel="0" collapsed="false">
      <c r="A388" s="1" t="n">
        <v>31</v>
      </c>
      <c r="B388" s="31" t="n">
        <v>39630</v>
      </c>
      <c r="C388" s="9" t="n">
        <v>2715000</v>
      </c>
      <c r="D388" s="58" t="s">
        <v>41</v>
      </c>
      <c r="E388" s="33" t="n">
        <f aca="false">IF(D388="totale",(C388/(A388*24))/F388,IF(D388="marché libre",(C388/(A388*24))/G388,"spécifier histo"))</f>
        <v>0.927368119031028</v>
      </c>
      <c r="F388" s="59" t="n">
        <v>3935</v>
      </c>
      <c r="G388" s="59" t="n">
        <f aca="false">F388-H388</f>
        <v>3935</v>
      </c>
      <c r="H388" s="9" t="n">
        <v>0</v>
      </c>
      <c r="J388" s="183"/>
      <c r="L388" s="0"/>
      <c r="Q388" s="0"/>
      <c r="W388" s="0"/>
      <c r="AA388" s="0"/>
    </row>
    <row r="389" customFormat="false" ht="19.85" hidden="false" customHeight="true" outlineLevel="0" collapsed="false">
      <c r="A389" s="1" t="n">
        <v>31</v>
      </c>
      <c r="B389" s="34" t="n">
        <v>39661</v>
      </c>
      <c r="C389" s="9" t="n">
        <v>1473000</v>
      </c>
      <c r="D389" s="58" t="s">
        <v>41</v>
      </c>
      <c r="E389" s="33" t="n">
        <f aca="false">IF(D389="totale",(C389/(A389*24))/F389,IF(D389="marché libre",(C389/(A389*24))/G389,"spécifier histo"))</f>
        <v>0.503135631430094</v>
      </c>
      <c r="F389" s="59" t="n">
        <v>3935</v>
      </c>
      <c r="G389" s="59" t="n">
        <f aca="false">F389-H389</f>
        <v>3935</v>
      </c>
      <c r="H389" s="9" t="n">
        <v>0</v>
      </c>
      <c r="J389" s="183"/>
      <c r="L389" s="0"/>
      <c r="Q389" s="0"/>
      <c r="W389" s="0"/>
      <c r="AA389" s="0"/>
    </row>
    <row r="390" customFormat="false" ht="19.85" hidden="false" customHeight="true" outlineLevel="0" collapsed="false">
      <c r="A390" s="1" t="n">
        <v>30</v>
      </c>
      <c r="B390" s="31" t="n">
        <v>39692</v>
      </c>
      <c r="C390" s="9" t="n">
        <v>1603000</v>
      </c>
      <c r="D390" s="58" t="s">
        <v>41</v>
      </c>
      <c r="E390" s="33" t="n">
        <f aca="false">IF(D390="totale",(C390/(A390*24))/F390,IF(D390="marché libre",(C390/(A390*24))/G390,"spécifier histo"))</f>
        <v>0.56579133135677</v>
      </c>
      <c r="F390" s="59" t="n">
        <v>3935</v>
      </c>
      <c r="G390" s="59" t="n">
        <f aca="false">F390-H390</f>
        <v>3935</v>
      </c>
      <c r="H390" s="9" t="n">
        <v>0</v>
      </c>
      <c r="J390" s="183"/>
      <c r="L390" s="0"/>
      <c r="Q390" s="0"/>
      <c r="W390" s="0"/>
      <c r="AA390" s="0"/>
    </row>
    <row r="391" customFormat="false" ht="19.85" hidden="false" customHeight="true" outlineLevel="0" collapsed="false">
      <c r="A391" s="1" t="n">
        <v>31</v>
      </c>
      <c r="B391" s="34" t="n">
        <v>39722</v>
      </c>
      <c r="C391" s="9" t="n">
        <v>1055000</v>
      </c>
      <c r="D391" s="58" t="s">
        <v>41</v>
      </c>
      <c r="E391" s="33" t="n">
        <f aca="false">IF(D391="totale",(C391/(A391*24))/F391,IF(D391="marché libre",(C391/(A391*24))/G391,"spécifier histo"))</f>
        <v>0.360358514024948</v>
      </c>
      <c r="F391" s="59" t="n">
        <v>3935</v>
      </c>
      <c r="G391" s="59" t="n">
        <f aca="false">F391-H391</f>
        <v>3935</v>
      </c>
      <c r="H391" s="9" t="n">
        <v>0</v>
      </c>
      <c r="J391" s="183"/>
      <c r="L391" s="0"/>
      <c r="Q391" s="0"/>
      <c r="W391" s="0"/>
      <c r="AA391" s="0"/>
    </row>
    <row r="392" customFormat="false" ht="19.85" hidden="false" customHeight="true" outlineLevel="0" collapsed="false">
      <c r="A392" s="1" t="n">
        <v>30</v>
      </c>
      <c r="B392" s="31" t="n">
        <v>39753</v>
      </c>
      <c r="C392" s="9" t="n">
        <v>826000</v>
      </c>
      <c r="D392" s="58" t="s">
        <v>41</v>
      </c>
      <c r="E392" s="33" t="n">
        <f aca="false">IF(D392="totale",(C392/(A392*24))/F392,IF(D392="marché libre",(C392/(A392*24))/G392,"spécifier histo"))</f>
        <v>0.29154313144148</v>
      </c>
      <c r="F392" s="59" t="n">
        <v>3935</v>
      </c>
      <c r="G392" s="59" t="n">
        <f aca="false">F392-H392</f>
        <v>3935</v>
      </c>
      <c r="H392" s="9" t="n">
        <v>0</v>
      </c>
      <c r="J392" s="183"/>
      <c r="L392" s="0"/>
      <c r="Q392" s="0"/>
      <c r="W392" s="0"/>
      <c r="AA392" s="0"/>
    </row>
    <row r="393" customFormat="false" ht="19.85" hidden="false" customHeight="true" outlineLevel="0" collapsed="false">
      <c r="A393" s="1" t="n">
        <v>31</v>
      </c>
      <c r="B393" s="34" t="n">
        <v>39783</v>
      </c>
      <c r="C393" s="9" t="n">
        <v>461000</v>
      </c>
      <c r="D393" s="58" t="s">
        <v>41</v>
      </c>
      <c r="E393" s="33" t="n">
        <f aca="false">IF(D393="totale",(C393/(A393*24))/F393,IF(D393="marché libre",(C393/(A393*24))/G393,"spécifier histo"))</f>
        <v>0.15746471560711</v>
      </c>
      <c r="F393" s="59" t="n">
        <v>3935</v>
      </c>
      <c r="G393" s="59" t="n">
        <f aca="false">F393-H393</f>
        <v>3935</v>
      </c>
      <c r="H393" s="9" t="n">
        <v>0</v>
      </c>
      <c r="J393" s="183"/>
      <c r="L393" s="0"/>
      <c r="Q393" s="0"/>
      <c r="W393" s="0"/>
      <c r="AA393" s="0"/>
    </row>
    <row r="394" customFormat="false" ht="19.85" hidden="false" customHeight="true" outlineLevel="0" collapsed="false">
      <c r="A394" s="1" t="n">
        <v>31</v>
      </c>
      <c r="B394" s="31" t="n">
        <v>39814</v>
      </c>
      <c r="C394" s="9" t="n">
        <v>362000</v>
      </c>
      <c r="D394" s="58" t="s">
        <v>41</v>
      </c>
      <c r="E394" s="33" t="n">
        <f aca="false">IF(D394="totale",(C394/(A394*24))/F394,IF(D394="marché libre",(C394/(A394*24))/G394,"spécifier histo"))</f>
        <v>0.12364908253747</v>
      </c>
      <c r="F394" s="59" t="n">
        <v>3935</v>
      </c>
      <c r="G394" s="59" t="n">
        <f aca="false">F394-H394</f>
        <v>3935</v>
      </c>
      <c r="H394" s="9" t="n">
        <v>0</v>
      </c>
      <c r="J394" s="183"/>
      <c r="L394" s="0"/>
      <c r="Q394" s="0"/>
      <c r="W394" s="0"/>
      <c r="AA394" s="0"/>
    </row>
    <row r="395" customFormat="false" ht="19.85" hidden="false" customHeight="true" outlineLevel="0" collapsed="false">
      <c r="A395" s="1" t="n">
        <v>28</v>
      </c>
      <c r="B395" s="34" t="n">
        <v>39845</v>
      </c>
      <c r="C395" s="9" t="n">
        <v>249000</v>
      </c>
      <c r="D395" s="58" t="s">
        <v>41</v>
      </c>
      <c r="E395" s="33" t="n">
        <f aca="false">IF(D395="totale",(C395/(A395*24))/F395,IF(D395="marché libre",(C395/(A395*24))/G395,"spécifier histo"))</f>
        <v>0.0941640951170811</v>
      </c>
      <c r="F395" s="59" t="n">
        <v>3935</v>
      </c>
      <c r="G395" s="59" t="n">
        <f aca="false">F395-H395</f>
        <v>3935</v>
      </c>
      <c r="H395" s="9" t="n">
        <v>0</v>
      </c>
      <c r="J395" s="183"/>
      <c r="L395" s="0"/>
      <c r="Q395" s="0"/>
      <c r="W395" s="0"/>
      <c r="AA395" s="0"/>
    </row>
    <row r="396" customFormat="false" ht="19.85" hidden="false" customHeight="true" outlineLevel="0" collapsed="false">
      <c r="A396" s="1" t="n">
        <v>31</v>
      </c>
      <c r="B396" s="31" t="n">
        <v>39873</v>
      </c>
      <c r="C396" s="9" t="n">
        <v>316000</v>
      </c>
      <c r="D396" s="58" t="s">
        <v>41</v>
      </c>
      <c r="E396" s="33" t="n">
        <f aca="false">IF(D396="totale",(C396/(A396*24))/F396,IF(D396="marché libre",(C396/(A396*24))/G396,"spécifier histo"))</f>
        <v>0.10793676818188</v>
      </c>
      <c r="F396" s="59" t="n">
        <v>3935</v>
      </c>
      <c r="G396" s="59" t="n">
        <f aca="false">F396-H396</f>
        <v>3935</v>
      </c>
      <c r="H396" s="9" t="n">
        <v>0</v>
      </c>
      <c r="J396" s="183"/>
      <c r="L396" s="0"/>
      <c r="Q396" s="0"/>
      <c r="W396" s="0"/>
      <c r="AA396" s="0"/>
    </row>
    <row r="397" customFormat="false" ht="19.85" hidden="false" customHeight="true" outlineLevel="0" collapsed="false">
      <c r="A397" s="1" t="n">
        <v>30</v>
      </c>
      <c r="B397" s="34" t="n">
        <v>39904</v>
      </c>
      <c r="C397" s="9" t="n">
        <v>1114000</v>
      </c>
      <c r="D397" s="58" t="s">
        <v>41</v>
      </c>
      <c r="E397" s="33" t="n">
        <f aca="false">IF(D397="totale",(C397/(A397*24))/F397,IF(D397="marché libre",(C397/(A397*24))/G397,"spécifier histo"))</f>
        <v>0.393194973881124</v>
      </c>
      <c r="F397" s="59" t="n">
        <v>3935</v>
      </c>
      <c r="G397" s="59" t="n">
        <f aca="false">F397-H397</f>
        <v>3935</v>
      </c>
      <c r="H397" s="9" t="n">
        <v>0</v>
      </c>
      <c r="J397" s="183"/>
      <c r="L397" s="0"/>
      <c r="Q397" s="0"/>
      <c r="W397" s="0"/>
      <c r="AA397" s="0"/>
    </row>
    <row r="398" customFormat="false" ht="19.85" hidden="false" customHeight="true" outlineLevel="0" collapsed="false">
      <c r="A398" s="1" t="n">
        <v>31</v>
      </c>
      <c r="B398" s="31" t="n">
        <v>39934</v>
      </c>
      <c r="C398" s="9" t="n">
        <v>2232000</v>
      </c>
      <c r="D398" s="58" t="s">
        <v>41</v>
      </c>
      <c r="E398" s="33" t="n">
        <f aca="false">IF(D398="totale",(C398/(A398*24))/F398,IF(D398="marché libre",(C398/(A398*24))/G398,"spécifier histo"))</f>
        <v>0.762388818297332</v>
      </c>
      <c r="F398" s="59" t="n">
        <v>3935</v>
      </c>
      <c r="G398" s="59" t="n">
        <f aca="false">F398-H398</f>
        <v>3935</v>
      </c>
      <c r="H398" s="9" t="n">
        <v>0</v>
      </c>
      <c r="J398" s="183"/>
      <c r="L398" s="0"/>
      <c r="Q398" s="0"/>
      <c r="W398" s="0"/>
      <c r="AA398" s="0"/>
    </row>
    <row r="399" customFormat="false" ht="19.85" hidden="false" customHeight="true" outlineLevel="0" collapsed="false">
      <c r="A399" s="1" t="n">
        <v>30</v>
      </c>
      <c r="B399" s="34" t="n">
        <v>39965</v>
      </c>
      <c r="C399" s="9" t="n">
        <v>1910000</v>
      </c>
      <c r="D399" s="58" t="s">
        <v>41</v>
      </c>
      <c r="E399" s="33" t="n">
        <f aca="false">IF(D399="totale",(C399/(A399*24))/F399,IF(D399="marché libre",(C399/(A399*24))/G399,"spécifier histo"))</f>
        <v>0.67414937173514</v>
      </c>
      <c r="F399" s="59" t="n">
        <v>3935</v>
      </c>
      <c r="G399" s="59" t="n">
        <f aca="false">F399-H399</f>
        <v>3935</v>
      </c>
      <c r="H399" s="9" t="n">
        <v>0</v>
      </c>
      <c r="J399" s="183"/>
      <c r="L399" s="0"/>
      <c r="Q399" s="0"/>
      <c r="W399" s="0"/>
      <c r="AA399" s="0"/>
    </row>
    <row r="400" customFormat="false" ht="19.85" hidden="false" customHeight="true" outlineLevel="0" collapsed="false">
      <c r="A400" s="1" t="n">
        <v>31</v>
      </c>
      <c r="B400" s="31" t="n">
        <v>39995</v>
      </c>
      <c r="C400" s="9" t="n">
        <v>1486000</v>
      </c>
      <c r="D400" s="58" t="s">
        <v>41</v>
      </c>
      <c r="E400" s="33" t="n">
        <f aca="false">IF(D400="totale",(C400/(A400*24))/F400,IF(D400="marché libre",(C400/(A400*24))/G400,"spécifier histo"))</f>
        <v>0.507576068095804</v>
      </c>
      <c r="F400" s="59" t="n">
        <v>3935</v>
      </c>
      <c r="G400" s="59" t="n">
        <f aca="false">F400-H400</f>
        <v>3935</v>
      </c>
      <c r="H400" s="9" t="n">
        <v>0</v>
      </c>
      <c r="J400" s="183"/>
      <c r="L400" s="0"/>
      <c r="Q400" s="0"/>
      <c r="W400" s="0"/>
      <c r="AA400" s="0"/>
    </row>
    <row r="401" customFormat="false" ht="19.85" hidden="false" customHeight="true" outlineLevel="0" collapsed="false">
      <c r="A401" s="1" t="n">
        <v>31</v>
      </c>
      <c r="B401" s="34" t="n">
        <v>40026</v>
      </c>
      <c r="C401" s="9" t="n">
        <v>877000</v>
      </c>
      <c r="D401" s="58" t="s">
        <v>41</v>
      </c>
      <c r="E401" s="33" t="n">
        <f aca="false">IF(D401="totale",(C401/(A401*24))/F401,IF(D401="marché libre",(C401/(A401*24))/G401,"spécifier histo"))</f>
        <v>0.299558688909839</v>
      </c>
      <c r="F401" s="59" t="n">
        <v>3935</v>
      </c>
      <c r="G401" s="59" t="n">
        <f aca="false">F401-H401</f>
        <v>3935</v>
      </c>
      <c r="H401" s="9" t="n">
        <v>0</v>
      </c>
      <c r="J401" s="183"/>
      <c r="L401" s="0"/>
      <c r="Q401" s="0"/>
      <c r="W401" s="0"/>
      <c r="AA401" s="0"/>
    </row>
    <row r="402" customFormat="false" ht="19.85" hidden="false" customHeight="true" outlineLevel="0" collapsed="false">
      <c r="A402" s="1" t="n">
        <v>30</v>
      </c>
      <c r="B402" s="31" t="n">
        <v>40057</v>
      </c>
      <c r="C402" s="9" t="n">
        <v>558000</v>
      </c>
      <c r="D402" s="58" t="s">
        <v>41</v>
      </c>
      <c r="E402" s="33" t="n">
        <f aca="false">IF(D402="totale",(C402/(A402*24))/F402,IF(D402="marché libre",(C402/(A402*24))/G402,"spécifier histo"))</f>
        <v>0.196950444726811</v>
      </c>
      <c r="F402" s="59" t="n">
        <v>3935</v>
      </c>
      <c r="G402" s="59" t="n">
        <f aca="false">F402-H402</f>
        <v>3935</v>
      </c>
      <c r="H402" s="9" t="n">
        <v>0</v>
      </c>
      <c r="J402" s="183"/>
      <c r="L402" s="0"/>
      <c r="Q402" s="0"/>
      <c r="W402" s="0"/>
      <c r="AA402" s="0"/>
    </row>
    <row r="403" customFormat="false" ht="19.85" hidden="false" customHeight="true" outlineLevel="0" collapsed="false">
      <c r="A403" s="1" t="n">
        <v>31</v>
      </c>
      <c r="B403" s="34" t="n">
        <v>40087</v>
      </c>
      <c r="C403" s="9" t="n">
        <v>376000</v>
      </c>
      <c r="D403" s="58" t="s">
        <v>41</v>
      </c>
      <c r="E403" s="33" t="n">
        <f aca="false">IF(D403="totale",(C403/(A403*24))/F403,IF(D403="marché libre",(C403/(A403*24))/G403,"spécifier histo"))</f>
        <v>0.128431091254389</v>
      </c>
      <c r="F403" s="59" t="n">
        <v>3935</v>
      </c>
      <c r="G403" s="59" t="n">
        <f aca="false">F403-H403</f>
        <v>3935</v>
      </c>
      <c r="H403" s="9" t="n">
        <v>0</v>
      </c>
      <c r="J403" s="183"/>
      <c r="L403" s="0"/>
      <c r="Q403" s="0"/>
      <c r="W403" s="0"/>
      <c r="AA403" s="0"/>
    </row>
    <row r="404" customFormat="false" ht="19.85" hidden="false" customHeight="true" outlineLevel="0" collapsed="false">
      <c r="A404" s="1" t="n">
        <v>30</v>
      </c>
      <c r="B404" s="31" t="n">
        <v>40118</v>
      </c>
      <c r="C404" s="9" t="n">
        <v>715000</v>
      </c>
      <c r="D404" s="58" t="s">
        <v>41</v>
      </c>
      <c r="E404" s="33" t="n">
        <f aca="false">IF(D404="totale",(C404/(A404*24))/F404,IF(D404="marché libre",(C404/(A404*24))/G404,"spécifier histo"))</f>
        <v>0.252364817167867</v>
      </c>
      <c r="F404" s="59" t="n">
        <v>3935</v>
      </c>
      <c r="G404" s="59" t="n">
        <f aca="false">F404-H404</f>
        <v>3935</v>
      </c>
      <c r="H404" s="9" t="n">
        <v>0</v>
      </c>
      <c r="J404" s="183"/>
      <c r="L404" s="0"/>
      <c r="Q404" s="0"/>
      <c r="W404" s="0"/>
      <c r="AA404" s="0"/>
    </row>
    <row r="405" customFormat="false" ht="19.85" hidden="false" customHeight="true" outlineLevel="0" collapsed="false">
      <c r="A405" s="1" t="n">
        <v>31</v>
      </c>
      <c r="B405" s="34" t="n">
        <v>40148</v>
      </c>
      <c r="C405" s="9" t="n">
        <v>665000</v>
      </c>
      <c r="D405" s="58" t="s">
        <v>41</v>
      </c>
      <c r="E405" s="33" t="n">
        <f aca="false">IF(D405="totale",(C405/(A405*24))/F405,IF(D405="marché libre",(C405/(A405*24))/G405,"spécifier histo"))</f>
        <v>0.22714541405364</v>
      </c>
      <c r="F405" s="59" t="n">
        <v>3935</v>
      </c>
      <c r="G405" s="59" t="n">
        <f aca="false">F405-H405</f>
        <v>3935</v>
      </c>
      <c r="H405" s="9" t="n">
        <v>0</v>
      </c>
      <c r="J405" s="183"/>
      <c r="L405" s="0"/>
      <c r="Q405" s="0"/>
      <c r="W405" s="0"/>
      <c r="AA405" s="0"/>
    </row>
    <row r="406" customFormat="false" ht="19.85" hidden="false" customHeight="true" outlineLevel="0" collapsed="false">
      <c r="A406" s="1" t="n">
        <v>31</v>
      </c>
      <c r="B406" s="31" t="n">
        <v>40179</v>
      </c>
      <c r="C406" s="9" t="n">
        <v>327000</v>
      </c>
      <c r="D406" s="58" t="s">
        <v>41</v>
      </c>
      <c r="E406" s="33" t="n">
        <f aca="false">IF(D406="totale",(C406/(A406*24))/F406,IF(D406="marché libre",(C406/(A406*24))/G406,"spécifier histo"))</f>
        <v>0.111694060745174</v>
      </c>
      <c r="F406" s="59" t="n">
        <v>3935</v>
      </c>
      <c r="G406" s="59" t="n">
        <f aca="false">F406-H406</f>
        <v>3935</v>
      </c>
      <c r="H406" s="9" t="n">
        <v>0</v>
      </c>
      <c r="J406" s="183"/>
      <c r="L406" s="0"/>
      <c r="Q406" s="0"/>
      <c r="W406" s="0"/>
      <c r="AA406" s="0"/>
    </row>
    <row r="407" customFormat="false" ht="19.85" hidden="false" customHeight="true" outlineLevel="0" collapsed="false">
      <c r="A407" s="1" t="n">
        <v>28</v>
      </c>
      <c r="B407" s="34" t="n">
        <v>40210</v>
      </c>
      <c r="C407" s="9" t="n">
        <v>242000</v>
      </c>
      <c r="D407" s="58" t="s">
        <v>41</v>
      </c>
      <c r="E407" s="33" t="n">
        <f aca="false">IF(D407="totale",(C407/(A407*24))/F407,IF(D407="marché libre",(C407/(A407*24))/G407,"spécifier histo"))</f>
        <v>0.0915169117202154</v>
      </c>
      <c r="F407" s="59" t="n">
        <v>3935</v>
      </c>
      <c r="G407" s="59" t="n">
        <f aca="false">F407-H407</f>
        <v>3935</v>
      </c>
      <c r="H407" s="9" t="n">
        <v>0</v>
      </c>
      <c r="J407" s="183"/>
      <c r="L407" s="0"/>
      <c r="Q407" s="0"/>
      <c r="W407" s="0"/>
      <c r="AA407" s="0"/>
    </row>
    <row r="408" customFormat="false" ht="19.85" hidden="false" customHeight="true" outlineLevel="0" collapsed="false">
      <c r="A408" s="1" t="n">
        <v>31</v>
      </c>
      <c r="B408" s="31" t="n">
        <v>40238</v>
      </c>
      <c r="C408" s="9" t="n">
        <v>561000</v>
      </c>
      <c r="D408" s="58" t="s">
        <v>41</v>
      </c>
      <c r="E408" s="33" t="n">
        <f aca="false">IF(D408="totale",(C408/(A408*24))/F408,IF(D408="marché libre",(C408/(A408*24))/G408,"spécifier histo"))</f>
        <v>0.191621920727958</v>
      </c>
      <c r="F408" s="59" t="n">
        <v>3935</v>
      </c>
      <c r="G408" s="59" t="n">
        <f aca="false">F408-H408</f>
        <v>3935</v>
      </c>
      <c r="H408" s="9" t="n">
        <v>0</v>
      </c>
      <c r="J408" s="183"/>
      <c r="L408" s="0"/>
      <c r="Q408" s="0"/>
      <c r="W408" s="0"/>
      <c r="AA408" s="0"/>
    </row>
    <row r="409" customFormat="false" ht="19.85" hidden="false" customHeight="true" outlineLevel="0" collapsed="false">
      <c r="A409" s="1" t="n">
        <v>30</v>
      </c>
      <c r="B409" s="34" t="n">
        <v>40269</v>
      </c>
      <c r="C409" s="9" t="n">
        <v>1046000</v>
      </c>
      <c r="D409" s="58" t="s">
        <v>41</v>
      </c>
      <c r="E409" s="33" t="n">
        <f aca="false">IF(D409="totale",(C409/(A409*24))/F409,IF(D409="marché libre",(C409/(A409*24))/G409,"spécifier histo"))</f>
        <v>0.369193844416208</v>
      </c>
      <c r="F409" s="59" t="n">
        <v>3935</v>
      </c>
      <c r="G409" s="59" t="n">
        <f aca="false">F409-H409</f>
        <v>3935</v>
      </c>
      <c r="H409" s="9" t="n">
        <v>0</v>
      </c>
      <c r="J409" s="183"/>
      <c r="L409" s="0"/>
      <c r="Q409" s="0"/>
      <c r="W409" s="0"/>
    </row>
    <row r="410" customFormat="false" ht="19.85" hidden="false" customHeight="true" outlineLevel="0" collapsed="false">
      <c r="A410" s="1" t="n">
        <v>31</v>
      </c>
      <c r="B410" s="31" t="n">
        <v>40299</v>
      </c>
      <c r="C410" s="9" t="n">
        <v>2075000</v>
      </c>
      <c r="D410" s="58" t="s">
        <v>41</v>
      </c>
      <c r="E410" s="33" t="n">
        <f aca="false">IF(D410="totale",(C410/(A410*24))/F410,IF(D410="marché libre",(C410/(A410*24))/G410,"spécifier histo"))</f>
        <v>0.7087620062576</v>
      </c>
      <c r="F410" s="59" t="n">
        <v>3935</v>
      </c>
      <c r="G410" s="59" t="n">
        <f aca="false">F410-H410</f>
        <v>3935</v>
      </c>
      <c r="H410" s="9" t="n">
        <v>0</v>
      </c>
      <c r="J410" s="183"/>
      <c r="L410" s="0"/>
      <c r="Q410" s="0"/>
      <c r="W410" s="0"/>
    </row>
    <row r="411" customFormat="false" ht="19.85" hidden="false" customHeight="true" outlineLevel="0" collapsed="false">
      <c r="A411" s="1" t="n">
        <v>30</v>
      </c>
      <c r="B411" s="34" t="n">
        <v>40330</v>
      </c>
      <c r="C411" s="9" t="n">
        <v>2929000</v>
      </c>
      <c r="D411" s="58" t="s">
        <v>41</v>
      </c>
      <c r="E411" s="33" t="n">
        <f aca="false">IF(D411="totale",(C411/(A411*24))/F411,IF(D411="marché libre",(C411/(A411*24))/G411,"spécifier histo"))</f>
        <v>1.03381335592263</v>
      </c>
      <c r="F411" s="59" t="n">
        <v>3935</v>
      </c>
      <c r="G411" s="59" t="n">
        <f aca="false">F411-H411</f>
        <v>3935</v>
      </c>
      <c r="H411" s="9" t="n">
        <v>0</v>
      </c>
      <c r="J411" s="183"/>
      <c r="L411" s="0"/>
      <c r="Q411" s="0"/>
      <c r="W411" s="0"/>
    </row>
    <row r="412" customFormat="false" ht="19.85" hidden="false" customHeight="true" outlineLevel="0" collapsed="false">
      <c r="A412" s="1" t="n">
        <v>31</v>
      </c>
      <c r="B412" s="31" t="n">
        <v>40360</v>
      </c>
      <c r="C412" s="9" t="n">
        <v>2059000</v>
      </c>
      <c r="D412" s="58" t="s">
        <v>41</v>
      </c>
      <c r="E412" s="33" t="n">
        <f aca="false">IF(D412="totale",(C412/(A412*24))/F412,IF(D412="marché libre",(C412/(A412*24))/G412,"spécifier histo"))</f>
        <v>0.703296853438264</v>
      </c>
      <c r="F412" s="59" t="n">
        <v>3935</v>
      </c>
      <c r="G412" s="59" t="n">
        <f aca="false">F412-H412</f>
        <v>3935</v>
      </c>
      <c r="H412" s="9" t="n">
        <v>0</v>
      </c>
      <c r="J412" s="183"/>
      <c r="L412" s="0"/>
      <c r="Q412" s="0"/>
      <c r="W412" s="0"/>
    </row>
    <row r="413" customFormat="false" ht="19.85" hidden="false" customHeight="true" outlineLevel="0" collapsed="false">
      <c r="A413" s="1" t="n">
        <v>31</v>
      </c>
      <c r="B413" s="34" t="n">
        <v>40391</v>
      </c>
      <c r="C413" s="9" t="n">
        <v>1495000</v>
      </c>
      <c r="D413" s="58" t="s">
        <v>41</v>
      </c>
      <c r="E413" s="33" t="n">
        <f aca="false">IF(D413="totale",(C413/(A413*24))/F413,IF(D413="marché libre",(C413/(A413*24))/G413,"spécifier histo"))</f>
        <v>0.51065021655668</v>
      </c>
      <c r="F413" s="59" t="n">
        <v>3935</v>
      </c>
      <c r="G413" s="59" t="n">
        <f aca="false">F413-H413</f>
        <v>3935</v>
      </c>
      <c r="H413" s="9" t="n">
        <v>0</v>
      </c>
      <c r="J413" s="183"/>
      <c r="L413" s="0"/>
      <c r="Q413" s="0"/>
      <c r="W413" s="0"/>
    </row>
    <row r="414" customFormat="false" ht="19.85" hidden="false" customHeight="true" outlineLevel="0" collapsed="false">
      <c r="A414" s="1" t="n">
        <v>30</v>
      </c>
      <c r="B414" s="31" t="n">
        <v>40422</v>
      </c>
      <c r="C414" s="9" t="n">
        <v>982000</v>
      </c>
      <c r="D414" s="58" t="s">
        <v>41</v>
      </c>
      <c r="E414" s="33" t="n">
        <f aca="false">IF(D414="totale",(C414/(A414*24))/F414,IF(D414="marché libre",(C414/(A414*24))/G414,"spécifier histo"))</f>
        <v>0.346604546096287</v>
      </c>
      <c r="F414" s="59" t="n">
        <v>3935</v>
      </c>
      <c r="G414" s="59" t="n">
        <f aca="false">F414-H414</f>
        <v>3935</v>
      </c>
      <c r="H414" s="9" t="n">
        <v>0</v>
      </c>
      <c r="J414" s="183"/>
      <c r="L414" s="0"/>
      <c r="Q414" s="0"/>
      <c r="W414" s="0"/>
    </row>
    <row r="415" customFormat="false" ht="19.85" hidden="false" customHeight="true" outlineLevel="0" collapsed="false">
      <c r="A415" s="1" t="n">
        <v>31</v>
      </c>
      <c r="B415" s="34" t="n">
        <v>40452</v>
      </c>
      <c r="C415" s="9" t="n">
        <v>1046000</v>
      </c>
      <c r="D415" s="58" t="s">
        <v>41</v>
      </c>
      <c r="E415" s="33" t="n">
        <f aca="false">IF(D415="totale",(C415/(A415*24))/F415,IF(D415="marché libre",(C415/(A415*24))/G415,"spécifier histo"))</f>
        <v>0.357284365564072</v>
      </c>
      <c r="F415" s="59" t="n">
        <v>3935</v>
      </c>
      <c r="G415" s="59" t="n">
        <f aca="false">F415-H415</f>
        <v>3935</v>
      </c>
      <c r="H415" s="9" t="n">
        <v>0</v>
      </c>
      <c r="J415" s="183"/>
      <c r="L415" s="0"/>
      <c r="Q415" s="0"/>
      <c r="W415" s="0"/>
    </row>
    <row r="416" customFormat="false" ht="19.85" hidden="false" customHeight="true" outlineLevel="0" collapsed="false">
      <c r="A416" s="1" t="n">
        <v>30</v>
      </c>
      <c r="B416" s="31" t="n">
        <v>40483</v>
      </c>
      <c r="C416" s="9" t="n">
        <v>780000</v>
      </c>
      <c r="D416" s="58" t="s">
        <v>41</v>
      </c>
      <c r="E416" s="33" t="n">
        <f aca="false">IF(D416="totale",(C416/(A416*24))/F416,IF(D416="marché libre",(C416/(A416*24))/G416,"spécifier histo"))</f>
        <v>0.275307073274036</v>
      </c>
      <c r="F416" s="59" t="n">
        <v>3935</v>
      </c>
      <c r="G416" s="59" t="n">
        <f aca="false">F416-H416</f>
        <v>3935</v>
      </c>
      <c r="H416" s="9" t="n">
        <v>0</v>
      </c>
      <c r="J416" s="183"/>
      <c r="L416" s="0"/>
      <c r="Q416" s="0"/>
      <c r="W416" s="0"/>
    </row>
    <row r="417" customFormat="false" ht="19.85" hidden="false" customHeight="true" outlineLevel="0" collapsed="false">
      <c r="A417" s="1" t="n">
        <v>31</v>
      </c>
      <c r="B417" s="34" t="n">
        <v>40513</v>
      </c>
      <c r="C417" s="9" t="n">
        <v>734000</v>
      </c>
      <c r="D417" s="58" t="s">
        <v>41</v>
      </c>
      <c r="E417" s="33" t="n">
        <f aca="false">IF(D417="totale",(C417/(A417*24))/F417,IF(D417="marché libre",(C417/(A417*24))/G417,"spécifier histo"))</f>
        <v>0.250713885587026</v>
      </c>
      <c r="F417" s="59" t="n">
        <v>3935</v>
      </c>
      <c r="G417" s="59" t="n">
        <f aca="false">F417-H417</f>
        <v>3935</v>
      </c>
      <c r="H417" s="9" t="n">
        <v>0</v>
      </c>
      <c r="J417" s="183"/>
      <c r="L417" s="0"/>
      <c r="Q417" s="0"/>
      <c r="W417" s="0"/>
    </row>
    <row r="418" customFormat="false" ht="19.85" hidden="false" customHeight="true" outlineLevel="0" collapsed="false">
      <c r="A418" s="1" t="n">
        <v>31</v>
      </c>
      <c r="B418" s="31" t="n">
        <v>40544</v>
      </c>
      <c r="C418" s="9" t="n">
        <v>509000</v>
      </c>
      <c r="D418" s="58" t="s">
        <v>41</v>
      </c>
      <c r="E418" s="33" t="n">
        <f aca="false">IF(D418="totale",(C418/(A418*24))/F418,IF(D418="marché libre",(C418/(A418*24))/G418,"spécifier histo"))</f>
        <v>0.173860174065117</v>
      </c>
      <c r="F418" s="59" t="n">
        <v>3935</v>
      </c>
      <c r="G418" s="59" t="n">
        <f aca="false">F418-H418</f>
        <v>3935</v>
      </c>
      <c r="H418" s="9" t="n">
        <v>0</v>
      </c>
      <c r="J418" s="183"/>
      <c r="L418" s="0"/>
      <c r="Q418" s="0"/>
      <c r="W418" s="0"/>
    </row>
    <row r="419" customFormat="false" ht="19.85" hidden="false" customHeight="true" outlineLevel="0" collapsed="false">
      <c r="A419" s="1" t="n">
        <v>28</v>
      </c>
      <c r="B419" s="34" t="n">
        <v>40575</v>
      </c>
      <c r="C419" s="9" t="n">
        <v>326000</v>
      </c>
      <c r="D419" s="58" t="s">
        <v>41</v>
      </c>
      <c r="E419" s="33" t="n">
        <f aca="false">IF(D419="totale",(C419/(A419*24))/F419,IF(D419="marché libre",(C419/(A419*24))/G419,"spécifier histo"))</f>
        <v>0.123283112482604</v>
      </c>
      <c r="F419" s="59" t="n">
        <v>3935</v>
      </c>
      <c r="G419" s="59" t="n">
        <f aca="false">F419-H419</f>
        <v>3935</v>
      </c>
      <c r="H419" s="9" t="n">
        <v>0</v>
      </c>
      <c r="J419" s="183"/>
      <c r="L419" s="0"/>
      <c r="Q419" s="0"/>
      <c r="W419" s="0"/>
    </row>
    <row r="420" customFormat="false" ht="19.85" hidden="false" customHeight="true" outlineLevel="0" collapsed="false">
      <c r="A420" s="1" t="n">
        <v>31</v>
      </c>
      <c r="B420" s="31" t="n">
        <v>40603</v>
      </c>
      <c r="C420" s="9" t="n">
        <v>519000</v>
      </c>
      <c r="D420" s="58" t="s">
        <v>41</v>
      </c>
      <c r="E420" s="33" t="n">
        <f aca="false">IF(D420="totale",(C420/(A420*24))/F420,IF(D420="marché libre",(C420/(A420*24))/G420,"spécifier histo"))</f>
        <v>0.177275894577202</v>
      </c>
      <c r="F420" s="59" t="n">
        <v>3935</v>
      </c>
      <c r="G420" s="59" t="n">
        <f aca="false">F420-H420</f>
        <v>3935</v>
      </c>
      <c r="H420" s="9" t="n">
        <v>0</v>
      </c>
      <c r="J420" s="183"/>
      <c r="L420" s="0"/>
      <c r="Q420" s="0"/>
      <c r="W420" s="0"/>
    </row>
    <row r="421" customFormat="false" ht="19.85" hidden="false" customHeight="true" outlineLevel="0" collapsed="false">
      <c r="A421" s="1" t="n">
        <v>30</v>
      </c>
      <c r="B421" s="34" t="n">
        <v>40634</v>
      </c>
      <c r="C421" s="9" t="n">
        <v>1179000</v>
      </c>
      <c r="D421" s="58" t="s">
        <v>41</v>
      </c>
      <c r="E421" s="33" t="n">
        <f aca="false">IF(D421="totale",(C421/(A421*24))/F421,IF(D421="marché libre",(C421/(A421*24))/G421,"spécifier histo"))</f>
        <v>0.416137229987293</v>
      </c>
      <c r="F421" s="59" t="n">
        <v>3935</v>
      </c>
      <c r="G421" s="59" t="n">
        <f aca="false">F421-H421</f>
        <v>3935</v>
      </c>
      <c r="H421" s="9" t="n">
        <v>0</v>
      </c>
      <c r="J421" s="183"/>
      <c r="L421" s="0"/>
      <c r="W421" s="0"/>
    </row>
    <row r="422" customFormat="false" ht="19.85" hidden="false" customHeight="true" outlineLevel="0" collapsed="false">
      <c r="A422" s="1" t="n">
        <v>31</v>
      </c>
      <c r="B422" s="31" t="n">
        <v>40664</v>
      </c>
      <c r="C422" s="9" t="n">
        <v>1578000</v>
      </c>
      <c r="D422" s="58" t="s">
        <v>41</v>
      </c>
      <c r="E422" s="33" t="n">
        <f aca="false">IF(D422="totale",(C422/(A422*24))/F422,IF(D422="marché libre",(C422/(A422*24))/G422,"spécifier histo"))</f>
        <v>0.539000696806984</v>
      </c>
      <c r="F422" s="59" t="n">
        <v>3935</v>
      </c>
      <c r="G422" s="59" t="n">
        <f aca="false">F422-H422</f>
        <v>3935</v>
      </c>
      <c r="H422" s="9" t="n">
        <v>0</v>
      </c>
      <c r="J422" s="183"/>
      <c r="L422" s="0"/>
      <c r="W422" s="0"/>
    </row>
    <row r="423" customFormat="false" ht="19.85" hidden="false" customHeight="true" outlineLevel="0" collapsed="false">
      <c r="A423" s="1" t="n">
        <v>30</v>
      </c>
      <c r="B423" s="34" t="n">
        <v>40695</v>
      </c>
      <c r="C423" s="9" t="n">
        <v>2323000</v>
      </c>
      <c r="D423" s="58" t="s">
        <v>41</v>
      </c>
      <c r="E423" s="33" t="n">
        <f aca="false">IF(D423="totale",(C423/(A423*24))/F423,IF(D423="marché libre",(C423/(A423*24))/G423,"spécifier histo"))</f>
        <v>0.81992093745588</v>
      </c>
      <c r="F423" s="59" t="n">
        <v>3935</v>
      </c>
      <c r="G423" s="59" t="n">
        <f aca="false">F423-H423</f>
        <v>3935</v>
      </c>
      <c r="H423" s="9" t="n">
        <v>0</v>
      </c>
      <c r="J423" s="183"/>
      <c r="L423" s="0"/>
      <c r="W423" s="0"/>
    </row>
    <row r="424" customFormat="false" ht="19.85" hidden="false" customHeight="true" outlineLevel="0" collapsed="false">
      <c r="A424" s="1" t="n">
        <v>31</v>
      </c>
      <c r="B424" s="31" t="n">
        <v>40725</v>
      </c>
      <c r="C424" s="9" t="n">
        <v>1917000</v>
      </c>
      <c r="D424" s="58" t="s">
        <v>41</v>
      </c>
      <c r="E424" s="33" t="n">
        <f aca="false">IF(D424="totale",(C424/(A424*24))/F424,IF(D424="marché libre",(C424/(A424*24))/G424,"spécifier histo"))</f>
        <v>0.65479362216666</v>
      </c>
      <c r="F424" s="59" t="n">
        <v>3935</v>
      </c>
      <c r="G424" s="59" t="n">
        <f aca="false">F424-H424</f>
        <v>3935</v>
      </c>
      <c r="H424" s="9" t="n">
        <v>0</v>
      </c>
      <c r="J424" s="183"/>
      <c r="L424" s="0"/>
      <c r="W424" s="0"/>
    </row>
    <row r="425" customFormat="false" ht="19.85" hidden="false" customHeight="true" outlineLevel="0" collapsed="false">
      <c r="A425" s="1" t="n">
        <v>31</v>
      </c>
      <c r="B425" s="34" t="n">
        <v>40756</v>
      </c>
      <c r="C425" s="9" t="n">
        <v>1194000</v>
      </c>
      <c r="D425" s="58" t="s">
        <v>41</v>
      </c>
      <c r="E425" s="33" t="n">
        <f aca="false">IF(D425="totale",(C425/(A425*24))/F425,IF(D425="marché libre",(C425/(A425*24))/G425,"spécifier histo"))</f>
        <v>0.407837029142927</v>
      </c>
      <c r="F425" s="59" t="n">
        <v>3935</v>
      </c>
      <c r="G425" s="59" t="n">
        <f aca="false">F425-H425</f>
        <v>3935</v>
      </c>
      <c r="H425" s="9" t="n">
        <v>0</v>
      </c>
      <c r="J425" s="183"/>
      <c r="L425" s="0"/>
      <c r="W425" s="0"/>
    </row>
    <row r="426" customFormat="false" ht="19.85" hidden="false" customHeight="true" outlineLevel="0" collapsed="false">
      <c r="A426" s="1" t="n">
        <v>30</v>
      </c>
      <c r="B426" s="31" t="n">
        <v>40787</v>
      </c>
      <c r="C426" s="9" t="n">
        <v>990000</v>
      </c>
      <c r="D426" s="58" t="s">
        <v>41</v>
      </c>
      <c r="E426" s="33" t="n">
        <f aca="false">IF(D426="totale",(C426/(A426*24))/F426,IF(D426="marché libre",(C426/(A426*24))/G426,"spécifier histo"))</f>
        <v>0.349428208386277</v>
      </c>
      <c r="F426" s="59" t="n">
        <v>3935</v>
      </c>
      <c r="G426" s="59" t="n">
        <f aca="false">F426-H426</f>
        <v>3935</v>
      </c>
      <c r="H426" s="9" t="n">
        <v>0</v>
      </c>
      <c r="J426" s="183"/>
      <c r="L426" s="0"/>
      <c r="W426" s="0"/>
    </row>
    <row r="427" customFormat="false" ht="19.85" hidden="false" customHeight="true" outlineLevel="0" collapsed="false">
      <c r="A427" s="1" t="n">
        <v>31</v>
      </c>
      <c r="B427" s="34" t="n">
        <v>40817</v>
      </c>
      <c r="C427" s="9" t="n">
        <v>885200</v>
      </c>
      <c r="D427" s="58" t="s">
        <v>41</v>
      </c>
      <c r="E427" s="33" t="n">
        <f aca="false">IF(D427="totale",(C427/(A427*24))/F427,IF(D427="marché libre",(C427/(A427*24))/G427,"spécifier histo"))</f>
        <v>0.302359579729748</v>
      </c>
      <c r="F427" s="59" t="n">
        <v>3935</v>
      </c>
      <c r="G427" s="59" t="n">
        <f aca="false">F427-H427</f>
        <v>3935</v>
      </c>
      <c r="H427" s="9" t="n">
        <v>0</v>
      </c>
      <c r="J427" s="183"/>
      <c r="L427" s="0"/>
      <c r="W427" s="0"/>
    </row>
    <row r="428" customFormat="false" ht="19.85" hidden="false" customHeight="true" outlineLevel="0" collapsed="false">
      <c r="A428" s="1" t="n">
        <v>30</v>
      </c>
      <c r="B428" s="31" t="n">
        <v>40848</v>
      </c>
      <c r="C428" s="9" t="n">
        <v>561000</v>
      </c>
      <c r="D428" s="58" t="s">
        <v>41</v>
      </c>
      <c r="E428" s="33" t="n">
        <f aca="false">IF(D428="totale",(C428/(A428*24))/F428,IF(D428="marché libre",(C428/(A428*24))/G428,"spécifier histo"))</f>
        <v>0.198009318085557</v>
      </c>
      <c r="F428" s="59" t="n">
        <v>3935</v>
      </c>
      <c r="G428" s="59" t="n">
        <f aca="false">F428-H428</f>
        <v>3935</v>
      </c>
      <c r="H428" s="9" t="n">
        <v>0</v>
      </c>
      <c r="J428" s="183"/>
      <c r="L428" s="0"/>
      <c r="W428" s="0"/>
    </row>
    <row r="429" customFormat="false" ht="19.85" hidden="false" customHeight="true" outlineLevel="0" collapsed="false">
      <c r="A429" s="1" t="n">
        <v>31</v>
      </c>
      <c r="B429" s="34" t="n">
        <v>40878</v>
      </c>
      <c r="C429" s="9" t="n">
        <v>585000</v>
      </c>
      <c r="D429" s="58" t="s">
        <v>41</v>
      </c>
      <c r="E429" s="33" t="n">
        <f aca="false">IF(D429="totale",(C429/(A429*24))/F429,IF(D429="marché libre",(C429/(A429*24))/G429,"spécifier histo"))</f>
        <v>0.199819649956962</v>
      </c>
      <c r="F429" s="59" t="n">
        <v>3935</v>
      </c>
      <c r="G429" s="59" t="n">
        <f aca="false">F429-H429</f>
        <v>3935</v>
      </c>
      <c r="H429" s="9" t="n">
        <v>0</v>
      </c>
      <c r="J429" s="183"/>
      <c r="L429" s="0"/>
      <c r="W429" s="0"/>
    </row>
    <row r="430" customFormat="false" ht="19.85" hidden="false" customHeight="true" outlineLevel="0" collapsed="false">
      <c r="A430" s="1" t="n">
        <v>31</v>
      </c>
      <c r="B430" s="31" t="n">
        <v>40909</v>
      </c>
      <c r="C430" s="9" t="n">
        <v>430000</v>
      </c>
      <c r="D430" s="58" t="s">
        <v>41</v>
      </c>
      <c r="E430" s="33" t="n">
        <f aca="false">IF(D430="totale",(C430/(A430*24))/F430,IF(D430="marché libre",(C430/(A430*24))/G430,"spécifier histo"))</f>
        <v>0.146875982019647</v>
      </c>
      <c r="F430" s="59" t="n">
        <v>3935</v>
      </c>
      <c r="G430" s="59" t="n">
        <f aca="false">F430-H430</f>
        <v>3935</v>
      </c>
      <c r="H430" s="9" t="n">
        <v>0</v>
      </c>
      <c r="J430" s="183"/>
      <c r="L430" s="0"/>
      <c r="W430" s="0"/>
    </row>
    <row r="431" customFormat="false" ht="19.85" hidden="false" customHeight="true" outlineLevel="0" collapsed="false">
      <c r="A431" s="1" t="n">
        <v>28</v>
      </c>
      <c r="B431" s="34" t="n">
        <v>40940</v>
      </c>
      <c r="C431" s="9" t="n">
        <v>278000</v>
      </c>
      <c r="D431" s="58" t="s">
        <v>41</v>
      </c>
      <c r="E431" s="33" t="n">
        <f aca="false">IF(D431="totale",(C431/(A431*24))/F431,IF(D431="marché libre",(C431/(A431*24))/G431,"spécifier histo"))</f>
        <v>0.105130997761239</v>
      </c>
      <c r="F431" s="59" t="n">
        <v>3935</v>
      </c>
      <c r="G431" s="59" t="n">
        <f aca="false">F431-H431</f>
        <v>3935</v>
      </c>
      <c r="H431" s="9" t="n">
        <v>0</v>
      </c>
      <c r="J431" s="183"/>
      <c r="L431" s="0"/>
      <c r="W431" s="0"/>
    </row>
    <row r="432" customFormat="false" ht="19.85" hidden="false" customHeight="true" outlineLevel="0" collapsed="false">
      <c r="A432" s="1" t="n">
        <v>31</v>
      </c>
      <c r="B432" s="31" t="n">
        <v>40969</v>
      </c>
      <c r="C432" s="9" t="n">
        <v>768000</v>
      </c>
      <c r="D432" s="58" t="s">
        <v>41</v>
      </c>
      <c r="E432" s="33" t="n">
        <f aca="false">IF(D432="totale",(C432/(A432*24))/F432,IF(D432="marché libre",(C432/(A432*24))/G432,"spécifier histo"))</f>
        <v>0.262327335328114</v>
      </c>
      <c r="F432" s="59" t="n">
        <v>3935</v>
      </c>
      <c r="G432" s="59" t="n">
        <f aca="false">F432-H432</f>
        <v>3935</v>
      </c>
      <c r="H432" s="9" t="n">
        <v>0</v>
      </c>
      <c r="J432" s="183"/>
      <c r="L432" s="0"/>
      <c r="W432" s="0"/>
    </row>
    <row r="433" customFormat="false" ht="19.85" hidden="false" customHeight="true" outlineLevel="0" collapsed="false">
      <c r="A433" s="1" t="n">
        <v>30</v>
      </c>
      <c r="B433" s="34" t="n">
        <v>41000</v>
      </c>
      <c r="C433" s="9" t="n">
        <v>1132000</v>
      </c>
      <c r="D433" s="58" t="s">
        <v>41</v>
      </c>
      <c r="E433" s="33" t="n">
        <f aca="false">IF(D433="totale",(C433/(A433*24))/F433,IF(D433="marché libre",(C433/(A433*24))/G433,"spécifier histo"))</f>
        <v>0.399548214033602</v>
      </c>
      <c r="F433" s="59" t="n">
        <v>3935</v>
      </c>
      <c r="G433" s="59" t="n">
        <f aca="false">F433-H433</f>
        <v>3935</v>
      </c>
      <c r="H433" s="9" t="n">
        <v>0</v>
      </c>
      <c r="J433" s="183"/>
      <c r="L433" s="0"/>
      <c r="W433" s="0"/>
    </row>
    <row r="434" customFormat="false" ht="19.85" hidden="false" customHeight="true" outlineLevel="0" collapsed="false">
      <c r="A434" s="1" t="n">
        <v>31</v>
      </c>
      <c r="B434" s="31" t="n">
        <v>41030</v>
      </c>
      <c r="C434" s="9" t="n">
        <v>2538000</v>
      </c>
      <c r="D434" s="58" t="s">
        <v>41</v>
      </c>
      <c r="E434" s="33" t="n">
        <f aca="false">IF(D434="totale",(C434/(A434*24))/F434,IF(D434="marché libre",(C434/(A434*24))/G434,"spécifier histo"))</f>
        <v>0.866909865967127</v>
      </c>
      <c r="F434" s="59" t="n">
        <v>3935</v>
      </c>
      <c r="G434" s="59" t="n">
        <f aca="false">F434-H434</f>
        <v>3935</v>
      </c>
      <c r="H434" s="9" t="n">
        <v>0</v>
      </c>
      <c r="J434" s="183"/>
      <c r="L434" s="0"/>
      <c r="W434" s="0"/>
    </row>
    <row r="435" customFormat="false" ht="19.85" hidden="false" customHeight="true" outlineLevel="0" collapsed="false">
      <c r="A435" s="1" t="n">
        <v>30</v>
      </c>
      <c r="B435" s="34" t="n">
        <v>41061</v>
      </c>
      <c r="C435" s="9" t="n">
        <v>3029000</v>
      </c>
      <c r="D435" s="58" t="s">
        <v>41</v>
      </c>
      <c r="E435" s="33" t="n">
        <f aca="false">IF(D435="totale",(C435/(A435*24))/F435,IF(D435="marché libre",(C435/(A435*24))/G435,"spécifier histo"))</f>
        <v>1.06910913454751</v>
      </c>
      <c r="F435" s="59" t="n">
        <v>3935</v>
      </c>
      <c r="G435" s="59" t="n">
        <f aca="false">F435-H435</f>
        <v>3935</v>
      </c>
      <c r="H435" s="9" t="n">
        <v>0</v>
      </c>
      <c r="J435" s="183"/>
      <c r="L435" s="0"/>
      <c r="W435" s="0"/>
    </row>
    <row r="436" customFormat="false" ht="19.85" hidden="false" customHeight="true" outlineLevel="0" collapsed="false">
      <c r="A436" s="1" t="n">
        <v>31</v>
      </c>
      <c r="B436" s="31" t="n">
        <v>41091</v>
      </c>
      <c r="C436" s="9" t="n">
        <v>1888000</v>
      </c>
      <c r="D436" s="58" t="s">
        <v>41</v>
      </c>
      <c r="E436" s="33" t="n">
        <f aca="false">IF(D436="totale",(C436/(A436*24))/F436,IF(D436="marché libre",(C436/(A436*24))/G436,"spécifier histo"))</f>
        <v>0.644888032681614</v>
      </c>
      <c r="F436" s="59" t="n">
        <v>3935</v>
      </c>
      <c r="G436" s="59" t="n">
        <f aca="false">F436-H436</f>
        <v>3935</v>
      </c>
      <c r="H436" s="9" t="n">
        <v>0</v>
      </c>
      <c r="J436" s="183"/>
      <c r="L436" s="0"/>
      <c r="W436" s="0"/>
    </row>
    <row r="437" customFormat="false" ht="19.85" hidden="false" customHeight="true" outlineLevel="0" collapsed="false">
      <c r="A437" s="1" t="n">
        <v>31</v>
      </c>
      <c r="B437" s="34" t="n">
        <v>41122</v>
      </c>
      <c r="C437" s="9" t="n">
        <v>1074000</v>
      </c>
      <c r="D437" s="58" t="s">
        <v>41</v>
      </c>
      <c r="E437" s="33" t="n">
        <f aca="false">IF(D437="totale",(C437/(A437*24))/F437,IF(D437="marché libre",(C437/(A437*24))/G437,"spécifier histo"))</f>
        <v>0.36684838299791</v>
      </c>
      <c r="F437" s="59" t="n">
        <v>3935</v>
      </c>
      <c r="G437" s="59" t="n">
        <f aca="false">F437-H437</f>
        <v>3935</v>
      </c>
      <c r="H437" s="9" t="n">
        <v>0</v>
      </c>
      <c r="J437" s="183"/>
      <c r="L437" s="0"/>
      <c r="W437" s="0"/>
    </row>
    <row r="438" customFormat="false" ht="19.85" hidden="false" customHeight="true" outlineLevel="0" collapsed="false">
      <c r="A438" s="1" t="n">
        <v>30</v>
      </c>
      <c r="B438" s="31" t="n">
        <v>41153</v>
      </c>
      <c r="C438" s="9" t="n">
        <v>1370390</v>
      </c>
      <c r="D438" s="58" t="s">
        <v>41</v>
      </c>
      <c r="E438" s="33" t="n">
        <f aca="false">IF(D438="totale",(C438/(A438*24))/F438,IF(D438="marché libre",(C438/(A438*24))/G438,"spécifier histo"))</f>
        <v>0.483689820697445</v>
      </c>
      <c r="F438" s="59" t="n">
        <v>3935</v>
      </c>
      <c r="G438" s="59" t="n">
        <f aca="false">F438-H438</f>
        <v>3935</v>
      </c>
      <c r="H438" s="9" t="n">
        <v>0</v>
      </c>
      <c r="J438" s="183"/>
      <c r="L438" s="0"/>
      <c r="W438" s="0"/>
    </row>
    <row r="439" customFormat="false" ht="19.85" hidden="false" customHeight="true" outlineLevel="0" collapsed="false">
      <c r="A439" s="1" t="n">
        <v>31</v>
      </c>
      <c r="B439" s="34" t="n">
        <v>41183</v>
      </c>
      <c r="C439" s="9" t="n">
        <v>1318170</v>
      </c>
      <c r="D439" s="58" t="s">
        <v>41</v>
      </c>
      <c r="E439" s="33" t="n">
        <f aca="false">IF(D439="totale",(C439/(A439*24))/F439,IF(D439="marché libre",(C439/(A439*24))/G439,"spécifier histo"))</f>
        <v>0.450250030741485</v>
      </c>
      <c r="F439" s="59" t="n">
        <v>3935</v>
      </c>
      <c r="G439" s="59" t="n">
        <f aca="false">F439-H439</f>
        <v>3935</v>
      </c>
      <c r="H439" s="9" t="n">
        <v>0</v>
      </c>
      <c r="J439" s="183"/>
      <c r="L439" s="0"/>
      <c r="W439" s="0"/>
    </row>
    <row r="440" customFormat="false" ht="19.85" hidden="false" customHeight="true" outlineLevel="0" collapsed="false">
      <c r="A440" s="1" t="n">
        <v>30</v>
      </c>
      <c r="B440" s="31" t="n">
        <v>41214</v>
      </c>
      <c r="C440" s="9" t="n">
        <v>1315000</v>
      </c>
      <c r="D440" s="58" t="s">
        <v>41</v>
      </c>
      <c r="E440" s="33" t="n">
        <f aca="false">IF(D440="totale",(C440/(A440*24))/F440,IF(D440="marché libre",(C440/(A440*24))/G440,"spécifier histo"))</f>
        <v>0.464139488917126</v>
      </c>
      <c r="F440" s="59" t="n">
        <v>3935</v>
      </c>
      <c r="G440" s="59" t="n">
        <f aca="false">F440-H440</f>
        <v>3935</v>
      </c>
      <c r="H440" s="9" t="n">
        <v>0</v>
      </c>
      <c r="J440" s="183"/>
      <c r="L440" s="0"/>
      <c r="W440" s="0"/>
    </row>
    <row r="441" customFormat="false" ht="19.85" hidden="false" customHeight="true" outlineLevel="0" collapsed="false">
      <c r="A441" s="1" t="n">
        <v>31</v>
      </c>
      <c r="B441" s="34" t="n">
        <v>41244</v>
      </c>
      <c r="C441" s="9" t="n">
        <v>950480</v>
      </c>
      <c r="D441" s="58" t="s">
        <v>41</v>
      </c>
      <c r="E441" s="33" t="n">
        <f aca="false">IF(D441="totale",(C441/(A441*24))/F441,IF(D441="marché libre",(C441/(A441*24))/G441,"spécifier histo"))</f>
        <v>0.324657403232638</v>
      </c>
      <c r="F441" s="59" t="n">
        <v>3935</v>
      </c>
      <c r="G441" s="59" t="n">
        <f aca="false">F441-H441</f>
        <v>3935</v>
      </c>
      <c r="H441" s="9" t="n">
        <v>0</v>
      </c>
      <c r="J441" s="183"/>
      <c r="L441" s="0"/>
      <c r="W441" s="0"/>
    </row>
    <row r="442" customFormat="false" ht="19.85" hidden="false" customHeight="true" outlineLevel="0" collapsed="false">
      <c r="A442" s="1" t="n">
        <v>31</v>
      </c>
      <c r="B442" s="31" t="n">
        <v>41275</v>
      </c>
      <c r="C442" s="9" t="n">
        <v>642370</v>
      </c>
      <c r="D442" s="58" t="s">
        <v>41</v>
      </c>
      <c r="E442" s="33" t="n">
        <f aca="false">IF(D442="totale",(C442/(A442*24))/F442,IF(D442="marché libre",(C442/(A442*24))/G442,"spécifier histo"))</f>
        <v>0.219415638534793</v>
      </c>
      <c r="F442" s="59" t="n">
        <v>3935</v>
      </c>
      <c r="G442" s="59" t="n">
        <f aca="false">F442-H442</f>
        <v>3935</v>
      </c>
      <c r="H442" s="9" t="n">
        <v>0</v>
      </c>
      <c r="J442" s="183"/>
      <c r="L442" s="0"/>
      <c r="W442" s="0"/>
    </row>
    <row r="443" customFormat="false" ht="19.85" hidden="false" customHeight="true" outlineLevel="0" collapsed="false">
      <c r="A443" s="1" t="n">
        <v>28</v>
      </c>
      <c r="B443" s="34" t="n">
        <v>41306</v>
      </c>
      <c r="C443" s="9" t="n">
        <v>479318</v>
      </c>
      <c r="D443" s="58" t="s">
        <v>41</v>
      </c>
      <c r="E443" s="33" t="n">
        <f aca="false">IF(D443="totale",(C443/(A443*24))/F443,IF(D443="marché libre",(C443/(A443*24))/G443,"spécifier histo"))</f>
        <v>0.181263235916984</v>
      </c>
      <c r="F443" s="59" t="n">
        <v>3935</v>
      </c>
      <c r="G443" s="59" t="n">
        <f aca="false">F443-H443</f>
        <v>3935</v>
      </c>
      <c r="H443" s="9" t="n">
        <v>0</v>
      </c>
      <c r="J443" s="183"/>
      <c r="L443" s="0"/>
      <c r="W443" s="0"/>
    </row>
    <row r="444" customFormat="false" ht="19.85" hidden="false" customHeight="true" outlineLevel="0" collapsed="false">
      <c r="A444" s="1" t="n">
        <v>31</v>
      </c>
      <c r="B444" s="31" t="n">
        <v>41334</v>
      </c>
      <c r="C444" s="9" t="n">
        <v>398414</v>
      </c>
      <c r="D444" s="58" t="s">
        <v>41</v>
      </c>
      <c r="E444" s="33" t="n">
        <f aca="false">IF(D444="totale",(C444/(A444*24))/F444,IF(D444="marché libre",(C444/(A444*24))/G444,"spécifier histo"))</f>
        <v>0.136087087210176</v>
      </c>
      <c r="F444" s="59" t="n">
        <v>3935</v>
      </c>
      <c r="G444" s="59" t="n">
        <f aca="false">F444-H444</f>
        <v>3935</v>
      </c>
      <c r="H444" s="9" t="n">
        <v>0</v>
      </c>
      <c r="J444" s="183"/>
      <c r="L444" s="0"/>
      <c r="W444" s="0"/>
    </row>
    <row r="445" customFormat="false" ht="19.85" hidden="false" customHeight="true" outlineLevel="0" collapsed="false">
      <c r="A445" s="1" t="n">
        <v>30</v>
      </c>
      <c r="B445" s="34" t="n">
        <v>41365</v>
      </c>
      <c r="C445" s="9" t="n">
        <v>1389067</v>
      </c>
      <c r="D445" s="58" t="s">
        <v>41</v>
      </c>
      <c r="E445" s="33" t="n">
        <f aca="false">IF(D445="totale",(C445/(A445*24))/F445,IF(D445="marché libre",(C445/(A445*24))/G445,"spécifier histo"))</f>
        <v>0.490282013271213</v>
      </c>
      <c r="F445" s="59" t="n">
        <v>3935</v>
      </c>
      <c r="G445" s="59" t="n">
        <f aca="false">F445-H445</f>
        <v>3935</v>
      </c>
      <c r="H445" s="9" t="n">
        <v>0</v>
      </c>
      <c r="J445" s="183"/>
      <c r="L445" s="0"/>
      <c r="W445" s="0"/>
    </row>
    <row r="446" customFormat="false" ht="19.85" hidden="false" customHeight="true" outlineLevel="0" collapsed="false">
      <c r="A446" s="1" t="n">
        <v>31</v>
      </c>
      <c r="B446" s="31" t="n">
        <v>41395</v>
      </c>
      <c r="C446" s="9" t="n">
        <v>2159030</v>
      </c>
      <c r="D446" s="58" t="s">
        <v>41</v>
      </c>
      <c r="E446" s="33" t="n">
        <f aca="false">IF(D446="totale",(C446/(A446*24))/F446,IF(D446="marché libre",(C446/(A446*24))/G446,"spécifier histo"))</f>
        <v>0.737464305720649</v>
      </c>
      <c r="F446" s="59" t="n">
        <v>3935</v>
      </c>
      <c r="G446" s="59" t="n">
        <f aca="false">F446-H446</f>
        <v>3935</v>
      </c>
      <c r="H446" s="9" t="n">
        <v>0</v>
      </c>
      <c r="J446" s="183"/>
      <c r="L446" s="0"/>
      <c r="W446" s="0"/>
    </row>
    <row r="447" customFormat="false" ht="19.85" hidden="false" customHeight="true" outlineLevel="0" collapsed="false">
      <c r="A447" s="1" t="n">
        <v>30</v>
      </c>
      <c r="B447" s="34" t="n">
        <v>41426</v>
      </c>
      <c r="C447" s="9" t="n">
        <v>2779560</v>
      </c>
      <c r="D447" s="58" t="s">
        <v>41</v>
      </c>
      <c r="E447" s="33" t="n">
        <f aca="false">IF(D447="totale",(C447/(A447*24))/F447,IF(D447="marché libre",(C447/(A447*24))/G447,"spécifier histo"))</f>
        <v>0.981067344345616</v>
      </c>
      <c r="F447" s="59" t="n">
        <v>3935</v>
      </c>
      <c r="G447" s="59" t="n">
        <f aca="false">F447-H447</f>
        <v>3935</v>
      </c>
      <c r="H447" s="9" t="n">
        <v>0</v>
      </c>
      <c r="J447" s="183"/>
      <c r="L447" s="0"/>
      <c r="W447" s="0"/>
    </row>
    <row r="448" customFormat="false" ht="19.85" hidden="false" customHeight="true" outlineLevel="0" collapsed="false">
      <c r="A448" s="1" t="n">
        <v>31</v>
      </c>
      <c r="B448" s="31" t="n">
        <v>41456</v>
      </c>
      <c r="C448" s="9" t="n">
        <v>2703438</v>
      </c>
      <c r="D448" s="58" t="s">
        <v>41</v>
      </c>
      <c r="E448" s="33" t="n">
        <f aca="false">IF(D448="totale",(C448/(A448*24))/F448,IF(D448="marché libre",(C448/(A448*24))/G448,"spécifier histo"))</f>
        <v>0.923418862974956</v>
      </c>
      <c r="F448" s="59" t="n">
        <v>3935</v>
      </c>
      <c r="G448" s="59" t="n">
        <f aca="false">F448-H448</f>
        <v>3935</v>
      </c>
      <c r="H448" s="9" t="n">
        <v>0</v>
      </c>
      <c r="J448" s="183"/>
      <c r="L448" s="0"/>
      <c r="W448" s="0"/>
    </row>
    <row r="449" customFormat="false" ht="19.85" hidden="false" customHeight="true" outlineLevel="0" collapsed="false">
      <c r="A449" s="1" t="n">
        <v>31</v>
      </c>
      <c r="B449" s="34" t="n">
        <v>41487</v>
      </c>
      <c r="C449" s="9" t="n">
        <v>1827440</v>
      </c>
      <c r="D449" s="58" t="s">
        <v>41</v>
      </c>
      <c r="E449" s="33" t="n">
        <f aca="false">IF(D449="totale",(C449/(A449*24))/F449,IF(D449="marché libre",(C449/(A449*24))/G449,"spécifier histo"))</f>
        <v>0.624202429260428</v>
      </c>
      <c r="F449" s="59" t="n">
        <v>3935</v>
      </c>
      <c r="G449" s="59" t="n">
        <f aca="false">F449-H449</f>
        <v>3935</v>
      </c>
      <c r="H449" s="9" t="n">
        <v>0</v>
      </c>
      <c r="J449" s="183"/>
      <c r="L449" s="0"/>
      <c r="W449" s="0"/>
    </row>
    <row r="450" customFormat="false" ht="19.85" hidden="false" customHeight="true" outlineLevel="0" collapsed="false">
      <c r="A450" s="1" t="n">
        <v>30</v>
      </c>
      <c r="B450" s="31" t="n">
        <v>41518</v>
      </c>
      <c r="C450" s="9" t="n">
        <v>1503740</v>
      </c>
      <c r="D450" s="58" t="s">
        <v>41</v>
      </c>
      <c r="E450" s="33" t="n">
        <f aca="false">IF(D450="totale",(C450/(A450*24))/F450,IF(D450="marché libre",(C450/(A450*24))/G450,"spécifier histo"))</f>
        <v>0.530756741493717</v>
      </c>
      <c r="F450" s="59" t="n">
        <v>3935</v>
      </c>
      <c r="G450" s="59" t="n">
        <f aca="false">F450-H450</f>
        <v>3935</v>
      </c>
      <c r="H450" s="9" t="n">
        <v>0</v>
      </c>
      <c r="J450" s="183"/>
      <c r="L450" s="0"/>
      <c r="W450" s="0"/>
    </row>
    <row r="451" customFormat="false" ht="19.85" hidden="false" customHeight="true" outlineLevel="0" collapsed="false">
      <c r="A451" s="1" t="n">
        <v>31</v>
      </c>
      <c r="B451" s="34" t="n">
        <v>41548</v>
      </c>
      <c r="C451" s="9" t="n">
        <v>1622490</v>
      </c>
      <c r="D451" s="58" t="s">
        <v>41</v>
      </c>
      <c r="E451" s="33" t="n">
        <f aca="false">IF(D451="totale",(C451/(A451*24))/F451,IF(D451="marché libre",(C451/(A451*24))/G451,"spécifier histo"))</f>
        <v>0.55419723736525</v>
      </c>
      <c r="F451" s="59" t="n">
        <v>3935</v>
      </c>
      <c r="G451" s="59" t="n">
        <f aca="false">F451-H451</f>
        <v>3935</v>
      </c>
      <c r="H451" s="9" t="n">
        <v>0</v>
      </c>
      <c r="J451" s="183"/>
      <c r="L451" s="0"/>
      <c r="W451" s="0"/>
    </row>
    <row r="452" customFormat="false" ht="19.85" hidden="false" customHeight="true" outlineLevel="0" collapsed="false">
      <c r="A452" s="1" t="n">
        <v>30</v>
      </c>
      <c r="B452" s="31" t="n">
        <v>41579</v>
      </c>
      <c r="C452" s="9" t="n">
        <v>1467580</v>
      </c>
      <c r="D452" s="58" t="s">
        <v>41</v>
      </c>
      <c r="E452" s="33" t="n">
        <f aca="false">IF(D452="totale",(C452/(A452*24))/F452,IF(D452="marché libre",(C452/(A452*24))/G452,"spécifier histo"))</f>
        <v>0.517993787942962</v>
      </c>
      <c r="F452" s="59" t="n">
        <v>3935</v>
      </c>
      <c r="G452" s="59" t="n">
        <f aca="false">F452-H452</f>
        <v>3935</v>
      </c>
      <c r="H452" s="9" t="n">
        <v>0</v>
      </c>
      <c r="J452" s="183"/>
      <c r="L452" s="0"/>
      <c r="W452" s="0"/>
    </row>
    <row r="453" customFormat="false" ht="19.85" hidden="false" customHeight="true" outlineLevel="0" collapsed="false">
      <c r="A453" s="1" t="n">
        <v>31</v>
      </c>
      <c r="B453" s="34" t="n">
        <v>41609</v>
      </c>
      <c r="C453" s="9" t="n">
        <v>875740</v>
      </c>
      <c r="D453" s="58" t="s">
        <v>41</v>
      </c>
      <c r="E453" s="33" t="n">
        <f aca="false">IF(D453="totale",(C453/(A453*24))/F453,IF(D453="marché libre",(C453/(A453*24))/G453,"spécifier histo"))</f>
        <v>0.299128308125316</v>
      </c>
      <c r="F453" s="59" t="n">
        <v>3935</v>
      </c>
      <c r="G453" s="59" t="n">
        <f aca="false">F453-H453</f>
        <v>3935</v>
      </c>
      <c r="H453" s="9" t="n">
        <v>0</v>
      </c>
      <c r="J453" s="183"/>
      <c r="L453" s="0"/>
      <c r="W453" s="0"/>
    </row>
    <row r="454" customFormat="false" ht="19.85" hidden="false" customHeight="true" outlineLevel="0" collapsed="false">
      <c r="A454" s="1" t="n">
        <v>31</v>
      </c>
      <c r="B454" s="31" t="n">
        <v>41640</v>
      </c>
      <c r="C454" s="9" t="n">
        <v>693971</v>
      </c>
      <c r="D454" s="240" t="s">
        <v>42</v>
      </c>
      <c r="E454" s="33" t="n">
        <f aca="false">IF(D454="totale",(C454/(A454*24))/F454,IF(D454="marché libre",(C454/(A454*24))/G454,"spécifier histo"))</f>
        <v>0.237041097949201</v>
      </c>
      <c r="F454" s="59" t="n">
        <v>3935</v>
      </c>
      <c r="G454" s="59" t="n">
        <f aca="false">F454-H454</f>
        <v>3935</v>
      </c>
      <c r="H454" s="9" t="n">
        <v>0</v>
      </c>
      <c r="J454" s="183"/>
      <c r="L454" s="0"/>
      <c r="W454" s="0"/>
    </row>
    <row r="455" customFormat="false" ht="19.85" hidden="false" customHeight="true" outlineLevel="0" collapsed="false">
      <c r="A455" s="1" t="n">
        <v>28</v>
      </c>
      <c r="B455" s="34" t="n">
        <v>41671</v>
      </c>
      <c r="C455" s="9" t="n">
        <v>425110</v>
      </c>
      <c r="D455" s="240" t="s">
        <v>42</v>
      </c>
      <c r="E455" s="33" t="n">
        <f aca="false">IF(D455="totale",(C455/(A455*24))/F455,IF(D455="marché libre",(C455/(A455*24))/G455,"spécifier histo"))</f>
        <v>0.160763447691656</v>
      </c>
      <c r="F455" s="59" t="n">
        <v>3935</v>
      </c>
      <c r="G455" s="59" t="n">
        <f aca="false">F455-H455</f>
        <v>3935</v>
      </c>
      <c r="H455" s="9" t="n">
        <v>0</v>
      </c>
      <c r="J455" s="183"/>
      <c r="L455" s="0"/>
      <c r="W455" s="0"/>
    </row>
    <row r="456" customFormat="false" ht="19.85" hidden="false" customHeight="true" outlineLevel="0" collapsed="false">
      <c r="A456" s="1" t="n">
        <v>31</v>
      </c>
      <c r="B456" s="31" t="n">
        <v>41699</v>
      </c>
      <c r="C456" s="9" t="n">
        <v>702500</v>
      </c>
      <c r="D456" s="240" t="s">
        <v>42</v>
      </c>
      <c r="E456" s="33" t="n">
        <f aca="false">IF(D456="totale",(C456/(A456*24))/F456,IF(D456="marché libre",(C456/(A456*24))/G456,"spécifier histo"))</f>
        <v>0.239954365973959</v>
      </c>
      <c r="F456" s="59" t="n">
        <v>3935</v>
      </c>
      <c r="G456" s="59" t="n">
        <f aca="false">F456-H456</f>
        <v>3935</v>
      </c>
      <c r="H456" s="9" t="n">
        <v>0</v>
      </c>
      <c r="J456" s="183"/>
      <c r="L456" s="0"/>
      <c r="W456" s="0"/>
    </row>
    <row r="457" customFormat="false" ht="19.85" hidden="false" customHeight="true" outlineLevel="0" collapsed="false">
      <c r="A457" s="1" t="n">
        <v>30</v>
      </c>
      <c r="B457" s="34" t="n">
        <v>41730</v>
      </c>
      <c r="C457" s="9" t="n">
        <v>1415318</v>
      </c>
      <c r="D457" s="240" t="s">
        <v>42</v>
      </c>
      <c r="E457" s="33" t="n">
        <f aca="false">IF(D457="totale",(C457/(A457*24))/F457,IF(D457="marché libre",(C457/(A457*24))/G457,"spécifier histo"))</f>
        <v>0.499547508118029</v>
      </c>
      <c r="F457" s="59" t="n">
        <v>3935</v>
      </c>
      <c r="G457" s="59" t="n">
        <f aca="false">F457-H457</f>
        <v>3935</v>
      </c>
      <c r="H457" s="9" t="n">
        <v>0</v>
      </c>
      <c r="J457" s="183"/>
      <c r="L457" s="0"/>
    </row>
    <row r="458" customFormat="false" ht="19.85" hidden="false" customHeight="true" outlineLevel="0" collapsed="false">
      <c r="A458" s="1" t="n">
        <v>31</v>
      </c>
      <c r="B458" s="31" t="n">
        <v>41760</v>
      </c>
      <c r="C458" s="9" t="n">
        <v>1900000</v>
      </c>
      <c r="D458" s="240" t="s">
        <v>42</v>
      </c>
      <c r="E458" s="33" t="n">
        <f aca="false">IF(D458="totale",(C458/(A458*24))/F458,IF(D458="marché libre",(C458/(A458*24))/G458,"spécifier histo"))</f>
        <v>0.648986897296116</v>
      </c>
      <c r="F458" s="59" t="n">
        <v>3935</v>
      </c>
      <c r="G458" s="59" t="n">
        <f aca="false">F458-H458</f>
        <v>3935</v>
      </c>
      <c r="H458" s="9" t="n">
        <v>0</v>
      </c>
      <c r="J458" s="183"/>
      <c r="L458" s="0"/>
    </row>
    <row r="459" customFormat="false" ht="19.85" hidden="false" customHeight="true" outlineLevel="0" collapsed="false">
      <c r="A459" s="1" t="n">
        <v>30</v>
      </c>
      <c r="B459" s="34" t="n">
        <v>41791</v>
      </c>
      <c r="C459" s="9" t="n">
        <v>2425296</v>
      </c>
      <c r="D459" s="240" t="s">
        <v>42</v>
      </c>
      <c r="E459" s="33" t="n">
        <f aca="false">IF(D459="totale",(C459/(A459*24))/F459,IF(D459="marché libre",(C459/(A459*24))/G459,"spécifier histo"))</f>
        <v>0.856027107157984</v>
      </c>
      <c r="F459" s="59" t="n">
        <v>3935</v>
      </c>
      <c r="G459" s="59" t="n">
        <f aca="false">F459-H459</f>
        <v>3935</v>
      </c>
      <c r="H459" s="9" t="n">
        <v>0</v>
      </c>
      <c r="J459" s="183"/>
      <c r="L459" s="0"/>
    </row>
    <row r="460" customFormat="false" ht="19.85" hidden="false" customHeight="true" outlineLevel="0" collapsed="false">
      <c r="A460" s="1" t="n">
        <v>31</v>
      </c>
      <c r="B460" s="31" t="n">
        <v>41821</v>
      </c>
      <c r="C460" s="9" t="n">
        <v>2628799</v>
      </c>
      <c r="D460" s="240" t="s">
        <v>42</v>
      </c>
      <c r="E460" s="33" t="n">
        <f aca="false">IF(D460="totale",(C460/(A460*24))/F460,IF(D460="marché libre",(C460/(A460*24))/G460,"spécifier histo"))</f>
        <v>0.897924266644806</v>
      </c>
      <c r="F460" s="59" t="n">
        <v>3935</v>
      </c>
      <c r="G460" s="59" t="n">
        <f aca="false">F460-H460</f>
        <v>3935</v>
      </c>
      <c r="H460" s="9" t="n">
        <v>0</v>
      </c>
      <c r="J460" s="183"/>
      <c r="L460" s="0"/>
    </row>
    <row r="461" customFormat="false" ht="19.85" hidden="false" customHeight="true" outlineLevel="0" collapsed="false">
      <c r="A461" s="1" t="n">
        <v>31</v>
      </c>
      <c r="B461" s="34" t="n">
        <v>41852</v>
      </c>
      <c r="C461" s="9" t="n">
        <v>1867047</v>
      </c>
      <c r="D461" s="240" t="s">
        <v>42</v>
      </c>
      <c r="E461" s="33" t="n">
        <f aca="false">IF(D461="totale",(C461/(A461*24))/F461,IF(D461="marché libre",(C461/(A461*24))/G461,"spécifier histo"))</f>
        <v>0.637731073492642</v>
      </c>
      <c r="F461" s="59" t="n">
        <v>3935</v>
      </c>
      <c r="G461" s="59" t="n">
        <f aca="false">F461-H461</f>
        <v>3935</v>
      </c>
      <c r="H461" s="9" t="n">
        <v>0</v>
      </c>
      <c r="J461" s="183"/>
      <c r="L461" s="0"/>
    </row>
    <row r="462" customFormat="false" ht="19.85" hidden="false" customHeight="true" outlineLevel="0" collapsed="false">
      <c r="A462" s="1" t="n">
        <v>30</v>
      </c>
      <c r="B462" s="31" t="n">
        <v>41883</v>
      </c>
      <c r="C462" s="9" t="n">
        <v>1085572</v>
      </c>
      <c r="D462" s="240" t="s">
        <v>42</v>
      </c>
      <c r="E462" s="33" t="n">
        <f aca="false">IF(D462="totale",(C462/(A462*24))/F462,IF(D462="marché libre",(C462/(A462*24))/G462,"spécifier histo"))</f>
        <v>0.383161089933644</v>
      </c>
      <c r="F462" s="59" t="n">
        <v>3935</v>
      </c>
      <c r="G462" s="59" t="n">
        <f aca="false">F462-H462</f>
        <v>3935</v>
      </c>
      <c r="H462" s="9" t="n">
        <v>0</v>
      </c>
      <c r="J462" s="183"/>
      <c r="L462" s="0"/>
    </row>
    <row r="463" customFormat="false" ht="19.85" hidden="false" customHeight="true" outlineLevel="0" collapsed="false">
      <c r="A463" s="1" t="n">
        <v>31</v>
      </c>
      <c r="B463" s="34" t="n">
        <v>41913</v>
      </c>
      <c r="C463" s="9" t="n">
        <v>784920</v>
      </c>
      <c r="D463" s="240" t="s">
        <v>42</v>
      </c>
      <c r="E463" s="33" t="n">
        <f aca="false">IF(D463="totale",(C463/(A463*24))/F463,IF(D463="marché libre",(C463/(A463*24))/G463,"spécifier histo"))</f>
        <v>0.268106734434562</v>
      </c>
      <c r="F463" s="59" t="n">
        <v>3935</v>
      </c>
      <c r="G463" s="59" t="n">
        <f aca="false">F463-H463</f>
        <v>3935</v>
      </c>
      <c r="H463" s="9" t="n">
        <v>0</v>
      </c>
      <c r="J463" s="183"/>
      <c r="L463" s="0"/>
    </row>
    <row r="464" customFormat="false" ht="19.85" hidden="false" customHeight="true" outlineLevel="0" collapsed="false">
      <c r="A464" s="1" t="n">
        <v>30</v>
      </c>
      <c r="B464" s="31" t="n">
        <v>41944</v>
      </c>
      <c r="C464" s="9" t="n">
        <v>799488</v>
      </c>
      <c r="D464" s="240" t="s">
        <v>42</v>
      </c>
      <c r="E464" s="33" t="n">
        <f aca="false">IF(D464="totale",(C464/(A464*24))/F464,IF(D464="marché libre",(C464/(A464*24))/G464,"spécifier histo"))</f>
        <v>0.282185514612452</v>
      </c>
      <c r="F464" s="59" t="n">
        <v>3935</v>
      </c>
      <c r="G464" s="59" t="n">
        <f aca="false">F464-H464</f>
        <v>3935</v>
      </c>
      <c r="H464" s="9" t="n">
        <v>0</v>
      </c>
      <c r="J464" s="183"/>
      <c r="L464" s="0"/>
    </row>
    <row r="465" customFormat="false" ht="19.85" hidden="false" customHeight="true" outlineLevel="0" collapsed="false">
      <c r="A465" s="1" t="n">
        <v>31</v>
      </c>
      <c r="B465" s="34" t="n">
        <v>41974</v>
      </c>
      <c r="C465" s="9" t="n">
        <v>542888</v>
      </c>
      <c r="D465" s="240" t="s">
        <v>42</v>
      </c>
      <c r="E465" s="33" t="n">
        <f aca="false">IF(D465="totale",(C465/(A465*24))/F465,IF(D465="marché libre",(C465/(A465*24))/G465,"spécifier histo"))</f>
        <v>0.18543536773647</v>
      </c>
      <c r="F465" s="59" t="n">
        <v>3935</v>
      </c>
      <c r="G465" s="59" t="n">
        <f aca="false">F465-H465</f>
        <v>3935</v>
      </c>
      <c r="H465" s="9" t="n">
        <v>0</v>
      </c>
      <c r="J465" s="183"/>
      <c r="L465" s="0"/>
    </row>
    <row r="466" customFormat="false" ht="19.85" hidden="false" customHeight="true" outlineLevel="0" collapsed="false">
      <c r="A466" s="1" t="n">
        <v>31</v>
      </c>
      <c r="B466" s="31" t="n">
        <v>42005</v>
      </c>
      <c r="C466" s="9" t="n">
        <v>508041</v>
      </c>
      <c r="D466" s="240" t="s">
        <v>42</v>
      </c>
      <c r="E466" s="33" t="n">
        <f aca="false">IF(D466="totale",(C466/(A466*24))/F466,IF(D466="marché libre",(C466/(A466*24))/G466,"spécifier histo"))</f>
        <v>0.173532606468008</v>
      </c>
      <c r="F466" s="59" t="n">
        <v>3935</v>
      </c>
      <c r="G466" s="59" t="n">
        <f aca="false">F466-H466</f>
        <v>3935</v>
      </c>
      <c r="H466" s="9" t="n">
        <v>0</v>
      </c>
      <c r="J466" s="183"/>
      <c r="L466" s="0"/>
    </row>
    <row r="467" customFormat="false" ht="19.85" hidden="false" customHeight="true" outlineLevel="0" collapsed="false">
      <c r="A467" s="1" t="n">
        <v>28</v>
      </c>
      <c r="B467" s="34" t="n">
        <v>42036</v>
      </c>
      <c r="C467" s="9" t="n">
        <v>288146</v>
      </c>
      <c r="D467" s="240" t="s">
        <v>42</v>
      </c>
      <c r="E467" s="33" t="n">
        <f aca="false">IF(D467="totale",(C467/(A467*24))/F467,IF(D467="marché libre",(C467/(A467*24))/G467,"spécifier histo"))</f>
        <v>0.108967901010468</v>
      </c>
      <c r="F467" s="59" t="n">
        <v>3935</v>
      </c>
      <c r="G467" s="59" t="n">
        <f aca="false">F467-H467</f>
        <v>3935</v>
      </c>
      <c r="H467" s="9" t="n">
        <v>0</v>
      </c>
      <c r="J467" s="183"/>
      <c r="L467" s="0"/>
    </row>
    <row r="468" customFormat="false" ht="19.85" hidden="false" customHeight="true" outlineLevel="0" collapsed="false">
      <c r="A468" s="1" t="n">
        <v>31</v>
      </c>
      <c r="B468" s="31" t="n">
        <v>42064</v>
      </c>
      <c r="C468" s="9" t="n">
        <v>614245</v>
      </c>
      <c r="D468" s="240" t="s">
        <v>42</v>
      </c>
      <c r="E468" s="33" t="n">
        <f aca="false">IF(D468="totale",(C468/(A468*24))/F468,IF(D468="marché libre",(C468/(A468*24))/G468,"spécifier histo"))</f>
        <v>0.209808924594554</v>
      </c>
      <c r="F468" s="59" t="n">
        <v>3935</v>
      </c>
      <c r="G468" s="59" t="n">
        <f aca="false">F468-H468</f>
        <v>3935</v>
      </c>
      <c r="H468" s="9" t="n">
        <v>0</v>
      </c>
      <c r="J468" s="183"/>
      <c r="L468" s="0"/>
    </row>
    <row r="469" customFormat="false" ht="19.85" hidden="false" customHeight="true" outlineLevel="0" collapsed="false">
      <c r="A469" s="1" t="n">
        <v>30</v>
      </c>
      <c r="B469" s="34" t="n">
        <v>42095</v>
      </c>
      <c r="C469" s="9" t="n">
        <v>1351119</v>
      </c>
      <c r="D469" s="240" t="s">
        <v>42</v>
      </c>
      <c r="E469" s="33" t="n">
        <f aca="false">IF(D469="totale",(C469/(A469*24))/F469,IF(D469="marché libre",(C469/(A469*24))/G469,"spécifier histo"))</f>
        <v>0.476887971198645</v>
      </c>
      <c r="F469" s="59" t="n">
        <v>3935</v>
      </c>
      <c r="G469" s="59" t="n">
        <f aca="false">F469-H469</f>
        <v>3935</v>
      </c>
      <c r="H469" s="9" t="n">
        <v>0</v>
      </c>
      <c r="J469" s="183"/>
      <c r="L469" s="0"/>
    </row>
    <row r="470" customFormat="false" ht="19.85" hidden="false" customHeight="true" outlineLevel="0" collapsed="false">
      <c r="A470" s="1" t="n">
        <v>31</v>
      </c>
      <c r="B470" s="31" t="n">
        <v>42125</v>
      </c>
      <c r="C470" s="9" t="n">
        <v>2255706</v>
      </c>
      <c r="D470" s="240" t="s">
        <v>42</v>
      </c>
      <c r="E470" s="33" t="n">
        <f aca="false">IF(D470="totale",(C470/(A470*24))/F470,IF(D470="marché libre",(C470/(A470*24))/G470,"spécifier histo"))</f>
        <v>0.77048612534328</v>
      </c>
      <c r="F470" s="59" t="n">
        <v>3935</v>
      </c>
      <c r="G470" s="59" t="n">
        <f aca="false">F470-H470</f>
        <v>3935</v>
      </c>
      <c r="H470" s="9" t="n">
        <v>0</v>
      </c>
      <c r="J470" s="183"/>
      <c r="L470" s="0"/>
    </row>
    <row r="471" customFormat="false" ht="19.85" hidden="false" customHeight="true" outlineLevel="0" collapsed="false">
      <c r="A471" s="1" t="n">
        <v>30</v>
      </c>
      <c r="B471" s="34" t="n">
        <v>42156</v>
      </c>
      <c r="C471" s="9" t="n">
        <v>2255706</v>
      </c>
      <c r="D471" s="240" t="s">
        <v>42</v>
      </c>
      <c r="E471" s="33" t="n">
        <f aca="false">IF(D471="totale",(C471/(A471*24))/F471,IF(D471="marché libre",(C471/(A471*24))/G471,"spécifier histo"))</f>
        <v>0.796168996188056</v>
      </c>
      <c r="F471" s="59" t="n">
        <v>3935</v>
      </c>
      <c r="G471" s="59" t="n">
        <f aca="false">F471-H471</f>
        <v>3935</v>
      </c>
      <c r="H471" s="9" t="n">
        <v>0</v>
      </c>
      <c r="J471" s="183"/>
      <c r="L471" s="0"/>
    </row>
    <row r="472" customFormat="false" ht="19.85" hidden="false" customHeight="true" outlineLevel="0" collapsed="false">
      <c r="A472" s="1" t="n">
        <v>31</v>
      </c>
      <c r="B472" s="31" t="n">
        <v>42186</v>
      </c>
      <c r="C472" s="9" t="n">
        <v>1330324</v>
      </c>
      <c r="D472" s="240" t="s">
        <v>42</v>
      </c>
      <c r="E472" s="33" t="n">
        <f aca="false">IF(D472="totale",(C472/(A472*24))/F472,IF(D472="marché libre",(C472/(A472*24))/G472,"spécifier histo"))</f>
        <v>0.454401497451872</v>
      </c>
      <c r="F472" s="59" t="n">
        <v>3935</v>
      </c>
      <c r="G472" s="59" t="n">
        <f aca="false">F472-H472</f>
        <v>3935</v>
      </c>
      <c r="H472" s="9" t="n">
        <v>0</v>
      </c>
      <c r="J472" s="183"/>
      <c r="L472" s="0"/>
    </row>
    <row r="473" customFormat="false" ht="19.85" hidden="false" customHeight="true" outlineLevel="0" collapsed="false">
      <c r="A473" s="1" t="n">
        <v>31</v>
      </c>
      <c r="B473" s="34" t="n">
        <v>42217</v>
      </c>
      <c r="C473" s="9" t="n">
        <v>1067291</v>
      </c>
      <c r="D473" s="240" t="s">
        <v>42</v>
      </c>
      <c r="E473" s="33" t="n">
        <f aca="false">IF(D473="totale",(C473/(A473*24))/F473,IF(D473="marché libre",(C473/(A473*24))/G473,"spécifier histo"))</f>
        <v>0.364556776106352</v>
      </c>
      <c r="F473" s="59" t="n">
        <v>3935</v>
      </c>
      <c r="G473" s="59" t="n">
        <f aca="false">F473-H473</f>
        <v>3935</v>
      </c>
      <c r="H473" s="9" t="n">
        <v>0</v>
      </c>
      <c r="J473" s="183"/>
      <c r="L473" s="0"/>
    </row>
    <row r="474" customFormat="false" ht="19.85" hidden="false" customHeight="true" outlineLevel="0" collapsed="false">
      <c r="A474" s="1" t="n">
        <v>30</v>
      </c>
      <c r="B474" s="31" t="n">
        <v>42248</v>
      </c>
      <c r="C474" s="9" t="n">
        <v>949978</v>
      </c>
      <c r="D474" s="240" t="s">
        <v>42</v>
      </c>
      <c r="E474" s="33" t="n">
        <f aca="false">IF(D474="totale",(C474/(A474*24))/F474,IF(D474="marché libre",(C474/(A474*24))/G474,"spécifier histo"))</f>
        <v>0.335302131865029</v>
      </c>
      <c r="F474" s="59" t="n">
        <v>3935</v>
      </c>
      <c r="G474" s="59" t="n">
        <f aca="false">F474-H474</f>
        <v>3935</v>
      </c>
      <c r="H474" s="9" t="n">
        <v>0</v>
      </c>
      <c r="J474" s="183"/>
      <c r="L474" s="0"/>
    </row>
    <row r="475" customFormat="false" ht="19.85" hidden="false" customHeight="true" outlineLevel="0" collapsed="false">
      <c r="A475" s="1" t="n">
        <v>31</v>
      </c>
      <c r="B475" s="34" t="n">
        <v>42278</v>
      </c>
      <c r="C475" s="9" t="n">
        <v>411381</v>
      </c>
      <c r="D475" s="240" t="s">
        <v>42</v>
      </c>
      <c r="E475" s="33" t="n">
        <f aca="false">IF(D475="totale",(C475/(A475*24))/F475,IF(D475="marché libre",(C475/(A475*24))/G475,"spécifier histo"))</f>
        <v>0.140516251998196</v>
      </c>
      <c r="F475" s="59" t="n">
        <v>3935</v>
      </c>
      <c r="G475" s="59" t="n">
        <f aca="false">F475-H475</f>
        <v>3935</v>
      </c>
      <c r="H475" s="9" t="n">
        <v>0</v>
      </c>
      <c r="J475" s="183" t="s">
        <v>1223</v>
      </c>
      <c r="L475" s="0"/>
    </row>
    <row r="476" customFormat="false" ht="19.85" hidden="false" customHeight="true" outlineLevel="0" collapsed="false">
      <c r="A476" s="1" t="n">
        <v>30</v>
      </c>
      <c r="B476" s="31" t="n">
        <v>42309</v>
      </c>
      <c r="C476" s="9" t="n">
        <v>438075</v>
      </c>
      <c r="D476" s="240" t="s">
        <v>42</v>
      </c>
      <c r="E476" s="33" t="n">
        <f aca="false">IF(D476="totale",(C476/(A476*24))/F476,IF(D476="marché libre",(C476/(A476*24))/G476,"spécifier histo"))</f>
        <v>0.154621982210928</v>
      </c>
      <c r="F476" s="59" t="n">
        <v>3935</v>
      </c>
      <c r="G476" s="59" t="n">
        <f aca="false">F476-H476</f>
        <v>3935</v>
      </c>
      <c r="H476" s="9" t="n">
        <v>0</v>
      </c>
      <c r="J476" s="183" t="s">
        <v>1224</v>
      </c>
      <c r="L476" s="0"/>
    </row>
    <row r="477" customFormat="false" ht="19.85" hidden="false" customHeight="true" outlineLevel="0" collapsed="false">
      <c r="A477" s="1" t="n">
        <v>31</v>
      </c>
      <c r="B477" s="34" t="n">
        <v>42339</v>
      </c>
      <c r="C477" s="9" t="n">
        <v>615030</v>
      </c>
      <c r="D477" s="240" t="s">
        <v>42</v>
      </c>
      <c r="E477" s="33" t="n">
        <f aca="false">IF(D477="totale",(C477/(A477*24))/F477,IF(D477="marché libre",(C477/(A477*24))/G477,"spécifier histo"))</f>
        <v>0.210077058654753</v>
      </c>
      <c r="F477" s="59" t="n">
        <v>3935</v>
      </c>
      <c r="G477" s="59" t="n">
        <f aca="false">F477-H477</f>
        <v>3935</v>
      </c>
      <c r="H477" s="9" t="n">
        <v>0</v>
      </c>
      <c r="J477" s="183" t="s">
        <v>1225</v>
      </c>
      <c r="L477" s="0"/>
    </row>
    <row r="478" customFormat="false" ht="19.85" hidden="false" customHeight="true" outlineLevel="0" collapsed="false">
      <c r="A478" s="1" t="n">
        <v>31</v>
      </c>
      <c r="B478" s="31" t="n">
        <v>42370</v>
      </c>
      <c r="C478" s="28" t="n">
        <v>701622</v>
      </c>
      <c r="D478" s="240" t="s">
        <v>42</v>
      </c>
      <c r="E478" s="33" t="n">
        <f aca="false">IF(D478="totale",(C478/(A478*24))/F478,IF(D478="marché libre",(C478/(A478*24))/G478,"spécifier histo"))</f>
        <v>0.239654465712997</v>
      </c>
      <c r="F478" s="57" t="n">
        <v>3935</v>
      </c>
      <c r="G478" s="57" t="n">
        <f aca="false">F478-H478</f>
        <v>3935</v>
      </c>
      <c r="H478" s="28" t="n">
        <v>0</v>
      </c>
      <c r="J478" s="183" t="s">
        <v>1226</v>
      </c>
      <c r="K478" s="0"/>
      <c r="L478" s="0"/>
    </row>
    <row r="479" customFormat="false" ht="19.85" hidden="false" customHeight="true" outlineLevel="0" collapsed="false">
      <c r="A479" s="1" t="n">
        <v>28</v>
      </c>
      <c r="B479" s="34" t="n">
        <v>42401</v>
      </c>
      <c r="C479" s="707" t="n">
        <v>208809.99</v>
      </c>
      <c r="D479" s="708" t="s">
        <v>42</v>
      </c>
      <c r="E479" s="709" t="n">
        <f aca="false">IF(D479="totale",(C479/(A479*24))/F479,IF(D479="marché libre",(C479/(A479*24))/G479,"spécifier histo"))</f>
        <v>0.0789654769468143</v>
      </c>
      <c r="F479" s="710" t="n">
        <v>4335</v>
      </c>
      <c r="G479" s="710" t="n">
        <f aca="false">F479-H479</f>
        <v>3935</v>
      </c>
      <c r="H479" s="711" t="n">
        <v>400</v>
      </c>
      <c r="I479" s="712" t="s">
        <v>1227</v>
      </c>
      <c r="J479" s="183"/>
      <c r="K479" s="244" t="s">
        <v>1228</v>
      </c>
      <c r="L479" s="244"/>
      <c r="M479" s="230"/>
      <c r="N479" s="230"/>
      <c r="O479" s="230"/>
      <c r="P479" s="230"/>
      <c r="Q479" s="230"/>
      <c r="R479" s="230"/>
      <c r="S479" s="230"/>
    </row>
    <row r="480" customFormat="false" ht="19.85" hidden="false" customHeight="true" outlineLevel="0" collapsed="false">
      <c r="A480" s="1" t="n">
        <v>31</v>
      </c>
      <c r="B480" s="31" t="n">
        <v>42430</v>
      </c>
      <c r="C480" s="1" t="n">
        <v>81886.64</v>
      </c>
      <c r="D480" s="240" t="s">
        <v>42</v>
      </c>
      <c r="E480" s="33" t="n">
        <f aca="false">IF(D480="totale",(C480/(A480*24))/F480,IF(D480="marché libre",(C480/(A480*24))/G480,"spécifier histo"))</f>
        <v>0.0279701875913705</v>
      </c>
      <c r="F480" s="59" t="n">
        <v>4335</v>
      </c>
      <c r="G480" s="59" t="n">
        <f aca="false">F480-H480</f>
        <v>3935</v>
      </c>
      <c r="H480" s="9" t="n">
        <v>400</v>
      </c>
      <c r="J480" s="183"/>
      <c r="K480" s="713" t="s">
        <v>1229</v>
      </c>
      <c r="L480" s="244"/>
      <c r="M480" s="230"/>
      <c r="N480" s="230"/>
      <c r="O480" s="230"/>
      <c r="P480" s="230"/>
      <c r="Q480" s="230"/>
      <c r="R480" s="230"/>
      <c r="S480" s="230"/>
    </row>
    <row r="481" customFormat="false" ht="19.85" hidden="false" customHeight="true" outlineLevel="0" collapsed="false">
      <c r="A481" s="1" t="n">
        <v>30</v>
      </c>
      <c r="B481" s="34" t="n">
        <v>42461</v>
      </c>
      <c r="C481" s="1" t="n">
        <v>1117012.14</v>
      </c>
      <c r="D481" s="240" t="s">
        <v>42</v>
      </c>
      <c r="E481" s="33" t="n">
        <f aca="false">IF(D481="totale",(C481/(A481*24))/F481,IF(D481="marché libre",(C481/(A481*24))/G481,"spécifier histo"))</f>
        <v>0.394258132147395</v>
      </c>
      <c r="F481" s="59" t="n">
        <v>4335</v>
      </c>
      <c r="G481" s="59" t="n">
        <f aca="false">F481-H481</f>
        <v>3935</v>
      </c>
      <c r="H481" s="9" t="n">
        <v>400</v>
      </c>
      <c r="J481" s="183"/>
      <c r="K481" s="713" t="s">
        <v>1230</v>
      </c>
      <c r="L481" s="244"/>
      <c r="M481" s="230"/>
      <c r="N481" s="230"/>
      <c r="O481" s="230"/>
      <c r="P481" s="230"/>
      <c r="Q481" s="230"/>
      <c r="R481" s="230"/>
      <c r="S481" s="230"/>
    </row>
    <row r="482" customFormat="false" ht="19.85" hidden="false" customHeight="true" outlineLevel="0" collapsed="false">
      <c r="A482" s="1" t="n">
        <v>31</v>
      </c>
      <c r="B482" s="31" t="n">
        <v>42491</v>
      </c>
      <c r="C482" s="1" t="n">
        <v>1630087.14</v>
      </c>
      <c r="D482" s="240" t="s">
        <v>42</v>
      </c>
      <c r="E482" s="33" t="n">
        <f aca="false">IF(D482="totale",(C482/(A482*24))/F482,IF(D482="marché libre",(C482/(A482*24))/G482,"spécifier histo"))</f>
        <v>0.556792208058368</v>
      </c>
      <c r="F482" s="59" t="n">
        <v>4335</v>
      </c>
      <c r="G482" s="59" t="n">
        <f aca="false">F482-H482</f>
        <v>3935</v>
      </c>
      <c r="H482" s="9" t="n">
        <v>400</v>
      </c>
      <c r="J482" s="183"/>
      <c r="K482" s="713" t="s">
        <v>1231</v>
      </c>
      <c r="L482" s="244"/>
      <c r="M482" s="230"/>
      <c r="N482" s="230"/>
      <c r="O482" s="230"/>
      <c r="P482" s="230"/>
      <c r="Q482" s="230"/>
      <c r="R482" s="230"/>
      <c r="S482" s="230"/>
    </row>
    <row r="483" customFormat="false" ht="19.85" hidden="false" customHeight="true" outlineLevel="0" collapsed="false">
      <c r="A483" s="1" t="n">
        <v>30</v>
      </c>
      <c r="B483" s="34" t="n">
        <v>42522</v>
      </c>
      <c r="C483" s="1" t="n">
        <v>2198756.49</v>
      </c>
      <c r="D483" s="240" t="s">
        <v>42</v>
      </c>
      <c r="E483" s="33" t="n">
        <f aca="false">IF(D483="totale",(C483/(A483*24))/F483,IF(D483="marché libre",(C483/(A483*24))/G483,"spécifier histo"))</f>
        <v>0.776068223210504</v>
      </c>
      <c r="F483" s="59" t="n">
        <v>4335</v>
      </c>
      <c r="G483" s="59" t="n">
        <f aca="false">F483-H483</f>
        <v>3935</v>
      </c>
      <c r="H483" s="9" t="n">
        <v>400</v>
      </c>
      <c r="J483" s="183"/>
      <c r="K483" s="713" t="s">
        <v>1232</v>
      </c>
      <c r="L483" s="244"/>
      <c r="M483" s="230"/>
      <c r="N483" s="230"/>
      <c r="O483" s="230"/>
      <c r="P483" s="230"/>
      <c r="Q483" s="230"/>
      <c r="R483" s="230"/>
      <c r="S483" s="230"/>
    </row>
    <row r="484" customFormat="false" ht="19.85" hidden="false" customHeight="true" outlineLevel="0" collapsed="false">
      <c r="A484" s="1" t="n">
        <v>31</v>
      </c>
      <c r="B484" s="31" t="n">
        <v>42552</v>
      </c>
      <c r="C484" s="1" t="n">
        <v>1963079</v>
      </c>
      <c r="D484" s="240" t="s">
        <v>42</v>
      </c>
      <c r="E484" s="33" t="n">
        <f aca="false">IF(D484="totale",(C484/(A484*24))/F484,IF(D484="marché libre",(C484/(A484*24))/G484,"spécifier histo"))</f>
        <v>0.670532920714295</v>
      </c>
      <c r="F484" s="59" t="n">
        <v>4335</v>
      </c>
      <c r="G484" s="59" t="n">
        <f aca="false">F484-H484</f>
        <v>3935</v>
      </c>
      <c r="H484" s="9" t="n">
        <v>400</v>
      </c>
      <c r="J484" s="183"/>
      <c r="K484" s="713" t="s">
        <v>1233</v>
      </c>
      <c r="L484" s="244"/>
      <c r="M484" s="230"/>
      <c r="N484" s="230"/>
      <c r="O484" s="230"/>
      <c r="P484" s="230"/>
      <c r="Q484" s="230"/>
      <c r="R484" s="230"/>
      <c r="S484" s="230"/>
    </row>
    <row r="485" customFormat="false" ht="19.85" hidden="false" customHeight="true" outlineLevel="0" collapsed="false">
      <c r="A485" s="1" t="n">
        <v>31</v>
      </c>
      <c r="B485" s="34" t="n">
        <v>42583</v>
      </c>
      <c r="C485" s="1" t="n">
        <v>1261241</v>
      </c>
      <c r="D485" s="240" t="s">
        <v>42</v>
      </c>
      <c r="E485" s="33" t="n">
        <f aca="false">IF(D485="totale",(C485/(A485*24))/F485,IF(D485="marché libre",(C485/(A485*24))/G485,"spécifier histo"))</f>
        <v>0.430804675438237</v>
      </c>
      <c r="F485" s="59" t="n">
        <v>4335</v>
      </c>
      <c r="G485" s="59" t="n">
        <f aca="false">F485-H485</f>
        <v>3935</v>
      </c>
      <c r="H485" s="9" t="n">
        <v>400</v>
      </c>
      <c r="J485" s="183"/>
      <c r="K485" s="713" t="s">
        <v>1234</v>
      </c>
      <c r="L485" s="244"/>
      <c r="M485" s="230"/>
      <c r="N485" s="230"/>
      <c r="O485" s="230"/>
      <c r="P485" s="230"/>
      <c r="Q485" s="230"/>
      <c r="R485" s="230"/>
      <c r="S485" s="230"/>
    </row>
    <row r="486" customFormat="false" ht="19.85" hidden="false" customHeight="true" outlineLevel="0" collapsed="false">
      <c r="A486" s="1" t="n">
        <v>30</v>
      </c>
      <c r="B486" s="31" t="n">
        <v>42614</v>
      </c>
      <c r="C486" s="1" t="n">
        <v>559281</v>
      </c>
      <c r="D486" s="240" t="s">
        <v>42</v>
      </c>
      <c r="E486" s="33" t="n">
        <f aca="false">IF(D486="totale",(C486/(A486*24))/F486,IF(D486="marché libre",(C486/(A486*24))/G486,"spécifier histo"))</f>
        <v>0.197402583650995</v>
      </c>
      <c r="F486" s="59" t="n">
        <v>4335</v>
      </c>
      <c r="G486" s="59" t="n">
        <f aca="false">F486-H486</f>
        <v>3935</v>
      </c>
      <c r="H486" s="9" t="n">
        <v>400</v>
      </c>
      <c r="J486" s="183"/>
      <c r="K486" s="713" t="s">
        <v>1235</v>
      </c>
      <c r="L486" s="244"/>
      <c r="M486" s="230"/>
      <c r="N486" s="230"/>
      <c r="O486" s="230"/>
      <c r="P486" s="230"/>
      <c r="Q486" s="230"/>
      <c r="R486" s="230"/>
      <c r="S486" s="230"/>
    </row>
    <row r="487" customFormat="false" ht="19.85" hidden="false" customHeight="true" outlineLevel="0" collapsed="false">
      <c r="A487" s="1" t="n">
        <v>31</v>
      </c>
      <c r="B487" s="34" t="n">
        <v>42644</v>
      </c>
      <c r="C487" s="1" t="n">
        <v>447859.14</v>
      </c>
      <c r="D487" s="240" t="s">
        <v>42</v>
      </c>
      <c r="E487" s="33" t="n">
        <f aca="false">IF(D487="totale",(C487/(A487*24))/F487,IF(D487="marché libre",(C487/(A487*24))/G487,"spécifier histo"))</f>
        <v>0.152976165102267</v>
      </c>
      <c r="F487" s="59" t="n">
        <v>4335</v>
      </c>
      <c r="G487" s="59" t="n">
        <f aca="false">F487-H487</f>
        <v>3935</v>
      </c>
      <c r="H487" s="9" t="n">
        <v>400</v>
      </c>
      <c r="J487" s="183"/>
      <c r="K487" s="713" t="s">
        <v>1236</v>
      </c>
      <c r="L487" s="244"/>
      <c r="M487" s="230"/>
      <c r="N487" s="230"/>
      <c r="O487" s="230"/>
      <c r="P487" s="230"/>
      <c r="Q487" s="230"/>
      <c r="R487" s="230"/>
      <c r="S487" s="230"/>
    </row>
    <row r="488" customFormat="false" ht="19.85" hidden="false" customHeight="true" outlineLevel="0" collapsed="false">
      <c r="A488" s="1" t="n">
        <v>30</v>
      </c>
      <c r="B488" s="31" t="n">
        <v>42675</v>
      </c>
      <c r="C488" s="1" t="n">
        <v>638330.5</v>
      </c>
      <c r="D488" s="240" t="s">
        <v>42</v>
      </c>
      <c r="E488" s="33" t="n">
        <f aca="false">IF(D488="totale",(C488/(A488*24))/F488,IF(D488="marché libre",(C488/(A488*24))/G488,"spécifier histo"))</f>
        <v>0.225303720175067</v>
      </c>
      <c r="F488" s="59" t="n">
        <v>4335</v>
      </c>
      <c r="G488" s="59" t="n">
        <f aca="false">F488-H488</f>
        <v>3935</v>
      </c>
      <c r="H488" s="9" t="n">
        <v>400</v>
      </c>
      <c r="J488" s="183"/>
      <c r="K488" s="713" t="s">
        <v>1237</v>
      </c>
      <c r="L488" s="244"/>
      <c r="M488" s="230"/>
      <c r="N488" s="230"/>
      <c r="O488" s="230"/>
      <c r="P488" s="230"/>
      <c r="Q488" s="230"/>
      <c r="R488" s="230"/>
      <c r="S488" s="230"/>
    </row>
    <row r="489" customFormat="false" ht="19.85" hidden="false" customHeight="true" outlineLevel="0" collapsed="false">
      <c r="A489" s="1" t="n">
        <v>31</v>
      </c>
      <c r="B489" s="34" t="n">
        <v>42705</v>
      </c>
      <c r="C489" s="1" t="n">
        <v>58740.81</v>
      </c>
      <c r="D489" s="240" t="s">
        <v>42</v>
      </c>
      <c r="E489" s="33" t="n">
        <f aca="false">IF(D489="totale",(C489/(A489*24))/F489,IF(D489="marché libre",(C489/(A489*24))/G489,"spécifier histo"))</f>
        <v>0.0200642189613477</v>
      </c>
      <c r="F489" s="59" t="n">
        <v>4335</v>
      </c>
      <c r="G489" s="59" t="n">
        <f aca="false">F489-H489</f>
        <v>3935</v>
      </c>
      <c r="H489" s="9" t="n">
        <v>400</v>
      </c>
      <c r="J489" s="183"/>
      <c r="K489" s="713" t="s">
        <v>1238</v>
      </c>
      <c r="L489" s="244"/>
      <c r="M489" s="230"/>
      <c r="N489" s="230"/>
      <c r="O489" s="230"/>
      <c r="P489" s="230"/>
      <c r="Q489" s="230"/>
      <c r="R489" s="230"/>
      <c r="S489" s="230"/>
    </row>
    <row r="490" customFormat="false" ht="19.85" hidden="false" customHeight="true" outlineLevel="0" collapsed="false">
      <c r="A490" s="1" t="n">
        <v>31</v>
      </c>
      <c r="B490" s="31" t="n">
        <v>42736</v>
      </c>
      <c r="C490" s="9" t="n">
        <v>2198.25</v>
      </c>
      <c r="D490" s="240" t="s">
        <v>42</v>
      </c>
      <c r="E490" s="33" t="n">
        <f aca="false">IF(D490="totale",(C490/(A490*24))/F490,IF(D490="marché libre",(C490/(A490*24))/G490,"spécifier histo"))</f>
        <v>0.000750860761569045</v>
      </c>
      <c r="F490" s="59" t="n">
        <v>4335</v>
      </c>
      <c r="G490" s="59" t="n">
        <f aca="false">F490-H490</f>
        <v>3935</v>
      </c>
      <c r="H490" s="9" t="n">
        <v>400</v>
      </c>
      <c r="J490" s="714" t="s">
        <v>1239</v>
      </c>
      <c r="K490" s="713" t="s">
        <v>1240</v>
      </c>
      <c r="L490" s="244"/>
      <c r="M490" s="230"/>
      <c r="N490" s="230"/>
      <c r="O490" s="230"/>
      <c r="P490" s="230"/>
      <c r="Q490" s="230"/>
      <c r="R490" s="230"/>
      <c r="S490" s="230"/>
    </row>
    <row r="491" customFormat="false" ht="19.85" hidden="false" customHeight="true" outlineLevel="0" collapsed="false">
      <c r="A491" s="1" t="n">
        <v>28</v>
      </c>
      <c r="B491" s="34" t="n">
        <v>42767</v>
      </c>
      <c r="C491" s="715" t="n">
        <v>0</v>
      </c>
      <c r="D491" s="240" t="s">
        <v>42</v>
      </c>
      <c r="E491" s="33" t="n">
        <f aca="false">IF(D491="totale",(C491/(A491*24))/F491,IF(D491="marché libre",(C491/(A491*24))/G491,"spécifier histo"))</f>
        <v>0</v>
      </c>
      <c r="F491" s="59" t="n">
        <v>4335</v>
      </c>
      <c r="G491" s="59" t="n">
        <f aca="false">F491-H491</f>
        <v>3935</v>
      </c>
      <c r="H491" s="9" t="n">
        <v>400</v>
      </c>
      <c r="J491" s="183"/>
      <c r="K491" s="202" t="s">
        <v>189</v>
      </c>
      <c r="L491" s="0"/>
    </row>
    <row r="492" customFormat="false" ht="19.85" hidden="false" customHeight="true" outlineLevel="0" collapsed="false">
      <c r="A492" s="1" t="n">
        <v>31</v>
      </c>
      <c r="B492" s="31" t="n">
        <v>42795</v>
      </c>
      <c r="C492" s="9" t="n">
        <v>314506.27</v>
      </c>
      <c r="D492" s="240" t="s">
        <v>42</v>
      </c>
      <c r="E492" s="33" t="n">
        <f aca="false">IF(D492="totale",(C492/(A492*24))/F492,IF(D492="marché libre",(C492/(A492*24))/G492,"spécifier histo"))</f>
        <v>0.107426551761829</v>
      </c>
      <c r="F492" s="59" t="n">
        <v>4335</v>
      </c>
      <c r="G492" s="59" t="n">
        <f aca="false">F492-H492</f>
        <v>3935</v>
      </c>
      <c r="H492" s="9" t="n">
        <v>400</v>
      </c>
      <c r="J492" s="183"/>
      <c r="L492" s="0"/>
    </row>
    <row r="493" customFormat="false" ht="19.85" hidden="false" customHeight="true" outlineLevel="0" collapsed="false">
      <c r="A493" s="1" t="n">
        <v>30</v>
      </c>
      <c r="B493" s="34" t="n">
        <v>42826</v>
      </c>
      <c r="C493" s="9" t="n">
        <v>497219</v>
      </c>
      <c r="D493" s="240" t="s">
        <v>42</v>
      </c>
      <c r="E493" s="33" t="n">
        <f aca="false">IF(D493="totale",(C493/(A493*24))/F493,IF(D493="marché libre",(C493/(A493*24))/G493,"spécifier histo"))</f>
        <v>0.175497317520825</v>
      </c>
      <c r="F493" s="59" t="n">
        <v>4335</v>
      </c>
      <c r="G493" s="59" t="n">
        <f aca="false">F493-H493</f>
        <v>3935</v>
      </c>
      <c r="H493" s="9" t="n">
        <v>400</v>
      </c>
      <c r="J493" s="183"/>
      <c r="L493" s="0"/>
    </row>
    <row r="494" customFormat="false" ht="19.85" hidden="false" customHeight="true" outlineLevel="0" collapsed="false">
      <c r="A494" s="1" t="n">
        <v>31</v>
      </c>
      <c r="B494" s="31" t="n">
        <v>42856</v>
      </c>
      <c r="C494" s="9" t="n">
        <v>1547976</v>
      </c>
      <c r="D494" s="240" t="s">
        <v>42</v>
      </c>
      <c r="E494" s="33" t="n">
        <f aca="false">IF(D494="totale",(C494/(A494*24))/F494,IF(D494="marché libre",(C494/(A494*24))/G494,"spécifier histo"))</f>
        <v>0.528745337541501</v>
      </c>
      <c r="F494" s="59" t="n">
        <v>4335</v>
      </c>
      <c r="G494" s="59" t="n">
        <f aca="false">F494-H494</f>
        <v>3935</v>
      </c>
      <c r="H494" s="9" t="n">
        <v>400</v>
      </c>
      <c r="J494" s="716" t="s">
        <v>1241</v>
      </c>
      <c r="L494" s="0"/>
    </row>
    <row r="495" customFormat="false" ht="19.85" hidden="false" customHeight="true" outlineLevel="0" collapsed="false">
      <c r="A495" s="1" t="n">
        <v>30</v>
      </c>
      <c r="B495" s="34" t="n">
        <v>42887</v>
      </c>
      <c r="C495" s="9" t="n">
        <v>1724969</v>
      </c>
      <c r="D495" s="240" t="s">
        <v>42</v>
      </c>
      <c r="E495" s="33" t="n">
        <f aca="false">IF(D495="totale",(C495/(A495*24))/F495,IF(D495="marché libre",(C495/(A495*24))/G495,"spécifier histo"))</f>
        <v>0.608841239587745</v>
      </c>
      <c r="F495" s="59" t="n">
        <v>4335</v>
      </c>
      <c r="G495" s="59" t="n">
        <f aca="false">F495-H495</f>
        <v>3935</v>
      </c>
      <c r="H495" s="9" t="n">
        <v>400</v>
      </c>
      <c r="J495" s="716" t="s">
        <v>1242</v>
      </c>
      <c r="L495" s="0"/>
    </row>
    <row r="496" customFormat="false" ht="19.85" hidden="false" customHeight="true" outlineLevel="0" collapsed="false">
      <c r="A496" s="1" t="n">
        <v>31</v>
      </c>
      <c r="B496" s="31" t="n">
        <v>42917</v>
      </c>
      <c r="C496" s="9" t="n">
        <v>1103135</v>
      </c>
      <c r="D496" s="240" t="s">
        <v>42</v>
      </c>
      <c r="E496" s="33" t="n">
        <f aca="false">IF(D496="totale",(C496/(A496*24))/F496,IF(D496="marché libre",(C496/(A496*24))/G496,"spécifier histo"))</f>
        <v>0.376800084709869</v>
      </c>
      <c r="F496" s="59" t="n">
        <v>4335</v>
      </c>
      <c r="G496" s="59" t="n">
        <f aca="false">F496-H496</f>
        <v>3935</v>
      </c>
      <c r="H496" s="9" t="n">
        <v>400</v>
      </c>
      <c r="J496" s="716" t="s">
        <v>1243</v>
      </c>
      <c r="L496" s="0"/>
    </row>
    <row r="497" customFormat="false" ht="19.85" hidden="false" customHeight="true" outlineLevel="0" collapsed="false">
      <c r="A497" s="1" t="n">
        <v>31</v>
      </c>
      <c r="B497" s="34" t="n">
        <v>42948</v>
      </c>
      <c r="C497" s="9" t="n">
        <v>781092</v>
      </c>
      <c r="D497" s="240" t="s">
        <v>42</v>
      </c>
      <c r="E497" s="33" t="n">
        <f aca="false">IF(D497="totale",(C497/(A497*24))/F497,IF(D497="marché libre",(C497/(A497*24))/G497,"spécifier histo"))</f>
        <v>0.266799196622535</v>
      </c>
      <c r="F497" s="59" t="n">
        <v>4335</v>
      </c>
      <c r="G497" s="59" t="n">
        <f aca="false">F497-H497</f>
        <v>3935</v>
      </c>
      <c r="H497" s="9" t="n">
        <v>400</v>
      </c>
      <c r="J497" s="716" t="s">
        <v>189</v>
      </c>
      <c r="L497" s="0"/>
    </row>
    <row r="498" customFormat="false" ht="19.85" hidden="false" customHeight="true" outlineLevel="0" collapsed="false">
      <c r="A498" s="1" t="n">
        <v>30</v>
      </c>
      <c r="B498" s="31" t="n">
        <v>42979</v>
      </c>
      <c r="C498" s="9" t="n">
        <v>720462</v>
      </c>
      <c r="D498" s="240" t="s">
        <v>42</v>
      </c>
      <c r="E498" s="33" t="e">
        <f aca="false">IF(D498="totale",(C498/(A498*24))/F498,IF(D498="marché libre",(C498/(A498*24))/G498,"spécifier histo"))</f>
        <v>#DIV/0!</v>
      </c>
      <c r="F498" s="59" t="n">
        <v>4335</v>
      </c>
      <c r="G498" s="0"/>
      <c r="H498" s="9" t="n">
        <v>400</v>
      </c>
      <c r="J498" s="716" t="s">
        <v>1244</v>
      </c>
      <c r="L498" s="0"/>
    </row>
    <row r="499" customFormat="false" ht="19.85" hidden="false" customHeight="true" outlineLevel="0" collapsed="false">
      <c r="A499" s="1" t="n">
        <v>31</v>
      </c>
      <c r="B499" s="34" t="n">
        <v>43009</v>
      </c>
      <c r="C499" s="9" t="n">
        <v>392875</v>
      </c>
      <c r="D499" s="240" t="s">
        <v>42</v>
      </c>
      <c r="E499" s="33" t="n">
        <f aca="false">IF(D499="totale",(C499/(A499*24))/F499,IF(D499="marché libre",(C499/(A499*24))/G499,"spécifier histo"))</f>
        <v>0.134195119618532</v>
      </c>
      <c r="F499" s="59" t="n">
        <v>4335</v>
      </c>
      <c r="G499" s="59" t="n">
        <f aca="false">F499-H499</f>
        <v>3935</v>
      </c>
      <c r="H499" s="9" t="n">
        <v>400</v>
      </c>
      <c r="J499" s="716" t="s">
        <v>1245</v>
      </c>
      <c r="L499" s="0"/>
    </row>
    <row r="500" customFormat="false" ht="19.85" hidden="false" customHeight="true" outlineLevel="0" collapsed="false">
      <c r="A500" s="1" t="n">
        <v>30</v>
      </c>
      <c r="B500" s="31" t="n">
        <v>43040</v>
      </c>
      <c r="C500" s="9" t="n">
        <v>354031</v>
      </c>
      <c r="D500" s="240" t="s">
        <v>42</v>
      </c>
      <c r="E500" s="33" t="n">
        <f aca="false">IF(D500="totale",(C500/(A500*24))/F500,IF(D500="marché libre",(C500/(A500*24))/G500,"spécifier histo"))</f>
        <v>0.124957998023436</v>
      </c>
      <c r="F500" s="59" t="n">
        <v>4335</v>
      </c>
      <c r="G500" s="59" t="n">
        <f aca="false">F500-H500</f>
        <v>3935</v>
      </c>
      <c r="H500" s="9" t="n">
        <v>400</v>
      </c>
      <c r="J500" s="716" t="s">
        <v>1246</v>
      </c>
      <c r="L500" s="0"/>
    </row>
    <row r="501" customFormat="false" ht="20.8" hidden="false" customHeight="true" outlineLevel="0" collapsed="false">
      <c r="A501" s="1" t="n">
        <v>31</v>
      </c>
      <c r="B501" s="34" t="n">
        <v>43070</v>
      </c>
      <c r="C501" s="9" t="n">
        <v>195572</v>
      </c>
      <c r="D501" s="240" t="s">
        <v>42</v>
      </c>
      <c r="E501" s="33" t="n">
        <f aca="false">IF(D501="totale",(C501/(A501*24))/F501,IF(D501="marché libre",(C501/(A501*24))/G501,"spécifier histo"))</f>
        <v>0.0668019291989452</v>
      </c>
      <c r="F501" s="59" t="n">
        <v>4335</v>
      </c>
      <c r="G501" s="59" t="n">
        <f aca="false">F501-H501</f>
        <v>3935</v>
      </c>
      <c r="H501" s="9" t="n">
        <v>400</v>
      </c>
      <c r="J501" s="385" t="s">
        <v>189</v>
      </c>
      <c r="L501" s="0"/>
    </row>
    <row r="502" customFormat="false" ht="20.8" hidden="false" customHeight="true" outlineLevel="0" collapsed="false">
      <c r="L502" s="0"/>
    </row>
    <row r="503" customFormat="false" ht="20.8" hidden="false" customHeight="true" outlineLevel="0" collapsed="false">
      <c r="L503" s="0"/>
    </row>
    <row r="504" customFormat="false" ht="20.8" hidden="false" customHeight="true" outlineLevel="0" collapsed="false">
      <c r="L504" s="0"/>
    </row>
    <row r="505" customFormat="false" ht="12.8" hidden="false" customHeight="false" outlineLevel="0" collapsed="false">
      <c r="L505" s="0"/>
    </row>
    <row r="506" customFormat="false" ht="12.8" hidden="false" customHeight="false" outlineLevel="0" collapsed="false">
      <c r="L506" s="0"/>
    </row>
    <row r="507" customFormat="false" ht="12.8" hidden="false" customHeight="false" outlineLevel="0" collapsed="false">
      <c r="L507" s="0"/>
    </row>
    <row r="508" customFormat="false" ht="12.8" hidden="false" customHeight="false" outlineLevel="0" collapsed="false">
      <c r="L508" s="0"/>
    </row>
    <row r="509" customFormat="false" ht="12.8" hidden="false" customHeight="false" outlineLevel="0" collapsed="false">
      <c r="L509" s="0"/>
    </row>
    <row r="510" customFormat="false" ht="12.8" hidden="false" customHeight="false" outlineLevel="0" collapsed="false">
      <c r="L510" s="0"/>
    </row>
    <row r="511" customFormat="false" ht="12.8" hidden="false" customHeight="false" outlineLevel="0" collapsed="false">
      <c r="L511" s="0"/>
    </row>
    <row r="512" customFormat="false" ht="12.8" hidden="false" customHeight="false" outlineLevel="0" collapsed="false">
      <c r="L512" s="0"/>
    </row>
    <row r="513" customFormat="false" ht="12.8" hidden="false" customHeight="false" outlineLevel="0" collapsed="false">
      <c r="L513" s="0"/>
    </row>
    <row r="514" customFormat="false" ht="12.8" hidden="false" customHeight="false" outlineLevel="0" collapsed="false">
      <c r="L514" s="0"/>
    </row>
    <row r="515" customFormat="false" ht="12.8" hidden="false" customHeight="false" outlineLevel="0" collapsed="false">
      <c r="L515" s="0"/>
    </row>
    <row r="516" customFormat="false" ht="12.8" hidden="false" customHeight="false" outlineLevel="0" collapsed="false">
      <c r="L516" s="0"/>
    </row>
    <row r="517" customFormat="false" ht="12.8" hidden="false" customHeight="false" outlineLevel="0" collapsed="false">
      <c r="L517" s="0"/>
    </row>
    <row r="518" customFormat="false" ht="12.8" hidden="false" customHeight="false" outlineLevel="0" collapsed="false">
      <c r="L518" s="0"/>
    </row>
    <row r="519" customFormat="false" ht="12.8" hidden="false" customHeight="false" outlineLevel="0" collapsed="false">
      <c r="L519" s="0"/>
    </row>
    <row r="520" customFormat="false" ht="12.8" hidden="false" customHeight="false" outlineLevel="0" collapsed="false">
      <c r="L520" s="0"/>
    </row>
    <row r="521" customFormat="false" ht="12.8" hidden="false" customHeight="false" outlineLevel="0" collapsed="false">
      <c r="L521" s="0"/>
    </row>
    <row r="522" customFormat="false" ht="12.8" hidden="false" customHeight="false" outlineLevel="0" collapsed="false">
      <c r="L522" s="0"/>
    </row>
    <row r="523" customFormat="false" ht="12.8" hidden="false" customHeight="false" outlineLevel="0" collapsed="false">
      <c r="L523" s="0"/>
    </row>
    <row r="524" customFormat="false" ht="12.8" hidden="false" customHeight="false" outlineLevel="0" collapsed="false">
      <c r="L524" s="0"/>
    </row>
    <row r="525" customFormat="false" ht="12.8" hidden="false" customHeight="false" outlineLevel="0" collapsed="false">
      <c r="L525" s="0"/>
    </row>
    <row r="526" customFormat="false" ht="12.8" hidden="false" customHeight="false" outlineLevel="0" collapsed="false">
      <c r="L526" s="0"/>
    </row>
    <row r="527" customFormat="false" ht="12.8" hidden="false" customHeight="false" outlineLevel="0" collapsed="false">
      <c r="L527" s="0"/>
    </row>
    <row r="528" customFormat="false" ht="12.8" hidden="false" customHeight="false" outlineLevel="0" collapsed="false">
      <c r="L528" s="0"/>
    </row>
    <row r="529" customFormat="false" ht="12.8" hidden="false" customHeight="false" outlineLevel="0" collapsed="false">
      <c r="L529" s="0"/>
    </row>
    <row r="530" customFormat="false" ht="12.8" hidden="false" customHeight="false" outlineLevel="0" collapsed="false">
      <c r="L530" s="0"/>
    </row>
    <row r="531" customFormat="false" ht="12.8" hidden="false" customHeight="false" outlineLevel="0" collapsed="false">
      <c r="L531" s="0"/>
    </row>
    <row r="532" customFormat="false" ht="12.8" hidden="false" customHeight="false" outlineLevel="0" collapsed="false">
      <c r="L532" s="0"/>
    </row>
    <row r="533" customFormat="false" ht="12.8" hidden="false" customHeight="false" outlineLevel="0" collapsed="false">
      <c r="L533" s="0"/>
    </row>
    <row r="534" customFormat="false" ht="12.8" hidden="false" customHeight="false" outlineLevel="0" collapsed="false">
      <c r="L534" s="0"/>
    </row>
    <row r="535" customFormat="false" ht="12.8" hidden="false" customHeight="false" outlineLevel="0" collapsed="false">
      <c r="L535" s="0"/>
    </row>
    <row r="536" customFormat="false" ht="12.8" hidden="false" customHeight="false" outlineLevel="0" collapsed="false">
      <c r="L536" s="0"/>
    </row>
    <row r="537" customFormat="false" ht="12.8" hidden="false" customHeight="false" outlineLevel="0" collapsed="false">
      <c r="L537" s="0"/>
    </row>
    <row r="538" customFormat="false" ht="12.8" hidden="false" customHeight="false" outlineLevel="0" collapsed="false">
      <c r="L538" s="0"/>
    </row>
    <row r="539" customFormat="false" ht="12.8" hidden="false" customHeight="false" outlineLevel="0" collapsed="false">
      <c r="L539" s="0"/>
    </row>
    <row r="540" customFormat="false" ht="12.8" hidden="false" customHeight="false" outlineLevel="0" collapsed="false">
      <c r="L540" s="0"/>
    </row>
    <row r="541" customFormat="false" ht="12.8" hidden="false" customHeight="false" outlineLevel="0" collapsed="false">
      <c r="L541" s="0"/>
    </row>
    <row r="542" customFormat="false" ht="12.8" hidden="false" customHeight="false" outlineLevel="0" collapsed="false">
      <c r="L542" s="0"/>
    </row>
    <row r="543" customFormat="false" ht="12.8" hidden="false" customHeight="false" outlineLevel="0" collapsed="false">
      <c r="L543" s="0"/>
    </row>
    <row r="544" customFormat="false" ht="12.8" hidden="false" customHeight="false" outlineLevel="0" collapsed="false">
      <c r="L544" s="0"/>
    </row>
    <row r="545" customFormat="false" ht="12.8" hidden="false" customHeight="false" outlineLevel="0" collapsed="false">
      <c r="L545" s="0"/>
    </row>
    <row r="546" customFormat="false" ht="12.8" hidden="false" customHeight="false" outlineLevel="0" collapsed="false">
      <c r="L546" s="0"/>
    </row>
    <row r="547" customFormat="false" ht="12.8" hidden="false" customHeight="false" outlineLevel="0" collapsed="false">
      <c r="L547" s="0"/>
    </row>
    <row r="548" customFormat="false" ht="12.8" hidden="false" customHeight="false" outlineLevel="0" collapsed="false">
      <c r="L548" s="0"/>
    </row>
    <row r="549" customFormat="false" ht="12.8" hidden="false" customHeight="false" outlineLevel="0" collapsed="false">
      <c r="L549" s="0"/>
    </row>
    <row r="550" customFormat="false" ht="12.8" hidden="false" customHeight="false" outlineLevel="0" collapsed="false">
      <c r="L550" s="0"/>
    </row>
    <row r="551" customFormat="false" ht="12.8" hidden="false" customHeight="false" outlineLevel="0" collapsed="false">
      <c r="L55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50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9.xml><?xml version="1.0" encoding="utf-8"?>
<worksheet xmlns="http://schemas.openxmlformats.org/spreadsheetml/2006/main" xmlns:r="http://schemas.openxmlformats.org/officeDocument/2006/relationships">
  <sheetPr filterMode="false">
    <tabColor rgb="FF00CC33"/>
    <pageSetUpPr fitToPage="false"/>
  </sheetPr>
  <dimension ref="A1:V28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70" activePane="bottomRight" state="frozen"/>
      <selection pane="topLeft" activeCell="A1" activeCellId="0" sqref="A1"/>
      <selection pane="topRight" activeCell="B1" activeCellId="0" sqref="B1"/>
      <selection pane="bottomLeft" activeCell="A70" activeCellId="0" sqref="A70"/>
      <selection pane="bottomRight" activeCell="E82" activeCellId="0" sqref="E82"/>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60.65" hidden="false" customHeight="true" outlineLevel="0" collapsed="false">
      <c r="A4" s="0"/>
      <c r="B4" s="5" t="s">
        <v>1247</v>
      </c>
      <c r="C4" s="5" t="s">
        <v>1248</v>
      </c>
      <c r="D4" s="5" t="s">
        <v>1249</v>
      </c>
      <c r="E4" s="14" t="s">
        <v>1250</v>
      </c>
      <c r="F4" s="19" t="n">
        <f aca="false">180+220+350</f>
        <v>750</v>
      </c>
      <c r="G4" s="15" t="s">
        <v>1251</v>
      </c>
      <c r="H4" s="19" t="n">
        <v>755</v>
      </c>
      <c r="I4" s="16"/>
      <c r="J4" s="15" t="n">
        <v>755</v>
      </c>
      <c r="K4" s="15" t="s">
        <v>1252</v>
      </c>
      <c r="L4" s="16" t="n">
        <v>460</v>
      </c>
      <c r="M4" s="16"/>
      <c r="N4" s="4"/>
      <c r="P4" s="17"/>
      <c r="Q4" s="16" t="s">
        <v>23</v>
      </c>
      <c r="S4" s="18"/>
      <c r="T4" s="19" t="s">
        <v>24</v>
      </c>
      <c r="U4" s="19"/>
      <c r="V4" s="19"/>
    </row>
    <row r="5" customFormat="false" ht="28.35" hidden="false" customHeight="true" outlineLevel="0" collapsed="false">
      <c r="A5" s="0"/>
      <c r="F5" s="9"/>
      <c r="G5" s="9"/>
      <c r="H5" s="9"/>
      <c r="J5" s="9"/>
      <c r="K5" s="15"/>
      <c r="P5" s="9"/>
      <c r="Q5" s="9"/>
    </row>
    <row r="6" customFormat="false" ht="20.45" hidden="false" customHeight="true" outlineLevel="0" collapsed="false">
      <c r="A6" s="0"/>
      <c r="B6" s="0"/>
      <c r="C6" s="10" t="s">
        <v>25</v>
      </c>
      <c r="D6" s="10"/>
      <c r="F6" s="20" t="s">
        <v>26</v>
      </c>
      <c r="G6" s="717" t="s">
        <v>1253</v>
      </c>
      <c r="H6" s="717"/>
      <c r="I6" s="717"/>
      <c r="J6" s="717"/>
      <c r="K6" s="717"/>
      <c r="L6" s="717"/>
      <c r="M6" s="717"/>
      <c r="N6" s="717"/>
      <c r="P6" s="21" t="n">
        <v>41183</v>
      </c>
      <c r="Q6" s="19" t="s">
        <v>27</v>
      </c>
      <c r="R6" s="9"/>
      <c r="S6" s="22"/>
      <c r="T6" s="5" t="s">
        <v>28</v>
      </c>
    </row>
    <row r="7" customFormat="false" ht="24.5" hidden="false" customHeight="true" outlineLevel="0" collapsed="false">
      <c r="A7" s="0"/>
      <c r="B7" s="0"/>
      <c r="C7" s="23" t="s">
        <v>1254</v>
      </c>
      <c r="D7" s="23"/>
      <c r="F7" s="20"/>
      <c r="G7" s="20"/>
      <c r="H7" s="717"/>
      <c r="I7" s="717"/>
      <c r="J7" s="717"/>
      <c r="K7" s="717"/>
      <c r="L7" s="717"/>
      <c r="M7" s="717"/>
      <c r="N7" s="717"/>
      <c r="P7" s="24"/>
      <c r="Q7" s="5" t="s">
        <v>29</v>
      </c>
      <c r="R7" s="9"/>
      <c r="S7" s="25"/>
      <c r="T7" s="5" t="s">
        <v>30</v>
      </c>
    </row>
    <row r="8" customFormat="false" ht="27.25" hidden="false" customHeight="true" outlineLevel="0" collapsed="false">
      <c r="A8" s="26"/>
      <c r="F8" s="9"/>
      <c r="G8" s="9"/>
      <c r="H8" s="9"/>
      <c r="J8" s="9"/>
      <c r="R8" s="9"/>
      <c r="S8" s="27"/>
      <c r="T8" s="16" t="s">
        <v>31</v>
      </c>
    </row>
    <row r="9" customFormat="false" ht="28.45" hidden="false" customHeight="true" outlineLevel="0" collapsed="false">
      <c r="A9" s="26"/>
      <c r="B9" s="9" t="s">
        <v>32</v>
      </c>
      <c r="C9" s="28" t="s">
        <v>33</v>
      </c>
      <c r="D9" s="29"/>
      <c r="E9" s="1" t="s">
        <v>35</v>
      </c>
      <c r="F9" s="9" t="s">
        <v>36</v>
      </c>
      <c r="G9" s="9" t="s">
        <v>37</v>
      </c>
      <c r="H9" s="9" t="s">
        <v>38</v>
      </c>
      <c r="I9" s="9" t="s">
        <v>39</v>
      </c>
      <c r="J9" s="30" t="s">
        <v>40</v>
      </c>
    </row>
    <row r="10" customFormat="false" ht="23.95" hidden="false" customHeight="true" outlineLevel="0" collapsed="false">
      <c r="A10" s="0" t="n">
        <v>31</v>
      </c>
      <c r="B10" s="34" t="n">
        <v>41183</v>
      </c>
      <c r="C10" s="56" t="n">
        <v>21519</v>
      </c>
      <c r="D10" s="57" t="s">
        <v>42</v>
      </c>
      <c r="E10" s="33" t="n">
        <f aca="false">IF(D10="totale",(C10/(A127*24))/F10,IF(D10="marché libre",(C10/(A127*24))/G10,"spécifier histo"))</f>
        <v>0.0545724284844796</v>
      </c>
      <c r="F10" s="59" t="n">
        <v>530</v>
      </c>
      <c r="G10" s="59" t="n">
        <f aca="false">F10-H10</f>
        <v>530</v>
      </c>
      <c r="H10" s="58" t="n">
        <v>0</v>
      </c>
      <c r="I10" s="9"/>
      <c r="J10" s="277"/>
      <c r="K10" s="277"/>
      <c r="L10" s="277"/>
      <c r="M10" s="277"/>
      <c r="N10" s="277"/>
      <c r="O10" s="277"/>
      <c r="P10" s="277"/>
      <c r="Q10" s="277"/>
      <c r="R10" s="277"/>
      <c r="S10" s="277"/>
      <c r="T10" s="277"/>
    </row>
    <row r="11" customFormat="false" ht="23.95" hidden="false" customHeight="true" outlineLevel="0" collapsed="false">
      <c r="A11" s="0" t="n">
        <v>28</v>
      </c>
      <c r="B11" s="31" t="n">
        <v>41214</v>
      </c>
      <c r="C11" s="56" t="n">
        <v>186100</v>
      </c>
      <c r="D11" s="57" t="s">
        <v>42</v>
      </c>
      <c r="E11" s="33" t="n">
        <f aca="false">IF(D11="totale",(C11/(A128*24))/F11,IF(D11="marché libre",(C11/(A128*24))/G11,"spécifier histo"))</f>
        <v>0.487683438155136</v>
      </c>
      <c r="F11" s="59" t="n">
        <v>530</v>
      </c>
      <c r="G11" s="59" t="n">
        <f aca="false">F11-H11</f>
        <v>530</v>
      </c>
      <c r="H11" s="58" t="n">
        <v>0</v>
      </c>
      <c r="I11" s="9"/>
      <c r="J11" s="0"/>
      <c r="K11" s="0"/>
      <c r="L11" s="0"/>
      <c r="M11" s="0"/>
      <c r="N11" s="0"/>
      <c r="O11" s="0"/>
      <c r="P11" s="0"/>
      <c r="Q11" s="0"/>
      <c r="R11" s="0"/>
      <c r="S11" s="0"/>
      <c r="T11" s="0"/>
    </row>
    <row r="12" customFormat="false" ht="23.95" hidden="false" customHeight="true" outlineLevel="0" collapsed="false">
      <c r="A12" s="0" t="n">
        <v>31</v>
      </c>
      <c r="B12" s="34" t="n">
        <v>41244</v>
      </c>
      <c r="C12" s="56" t="n">
        <v>341096</v>
      </c>
      <c r="D12" s="57" t="s">
        <v>42</v>
      </c>
      <c r="E12" s="33" t="n">
        <f aca="false">IF(D12="totale",(C12/(A129*24))/F12,IF(D12="marché libre",(C12/(A129*24))/G12,"spécifier histo"))</f>
        <v>0.865023331304524</v>
      </c>
      <c r="F12" s="59" t="n">
        <v>530</v>
      </c>
      <c r="G12" s="59" t="n">
        <f aca="false">F12-H12</f>
        <v>530</v>
      </c>
      <c r="H12" s="58" t="n">
        <v>0</v>
      </c>
      <c r="I12" s="9"/>
      <c r="J12" s="0"/>
      <c r="K12" s="0"/>
      <c r="L12" s="0"/>
      <c r="M12" s="0"/>
      <c r="N12" s="0"/>
      <c r="O12" s="0"/>
      <c r="P12" s="0"/>
      <c r="Q12" s="0"/>
      <c r="R12" s="0"/>
      <c r="S12" s="0"/>
      <c r="T12" s="0"/>
    </row>
    <row r="13" customFormat="false" ht="23.95" hidden="false" customHeight="true" outlineLevel="0" collapsed="false">
      <c r="A13" s="0" t="n">
        <v>30</v>
      </c>
      <c r="B13" s="31" t="n">
        <v>41275</v>
      </c>
      <c r="C13" s="56" t="n">
        <v>256432</v>
      </c>
      <c r="D13" s="57" t="s">
        <v>42</v>
      </c>
      <c r="E13" s="33" t="n">
        <f aca="false">IF(D13="totale",(C13/(A130*24))/F13,IF(D13="marché libre",(C13/(A130*24))/G13,"spécifier histo"))</f>
        <v>0.650314465408805</v>
      </c>
      <c r="F13" s="59" t="n">
        <v>530</v>
      </c>
      <c r="G13" s="59" t="n">
        <f aca="false">F13-H13</f>
        <v>530</v>
      </c>
      <c r="H13" s="58" t="n">
        <v>0</v>
      </c>
      <c r="I13" s="9"/>
      <c r="J13" s="0"/>
      <c r="K13" s="0"/>
      <c r="L13" s="0"/>
      <c r="M13" s="0"/>
      <c r="N13" s="0"/>
      <c r="O13" s="0"/>
      <c r="P13" s="0"/>
      <c r="Q13" s="0"/>
      <c r="R13" s="0"/>
      <c r="S13" s="0"/>
      <c r="T13" s="0"/>
    </row>
    <row r="14" customFormat="false" ht="23.95" hidden="false" customHeight="true" outlineLevel="0" collapsed="false">
      <c r="A14" s="0" t="n">
        <v>31</v>
      </c>
      <c r="B14" s="34" t="n">
        <v>41306</v>
      </c>
      <c r="C14" s="56" t="n">
        <v>245397</v>
      </c>
      <c r="D14" s="57" t="s">
        <v>42</v>
      </c>
      <c r="E14" s="33" t="n">
        <f aca="false">IF(D14="totale",(C14/(A131*24))/F14,IF(D14="marché libre",(C14/(A131*24))/G14,"spécifier histo"))</f>
        <v>0.689007749326146</v>
      </c>
      <c r="F14" s="59" t="n">
        <v>530</v>
      </c>
      <c r="G14" s="59" t="n">
        <f aca="false">F14-H14</f>
        <v>530</v>
      </c>
      <c r="H14" s="58" t="n">
        <v>0</v>
      </c>
      <c r="I14" s="9"/>
      <c r="J14" s="0"/>
      <c r="K14" s="0"/>
      <c r="L14" s="0"/>
      <c r="M14" s="0"/>
      <c r="N14" s="0"/>
      <c r="O14" s="0"/>
      <c r="P14" s="0"/>
      <c r="Q14" s="0"/>
      <c r="R14" s="0"/>
      <c r="S14" s="0"/>
      <c r="T14" s="0"/>
    </row>
    <row r="15" customFormat="false" ht="23.95" hidden="false" customHeight="true" outlineLevel="0" collapsed="false">
      <c r="A15" s="0" t="n">
        <v>30</v>
      </c>
      <c r="B15" s="31" t="n">
        <v>41334</v>
      </c>
      <c r="C15" s="56" t="n">
        <v>333517</v>
      </c>
      <c r="D15" s="57" t="s">
        <v>42</v>
      </c>
      <c r="E15" s="33" t="n">
        <f aca="false">IF(D15="totale",(C15/(A132*24))/F15,IF(D15="marché libre",(C15/(A132*24))/G15,"spécifier histo"))</f>
        <v>0.845802901196997</v>
      </c>
      <c r="F15" s="59" t="n">
        <v>530</v>
      </c>
      <c r="G15" s="59" t="n">
        <f aca="false">F15-H15</f>
        <v>530</v>
      </c>
      <c r="H15" s="58" t="n">
        <v>0</v>
      </c>
      <c r="I15" s="9"/>
      <c r="J15" s="0"/>
      <c r="K15" s="0"/>
      <c r="L15" s="0"/>
      <c r="M15" s="0"/>
      <c r="N15" s="0"/>
      <c r="O15" s="0"/>
      <c r="P15" s="0"/>
      <c r="Q15" s="0"/>
      <c r="R15" s="0"/>
      <c r="S15" s="0"/>
      <c r="T15" s="0"/>
    </row>
    <row r="16" customFormat="false" ht="23.95" hidden="false" customHeight="true" outlineLevel="0" collapsed="false">
      <c r="A16" s="0" t="n">
        <v>31</v>
      </c>
      <c r="B16" s="34" t="n">
        <v>41365</v>
      </c>
      <c r="C16" s="56" t="n">
        <v>319086</v>
      </c>
      <c r="D16" s="57" t="s">
        <v>42</v>
      </c>
      <c r="E16" s="33" t="n">
        <f aca="false">IF(D16="totale",(C16/(A133*24))/F16,IF(D16="marché libre",(C16/(A133*24))/G16,"spécifier histo"))</f>
        <v>0.836179245283019</v>
      </c>
      <c r="F16" s="59" t="n">
        <v>530</v>
      </c>
      <c r="G16" s="59" t="n">
        <f aca="false">F16-H16</f>
        <v>530</v>
      </c>
      <c r="H16" s="58" t="n">
        <v>0</v>
      </c>
      <c r="I16" s="9"/>
      <c r="J16" s="0"/>
      <c r="K16" s="0"/>
      <c r="L16" s="0"/>
      <c r="M16" s="0"/>
      <c r="N16" s="0"/>
      <c r="O16" s="0"/>
      <c r="P16" s="0"/>
      <c r="Q16" s="0"/>
      <c r="R16" s="0"/>
      <c r="S16" s="0"/>
      <c r="T16" s="0"/>
    </row>
    <row r="17" customFormat="false" ht="23.95" hidden="false" customHeight="true" outlineLevel="0" collapsed="false">
      <c r="A17" s="0" t="n">
        <v>31</v>
      </c>
      <c r="B17" s="31" t="n">
        <v>41395</v>
      </c>
      <c r="C17" s="56" t="n">
        <v>349876</v>
      </c>
      <c r="D17" s="57" t="s">
        <v>42</v>
      </c>
      <c r="E17" s="33" t="n">
        <f aca="false">IF(D17="totale",(C17/(A134*24))/F17,IF(D17="marché libre",(C17/(A134*24))/G17,"spécifier histo"))</f>
        <v>0.88728951105701</v>
      </c>
      <c r="F17" s="59" t="n">
        <v>530</v>
      </c>
      <c r="G17" s="59" t="n">
        <f aca="false">F17-H17</f>
        <v>530</v>
      </c>
      <c r="H17" s="58" t="n">
        <v>0</v>
      </c>
      <c r="I17" s="9"/>
      <c r="J17" s="0"/>
      <c r="K17" s="0"/>
      <c r="L17" s="0"/>
      <c r="M17" s="0"/>
      <c r="N17" s="0"/>
      <c r="O17" s="0"/>
      <c r="P17" s="0"/>
      <c r="Q17" s="0"/>
      <c r="R17" s="0"/>
      <c r="S17" s="0"/>
      <c r="T17" s="0"/>
    </row>
    <row r="18" customFormat="false" ht="23.95" hidden="false" customHeight="true" outlineLevel="0" collapsed="false">
      <c r="A18" s="0" t="n">
        <v>30</v>
      </c>
      <c r="B18" s="34" t="n">
        <v>41426</v>
      </c>
      <c r="C18" s="56" t="n">
        <v>143782</v>
      </c>
      <c r="D18" s="57" t="s">
        <v>42</v>
      </c>
      <c r="E18" s="33" t="n">
        <f aca="false">IF(D18="totale",(C18/(A135*24))/F18,IF(D18="marché libre",(C18/(A135*24))/G18,"spécifier histo"))</f>
        <v>0.376787211740042</v>
      </c>
      <c r="F18" s="59" t="n">
        <v>530</v>
      </c>
      <c r="G18" s="59" t="n">
        <f aca="false">F18-H18</f>
        <v>530</v>
      </c>
      <c r="H18" s="58" t="n">
        <v>0</v>
      </c>
      <c r="I18" s="9"/>
      <c r="J18" s="0"/>
      <c r="K18" s="0"/>
      <c r="L18" s="0"/>
      <c r="M18" s="0"/>
      <c r="N18" s="0"/>
      <c r="O18" s="0"/>
      <c r="P18" s="0"/>
      <c r="Q18" s="0"/>
      <c r="R18" s="0"/>
      <c r="S18" s="0"/>
      <c r="T18" s="0"/>
    </row>
    <row r="19" customFormat="false" ht="23.95" hidden="false" customHeight="true" outlineLevel="0" collapsed="false">
      <c r="A19" s="0" t="n">
        <v>31</v>
      </c>
      <c r="B19" s="31" t="n">
        <v>41456</v>
      </c>
      <c r="C19" s="56" t="n">
        <v>1</v>
      </c>
      <c r="D19" s="57" t="s">
        <v>42</v>
      </c>
      <c r="E19" s="33" t="n">
        <f aca="false">IF(D19="totale",(C19/(A136*24))/F19,IF(D19="marché libre",(C19/(A136*24))/G19,"spécifier histo"))</f>
        <v>2.5360113613309E-006</v>
      </c>
      <c r="F19" s="59" t="n">
        <v>530</v>
      </c>
      <c r="G19" s="59" t="n">
        <f aca="false">F19-H19</f>
        <v>530</v>
      </c>
      <c r="H19" s="58" t="n">
        <v>0</v>
      </c>
      <c r="I19" s="9"/>
      <c r="J19" s="0"/>
      <c r="K19" s="0"/>
      <c r="L19" s="0"/>
      <c r="M19" s="0"/>
      <c r="N19" s="0"/>
      <c r="O19" s="0"/>
      <c r="P19" s="0"/>
      <c r="Q19" s="0"/>
      <c r="R19" s="0"/>
      <c r="S19" s="0"/>
      <c r="T19" s="0"/>
    </row>
    <row r="20" customFormat="false" ht="23.95" hidden="false" customHeight="true" outlineLevel="0" collapsed="false">
      <c r="A20" s="0" t="n">
        <v>30</v>
      </c>
      <c r="B20" s="34" t="n">
        <v>41487</v>
      </c>
      <c r="C20" s="56" t="n">
        <v>0</v>
      </c>
      <c r="D20" s="57" t="s">
        <v>42</v>
      </c>
      <c r="E20" s="33" t="n">
        <f aca="false">IF(D20="totale",(C20/(A137*24))/F20,IF(D20="marché libre",(C20/(A137*24))/G20,"spécifier histo"))</f>
        <v>0</v>
      </c>
      <c r="F20" s="59" t="n">
        <v>530</v>
      </c>
      <c r="G20" s="59" t="n">
        <f aca="false">F20-H20</f>
        <v>530</v>
      </c>
      <c r="H20" s="58" t="n">
        <v>0</v>
      </c>
      <c r="I20" s="9"/>
      <c r="J20" s="0"/>
      <c r="K20" s="0"/>
      <c r="L20" s="0"/>
      <c r="M20" s="0"/>
      <c r="N20" s="0"/>
      <c r="O20" s="0"/>
      <c r="P20" s="0"/>
      <c r="Q20" s="0"/>
      <c r="R20" s="0"/>
      <c r="S20" s="0"/>
      <c r="T20" s="0"/>
    </row>
    <row r="21" customFormat="false" ht="23.95" hidden="false" customHeight="true" outlineLevel="0" collapsed="false">
      <c r="A21" s="0" t="n">
        <v>31</v>
      </c>
      <c r="B21" s="31" t="n">
        <v>41518</v>
      </c>
      <c r="C21" s="56" t="n">
        <v>0</v>
      </c>
      <c r="D21" s="57" t="s">
        <v>42</v>
      </c>
      <c r="E21" s="33" t="n">
        <f aca="false">IF(D21="totale",(C21/(A138*24))/F21,IF(D21="marché libre",(C21/(A138*24))/G21,"spécifier histo"))</f>
        <v>0</v>
      </c>
      <c r="F21" s="59" t="n">
        <v>530</v>
      </c>
      <c r="G21" s="59" t="n">
        <f aca="false">F21-H21</f>
        <v>530</v>
      </c>
      <c r="H21" s="58" t="n">
        <v>0</v>
      </c>
      <c r="I21" s="9"/>
      <c r="J21" s="0"/>
      <c r="K21" s="0"/>
      <c r="L21" s="0"/>
      <c r="M21" s="0"/>
      <c r="N21" s="0"/>
      <c r="O21" s="0"/>
      <c r="P21" s="0"/>
      <c r="Q21" s="0"/>
      <c r="R21" s="0"/>
      <c r="S21" s="0"/>
      <c r="T21" s="0"/>
    </row>
    <row r="22" customFormat="false" ht="23.95" hidden="false" customHeight="true" outlineLevel="0" collapsed="false">
      <c r="A22" s="0" t="n">
        <v>31</v>
      </c>
      <c r="B22" s="34" t="n">
        <v>41548</v>
      </c>
      <c r="C22" s="56" t="n">
        <v>90917</v>
      </c>
      <c r="D22" s="57" t="s">
        <v>42</v>
      </c>
      <c r="E22" s="33" t="n">
        <f aca="false">IF(D22="totale",(C22/(A139*24))/F22,IF(D22="marché libre",(C22/(A139*24))/G22,"spécifier histo"))</f>
        <v>0.230566544938121</v>
      </c>
      <c r="F22" s="59" t="n">
        <v>530</v>
      </c>
      <c r="G22" s="59" t="n">
        <f aca="false">F22-H22</f>
        <v>530</v>
      </c>
      <c r="H22" s="58" t="n">
        <v>0</v>
      </c>
      <c r="I22" s="9"/>
      <c r="J22" s="0"/>
      <c r="K22" s="0"/>
      <c r="L22" s="0"/>
      <c r="M22" s="0"/>
      <c r="N22" s="0"/>
      <c r="O22" s="0"/>
      <c r="P22" s="0"/>
      <c r="Q22" s="0"/>
      <c r="R22" s="0"/>
      <c r="S22" s="0"/>
      <c r="T22" s="0"/>
    </row>
    <row r="23" customFormat="false" ht="23.95" hidden="false" customHeight="true" outlineLevel="0" collapsed="false">
      <c r="A23" s="0" t="n">
        <v>28</v>
      </c>
      <c r="B23" s="31" t="n">
        <v>41579</v>
      </c>
      <c r="C23" s="56" t="n">
        <v>169975</v>
      </c>
      <c r="D23" s="57" t="s">
        <v>42</v>
      </c>
      <c r="E23" s="33" t="n">
        <f aca="false">IF(D23="totale",(C23/(A140*24))/F23,IF(D23="marché libre",(C23/(A140*24))/G23,"spécifier histo"))</f>
        <v>0.44542714884696</v>
      </c>
      <c r="F23" s="59" t="n">
        <v>530</v>
      </c>
      <c r="G23" s="59" t="n">
        <f aca="false">F23-H23</f>
        <v>530</v>
      </c>
      <c r="H23" s="58" t="n">
        <v>0</v>
      </c>
      <c r="I23" s="9"/>
      <c r="J23" s="0"/>
      <c r="K23" s="0"/>
      <c r="M23" s="0"/>
      <c r="N23" s="0"/>
      <c r="Q23" s="0"/>
    </row>
    <row r="24" customFormat="false" ht="23.95" hidden="false" customHeight="true" outlineLevel="0" collapsed="false">
      <c r="A24" s="0" t="n">
        <v>31</v>
      </c>
      <c r="B24" s="34" t="n">
        <v>41609</v>
      </c>
      <c r="C24" s="56" t="n">
        <v>203801</v>
      </c>
      <c r="D24" s="57" t="s">
        <v>42</v>
      </c>
      <c r="E24" s="33" t="n">
        <f aca="false">IF(D24="totale",(C24/(A141*24))/F24,IF(D24="marché libre",(C24/(A141*24))/G24,"spécifier histo"))</f>
        <v>0.516841651450599</v>
      </c>
      <c r="F24" s="59" t="n">
        <v>530</v>
      </c>
      <c r="G24" s="59" t="n">
        <f aca="false">F24-H24</f>
        <v>530</v>
      </c>
      <c r="H24" s="58" t="n">
        <v>0</v>
      </c>
      <c r="I24" s="9"/>
      <c r="J24" s="0"/>
      <c r="K24" s="0"/>
      <c r="M24" s="0"/>
      <c r="N24" s="0"/>
      <c r="Q24" s="0"/>
    </row>
    <row r="25" customFormat="false" ht="23.95" hidden="false" customHeight="true" outlineLevel="0" collapsed="false">
      <c r="A25" s="0" t="n">
        <v>30</v>
      </c>
      <c r="B25" s="31" t="n">
        <v>41640</v>
      </c>
      <c r="C25" s="1" t="n">
        <v>375555</v>
      </c>
      <c r="D25" s="57" t="s">
        <v>42</v>
      </c>
      <c r="E25" s="33" t="n">
        <f aca="false">IF(D25="totale",(C25/(A142*24))/F25,IF(D25="marché libre",(C25/(A142*24))/G25,"spécifier histo"))</f>
        <v>0.952411746804625</v>
      </c>
      <c r="F25" s="59" t="n">
        <v>530</v>
      </c>
      <c r="G25" s="59" t="n">
        <f aca="false">F25-H25</f>
        <v>530</v>
      </c>
      <c r="H25" s="58" t="n">
        <v>0</v>
      </c>
      <c r="I25" s="9"/>
      <c r="J25" s="0"/>
      <c r="K25" s="0"/>
      <c r="M25" s="0"/>
      <c r="N25" s="0"/>
      <c r="Q25" s="0"/>
    </row>
    <row r="26" customFormat="false" ht="23.95" hidden="false" customHeight="true" outlineLevel="0" collapsed="false">
      <c r="A26" s="0" t="n">
        <v>31</v>
      </c>
      <c r="B26" s="34" t="n">
        <v>41671</v>
      </c>
      <c r="C26" s="28" t="n">
        <v>348931</v>
      </c>
      <c r="D26" s="57" t="s">
        <v>42</v>
      </c>
      <c r="E26" s="33" t="n">
        <f aca="false">IF(D26="totale",(C26/(A143*24))/F26,IF(D26="marché libre",(C26/(A143*24))/G26,"spécifier histo"))</f>
        <v>0.979702942497754</v>
      </c>
      <c r="F26" s="59" t="n">
        <v>530</v>
      </c>
      <c r="G26" s="59" t="n">
        <f aca="false">F26-H26</f>
        <v>530</v>
      </c>
      <c r="H26" s="58" t="n">
        <v>0</v>
      </c>
      <c r="I26" s="9"/>
      <c r="J26" s="0"/>
      <c r="K26" s="0"/>
      <c r="L26" s="0"/>
      <c r="M26" s="0"/>
      <c r="N26" s="0"/>
      <c r="O26" s="0"/>
      <c r="P26" s="0"/>
      <c r="Q26" s="0"/>
      <c r="R26" s="0"/>
      <c r="S26" s="0"/>
      <c r="T26" s="0"/>
      <c r="U26" s="0"/>
      <c r="V26" s="0"/>
    </row>
    <row r="27" customFormat="false" ht="23.95" hidden="false" customHeight="true" outlineLevel="0" collapsed="false">
      <c r="A27" s="0" t="n">
        <v>30</v>
      </c>
      <c r="B27" s="31" t="n">
        <v>41699</v>
      </c>
      <c r="C27" s="28" t="n">
        <v>285890</v>
      </c>
      <c r="D27" s="57" t="s">
        <v>42</v>
      </c>
      <c r="E27" s="33" t="n">
        <f aca="false">IF(D27="totale",(C27/(A144*24))/F27,IF(D27="marché libre",(C27/(A144*24))/G27,"spécifier histo"))</f>
        <v>0.725020288090891</v>
      </c>
      <c r="F27" s="59" t="n">
        <v>530</v>
      </c>
      <c r="G27" s="59" t="n">
        <f aca="false">F27-H27</f>
        <v>530</v>
      </c>
      <c r="H27" s="58" t="n">
        <v>0</v>
      </c>
      <c r="I27" s="9"/>
      <c r="J27" s="0"/>
      <c r="K27" s="0"/>
      <c r="M27" s="0"/>
      <c r="N27" s="0"/>
      <c r="Q27" s="0"/>
    </row>
    <row r="28" customFormat="false" ht="23.95" hidden="false" customHeight="true" outlineLevel="0" collapsed="false">
      <c r="A28" s="0" t="n">
        <v>31</v>
      </c>
      <c r="B28" s="34" t="n">
        <v>41730</v>
      </c>
      <c r="C28" s="28" t="n">
        <v>87654</v>
      </c>
      <c r="D28" s="57" t="s">
        <v>42</v>
      </c>
      <c r="E28" s="33" t="n">
        <f aca="false">IF(D28="totale",(C28/(A145*24))/F28,IF(D28="marché libre",(C28/(A145*24))/G28,"spécifier histo"))</f>
        <v>0.229701257861635</v>
      </c>
      <c r="F28" s="59" t="n">
        <v>530</v>
      </c>
      <c r="G28" s="59" t="n">
        <f aca="false">F28-H28</f>
        <v>530</v>
      </c>
      <c r="H28" s="58" t="n">
        <v>0</v>
      </c>
      <c r="I28" s="9"/>
      <c r="J28" s="0"/>
      <c r="K28" s="0"/>
      <c r="M28" s="0"/>
      <c r="N28" s="0"/>
      <c r="Q28" s="0"/>
    </row>
    <row r="29" customFormat="false" ht="23.95" hidden="false" customHeight="true" outlineLevel="0" collapsed="false">
      <c r="A29" s="0" t="n">
        <v>31</v>
      </c>
      <c r="B29" s="31" t="n">
        <v>41760</v>
      </c>
      <c r="C29" s="28" t="n">
        <v>33889</v>
      </c>
      <c r="D29" s="57" t="s">
        <v>42</v>
      </c>
      <c r="E29" s="33" t="n">
        <f aca="false">IF(D29="totale",(C29/(A146*24))/F29,IF(D29="marché libre",(C29/(A146*24))/G29,"spécifier histo"))</f>
        <v>0.0859428890241428</v>
      </c>
      <c r="F29" s="59" t="n">
        <v>530</v>
      </c>
      <c r="G29" s="59" t="n">
        <f aca="false">F29-H29</f>
        <v>530</v>
      </c>
      <c r="H29" s="58" t="n">
        <v>0</v>
      </c>
      <c r="I29" s="9"/>
      <c r="J29" s="0"/>
      <c r="K29" s="0"/>
      <c r="M29" s="0"/>
      <c r="N29" s="0"/>
      <c r="Q29" s="0"/>
    </row>
    <row r="30" customFormat="false" ht="23.95" hidden="false" customHeight="true" outlineLevel="0" collapsed="false">
      <c r="A30" s="0" t="n">
        <v>30</v>
      </c>
      <c r="B30" s="34" t="n">
        <v>41791</v>
      </c>
      <c r="C30" s="28" t="n">
        <v>0</v>
      </c>
      <c r="D30" s="57" t="s">
        <v>42</v>
      </c>
      <c r="E30" s="33" t="n">
        <f aca="false">IF(D30="totale",(C30/(A147*24))/F30,IF(D30="marché libre",(C30/(A147*24))/G30,"spécifier histo"))</f>
        <v>0</v>
      </c>
      <c r="F30" s="59" t="n">
        <v>530</v>
      </c>
      <c r="G30" s="59" t="n">
        <f aca="false">F30-H30</f>
        <v>530</v>
      </c>
      <c r="H30" s="58" t="n">
        <v>0</v>
      </c>
      <c r="I30" s="9"/>
      <c r="J30" s="0"/>
      <c r="K30" s="0"/>
      <c r="M30" s="0"/>
      <c r="N30" s="0"/>
      <c r="Q30" s="0"/>
    </row>
    <row r="31" customFormat="false" ht="23.95" hidden="false" customHeight="true" outlineLevel="0" collapsed="false">
      <c r="A31" s="0" t="n">
        <v>31</v>
      </c>
      <c r="B31" s="31" t="n">
        <v>41821</v>
      </c>
      <c r="C31" s="28" t="n">
        <v>109341</v>
      </c>
      <c r="D31" s="57" t="s">
        <v>42</v>
      </c>
      <c r="E31" s="33" t="n">
        <f aca="false">IF(D31="totale",(C31/(A148*24))/F31,IF(D31="marché libre",(C31/(A148*24))/G31,"spécifier histo"))</f>
        <v>0.277290018259282</v>
      </c>
      <c r="F31" s="59" t="n">
        <v>530</v>
      </c>
      <c r="G31" s="59" t="n">
        <f aca="false">F31-H31</f>
        <v>530</v>
      </c>
      <c r="H31" s="58" t="n">
        <v>0</v>
      </c>
      <c r="I31" s="9"/>
      <c r="J31" s="0"/>
      <c r="K31" s="0"/>
      <c r="M31" s="0"/>
      <c r="N31" s="0"/>
      <c r="Q31" s="0"/>
    </row>
    <row r="32" customFormat="false" ht="23.95" hidden="false" customHeight="true" outlineLevel="0" collapsed="false">
      <c r="A32" s="0" t="n">
        <v>30</v>
      </c>
      <c r="B32" s="34" t="n">
        <v>41852</v>
      </c>
      <c r="C32" s="28" t="n">
        <v>80294</v>
      </c>
      <c r="D32" s="57" t="s">
        <v>42</v>
      </c>
      <c r="E32" s="33" t="n">
        <f aca="false">IF(D32="totale",(C32/(A149*24))/F32,IF(D32="marché libre",(C32/(A149*24))/G32,"spécifier histo"))</f>
        <v>0.203626496246703</v>
      </c>
      <c r="F32" s="59" t="n">
        <v>530</v>
      </c>
      <c r="G32" s="59" t="n">
        <f aca="false">F32-H32</f>
        <v>530</v>
      </c>
      <c r="H32" s="58" t="n">
        <v>0</v>
      </c>
      <c r="I32" s="9"/>
      <c r="J32" s="0"/>
      <c r="K32" s="0"/>
      <c r="M32" s="0"/>
      <c r="N32" s="0"/>
      <c r="Q32" s="0"/>
    </row>
    <row r="33" customFormat="false" ht="23.95" hidden="false" customHeight="true" outlineLevel="0" collapsed="false">
      <c r="A33" s="0" t="n">
        <v>31</v>
      </c>
      <c r="B33" s="31" t="n">
        <v>41883</v>
      </c>
      <c r="C33" s="28" t="n">
        <v>14</v>
      </c>
      <c r="D33" s="57" t="s">
        <v>42</v>
      </c>
      <c r="E33" s="33" t="n">
        <f aca="false">IF(D33="totale",(C33/(A150*24))/F33,IF(D33="marché libre",(C33/(A150*24))/G33,"spécifier histo"))</f>
        <v>3.66876310272537E-005</v>
      </c>
      <c r="F33" s="59" t="n">
        <v>530</v>
      </c>
      <c r="G33" s="59" t="n">
        <f aca="false">F33-H33</f>
        <v>530</v>
      </c>
      <c r="H33" s="58" t="n">
        <v>0</v>
      </c>
      <c r="I33" s="9"/>
      <c r="J33" s="0"/>
      <c r="K33" s="0"/>
      <c r="M33" s="0"/>
      <c r="N33" s="0"/>
      <c r="Q33" s="0"/>
    </row>
    <row r="34" customFormat="false" ht="21.7" hidden="false" customHeight="true" outlineLevel="0" collapsed="false">
      <c r="A34" s="0" t="n">
        <v>31</v>
      </c>
      <c r="B34" s="34" t="n">
        <v>41913</v>
      </c>
      <c r="C34" s="28" t="n">
        <v>187842</v>
      </c>
      <c r="D34" s="57" t="s">
        <v>42</v>
      </c>
      <c r="E34" s="33" t="n">
        <f aca="false">IF(D34="totale",(C34/(A151*24))/F34,IF(D34="marché libre",(C34/(A151*24))/G34,"spécifier histo"))</f>
        <v>0.476369446135119</v>
      </c>
      <c r="F34" s="59" t="n">
        <v>530</v>
      </c>
      <c r="G34" s="59" t="n">
        <f aca="false">F34-H34</f>
        <v>530</v>
      </c>
      <c r="H34" s="58" t="n">
        <v>0</v>
      </c>
      <c r="I34" s="9"/>
      <c r="J34" s="0"/>
      <c r="K34" s="0"/>
      <c r="M34" s="0"/>
      <c r="N34" s="0"/>
      <c r="Q34" s="0"/>
    </row>
    <row r="35" customFormat="false" ht="21.7" hidden="false" customHeight="true" outlineLevel="0" collapsed="false">
      <c r="A35" s="0" t="n">
        <v>28</v>
      </c>
      <c r="B35" s="31" t="n">
        <v>41944</v>
      </c>
      <c r="C35" s="28" t="n">
        <v>273040</v>
      </c>
      <c r="D35" s="57" t="s">
        <v>42</v>
      </c>
      <c r="E35" s="33" t="n">
        <f aca="false">IF(D35="totale",(C35/(A152*24))/F35,IF(D35="marché libre",(C35/(A152*24))/G35,"spécifier histo"))</f>
        <v>0.715513626834382</v>
      </c>
      <c r="F35" s="59" t="n">
        <v>530</v>
      </c>
      <c r="G35" s="59" t="n">
        <f aca="false">F35-H35</f>
        <v>530</v>
      </c>
      <c r="H35" s="58" t="n">
        <v>0</v>
      </c>
      <c r="I35" s="9"/>
      <c r="J35" s="0"/>
      <c r="M35" s="0"/>
      <c r="Q35" s="0"/>
    </row>
    <row r="36" customFormat="false" ht="21.7" hidden="false" customHeight="true" outlineLevel="0" collapsed="false">
      <c r="A36" s="0" t="n">
        <v>31</v>
      </c>
      <c r="B36" s="34" t="n">
        <v>41974</v>
      </c>
      <c r="C36" s="28" t="n">
        <v>367913</v>
      </c>
      <c r="D36" s="57" t="s">
        <v>42</v>
      </c>
      <c r="E36" s="33" t="n">
        <f aca="false">IF(D36="totale",(C36/(A153*24))/F36,IF(D36="marché libre",(C36/(A153*24))/G36,"spécifier histo"))</f>
        <v>0.933031547981335</v>
      </c>
      <c r="F36" s="59" t="n">
        <v>530</v>
      </c>
      <c r="G36" s="59" t="n">
        <f aca="false">F36-H36</f>
        <v>530</v>
      </c>
      <c r="H36" s="58" t="n">
        <v>0</v>
      </c>
      <c r="I36" s="9"/>
      <c r="J36" s="0"/>
      <c r="M36" s="0"/>
      <c r="Q36" s="0"/>
    </row>
    <row r="37" customFormat="false" ht="21.7" hidden="false" customHeight="true" outlineLevel="0" collapsed="false">
      <c r="A37" s="0" t="n">
        <v>30</v>
      </c>
      <c r="B37" s="31" t="n">
        <v>42005</v>
      </c>
      <c r="C37" s="56" t="n">
        <v>300653</v>
      </c>
      <c r="D37" s="57" t="s">
        <v>42</v>
      </c>
      <c r="E37" s="33" t="n">
        <f aca="false">IF(D37="totale",(C37/(A154*24))/F37,IF(D37="marché libre",(C37/(A154*24))/G37,"spécifier histo"))</f>
        <v>0.762459423818219</v>
      </c>
      <c r="F37" s="59" t="n">
        <v>530</v>
      </c>
      <c r="G37" s="59" t="n">
        <f aca="false">F37-H37</f>
        <v>530</v>
      </c>
      <c r="H37" s="58" t="n">
        <v>0</v>
      </c>
      <c r="I37" s="9"/>
      <c r="J37" s="0"/>
      <c r="M37" s="0"/>
      <c r="Q37" s="0"/>
    </row>
    <row r="38" customFormat="false" ht="21.7" hidden="false" customHeight="true" outlineLevel="0" collapsed="false">
      <c r="A38" s="0" t="n">
        <v>31</v>
      </c>
      <c r="B38" s="34" t="n">
        <v>42036</v>
      </c>
      <c r="C38" s="56" t="n">
        <v>309535</v>
      </c>
      <c r="D38" s="57" t="s">
        <v>42</v>
      </c>
      <c r="E38" s="33" t="n">
        <f aca="false">IF(D38="totale",(C38/(A155*24))/F38,IF(D38="marché libre",(C38/(A155*24))/G38,"spécifier histo"))</f>
        <v>0.869089734950584</v>
      </c>
      <c r="F38" s="59" t="n">
        <v>530</v>
      </c>
      <c r="G38" s="59" t="n">
        <f aca="false">F38-H38</f>
        <v>530</v>
      </c>
      <c r="H38" s="58" t="n">
        <v>0</v>
      </c>
      <c r="I38" s="9"/>
      <c r="J38" s="0"/>
      <c r="M38" s="0"/>
      <c r="Q38" s="0"/>
    </row>
    <row r="39" customFormat="false" ht="21.7" hidden="false" customHeight="true" outlineLevel="0" collapsed="false">
      <c r="A39" s="0" t="n">
        <v>30</v>
      </c>
      <c r="B39" s="31" t="n">
        <v>42064</v>
      </c>
      <c r="C39" s="26" t="n">
        <v>272042</v>
      </c>
      <c r="D39" s="26" t="s">
        <v>42</v>
      </c>
      <c r="E39" s="33" t="n">
        <f aca="false">IF(D39="totale",(C39/(A156*24))/F39,IF(D39="marché libre",(C39/(A156*24))/G39,"spécifier histo"))</f>
        <v>0.68990160275918</v>
      </c>
      <c r="F39" s="26" t="n">
        <v>530</v>
      </c>
      <c r="G39" s="26" t="n">
        <f aca="false">F39-H39</f>
        <v>530</v>
      </c>
      <c r="H39" s="26" t="n">
        <v>0</v>
      </c>
      <c r="I39" s="9"/>
      <c r="J39" s="0"/>
      <c r="M39" s="0"/>
      <c r="Q39" s="0"/>
    </row>
    <row r="40" customFormat="false" ht="21.7" hidden="false" customHeight="true" outlineLevel="0" collapsed="false">
      <c r="A40" s="0" t="n">
        <v>31</v>
      </c>
      <c r="B40" s="34" t="n">
        <v>42095</v>
      </c>
      <c r="C40" s="56" t="n">
        <v>158741</v>
      </c>
      <c r="D40" s="57" t="s">
        <v>42</v>
      </c>
      <c r="E40" s="33" t="n">
        <f aca="false">IF(D40="totale",(C40/(A157*24))/F40,IF(D40="marché libre",(C40/(A157*24))/G40,"spécifier histo"))</f>
        <v>0.415987945492662</v>
      </c>
      <c r="F40" s="59" t="n">
        <v>530</v>
      </c>
      <c r="G40" s="59" t="n">
        <f aca="false">F40-H40</f>
        <v>530</v>
      </c>
      <c r="H40" s="58" t="n">
        <v>0</v>
      </c>
      <c r="I40" s="9"/>
      <c r="J40" s="0"/>
      <c r="M40" s="0"/>
      <c r="Q40" s="0"/>
    </row>
    <row r="41" customFormat="false" ht="21.7" hidden="false" customHeight="true" outlineLevel="0" collapsed="false">
      <c r="A41" s="0" t="n">
        <v>31</v>
      </c>
      <c r="B41" s="31" t="n">
        <v>42125</v>
      </c>
      <c r="C41" s="56" t="n">
        <v>110825</v>
      </c>
      <c r="D41" s="57" t="s">
        <v>42</v>
      </c>
      <c r="E41" s="33" t="n">
        <f aca="false">IF(D41="totale",(C41/(A158*24))/F41,IF(D41="marché libre",(C41/(A158*24))/G41,"spécifier histo"))</f>
        <v>0.281053459119497</v>
      </c>
      <c r="F41" s="59" t="n">
        <v>530</v>
      </c>
      <c r="G41" s="59" t="n">
        <f aca="false">F41-H41</f>
        <v>530</v>
      </c>
      <c r="H41" s="58" t="n">
        <v>0</v>
      </c>
      <c r="I41" s="9"/>
      <c r="J41" s="0"/>
      <c r="M41" s="0"/>
      <c r="Q41" s="0"/>
    </row>
    <row r="42" customFormat="false" ht="21.7" hidden="false" customHeight="true" outlineLevel="0" collapsed="false">
      <c r="A42" s="0" t="n">
        <v>30</v>
      </c>
      <c r="B42" s="34" t="n">
        <v>42156</v>
      </c>
      <c r="C42" s="56" t="n">
        <v>27561</v>
      </c>
      <c r="D42" s="57" t="s">
        <v>42</v>
      </c>
      <c r="E42" s="33" t="n">
        <f aca="false">IF(D42="totale",(C42/(A159*24))/F42,IF(D42="marché libre",(C42/(A159*24))/G42,"spécifier histo"))</f>
        <v>0.0722248427672956</v>
      </c>
      <c r="F42" s="59" t="n">
        <v>530</v>
      </c>
      <c r="G42" s="59" t="n">
        <f aca="false">F42-H42</f>
        <v>530</v>
      </c>
      <c r="H42" s="58" t="n">
        <v>0</v>
      </c>
      <c r="I42" s="9"/>
      <c r="J42" s="0"/>
      <c r="M42" s="0"/>
      <c r="Q42" s="0"/>
    </row>
    <row r="43" customFormat="false" ht="21.7" hidden="false" customHeight="true" outlineLevel="0" collapsed="false">
      <c r="A43" s="0" t="n">
        <v>31</v>
      </c>
      <c r="B43" s="31" t="n">
        <v>42186</v>
      </c>
      <c r="C43" s="56" t="n">
        <v>0</v>
      </c>
      <c r="D43" s="57" t="s">
        <v>42</v>
      </c>
      <c r="E43" s="33" t="n">
        <f aca="false">IF(D43="totale",(C43/(A160*24))/F43,IF(D43="marché libre",(C43/(A160*24))/G43,"spécifier histo"))</f>
        <v>0</v>
      </c>
      <c r="F43" s="59" t="n">
        <v>530</v>
      </c>
      <c r="G43" s="59" t="n">
        <f aca="false">F43-H43</f>
        <v>530</v>
      </c>
      <c r="H43" s="58" t="n">
        <v>0</v>
      </c>
      <c r="I43" s="9"/>
      <c r="J43" s="0"/>
      <c r="M43" s="0"/>
      <c r="Q43" s="0"/>
    </row>
    <row r="44" customFormat="false" ht="21.7" hidden="false" customHeight="true" outlineLevel="0" collapsed="false">
      <c r="A44" s="0" t="n">
        <v>30</v>
      </c>
      <c r="B44" s="34" t="n">
        <v>42217</v>
      </c>
      <c r="C44" s="56" t="n">
        <v>0</v>
      </c>
      <c r="D44" s="57" t="s">
        <v>42</v>
      </c>
      <c r="E44" s="33" t="n">
        <f aca="false">IF(D44="totale",(C44/(A161*24))/F44,IF(D44="marché libre",(C44/(A161*24))/G44,"spécifier histo"))</f>
        <v>0</v>
      </c>
      <c r="F44" s="59" t="n">
        <v>530</v>
      </c>
      <c r="G44" s="59" t="n">
        <f aca="false">F44-H44</f>
        <v>530</v>
      </c>
      <c r="H44" s="58" t="n">
        <v>0</v>
      </c>
      <c r="I44" s="9"/>
      <c r="J44" s="0"/>
      <c r="M44" s="0"/>
      <c r="Q44" s="0"/>
    </row>
    <row r="45" customFormat="false" ht="21.7" hidden="false" customHeight="true" outlineLevel="0" collapsed="false">
      <c r="A45" s="0" t="n">
        <v>31</v>
      </c>
      <c r="B45" s="31" t="n">
        <v>42248</v>
      </c>
      <c r="C45" s="56" t="n">
        <v>70020</v>
      </c>
      <c r="D45" s="57" t="s">
        <v>42</v>
      </c>
      <c r="E45" s="33" t="n">
        <f aca="false">IF(D45="totale",(C45/(A162*24))/F45,IF(D45="marché libre",(C45/(A162*24))/G45,"spécifier histo"))</f>
        <v>0.183490566037736</v>
      </c>
      <c r="F45" s="59" t="n">
        <v>530</v>
      </c>
      <c r="G45" s="59" t="n">
        <f aca="false">F45-H45</f>
        <v>530</v>
      </c>
      <c r="H45" s="58" t="n">
        <v>0</v>
      </c>
      <c r="I45" s="9"/>
      <c r="J45" s="0"/>
      <c r="M45" s="0"/>
      <c r="Q45" s="0"/>
    </row>
    <row r="46" customFormat="false" ht="21.7" hidden="false" customHeight="true" outlineLevel="0" collapsed="false">
      <c r="A46" s="0" t="n">
        <v>31</v>
      </c>
      <c r="B46" s="34" t="n">
        <v>42278</v>
      </c>
      <c r="C46" s="56" t="n">
        <v>200214</v>
      </c>
      <c r="D46" s="57" t="s">
        <v>42</v>
      </c>
      <c r="E46" s="33" t="n">
        <f aca="false">IF(D46="totale",(C46/(A163*24))/F46,IF(D46="marché libre",(C46/(A163*24))/G46,"spécifier histo"))</f>
        <v>0.507744978697505</v>
      </c>
      <c r="F46" s="59" t="n">
        <v>530</v>
      </c>
      <c r="G46" s="59" t="n">
        <f aca="false">F46-H46</f>
        <v>530</v>
      </c>
      <c r="H46" s="58" t="n">
        <v>0</v>
      </c>
      <c r="I46" s="9"/>
      <c r="J46" s="0"/>
      <c r="M46" s="0"/>
      <c r="Q46" s="0"/>
    </row>
    <row r="47" customFormat="false" ht="21.7" hidden="false" customHeight="true" outlineLevel="0" collapsed="false">
      <c r="A47" s="0" t="n">
        <v>28</v>
      </c>
      <c r="B47" s="31" t="n">
        <v>42309</v>
      </c>
      <c r="C47" s="56" t="n">
        <v>273288</v>
      </c>
      <c r="D47" s="57" t="s">
        <v>42</v>
      </c>
      <c r="E47" s="33" t="n">
        <f aca="false">IF(D47="totale",(C47/(A164*24))/F47,IF(D47="marché libre",(C47/(A164*24))/G47,"spécifier histo"))</f>
        <v>0.716163522012579</v>
      </c>
      <c r="F47" s="59" t="n">
        <v>530</v>
      </c>
      <c r="G47" s="59" t="n">
        <f aca="false">F47-H47</f>
        <v>530</v>
      </c>
      <c r="H47" s="58" t="n">
        <v>0</v>
      </c>
      <c r="I47" s="9"/>
      <c r="J47" s="30"/>
      <c r="M47" s="0"/>
      <c r="Q47" s="0"/>
    </row>
    <row r="48" customFormat="false" ht="21.7" hidden="false" customHeight="true" outlineLevel="0" collapsed="false">
      <c r="A48" s="0" t="n">
        <v>31</v>
      </c>
      <c r="B48" s="34" t="n">
        <v>42339</v>
      </c>
      <c r="C48" s="56" t="n">
        <v>134079</v>
      </c>
      <c r="D48" s="57" t="s">
        <v>42</v>
      </c>
      <c r="E48" s="33" t="n">
        <f aca="false">IF(D48="totale",(C48/(A165*24))/F48,IF(D48="marché libre",(C48/(A165*24))/G48,"spécifier histo"))</f>
        <v>0.340025867315886</v>
      </c>
      <c r="F48" s="59" t="n">
        <v>530</v>
      </c>
      <c r="G48" s="59" t="n">
        <f aca="false">F48-H48</f>
        <v>530</v>
      </c>
      <c r="H48" s="58" t="n">
        <v>0</v>
      </c>
      <c r="I48" s="9"/>
      <c r="J48" s="30"/>
      <c r="M48" s="0"/>
      <c r="Q48" s="0"/>
    </row>
    <row r="49" customFormat="false" ht="21.7" hidden="false" customHeight="true" outlineLevel="0" collapsed="false">
      <c r="A49" s="0" t="n">
        <v>30</v>
      </c>
      <c r="B49" s="31" t="n">
        <v>42370</v>
      </c>
      <c r="C49" s="56" t="n">
        <v>136212</v>
      </c>
      <c r="D49" s="57" t="s">
        <v>42</v>
      </c>
      <c r="E49" s="33" t="n">
        <f aca="false">IF(D49="totale",(C49/(A166*24))/F49,IF(D49="marché libre",(C49/(A166*24))/G49,"spécifier histo"))</f>
        <v>0.345435179549604</v>
      </c>
      <c r="F49" s="59" t="n">
        <v>530</v>
      </c>
      <c r="G49" s="59" t="n">
        <f aca="false">F49-H49</f>
        <v>530</v>
      </c>
      <c r="H49" s="58" t="n">
        <v>0</v>
      </c>
      <c r="I49" s="9"/>
      <c r="J49" s="30"/>
      <c r="M49" s="0"/>
      <c r="Q49" s="0"/>
    </row>
    <row r="50" customFormat="false" ht="21.7" hidden="false" customHeight="true" outlineLevel="0" collapsed="false">
      <c r="A50" s="0" t="n">
        <v>31</v>
      </c>
      <c r="B50" s="34" t="n">
        <v>42401</v>
      </c>
      <c r="C50" s="56" t="n">
        <v>261879</v>
      </c>
      <c r="D50" s="57" t="s">
        <v>42</v>
      </c>
      <c r="E50" s="33" t="n">
        <f aca="false">IF(D50="totale",(C50/(A167*24))/F50,IF(D50="marché libre",(C50/(A167*24))/G50,"spécifier histo"))</f>
        <v>0.735284703504043</v>
      </c>
      <c r="F50" s="59" t="n">
        <v>530</v>
      </c>
      <c r="G50" s="59" t="n">
        <f aca="false">F50-H50</f>
        <v>530</v>
      </c>
      <c r="H50" s="58" t="n">
        <v>0</v>
      </c>
      <c r="I50" s="9"/>
      <c r="J50" s="30"/>
      <c r="M50" s="0"/>
      <c r="Q50" s="0"/>
    </row>
    <row r="51" customFormat="false" ht="21.7" hidden="false" customHeight="true" outlineLevel="0" collapsed="false">
      <c r="A51" s="0" t="n">
        <v>30</v>
      </c>
      <c r="B51" s="31" t="n">
        <v>42430</v>
      </c>
      <c r="C51" s="56" t="n">
        <v>293034</v>
      </c>
      <c r="D51" s="57" t="s">
        <v>42</v>
      </c>
      <c r="E51" s="33" t="n">
        <f aca="false">IF(D51="totale",(C51/(A168*24))/F51,IF(D51="marché libre",(C51/(A168*24))/G51,"spécifier histo"))</f>
        <v>0.743137553256239</v>
      </c>
      <c r="F51" s="59" t="n">
        <v>530</v>
      </c>
      <c r="G51" s="59" t="n">
        <f aca="false">F51-H51</f>
        <v>530</v>
      </c>
      <c r="H51" s="58" t="n">
        <v>0</v>
      </c>
      <c r="I51" s="9"/>
      <c r="J51" s="30"/>
      <c r="M51" s="0"/>
      <c r="Q51" s="0"/>
    </row>
    <row r="52" customFormat="false" ht="21.7" hidden="false" customHeight="true" outlineLevel="0" collapsed="false">
      <c r="A52" s="0" t="n">
        <v>31</v>
      </c>
      <c r="B52" s="34" t="n">
        <v>42461</v>
      </c>
      <c r="C52" s="56" t="n">
        <v>305475</v>
      </c>
      <c r="D52" s="57" t="s">
        <v>42</v>
      </c>
      <c r="E52" s="33" t="n">
        <f aca="false">IF(D52="totale",(C52/(A169*24))/F52,IF(D52="marché libre",(C52/(A169*24))/G52,"spécifier histo"))</f>
        <v>0.800511006289308</v>
      </c>
      <c r="F52" s="59" t="n">
        <v>530</v>
      </c>
      <c r="G52" s="59" t="n">
        <f aca="false">F52-H52</f>
        <v>530</v>
      </c>
      <c r="H52" s="58" t="n">
        <v>0</v>
      </c>
      <c r="I52" s="9"/>
      <c r="J52" s="30"/>
      <c r="M52" s="0"/>
      <c r="Q52" s="0"/>
    </row>
    <row r="53" customFormat="false" ht="21.7" hidden="false" customHeight="true" outlineLevel="0" collapsed="false">
      <c r="A53" s="0" t="n">
        <v>31</v>
      </c>
      <c r="B53" s="31" t="n">
        <v>42491</v>
      </c>
      <c r="C53" s="56" t="n">
        <v>232880</v>
      </c>
      <c r="D53" s="57" t="s">
        <v>42</v>
      </c>
      <c r="E53" s="33" t="n">
        <f aca="false">IF(D53="totale",(C53/(A170*24))/F53,IF(D53="marché libre",(C53/(A170*24))/G53,"spécifier histo"))</f>
        <v>0.59058632582674</v>
      </c>
      <c r="F53" s="59" t="n">
        <v>530</v>
      </c>
      <c r="G53" s="59" t="n">
        <f aca="false">F53-H53</f>
        <v>530</v>
      </c>
      <c r="H53" s="58" t="n">
        <v>0</v>
      </c>
      <c r="I53" s="9"/>
      <c r="J53" s="30"/>
      <c r="M53" s="0"/>
      <c r="Q53" s="0"/>
    </row>
    <row r="54" customFormat="false" ht="21.7" hidden="false" customHeight="true" outlineLevel="0" collapsed="false">
      <c r="A54" s="0" t="n">
        <v>30</v>
      </c>
      <c r="B54" s="34" t="n">
        <v>42522</v>
      </c>
      <c r="C54" s="56" t="n">
        <v>95814</v>
      </c>
      <c r="D54" s="57" t="s">
        <v>42</v>
      </c>
      <c r="E54" s="33" t="n">
        <f aca="false">IF(D54="totale",(C54/(A171*24))/F54,IF(D54="marché libre",(C54/(A171*24))/G54,"spécifier histo"))</f>
        <v>0.251084905660377</v>
      </c>
      <c r="F54" s="59" t="n">
        <v>530</v>
      </c>
      <c r="G54" s="59" t="n">
        <f aca="false">F54-H54</f>
        <v>530</v>
      </c>
      <c r="H54" s="59" t="n">
        <v>0</v>
      </c>
      <c r="I54" s="9"/>
      <c r="J54" s="30"/>
      <c r="M54" s="0"/>
      <c r="Q54" s="0"/>
    </row>
    <row r="55" customFormat="false" ht="21.7" hidden="false" customHeight="true" outlineLevel="0" collapsed="false">
      <c r="A55" s="0" t="n">
        <v>31</v>
      </c>
      <c r="B55" s="31" t="n">
        <v>42552</v>
      </c>
      <c r="C55" s="56" t="n">
        <v>0</v>
      </c>
      <c r="D55" s="57" t="s">
        <v>42</v>
      </c>
      <c r="E55" s="33" t="n">
        <f aca="false">IF(D55="totale",(C55/(A172*24))/F55,IF(D55="marché libre",(C55/(A172*24))/G55,"spécifier histo"))</f>
        <v>0</v>
      </c>
      <c r="F55" s="59" t="n">
        <v>530</v>
      </c>
      <c r="G55" s="59" t="n">
        <f aca="false">F55-H55</f>
        <v>530</v>
      </c>
      <c r="H55" s="59" t="n">
        <v>0</v>
      </c>
      <c r="I55" s="9"/>
      <c r="J55" s="30"/>
      <c r="M55" s="0"/>
      <c r="Q55" s="0"/>
    </row>
    <row r="56" customFormat="false" ht="21.7" hidden="false" customHeight="true" outlineLevel="0" collapsed="false">
      <c r="A56" s="0" t="n">
        <v>30</v>
      </c>
      <c r="B56" s="34" t="n">
        <v>42583</v>
      </c>
      <c r="C56" s="56" t="n">
        <v>0</v>
      </c>
      <c r="D56" s="57" t="s">
        <v>42</v>
      </c>
      <c r="E56" s="33" t="n">
        <f aca="false">IF(D56="totale",(C56/(A173*24))/F56,IF(D56="marché libre",(C56/(A173*24))/G56,"spécifier histo"))</f>
        <v>0</v>
      </c>
      <c r="F56" s="59" t="n">
        <v>530</v>
      </c>
      <c r="G56" s="59" t="n">
        <f aca="false">F56-H56</f>
        <v>530</v>
      </c>
      <c r="H56" s="59" t="n">
        <v>0</v>
      </c>
      <c r="I56" s="9"/>
      <c r="J56" s="30"/>
      <c r="M56" s="0"/>
      <c r="Q56" s="0"/>
    </row>
    <row r="57" customFormat="false" ht="21.7" hidden="false" customHeight="true" outlineLevel="0" collapsed="false">
      <c r="A57" s="0" t="n">
        <v>31</v>
      </c>
      <c r="B57" s="31" t="n">
        <v>42614</v>
      </c>
      <c r="C57" s="56" t="n">
        <v>0</v>
      </c>
      <c r="D57" s="57" t="s">
        <v>42</v>
      </c>
      <c r="E57" s="33" t="n">
        <f aca="false">IF(D57="totale",(C57/(A174*24))/F57,IF(D57="marché libre",(C57/(A174*24))/G57,"spécifier histo"))</f>
        <v>0</v>
      </c>
      <c r="F57" s="59" t="n">
        <v>530</v>
      </c>
      <c r="G57" s="59" t="n">
        <f aca="false">F57-H57</f>
        <v>530</v>
      </c>
      <c r="H57" s="59" t="n">
        <v>0</v>
      </c>
      <c r="I57" s="9"/>
      <c r="J57" s="30"/>
      <c r="M57" s="0"/>
      <c r="Q57" s="0"/>
    </row>
    <row r="58" customFormat="false" ht="21.7" hidden="false" customHeight="true" outlineLevel="0" collapsed="false">
      <c r="A58" s="0" t="n">
        <v>31</v>
      </c>
      <c r="B58" s="34" t="n">
        <v>42644</v>
      </c>
      <c r="C58" s="56" t="n">
        <v>29303</v>
      </c>
      <c r="D58" s="57" t="s">
        <v>42</v>
      </c>
      <c r="E58" s="33" t="n">
        <f aca="false">IF(D58="totale",(C58/(A175*24))/F58,IF(D58="marché libre",(C58/(A175*24))/G58,"spécifier histo"))</f>
        <v>0.0743127409210793</v>
      </c>
      <c r="F58" s="59" t="n">
        <v>530</v>
      </c>
      <c r="G58" s="59" t="n">
        <f aca="false">F58-H58</f>
        <v>530</v>
      </c>
      <c r="H58" s="59" t="n">
        <v>0</v>
      </c>
      <c r="I58" s="9"/>
      <c r="J58" s="30"/>
      <c r="M58" s="0"/>
      <c r="Q58" s="0"/>
    </row>
    <row r="59" customFormat="false" ht="21.7" hidden="false" customHeight="true" outlineLevel="0" collapsed="false">
      <c r="A59" s="0" t="n">
        <v>28</v>
      </c>
      <c r="B59" s="31" t="n">
        <v>42675</v>
      </c>
      <c r="C59" s="59" t="n">
        <v>92832</v>
      </c>
      <c r="D59" s="57" t="s">
        <v>42</v>
      </c>
      <c r="E59" s="33" t="n">
        <f aca="false">IF(D59="totale",(C59/(A176*24))/F59,IF(D59="marché libre",(C59/(A176*24))/G59,"spécifier histo"))</f>
        <v>0.243270440251572</v>
      </c>
      <c r="F59" s="59" t="n">
        <v>530</v>
      </c>
      <c r="G59" s="59" t="n">
        <f aca="false">F59-H59</f>
        <v>530</v>
      </c>
      <c r="H59" s="59" t="n">
        <v>0</v>
      </c>
      <c r="I59" s="9"/>
      <c r="J59" s="30"/>
      <c r="M59" s="0"/>
    </row>
    <row r="60" customFormat="false" ht="21.7" hidden="false" customHeight="true" outlineLevel="0" collapsed="false">
      <c r="A60" s="0" t="n">
        <v>31</v>
      </c>
      <c r="B60" s="34" t="n">
        <v>42705</v>
      </c>
      <c r="C60" s="60" t="n">
        <v>291018</v>
      </c>
      <c r="D60" s="57" t="s">
        <v>42</v>
      </c>
      <c r="E60" s="33" t="n">
        <f aca="false">IF(D60="totale",(C60/(A177*24))/F60,IF(D60="marché libre",(C60/(A177*24))/G60,"spécifier histo"))</f>
        <v>0.738024954351795</v>
      </c>
      <c r="F60" s="59" t="n">
        <v>530</v>
      </c>
      <c r="G60" s="59" t="n">
        <f aca="false">F60-H60</f>
        <v>530</v>
      </c>
      <c r="H60" s="59" t="n">
        <v>0</v>
      </c>
      <c r="I60" s="9"/>
      <c r="J60" s="30"/>
      <c r="M60" s="0"/>
    </row>
    <row r="61" customFormat="false" ht="21.7" hidden="false" customHeight="true" outlineLevel="0" collapsed="false">
      <c r="A61" s="0" t="n">
        <v>30</v>
      </c>
      <c r="B61" s="31" t="n">
        <v>42736</v>
      </c>
      <c r="C61" s="60" t="n">
        <v>143766</v>
      </c>
      <c r="D61" s="57" t="s">
        <v>42</v>
      </c>
      <c r="E61" s="33" t="n">
        <f aca="false">IF(D61="totale",(C61/(A178*24))/F61,IF(D61="marché libre",(C61/(A178*24))/G61,"spécifier histo"))</f>
        <v>0.364592209373098</v>
      </c>
      <c r="F61" s="59" t="n">
        <v>530</v>
      </c>
      <c r="G61" s="59" t="n">
        <f aca="false">F61-H61</f>
        <v>530</v>
      </c>
      <c r="H61" s="59" t="n">
        <v>0</v>
      </c>
      <c r="I61" s="9"/>
      <c r="J61" s="30"/>
      <c r="M61" s="0"/>
    </row>
    <row r="62" customFormat="false" ht="21.7" hidden="false" customHeight="true" outlineLevel="0" collapsed="false">
      <c r="A62" s="0" t="n">
        <v>31</v>
      </c>
      <c r="B62" s="34" t="n">
        <v>42767</v>
      </c>
      <c r="C62" s="60" t="n">
        <v>303683</v>
      </c>
      <c r="D62" s="57" t="s">
        <v>42</v>
      </c>
      <c r="E62" s="33" t="n">
        <f aca="false">IF(D62="totale",(C62/(A179*24))/F62,IF(D62="marché libre",(C62/(A179*24))/G62,"spécifier histo"))</f>
        <v>0.852658917340521</v>
      </c>
      <c r="F62" s="59" t="n">
        <v>530</v>
      </c>
      <c r="G62" s="59" t="n">
        <f aca="false">F62-H62</f>
        <v>530</v>
      </c>
      <c r="H62" s="59" t="n">
        <v>0</v>
      </c>
      <c r="I62" s="9"/>
      <c r="J62" s="30"/>
      <c r="M62" s="0"/>
    </row>
    <row r="63" customFormat="false" ht="21.7" hidden="false" customHeight="true" outlineLevel="0" collapsed="false">
      <c r="A63" s="0" t="n">
        <v>30</v>
      </c>
      <c r="B63" s="31" t="n">
        <v>42795</v>
      </c>
      <c r="C63" s="59" t="n">
        <v>301439</v>
      </c>
      <c r="D63" s="57" t="s">
        <v>42</v>
      </c>
      <c r="E63" s="33" t="n">
        <f aca="false">IF(D63="totale",(C63/(A180*24))/F63,IF(D63="marché libre",(C63/(A180*24))/G63,"spécifier histo"))</f>
        <v>0.764452728748225</v>
      </c>
      <c r="F63" s="59" t="n">
        <v>530</v>
      </c>
      <c r="G63" s="59" t="n">
        <f aca="false">F63-H63</f>
        <v>530</v>
      </c>
      <c r="H63" s="59" t="n">
        <v>0</v>
      </c>
      <c r="I63" s="9"/>
      <c r="J63" s="30"/>
      <c r="M63" s="0"/>
    </row>
    <row r="64" customFormat="false" ht="21.7" hidden="false" customHeight="true" outlineLevel="0" collapsed="false">
      <c r="A64" s="0" t="n">
        <v>31</v>
      </c>
      <c r="B64" s="34" t="n">
        <v>42826</v>
      </c>
      <c r="C64" s="59" t="n">
        <v>182569</v>
      </c>
      <c r="D64" s="57" t="s">
        <v>42</v>
      </c>
      <c r="E64" s="33" t="n">
        <f aca="false">IF(D64="totale",(C64/(A181*24))/F64,IF(D64="marché libre",(C64/(A181*24))/G64,"spécifier histo"))</f>
        <v>0.478430293501048</v>
      </c>
      <c r="F64" s="59" t="n">
        <v>530</v>
      </c>
      <c r="G64" s="59" t="n">
        <f aca="false">F64-H64</f>
        <v>530</v>
      </c>
      <c r="H64" s="59" t="n">
        <v>0</v>
      </c>
      <c r="I64" s="9"/>
      <c r="J64" s="30"/>
      <c r="M64" s="0"/>
    </row>
    <row r="65" customFormat="false" ht="21.7" hidden="false" customHeight="true" outlineLevel="0" collapsed="false">
      <c r="A65" s="0" t="n">
        <v>31</v>
      </c>
      <c r="B65" s="31" t="n">
        <v>42856</v>
      </c>
      <c r="C65" s="9" t="n">
        <v>134161</v>
      </c>
      <c r="D65" s="57" t="s">
        <v>42</v>
      </c>
      <c r="E65" s="33" t="n">
        <f aca="false">IF(D65="totale",(C65/(A182*24))/F65,IF(D65="marché libre",(C65/(A182*24))/G65,"spécifier histo"))</f>
        <v>0.340233820247515</v>
      </c>
      <c r="F65" s="59" t="n">
        <v>530</v>
      </c>
      <c r="G65" s="59" t="n">
        <f aca="false">F65-H65</f>
        <v>530</v>
      </c>
      <c r="H65" s="59" t="n">
        <v>0</v>
      </c>
      <c r="I65" s="9"/>
      <c r="J65" s="30"/>
      <c r="M65" s="0"/>
    </row>
    <row r="66" customFormat="false" ht="21.7" hidden="false" customHeight="true" outlineLevel="0" collapsed="false">
      <c r="A66" s="0" t="n">
        <v>30</v>
      </c>
      <c r="B66" s="34" t="n">
        <v>42887</v>
      </c>
      <c r="C66" s="9" t="n">
        <v>0</v>
      </c>
      <c r="D66" s="57" t="s">
        <v>42</v>
      </c>
      <c r="E66" s="33" t="n">
        <f aca="false">IF(D66="totale",(C66/(A183*24))/F66,IF(D66="marché libre",(C66/(A183*24))/G66,"spécifier histo"))</f>
        <v>0</v>
      </c>
      <c r="F66" s="59" t="n">
        <v>530</v>
      </c>
      <c r="G66" s="59" t="n">
        <f aca="false">F66-H66</f>
        <v>530</v>
      </c>
      <c r="H66" s="59" t="n">
        <v>0</v>
      </c>
      <c r="I66" s="9" t="s">
        <v>1077</v>
      </c>
      <c r="J66" s="30"/>
      <c r="M66" s="0"/>
    </row>
    <row r="67" customFormat="false" ht="21.7" hidden="false" customHeight="true" outlineLevel="0" collapsed="false">
      <c r="A67" s="0" t="n">
        <v>31</v>
      </c>
      <c r="B67" s="31" t="n">
        <v>42917</v>
      </c>
      <c r="C67" s="9" t="n">
        <v>0</v>
      </c>
      <c r="D67" s="57" t="s">
        <v>42</v>
      </c>
      <c r="E67" s="33" t="n">
        <f aca="false">IF(D67="totale",(C67/(A184*24))/F67,IF(D67="marché libre",(C67/(A184*24))/G67,"spécifier histo"))</f>
        <v>0</v>
      </c>
      <c r="F67" s="59" t="n">
        <v>530</v>
      </c>
      <c r="G67" s="59" t="n">
        <f aca="false">F67-H67</f>
        <v>530</v>
      </c>
      <c r="H67" s="59" t="n">
        <v>0</v>
      </c>
      <c r="I67" s="9" t="s">
        <v>1077</v>
      </c>
      <c r="J67" s="30"/>
      <c r="M67" s="0"/>
    </row>
    <row r="68" customFormat="false" ht="21.7" hidden="false" customHeight="true" outlineLevel="0" collapsed="false">
      <c r="A68" s="0" t="n">
        <v>30</v>
      </c>
      <c r="B68" s="34" t="n">
        <v>42948</v>
      </c>
      <c r="C68" s="9" t="n">
        <v>0</v>
      </c>
      <c r="D68" s="57" t="s">
        <v>42</v>
      </c>
      <c r="E68" s="33" t="n">
        <f aca="false">IF(D68="totale",(C68/(A185*24))/F68,IF(D68="marché libre",(C68/(A185*24))/G68,"spécifier histo"))</f>
        <v>0</v>
      </c>
      <c r="F68" s="59" t="n">
        <v>530</v>
      </c>
      <c r="G68" s="59" t="n">
        <f aca="false">F68-H68</f>
        <v>530</v>
      </c>
      <c r="H68" s="59" t="n">
        <v>0</v>
      </c>
      <c r="I68" s="9" t="s">
        <v>1077</v>
      </c>
      <c r="J68" s="205"/>
      <c r="K68" s="9"/>
      <c r="L68" s="0"/>
    </row>
    <row r="69" customFormat="false" ht="21.7" hidden="false" customHeight="true" outlineLevel="0" collapsed="false">
      <c r="A69" s="0" t="n">
        <v>31</v>
      </c>
      <c r="B69" s="402" t="n">
        <v>42979</v>
      </c>
      <c r="C69" s="558" t="n">
        <v>0</v>
      </c>
      <c r="D69" s="239" t="s">
        <v>42</v>
      </c>
      <c r="E69" s="372" t="n">
        <f aca="false">IF(D69="totale",(C69/(A186*24))/F69,IF(D69="marché libre",(C69/(A186*24))/G69,"spécifier histo"))</f>
        <v>0</v>
      </c>
      <c r="F69" s="239" t="n">
        <v>650</v>
      </c>
      <c r="G69" s="239" t="n">
        <v>190</v>
      </c>
      <c r="H69" s="239" t="n">
        <v>460</v>
      </c>
      <c r="I69" s="9" t="s">
        <v>1077</v>
      </c>
      <c r="J69" s="9" t="s">
        <v>1255</v>
      </c>
      <c r="K69" s="0" t="s">
        <v>1256</v>
      </c>
    </row>
    <row r="70" customFormat="false" ht="21.7" hidden="false" customHeight="true" outlineLevel="0" collapsed="false">
      <c r="A70" s="0" t="n">
        <v>31</v>
      </c>
      <c r="B70" s="34" t="n">
        <v>43009</v>
      </c>
      <c r="C70" s="9" t="n">
        <v>0</v>
      </c>
      <c r="D70" s="57" t="s">
        <v>42</v>
      </c>
      <c r="E70" s="33" t="n">
        <f aca="false">IF(D70="totale",(C70/(A187*24))/F70,IF(D70="marché libre",(C70/(A187*24))/G70,"spécifier histo"))</f>
        <v>0</v>
      </c>
      <c r="F70" s="59" t="n">
        <f aca="false">300+200+150</f>
        <v>650</v>
      </c>
      <c r="G70" s="59" t="n">
        <f aca="false">F70-H70</f>
        <v>190</v>
      </c>
      <c r="H70" s="59" t="n">
        <v>460</v>
      </c>
      <c r="I70" s="9"/>
      <c r="J70" s="0" t="s">
        <v>1257</v>
      </c>
      <c r="K70" s="718" t="s">
        <v>1258</v>
      </c>
    </row>
    <row r="71" customFormat="false" ht="21.7" hidden="false" customHeight="true" outlineLevel="0" collapsed="false">
      <c r="A71" s="0" t="n">
        <v>28</v>
      </c>
      <c r="B71" s="31" t="n">
        <v>43040</v>
      </c>
      <c r="C71" s="9" t="n">
        <v>0</v>
      </c>
      <c r="D71" s="57" t="s">
        <v>42</v>
      </c>
      <c r="E71" s="33" t="n">
        <f aca="false">IF(D71="totale",(C71/(A188*24))/F71,IF(D71="marché libre",(C71/(A188*24))/G71,"spécifier histo"))</f>
        <v>0</v>
      </c>
      <c r="F71" s="59" t="n">
        <f aca="false">300+200+150</f>
        <v>650</v>
      </c>
      <c r="G71" s="59" t="n">
        <f aca="false">F71-H71</f>
        <v>190</v>
      </c>
      <c r="H71" s="59" t="n">
        <v>460</v>
      </c>
      <c r="I71" s="9"/>
      <c r="J71" s="0" t="s">
        <v>1257</v>
      </c>
      <c r="K71" s="719"/>
    </row>
    <row r="72" customFormat="false" ht="21.7" hidden="false" customHeight="true" outlineLevel="0" collapsed="false">
      <c r="A72" s="0" t="n">
        <v>31</v>
      </c>
      <c r="B72" s="34" t="n">
        <v>43070</v>
      </c>
      <c r="C72" s="9" t="n">
        <v>0</v>
      </c>
      <c r="D72" s="57" t="s">
        <v>42</v>
      </c>
      <c r="E72" s="33" t="n">
        <f aca="false">IF(D72="totale",(C72/(A189*24))/F72,IF(D72="marché libre",(C72/(A189*24))/G72,"spécifier histo"))</f>
        <v>0</v>
      </c>
      <c r="F72" s="59" t="n">
        <f aca="false">300+200+150</f>
        <v>650</v>
      </c>
      <c r="G72" s="59" t="n">
        <f aca="false">F72-H72</f>
        <v>190</v>
      </c>
      <c r="H72" s="59" t="n">
        <v>460</v>
      </c>
      <c r="I72" s="9"/>
      <c r="J72" s="0" t="s">
        <v>1257</v>
      </c>
      <c r="K72" s="0"/>
      <c r="L72" s="0"/>
      <c r="M72" s="0"/>
    </row>
    <row r="73" customFormat="false" ht="21.7" hidden="false" customHeight="true" outlineLevel="0" collapsed="false">
      <c r="A73" s="0" t="n">
        <v>30</v>
      </c>
      <c r="B73" s="31" t="n">
        <v>43101</v>
      </c>
      <c r="C73" s="9" t="n">
        <v>20056</v>
      </c>
      <c r="D73" s="57" t="s">
        <v>42</v>
      </c>
      <c r="E73" s="33" t="n">
        <f aca="false">IF(D73="totale",(C73/(A190*24))/F73,IF(D73="marché libre",(C73/(A190*24))/G73,"spécifier histo"))</f>
        <v>0.141878890775325</v>
      </c>
      <c r="F73" s="59" t="n">
        <f aca="false">300+200+150</f>
        <v>650</v>
      </c>
      <c r="G73" s="59" t="n">
        <f aca="false">F73-H73</f>
        <v>190</v>
      </c>
      <c r="H73" s="59" t="n">
        <v>460</v>
      </c>
      <c r="I73" s="9"/>
      <c r="J73" s="0"/>
      <c r="M73" s="0"/>
    </row>
    <row r="74" customFormat="false" ht="21.7" hidden="false" customHeight="true" outlineLevel="0" collapsed="false">
      <c r="A74" s="0" t="n">
        <v>31</v>
      </c>
      <c r="B74" s="34" t="n">
        <v>43132</v>
      </c>
      <c r="C74" s="1" t="n">
        <v>30109</v>
      </c>
      <c r="D74" s="57" t="s">
        <v>42</v>
      </c>
      <c r="E74" s="33" t="n">
        <f aca="false">IF(D74="totale",(C74/(A191*24))/F74,IF(D74="marché libre",(C74/(A191*24))/G74,"spécifier histo"))</f>
        <v>0.235816102756892</v>
      </c>
      <c r="F74" s="59" t="n">
        <f aca="false">300+200+150</f>
        <v>650</v>
      </c>
      <c r="G74" s="59" t="n">
        <f aca="false">F74-H74</f>
        <v>190</v>
      </c>
      <c r="H74" s="59" t="n">
        <v>460</v>
      </c>
      <c r="I74" s="9" t="s">
        <v>1088</v>
      </c>
      <c r="J74" s="0"/>
      <c r="M74" s="0"/>
    </row>
    <row r="75" customFormat="false" ht="21.7" hidden="false" customHeight="true" outlineLevel="0" collapsed="false">
      <c r="A75" s="0" t="n">
        <v>30</v>
      </c>
      <c r="B75" s="31" t="n">
        <v>43160</v>
      </c>
      <c r="C75" s="1" t="n">
        <v>0</v>
      </c>
      <c r="D75" s="57" t="s">
        <v>42</v>
      </c>
      <c r="E75" s="33" t="n">
        <f aca="false">IF(D75="totale",(C75/(A192*24))/F75,IF(D75="marché libre",(C75/(A192*24))/G75,"spécifier histo"))</f>
        <v>0</v>
      </c>
      <c r="F75" s="59" t="n">
        <f aca="false">300+200+150</f>
        <v>650</v>
      </c>
      <c r="G75" s="59" t="n">
        <f aca="false">F75-H75</f>
        <v>190</v>
      </c>
      <c r="H75" s="59" t="n">
        <v>460</v>
      </c>
      <c r="I75" s="9" t="s">
        <v>1088</v>
      </c>
      <c r="J75" s="0"/>
      <c r="L75" s="1" t="n">
        <f aca="false">360+220+180</f>
        <v>760</v>
      </c>
      <c r="M75" s="0"/>
    </row>
    <row r="76" customFormat="false" ht="21.7" hidden="false" customHeight="true" outlineLevel="0" collapsed="false">
      <c r="A76" s="0" t="n">
        <v>31</v>
      </c>
      <c r="B76" s="34" t="n">
        <v>43191</v>
      </c>
      <c r="C76" s="1" t="n">
        <v>0</v>
      </c>
      <c r="D76" s="57" t="s">
        <v>42</v>
      </c>
      <c r="E76" s="33" t="n">
        <f aca="false">IF(D76="totale",(C76/(A193*24))/F76,IF(D76="marché libre",(C76/(A193*24))/G76,"spécifier histo"))</f>
        <v>0</v>
      </c>
      <c r="F76" s="59" t="n">
        <f aca="false">300+200+150</f>
        <v>650</v>
      </c>
      <c r="G76" s="59" t="n">
        <f aca="false">F76-H76</f>
        <v>190</v>
      </c>
      <c r="H76" s="59" t="n">
        <v>460</v>
      </c>
      <c r="I76" s="9" t="s">
        <v>1088</v>
      </c>
      <c r="J76" s="0"/>
      <c r="M76" s="0"/>
    </row>
    <row r="77" customFormat="false" ht="21.7" hidden="false" customHeight="true" outlineLevel="0" collapsed="false">
      <c r="A77" s="0" t="n">
        <v>31</v>
      </c>
      <c r="B77" s="31" t="n">
        <v>43221</v>
      </c>
      <c r="C77" s="1" t="n">
        <v>18634</v>
      </c>
      <c r="D77" s="57" t="s">
        <v>42</v>
      </c>
      <c r="E77" s="33" t="n">
        <f aca="false">IF(D77="totale",(C77/(A194*24))/F77,IF(D77="marché libre",(C77/(A194*24))/G77,"spécifier histo"))</f>
        <v>0.131819468024901</v>
      </c>
      <c r="F77" s="59" t="n">
        <f aca="false">300+200+150</f>
        <v>650</v>
      </c>
      <c r="G77" s="59" t="n">
        <f aca="false">F77-H77</f>
        <v>190</v>
      </c>
      <c r="H77" s="59" t="n">
        <v>460</v>
      </c>
      <c r="I77" s="9"/>
      <c r="J77" s="0"/>
      <c r="M77" s="0"/>
    </row>
    <row r="78" customFormat="false" ht="21.7" hidden="false" customHeight="true" outlineLevel="0" collapsed="false">
      <c r="A78" s="0" t="n">
        <v>30</v>
      </c>
      <c r="B78" s="34" t="n">
        <v>43252</v>
      </c>
      <c r="C78" s="1" t="n">
        <v>28129</v>
      </c>
      <c r="D78" s="57" t="s">
        <v>42</v>
      </c>
      <c r="E78" s="33" t="n">
        <f aca="false">IF(D78="totale",(C78/(A195*24))/F78,IF(D78="marché libre",(C78/(A195*24))/G78,"spécifier histo"))</f>
        <v>0.20562134502924</v>
      </c>
      <c r="F78" s="59" t="n">
        <f aca="false">300+200+150</f>
        <v>650</v>
      </c>
      <c r="G78" s="59" t="n">
        <f aca="false">F78-H78</f>
        <v>190</v>
      </c>
      <c r="H78" s="59" t="n">
        <v>460</v>
      </c>
      <c r="I78" s="9"/>
      <c r="J78" s="0"/>
      <c r="M78" s="0"/>
    </row>
    <row r="79" customFormat="false" ht="21.7" hidden="false" customHeight="true" outlineLevel="0" collapsed="false">
      <c r="A79" s="0" t="n">
        <v>31</v>
      </c>
      <c r="I79" s="9"/>
      <c r="J79" s="30"/>
      <c r="M79" s="0"/>
    </row>
    <row r="80" customFormat="false" ht="21.7" hidden="false" customHeight="true" outlineLevel="0" collapsed="false">
      <c r="A80" s="0" t="n">
        <v>30</v>
      </c>
      <c r="I80" s="9"/>
      <c r="J80" s="30"/>
      <c r="M80" s="0"/>
    </row>
    <row r="81" customFormat="false" ht="21.7" hidden="false" customHeight="true" outlineLevel="0" collapsed="false">
      <c r="A81" s="0" t="n">
        <v>31</v>
      </c>
      <c r="I81" s="9"/>
      <c r="J81" s="30"/>
      <c r="M81" s="0"/>
    </row>
    <row r="82" customFormat="false" ht="21.7" hidden="false" customHeight="true" outlineLevel="0" collapsed="false">
      <c r="A82" s="0" t="n">
        <v>31</v>
      </c>
      <c r="I82" s="9"/>
      <c r="J82" s="30"/>
      <c r="M82" s="0"/>
    </row>
    <row r="83" customFormat="false" ht="21.7" hidden="false" customHeight="true" outlineLevel="0" collapsed="false">
      <c r="A83" s="0" t="n">
        <v>28</v>
      </c>
      <c r="I83" s="9"/>
      <c r="J83" s="30"/>
      <c r="M83" s="0"/>
    </row>
    <row r="84" customFormat="false" ht="21.7" hidden="false" customHeight="true" outlineLevel="0" collapsed="false">
      <c r="A84" s="0" t="n">
        <v>31</v>
      </c>
      <c r="I84" s="9"/>
      <c r="J84" s="30"/>
      <c r="M84" s="0"/>
    </row>
    <row r="85" customFormat="false" ht="21.7" hidden="false" customHeight="true" outlineLevel="0" collapsed="false">
      <c r="A85" s="0" t="n">
        <v>30</v>
      </c>
      <c r="I85" s="9"/>
      <c r="J85" s="30"/>
      <c r="M85" s="0"/>
    </row>
    <row r="86" customFormat="false" ht="21.7" hidden="false" customHeight="true" outlineLevel="0" collapsed="false">
      <c r="A86" s="0" t="n">
        <v>31</v>
      </c>
      <c r="I86" s="9"/>
      <c r="J86" s="30"/>
      <c r="M86" s="0"/>
    </row>
    <row r="87" customFormat="false" ht="21.7" hidden="false" customHeight="true" outlineLevel="0" collapsed="false">
      <c r="A87" s="0" t="n">
        <v>30</v>
      </c>
      <c r="I87" s="9"/>
      <c r="J87" s="30"/>
      <c r="M87" s="0"/>
    </row>
    <row r="88" customFormat="false" ht="21.7" hidden="false" customHeight="true" outlineLevel="0" collapsed="false">
      <c r="A88" s="0" t="n">
        <v>31</v>
      </c>
      <c r="I88" s="9"/>
      <c r="J88" s="30"/>
      <c r="M88" s="0"/>
    </row>
    <row r="89" customFormat="false" ht="21.7" hidden="false" customHeight="true" outlineLevel="0" collapsed="false">
      <c r="A89" s="0" t="n">
        <v>31</v>
      </c>
      <c r="I89" s="9"/>
      <c r="J89" s="30"/>
      <c r="M89" s="0"/>
    </row>
    <row r="90" customFormat="false" ht="21.7" hidden="false" customHeight="true" outlineLevel="0" collapsed="false">
      <c r="A90" s="0" t="n">
        <v>30</v>
      </c>
      <c r="I90" s="9"/>
      <c r="J90" s="30"/>
      <c r="M90" s="0"/>
    </row>
    <row r="91" customFormat="false" ht="21.7" hidden="false" customHeight="true" outlineLevel="0" collapsed="false">
      <c r="A91" s="0" t="n">
        <v>31</v>
      </c>
      <c r="I91" s="9"/>
      <c r="J91" s="30"/>
      <c r="M91" s="0"/>
    </row>
    <row r="92" customFormat="false" ht="21.7" hidden="false" customHeight="true" outlineLevel="0" collapsed="false">
      <c r="A92" s="0" t="n">
        <v>30</v>
      </c>
      <c r="I92" s="9"/>
      <c r="J92" s="30"/>
      <c r="M92" s="0"/>
    </row>
    <row r="93" customFormat="false" ht="21.7" hidden="false" customHeight="true" outlineLevel="0" collapsed="false">
      <c r="A93" s="0" t="n">
        <v>31</v>
      </c>
      <c r="I93" s="9"/>
      <c r="J93" s="30"/>
      <c r="M93" s="0"/>
    </row>
    <row r="94" customFormat="false" ht="19.45" hidden="false" customHeight="true" outlineLevel="0" collapsed="false">
      <c r="A94" s="0" t="n">
        <v>31</v>
      </c>
      <c r="I94" s="9"/>
      <c r="J94" s="30"/>
      <c r="M94" s="0"/>
    </row>
    <row r="95" customFormat="false" ht="19.45" hidden="false" customHeight="true" outlineLevel="0" collapsed="false">
      <c r="A95" s="0" t="n">
        <v>28</v>
      </c>
      <c r="I95" s="9"/>
      <c r="J95" s="30"/>
      <c r="M95" s="0"/>
    </row>
    <row r="96" customFormat="false" ht="19.45" hidden="false" customHeight="true" outlineLevel="0" collapsed="false">
      <c r="A96" s="0" t="n">
        <v>31</v>
      </c>
      <c r="I96" s="9"/>
      <c r="J96" s="30"/>
      <c r="M96" s="0"/>
    </row>
    <row r="97" customFormat="false" ht="19.45" hidden="false" customHeight="true" outlineLevel="0" collapsed="false">
      <c r="A97" s="0" t="n">
        <v>30</v>
      </c>
      <c r="I97" s="9"/>
      <c r="J97" s="30"/>
      <c r="M97" s="0"/>
    </row>
    <row r="98" customFormat="false" ht="19.45" hidden="false" customHeight="true" outlineLevel="0" collapsed="false">
      <c r="A98" s="0" t="n">
        <v>31</v>
      </c>
      <c r="I98" s="9"/>
      <c r="J98" s="30"/>
      <c r="M98" s="0"/>
    </row>
    <row r="99" customFormat="false" ht="19.45" hidden="false" customHeight="true" outlineLevel="0" collapsed="false">
      <c r="A99" s="0" t="n">
        <v>30</v>
      </c>
      <c r="I99" s="9"/>
      <c r="J99" s="30"/>
      <c r="M99" s="0"/>
    </row>
    <row r="100" customFormat="false" ht="19.45" hidden="false" customHeight="true" outlineLevel="0" collapsed="false">
      <c r="A100" s="0" t="n">
        <v>31</v>
      </c>
      <c r="I100" s="9"/>
      <c r="J100" s="30"/>
      <c r="M100" s="0"/>
    </row>
    <row r="101" customFormat="false" ht="19.45" hidden="false" customHeight="true" outlineLevel="0" collapsed="false">
      <c r="A101" s="0" t="n">
        <v>31</v>
      </c>
      <c r="I101" s="9"/>
      <c r="J101" s="30"/>
      <c r="M101" s="0"/>
    </row>
    <row r="102" customFormat="false" ht="19.45" hidden="false" customHeight="true" outlineLevel="0" collapsed="false">
      <c r="A102" s="0" t="n">
        <v>30</v>
      </c>
      <c r="I102" s="9"/>
      <c r="J102" s="30"/>
      <c r="M102" s="0"/>
    </row>
    <row r="103" customFormat="false" ht="19.45" hidden="false" customHeight="true" outlineLevel="0" collapsed="false">
      <c r="A103" s="0" t="n">
        <v>31</v>
      </c>
      <c r="I103" s="9"/>
      <c r="J103" s="30"/>
      <c r="M103" s="0"/>
    </row>
    <row r="104" customFormat="false" ht="19.45" hidden="false" customHeight="true" outlineLevel="0" collapsed="false">
      <c r="A104" s="0" t="n">
        <v>30</v>
      </c>
      <c r="I104" s="9"/>
      <c r="J104" s="30"/>
      <c r="M104" s="0"/>
    </row>
    <row r="105" customFormat="false" ht="19.45" hidden="false" customHeight="true" outlineLevel="0" collapsed="false">
      <c r="A105" s="0" t="n">
        <v>31</v>
      </c>
      <c r="I105" s="9"/>
      <c r="J105" s="30"/>
      <c r="M105" s="0"/>
    </row>
    <row r="106" customFormat="false" ht="19.45" hidden="false" customHeight="true" outlineLevel="0" collapsed="false">
      <c r="A106" s="0" t="n">
        <v>31</v>
      </c>
      <c r="I106" s="9"/>
      <c r="J106" s="30"/>
      <c r="M106" s="0"/>
    </row>
    <row r="107" customFormat="false" ht="19.45" hidden="false" customHeight="true" outlineLevel="0" collapsed="false">
      <c r="A107" s="0" t="n">
        <v>28</v>
      </c>
      <c r="I107" s="9"/>
      <c r="J107" s="30"/>
    </row>
    <row r="108" customFormat="false" ht="19.45" hidden="false" customHeight="true" outlineLevel="0" collapsed="false">
      <c r="A108" s="0" t="n">
        <v>31</v>
      </c>
      <c r="I108" s="9"/>
      <c r="J108" s="30"/>
    </row>
    <row r="109" customFormat="false" ht="19.45" hidden="false" customHeight="true" outlineLevel="0" collapsed="false">
      <c r="A109" s="0" t="n">
        <v>30</v>
      </c>
      <c r="I109" s="9"/>
      <c r="J109" s="30"/>
    </row>
    <row r="110" customFormat="false" ht="19.45" hidden="false" customHeight="true" outlineLevel="0" collapsed="false">
      <c r="A110" s="0" t="n">
        <v>31</v>
      </c>
      <c r="I110" s="9"/>
      <c r="J110" s="30"/>
    </row>
    <row r="111" customFormat="false" ht="19.45" hidden="false" customHeight="true" outlineLevel="0" collapsed="false">
      <c r="A111" s="0" t="n">
        <v>30</v>
      </c>
      <c r="I111" s="9"/>
      <c r="J111" s="30"/>
    </row>
    <row r="112" customFormat="false" ht="19.45" hidden="false" customHeight="true" outlineLevel="0" collapsed="false">
      <c r="A112" s="0" t="n">
        <v>31</v>
      </c>
      <c r="I112" s="9"/>
      <c r="J112" s="30"/>
    </row>
    <row r="113" customFormat="false" ht="19.45" hidden="false" customHeight="true" outlineLevel="0" collapsed="false">
      <c r="A113" s="0" t="n">
        <v>31</v>
      </c>
      <c r="I113" s="9"/>
      <c r="J113" s="30"/>
    </row>
    <row r="114" customFormat="false" ht="19.45" hidden="false" customHeight="true" outlineLevel="0" collapsed="false">
      <c r="A114" s="0" t="n">
        <v>30</v>
      </c>
      <c r="I114" s="9"/>
      <c r="J114" s="30"/>
    </row>
    <row r="115" customFormat="false" ht="19.45" hidden="false" customHeight="true" outlineLevel="0" collapsed="false">
      <c r="A115" s="0" t="n">
        <v>31</v>
      </c>
      <c r="I115" s="9"/>
      <c r="J115" s="30"/>
    </row>
    <row r="116" customFormat="false" ht="19.45" hidden="false" customHeight="true" outlineLevel="0" collapsed="false">
      <c r="A116" s="0" t="n">
        <v>30</v>
      </c>
      <c r="I116" s="9"/>
      <c r="J116" s="30"/>
    </row>
    <row r="117" customFormat="false" ht="19.45" hidden="false" customHeight="true" outlineLevel="0" collapsed="false">
      <c r="A117" s="0" t="n">
        <v>31</v>
      </c>
      <c r="I117" s="9"/>
      <c r="J117" s="30"/>
    </row>
    <row r="118" customFormat="false" ht="19.45" hidden="false" customHeight="true" outlineLevel="0" collapsed="false">
      <c r="A118" s="0" t="n">
        <v>31</v>
      </c>
      <c r="I118" s="9"/>
      <c r="J118" s="30"/>
    </row>
    <row r="119" customFormat="false" ht="19.45" hidden="false" customHeight="true" outlineLevel="0" collapsed="false">
      <c r="A119" s="0" t="n">
        <v>28</v>
      </c>
      <c r="I119" s="9"/>
      <c r="J119" s="30"/>
    </row>
    <row r="120" customFormat="false" ht="19.45" hidden="false" customHeight="true" outlineLevel="0" collapsed="false">
      <c r="A120" s="0" t="n">
        <v>31</v>
      </c>
      <c r="I120" s="9"/>
      <c r="J120" s="30"/>
    </row>
    <row r="121" customFormat="false" ht="19.45" hidden="false" customHeight="true" outlineLevel="0" collapsed="false">
      <c r="A121" s="0" t="n">
        <v>30</v>
      </c>
      <c r="I121" s="9"/>
      <c r="J121" s="30"/>
    </row>
    <row r="122" customFormat="false" ht="19.45" hidden="false" customHeight="true" outlineLevel="0" collapsed="false">
      <c r="A122" s="0" t="n">
        <v>31</v>
      </c>
      <c r="I122" s="9"/>
      <c r="J122" s="30"/>
    </row>
    <row r="123" customFormat="false" ht="19.45" hidden="false" customHeight="true" outlineLevel="0" collapsed="false">
      <c r="A123" s="0" t="n">
        <v>30</v>
      </c>
      <c r="I123" s="9"/>
      <c r="J123" s="30"/>
    </row>
    <row r="124" customFormat="false" ht="19.45" hidden="false" customHeight="true" outlineLevel="0" collapsed="false">
      <c r="A124" s="0" t="n">
        <v>31</v>
      </c>
      <c r="I124" s="9"/>
      <c r="J124" s="30"/>
    </row>
    <row r="125" customFormat="false" ht="19.45" hidden="false" customHeight="true" outlineLevel="0" collapsed="false">
      <c r="A125" s="0" t="n">
        <v>31</v>
      </c>
      <c r="I125" s="9"/>
      <c r="J125" s="30"/>
    </row>
    <row r="126" customFormat="false" ht="19.45" hidden="false" customHeight="true" outlineLevel="0" collapsed="false">
      <c r="A126" s="0" t="n">
        <v>30</v>
      </c>
      <c r="I126" s="9"/>
      <c r="J126" s="30"/>
    </row>
    <row r="127" customFormat="false" ht="19.45" hidden="false" customHeight="true" outlineLevel="0" collapsed="false">
      <c r="A127" s="0" t="n">
        <v>31</v>
      </c>
      <c r="I127" s="9"/>
      <c r="J127" s="30"/>
    </row>
    <row r="128" customFormat="false" ht="19.45" hidden="false" customHeight="true" outlineLevel="0" collapsed="false">
      <c r="A128" s="0" t="n">
        <v>30</v>
      </c>
      <c r="I128" s="9"/>
      <c r="J128" s="30"/>
    </row>
    <row r="129" customFormat="false" ht="19.45" hidden="false" customHeight="true" outlineLevel="0" collapsed="false">
      <c r="A129" s="0" t="n">
        <v>31</v>
      </c>
      <c r="I129" s="9"/>
      <c r="J129" s="30"/>
    </row>
    <row r="130" customFormat="false" ht="19.45" hidden="false" customHeight="true" outlineLevel="0" collapsed="false">
      <c r="A130" s="0" t="n">
        <v>31</v>
      </c>
      <c r="I130" s="9"/>
      <c r="J130" s="30"/>
    </row>
    <row r="131" customFormat="false" ht="19.45" hidden="false" customHeight="true" outlineLevel="0" collapsed="false">
      <c r="A131" s="0" t="n">
        <v>28</v>
      </c>
      <c r="I131" s="9"/>
      <c r="J131" s="30"/>
    </row>
    <row r="132" customFormat="false" ht="19.45" hidden="false" customHeight="true" outlineLevel="0" collapsed="false">
      <c r="A132" s="0" t="n">
        <v>31</v>
      </c>
      <c r="I132" s="9"/>
      <c r="J132" s="30"/>
    </row>
    <row r="133" customFormat="false" ht="19.45" hidden="false" customHeight="true" outlineLevel="0" collapsed="false">
      <c r="A133" s="0" t="n">
        <v>30</v>
      </c>
      <c r="I133" s="9"/>
      <c r="J133" s="30"/>
    </row>
    <row r="134" customFormat="false" ht="19.45" hidden="false" customHeight="true" outlineLevel="0" collapsed="false">
      <c r="A134" s="0" t="n">
        <v>31</v>
      </c>
      <c r="I134" s="9"/>
      <c r="J134" s="30"/>
    </row>
    <row r="135" customFormat="false" ht="19.45" hidden="false" customHeight="true" outlineLevel="0" collapsed="false">
      <c r="A135" s="0" t="n">
        <v>30</v>
      </c>
      <c r="I135" s="9"/>
      <c r="J135" s="30"/>
    </row>
    <row r="136" customFormat="false" ht="19.45" hidden="false" customHeight="true" outlineLevel="0" collapsed="false">
      <c r="A136" s="0" t="n">
        <v>31</v>
      </c>
      <c r="I136" s="9"/>
      <c r="J136" s="30"/>
    </row>
    <row r="137" customFormat="false" ht="19.45" hidden="false" customHeight="true" outlineLevel="0" collapsed="false">
      <c r="A137" s="0" t="n">
        <v>31</v>
      </c>
      <c r="I137" s="9"/>
      <c r="J137" s="30"/>
    </row>
    <row r="138" customFormat="false" ht="19.45" hidden="false" customHeight="true" outlineLevel="0" collapsed="false">
      <c r="A138" s="0" t="n">
        <v>30</v>
      </c>
      <c r="I138" s="9"/>
      <c r="J138" s="30"/>
    </row>
    <row r="139" customFormat="false" ht="19.45" hidden="false" customHeight="true" outlineLevel="0" collapsed="false">
      <c r="A139" s="0" t="n">
        <v>31</v>
      </c>
      <c r="I139" s="9"/>
      <c r="J139" s="30"/>
    </row>
    <row r="140" customFormat="false" ht="19.45" hidden="false" customHeight="true" outlineLevel="0" collapsed="false">
      <c r="A140" s="0" t="n">
        <v>30</v>
      </c>
      <c r="I140" s="9"/>
      <c r="J140" s="30"/>
    </row>
    <row r="141" customFormat="false" ht="19.45" hidden="false" customHeight="true" outlineLevel="0" collapsed="false">
      <c r="A141" s="0" t="n">
        <v>31</v>
      </c>
      <c r="I141" s="9"/>
      <c r="J141" s="30"/>
    </row>
    <row r="142" customFormat="false" ht="19.45" hidden="false" customHeight="true" outlineLevel="0" collapsed="false">
      <c r="A142" s="0" t="n">
        <v>31</v>
      </c>
      <c r="I142" s="9"/>
      <c r="J142" s="30"/>
    </row>
    <row r="143" customFormat="false" ht="19.45" hidden="false" customHeight="true" outlineLevel="0" collapsed="false">
      <c r="A143" s="0" t="n">
        <v>28</v>
      </c>
      <c r="I143" s="9"/>
      <c r="J143" s="30"/>
    </row>
    <row r="144" customFormat="false" ht="19.45" hidden="false" customHeight="true" outlineLevel="0" collapsed="false">
      <c r="A144" s="0" t="n">
        <v>31</v>
      </c>
      <c r="I144" s="9"/>
      <c r="J144" s="30"/>
    </row>
    <row r="145" customFormat="false" ht="19.45" hidden="false" customHeight="true" outlineLevel="0" collapsed="false">
      <c r="A145" s="0" t="n">
        <v>30</v>
      </c>
      <c r="I145" s="9"/>
      <c r="J145" s="30"/>
    </row>
    <row r="146" customFormat="false" ht="19.45" hidden="false" customHeight="true" outlineLevel="0" collapsed="false">
      <c r="A146" s="0" t="n">
        <v>31</v>
      </c>
      <c r="I146" s="9"/>
      <c r="J146" s="30"/>
    </row>
    <row r="147" customFormat="false" ht="19.45" hidden="false" customHeight="true" outlineLevel="0" collapsed="false">
      <c r="A147" s="0" t="n">
        <v>30</v>
      </c>
      <c r="I147" s="9"/>
      <c r="J147" s="30"/>
    </row>
    <row r="148" customFormat="false" ht="19.45" hidden="false" customHeight="true" outlineLevel="0" collapsed="false">
      <c r="A148" s="0" t="n">
        <v>31</v>
      </c>
      <c r="I148" s="9"/>
      <c r="J148" s="30"/>
    </row>
    <row r="149" customFormat="false" ht="19.45" hidden="false" customHeight="true" outlineLevel="0" collapsed="false">
      <c r="A149" s="0" t="n">
        <v>31</v>
      </c>
      <c r="I149" s="9"/>
      <c r="J149" s="30"/>
    </row>
    <row r="150" customFormat="false" ht="19.45" hidden="false" customHeight="true" outlineLevel="0" collapsed="false">
      <c r="A150" s="0" t="n">
        <v>30</v>
      </c>
      <c r="I150" s="9"/>
      <c r="J150" s="30"/>
    </row>
    <row r="151" customFormat="false" ht="19.45" hidden="false" customHeight="true" outlineLevel="0" collapsed="false">
      <c r="A151" s="0" t="n">
        <v>31</v>
      </c>
      <c r="I151" s="9"/>
      <c r="J151" s="30"/>
    </row>
    <row r="152" customFormat="false" ht="19.45" hidden="false" customHeight="true" outlineLevel="0" collapsed="false">
      <c r="A152" s="0" t="n">
        <v>30</v>
      </c>
      <c r="I152" s="9"/>
      <c r="J152" s="30"/>
    </row>
    <row r="153" customFormat="false" ht="19.45" hidden="false" customHeight="true" outlineLevel="0" collapsed="false">
      <c r="A153" s="0" t="n">
        <v>31</v>
      </c>
      <c r="I153" s="9"/>
      <c r="J153" s="30"/>
    </row>
    <row r="154" customFormat="false" ht="19.85" hidden="false" customHeight="true" outlineLevel="0" collapsed="false">
      <c r="A154" s="0" t="n">
        <v>31</v>
      </c>
      <c r="J154" s="55"/>
      <c r="L154" s="0"/>
    </row>
    <row r="155" customFormat="false" ht="19.85" hidden="false" customHeight="true" outlineLevel="0" collapsed="false">
      <c r="A155" s="0" t="n">
        <v>28</v>
      </c>
      <c r="J155" s="277"/>
      <c r="K155" s="277"/>
      <c r="L155" s="277"/>
      <c r="M155" s="277"/>
      <c r="N155" s="277"/>
      <c r="O155" s="277"/>
      <c r="P155" s="277"/>
      <c r="Q155" s="277"/>
      <c r="R155" s="277"/>
      <c r="S155" s="277"/>
      <c r="T155" s="277"/>
    </row>
    <row r="156" customFormat="false" ht="19.85" hidden="false" customHeight="true" outlineLevel="0" collapsed="false">
      <c r="A156" s="0" t="n">
        <v>31</v>
      </c>
      <c r="I156" s="512"/>
      <c r="J156" s="56"/>
      <c r="K156" s="0"/>
      <c r="L156" s="0"/>
      <c r="M156" s="0"/>
      <c r="N156" s="0"/>
      <c r="O156" s="0"/>
      <c r="P156" s="0"/>
      <c r="Q156" s="0"/>
      <c r="R156" s="0"/>
      <c r="S156" s="0"/>
      <c r="T156" s="0"/>
    </row>
    <row r="157" customFormat="false" ht="19.85" hidden="false" customHeight="true" outlineLevel="0" collapsed="false">
      <c r="A157" s="0" t="n">
        <v>30</v>
      </c>
      <c r="J157" s="56"/>
      <c r="K157" s="0"/>
      <c r="L157" s="0"/>
      <c r="M157" s="0"/>
      <c r="N157" s="0"/>
      <c r="O157" s="0"/>
      <c r="P157" s="0"/>
      <c r="Q157" s="0"/>
      <c r="R157" s="0"/>
      <c r="S157" s="0"/>
      <c r="T157" s="0"/>
    </row>
    <row r="158" customFormat="false" ht="19.85" hidden="false" customHeight="true" outlineLevel="0" collapsed="false">
      <c r="A158" s="0" t="n">
        <v>31</v>
      </c>
      <c r="J158" s="56"/>
      <c r="K158" s="0"/>
      <c r="L158" s="0"/>
      <c r="M158" s="0"/>
      <c r="N158" s="0"/>
      <c r="O158" s="0"/>
      <c r="P158" s="0"/>
      <c r="Q158" s="0"/>
      <c r="R158" s="0"/>
      <c r="S158" s="0"/>
      <c r="T158" s="0"/>
    </row>
    <row r="159" customFormat="false" ht="19.85" hidden="false" customHeight="true" outlineLevel="0" collapsed="false">
      <c r="A159" s="0" t="n">
        <v>30</v>
      </c>
      <c r="J159" s="56"/>
      <c r="K159" s="0"/>
      <c r="L159" s="0"/>
      <c r="M159" s="0"/>
      <c r="N159" s="0"/>
      <c r="O159" s="0"/>
      <c r="P159" s="0"/>
      <c r="Q159" s="0"/>
      <c r="R159" s="0"/>
      <c r="S159" s="0"/>
      <c r="T159" s="0"/>
    </row>
    <row r="160" customFormat="false" ht="19.85" hidden="false" customHeight="true" outlineLevel="0" collapsed="false">
      <c r="A160" s="0" t="n">
        <v>31</v>
      </c>
      <c r="J160" s="56"/>
      <c r="K160" s="0"/>
      <c r="L160" s="0"/>
      <c r="M160" s="0"/>
      <c r="N160" s="0"/>
      <c r="O160" s="0"/>
      <c r="P160" s="0"/>
      <c r="Q160" s="0"/>
      <c r="R160" s="0"/>
      <c r="S160" s="0"/>
      <c r="T160" s="0"/>
    </row>
    <row r="161" customFormat="false" ht="19.85" hidden="false" customHeight="true" outlineLevel="0" collapsed="false">
      <c r="A161" s="0" t="n">
        <v>31</v>
      </c>
      <c r="J161" s="56"/>
      <c r="K161" s="0"/>
      <c r="L161" s="0"/>
      <c r="M161" s="0"/>
      <c r="N161" s="0"/>
      <c r="O161" s="0"/>
      <c r="P161" s="0"/>
      <c r="Q161" s="0"/>
      <c r="R161" s="0"/>
      <c r="S161" s="0"/>
      <c r="T161" s="0"/>
    </row>
    <row r="162" customFormat="false" ht="19.85" hidden="false" customHeight="true" outlineLevel="0" collapsed="false">
      <c r="A162" s="0" t="n">
        <v>30</v>
      </c>
      <c r="J162" s="56"/>
      <c r="K162" s="0"/>
      <c r="L162" s="0"/>
      <c r="M162" s="0"/>
      <c r="N162" s="0"/>
      <c r="O162" s="0"/>
      <c r="P162" s="0"/>
      <c r="Q162" s="0"/>
      <c r="R162" s="0"/>
      <c r="S162" s="0"/>
      <c r="T162" s="0"/>
    </row>
    <row r="163" customFormat="false" ht="19.85" hidden="false" customHeight="true" outlineLevel="0" collapsed="false">
      <c r="A163" s="0" t="n">
        <v>31</v>
      </c>
      <c r="J163" s="56"/>
      <c r="K163" s="0"/>
      <c r="L163" s="0"/>
      <c r="M163" s="0"/>
      <c r="N163" s="0"/>
      <c r="O163" s="0"/>
      <c r="P163" s="0"/>
      <c r="Q163" s="0"/>
      <c r="R163" s="0"/>
      <c r="S163" s="0"/>
      <c r="T163" s="0"/>
    </row>
    <row r="164" customFormat="false" ht="19.85" hidden="false" customHeight="true" outlineLevel="0" collapsed="false">
      <c r="A164" s="0" t="n">
        <v>30</v>
      </c>
      <c r="J164" s="56"/>
      <c r="K164" s="0"/>
      <c r="L164" s="0"/>
      <c r="M164" s="0"/>
      <c r="N164" s="0"/>
      <c r="O164" s="0"/>
      <c r="P164" s="0"/>
      <c r="Q164" s="0"/>
      <c r="R164" s="0"/>
      <c r="S164" s="0"/>
      <c r="T164" s="0"/>
    </row>
    <row r="165" customFormat="false" ht="19.85" hidden="false" customHeight="true" outlineLevel="0" collapsed="false">
      <c r="A165" s="0" t="n">
        <v>31</v>
      </c>
      <c r="J165" s="56"/>
      <c r="K165" s="0"/>
      <c r="L165" s="0"/>
      <c r="M165" s="0"/>
      <c r="N165" s="0"/>
      <c r="O165" s="0"/>
      <c r="P165" s="0"/>
      <c r="Q165" s="0"/>
      <c r="R165" s="0"/>
      <c r="S165" s="0"/>
      <c r="T165" s="0"/>
    </row>
    <row r="166" customFormat="false" ht="19.85" hidden="false" customHeight="true" outlineLevel="0" collapsed="false">
      <c r="A166" s="0" t="n">
        <v>31</v>
      </c>
      <c r="J166" s="56"/>
      <c r="K166" s="0"/>
      <c r="L166" s="0"/>
      <c r="M166" s="0"/>
      <c r="N166" s="0"/>
      <c r="O166" s="0"/>
      <c r="P166" s="0"/>
      <c r="Q166" s="0"/>
      <c r="R166" s="0"/>
      <c r="S166" s="0"/>
      <c r="T166" s="0"/>
    </row>
    <row r="167" customFormat="false" ht="19.85" hidden="false" customHeight="true" outlineLevel="0" collapsed="false">
      <c r="A167" s="0" t="n">
        <v>28</v>
      </c>
      <c r="J167" s="56"/>
      <c r="K167" s="0"/>
      <c r="L167" s="0"/>
      <c r="M167" s="0"/>
      <c r="N167" s="0"/>
      <c r="O167" s="0"/>
      <c r="P167" s="0"/>
      <c r="Q167" s="0"/>
      <c r="R167" s="0"/>
      <c r="S167" s="0"/>
      <c r="T167" s="0"/>
    </row>
    <row r="168" customFormat="false" ht="19.85" hidden="false" customHeight="true" outlineLevel="0" collapsed="false">
      <c r="A168" s="0" t="n">
        <v>31</v>
      </c>
      <c r="J168" s="56"/>
      <c r="N168" s="0"/>
      <c r="P168" s="0"/>
      <c r="S168" s="0"/>
    </row>
    <row r="169" customFormat="false" ht="19.85" hidden="false" customHeight="true" outlineLevel="0" collapsed="false">
      <c r="A169" s="0" t="n">
        <v>30</v>
      </c>
      <c r="J169" s="56"/>
      <c r="N169" s="0"/>
      <c r="P169" s="0"/>
      <c r="S169" s="0"/>
    </row>
    <row r="170" customFormat="false" ht="19.85" hidden="false" customHeight="true" outlineLevel="0" collapsed="false">
      <c r="A170" s="0" t="n">
        <v>31</v>
      </c>
      <c r="J170" s="56"/>
      <c r="K170" s="63"/>
      <c r="N170" s="0"/>
      <c r="P170" s="0"/>
      <c r="S170" s="0"/>
    </row>
    <row r="171" customFormat="false" ht="19.85" hidden="false" customHeight="true" outlineLevel="0" collapsed="false">
      <c r="A171" s="0" t="n">
        <v>30</v>
      </c>
      <c r="I171" s="58"/>
      <c r="J171" s="56"/>
      <c r="K171" s="63"/>
      <c r="N171" s="0"/>
      <c r="P171" s="0"/>
      <c r="S171" s="0"/>
    </row>
    <row r="172" customFormat="false" ht="19.85" hidden="false" customHeight="true" outlineLevel="0" collapsed="false">
      <c r="A172" s="0" t="n">
        <v>31</v>
      </c>
      <c r="I172" s="58"/>
      <c r="J172" s="56"/>
      <c r="K172" s="63"/>
      <c r="N172" s="0"/>
      <c r="P172" s="0"/>
      <c r="S172" s="0"/>
    </row>
    <row r="173" customFormat="false" ht="19.85" hidden="false" customHeight="true" outlineLevel="0" collapsed="false">
      <c r="A173" s="0" t="n">
        <v>31</v>
      </c>
      <c r="I173" s="58"/>
      <c r="J173" s="56"/>
      <c r="N173" s="0"/>
      <c r="P173" s="0"/>
      <c r="S173" s="0"/>
    </row>
    <row r="174" customFormat="false" ht="19.85" hidden="false" customHeight="true" outlineLevel="0" collapsed="false">
      <c r="A174" s="0" t="n">
        <v>30</v>
      </c>
      <c r="I174" s="58"/>
      <c r="J174" s="56"/>
      <c r="N174" s="0"/>
      <c r="P174" s="0"/>
      <c r="S174" s="0"/>
    </row>
    <row r="175" customFormat="false" ht="19.85" hidden="false" customHeight="true" outlineLevel="0" collapsed="false">
      <c r="A175" s="0" t="n">
        <v>31</v>
      </c>
      <c r="I175" s="58"/>
      <c r="J175" s="56"/>
      <c r="N175" s="0"/>
      <c r="P175" s="0"/>
      <c r="S175" s="0"/>
    </row>
    <row r="176" customFormat="false" ht="19.85" hidden="false" customHeight="true" outlineLevel="0" collapsed="false">
      <c r="A176" s="0" t="n">
        <v>30</v>
      </c>
      <c r="I176" s="58"/>
      <c r="J176" s="56"/>
      <c r="N176" s="0"/>
      <c r="P176" s="0"/>
      <c r="S176" s="0"/>
    </row>
    <row r="177" customFormat="false" ht="19.85" hidden="false" customHeight="true" outlineLevel="0" collapsed="false">
      <c r="A177" s="0" t="n">
        <v>31</v>
      </c>
      <c r="I177" s="58"/>
      <c r="J177" s="56"/>
      <c r="N177" s="0"/>
      <c r="P177" s="0"/>
      <c r="S177" s="0"/>
    </row>
    <row r="178" customFormat="false" ht="19.85" hidden="false" customHeight="true" outlineLevel="0" collapsed="false">
      <c r="A178" s="0" t="n">
        <v>31</v>
      </c>
      <c r="I178" s="58"/>
      <c r="J178" s="56"/>
      <c r="N178" s="0"/>
      <c r="P178" s="0"/>
      <c r="S178" s="0"/>
    </row>
    <row r="179" customFormat="false" ht="19.85" hidden="false" customHeight="true" outlineLevel="0" collapsed="false">
      <c r="A179" s="0" t="n">
        <v>28</v>
      </c>
      <c r="I179" s="58"/>
      <c r="J179" s="56"/>
      <c r="N179" s="0"/>
      <c r="P179" s="0"/>
      <c r="S179" s="0"/>
    </row>
    <row r="180" customFormat="false" ht="19.85" hidden="false" customHeight="true" outlineLevel="0" collapsed="false">
      <c r="A180" s="0" t="n">
        <v>31</v>
      </c>
      <c r="I180" s="58"/>
      <c r="J180" s="56"/>
      <c r="P180" s="0"/>
    </row>
    <row r="181" customFormat="false" ht="19.85" hidden="false" customHeight="true" outlineLevel="0" collapsed="false">
      <c r="A181" s="0" t="n">
        <v>30</v>
      </c>
      <c r="I181" s="58"/>
      <c r="J181" s="56"/>
      <c r="P181" s="0"/>
    </row>
    <row r="182" customFormat="false" ht="19.85" hidden="false" customHeight="true" outlineLevel="0" collapsed="false">
      <c r="A182" s="0" t="n">
        <v>31</v>
      </c>
      <c r="I182" s="58"/>
      <c r="J182" s="56"/>
      <c r="P182" s="0"/>
    </row>
    <row r="183" customFormat="false" ht="22.45" hidden="false" customHeight="true" outlineLevel="0" collapsed="false">
      <c r="A183" s="0" t="n">
        <v>30</v>
      </c>
      <c r="I183" s="58"/>
      <c r="J183" s="56"/>
      <c r="P183" s="0"/>
    </row>
    <row r="184" customFormat="false" ht="21.65" hidden="false" customHeight="true" outlineLevel="0" collapsed="false">
      <c r="A184" s="0" t="n">
        <v>31</v>
      </c>
      <c r="I184" s="58"/>
      <c r="J184" s="56"/>
      <c r="P184" s="0"/>
    </row>
    <row r="185" customFormat="false" ht="21.65" hidden="false" customHeight="true" outlineLevel="0" collapsed="false">
      <c r="A185" s="0" t="n">
        <v>31</v>
      </c>
      <c r="I185" s="58"/>
      <c r="J185" s="56"/>
      <c r="P185" s="0"/>
    </row>
    <row r="186" customFormat="false" ht="21.65" hidden="false" customHeight="true" outlineLevel="0" collapsed="false">
      <c r="A186" s="0" t="n">
        <v>30</v>
      </c>
      <c r="J186" s="56"/>
      <c r="P186" s="0"/>
    </row>
    <row r="187" customFormat="false" ht="21.65" hidden="false" customHeight="true" outlineLevel="0" collapsed="false">
      <c r="A187" s="0" t="n">
        <v>31</v>
      </c>
      <c r="J187" s="56"/>
      <c r="P187" s="0"/>
    </row>
    <row r="188" customFormat="false" ht="21.65" hidden="false" customHeight="true" outlineLevel="0" collapsed="false">
      <c r="A188" s="0" t="n">
        <v>30</v>
      </c>
      <c r="J188" s="56"/>
      <c r="P188" s="0"/>
    </row>
    <row r="189" customFormat="false" ht="21.65" hidden="false" customHeight="true" outlineLevel="0" collapsed="false">
      <c r="A189" s="0" t="n">
        <v>31</v>
      </c>
      <c r="J189" s="56"/>
      <c r="P189" s="0"/>
    </row>
    <row r="190" customFormat="false" ht="28.35" hidden="false" customHeight="true" outlineLevel="0" collapsed="false">
      <c r="A190" s="0" t="n">
        <v>31</v>
      </c>
      <c r="J190" s="56"/>
      <c r="P190" s="0"/>
    </row>
    <row r="191" customFormat="false" ht="28.35" hidden="false" customHeight="true" outlineLevel="0" collapsed="false">
      <c r="A191" s="0" t="n">
        <v>28</v>
      </c>
      <c r="J191" s="56"/>
      <c r="P191" s="0"/>
    </row>
    <row r="192" customFormat="false" ht="28.35" hidden="false" customHeight="true" outlineLevel="0" collapsed="false">
      <c r="A192" s="0" t="n">
        <v>31</v>
      </c>
      <c r="J192" s="56"/>
      <c r="P192" s="0"/>
    </row>
    <row r="193" customFormat="false" ht="28.35" hidden="false" customHeight="true" outlineLevel="0" collapsed="false">
      <c r="A193" s="0" t="n">
        <v>30</v>
      </c>
      <c r="J193" s="56"/>
      <c r="P193" s="0"/>
    </row>
    <row r="194" customFormat="false" ht="28.35" hidden="false" customHeight="true" outlineLevel="0" collapsed="false">
      <c r="A194" s="0" t="n">
        <v>31</v>
      </c>
      <c r="J194" s="56"/>
      <c r="P194" s="0"/>
    </row>
    <row r="195" customFormat="false" ht="28.35" hidden="false" customHeight="true" outlineLevel="0" collapsed="false">
      <c r="A195" s="0" t="n">
        <v>30</v>
      </c>
      <c r="J195" s="56"/>
      <c r="P195" s="0"/>
    </row>
    <row r="196" customFormat="false" ht="28.35" hidden="false" customHeight="true" outlineLevel="0" collapsed="false">
      <c r="A196" s="0" t="n">
        <v>31</v>
      </c>
      <c r="J196" s="56"/>
      <c r="P196" s="0"/>
    </row>
    <row r="197" customFormat="false" ht="28.35" hidden="false" customHeight="true" outlineLevel="0" collapsed="false">
      <c r="A197" s="0" t="n">
        <v>31</v>
      </c>
      <c r="J197" s="56"/>
      <c r="P197" s="0"/>
    </row>
    <row r="198" customFormat="false" ht="28.35" hidden="false" customHeight="true" outlineLevel="0" collapsed="false">
      <c r="A198" s="0" t="n">
        <v>30</v>
      </c>
      <c r="J198" s="56"/>
      <c r="P198" s="0"/>
    </row>
    <row r="199" customFormat="false" ht="28.35" hidden="false" customHeight="true" outlineLevel="0" collapsed="false">
      <c r="A199" s="0" t="n">
        <v>31</v>
      </c>
      <c r="J199" s="56"/>
      <c r="P199" s="0"/>
    </row>
    <row r="200" customFormat="false" ht="28.35" hidden="false" customHeight="true" outlineLevel="0" collapsed="false">
      <c r="A200" s="0" t="n">
        <v>30</v>
      </c>
      <c r="J200" s="56"/>
      <c r="P200" s="0"/>
    </row>
    <row r="201" customFormat="false" ht="28.35" hidden="false" customHeight="true" outlineLevel="0" collapsed="false">
      <c r="A201" s="0" t="n">
        <v>31</v>
      </c>
      <c r="J201" s="56"/>
      <c r="P201" s="0"/>
    </row>
    <row r="202" customFormat="false" ht="28.35" hidden="false" customHeight="true" outlineLevel="0" collapsed="false">
      <c r="A202" s="0"/>
      <c r="J202" s="56"/>
      <c r="P202" s="0"/>
    </row>
    <row r="203" customFormat="false" ht="28.35" hidden="false" customHeight="true" outlineLevel="0" collapsed="false">
      <c r="A203" s="0"/>
      <c r="J203" s="56"/>
      <c r="P203" s="0"/>
    </row>
    <row r="204" customFormat="false" ht="28.35" hidden="false" customHeight="true" outlineLevel="0" collapsed="false">
      <c r="A204" s="0"/>
      <c r="J204" s="56"/>
      <c r="P204" s="0"/>
    </row>
    <row r="205" customFormat="false" ht="28.35" hidden="false" customHeight="true" outlineLevel="0" collapsed="false">
      <c r="A205" s="0"/>
      <c r="J205" s="56"/>
      <c r="P205" s="0"/>
    </row>
    <row r="206" customFormat="false" ht="28.35" hidden="false" customHeight="true" outlineLevel="0" collapsed="false">
      <c r="A206" s="0"/>
      <c r="J206" s="56"/>
      <c r="P206" s="0"/>
    </row>
    <row r="207" customFormat="false" ht="28.35" hidden="false" customHeight="true" outlineLevel="0" collapsed="false">
      <c r="A207" s="0"/>
      <c r="J207" s="56"/>
      <c r="P207" s="0"/>
    </row>
    <row r="208" customFormat="false" ht="12.8" hidden="false" customHeight="false" outlineLevel="0" collapsed="false">
      <c r="A208" s="0"/>
      <c r="J208" s="56"/>
      <c r="P208" s="0"/>
    </row>
    <row r="209" customFormat="false" ht="12.8" hidden="false" customHeight="false" outlineLevel="0" collapsed="false">
      <c r="A209" s="0"/>
      <c r="J209" s="56"/>
      <c r="P209" s="0"/>
    </row>
    <row r="210" customFormat="false" ht="12.8" hidden="false" customHeight="false" outlineLevel="0" collapsed="false">
      <c r="A210" s="0"/>
      <c r="J210" s="56"/>
      <c r="P210" s="0"/>
    </row>
    <row r="211" customFormat="false" ht="12.8" hidden="false" customHeight="false" outlineLevel="0" collapsed="false">
      <c r="A211" s="0"/>
      <c r="J211" s="56"/>
      <c r="P211" s="0"/>
    </row>
    <row r="212" customFormat="false" ht="12.8" hidden="false" customHeight="false" outlineLevel="0" collapsed="false">
      <c r="A212" s="0"/>
      <c r="J212" s="56"/>
      <c r="P212" s="0"/>
    </row>
    <row r="213" customFormat="false" ht="12.8" hidden="false" customHeight="false" outlineLevel="0" collapsed="false">
      <c r="A213" s="0"/>
      <c r="J213" s="56"/>
      <c r="P213" s="0"/>
    </row>
    <row r="214" customFormat="false" ht="12.8" hidden="false" customHeight="false" outlineLevel="0" collapsed="false">
      <c r="A214" s="0"/>
      <c r="J214" s="56"/>
      <c r="P214" s="0"/>
    </row>
    <row r="215" customFormat="false" ht="12.8" hidden="false" customHeight="false" outlineLevel="0" collapsed="false">
      <c r="A215" s="0"/>
      <c r="J215" s="56"/>
      <c r="P215" s="0"/>
    </row>
    <row r="216" customFormat="false" ht="12.8" hidden="false" customHeight="false" outlineLevel="0" collapsed="false">
      <c r="A216" s="0"/>
      <c r="J216" s="56"/>
    </row>
    <row r="217" customFormat="false" ht="12.8" hidden="false" customHeight="false" outlineLevel="0" collapsed="false">
      <c r="A217" s="0"/>
      <c r="J217" s="56"/>
    </row>
    <row r="218" customFormat="false" ht="12.8" hidden="false" customHeight="false" outlineLevel="0" collapsed="false">
      <c r="A218" s="0"/>
      <c r="J218" s="56"/>
    </row>
    <row r="219" customFormat="false" ht="12.8" hidden="false" customHeight="false" outlineLevel="0" collapsed="false">
      <c r="A219" s="0"/>
      <c r="J219" s="56"/>
    </row>
    <row r="220" customFormat="false" ht="12.8" hidden="false" customHeight="false" outlineLevel="0" collapsed="false">
      <c r="A220" s="0"/>
      <c r="J220" s="56"/>
    </row>
    <row r="221" customFormat="false" ht="12.8" hidden="false" customHeight="false" outlineLevel="0" collapsed="false">
      <c r="A221" s="0"/>
      <c r="J221" s="56"/>
    </row>
    <row r="222" customFormat="false" ht="12.8" hidden="false" customHeight="false" outlineLevel="0" collapsed="false">
      <c r="A222" s="0"/>
      <c r="J222" s="56"/>
    </row>
    <row r="223" customFormat="false" ht="12.8" hidden="false" customHeight="false" outlineLevel="0" collapsed="false">
      <c r="A223" s="0"/>
      <c r="J223" s="56"/>
    </row>
    <row r="224" customFormat="false" ht="12.8" hidden="false" customHeight="false" outlineLevel="0" collapsed="false">
      <c r="A224" s="0"/>
      <c r="J224" s="56"/>
    </row>
    <row r="225" customFormat="false" ht="12.8" hidden="false" customHeight="false" outlineLevel="0" collapsed="false">
      <c r="A225" s="0"/>
      <c r="J225" s="56"/>
    </row>
    <row r="226" customFormat="false" ht="12.8" hidden="false" customHeight="false" outlineLevel="0" collapsed="false">
      <c r="A226" s="0"/>
      <c r="J226" s="56"/>
    </row>
    <row r="227" customFormat="false" ht="12.8" hidden="false" customHeight="false" outlineLevel="0" collapsed="false">
      <c r="A227" s="0"/>
      <c r="J227" s="56"/>
    </row>
    <row r="228" customFormat="false" ht="12.8" hidden="false" customHeight="false" outlineLevel="0" collapsed="false">
      <c r="A228" s="0"/>
      <c r="J228" s="56"/>
    </row>
    <row r="229" customFormat="false" ht="12.8" hidden="false" customHeight="false" outlineLevel="0" collapsed="false">
      <c r="A229" s="0"/>
      <c r="J229" s="56"/>
    </row>
    <row r="230" customFormat="false" ht="12.8" hidden="false" customHeight="false" outlineLevel="0" collapsed="false">
      <c r="A230" s="0"/>
      <c r="J230" s="56"/>
    </row>
    <row r="231" customFormat="false" ht="12.8" hidden="false" customHeight="false" outlineLevel="0" collapsed="false">
      <c r="A231" s="0"/>
      <c r="J231" s="56"/>
    </row>
    <row r="232" customFormat="false" ht="12.8" hidden="false" customHeight="false" outlineLevel="0" collapsed="false">
      <c r="A232" s="0"/>
      <c r="J232" s="56"/>
    </row>
    <row r="233" customFormat="false" ht="12.8" hidden="false" customHeight="false" outlineLevel="0" collapsed="false">
      <c r="A233" s="0"/>
      <c r="J233" s="56"/>
    </row>
    <row r="234" customFormat="false" ht="12.8" hidden="false" customHeight="false" outlineLevel="0" collapsed="false">
      <c r="A234" s="0"/>
      <c r="J234" s="56"/>
    </row>
    <row r="235" customFormat="false" ht="12.8" hidden="false" customHeight="false" outlineLevel="0" collapsed="false">
      <c r="A235" s="0"/>
      <c r="J235" s="56"/>
    </row>
    <row r="236" customFormat="false" ht="12.8" hidden="false" customHeight="false" outlineLevel="0" collapsed="false">
      <c r="J236" s="56"/>
    </row>
    <row r="237" customFormat="false" ht="12.8" hidden="false" customHeight="false" outlineLevel="0" collapsed="false">
      <c r="J237" s="56"/>
    </row>
    <row r="238" customFormat="false" ht="12.8" hidden="false" customHeight="false" outlineLevel="0" collapsed="false">
      <c r="J238" s="56"/>
    </row>
    <row r="239" customFormat="false" ht="12.8" hidden="false" customHeight="false" outlineLevel="0" collapsed="false">
      <c r="J239" s="56"/>
    </row>
    <row r="240" customFormat="false" ht="12.8" hidden="false" customHeight="false" outlineLevel="0" collapsed="false">
      <c r="J240" s="56"/>
    </row>
    <row r="241" customFormat="false" ht="12.8" hidden="false" customHeight="false" outlineLevel="0" collapsed="false">
      <c r="J241" s="56"/>
    </row>
    <row r="242" customFormat="false" ht="12.8" hidden="false" customHeight="false" outlineLevel="0" collapsed="false">
      <c r="J242" s="56"/>
    </row>
    <row r="243" customFormat="false" ht="12.8" hidden="false" customHeight="false" outlineLevel="0" collapsed="false">
      <c r="J243" s="56"/>
    </row>
    <row r="244" customFormat="false" ht="12.8" hidden="false" customHeight="false" outlineLevel="0" collapsed="false">
      <c r="J244" s="56"/>
    </row>
    <row r="245" customFormat="false" ht="12.8" hidden="false" customHeight="false" outlineLevel="0" collapsed="false">
      <c r="J245" s="56"/>
    </row>
    <row r="246" customFormat="false" ht="12.8" hidden="false" customHeight="false" outlineLevel="0" collapsed="false">
      <c r="J246" s="56"/>
    </row>
    <row r="247" customFormat="false" ht="12.8" hidden="false" customHeight="false" outlineLevel="0" collapsed="false">
      <c r="J247" s="56"/>
    </row>
    <row r="248" customFormat="false" ht="12.8" hidden="false" customHeight="false" outlineLevel="0" collapsed="false">
      <c r="J248" s="56"/>
    </row>
    <row r="249" customFormat="false" ht="12.8" hidden="false" customHeight="false" outlineLevel="0" collapsed="false">
      <c r="J249" s="56"/>
    </row>
    <row r="250" customFormat="false" ht="12.8" hidden="false" customHeight="false" outlineLevel="0" collapsed="false">
      <c r="J250" s="56"/>
    </row>
    <row r="251" customFormat="false" ht="12.8" hidden="false" customHeight="false" outlineLevel="0" collapsed="false">
      <c r="J251" s="56"/>
    </row>
    <row r="252" customFormat="false" ht="12.8" hidden="false" customHeight="false" outlineLevel="0" collapsed="false">
      <c r="J252" s="56"/>
    </row>
    <row r="253" customFormat="false" ht="12.8" hidden="false" customHeight="false" outlineLevel="0" collapsed="false">
      <c r="J253" s="56"/>
    </row>
    <row r="254" customFormat="false" ht="12.8" hidden="false" customHeight="false" outlineLevel="0" collapsed="false">
      <c r="J254" s="56"/>
    </row>
    <row r="255" customFormat="false" ht="12.8" hidden="false" customHeight="false" outlineLevel="0" collapsed="false">
      <c r="J255" s="56"/>
    </row>
    <row r="256" customFormat="false" ht="12.8" hidden="false" customHeight="false" outlineLevel="0" collapsed="false">
      <c r="J256" s="56"/>
    </row>
    <row r="257" customFormat="false" ht="12.8" hidden="false" customHeight="false" outlineLevel="0" collapsed="false">
      <c r="J257" s="56"/>
    </row>
    <row r="258" customFormat="false" ht="12.8" hidden="false" customHeight="false" outlineLevel="0" collapsed="false">
      <c r="J258" s="56"/>
    </row>
    <row r="259" customFormat="false" ht="12.8" hidden="false" customHeight="false" outlineLevel="0" collapsed="false">
      <c r="J259" s="56"/>
    </row>
    <row r="260" customFormat="false" ht="12.8" hidden="false" customHeight="false" outlineLevel="0" collapsed="false">
      <c r="J260" s="56"/>
    </row>
    <row r="261" customFormat="false" ht="12.8" hidden="false" customHeight="false" outlineLevel="0" collapsed="false">
      <c r="J261" s="56"/>
    </row>
    <row r="262" customFormat="false" ht="12.8" hidden="false" customHeight="false" outlineLevel="0" collapsed="false">
      <c r="J262" s="56"/>
    </row>
    <row r="263" customFormat="false" ht="12.8" hidden="false" customHeight="false" outlineLevel="0" collapsed="false">
      <c r="J263" s="56"/>
    </row>
    <row r="264" customFormat="false" ht="12.8" hidden="false" customHeight="false" outlineLevel="0" collapsed="false">
      <c r="J264" s="56"/>
    </row>
    <row r="265" customFormat="false" ht="12.8" hidden="false" customHeight="false" outlineLevel="0" collapsed="false">
      <c r="J265" s="56"/>
    </row>
    <row r="266" customFormat="false" ht="12.8" hidden="false" customHeight="false" outlineLevel="0" collapsed="false">
      <c r="J266" s="56"/>
    </row>
    <row r="267" customFormat="false" ht="12.8" hidden="false" customHeight="false" outlineLevel="0" collapsed="false">
      <c r="J267" s="56"/>
    </row>
    <row r="268" customFormat="false" ht="12.8" hidden="false" customHeight="false" outlineLevel="0" collapsed="false">
      <c r="J268" s="56"/>
    </row>
    <row r="269" customFormat="false" ht="12.8" hidden="false" customHeight="false" outlineLevel="0" collapsed="false">
      <c r="J269" s="56"/>
    </row>
    <row r="270" customFormat="false" ht="12.8" hidden="false" customHeight="false" outlineLevel="0" collapsed="false">
      <c r="J270" s="56"/>
    </row>
    <row r="271" customFormat="false" ht="12.8" hidden="false" customHeight="false" outlineLevel="0" collapsed="false">
      <c r="J271" s="56"/>
    </row>
    <row r="272" customFormat="false" ht="12.8" hidden="false" customHeight="false" outlineLevel="0" collapsed="false">
      <c r="J272" s="56"/>
    </row>
    <row r="273" customFormat="false" ht="12.8" hidden="false" customHeight="false" outlineLevel="0" collapsed="false">
      <c r="J273" s="56"/>
    </row>
    <row r="274" customFormat="false" ht="12.8" hidden="false" customHeight="false" outlineLevel="0" collapsed="false">
      <c r="J274" s="56"/>
    </row>
    <row r="275" customFormat="false" ht="12.8" hidden="false" customHeight="false" outlineLevel="0" collapsed="false">
      <c r="J275" s="56"/>
    </row>
    <row r="276" customFormat="false" ht="12.8" hidden="false" customHeight="false" outlineLevel="0" collapsed="false">
      <c r="J276" s="56"/>
    </row>
    <row r="277" customFormat="false" ht="12.8" hidden="false" customHeight="false" outlineLevel="0" collapsed="false">
      <c r="J277" s="56"/>
    </row>
    <row r="278" customFormat="false" ht="12.8" hidden="false" customHeight="false" outlineLevel="0" collapsed="false">
      <c r="J278" s="56"/>
    </row>
    <row r="279" customFormat="false" ht="12.8" hidden="false" customHeight="false" outlineLevel="0" collapsed="false">
      <c r="J279" s="56"/>
    </row>
    <row r="280" customFormat="false" ht="12.8" hidden="false" customHeight="false" outlineLevel="0" collapsed="false">
      <c r="J280" s="56"/>
    </row>
    <row r="281" customFormat="false" ht="12.8" hidden="false" customHeight="false" outlineLevel="0" collapsed="false">
      <c r="J281" s="56"/>
    </row>
    <row r="282" customFormat="false" ht="12.8" hidden="false" customHeight="false" outlineLevel="0" collapsed="false">
      <c r="J282" s="56"/>
    </row>
    <row r="283" customFormat="false" ht="12.8" hidden="false" customHeight="false" outlineLevel="0" collapsed="false">
      <c r="J283" s="56"/>
    </row>
    <row r="284" customFormat="false" ht="12.8" hidden="false" customHeight="false" outlineLevel="0" collapsed="false">
      <c r="J284" s="56"/>
    </row>
    <row r="285" customFormat="false" ht="12.8" hidden="false" customHeight="false" outlineLevel="0" collapsed="false">
      <c r="J285" s="56"/>
    </row>
    <row r="286" customFormat="false" ht="12.8" hidden="false" customHeight="false" outlineLevel="0" collapsed="false">
      <c r="J286" s="56"/>
    </row>
    <row r="287" customFormat="false" ht="12.8" hidden="false" customHeight="false" outlineLevel="0" collapsed="false">
      <c r="J287" s="56"/>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74:E78 E40:E72 E10:E3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73">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39">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docProps/app.xml><?xml version="1.0" encoding="utf-8"?>
<Properties xmlns="http://schemas.openxmlformats.org/officeDocument/2006/extended-properties" xmlns:vt="http://schemas.openxmlformats.org/officeDocument/2006/docPropsVTypes">
  <Template/>
  <TotalTime>2285</TotalTime>
  <Application>LibreOffice/6.1.5.2$Linux_X86_64 LibreOffice_project/10$Build-2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2018-06-22T09:30:18Z</dcterms:created>
  <dc:creator>Alexandre Devos</dc:creator>
  <dc:description/>
  <dc:language>fr-FR</dc:language>
  <cp:lastModifiedBy/>
  <dcterms:modified xsi:type="dcterms:W3CDTF">2020-05-27T12:19:53Z</dcterms:modified>
  <cp:revision>172</cp:revision>
  <dc:subject/>
  <dc:title/>
</cp:coreProperties>
</file>